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K562_cell_PBS_R1\"/>
    </mc:Choice>
  </mc:AlternateContent>
  <bookViews>
    <workbookView xWindow="0" yWindow="0" windowWidth="25200" windowHeight="1197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6565" i="1" l="1"/>
  <c r="AB6564" i="1"/>
  <c r="AB6563" i="1"/>
  <c r="AB6562" i="1"/>
  <c r="AB6561" i="1"/>
  <c r="AB6560" i="1"/>
  <c r="AB6559" i="1"/>
  <c r="AB6558" i="1"/>
  <c r="AB6557" i="1"/>
  <c r="AB6556" i="1"/>
  <c r="AB6555" i="1"/>
  <c r="AB6554" i="1"/>
  <c r="AB6553" i="1"/>
  <c r="AB6552" i="1"/>
  <c r="AB6551" i="1"/>
  <c r="AB6550" i="1"/>
  <c r="AB6549" i="1"/>
  <c r="AB6548" i="1"/>
  <c r="AB6547" i="1"/>
  <c r="AB6546" i="1"/>
  <c r="AB6545" i="1"/>
  <c r="AB6544" i="1"/>
  <c r="AB6543" i="1"/>
  <c r="AB6542" i="1"/>
  <c r="AB6541" i="1"/>
  <c r="AB6540" i="1"/>
  <c r="AB6539" i="1"/>
  <c r="AB6538" i="1"/>
  <c r="AB6537" i="1"/>
  <c r="AB6536" i="1"/>
  <c r="AB6535" i="1"/>
  <c r="AB6534" i="1"/>
  <c r="AB6533" i="1"/>
  <c r="AB6532" i="1"/>
  <c r="AB6531" i="1"/>
  <c r="AB6530" i="1"/>
  <c r="AB6529" i="1"/>
  <c r="AB6528" i="1"/>
  <c r="AB6527" i="1"/>
  <c r="AB6526" i="1"/>
  <c r="AB6525" i="1"/>
  <c r="AB6524" i="1"/>
  <c r="AB6523" i="1"/>
  <c r="AB6522" i="1"/>
  <c r="AB6521" i="1"/>
  <c r="AB6520" i="1"/>
  <c r="AB6519" i="1"/>
  <c r="AB6518" i="1"/>
  <c r="AB6517" i="1"/>
  <c r="AB6516" i="1"/>
  <c r="AB6515" i="1"/>
  <c r="AB6514" i="1"/>
  <c r="AB6513" i="1"/>
  <c r="AB6512" i="1"/>
  <c r="AB6511" i="1"/>
  <c r="AB6510" i="1"/>
  <c r="AB6509" i="1"/>
  <c r="AB6508" i="1"/>
  <c r="AB6507" i="1"/>
  <c r="AB6506" i="1"/>
  <c r="AB6505" i="1"/>
  <c r="AB6504" i="1"/>
  <c r="AB6503" i="1"/>
  <c r="AB6502" i="1"/>
  <c r="AB6501" i="1"/>
  <c r="AB6500" i="1"/>
  <c r="AB6499" i="1"/>
  <c r="AB6498" i="1"/>
  <c r="AB6497" i="1"/>
  <c r="AB6496" i="1"/>
  <c r="AB6495" i="1"/>
  <c r="AB6494" i="1"/>
  <c r="AB6493" i="1"/>
  <c r="AB6492" i="1"/>
  <c r="AB6491" i="1"/>
  <c r="AB6490" i="1"/>
  <c r="AB6489" i="1"/>
  <c r="AB6488" i="1"/>
  <c r="AB6487" i="1"/>
  <c r="AB6486" i="1"/>
  <c r="AB6485" i="1"/>
  <c r="AB6484" i="1"/>
  <c r="AB6483" i="1"/>
  <c r="AB6482" i="1"/>
  <c r="AB6481" i="1"/>
  <c r="AB6480" i="1"/>
  <c r="AB6479" i="1"/>
  <c r="AB6478" i="1"/>
  <c r="AB6477" i="1"/>
  <c r="AB6476" i="1"/>
  <c r="AB6475" i="1"/>
  <c r="AB6474" i="1"/>
  <c r="AB6473" i="1"/>
  <c r="AB6472" i="1"/>
  <c r="AB6471" i="1"/>
  <c r="AB6470" i="1"/>
  <c r="AB6469" i="1"/>
  <c r="AB6468" i="1"/>
  <c r="AB6467" i="1"/>
  <c r="AB6466" i="1"/>
  <c r="AB6465" i="1"/>
  <c r="AB6464" i="1"/>
  <c r="AB6463" i="1"/>
  <c r="AB6462" i="1"/>
  <c r="AB6461" i="1"/>
  <c r="AB6460" i="1"/>
  <c r="AB6459" i="1"/>
  <c r="AB6458" i="1"/>
  <c r="AB6457" i="1"/>
  <c r="AB6456" i="1"/>
  <c r="AB6455" i="1"/>
  <c r="AB6454" i="1"/>
  <c r="AB6453" i="1"/>
  <c r="AB6452" i="1"/>
  <c r="AB6451" i="1"/>
  <c r="AB6450" i="1"/>
  <c r="AB6449" i="1"/>
  <c r="AB6448" i="1"/>
  <c r="AB6447" i="1"/>
  <c r="AB6446" i="1"/>
  <c r="AB6445" i="1"/>
  <c r="AB6444" i="1"/>
  <c r="AB6443" i="1"/>
  <c r="AB6442" i="1"/>
  <c r="AB6441" i="1"/>
  <c r="AB6440" i="1"/>
  <c r="AB6439" i="1"/>
  <c r="AB6438" i="1"/>
  <c r="AB6437" i="1"/>
  <c r="AB6436" i="1"/>
  <c r="AB6435" i="1"/>
  <c r="AB6434" i="1"/>
  <c r="AB6433" i="1"/>
  <c r="AB6432" i="1"/>
  <c r="AB6431" i="1"/>
  <c r="AB6430" i="1"/>
  <c r="AB6429" i="1"/>
  <c r="AB6428" i="1"/>
  <c r="AB6427" i="1"/>
  <c r="AB6426" i="1"/>
  <c r="AB6425" i="1"/>
  <c r="AB6424" i="1"/>
  <c r="AB6423" i="1"/>
  <c r="AB6422" i="1"/>
  <c r="AB6421" i="1"/>
  <c r="AB6420" i="1"/>
  <c r="AB6419" i="1"/>
  <c r="AB6418" i="1"/>
  <c r="AB6417" i="1"/>
  <c r="AB6416" i="1"/>
  <c r="AB6415" i="1"/>
  <c r="AB6414" i="1"/>
  <c r="AB6413" i="1"/>
  <c r="AB6412" i="1"/>
  <c r="AB6411" i="1"/>
  <c r="AB6410" i="1"/>
  <c r="AB6409" i="1"/>
  <c r="AB6408" i="1"/>
  <c r="AB6407" i="1"/>
  <c r="AB6406" i="1"/>
  <c r="AB6405" i="1"/>
  <c r="AB6404" i="1"/>
  <c r="AB6403" i="1"/>
  <c r="AB6402" i="1"/>
  <c r="AB6401" i="1"/>
  <c r="AB6400" i="1"/>
  <c r="AB6399" i="1"/>
  <c r="AB6398" i="1"/>
  <c r="AB6397" i="1"/>
  <c r="AB6396" i="1"/>
  <c r="AB6395" i="1"/>
  <c r="AB6394" i="1"/>
  <c r="AB6393" i="1"/>
  <c r="AB6392" i="1"/>
  <c r="AB6391" i="1"/>
  <c r="AB6390" i="1"/>
  <c r="AB6389" i="1"/>
  <c r="AB6388" i="1"/>
  <c r="AB6387" i="1"/>
  <c r="AB6386" i="1"/>
  <c r="AB6385" i="1"/>
  <c r="AB6384" i="1"/>
  <c r="AB6383" i="1"/>
  <c r="AB6382" i="1"/>
  <c r="AB6381" i="1"/>
  <c r="AB6380" i="1"/>
  <c r="AB6379" i="1"/>
  <c r="AB6378" i="1"/>
  <c r="AB6377" i="1"/>
  <c r="AB6376" i="1"/>
  <c r="AB6375" i="1"/>
  <c r="AB6374" i="1"/>
  <c r="AB6373" i="1"/>
  <c r="AB6372" i="1"/>
  <c r="AB6371" i="1"/>
  <c r="AB6370" i="1"/>
  <c r="AB6369" i="1"/>
  <c r="AB6368" i="1"/>
  <c r="AB6367" i="1"/>
  <c r="AB6366" i="1"/>
  <c r="AB6365" i="1"/>
  <c r="AB6364" i="1"/>
  <c r="AB6363" i="1"/>
  <c r="AB6362" i="1"/>
  <c r="AB6361" i="1"/>
  <c r="AB6360" i="1"/>
  <c r="AB6359" i="1"/>
  <c r="AB6358" i="1"/>
  <c r="AB6357" i="1"/>
  <c r="AB6356" i="1"/>
  <c r="AB6355" i="1"/>
  <c r="AB6354" i="1"/>
  <c r="AB6353" i="1"/>
  <c r="AB6352" i="1"/>
  <c r="AB6351" i="1"/>
  <c r="AB6350" i="1"/>
  <c r="AB6349" i="1"/>
  <c r="AB6348" i="1"/>
  <c r="AB6347" i="1"/>
  <c r="AB6346" i="1"/>
  <c r="AB6345" i="1"/>
  <c r="AB6344" i="1"/>
  <c r="AB6343" i="1"/>
  <c r="AB6342" i="1"/>
  <c r="AB6341" i="1"/>
  <c r="AB6340" i="1"/>
  <c r="AB6339" i="1"/>
  <c r="AB6338" i="1"/>
  <c r="AB6337" i="1"/>
  <c r="AB6336" i="1"/>
  <c r="AB6335" i="1"/>
  <c r="AB6334" i="1"/>
  <c r="AB6333" i="1"/>
  <c r="AB6332" i="1"/>
  <c r="AB6331" i="1"/>
  <c r="AB6330" i="1"/>
  <c r="AB6329" i="1"/>
  <c r="AB6328" i="1"/>
  <c r="AB6327" i="1"/>
  <c r="AB6326" i="1"/>
  <c r="AB6325" i="1"/>
  <c r="AB6324" i="1"/>
  <c r="AB6323" i="1"/>
  <c r="AB6322" i="1"/>
  <c r="AB6321" i="1"/>
  <c r="AB6320" i="1"/>
  <c r="AB6319" i="1"/>
  <c r="AB6318" i="1"/>
  <c r="AB6317" i="1"/>
  <c r="AB6316" i="1"/>
  <c r="AB6315" i="1"/>
  <c r="AB6314" i="1"/>
  <c r="AB6313" i="1"/>
  <c r="AB6312" i="1"/>
  <c r="AB6311" i="1"/>
  <c r="AB6310" i="1"/>
  <c r="AB6309" i="1"/>
  <c r="AB6308" i="1"/>
  <c r="AB6307" i="1"/>
  <c r="AB6306" i="1"/>
  <c r="AB6305" i="1"/>
  <c r="AB6304" i="1"/>
  <c r="AB6303" i="1"/>
  <c r="AB6302" i="1"/>
  <c r="AB6301" i="1"/>
  <c r="AB6300" i="1"/>
  <c r="AB6299" i="1"/>
  <c r="AB6298" i="1"/>
  <c r="AB6297" i="1"/>
  <c r="AB6296" i="1"/>
  <c r="AB6295" i="1"/>
  <c r="AB6294" i="1"/>
  <c r="AB6293" i="1"/>
  <c r="AB6292" i="1"/>
  <c r="AB6291" i="1"/>
  <c r="AB6290" i="1"/>
  <c r="AB6289" i="1"/>
  <c r="AB6288" i="1"/>
  <c r="AB6287" i="1"/>
  <c r="AB6286" i="1"/>
  <c r="AB6285" i="1"/>
  <c r="AB6284" i="1"/>
  <c r="AB6283" i="1"/>
  <c r="AB6282" i="1"/>
  <c r="AB6281" i="1"/>
  <c r="AB6280" i="1"/>
  <c r="AB6279" i="1"/>
  <c r="AB6278" i="1"/>
  <c r="AB6277" i="1"/>
  <c r="AB6276" i="1"/>
  <c r="AB6275" i="1"/>
  <c r="AB6274" i="1"/>
  <c r="AB6273" i="1"/>
  <c r="AB6272" i="1"/>
  <c r="AB6271" i="1"/>
  <c r="AB6270" i="1"/>
  <c r="AB6269" i="1"/>
  <c r="AB6268" i="1"/>
  <c r="AB6267" i="1"/>
  <c r="AB6266" i="1"/>
  <c r="AB6265" i="1"/>
  <c r="AB6264" i="1"/>
  <c r="AB6263" i="1"/>
  <c r="AB6262" i="1"/>
  <c r="AB6261" i="1"/>
  <c r="AB6260" i="1"/>
  <c r="AB6259" i="1"/>
  <c r="AB6258" i="1"/>
  <c r="AB6257" i="1"/>
  <c r="AB6256" i="1"/>
  <c r="AB6255" i="1"/>
  <c r="AB6254" i="1"/>
  <c r="AB6253" i="1"/>
  <c r="AB6252" i="1"/>
  <c r="AB6251" i="1"/>
  <c r="AB6250" i="1"/>
  <c r="AB6249" i="1"/>
  <c r="AB6248" i="1"/>
  <c r="AB6247" i="1"/>
  <c r="AB6246" i="1"/>
  <c r="AB6245" i="1"/>
  <c r="AB6244" i="1"/>
  <c r="AB6243" i="1"/>
  <c r="AB6242" i="1"/>
  <c r="AB6241" i="1"/>
  <c r="AB6240" i="1"/>
  <c r="AB6239" i="1"/>
  <c r="AB6238" i="1"/>
  <c r="AB6237" i="1"/>
  <c r="AB6236" i="1"/>
  <c r="AB6235" i="1"/>
  <c r="AB6234" i="1"/>
  <c r="AB6233" i="1"/>
  <c r="AB6232" i="1"/>
  <c r="AB6231" i="1"/>
  <c r="AB6230" i="1"/>
  <c r="AB6229" i="1"/>
  <c r="AB6228" i="1"/>
  <c r="AB6227" i="1"/>
  <c r="AB6226" i="1"/>
  <c r="AB6225" i="1"/>
  <c r="AB6224" i="1"/>
  <c r="AB6223" i="1"/>
  <c r="AB6222" i="1"/>
  <c r="AB6221" i="1"/>
  <c r="AB6220" i="1"/>
  <c r="AB6219" i="1"/>
  <c r="AB6218" i="1"/>
  <c r="AB6217" i="1"/>
  <c r="AB6216" i="1"/>
  <c r="AB6215" i="1"/>
  <c r="AB6214" i="1"/>
  <c r="AB6213" i="1"/>
  <c r="AB6212" i="1"/>
  <c r="AB6211" i="1"/>
  <c r="AB6210" i="1"/>
  <c r="AB6209" i="1"/>
  <c r="AB6208" i="1"/>
  <c r="AB6207" i="1"/>
  <c r="AB6206" i="1"/>
  <c r="AB6205" i="1"/>
  <c r="AB6204" i="1"/>
  <c r="AB6203" i="1"/>
  <c r="AB6202" i="1"/>
  <c r="AB6201" i="1"/>
  <c r="AB6200" i="1"/>
  <c r="AB6199" i="1"/>
  <c r="AB6198" i="1"/>
  <c r="AB6197" i="1"/>
  <c r="AB6196" i="1"/>
  <c r="AB6195" i="1"/>
  <c r="AB6194" i="1"/>
  <c r="AB6193" i="1"/>
  <c r="AB6192" i="1"/>
  <c r="AB6191" i="1"/>
  <c r="AB6190" i="1"/>
  <c r="AB6189" i="1"/>
  <c r="AB6188" i="1"/>
  <c r="AB6187" i="1"/>
  <c r="AB6186" i="1"/>
  <c r="AB6185" i="1"/>
  <c r="AB6184" i="1"/>
  <c r="AB6183" i="1"/>
  <c r="AB6182" i="1"/>
  <c r="AB6181" i="1"/>
  <c r="AB6180" i="1"/>
  <c r="AB6179" i="1"/>
  <c r="AB6178" i="1"/>
  <c r="AB6177" i="1"/>
  <c r="AB6176" i="1"/>
  <c r="AB6175" i="1"/>
  <c r="AB6174" i="1"/>
  <c r="AB6173" i="1"/>
  <c r="AB6172" i="1"/>
  <c r="AB6171" i="1"/>
  <c r="AB6170" i="1"/>
  <c r="AB6169" i="1"/>
  <c r="AB6168" i="1"/>
  <c r="AB6167" i="1"/>
  <c r="AB6166" i="1"/>
  <c r="AB6165" i="1"/>
  <c r="AB6164" i="1"/>
  <c r="AB6163" i="1"/>
  <c r="AB6162" i="1"/>
  <c r="AB6161" i="1"/>
  <c r="AB6160" i="1"/>
  <c r="AB6159" i="1"/>
  <c r="AB6158" i="1"/>
  <c r="AB6157" i="1"/>
  <c r="AB6156" i="1"/>
  <c r="AB6155" i="1"/>
  <c r="AB6154" i="1"/>
  <c r="AB6153" i="1"/>
  <c r="AB6152" i="1"/>
  <c r="AB6151" i="1"/>
  <c r="AB6150" i="1"/>
  <c r="AB6149" i="1"/>
  <c r="AB6148" i="1"/>
  <c r="AB6147" i="1"/>
  <c r="AB6146" i="1"/>
  <c r="AB6145" i="1"/>
  <c r="AB6144" i="1"/>
  <c r="AB6143" i="1"/>
  <c r="AB6142" i="1"/>
  <c r="AB6141" i="1"/>
  <c r="AB6140" i="1"/>
  <c r="AB6139" i="1"/>
  <c r="AB6138" i="1"/>
  <c r="AB6137" i="1"/>
  <c r="AB6136" i="1"/>
  <c r="AB6135" i="1"/>
  <c r="AB6134" i="1"/>
  <c r="AB6133" i="1"/>
  <c r="AB6132" i="1"/>
  <c r="AB6131" i="1"/>
  <c r="AB6130" i="1"/>
  <c r="AB6129" i="1"/>
  <c r="AB6128" i="1"/>
  <c r="AB6127" i="1"/>
  <c r="AB6126" i="1"/>
  <c r="AB6125" i="1"/>
  <c r="AB6124" i="1"/>
  <c r="AB6123" i="1"/>
  <c r="AB6122" i="1"/>
  <c r="AB6121" i="1"/>
  <c r="AB6120" i="1"/>
  <c r="AB6119" i="1"/>
  <c r="AB6118" i="1"/>
  <c r="AB6117" i="1"/>
  <c r="AB6116" i="1"/>
  <c r="AB6115" i="1"/>
  <c r="AB6114" i="1"/>
  <c r="AB6113" i="1"/>
  <c r="AB6112" i="1"/>
  <c r="AB6111" i="1"/>
  <c r="AB6110" i="1"/>
  <c r="AB6109" i="1"/>
  <c r="AB6108" i="1"/>
  <c r="AB6107" i="1"/>
  <c r="AB6106" i="1"/>
  <c r="AB6105" i="1"/>
  <c r="AB6104" i="1"/>
  <c r="AB6103" i="1"/>
  <c r="AB6102" i="1"/>
  <c r="AB6101" i="1"/>
  <c r="AB6100" i="1"/>
  <c r="AB6099" i="1"/>
  <c r="AB6098" i="1"/>
  <c r="AB6097" i="1"/>
  <c r="AB6096" i="1"/>
  <c r="AB6095" i="1"/>
  <c r="AB6094" i="1"/>
  <c r="AB6093" i="1"/>
  <c r="AB6092" i="1"/>
  <c r="AB6091" i="1"/>
  <c r="AB6090" i="1"/>
  <c r="AB6089" i="1"/>
  <c r="AB6088" i="1"/>
  <c r="AB6087" i="1"/>
  <c r="AB6086" i="1"/>
  <c r="AB6085" i="1"/>
  <c r="AB6084" i="1"/>
  <c r="AB6083" i="1"/>
  <c r="AB6082" i="1"/>
  <c r="AB6081" i="1"/>
  <c r="AB6080" i="1"/>
  <c r="AB6079" i="1"/>
  <c r="AB6078" i="1"/>
  <c r="AB6077" i="1"/>
  <c r="AB6076" i="1"/>
  <c r="AB6075" i="1"/>
  <c r="AB6074" i="1"/>
  <c r="AB6073" i="1"/>
  <c r="AB6072" i="1"/>
  <c r="AB6071" i="1"/>
  <c r="AB6070" i="1"/>
  <c r="AB6069" i="1"/>
  <c r="AB6068" i="1"/>
  <c r="AB6067" i="1"/>
  <c r="AB6066" i="1"/>
  <c r="AB6065" i="1"/>
  <c r="AB6064" i="1"/>
  <c r="AB6063" i="1"/>
  <c r="AB6062" i="1"/>
  <c r="AB6061" i="1"/>
  <c r="AB6060" i="1"/>
  <c r="AB6059" i="1"/>
  <c r="AB6058" i="1"/>
  <c r="AB6057" i="1"/>
  <c r="AB6056" i="1"/>
  <c r="AB6055" i="1"/>
  <c r="AB6054" i="1"/>
  <c r="AB6053" i="1"/>
  <c r="AB6052" i="1"/>
  <c r="AB6051" i="1"/>
  <c r="AB6050" i="1"/>
  <c r="AB6049" i="1"/>
  <c r="AB6048" i="1"/>
  <c r="AB6047" i="1"/>
  <c r="AB6046" i="1"/>
  <c r="AB6045" i="1"/>
  <c r="AB6044" i="1"/>
  <c r="AB6043" i="1"/>
  <c r="AB6042" i="1"/>
  <c r="AB6041" i="1"/>
  <c r="AB6040" i="1"/>
  <c r="AB6039" i="1"/>
  <c r="AB6038" i="1"/>
  <c r="AB6037" i="1"/>
  <c r="AB6036" i="1"/>
  <c r="AB6035" i="1"/>
  <c r="AB6034" i="1"/>
  <c r="AB6033" i="1"/>
  <c r="AB6032" i="1"/>
  <c r="AB6031" i="1"/>
  <c r="AB6030" i="1"/>
  <c r="AB6029" i="1"/>
  <c r="AB6028" i="1"/>
  <c r="AB6027" i="1"/>
  <c r="AB6026" i="1"/>
  <c r="AB6025" i="1"/>
  <c r="AB6024" i="1"/>
  <c r="AB6023" i="1"/>
  <c r="AB6022" i="1"/>
  <c r="AB6021" i="1"/>
  <c r="AB6020" i="1"/>
  <c r="AB6019" i="1"/>
  <c r="AB6018" i="1"/>
  <c r="AB6017" i="1"/>
  <c r="AB6016" i="1"/>
  <c r="AB6015" i="1"/>
  <c r="AB6014" i="1"/>
  <c r="AB6013" i="1"/>
  <c r="AB6012" i="1"/>
  <c r="AB6011" i="1"/>
  <c r="AB6010" i="1"/>
  <c r="AB6009" i="1"/>
  <c r="AB6008" i="1"/>
  <c r="AB6007" i="1"/>
  <c r="AB6006" i="1"/>
  <c r="AB6005" i="1"/>
  <c r="AB6004" i="1"/>
  <c r="AB6003" i="1"/>
  <c r="AB6002" i="1"/>
  <c r="AB6001" i="1"/>
  <c r="AB6000" i="1"/>
  <c r="AB5999" i="1"/>
  <c r="AB5998" i="1"/>
  <c r="AB5997" i="1"/>
  <c r="AB5996" i="1"/>
  <c r="AB5995" i="1"/>
  <c r="AB5994" i="1"/>
  <c r="AB5993" i="1"/>
  <c r="AB5992" i="1"/>
  <c r="AB5991" i="1"/>
  <c r="AB5990" i="1"/>
  <c r="AB5989" i="1"/>
  <c r="AB5988" i="1"/>
  <c r="AB5987" i="1"/>
  <c r="AB5986" i="1"/>
  <c r="AB5985" i="1"/>
  <c r="AB5984" i="1"/>
  <c r="AB5983" i="1"/>
  <c r="AB5982" i="1"/>
  <c r="AB5981" i="1"/>
  <c r="AB5980" i="1"/>
  <c r="AB5979" i="1"/>
  <c r="AB5978" i="1"/>
  <c r="AB5977" i="1"/>
  <c r="AB5976" i="1"/>
  <c r="AB5975" i="1"/>
  <c r="AB5974" i="1"/>
  <c r="AB5973" i="1"/>
  <c r="AB5972" i="1"/>
  <c r="AB5971" i="1"/>
  <c r="AB5970" i="1"/>
  <c r="AB5969" i="1"/>
  <c r="AB5968" i="1"/>
  <c r="AB5967" i="1"/>
  <c r="AB5966" i="1"/>
  <c r="AB5965" i="1"/>
  <c r="AB5964" i="1"/>
  <c r="AB5963" i="1"/>
  <c r="AB5962" i="1"/>
  <c r="AB5961" i="1"/>
  <c r="AB5960" i="1"/>
  <c r="AB5959" i="1"/>
  <c r="AB5958" i="1"/>
  <c r="AB5957" i="1"/>
  <c r="AB5956" i="1"/>
  <c r="AB5955" i="1"/>
  <c r="AB5954" i="1"/>
  <c r="AB5953" i="1"/>
  <c r="AB5952" i="1"/>
  <c r="AB5951" i="1"/>
  <c r="AB5950" i="1"/>
  <c r="AB5949" i="1"/>
  <c r="AB5948" i="1"/>
  <c r="AB5947" i="1"/>
  <c r="AB5946" i="1"/>
  <c r="AB5945" i="1"/>
  <c r="AB5944" i="1"/>
  <c r="AB5943" i="1"/>
  <c r="AB5942" i="1"/>
  <c r="AB5941" i="1"/>
  <c r="AB5940" i="1"/>
  <c r="AB5939" i="1"/>
  <c r="AB5938" i="1"/>
  <c r="AB5937" i="1"/>
  <c r="AB5936" i="1"/>
  <c r="AB5935" i="1"/>
  <c r="AB5934" i="1"/>
  <c r="AB5933" i="1"/>
  <c r="AB5932" i="1"/>
  <c r="AB5931" i="1"/>
  <c r="AB5930" i="1"/>
  <c r="AB5929" i="1"/>
  <c r="AB5928" i="1"/>
  <c r="AB5927" i="1"/>
  <c r="AB5926" i="1"/>
  <c r="AB5925" i="1"/>
  <c r="AB5924" i="1"/>
  <c r="AB5923" i="1"/>
  <c r="AB5922" i="1"/>
  <c r="AB5921" i="1"/>
  <c r="AB5920" i="1"/>
  <c r="AB5919" i="1"/>
  <c r="AB5918" i="1"/>
  <c r="AB5917" i="1"/>
  <c r="AB5916" i="1"/>
  <c r="AB5915" i="1"/>
  <c r="AB5914" i="1"/>
  <c r="AB5913" i="1"/>
  <c r="AB5912" i="1"/>
  <c r="AB5911" i="1"/>
  <c r="AB5910" i="1"/>
  <c r="AB5909" i="1"/>
  <c r="AB5908" i="1"/>
  <c r="AB5907" i="1"/>
  <c r="AB5906" i="1"/>
  <c r="AB5905" i="1"/>
  <c r="AB5904" i="1"/>
  <c r="AB5903" i="1"/>
  <c r="AB5902" i="1"/>
  <c r="AB5901" i="1"/>
  <c r="AB5900" i="1"/>
  <c r="AB5899" i="1"/>
  <c r="AB5898" i="1"/>
  <c r="AB5897" i="1"/>
  <c r="AB5896" i="1"/>
  <c r="AB5895" i="1"/>
  <c r="AB5894" i="1"/>
  <c r="AB5893" i="1"/>
  <c r="AB5892" i="1"/>
  <c r="AB5891" i="1"/>
  <c r="AB5890" i="1"/>
  <c r="AB5889" i="1"/>
  <c r="AB5888" i="1"/>
  <c r="AB5887" i="1"/>
  <c r="AB5886" i="1"/>
  <c r="AB5885" i="1"/>
  <c r="AB5884" i="1"/>
  <c r="AB5883" i="1"/>
  <c r="AB5882" i="1"/>
  <c r="AB5881" i="1"/>
  <c r="AB5880" i="1"/>
  <c r="AB5879" i="1"/>
  <c r="AB5878" i="1"/>
  <c r="AB5877" i="1"/>
  <c r="AB5876" i="1"/>
  <c r="AB5875" i="1"/>
  <c r="AB5874" i="1"/>
  <c r="AB5873" i="1"/>
  <c r="AB5872" i="1"/>
  <c r="AB5871" i="1"/>
  <c r="AB5870" i="1"/>
  <c r="AB5869" i="1"/>
  <c r="AB5868" i="1"/>
  <c r="AB5867" i="1"/>
  <c r="AB5866" i="1"/>
  <c r="AB5865" i="1"/>
  <c r="AB5864" i="1"/>
  <c r="AB5863" i="1"/>
  <c r="AB5862" i="1"/>
  <c r="AB5861" i="1"/>
  <c r="AB5860" i="1"/>
  <c r="AB5859" i="1"/>
  <c r="AB5858" i="1"/>
  <c r="AB5857" i="1"/>
  <c r="AB5856" i="1"/>
  <c r="AB5855" i="1"/>
  <c r="AB5854" i="1"/>
  <c r="AB5853" i="1"/>
  <c r="AB5852" i="1"/>
  <c r="AB5851" i="1"/>
  <c r="AB5850" i="1"/>
  <c r="AB5849" i="1"/>
  <c r="AB5848" i="1"/>
  <c r="AB5847" i="1"/>
  <c r="AB5846" i="1"/>
  <c r="AB5845" i="1"/>
  <c r="AB5844" i="1"/>
  <c r="AB5843" i="1"/>
  <c r="AB5842" i="1"/>
  <c r="AB5841" i="1"/>
  <c r="AB5840" i="1"/>
  <c r="AB5839" i="1"/>
  <c r="AB5838" i="1"/>
  <c r="AB5837" i="1"/>
  <c r="AB5836" i="1"/>
  <c r="AB5835" i="1"/>
  <c r="AB5834" i="1"/>
  <c r="AB5833" i="1"/>
  <c r="AB5832" i="1"/>
  <c r="AB5831" i="1"/>
  <c r="AB5830" i="1"/>
  <c r="AB5829" i="1"/>
  <c r="AB5828" i="1"/>
  <c r="AB5827" i="1"/>
  <c r="AB5826" i="1"/>
  <c r="AB5825" i="1"/>
  <c r="AB5824" i="1"/>
  <c r="AB5823" i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<sst xmlns="http://schemas.openxmlformats.org/spreadsheetml/2006/main" count="52519" uniqueCount="32556">
  <si>
    <t>Protein_ID</t>
  </si>
  <si>
    <t>plot</t>
  </si>
  <si>
    <t>gene_name</t>
  </si>
  <si>
    <t>uniprot_ac</t>
  </si>
  <si>
    <t>auc</t>
  </si>
  <si>
    <t>plot_link</t>
  </si>
  <si>
    <t>A0AVT1_UBA6</t>
  </si>
  <si>
    <t>A0FGR8-2_ESYT2</t>
  </si>
  <si>
    <t>A0JNW5_UHRF1BP1L</t>
  </si>
  <si>
    <t>A0MZ66_KIAA1598</t>
  </si>
  <si>
    <t>A0PJW6_TMEM223</t>
  </si>
  <si>
    <t>A1A5A9_KIAA0999</t>
  </si>
  <si>
    <t>A1L0T0_ILVBL</t>
  </si>
  <si>
    <t>A2A274_ACO2</t>
  </si>
  <si>
    <t>A2A2F0_RALGAPB</t>
  </si>
  <si>
    <t>A2A2G4_ALG6</t>
  </si>
  <si>
    <t>A2A2Q9_AAR2</t>
  </si>
  <si>
    <t>A2A2V1_PRNP</t>
  </si>
  <si>
    <t>A2A3N6_PIPSL</t>
  </si>
  <si>
    <t>A2RRP1_NBAS</t>
  </si>
  <si>
    <t>A2VDF0-2_FUOM</t>
  </si>
  <si>
    <t>A3KN83-3_SBNO1</t>
  </si>
  <si>
    <t>A4D126_ISPD</t>
  </si>
  <si>
    <t>A4D1E9_GTPBP10</t>
  </si>
  <si>
    <t>A4D212_DKFZP586J0619</t>
  </si>
  <si>
    <t>A4D2B0_MBLAC1</t>
  </si>
  <si>
    <t>A4UGR9-2_XIRP2</t>
  </si>
  <si>
    <t>A5YKK6_CNOT1</t>
  </si>
  <si>
    <t>A6NCS9_SDCCAG8</t>
  </si>
  <si>
    <t>A6ND22_MRPS16</t>
  </si>
  <si>
    <t>A6ND36-2_FAM83G</t>
  </si>
  <si>
    <t>A6NDB9_PALM3</t>
  </si>
  <si>
    <t>A6NDG6_PGP</t>
  </si>
  <si>
    <t>A6NDJ8_</t>
  </si>
  <si>
    <t>A6NDU8_C5orf51</t>
  </si>
  <si>
    <t>A6NED2_RCCD1</t>
  </si>
  <si>
    <t>A6NEM2_HCFC1</t>
  </si>
  <si>
    <t>A6NEM5_PIGK</t>
  </si>
  <si>
    <t>A6NF31_OFD1</t>
  </si>
  <si>
    <t>A6NF48_ZNF281</t>
  </si>
  <si>
    <t>A6NF51_BPNT1</t>
  </si>
  <si>
    <t>A6NFI3_ZNF316</t>
  </si>
  <si>
    <t>A6NFQ2-3_FAM115C</t>
  </si>
  <si>
    <t>A6NFX8_NUDT5</t>
  </si>
  <si>
    <t>A6NG32_CHMP1A</t>
  </si>
  <si>
    <t>A6NG51_SPTAN1</t>
  </si>
  <si>
    <t>A6NG79_PRCC</t>
  </si>
  <si>
    <t>A6NGB9_WIPF3</t>
  </si>
  <si>
    <t>A6NGH7_CCDC160</t>
  </si>
  <si>
    <t>A6NGP5_HN1L</t>
  </si>
  <si>
    <t>A6NGU5_GGT3P</t>
  </si>
  <si>
    <t>A6NHL2-2_TUBAL3</t>
  </si>
  <si>
    <t>A6NHN7_ZMYM3</t>
  </si>
  <si>
    <t>A6NHQ2_FBLL1</t>
  </si>
  <si>
    <t>A6NHR9_SMCHD1</t>
  </si>
  <si>
    <t>A6NIH7_UNC119B</t>
  </si>
  <si>
    <t>A6NIW2_DOCK11</t>
  </si>
  <si>
    <t>A6NIZ0_NDEL1</t>
  </si>
  <si>
    <t>A6NJ78_METTL15</t>
  </si>
  <si>
    <t>A6NJX6_CHCHD1</t>
  </si>
  <si>
    <t>A6NK28_MAP2K5</t>
  </si>
  <si>
    <t>A6NK88_CDKN1C</t>
  </si>
  <si>
    <t>A6NKD9_CCDC85C</t>
  </si>
  <si>
    <t>A6NKF9_GPR89C</t>
  </si>
  <si>
    <t>A6NKZ2_RENBP</t>
  </si>
  <si>
    <t>A6NLH6_CNIH4</t>
  </si>
  <si>
    <t>A6NMH6_SEPT8</t>
  </si>
  <si>
    <t>A6NMQ1_POLA1</t>
  </si>
  <si>
    <t>A6NN40_SHROOM1</t>
  </si>
  <si>
    <t>A6PVN5_PPP2R4</t>
  </si>
  <si>
    <t>A6PW58_PIP5K1A</t>
  </si>
  <si>
    <t>A6ZJ12_TRIM39R</t>
  </si>
  <si>
    <t>A6ZKI3_FAM127A</t>
  </si>
  <si>
    <t>A8K0B5_ZBTB8OS</t>
  </si>
  <si>
    <t>A8K0M9_SELK</t>
  </si>
  <si>
    <t>A8MPP1_DDX11L8</t>
  </si>
  <si>
    <t>A8MPS7_YDJC</t>
  </si>
  <si>
    <t>A8MRB1_S100B</t>
  </si>
  <si>
    <t>A8MT40_PDPR</t>
  </si>
  <si>
    <t>A8MTK3_POT1</t>
  </si>
  <si>
    <t>A8MTK4_TRAF3IP1</t>
  </si>
  <si>
    <t>A8MTP9_DDX52</t>
  </si>
  <si>
    <t>A8MTQ3_TFPT</t>
  </si>
  <si>
    <t>A8MTY9_DSCR3</t>
  </si>
  <si>
    <t>A8MTZ6_S100PBP</t>
  </si>
  <si>
    <t>A8MUA9_SUMO3</t>
  </si>
  <si>
    <t>A8MUB1_TUBA4A</t>
  </si>
  <si>
    <t>A8MUF7_HBE1</t>
  </si>
  <si>
    <t>A8MUM1_TSSC1</t>
  </si>
  <si>
    <t>A8MVF6_NPRL3</t>
  </si>
  <si>
    <t>A8MVN1_DGKZ</t>
  </si>
  <si>
    <t>A8MVZ6_BICD1</t>
  </si>
  <si>
    <t>A8MW61_PLRG1</t>
  </si>
  <si>
    <t>A8MWY0_KIAA1324L</t>
  </si>
  <si>
    <t>A8MXB9_SUMF2</t>
  </si>
  <si>
    <t>A8MXE8_RAI1</t>
  </si>
  <si>
    <t>A8MXP9_MATR3</t>
  </si>
  <si>
    <t>A8MXQ1_PTTG1IP</t>
  </si>
  <si>
    <t>A8MXV4_NUDT19</t>
  </si>
  <si>
    <t>A9UHW6_MIF4GD</t>
  </si>
  <si>
    <t>A9Z1X7_SRRM1</t>
  </si>
  <si>
    <t>B0FLL2_PFKFB2</t>
  </si>
  <si>
    <t>B0QXZ8_HMGXB4</t>
  </si>
  <si>
    <t>B0QY89_EIF3L</t>
  </si>
  <si>
    <t>B0QY95_SMCR7L</t>
  </si>
  <si>
    <t>B0QYI3_TBC1D22A</t>
  </si>
  <si>
    <t>B0QYK0_EWSR1</t>
  </si>
  <si>
    <t>B0QYW5_SLC25A17</t>
  </si>
  <si>
    <t>B0S7V7_CCHCR1</t>
  </si>
  <si>
    <t>B0UX83_BAG6</t>
  </si>
  <si>
    <t>B0UXB6_ABHD16A</t>
  </si>
  <si>
    <t>B0UZY3_EHMT2</t>
  </si>
  <si>
    <t>B0YIW2_APOC3</t>
  </si>
  <si>
    <t>B1AH87_TSPO</t>
  </si>
  <si>
    <t>B1AHD1_NHP2L1</t>
  </si>
  <si>
    <t>B1AJY7_PSMD10</t>
  </si>
  <si>
    <t>B1AK13_HMGCL</t>
  </si>
  <si>
    <t>B1AKD8_CROCC</t>
  </si>
  <si>
    <t>B1AKJ5_NRD1</t>
  </si>
  <si>
    <t>B1AKJ6_OSBPL9</t>
  </si>
  <si>
    <t>B1AKL4_EIF4ENIF1</t>
  </si>
  <si>
    <t>B1AL69_CDC37L1</t>
  </si>
  <si>
    <t>B1ALM5_TMEM9</t>
  </si>
  <si>
    <t>B1AMF0_UBE2J2</t>
  </si>
  <si>
    <t>B1AMS2_SEPT6</t>
  </si>
  <si>
    <t>B1AMU7_EXOSC1</t>
  </si>
  <si>
    <t>B1AMW1_CD58</t>
  </si>
  <si>
    <t>B1AN99_PRSS3</t>
  </si>
  <si>
    <t>B1ANH0_GUK1</t>
  </si>
  <si>
    <t>B1APM4_SOAT1</t>
  </si>
  <si>
    <t>B1AQ61_UBE4B</t>
  </si>
  <si>
    <t>B1AQP1_USF1</t>
  </si>
  <si>
    <t>B1AVQ5_MUC1</t>
  </si>
  <si>
    <t>B1B1H9_FGF13</t>
  </si>
  <si>
    <t>B2WTI3_JMJD6</t>
  </si>
  <si>
    <t>B3KPJ4_PHC2</t>
  </si>
  <si>
    <t>B3KQ25_PSME3</t>
  </si>
  <si>
    <t>B3KQC5_MAN1B1</t>
  </si>
  <si>
    <t>B3KS98_EIF3S3</t>
  </si>
  <si>
    <t>B3KSH1_EIF3F</t>
  </si>
  <si>
    <t>B3KSI9_LZTFL1</t>
  </si>
  <si>
    <t>B3KTR6_MXRA8</t>
  </si>
  <si>
    <t>B3KUK2_SOD2</t>
  </si>
  <si>
    <t>B3KVH8_PHF23</t>
  </si>
  <si>
    <t>B3KWN8_PYROXD1</t>
  </si>
  <si>
    <t>B3KXX3_SLC12A6</t>
  </si>
  <si>
    <t>B3KY83_RXRA</t>
  </si>
  <si>
    <t>B3V0L1_ARL6IP4</t>
  </si>
  <si>
    <t>B4DDF4_CNN2</t>
  </si>
  <si>
    <t>B4DDR8_MED24</t>
  </si>
  <si>
    <t>B4DDY8_HARS2</t>
  </si>
  <si>
    <t>B4DE11_SLC35A2</t>
  </si>
  <si>
    <t>B4DE16_CTNNBL1</t>
  </si>
  <si>
    <t>B4DE92_TBC1D25</t>
  </si>
  <si>
    <t>B4DEX5_PRNPIP</t>
  </si>
  <si>
    <t>B4DEZ3_NDUFA13</t>
  </si>
  <si>
    <t>B4DF64_HAUS3</t>
  </si>
  <si>
    <t>B4DFF2_SLC17A5</t>
  </si>
  <si>
    <t>B4DFI9_HUS1</t>
  </si>
  <si>
    <t>B4DFQ4_COMMD1</t>
  </si>
  <si>
    <t>B4DFR2_DYNLRB1</t>
  </si>
  <si>
    <t>B4DGM3_SMARCE1</t>
  </si>
  <si>
    <t>B4DGU4_CTNNB1</t>
  </si>
  <si>
    <t>B4DGX2_PIP4K2A</t>
  </si>
  <si>
    <t>B4DH26_DCUN1D4</t>
  </si>
  <si>
    <t>B4DH53_MAP1S</t>
  </si>
  <si>
    <t>B4DH70_FBXW11</t>
  </si>
  <si>
    <t>B4DHW1_TMEM165</t>
  </si>
  <si>
    <t>B4DHX2_AGTPBP1</t>
  </si>
  <si>
    <t>B4DIG7_PIP5K1B</t>
  </si>
  <si>
    <t>B4DJA5_RAB5A</t>
  </si>
  <si>
    <t>B4DJP7_SNRPD3</t>
  </si>
  <si>
    <t>B4DJV2_CS</t>
  </si>
  <si>
    <t>B4DK80_TOP3A</t>
  </si>
  <si>
    <t>B4DKB2_ECE1</t>
  </si>
  <si>
    <t>B4DKF9_ZNF286A</t>
  </si>
  <si>
    <t>B4DKL4_LSR</t>
  </si>
  <si>
    <t>B4DL54_CHURC1-FNTB</t>
  </si>
  <si>
    <t>B4DL79_KIF20A</t>
  </si>
  <si>
    <t>B4DLH2_C2orf18</t>
  </si>
  <si>
    <t>B4DLN1_SLC25A10</t>
  </si>
  <si>
    <t>B4DLR8_NQO1</t>
  </si>
  <si>
    <t>B4DLT4_RPS6KB1</t>
  </si>
  <si>
    <t>B4DLZ9_RNF220</t>
  </si>
  <si>
    <t>B4DMU4_FAM45A</t>
  </si>
  <si>
    <t>B4DMX0_KDSR</t>
  </si>
  <si>
    <t>B4DN34_MRPL48</t>
  </si>
  <si>
    <t>B4DNX9_ZNF460</t>
  </si>
  <si>
    <t>B4DP21_PTGES3</t>
  </si>
  <si>
    <t>B4DPY5_SNX11</t>
  </si>
  <si>
    <t>B4DPY8_TOX4</t>
  </si>
  <si>
    <t>B4DQJ8_PGD</t>
  </si>
  <si>
    <t>B4DR52_HIST2H2BF</t>
  </si>
  <si>
    <t>B4DR61_SEC61A1</t>
  </si>
  <si>
    <t>B4DR80_STK24</t>
  </si>
  <si>
    <t>B4DRC4_ASB6</t>
  </si>
  <si>
    <t>B4DRL9_CHM</t>
  </si>
  <si>
    <t>B4DRS7_SH2D3A</t>
  </si>
  <si>
    <t>B4DSD4_C9orf41</t>
  </si>
  <si>
    <t>B4DSF9_AGPAT4</t>
  </si>
  <si>
    <t>B4DSS5_KIAA0513</t>
  </si>
  <si>
    <t>B4DSS8_PTBP2</t>
  </si>
  <si>
    <t>B4DT55_WDR41</t>
  </si>
  <si>
    <t>B4DT77_ANXA7</t>
  </si>
  <si>
    <t>B4DTA3_SLC25A46</t>
  </si>
  <si>
    <t>B4DTU4_LIG1</t>
  </si>
  <si>
    <t>B4DUE9_SERINC3</t>
  </si>
  <si>
    <t>B4DUS9_BPNT1</t>
  </si>
  <si>
    <t>B4DVE7_ANXA11</t>
  </si>
  <si>
    <t>B4DVT3_VWA9</t>
  </si>
  <si>
    <t>B4DVY1_EIF3D</t>
  </si>
  <si>
    <t>B4DVZ6_FOXO3</t>
  </si>
  <si>
    <t>B4DWI1_HACL1</t>
  </si>
  <si>
    <t>B4DXK0_DBF4</t>
  </si>
  <si>
    <t>B4DXZ6_FXR1</t>
  </si>
  <si>
    <t>B4DY13_GTPBP4</t>
  </si>
  <si>
    <t>B4DY26_TGFBR1</t>
  </si>
  <si>
    <t>B4DYB4_NUP35</t>
  </si>
  <si>
    <t>B4DZG7_ARL1</t>
  </si>
  <si>
    <t>B4DZH6_HDAC6</t>
  </si>
  <si>
    <t>B4E0E3_TMEM134</t>
  </si>
  <si>
    <t>B4E0T2_PEX5</t>
  </si>
  <si>
    <t>B4E0T7_LRCH3</t>
  </si>
  <si>
    <t>B4E0V0_PNPO</t>
  </si>
  <si>
    <t>B4E107_ATE1</t>
  </si>
  <si>
    <t>B4E1J0_PBXIP1</t>
  </si>
  <si>
    <t>B4E1M0_MSANTD2</t>
  </si>
  <si>
    <t>B4E1Q4_RIOK3</t>
  </si>
  <si>
    <t>B4E241_SFRS3</t>
  </si>
  <si>
    <t>B4E2B6_PUM2</t>
  </si>
  <si>
    <t>B4E2V5_STOM</t>
  </si>
  <si>
    <t>B4E2W0_HADHB</t>
  </si>
  <si>
    <t>B4E2X3_METTL13</t>
  </si>
  <si>
    <t>B5MBW9_CHCHD10</t>
  </si>
  <si>
    <t>B5MBX0_CDCA5</t>
  </si>
  <si>
    <t>B5MBX5_LBH</t>
  </si>
  <si>
    <t>B5MCA4_EPCAM</t>
  </si>
  <si>
    <t>B5MCF9_PES1</t>
  </si>
  <si>
    <t>B5MCN7_NCOA1</t>
  </si>
  <si>
    <t>B5MD58_SREBF1</t>
  </si>
  <si>
    <t>B5MDE0_RFT1</t>
  </si>
  <si>
    <t>B5MDF5_RAN</t>
  </si>
  <si>
    <t>B5MDU6_C2orf43</t>
  </si>
  <si>
    <t>B5ME25_METTL8</t>
  </si>
  <si>
    <t>B7WNQ9_GATA1</t>
  </si>
  <si>
    <t>B7WP27_CWC22</t>
  </si>
  <si>
    <t>B7WPE2_EML3</t>
  </si>
  <si>
    <t>B7WPG3_HNRPLL</t>
  </si>
  <si>
    <t>B7WPL0_RIC8B</t>
  </si>
  <si>
    <t>B7Z254_PDIA6</t>
  </si>
  <si>
    <t>B7Z2B2_MFSD8</t>
  </si>
  <si>
    <t>B7Z2Y5_RPS6KA5</t>
  </si>
  <si>
    <t>B7Z3I9_ALAD</t>
  </si>
  <si>
    <t>B7Z3P1_TBCE</t>
  </si>
  <si>
    <t>B7Z3R2_TPCN1</t>
  </si>
  <si>
    <t>B7Z4K6_DNASE2</t>
  </si>
  <si>
    <t>B7Z4R0_ERF</t>
  </si>
  <si>
    <t>B7Z4W5_CCBL1</t>
  </si>
  <si>
    <t>B7Z589_SLC6A9</t>
  </si>
  <si>
    <t>B7Z5G4_STMN3</t>
  </si>
  <si>
    <t>B7Z5W1_F11R</t>
  </si>
  <si>
    <t>B7Z637_ARMC8</t>
  </si>
  <si>
    <t>B7Z6B8_DECR1</t>
  </si>
  <si>
    <t>B7Z7F3_RANBP3</t>
  </si>
  <si>
    <t>B7Z7J3_AMN1</t>
  </si>
  <si>
    <t>B7Z815_USP7</t>
  </si>
  <si>
    <t>B7Z817_DHCR24</t>
  </si>
  <si>
    <t>B7Z8H2_TRDMT1</t>
  </si>
  <si>
    <t>B7Z9C6_SH3PXD2A</t>
  </si>
  <si>
    <t>B7Z9I3_ATP6AP2</t>
  </si>
  <si>
    <t>B7ZC38_SH3GLB2</t>
  </si>
  <si>
    <t>B7ZKK9_PPP2R5E</t>
  </si>
  <si>
    <t>B7ZKQ9_SCARB1</t>
  </si>
  <si>
    <t>B7ZKW8_RCSD1</t>
  </si>
  <si>
    <t>B7ZL88_COX18</t>
  </si>
  <si>
    <t>B7ZLP8_TARSL2</t>
  </si>
  <si>
    <t>B7ZLZ2_EDEM3</t>
  </si>
  <si>
    <t>B8X2Z3_RLTPR</t>
  </si>
  <si>
    <t>B8ZZD4_TAX1BP1</t>
  </si>
  <si>
    <t>B8ZZN6_SUMO1</t>
  </si>
  <si>
    <t>B8ZZQ6_PTMA</t>
  </si>
  <si>
    <t>B8ZZT9_SNX13</t>
  </si>
  <si>
    <t>B8ZZU6_ATF2</t>
  </si>
  <si>
    <t>B8ZZY2_AGFG1</t>
  </si>
  <si>
    <t>B9A018_USP39</t>
  </si>
  <si>
    <t>B9A054_RHBDD1</t>
  </si>
  <si>
    <t>B9ZVM7_ICA1</t>
  </si>
  <si>
    <t>C0H5Y7_BAK1</t>
  </si>
  <si>
    <t>C4AMC7_WASH3P</t>
  </si>
  <si>
    <t>C4B7M2_SPG11</t>
  </si>
  <si>
    <t>C6GKU9_MED30S</t>
  </si>
  <si>
    <t>C9IY40_MRPL2</t>
  </si>
  <si>
    <t>C9IYZ1_ASNSD1</t>
  </si>
  <si>
    <t>C9J0A7_CHMP2B</t>
  </si>
  <si>
    <t>C9J0I9_ZC3HC1</t>
  </si>
  <si>
    <t>C9J0K6_SRI</t>
  </si>
  <si>
    <t>C9J1X0_WDR91</t>
  </si>
  <si>
    <t>C9J1X3_TNK2</t>
  </si>
  <si>
    <t>C9J212_UBE2F</t>
  </si>
  <si>
    <t>C9J2P0_UBE2E1</t>
  </si>
  <si>
    <t>C9J2P9_CBLL1</t>
  </si>
  <si>
    <t>C9J2U4_TAMM41</t>
  </si>
  <si>
    <t>C9J2V2_IKBKG</t>
  </si>
  <si>
    <t>C9J2Y9_POLR2B</t>
  </si>
  <si>
    <t>C9J3M4_MOSPD3</t>
  </si>
  <si>
    <t>C9J406_IMMT</t>
  </si>
  <si>
    <t>C9J470_NCAPH</t>
  </si>
  <si>
    <t>C9J494_MKRN2</t>
  </si>
  <si>
    <t>C9J4K5_DONSON</t>
  </si>
  <si>
    <t>C9J4Z0_SLC22A23</t>
  </si>
  <si>
    <t>C9J4Z3_RPL37A</t>
  </si>
  <si>
    <t>C9J5C3_PDCD10</t>
  </si>
  <si>
    <t>C9J5J4_LIN9</t>
  </si>
  <si>
    <t>C9J5N1_PTGES3L-AARSD1</t>
  </si>
  <si>
    <t>C9J5X1_IGF1R</t>
  </si>
  <si>
    <t>C9J6W2_KIF20B</t>
  </si>
  <si>
    <t>C9J719_EBP</t>
  </si>
  <si>
    <t>C9J7E8_MKLN1</t>
  </si>
  <si>
    <t>C9J7H8_LDHB</t>
  </si>
  <si>
    <t>C9J7K9_PLSCR1</t>
  </si>
  <si>
    <t>C9J7Z4_TSEN2</t>
  </si>
  <si>
    <t>C9J815_APOBR</t>
  </si>
  <si>
    <t>C9J8B8_HDAC10</t>
  </si>
  <si>
    <t>C9J8Q5_ALDH5A1</t>
  </si>
  <si>
    <t>C9J929_PHF15</t>
  </si>
  <si>
    <t>C9J9K3_RPSA</t>
  </si>
  <si>
    <t>C9JA08_NMD3</t>
  </si>
  <si>
    <t>C9JA28_SSR3</t>
  </si>
  <si>
    <t>C9JAB2_SRSF7</t>
  </si>
  <si>
    <t>C9JAB9_NCK1</t>
  </si>
  <si>
    <t>C9JAX1_FXN</t>
  </si>
  <si>
    <t>C9JB13_BSDC1</t>
  </si>
  <si>
    <t>C9JBB3_TFPI</t>
  </si>
  <si>
    <t>C9JBG5_SIDT2</t>
  </si>
  <si>
    <t>C9JBL1_SPCS1</t>
  </si>
  <si>
    <t>C9JC99_TANGO2</t>
  </si>
  <si>
    <t>C9JCC6_DRAP1</t>
  </si>
  <si>
    <t>C9JDG0_DIAPH3</t>
  </si>
  <si>
    <t>C9JE12_TMUB1</t>
  </si>
  <si>
    <t>C9JE98_NCOR2</t>
  </si>
  <si>
    <t>C9JEL3_EIF4E2</t>
  </si>
  <si>
    <t>C9JFB2_YIPF1</t>
  </si>
  <si>
    <t>C9JFE4_GPS1</t>
  </si>
  <si>
    <t>C9JFR7_CYCS</t>
  </si>
  <si>
    <t>C9JG41_ITM2C</t>
  </si>
  <si>
    <t>C9JG63_SPRED2</t>
  </si>
  <si>
    <t>C9JG97_AAMP</t>
  </si>
  <si>
    <t>C9JGD4_GALNT10</t>
  </si>
  <si>
    <t>C9JIF9_APEH</t>
  </si>
  <si>
    <t>C9JIZ6_PSAP</t>
  </si>
  <si>
    <t>C9JJN9_VPS8</t>
  </si>
  <si>
    <t>C9JJV6_MYADM</t>
  </si>
  <si>
    <t>C9JKC7_C7orf49</t>
  </si>
  <si>
    <t>C9JKQ2_NDUFB3</t>
  </si>
  <si>
    <t>C9JKQ7_GART</t>
  </si>
  <si>
    <t>C9JLU1_POLR2H</t>
  </si>
  <si>
    <t>C9JLV4_APAF1</t>
  </si>
  <si>
    <t>C9JNE2_OARD1</t>
  </si>
  <si>
    <t>C9JP00_MBNL1</t>
  </si>
  <si>
    <t>C9JP16_CRTAP</t>
  </si>
  <si>
    <t>C9JPL0_CCNL1</t>
  </si>
  <si>
    <t>C9JPP2_NKIRAS2</t>
  </si>
  <si>
    <t>C9JQ41_CCDC58</t>
  </si>
  <si>
    <t>C9JQB1_NME6</t>
  </si>
  <si>
    <t>C9JQV3_STK11IP</t>
  </si>
  <si>
    <t>C9JR56_SATB2</t>
  </si>
  <si>
    <t>C9JRY4_SEC22A</t>
  </si>
  <si>
    <t>C9JRZ6_CHCHD3</t>
  </si>
  <si>
    <t>C9JSG1_DPP8</t>
  </si>
  <si>
    <t>C9JTX5_ACTB</t>
  </si>
  <si>
    <t>C9JUP7_VCP</t>
  </si>
  <si>
    <t>C9JV08_IFNAR1</t>
  </si>
  <si>
    <t>C9JV54_TTC32</t>
  </si>
  <si>
    <t>C9JVP0_FOXJ3</t>
  </si>
  <si>
    <t>C9JVW0_PRR24</t>
  </si>
  <si>
    <t>C9JXA7_LAMTOR4</t>
  </si>
  <si>
    <t>C9JXB8_RPL24</t>
  </si>
  <si>
    <t>C9JY06_NUDT22</t>
  </si>
  <si>
    <t>C9JYD0_PCGF3</t>
  </si>
  <si>
    <t>C9JYK5_BAG1</t>
  </si>
  <si>
    <t>C9JYN0_SYPL1</t>
  </si>
  <si>
    <t>C9JZB0_INPP5K</t>
  </si>
  <si>
    <t>C9JZG2_GART</t>
  </si>
  <si>
    <t>C9JZR4_ARFGAP3</t>
  </si>
  <si>
    <t>C9JZY6_UBE2H</t>
  </si>
  <si>
    <t>C9K0X5_SNUPN</t>
  </si>
  <si>
    <t>D3DPN2_SDC3</t>
  </si>
  <si>
    <t>D3DTZ5_SUPT4H1</t>
  </si>
  <si>
    <t>D3DWC4_TMEM23</t>
  </si>
  <si>
    <t>D3YTB1_RPL32</t>
  </si>
  <si>
    <t>D3YTB5_IRAK1</t>
  </si>
  <si>
    <t>D3YTG6_NDOR1</t>
  </si>
  <si>
    <t>D3YTI9_TAPBP</t>
  </si>
  <si>
    <t>D6R9P3_HNRNPAB</t>
  </si>
  <si>
    <t>D6R9U7_POLR3G</t>
  </si>
  <si>
    <t>D6R9Z7_COX7C</t>
  </si>
  <si>
    <t>D6RAM3_DOK3</t>
  </si>
  <si>
    <t>D6RAR3_TMEM161B</t>
  </si>
  <si>
    <t>D6RBC9_NMU</t>
  </si>
  <si>
    <t>D6RBS5_ELMOD2</t>
  </si>
  <si>
    <t>D6RBW1_EIF4E</t>
  </si>
  <si>
    <t>D6RCD0_HSD17B11</t>
  </si>
  <si>
    <t>D6RCQ0_EEF1E1</t>
  </si>
  <si>
    <t>D6RCQ8_PGM3</t>
  </si>
  <si>
    <t>D6RD25_PRELID1</t>
  </si>
  <si>
    <t>D6RDW9_IL2RG</t>
  </si>
  <si>
    <t>D6REA0_PET112</t>
  </si>
  <si>
    <t>D6REK2_TRIM41</t>
  </si>
  <si>
    <t>D6REL0_CDC42SE2</t>
  </si>
  <si>
    <t>D6REL5_FAM175A</t>
  </si>
  <si>
    <t>D6REM4_CSNK1A1</t>
  </si>
  <si>
    <t>D6REX3_SEC31A</t>
  </si>
  <si>
    <t>D6REX9_CEP120</t>
  </si>
  <si>
    <t>D6RF48_STX18</t>
  </si>
  <si>
    <t>D6RFG8_DCK</t>
  </si>
  <si>
    <t>D6RFH4_CYB5B</t>
  </si>
  <si>
    <t>D6RGI3_SEPT11</t>
  </si>
  <si>
    <t>D6RGJ7_SLC9B2</t>
  </si>
  <si>
    <t>D6RGK9_CNOT6L</t>
  </si>
  <si>
    <t>D6RHD3_CENPK</t>
  </si>
  <si>
    <t>D6RHI7_CCNH</t>
  </si>
  <si>
    <t>D6RHI9_RNASET2</t>
  </si>
  <si>
    <t>D6RIE3_COX7A2</t>
  </si>
  <si>
    <t>D6RIU2_CLDND1</t>
  </si>
  <si>
    <t>D6RIZ4_MFSD10</t>
  </si>
  <si>
    <t>D6RJ07_ZNF346</t>
  </si>
  <si>
    <t>D6RJ90_COMMD10</t>
  </si>
  <si>
    <t>E2QRD0_VWA8</t>
  </si>
  <si>
    <t>E2QRF9_GMNN</t>
  </si>
  <si>
    <t>E5RFJ1_NSMCE2</t>
  </si>
  <si>
    <t>E5RG13_IMPA1</t>
  </si>
  <si>
    <t>E5RG17_TATDN1</t>
  </si>
  <si>
    <t>E5RGQ3_RWDD1</t>
  </si>
  <si>
    <t>E5RGT6_FCHSD1</t>
  </si>
  <si>
    <t>E5RGX5_STMN2</t>
  </si>
  <si>
    <t>E5RGY0_DERL1</t>
  </si>
  <si>
    <t>E5RH36_IDO1</t>
  </si>
  <si>
    <t>E5RHC1_PPP2CB</t>
  </si>
  <si>
    <t>E5RHG8_TCEB1</t>
  </si>
  <si>
    <t>E5RHG9_UQCRB</t>
  </si>
  <si>
    <t>E5RHT1_PSEN2</t>
  </si>
  <si>
    <t>E5RHV2_ANKRD46</t>
  </si>
  <si>
    <t>E5RHW0_TMEM66</t>
  </si>
  <si>
    <t>E5RI99_RPL30</t>
  </si>
  <si>
    <t>E5RIA0_SORBS3</t>
  </si>
  <si>
    <t>E5RIH5_TTI2</t>
  </si>
  <si>
    <t>E5RIJ0_POLB</t>
  </si>
  <si>
    <t>E5RIY0_TMEM55A</t>
  </si>
  <si>
    <t>E5RJ08_CHCHD7</t>
  </si>
  <si>
    <t>E5RJ86_ARMC1</t>
  </si>
  <si>
    <t>E5RJ99_ZFAND1</t>
  </si>
  <si>
    <t>E5RJI7_MRPL13</t>
  </si>
  <si>
    <t>E5RJR5_SKP1</t>
  </si>
  <si>
    <t>E5RJY1_NDRG1</t>
  </si>
  <si>
    <t>E5RK82_CETN3</t>
  </si>
  <si>
    <t>E7EM50_PIGG</t>
  </si>
  <si>
    <t>E7EM64_COPS6</t>
  </si>
  <si>
    <t>E7EM95_RNF5</t>
  </si>
  <si>
    <t>E7EMA9_ATHL1</t>
  </si>
  <si>
    <t>E7EMB6_DNPEP</t>
  </si>
  <si>
    <t>E7EMD6_AKAP10</t>
  </si>
  <si>
    <t>E7EMM4_ASAH1</t>
  </si>
  <si>
    <t>E7EMX7_RAI14</t>
  </si>
  <si>
    <t>E7EN32_MEN1</t>
  </si>
  <si>
    <t>E7EN73_KIAA0319L</t>
  </si>
  <si>
    <t>E7EN86_ZNF143</t>
  </si>
  <si>
    <t>E7ENA9_NCSTN</t>
  </si>
  <si>
    <t>E7ENK0_CALCOCO2</t>
  </si>
  <si>
    <t>E7ENN3_SYNE1</t>
  </si>
  <si>
    <t>E7ENU4_ADAR</t>
  </si>
  <si>
    <t>E7EPB3_RPL14</t>
  </si>
  <si>
    <t>E7EPD0_TOM1</t>
  </si>
  <si>
    <t>E7EPF0_ZCCHC17</t>
  </si>
  <si>
    <t>E7EPL4_PDXDC1</t>
  </si>
  <si>
    <t>E7EPN9_PRRC2C</t>
  </si>
  <si>
    <t>E7EPP7_STXBP4</t>
  </si>
  <si>
    <t>E7EPT4_NDUFV2</t>
  </si>
  <si>
    <t>E7EPV7_SNCA</t>
  </si>
  <si>
    <t>E7EPW5_ST7</t>
  </si>
  <si>
    <t>E7EPY1_TNIP1</t>
  </si>
  <si>
    <t>E7EQ29_GLB1</t>
  </si>
  <si>
    <t>E7EQ69_NAA50</t>
  </si>
  <si>
    <t>E7EQI7_KIAA0196</t>
  </si>
  <si>
    <t>E7EQN6_SENP6</t>
  </si>
  <si>
    <t>E7EQR8_YIPF3</t>
  </si>
  <si>
    <t>E7EQS5_DMD</t>
  </si>
  <si>
    <t>E7EQT4_ACIN1</t>
  </si>
  <si>
    <t>E7EQV9_RPL15</t>
  </si>
  <si>
    <t>E7ER68_FAM91A1</t>
  </si>
  <si>
    <t>E7ER77_ERMP1</t>
  </si>
  <si>
    <t>E7ERB7_GMIP</t>
  </si>
  <si>
    <t>E7ERC6_ATP2C1</t>
  </si>
  <si>
    <t>E7ERL6_MAST2</t>
  </si>
  <si>
    <t>E7ERS3_ZC3H18</t>
  </si>
  <si>
    <t>E7ERW0_VGLL4</t>
  </si>
  <si>
    <t>E7ES43_HSPA4L</t>
  </si>
  <si>
    <t>E7ES96_PSEN1</t>
  </si>
  <si>
    <t>E7ESC6_XPO7</t>
  </si>
  <si>
    <t>E7ESD2_FAM21A</t>
  </si>
  <si>
    <t>E7ESU4_NAT10</t>
  </si>
  <si>
    <t>E7ESU7_CTBP1</t>
  </si>
  <si>
    <t>E7ESZ7_NDUFA10</t>
  </si>
  <si>
    <t>E7ET15_U2SURP</t>
  </si>
  <si>
    <t>E7ET49_DAGLB</t>
  </si>
  <si>
    <t>E7ET55_ATP7B</t>
  </si>
  <si>
    <t>E7ETK0_RPS24</t>
  </si>
  <si>
    <t>E7ETY4_MARK2</t>
  </si>
  <si>
    <t>E7ETZ4_BZW2</t>
  </si>
  <si>
    <t>E7EU19_RAD54L2</t>
  </si>
  <si>
    <t>E7EU23_GDI2</t>
  </si>
  <si>
    <t>E7EU24_CBFA2T3</t>
  </si>
  <si>
    <t>E7EU96_CSNK2A1</t>
  </si>
  <si>
    <t>E7EUC7_UGP2</t>
  </si>
  <si>
    <t>E7EUH9_NCAPG2</t>
  </si>
  <si>
    <t>E7EUL7_SSFA2</t>
  </si>
  <si>
    <t>E7EUM5_NUP54</t>
  </si>
  <si>
    <t>E7EUN2_AGAP1</t>
  </si>
  <si>
    <t>E7EUY3_PCCB</t>
  </si>
  <si>
    <t>E7EUY5_SSBP1</t>
  </si>
  <si>
    <t>E7EV43_RWDD4</t>
  </si>
  <si>
    <t>E7EV46_PGBD3</t>
  </si>
  <si>
    <t>E7EV56_PCM1</t>
  </si>
  <si>
    <t>E7EV99_ADD1</t>
  </si>
  <si>
    <t>E7EVA0_MAP4</t>
  </si>
  <si>
    <t>E7EVC7_ATG16L1</t>
  </si>
  <si>
    <t>E7EVH9_HDHD1</t>
  </si>
  <si>
    <t>E7EVJ3_NDST1</t>
  </si>
  <si>
    <t>E7EVK2_MTG1</t>
  </si>
  <si>
    <t>E7EVM2_TAL1</t>
  </si>
  <si>
    <t>E7EVZ2_YWHAZ</t>
  </si>
  <si>
    <t>E7EW05_SDAD1</t>
  </si>
  <si>
    <t>E7EW20_MYO6</t>
  </si>
  <si>
    <t>E7EW32_MON1B</t>
  </si>
  <si>
    <t>E7EWM3_ZMIZ2</t>
  </si>
  <si>
    <t>E7EWP0_NDUFB5</t>
  </si>
  <si>
    <t>E7EWQ5_MAST4</t>
  </si>
  <si>
    <t>E7EX17_EIF4B</t>
  </si>
  <si>
    <t>E7EX73_EIF4G1</t>
  </si>
  <si>
    <t>E7EX90_DCTN1</t>
  </si>
  <si>
    <t>E9PAK5_DENND4B</t>
  </si>
  <si>
    <t>E9PAL9_NT5DC2</t>
  </si>
  <si>
    <t>E9PAU2_RAVER1</t>
  </si>
  <si>
    <t>E9PB14_PDHX</t>
  </si>
  <si>
    <t>E9PB61_ALYREF</t>
  </si>
  <si>
    <t>E9PC15_AGK</t>
  </si>
  <si>
    <t>E9PC26_BUB1</t>
  </si>
  <si>
    <t>E9PC28_PTPRC</t>
  </si>
  <si>
    <t>E9PC52_RBBP7</t>
  </si>
  <si>
    <t>E9PC74_EIF2B5</t>
  </si>
  <si>
    <t>E9PCH4_FNIP1</t>
  </si>
  <si>
    <t>E9PCS8_MTA3</t>
  </si>
  <si>
    <t>E9PCW1_GOSR1</t>
  </si>
  <si>
    <t>E9PCY7_HNRNPH1</t>
  </si>
  <si>
    <t>E9PD50_SMG7</t>
  </si>
  <si>
    <t>E9PD56_PXK</t>
  </si>
  <si>
    <t>E9PD90_CKAP2</t>
  </si>
  <si>
    <t>E9PDE4_CAST</t>
  </si>
  <si>
    <t>E9PDK2_UNKL</t>
  </si>
  <si>
    <t>E9PDQ5_ARHGEF7</t>
  </si>
  <si>
    <t>E9PE19_BPTF</t>
  </si>
  <si>
    <t>E9PE47_SLC2A13</t>
  </si>
  <si>
    <t>E9PEE8_ITGB6</t>
  </si>
  <si>
    <t>E9PEN8_XPO7</t>
  </si>
  <si>
    <t>E9PER1_DIP2A</t>
  </si>
  <si>
    <t>E9PER6_PDPK1</t>
  </si>
  <si>
    <t>E9PEZ3_DIAPH1</t>
  </si>
  <si>
    <t>E9PF10_NUP155</t>
  </si>
  <si>
    <t>E9PF18_HADH</t>
  </si>
  <si>
    <t>E9PF19_TBL2</t>
  </si>
  <si>
    <t>E9PF74_SLC25A19</t>
  </si>
  <si>
    <t>E9PFH7_MAPK8IP3</t>
  </si>
  <si>
    <t>E9PFK9_RABGEF1</t>
  </si>
  <si>
    <t>E9PFR3_PPP2R5D</t>
  </si>
  <si>
    <t>E9PFZ1_C3orf38</t>
  </si>
  <si>
    <t>E9PG22_CEP97</t>
  </si>
  <si>
    <t>E9PGC1_SLC4A7</t>
  </si>
  <si>
    <t>E9PGQ0_SLC25A44</t>
  </si>
  <si>
    <t>E9PGT1_TSN</t>
  </si>
  <si>
    <t>E9PGT3_RPS6KA1</t>
  </si>
  <si>
    <t>E9PGT6_COPS8</t>
  </si>
  <si>
    <t>E9PGW7_MED22</t>
  </si>
  <si>
    <t>E9PH29_PRDX3</t>
  </si>
  <si>
    <t>E9PH64_NDUFB9</t>
  </si>
  <si>
    <t>E9PH99_ZNF451</t>
  </si>
  <si>
    <t>E9PHF7_MCCC1</t>
  </si>
  <si>
    <t>E9PHG5_CYP20A1</t>
  </si>
  <si>
    <t>E9PHM2_LARS2</t>
  </si>
  <si>
    <t>E9PI60_BRPF3</t>
  </si>
  <si>
    <t>E9PIB9_GLI1</t>
  </si>
  <si>
    <t>E9PIE4_MTCH2</t>
  </si>
  <si>
    <t>E9PIR7_TXNRD1</t>
  </si>
  <si>
    <t>E9PJ64_PDE4DIP</t>
  </si>
  <si>
    <t>E9PJ81_UBXN1</t>
  </si>
  <si>
    <t>E9PJB8_VIMP</t>
  </si>
  <si>
    <t>E9PJD7_CYHR1</t>
  </si>
  <si>
    <t>E9PJF5_BRMS1</t>
  </si>
  <si>
    <t>E9PJH1_MKNK1</t>
  </si>
  <si>
    <t>E9PJK1_CD81</t>
  </si>
  <si>
    <t>E9PJM3_FBXO3</t>
  </si>
  <si>
    <t>E9PK01_EEF1D</t>
  </si>
  <si>
    <t>E9PK91_BCLAF1</t>
  </si>
  <si>
    <t>E9PKA7_RCE1</t>
  </si>
  <si>
    <t>E9PKE9_RNF121</t>
  </si>
  <si>
    <t>E9PKF3_ACAT1</t>
  </si>
  <si>
    <t>E9PKG1_PRMT1</t>
  </si>
  <si>
    <t>E9PKP7_UBTF</t>
  </si>
  <si>
    <t>E9PKT4_TMEM123</t>
  </si>
  <si>
    <t>E9PKV2_MRPL17</t>
  </si>
  <si>
    <t>E9PKV8_TTC9C</t>
  </si>
  <si>
    <t>E9PKZ0_RPL8</t>
  </si>
  <si>
    <t>E9PL01_SPCS2</t>
  </si>
  <si>
    <t>E9PL17_CLP1</t>
  </si>
  <si>
    <t>E9PL22_HYOU1</t>
  </si>
  <si>
    <t>E9PL33_EI24</t>
  </si>
  <si>
    <t>E9PL57_NEDD8-MDP1</t>
  </si>
  <si>
    <t>E9PL69_RRM1</t>
  </si>
  <si>
    <t>E9PLD3_</t>
  </si>
  <si>
    <t>E9PLJ2_CHIA</t>
  </si>
  <si>
    <t>E9PLK3_NPEPPS</t>
  </si>
  <si>
    <t>E9PLL6_RPL27A</t>
  </si>
  <si>
    <t>E9PLX2_RNF141</t>
  </si>
  <si>
    <t>E9PLY5_MACF1</t>
  </si>
  <si>
    <t>E9PM19_TYK2</t>
  </si>
  <si>
    <t>E9PM46_USP47</t>
  </si>
  <si>
    <t>E9PM92_C11orf58</t>
  </si>
  <si>
    <t>E9PMJ2_FAM118B</t>
  </si>
  <si>
    <t>E9PMQ6_HSF1</t>
  </si>
  <si>
    <t>E9PMR4_CD151</t>
  </si>
  <si>
    <t>E9PMS3_PEX16</t>
  </si>
  <si>
    <t>E9PMY4_IFRD1</t>
  </si>
  <si>
    <t>E9PN89_HSPA8</t>
  </si>
  <si>
    <t>E9PND3_EBAG9</t>
  </si>
  <si>
    <t>E9PNK6_TPD52L1</t>
  </si>
  <si>
    <t>E9PNN3_PTS</t>
  </si>
  <si>
    <t>E9PNP3_AAMDC</t>
  </si>
  <si>
    <t>E9PNT2_ARHGAP27</t>
  </si>
  <si>
    <t>E9PNW4_CD59</t>
  </si>
  <si>
    <t>E9PPJ5_MDK</t>
  </si>
  <si>
    <t>E9PPM8_DERA</t>
  </si>
  <si>
    <t>E9PPZ9_GPAA1</t>
  </si>
  <si>
    <t>E9PQ59_NFRKB</t>
  </si>
  <si>
    <t>E9PQ62_VWA5B1</t>
  </si>
  <si>
    <t>E9PQN5_PPP2R5B</t>
  </si>
  <si>
    <t>E9PQY3_ACP2</t>
  </si>
  <si>
    <t>E9PR25_NEU3</t>
  </si>
  <si>
    <t>E9PR30_FAU</t>
  </si>
  <si>
    <t>E9PR76_MAF1</t>
  </si>
  <si>
    <t>E9PRA1_TATDN3</t>
  </si>
  <si>
    <t>E9PRR8_EIF1AD</t>
  </si>
  <si>
    <t>E9PRY8_EEF1D</t>
  </si>
  <si>
    <t>E9PS00_FADS3</t>
  </si>
  <si>
    <t>E9PS17_SCYL1</t>
  </si>
  <si>
    <t>E9PS38_NEDD8-MDP1</t>
  </si>
  <si>
    <t>E9PSI1_TM9SF1</t>
  </si>
  <si>
    <t>F2Z2I2_PFKFB3</t>
  </si>
  <si>
    <t>F2Z2Q4_TRMT11</t>
  </si>
  <si>
    <t>F2Z2U8_MYH14</t>
  </si>
  <si>
    <t>F2Z2V0_CPNE1</t>
  </si>
  <si>
    <t>F2Z2W7_TRMT2A</t>
  </si>
  <si>
    <t>F2Z2X4_XPO4</t>
  </si>
  <si>
    <t>F5GWD3_GTF2H3</t>
  </si>
  <si>
    <t>F5GWI4_ADA</t>
  </si>
  <si>
    <t>F5GWI9_CCDC53</t>
  </si>
  <si>
    <t>F5GWP8_JUP</t>
  </si>
  <si>
    <t>F5GWT4_WNK1</t>
  </si>
  <si>
    <t>F5GWU7_SMAD5</t>
  </si>
  <si>
    <t>F5GWX5_CHD4</t>
  </si>
  <si>
    <t>F5GX09_FAM76B</t>
  </si>
  <si>
    <t>F5GX68_DNMT1</t>
  </si>
  <si>
    <t>F5GX82_FRYL</t>
  </si>
  <si>
    <t>F5GX85_TRIM3</t>
  </si>
  <si>
    <t>F5GXC3_TRAPPC13</t>
  </si>
  <si>
    <t>F5GXC8_SUCLA2</t>
  </si>
  <si>
    <t>F5GXF9_AFF1</t>
  </si>
  <si>
    <t>F5GXK8_DNAJB11</t>
  </si>
  <si>
    <t>F5GXX5_DAD1</t>
  </si>
  <si>
    <t>F5GXY5_SASS6</t>
  </si>
  <si>
    <t>F5GY92_GPBP1</t>
  </si>
  <si>
    <t>F5GY99_GALNT1</t>
  </si>
  <si>
    <t>F5GYC1_ABCD3</t>
  </si>
  <si>
    <t>F5GYC2_MAP7D2</t>
  </si>
  <si>
    <t>F5GYJ5_</t>
  </si>
  <si>
    <t>F5GYN4_OTUB1</t>
  </si>
  <si>
    <t>F5GYQ1_ATP6V0D1</t>
  </si>
  <si>
    <t>F5GYS8_MEIS1</t>
  </si>
  <si>
    <t>F5GZ90_DTL</t>
  </si>
  <si>
    <t>F5GZG1_RAP1B</t>
  </si>
  <si>
    <t>F5GZP3_TRIM59</t>
  </si>
  <si>
    <t>F5GZS0_DHX36</t>
  </si>
  <si>
    <t>F5GZS6_SLC3A2</t>
  </si>
  <si>
    <t>F5GZW3_ARHGAP4</t>
  </si>
  <si>
    <t>F5GZX9_FAM120B</t>
  </si>
  <si>
    <t>F5GZZ0_ALKBH2</t>
  </si>
  <si>
    <t>F5H012_TRIM21</t>
  </si>
  <si>
    <t>F5H070_KDM3A</t>
  </si>
  <si>
    <t>F5H0F9_ANAPC5</t>
  </si>
  <si>
    <t>F5H0I3_SOX5</t>
  </si>
  <si>
    <t>F5H0K8_KSR1</t>
  </si>
  <si>
    <t>F5H0L8_SEC23IP</t>
  </si>
  <si>
    <t>F5H0Q6_CLASRP</t>
  </si>
  <si>
    <t>F5H0R1_TUT1</t>
  </si>
  <si>
    <t>F5H0U5_GLTP</t>
  </si>
  <si>
    <t>F5H148_RRN3</t>
  </si>
  <si>
    <t>F5H149_CCDC180</t>
  </si>
  <si>
    <t>F5H1G9_ABI1</t>
  </si>
  <si>
    <t>F5H1L4_TXNRD2</t>
  </si>
  <si>
    <t>F5H1X8_LRBA</t>
  </si>
  <si>
    <t>F5H1Y0_RAD51AP1</t>
  </si>
  <si>
    <t>F5H254_TMEM135</t>
  </si>
  <si>
    <t>F5H2B0_PIK3C2A</t>
  </si>
  <si>
    <t>F5H2H5_ANKLE2</t>
  </si>
  <si>
    <t>F5H2J3_VMP1</t>
  </si>
  <si>
    <t>F5H2Q7_KIAA1715</t>
  </si>
  <si>
    <t>F5H2S7_DCTN2</t>
  </si>
  <si>
    <t>F5H2U2_PRPF4B</t>
  </si>
  <si>
    <t>F5H2X7_CIZ1</t>
  </si>
  <si>
    <t>F5H315_XAB2</t>
  </si>
  <si>
    <t>F5H365_SEC23A</t>
  </si>
  <si>
    <t>F5H3J3_CHST10</t>
  </si>
  <si>
    <t>F5H3S6_TOM1L2</t>
  </si>
  <si>
    <t>F5H433_SALL2</t>
  </si>
  <si>
    <t>F5H442_TSG101</t>
  </si>
  <si>
    <t>F5H450_FZD10</t>
  </si>
  <si>
    <t>F5H492_RAD9A</t>
  </si>
  <si>
    <t>F5H4B1_PRAME</t>
  </si>
  <si>
    <t>F5H4G7_KPNA6</t>
  </si>
  <si>
    <t>F5H4I2_RNF115</t>
  </si>
  <si>
    <t>F5H4N4_PXMP2</t>
  </si>
  <si>
    <t>F5H4Q5_VPS37C</t>
  </si>
  <si>
    <t>F5H4R0_EVI5</t>
  </si>
  <si>
    <t>F5H4S8_NFATC1</t>
  </si>
  <si>
    <t>F5H4V9_PDCD2</t>
  </si>
  <si>
    <t>F5H4Z3_PSMF1</t>
  </si>
  <si>
    <t>F5H523_KLHL42</t>
  </si>
  <si>
    <t>F5H564_EIF4G3</t>
  </si>
  <si>
    <t>F5H569_ATP6V0A1</t>
  </si>
  <si>
    <t>F5H577_BRK1</t>
  </si>
  <si>
    <t>F5H5C2_NUP133</t>
  </si>
  <si>
    <t>F5H5D3_TUBA1C</t>
  </si>
  <si>
    <t>F5H5I6_GRSF1</t>
  </si>
  <si>
    <t>F5H5M7_IFNGR1</t>
  </si>
  <si>
    <t>F5H5N0_CDC42BPA</t>
  </si>
  <si>
    <t>F5H5N1_NDUFS7</t>
  </si>
  <si>
    <t>F5H5P2_BCKDHA</t>
  </si>
  <si>
    <t>F5H5R8_NAT1</t>
  </si>
  <si>
    <t>F5H5U2_DDX55</t>
  </si>
  <si>
    <t>F5H5V6_KDM6A</t>
  </si>
  <si>
    <t>F5H604_CLASP2</t>
  </si>
  <si>
    <t>F5H620_OXNAD1</t>
  </si>
  <si>
    <t>F5H648_TAP1</t>
  </si>
  <si>
    <t>F5H698_LARS</t>
  </si>
  <si>
    <t>F5H6U2_FAM60A</t>
  </si>
  <si>
    <t>F5H6V0_KCTD10</t>
  </si>
  <si>
    <t>F5H715_AIDA</t>
  </si>
  <si>
    <t>F5H721_WBP11</t>
  </si>
  <si>
    <t>F5H777_CCDC82</t>
  </si>
  <si>
    <t>F5H7B3_CDC14A</t>
  </si>
  <si>
    <t>F5H7F6_MGST1</t>
  </si>
  <si>
    <t>F5H7I4_GABPB1</t>
  </si>
  <si>
    <t>F5H7J5_RPTOR</t>
  </si>
  <si>
    <t>F5H7K2_MGA</t>
  </si>
  <si>
    <t>F5H7N9_MFGE8</t>
  </si>
  <si>
    <t>F5H801_OGDH</t>
  </si>
  <si>
    <t>F5H827_POMGNT1</t>
  </si>
  <si>
    <t>F5H860_INPP4A</t>
  </si>
  <si>
    <t>F5H872_MED21</t>
  </si>
  <si>
    <t>F5H897_TRAP1</t>
  </si>
  <si>
    <t>F5H8D7_XRCC1</t>
  </si>
  <si>
    <t>F5H8H2_MVK</t>
  </si>
  <si>
    <t>F5H8J3_CLPTM1</t>
  </si>
  <si>
    <t>F6PQP6_EPN2</t>
  </si>
  <si>
    <t>F6RU81_ELMSAN1</t>
  </si>
  <si>
    <t>F6SS63_TAB3</t>
  </si>
  <si>
    <t>F6T1Q0_PDE12</t>
  </si>
  <si>
    <t>F6U1F2_BAG6</t>
  </si>
  <si>
    <t>F6U1T9_PPP3R1</t>
  </si>
  <si>
    <t>F6XY72_NME2</t>
  </si>
  <si>
    <t>F8VP89_EIF4B</t>
  </si>
  <si>
    <t>F8VPD4_CAD</t>
  </si>
  <si>
    <t>F8VQ10_DDX39B</t>
  </si>
  <si>
    <t>F8VQE1_LIMA1</t>
  </si>
  <si>
    <t>F8VQR7_CSRP2</t>
  </si>
  <si>
    <t>F8VQX6_METTL7A</t>
  </si>
  <si>
    <t>F8VQZ7_METAP2</t>
  </si>
  <si>
    <t>F8VR31_DNA2</t>
  </si>
  <si>
    <t>F8VRE8_TMEM19</t>
  </si>
  <si>
    <t>F8VRH0_PCBP2</t>
  </si>
  <si>
    <t>F8VSL3_NFYB</t>
  </si>
  <si>
    <t>F8VSZ4_PLXNA1</t>
  </si>
  <si>
    <t>F8VUJ3_POC1B-GALNT4</t>
  </si>
  <si>
    <t>F8VUY8_SLC38A2</t>
  </si>
  <si>
    <t>F8VV52_CNOT2</t>
  </si>
  <si>
    <t>F8VV59_NAP1L1</t>
  </si>
  <si>
    <t>F8VVA7_COPZ1</t>
  </si>
  <si>
    <t>F8VVN7_TMEM106C</t>
  </si>
  <si>
    <t>F8VVX6_COQ5</t>
  </si>
  <si>
    <t>F8VW54_TSPAN31</t>
  </si>
  <si>
    <t>F8VWA6_MON2</t>
  </si>
  <si>
    <t>F8VWA9_ALG10B</t>
  </si>
  <si>
    <t>F8VX04_SLC38A1</t>
  </si>
  <si>
    <t>F8VXG7_SCAF11</t>
  </si>
  <si>
    <t>F8VXI9_GIT2</t>
  </si>
  <si>
    <t>F8VXU5_VPS29</t>
  </si>
  <si>
    <t>F8VY35_NAP1L1</t>
  </si>
  <si>
    <t>F8VYE8_PPP1CC</t>
  </si>
  <si>
    <t>F8VZ44_AAAS</t>
  </si>
  <si>
    <t>F8VZH8_UNC13A</t>
  </si>
  <si>
    <t>F8VZJ2_NACA</t>
  </si>
  <si>
    <t>F8W0Q9_PPHLN1</t>
  </si>
  <si>
    <t>F8W0R1_ERGIC2</t>
  </si>
  <si>
    <t>F8W184_CTDSP2</t>
  </si>
  <si>
    <t>F8W1N9_NFE2</t>
  </si>
  <si>
    <t>F8W689_RFX5</t>
  </si>
  <si>
    <t>F8W6I7_HNRNPA1</t>
  </si>
  <si>
    <t>F8W6N3_BAP1</t>
  </si>
  <si>
    <t>F8W6N8_TRIM5</t>
  </si>
  <si>
    <t>F8W6Q3_ZNF384</t>
  </si>
  <si>
    <t>F8W720_GMPS</t>
  </si>
  <si>
    <t>F8W782_ADIPOR1</t>
  </si>
  <si>
    <t>F8W7A7_CCDC178</t>
  </si>
  <si>
    <t>F8W7D6_GPHN</t>
  </si>
  <si>
    <t>F8W7G7_FN1</t>
  </si>
  <si>
    <t>F8W7Q4_FAM162A</t>
  </si>
  <si>
    <t>F8W894_KANSL3</t>
  </si>
  <si>
    <t>F8W8C2_VEZT</t>
  </si>
  <si>
    <t>F8W8D3_SLBP</t>
  </si>
  <si>
    <t>F8W8H5_RAB24</t>
  </si>
  <si>
    <t>F8W8I6_TIA1</t>
  </si>
  <si>
    <t>F8W930_IGF2BP2</t>
  </si>
  <si>
    <t>F8W9A8_PPIP5K1</t>
  </si>
  <si>
    <t>F8W9B9_SYTL4</t>
  </si>
  <si>
    <t>F8W9Q9_LENG8</t>
  </si>
  <si>
    <t>F8W9X7_CCDC93</t>
  </si>
  <si>
    <t>F8WA39_MTMR1</t>
  </si>
  <si>
    <t>F8WAC3_UCKL1</t>
  </si>
  <si>
    <t>F8WAK8_STAG2</t>
  </si>
  <si>
    <t>F8WBK5_MRPL40</t>
  </si>
  <si>
    <t>F8WBT5_PINX1</t>
  </si>
  <si>
    <t>F8WBY6_GTPBP8</t>
  </si>
  <si>
    <t>F8WC68_DOM3Z</t>
  </si>
  <si>
    <t>F8WCD0_RNF149</t>
  </si>
  <si>
    <t>F8WCP6_KIF21A</t>
  </si>
  <si>
    <t>F8WDT8_DDX56</t>
  </si>
  <si>
    <t>F8WDV1_POLR3H</t>
  </si>
  <si>
    <t>F8WE28_EXOG</t>
  </si>
  <si>
    <t>F8WE91_DNMT3A</t>
  </si>
  <si>
    <t>F8WEC0_MMADHC</t>
  </si>
  <si>
    <t>F8WEE4_ZFAND2B</t>
  </si>
  <si>
    <t>F8WEG8_PRKRA</t>
  </si>
  <si>
    <t>F8WF48_SEC62</t>
  </si>
  <si>
    <t>F8WF93_ALG3</t>
  </si>
  <si>
    <t>G3V0I5_NDUFV1</t>
  </si>
  <si>
    <t>G3V0I6_OTUD4</t>
  </si>
  <si>
    <t>G3V167_PARP2</t>
  </si>
  <si>
    <t>G3V1C3_API5</t>
  </si>
  <si>
    <t>G3V1D3_DPP3</t>
  </si>
  <si>
    <t>G3V1K3_PON2</t>
  </si>
  <si>
    <t>G3V1L9_TJP1</t>
  </si>
  <si>
    <t>G3V1N2_HBA2</t>
  </si>
  <si>
    <t>G3V1N5_USP28</t>
  </si>
  <si>
    <t>G3V1P3_LOH12CR1</t>
  </si>
  <si>
    <t>G3V1P9_LEPREL2</t>
  </si>
  <si>
    <t>G3V1Q4_SEPT7</t>
  </si>
  <si>
    <t>G3V1Q7_PMFBP1</t>
  </si>
  <si>
    <t>G3V1R3_ZEB1</t>
  </si>
  <si>
    <t>G3V1U5_GOLT1B</t>
  </si>
  <si>
    <t>G3V1V1_ZCRB1</t>
  </si>
  <si>
    <t>G3V1V4_GTSF1</t>
  </si>
  <si>
    <t>G3V203_RPL18</t>
  </si>
  <si>
    <t>G3V238_METTL10</t>
  </si>
  <si>
    <t>G3V2A6_NDRG2</t>
  </si>
  <si>
    <t>G3V2B8_MTHFD1</t>
  </si>
  <si>
    <t>G3V2F7_TMEM189</t>
  </si>
  <si>
    <t>G3V2U7_ACYP1</t>
  </si>
  <si>
    <t>G3V325_ATP5J2-PTCD1</t>
  </si>
  <si>
    <t>G3V379_FERMT2</t>
  </si>
  <si>
    <t>G3V3E1_SKOR1</t>
  </si>
  <si>
    <t>G3V3G9_DCAF8</t>
  </si>
  <si>
    <t>G3V3H7_AKAP6</t>
  </si>
  <si>
    <t>G3V3I4_NFKBIA</t>
  </si>
  <si>
    <t>G3V3Q2_XRCC3</t>
  </si>
  <si>
    <t>G3V3R7_ATXN3</t>
  </si>
  <si>
    <t>G3V3U6_MRPL52</t>
  </si>
  <si>
    <t>G3V4A5_MED6</t>
  </si>
  <si>
    <t>G3V4I0_ENTPD5</t>
  </si>
  <si>
    <t>G3V4K3_VIPAS39</t>
  </si>
  <si>
    <t>G3V4P7_AP4S1</t>
  </si>
  <si>
    <t>G3V4W0_HNRNPC</t>
  </si>
  <si>
    <t>G3V583_FAM177A1</t>
  </si>
  <si>
    <t>G3V597_ACYP1</t>
  </si>
  <si>
    <t>G3V599_CTAGE5</t>
  </si>
  <si>
    <t>G3V5B9_THTPA</t>
  </si>
  <si>
    <t>G3V5N8_ZFYVE1</t>
  </si>
  <si>
    <t>G3V5T0_GSTZ1</t>
  </si>
  <si>
    <t>G3V5T9_CDK2</t>
  </si>
  <si>
    <t>G3V5W1_WARS</t>
  </si>
  <si>
    <t>G3V5Z7_PSMA6</t>
  </si>
  <si>
    <t>G3XA81_TMEM48</t>
  </si>
  <si>
    <t>G3XAA0_ARID1B</t>
  </si>
  <si>
    <t>G3XAB3_TTC17</t>
  </si>
  <si>
    <t>G3XAC1_SLC26A6</t>
  </si>
  <si>
    <t>G3XAG7_ERCC8</t>
  </si>
  <si>
    <t>G3XAH0_SEPT5</t>
  </si>
  <si>
    <t>G3XAI2_LAMB1</t>
  </si>
  <si>
    <t>G3XAN8_TIMM8B</t>
  </si>
  <si>
    <t>G3XAP3_ABCB8</t>
  </si>
  <si>
    <t>G5E933_SBF1</t>
  </si>
  <si>
    <t>G5E948_MAP4K4</t>
  </si>
  <si>
    <t>G5E953_MTMR3</t>
  </si>
  <si>
    <t>G5E975_SMARCB1</t>
  </si>
  <si>
    <t>G5E979_ATG4A</t>
  </si>
  <si>
    <t>G5E994_GPR107</t>
  </si>
  <si>
    <t>G5E9A6_USP11</t>
  </si>
  <si>
    <t>G5E9C8_SOS1</t>
  </si>
  <si>
    <t>G5E9L8_ECT2</t>
  </si>
  <si>
    <t>G5E9N0_ENTPD3</t>
  </si>
  <si>
    <t>G5E9P1_ITPR1</t>
  </si>
  <si>
    <t>G5E9T8_GOSR1</t>
  </si>
  <si>
    <t>G5E9W2_CHPF2</t>
  </si>
  <si>
    <t>G5E9W7_MRPS22</t>
  </si>
  <si>
    <t>G5EA09_SDCBP</t>
  </si>
  <si>
    <t>G5EA30_CELF1</t>
  </si>
  <si>
    <t>G5EA52_PDIA3</t>
  </si>
  <si>
    <t>G8JL88_APOL1</t>
  </si>
  <si>
    <t>G8JLA2_MYL6</t>
  </si>
  <si>
    <t>G8JLB3_PUS1</t>
  </si>
  <si>
    <t>G8JLD3_ERC1</t>
  </si>
  <si>
    <t>G8JLE5_TIPIN</t>
  </si>
  <si>
    <t>G8JLI5_WDR45</t>
  </si>
  <si>
    <t>G8JLK4_TACC1</t>
  </si>
  <si>
    <t>G8JLK7_NOL6</t>
  </si>
  <si>
    <t>G8JLL2_PPT2</t>
  </si>
  <si>
    <t>G8JLM6_TAF6</t>
  </si>
  <si>
    <t>G8JLP4_KIAA0430</t>
  </si>
  <si>
    <t>H0UI80_TH1L</t>
  </si>
  <si>
    <t>H0Y2U5_</t>
  </si>
  <si>
    <t>H0Y360_AMPD2</t>
  </si>
  <si>
    <t>H0Y362_SLC30A7</t>
  </si>
  <si>
    <t>H0Y384_ODF2</t>
  </si>
  <si>
    <t>H0Y3A3_DAB2IP</t>
  </si>
  <si>
    <t>H0Y3P2_EIF4G2</t>
  </si>
  <si>
    <t>H0Y4G9_MYD88</t>
  </si>
  <si>
    <t>H0Y4R1_IMPDH2</t>
  </si>
  <si>
    <t>H0Y4S7_RBCK1</t>
  </si>
  <si>
    <t>H0Y4W2_TRRAP</t>
  </si>
  <si>
    <t>H0Y547_ATP11A</t>
  </si>
  <si>
    <t>H0Y5Y0_PREP</t>
  </si>
  <si>
    <t>H0Y614_UFM1</t>
  </si>
  <si>
    <t>H0Y6B2_SUSD1</t>
  </si>
  <si>
    <t>H0Y6F5_ZHX3</t>
  </si>
  <si>
    <t>H0Y6K2_BRD2</t>
  </si>
  <si>
    <t>H0Y6K5_SP3</t>
  </si>
  <si>
    <t>H0Y6N5_SUN1</t>
  </si>
  <si>
    <t>H0Y6Y8_MRPL43</t>
  </si>
  <si>
    <t>H0Y720_TNRC6B</t>
  </si>
  <si>
    <t>H0Y759_BAG6</t>
  </si>
  <si>
    <t>H0Y773_IGSF23</t>
  </si>
  <si>
    <t>H0Y7A7_CALM2</t>
  </si>
  <si>
    <t>H0Y7L9_ABCD1</t>
  </si>
  <si>
    <t>H0Y7P7_PISD</t>
  </si>
  <si>
    <t>H0Y7S3_ATP2B2</t>
  </si>
  <si>
    <t>H0Y8D0_TMEM222</t>
  </si>
  <si>
    <t>H0Y8F2_TACC3</t>
  </si>
  <si>
    <t>H0Y8P4_UTP15</t>
  </si>
  <si>
    <t>H0Y8W3_RGS14</t>
  </si>
  <si>
    <t>H0Y8X4_DNPH1</t>
  </si>
  <si>
    <t>H0Y9B8_</t>
  </si>
  <si>
    <t>H0Y9G6_MRPL3</t>
  </si>
  <si>
    <t>H0Y9L4_WHSC1</t>
  </si>
  <si>
    <t>H0Y9S9_PPIP5K2</t>
  </si>
  <si>
    <t>H0Y9T5_DCP2</t>
  </si>
  <si>
    <t>H0Y9X1_TMA16</t>
  </si>
  <si>
    <t>H0YA52_PCBD2</t>
  </si>
  <si>
    <t>H0YA61_RBM24</t>
  </si>
  <si>
    <t>H0YA80_UBE2B</t>
  </si>
  <si>
    <t>H0YAN3_MSRA</t>
  </si>
  <si>
    <t>H0YAR2_PABPC1</t>
  </si>
  <si>
    <t>H0YAX0_ZDHHC14</t>
  </si>
  <si>
    <t>H0YB94_STAR</t>
  </si>
  <si>
    <t>H0YBP1_PTK2</t>
  </si>
  <si>
    <t>H0YBR0_TRAPPC9</t>
  </si>
  <si>
    <t>H0YBS1_INTS8</t>
  </si>
  <si>
    <t>H0YC02_HMBOX1</t>
  </si>
  <si>
    <t>H0YCB3_ASCC1</t>
  </si>
  <si>
    <t>H0YCY4_GLB1L2</t>
  </si>
  <si>
    <t>H0YD13_CD44</t>
  </si>
  <si>
    <t>H0YD75_NLK</t>
  </si>
  <si>
    <t>H0YDD4_DLAT</t>
  </si>
  <si>
    <t>H0YDQ1_ALG8</t>
  </si>
  <si>
    <t>H0YDR5_SIGIRR</t>
  </si>
  <si>
    <t>H0YDU8_PPP5C</t>
  </si>
  <si>
    <t>H0YEB6_SSSCA1</t>
  </si>
  <si>
    <t>H0YEF3_RNASEH2C</t>
  </si>
  <si>
    <t>H0YEN0_RIC8A</t>
  </si>
  <si>
    <t>H0YER1_RSF1</t>
  </si>
  <si>
    <t>H0YF22_RCOR3</t>
  </si>
  <si>
    <t>H0YF29_C8orf82</t>
  </si>
  <si>
    <t>H0YFN7_KIAA1432</t>
  </si>
  <si>
    <t>H0YGR4_REXO2</t>
  </si>
  <si>
    <t>H0YH69_ETNK1</t>
  </si>
  <si>
    <t>H0YHG0_</t>
  </si>
  <si>
    <t>H0YIE8_WDR83</t>
  </si>
  <si>
    <t>H0YIQ8_KANSL2</t>
  </si>
  <si>
    <t>H0YIV5_LETMD1</t>
  </si>
  <si>
    <t>H0YIV9_</t>
  </si>
  <si>
    <t>H0YIZ9_CEP128</t>
  </si>
  <si>
    <t>H0YJN0_EVL</t>
  </si>
  <si>
    <t>H0YK48_TPM1</t>
  </si>
  <si>
    <t>H0YK61_EMC4</t>
  </si>
  <si>
    <t>H0YKJ9_TSPAN3</t>
  </si>
  <si>
    <t>H0YL26_TRAF3</t>
  </si>
  <si>
    <t>H0YL33_ANXA2</t>
  </si>
  <si>
    <t>H0YL70_TLE3</t>
  </si>
  <si>
    <t>H0YLB5_POU2F1</t>
  </si>
  <si>
    <t>H0YLB9_MAN2A2</t>
  </si>
  <si>
    <t>H0YLF3_B2M</t>
  </si>
  <si>
    <t>H0YLI7_AP3S2</t>
  </si>
  <si>
    <t>H0YLN8_TRPM7</t>
  </si>
  <si>
    <t>H0YLR1_FAM63B</t>
  </si>
  <si>
    <t>H0YLX2_RFX7</t>
  </si>
  <si>
    <t>H0YLY9_PIGH</t>
  </si>
  <si>
    <t>H0YMA9_CUX1</t>
  </si>
  <si>
    <t>H0YMB3_GMPR2</t>
  </si>
  <si>
    <t>H0YMF4_RPL28</t>
  </si>
  <si>
    <t>H0YMJ0_MORF4L1</t>
  </si>
  <si>
    <t>H0YMX0_PKNOX1</t>
  </si>
  <si>
    <t>H0YN78_C15orf57</t>
  </si>
  <si>
    <t>H0YNE3_PSME1</t>
  </si>
  <si>
    <t>H0YNG3_SEC11A</t>
  </si>
  <si>
    <t>H0YNH6_EMC9</t>
  </si>
  <si>
    <t>H0YNJ3_PPP2R5C</t>
  </si>
  <si>
    <t>H0YNX7_GCHFR</t>
  </si>
  <si>
    <t>H3BLU7_AKR7A2</t>
  </si>
  <si>
    <t>H3BLV0_CD55</t>
  </si>
  <si>
    <t>H3BLV9_SRPK1</t>
  </si>
  <si>
    <t>H3BLZ2_DBNDD1</t>
  </si>
  <si>
    <t>H3BLZ8_DDX17</t>
  </si>
  <si>
    <t>H3BM14_NUB1</t>
  </si>
  <si>
    <t>H3BM91_COMMD4</t>
  </si>
  <si>
    <t>H3BMD8_ARPP19</t>
  </si>
  <si>
    <t>H3BMF4_SPNS1</t>
  </si>
  <si>
    <t>H3BMQ0_TSC2</t>
  </si>
  <si>
    <t>H3BN98_</t>
  </si>
  <si>
    <t>H3BND3_NUDT21</t>
  </si>
  <si>
    <t>H3BNK2_LYRM1</t>
  </si>
  <si>
    <t>H3BNM4_INO80E</t>
  </si>
  <si>
    <t>H3BNV8_RAB40C</t>
  </si>
  <si>
    <t>H3BP20_HEXA</t>
  </si>
  <si>
    <t>H3BP28_COQ7</t>
  </si>
  <si>
    <t>H3BPB8_MPI</t>
  </si>
  <si>
    <t>H3BPC4_UBE2I</t>
  </si>
  <si>
    <t>H3BPD5_NTHL1</t>
  </si>
  <si>
    <t>H3BPE1_MACF1</t>
  </si>
  <si>
    <t>H3BPJ7_TCF4</t>
  </si>
  <si>
    <t>H3BPK3_HAGH</t>
  </si>
  <si>
    <t>H3BPL0_CLN3</t>
  </si>
  <si>
    <t>H3BPS8_ALDOA</t>
  </si>
  <si>
    <t>H3BPX2_OBSCN</t>
  </si>
  <si>
    <t>H3BQA0_SNAPC5</t>
  </si>
  <si>
    <t>H3BR29_C16orf58</t>
  </si>
  <si>
    <t>H3BR94_DCTN5</t>
  </si>
  <si>
    <t>H3BRF9_ZFYVE19</t>
  </si>
  <si>
    <t>H3BRL3_UBFD1</t>
  </si>
  <si>
    <t>H3BRN7_</t>
  </si>
  <si>
    <t>H3BRQ0_PPCDC</t>
  </si>
  <si>
    <t>H3BRS1_NFATC3</t>
  </si>
  <si>
    <t>H3BRU1_FAM219B</t>
  </si>
  <si>
    <t>H3BRV0_EIF3C</t>
  </si>
  <si>
    <t>H3BS01_C15orf41</t>
  </si>
  <si>
    <t>H3BS66_SMIM1</t>
  </si>
  <si>
    <t>H3BS99_ZNF106</t>
  </si>
  <si>
    <t>H3BSH7_CIRH1A</t>
  </si>
  <si>
    <t>H3BSR5_FANCA</t>
  </si>
  <si>
    <t>H3BSW6_CTU2</t>
  </si>
  <si>
    <t>H3BSZ4_MLST8</t>
  </si>
  <si>
    <t>H3BTK5_SENP8</t>
  </si>
  <si>
    <t>H3BTL1_MAP1LC3B</t>
  </si>
  <si>
    <t>H3BTN5_PKM</t>
  </si>
  <si>
    <t>H3BTX0_</t>
  </si>
  <si>
    <t>H3BTX7_RNF166</t>
  </si>
  <si>
    <t>H3BU49_ARL2BP</t>
  </si>
  <si>
    <t>H3BUQ2_OGFOD1</t>
  </si>
  <si>
    <t>H3BV80_RNPS1</t>
  </si>
  <si>
    <t>H3BVB1_FBXL19</t>
  </si>
  <si>
    <t>H3BVD9_SPINT1</t>
  </si>
  <si>
    <t>H7BXF4_SMPD4</t>
  </si>
  <si>
    <t>H7BXF5_SAP130</t>
  </si>
  <si>
    <t>H7BXH2_PPP6R3</t>
  </si>
  <si>
    <t>H7BXH9_METTL21A</t>
  </si>
  <si>
    <t>H7BXI1_ESYT2</t>
  </si>
  <si>
    <t>H7BXI5_ERGIC3</t>
  </si>
  <si>
    <t>H7BXL1_TMEM41A</t>
  </si>
  <si>
    <t>H7BXP5_TPRN</t>
  </si>
  <si>
    <t>H7BXT7_BET1L</t>
  </si>
  <si>
    <t>H7BXW7_MPC1</t>
  </si>
  <si>
    <t>H7BXY3_DHX30</t>
  </si>
  <si>
    <t>H7BY58_PCMT1</t>
  </si>
  <si>
    <t>H7BYE5_WRB</t>
  </si>
  <si>
    <t>H7BYQ6_INTS9</t>
  </si>
  <si>
    <t>H7BYV1_IFITM2</t>
  </si>
  <si>
    <t>H7BYY1_TPM1</t>
  </si>
  <si>
    <t>H7BZ11_</t>
  </si>
  <si>
    <t>H7BZ14_PPIL3</t>
  </si>
  <si>
    <t>H7BZF5_C2orf80</t>
  </si>
  <si>
    <t>H7BZG6_AP1S2</t>
  </si>
  <si>
    <t>H7BZJ3_PDIA3</t>
  </si>
  <si>
    <t>H7BZK6_USP46</t>
  </si>
  <si>
    <t>H7BZT4_</t>
  </si>
  <si>
    <t>H7C0C1_</t>
  </si>
  <si>
    <t>H7C0G7_NHEJ1</t>
  </si>
  <si>
    <t>H7C0N4_SF1</t>
  </si>
  <si>
    <t>H7C0S3_CDKN3</t>
  </si>
  <si>
    <t>H7C0T0_FAM120A</t>
  </si>
  <si>
    <t>H7C107_IQSEC1</t>
  </si>
  <si>
    <t>H7C124_THEMIS2</t>
  </si>
  <si>
    <t>H7C137_RANBP1</t>
  </si>
  <si>
    <t>H7C155_RAF1</t>
  </si>
  <si>
    <t>H7C173_MZT2B</t>
  </si>
  <si>
    <t>H7C1M5_DNTTIP1</t>
  </si>
  <si>
    <t>H7C1N3_BET1</t>
  </si>
  <si>
    <t>H7C1U3_CC2D1B</t>
  </si>
  <si>
    <t>H7C1U8_APOO</t>
  </si>
  <si>
    <t>H7C1W4_TATDN2</t>
  </si>
  <si>
    <t>H7C261_PCLO</t>
  </si>
  <si>
    <t>H7C270_CTDSP1</t>
  </si>
  <si>
    <t>H7C2B1_NOL7</t>
  </si>
  <si>
    <t>H7C2Q8_EBNA1BP2</t>
  </si>
  <si>
    <t>H7C347_PPM1N</t>
  </si>
  <si>
    <t>H7C3D5_FAM134A</t>
  </si>
  <si>
    <t>H7C3G9_NAGK</t>
  </si>
  <si>
    <t>H7C3P4_GNS</t>
  </si>
  <si>
    <t>H7C3T2_ATG2A</t>
  </si>
  <si>
    <t>H7C446_PPAN</t>
  </si>
  <si>
    <t>H7C484_ARV1</t>
  </si>
  <si>
    <t>H7C4K1_STK19</t>
  </si>
  <si>
    <t>H7C4P1_ARHGAP25</t>
  </si>
  <si>
    <t>H7C561_SF1</t>
  </si>
  <si>
    <t>H7C5A5_STIM2</t>
  </si>
  <si>
    <t>H7C5F7_NDFIP2</t>
  </si>
  <si>
    <t>H7C5H5_MFN1</t>
  </si>
  <si>
    <t>H7C5R4_GK5</t>
  </si>
  <si>
    <t>H7C5R8_PARP14</t>
  </si>
  <si>
    <t>H7C5W6_HEATR5A</t>
  </si>
  <si>
    <t>H9KV44_EFR3A</t>
  </si>
  <si>
    <t>H9KVB8_MICU1</t>
  </si>
  <si>
    <t>H9ZYI9_GABPB1</t>
  </si>
  <si>
    <t>I3L097_</t>
  </si>
  <si>
    <t>I3L0B8_SLC25A52</t>
  </si>
  <si>
    <t>I3L0C1_SMG1</t>
  </si>
  <si>
    <t>I3L0E3_MRPS17</t>
  </si>
  <si>
    <t>I3L0I1_SOGA1</t>
  </si>
  <si>
    <t>I3L0K1_GOSR2</t>
  </si>
  <si>
    <t>I3L0L6_RNF167</t>
  </si>
  <si>
    <t>I3L0N3_NSF</t>
  </si>
  <si>
    <t>I3L170_MAPT</t>
  </si>
  <si>
    <t>I3L1H5_DPH1</t>
  </si>
  <si>
    <t>I3L1L3_MYBBP1A</t>
  </si>
  <si>
    <t>I3L1P8_SLC25A11</t>
  </si>
  <si>
    <t>I3L1Q2_BCL7C</t>
  </si>
  <si>
    <t>I3L1Q3_ELP5</t>
  </si>
  <si>
    <t>I3L2B0_CLUH</t>
  </si>
  <si>
    <t>I3L2J0_CIC</t>
  </si>
  <si>
    <t>I3L2L5_FAM195B</t>
  </si>
  <si>
    <t>I3L2M9_PCTP</t>
  </si>
  <si>
    <t>I3L367_TOM1L1</t>
  </si>
  <si>
    <t>I3L3A8_PELP1</t>
  </si>
  <si>
    <t>I3L3B4_</t>
  </si>
  <si>
    <t>I3L3P7_RPS15A</t>
  </si>
  <si>
    <t>I3L413_CCNE1</t>
  </si>
  <si>
    <t>I3L448_ATPAF1</t>
  </si>
  <si>
    <t>I3L480_SIRT7</t>
  </si>
  <si>
    <t>I3L4N7_SERPINF1</t>
  </si>
  <si>
    <t>I3L4X2_ABCC1</t>
  </si>
  <si>
    <t>I3L4X7_GPS2</t>
  </si>
  <si>
    <t>I3NI29_PLSCR3</t>
  </si>
  <si>
    <t>I6L8A6_RBBP8</t>
  </si>
  <si>
    <t>J3KMW7_UBR5</t>
  </si>
  <si>
    <t>J3KMW8_CACTIN</t>
  </si>
  <si>
    <t>J3KMX2_SMARCD2</t>
  </si>
  <si>
    <t>J3KMY5_NPC2</t>
  </si>
  <si>
    <t>J3KMZ7_INTS2</t>
  </si>
  <si>
    <t>J3KMZ8_DPF2</t>
  </si>
  <si>
    <t>J3KMZ9_LDLR</t>
  </si>
  <si>
    <t>J3KN01_MLLT4</t>
  </si>
  <si>
    <t>J3KN10_PI4KA</t>
  </si>
  <si>
    <t>J3KN16_KIAA0368</t>
  </si>
  <si>
    <t>J3KN27_FBRSL1</t>
  </si>
  <si>
    <t>J3KN29_PSMD9</t>
  </si>
  <si>
    <t>J3KN49_OBSL1</t>
  </si>
  <si>
    <t>J3KN59_BNIP2</t>
  </si>
  <si>
    <t>J3KN69_NCEH1</t>
  </si>
  <si>
    <t>J3KN82_APIP</t>
  </si>
  <si>
    <t>J3KNA0_OXA1L</t>
  </si>
  <si>
    <t>J3KNB8_MAP3K4</t>
  </si>
  <si>
    <t>J3KNC8_NDST2</t>
  </si>
  <si>
    <t>J3KND1_SAAL1</t>
  </si>
  <si>
    <t>J3KNE0_RGPD3</t>
  </si>
  <si>
    <t>J3KNF4_CCS</t>
  </si>
  <si>
    <t>J3KNF5_CEP290</t>
  </si>
  <si>
    <t>J3KNG8_FNIP1</t>
  </si>
  <si>
    <t>J3KNI1_COG4</t>
  </si>
  <si>
    <t>J3KNL3_CHID1</t>
  </si>
  <si>
    <t>J3KNL6_SEC16A</t>
  </si>
  <si>
    <t>J3KNN5_DDX41</t>
  </si>
  <si>
    <t>J3KNN7_BRAP</t>
  </si>
  <si>
    <t>J3KNP4_SEMA4B</t>
  </si>
  <si>
    <t>J3KNR0_MARK3</t>
  </si>
  <si>
    <t>J3KNR6_PTDSS1</t>
  </si>
  <si>
    <t>J3KNS3_ZNF385A</t>
  </si>
  <si>
    <t>J3KNU8_ALDH6A1</t>
  </si>
  <si>
    <t>J3KNW0_FCHO2</t>
  </si>
  <si>
    <t>J3KNW4_FHL2</t>
  </si>
  <si>
    <t>J3KNW7_CCDC41</t>
  </si>
  <si>
    <t>J3KNX9_MYO18A</t>
  </si>
  <si>
    <t>J3KNY6_RGPD4</t>
  </si>
  <si>
    <t>J3KNZ9_FBRS</t>
  </si>
  <si>
    <t>J3KP15_SRSF2</t>
  </si>
  <si>
    <t>J3KP20_NTRK1</t>
  </si>
  <si>
    <t>J3KP22_PTPRA</t>
  </si>
  <si>
    <t>J3KP27_TRAPPC4</t>
  </si>
  <si>
    <t>J3KP36_FAM21C</t>
  </si>
  <si>
    <t>J3KP75_PHACTR2</t>
  </si>
  <si>
    <t>J3KPC5_RAP1GAP</t>
  </si>
  <si>
    <t>J3KPD3_RBM7</t>
  </si>
  <si>
    <t>J3KPF0_HECTD4</t>
  </si>
  <si>
    <t>J3KPF9_KIF3A</t>
  </si>
  <si>
    <t>J3KPJ3_CAMKK1</t>
  </si>
  <si>
    <t>J3KPK1_SYNJ1</t>
  </si>
  <si>
    <t>J3KPL2_KDM1B</t>
  </si>
  <si>
    <t>J3KPN1_TESC</t>
  </si>
  <si>
    <t>J3KPP7_ARRB1</t>
  </si>
  <si>
    <t>J3KPS0_DNAJB12</t>
  </si>
  <si>
    <t>J3KPT4_TRABD</t>
  </si>
  <si>
    <t>J3KPV7_MPST</t>
  </si>
  <si>
    <t>J3KPW7_HDAC2</t>
  </si>
  <si>
    <t>J3KPX7_PHB2</t>
  </si>
  <si>
    <t>J3KPX8_MAP1A</t>
  </si>
  <si>
    <t>J3KPY9_ANTXR2</t>
  </si>
  <si>
    <t>J3KPZ8_RFXANK</t>
  </si>
  <si>
    <t>J3KQ32_OLA1</t>
  </si>
  <si>
    <t>J3KQ34_COPS7B</t>
  </si>
  <si>
    <t>J3KQ45_TGOLN2</t>
  </si>
  <si>
    <t>J3KQ48_PTRH2</t>
  </si>
  <si>
    <t>J3KQ72_FBXO6</t>
  </si>
  <si>
    <t>J3KQ73_FKBP8</t>
  </si>
  <si>
    <t>J3KQ88_C6orf203</t>
  </si>
  <si>
    <t>J3KQ97_C6orf120</t>
  </si>
  <si>
    <t>J3KQB0_THUMPD1</t>
  </si>
  <si>
    <t>J3KQG4_GBA</t>
  </si>
  <si>
    <t>J3KQJ9_VWDE</t>
  </si>
  <si>
    <t>J3KQL8_APOL2</t>
  </si>
  <si>
    <t>J3KQS2_CDC7</t>
  </si>
  <si>
    <t>J3KQS6_BABAM1</t>
  </si>
  <si>
    <t>J3KQU5_EPHB6</t>
  </si>
  <si>
    <t>J3KQU9_AP1G1</t>
  </si>
  <si>
    <t>J3KQV2_RGP1</t>
  </si>
  <si>
    <t>J3KR35_CCDC12</t>
  </si>
  <si>
    <t>J3KR55_PTPN7</t>
  </si>
  <si>
    <t>J3KR58_SEPHS2</t>
  </si>
  <si>
    <t>J3KR97_TBCD</t>
  </si>
  <si>
    <t>J3KRC8_C16orf55</t>
  </si>
  <si>
    <t>J3KRN4_MAP3K3</t>
  </si>
  <si>
    <t>J3KRP6_SS18</t>
  </si>
  <si>
    <t>J3KRR5_PIGL</t>
  </si>
  <si>
    <t>J3KRW7_TMEM199</t>
  </si>
  <si>
    <t>J3KRZ1_DDX5</t>
  </si>
  <si>
    <t>J3KS05_CBX1</t>
  </si>
  <si>
    <t>J3KSH1_AMZ2</t>
  </si>
  <si>
    <t>J3KSS7_GGA3</t>
  </si>
  <si>
    <t>J3KSW8_MPRIP</t>
  </si>
  <si>
    <t>J3KSY6_NT5C</t>
  </si>
  <si>
    <t>J3KT51_HN1</t>
  </si>
  <si>
    <t>J3KT68_TMEM97</t>
  </si>
  <si>
    <t>J3KTA1_FBXL20</t>
  </si>
  <si>
    <t>J3KTK5_MED9</t>
  </si>
  <si>
    <t>J3KTL2_SRSF1</t>
  </si>
  <si>
    <t>J3QK89_CHERP</t>
  </si>
  <si>
    <t>J3QKR3_PSMB3</t>
  </si>
  <si>
    <t>J3QKR4_ICAM2</t>
  </si>
  <si>
    <t>J3QL56_SCO1</t>
  </si>
  <si>
    <t>J3QL71_SCRN2</t>
  </si>
  <si>
    <t>J3QLB2_SLC39A11</t>
  </si>
  <si>
    <t>J3QLD9_FLOT2</t>
  </si>
  <si>
    <t>J3QLP7_UBBP4</t>
  </si>
  <si>
    <t>J3QLS3_MRPS7</t>
  </si>
  <si>
    <t>J3QQJ0_SAP30BP</t>
  </si>
  <si>
    <t>J3QQJ5_TRAPPC8</t>
  </si>
  <si>
    <t>J3QQT2_RPL17</t>
  </si>
  <si>
    <t>J3QQW9_SUZ12</t>
  </si>
  <si>
    <t>J3QQX3_FDXR</t>
  </si>
  <si>
    <t>J3QQY0_MSL1</t>
  </si>
  <si>
    <t>J3QR09_RPL19</t>
  </si>
  <si>
    <t>J3QR29_CDK11B</t>
  </si>
  <si>
    <t>J3QR35_STRA13</t>
  </si>
  <si>
    <t>J3QR65_MTMR4</t>
  </si>
  <si>
    <t>J3QRM9_ORMDL3</t>
  </si>
  <si>
    <t>J3QRS3_MYL12A</t>
  </si>
  <si>
    <t>J3QRS9_ZNF207</t>
  </si>
  <si>
    <t>J3QRU1_YES1</t>
  </si>
  <si>
    <t>J3QRU4_VAMP2</t>
  </si>
  <si>
    <t>J3QRU8_GIT1</t>
  </si>
  <si>
    <t>J3QRV5_LLGL2</t>
  </si>
  <si>
    <t>J3QRX6_COPRS</t>
  </si>
  <si>
    <t>J3QS41_HELZ</t>
  </si>
  <si>
    <t>J3QSV6_RSL1D1</t>
  </si>
  <si>
    <t>J3QT56_HYPK</t>
  </si>
  <si>
    <t>J3QT87_CRBN</t>
  </si>
  <si>
    <t>J9JIC5_C17orf75</t>
  </si>
  <si>
    <t>J9JID7_LMNB2</t>
  </si>
  <si>
    <t>J9JIE6_TMCO1</t>
  </si>
  <si>
    <t>K4DI92_RWDD4</t>
  </si>
  <si>
    <t>K4DI94_SHPRH</t>
  </si>
  <si>
    <t>K7EIG1_CLUH</t>
  </si>
  <si>
    <t>K7EIL6_</t>
  </si>
  <si>
    <t>K7EIP7_YIPF2</t>
  </si>
  <si>
    <t>K7EIU8_SMAD4</t>
  </si>
  <si>
    <t>K7EIY1_FAM32A</t>
  </si>
  <si>
    <t>K7EJ08_SEC14L1</t>
  </si>
  <si>
    <t>K7EJ78_RPS15</t>
  </si>
  <si>
    <t>K7EJB9_CALR</t>
  </si>
  <si>
    <t>K7EJH0_SPC24</t>
  </si>
  <si>
    <t>K7EJL1_AP1M1</t>
  </si>
  <si>
    <t>K7EJQ7_SEC11C</t>
  </si>
  <si>
    <t>K7EK00_FAM210A</t>
  </si>
  <si>
    <t>K7EK07_H3F3B</t>
  </si>
  <si>
    <t>K7EK35_STAT5A</t>
  </si>
  <si>
    <t>K7EK99_LIN37</t>
  </si>
  <si>
    <t>K7EKE6_LONP1</t>
  </si>
  <si>
    <t>K7EKG9_ATXN7L3</t>
  </si>
  <si>
    <t>K7EKI4_MRPL4</t>
  </si>
  <si>
    <t>K7EKS3_POLRMT</t>
  </si>
  <si>
    <t>K7EKW3_TMUB2</t>
  </si>
  <si>
    <t>K7EKZ9_LINC00493</t>
  </si>
  <si>
    <t>K7EL68_CDC37</t>
  </si>
  <si>
    <t>K7EL81_PPP1R12C</t>
  </si>
  <si>
    <t>K7ELE3_AES</t>
  </si>
  <si>
    <t>K7ELK7_R3HDM4</t>
  </si>
  <si>
    <t>K7ELL7_PRKCSH</t>
  </si>
  <si>
    <t>K7ELN3_DNAH17</t>
  </si>
  <si>
    <t>K7ELW3_EPS8L1</t>
  </si>
  <si>
    <t>K7ELW5_PTBP1</t>
  </si>
  <si>
    <t>K7ELY2_STX10</t>
  </si>
  <si>
    <t>K7EM02_KATNAL2</t>
  </si>
  <si>
    <t>K7EM09_TMEM205</t>
  </si>
  <si>
    <t>K7EML3_C19orf66</t>
  </si>
  <si>
    <t>K7EMW3_SLC25A39</t>
  </si>
  <si>
    <t>K7EN05_ELOF1</t>
  </si>
  <si>
    <t>K7EN88_hCG_2039718</t>
  </si>
  <si>
    <t>K7ENF0_NARS</t>
  </si>
  <si>
    <t>K7ENH2_PSME3</t>
  </si>
  <si>
    <t>K7ENL9_C18orf8</t>
  </si>
  <si>
    <t>K7EP31_ATP5SL</t>
  </si>
  <si>
    <t>K7EP32_UBXN6</t>
  </si>
  <si>
    <t>K7EPJ5_MGRN1</t>
  </si>
  <si>
    <t>K7EQ34_TMEM161A</t>
  </si>
  <si>
    <t>K7EQ37_UNC13D</t>
  </si>
  <si>
    <t>K7EQ77_NDUFA11</t>
  </si>
  <si>
    <t>K7EQB6_LIG3</t>
  </si>
  <si>
    <t>K7EQL1_FAM98C</t>
  </si>
  <si>
    <t>K7EQT1_FZR1</t>
  </si>
  <si>
    <t>K7EQV2_POP4</t>
  </si>
  <si>
    <t>K7EQW8_TPM4</t>
  </si>
  <si>
    <t>K7EQX8_MXRA7</t>
  </si>
  <si>
    <t>K7ER00_FARSA</t>
  </si>
  <si>
    <t>K7ER89_ERCC1</t>
  </si>
  <si>
    <t>K7ERF1_EIF3K</t>
  </si>
  <si>
    <t>K7ERG0_NLRP7</t>
  </si>
  <si>
    <t>K7ERH2_PLEKHJ1</t>
  </si>
  <si>
    <t>K7ERI9_APOC1</t>
  </si>
  <si>
    <t>K7ERQ0_YIF1B</t>
  </si>
  <si>
    <t>K7ERQ8_</t>
  </si>
  <si>
    <t>K7ERU9_</t>
  </si>
  <si>
    <t>K7ERV3_TK1</t>
  </si>
  <si>
    <t>K7ES02_BLMH</t>
  </si>
  <si>
    <t>K7ES11_UBE2O</t>
  </si>
  <si>
    <t>K7ES84_FAM86A</t>
  </si>
  <si>
    <t>K7ESE3_RAD23A</t>
  </si>
  <si>
    <t>K7ESP4_DCAKD</t>
  </si>
  <si>
    <t>M0QWZ7_SARS2</t>
  </si>
  <si>
    <t>M0QX35_PAF1</t>
  </si>
  <si>
    <t>M0QXA7_WIZ</t>
  </si>
  <si>
    <t>M0QXB4_COPE</t>
  </si>
  <si>
    <t>M0QXC2_GMFG</t>
  </si>
  <si>
    <t>M0QXD0_MCOLN1</t>
  </si>
  <si>
    <t>M0QXL5_FBL</t>
  </si>
  <si>
    <t>M0QXT0_USF2</t>
  </si>
  <si>
    <t>M0QXZ5_ZNF428</t>
  </si>
  <si>
    <t>M0QY01_EPS15L1</t>
  </si>
  <si>
    <t>M0QY97_ZC3H4</t>
  </si>
  <si>
    <t>M0QYI9_C19orf60</t>
  </si>
  <si>
    <t>M0QYM7_TUBB4A</t>
  </si>
  <si>
    <t>M0QYS1_RPL13A</t>
  </si>
  <si>
    <t>M0QZ09_SIRT6</t>
  </si>
  <si>
    <t>M0QZ12_GRAMD1A</t>
  </si>
  <si>
    <t>M0QZ22_SAMD4B</t>
  </si>
  <si>
    <t>M0QZ43_HRC</t>
  </si>
  <si>
    <t>M0QZI3_FCHO1</t>
  </si>
  <si>
    <t>M0QZM1_HNRNPM</t>
  </si>
  <si>
    <t>M0QZP3_SPHK2</t>
  </si>
  <si>
    <t>M0QZR4_ARHGEF1</t>
  </si>
  <si>
    <t>M0QZW1_PRKD2</t>
  </si>
  <si>
    <t>M0R042_TUBB4A</t>
  </si>
  <si>
    <t>M0R0B4_KXD1</t>
  </si>
  <si>
    <t>M0R0F0_RPS5</t>
  </si>
  <si>
    <t>M0R0N4_AP2S1</t>
  </si>
  <si>
    <t>M0R0V1_PLEKHA4</t>
  </si>
  <si>
    <t>M0R150_</t>
  </si>
  <si>
    <t>M0R1J0_KCNN4</t>
  </si>
  <si>
    <t>M0R2A0_EMC10</t>
  </si>
  <si>
    <t>M0R2B7_POLD1</t>
  </si>
  <si>
    <t>M0R2C4_LSR</t>
  </si>
  <si>
    <t>M0R2D3_TUBB4A</t>
  </si>
  <si>
    <t>M0R300_MYO9B</t>
  </si>
  <si>
    <t>M0R3D4_RABAC1</t>
  </si>
  <si>
    <t>O00116_AGPS</t>
  </si>
  <si>
    <t>O00124-3_UBXN8</t>
  </si>
  <si>
    <t>O00139-1_KIF2A</t>
  </si>
  <si>
    <t>O00139-2_KIF2A</t>
  </si>
  <si>
    <t>O00148_DDX39A</t>
  </si>
  <si>
    <t>O00151_PDLIM1</t>
  </si>
  <si>
    <t>O00154-4_ACOT7</t>
  </si>
  <si>
    <t>O00159_MYO1C</t>
  </si>
  <si>
    <t>O00161_SNAP23</t>
  </si>
  <si>
    <t>O00165-5_HAX1</t>
  </si>
  <si>
    <t>O00170_AIP</t>
  </si>
  <si>
    <t>O00178_GTPBP1</t>
  </si>
  <si>
    <t>O00180_KCNK1</t>
  </si>
  <si>
    <t>O00186_STXBP3</t>
  </si>
  <si>
    <t>O00203_AP3B1</t>
  </si>
  <si>
    <t>O00214-2_LGALS8</t>
  </si>
  <si>
    <t>O00217_NDUFS8</t>
  </si>
  <si>
    <t>O00220_TNFRSF10A</t>
  </si>
  <si>
    <t>O00221_NFKBIE</t>
  </si>
  <si>
    <t>O00231_PSMD11</t>
  </si>
  <si>
    <t>O00232_PSMD12</t>
  </si>
  <si>
    <t>O00244_ATOX1</t>
  </si>
  <si>
    <t>O00264_PGRMC1</t>
  </si>
  <si>
    <t>O00267-2_SUPT5H</t>
  </si>
  <si>
    <t>O00273_DFFA</t>
  </si>
  <si>
    <t>O00273-2_DFFA</t>
  </si>
  <si>
    <t>O00287_RFXAP</t>
  </si>
  <si>
    <t>O00291_HIP1</t>
  </si>
  <si>
    <t>O00299_CLIC1</t>
  </si>
  <si>
    <t>O00308_WWP2</t>
  </si>
  <si>
    <t>O00325_PTGER3</t>
  </si>
  <si>
    <t>O00399_DCTN6</t>
  </si>
  <si>
    <t>O00400_SLC33A1</t>
  </si>
  <si>
    <t>O00401_WASL</t>
  </si>
  <si>
    <t>O00410_IPO5</t>
  </si>
  <si>
    <t>O00418_EEF2K</t>
  </si>
  <si>
    <t>O00422_SAP18</t>
  </si>
  <si>
    <t>O00425_IGF2BP3</t>
  </si>
  <si>
    <t>O00429-3_DNM1L</t>
  </si>
  <si>
    <t>O00429-4_DNM1L</t>
  </si>
  <si>
    <t>O00442_RTCA</t>
  </si>
  <si>
    <t>O00459_PIK3R2</t>
  </si>
  <si>
    <t>O00461_GOLIM4</t>
  </si>
  <si>
    <t>O00462_MANBA</t>
  </si>
  <si>
    <t>O00468-2_AGRN</t>
  </si>
  <si>
    <t>O00471_EXOC5</t>
  </si>
  <si>
    <t>O00479_HMGN4</t>
  </si>
  <si>
    <t>O00483_NDUFA4</t>
  </si>
  <si>
    <t>O00487_PSMD14</t>
  </si>
  <si>
    <t>O00488_ZNF593</t>
  </si>
  <si>
    <t>O00505_KPNA3</t>
  </si>
  <si>
    <t>O00506_STK25</t>
  </si>
  <si>
    <t>O00512_BCL9</t>
  </si>
  <si>
    <t>O00522_KRIT1</t>
  </si>
  <si>
    <t>O00560_SDCBP</t>
  </si>
  <si>
    <t>O00562-2_PITPNM1</t>
  </si>
  <si>
    <t>O00566_MPHOSPH10</t>
  </si>
  <si>
    <t>O00567_NOP56</t>
  </si>
  <si>
    <t>O00571_DDX3X</t>
  </si>
  <si>
    <t>O00625_PIR</t>
  </si>
  <si>
    <t>O00629_KPNA4</t>
  </si>
  <si>
    <t>O00635_TRIM38</t>
  </si>
  <si>
    <t>O00743_PPP6C</t>
  </si>
  <si>
    <t>O00748_CES2</t>
  </si>
  <si>
    <t>O00754-2_MAN2B1</t>
  </si>
  <si>
    <t>O00764_PDXK</t>
  </si>
  <si>
    <t>O00764-3_PDXK</t>
  </si>
  <si>
    <t>O00767_SCD</t>
  </si>
  <si>
    <t>O14497_ARID1A</t>
  </si>
  <si>
    <t>O14503_BHLHE40</t>
  </si>
  <si>
    <t>O14508_SOCS2</t>
  </si>
  <si>
    <t>O14519-2_CDK2AP1</t>
  </si>
  <si>
    <t>O14523_C2CD2L</t>
  </si>
  <si>
    <t>O14524-2_TMEM194A</t>
  </si>
  <si>
    <t>O14545_TRAFD1</t>
  </si>
  <si>
    <t>O14548_COX7A2L</t>
  </si>
  <si>
    <t>O14561_NDUFAB1</t>
  </si>
  <si>
    <t>O14578_CIT</t>
  </si>
  <si>
    <t>O14613_CDC42EP2</t>
  </si>
  <si>
    <t>O14617_AP3D1</t>
  </si>
  <si>
    <t>O14646-2_CHD1</t>
  </si>
  <si>
    <t>O14656_TOR1A</t>
  </si>
  <si>
    <t>O14657_TOR1B</t>
  </si>
  <si>
    <t>O14662-2_STX16</t>
  </si>
  <si>
    <t>O14672_ADAM10</t>
  </si>
  <si>
    <t>O14686_MLL2</t>
  </si>
  <si>
    <t>O14733-3_MAP2K7</t>
  </si>
  <si>
    <t>O14734_ACOT8</t>
  </si>
  <si>
    <t>O14737_PDCD5</t>
  </si>
  <si>
    <t>O14744_PRMT5</t>
  </si>
  <si>
    <t>O14745_SLC9A3R1</t>
  </si>
  <si>
    <t>O14757_CHEK1</t>
  </si>
  <si>
    <t>O14763-2_TNFRSF10B</t>
  </si>
  <si>
    <t>O14772-2_FPGT</t>
  </si>
  <si>
    <t>O14773_TPP1</t>
  </si>
  <si>
    <t>O14776-2_TCERG1</t>
  </si>
  <si>
    <t>O14777_NDC80</t>
  </si>
  <si>
    <t>O14787-2_TNPO2</t>
  </si>
  <si>
    <t>O14802_POLR3A</t>
  </si>
  <si>
    <t>O14818_PSMA7</t>
  </si>
  <si>
    <t>O14828_SCAMP3</t>
  </si>
  <si>
    <t>O14841_OPLAH</t>
  </si>
  <si>
    <t>O14867_BACH1</t>
  </si>
  <si>
    <t>O14893-2_GEMIN2</t>
  </si>
  <si>
    <t>O14908_GIPC1</t>
  </si>
  <si>
    <t>O14920_IKBKB</t>
  </si>
  <si>
    <t>O14925_TIMM23</t>
  </si>
  <si>
    <t>O14929_HAT1</t>
  </si>
  <si>
    <t>O14933_UBE2L6</t>
  </si>
  <si>
    <t>O14949_UQCRQ</t>
  </si>
  <si>
    <t>O14964_HGS</t>
  </si>
  <si>
    <t>O14965_AURKA</t>
  </si>
  <si>
    <t>O14974-4_PPP1R12A</t>
  </si>
  <si>
    <t>O14975-2_SLC27A2</t>
  </si>
  <si>
    <t>O14976_GAK</t>
  </si>
  <si>
    <t>O14979-3_HNRPDL</t>
  </si>
  <si>
    <t>O14980_XPO1</t>
  </si>
  <si>
    <t>O14981_BTAF1</t>
  </si>
  <si>
    <t>O15014_ZNF609</t>
  </si>
  <si>
    <t>O15020-2_SPTBN2</t>
  </si>
  <si>
    <t>O15031_PLXNB2</t>
  </si>
  <si>
    <t>O15037_KHNYN</t>
  </si>
  <si>
    <t>O15047_SETD1A</t>
  </si>
  <si>
    <t>O15056_SYNJ2</t>
  </si>
  <si>
    <t>O15066_KIF3B</t>
  </si>
  <si>
    <t>O15067_PFAS</t>
  </si>
  <si>
    <t>O15084_ANKRD28</t>
  </si>
  <si>
    <t>O15085_ARHGEF11</t>
  </si>
  <si>
    <t>O15091-4_KIAA0391</t>
  </si>
  <si>
    <t>O15111_CHUK</t>
  </si>
  <si>
    <t>O15116_LSM1</t>
  </si>
  <si>
    <t>O15118_NPC1</t>
  </si>
  <si>
    <t>O15120_AGPAT2</t>
  </si>
  <si>
    <t>O15121_DEGS1</t>
  </si>
  <si>
    <t>O15126_SCAMP1</t>
  </si>
  <si>
    <t>O15127_SCAMP2</t>
  </si>
  <si>
    <t>O15143_ARPC1B</t>
  </si>
  <si>
    <t>O15144_ARPC2</t>
  </si>
  <si>
    <t>O15145_ARPC3</t>
  </si>
  <si>
    <t>O15156_ZBTB7B</t>
  </si>
  <si>
    <t>O15160_POLR1C</t>
  </si>
  <si>
    <t>O15164-2_TRIM24</t>
  </si>
  <si>
    <t>O15169-2_AXIN1</t>
  </si>
  <si>
    <t>O15173_PGRMC2</t>
  </si>
  <si>
    <t>O15212_PFDN6</t>
  </si>
  <si>
    <t>O15226_NKRF</t>
  </si>
  <si>
    <t>O15228_GNPAT</t>
  </si>
  <si>
    <t>O15234_CASC3</t>
  </si>
  <si>
    <t>O15235_MRPS12</t>
  </si>
  <si>
    <t>O15240_VGF</t>
  </si>
  <si>
    <t>O15247_CLIC2</t>
  </si>
  <si>
    <t>O15258_RER1</t>
  </si>
  <si>
    <t>O15269_SPTLC1</t>
  </si>
  <si>
    <t>O15270_SPTLC2</t>
  </si>
  <si>
    <t>O15294-3_OGT</t>
  </si>
  <si>
    <t>O15305_PMM2</t>
  </si>
  <si>
    <t>O15347_HMGB3</t>
  </si>
  <si>
    <t>O15355_PPM1G</t>
  </si>
  <si>
    <t>O15357_INPPL1</t>
  </si>
  <si>
    <t>O15379_HDAC3</t>
  </si>
  <si>
    <t>O15381-2_NVL</t>
  </si>
  <si>
    <t>O15382_BCAT2</t>
  </si>
  <si>
    <t>O15391_YY2</t>
  </si>
  <si>
    <t>O15397_IPO8</t>
  </si>
  <si>
    <t>O15400-2_STX7</t>
  </si>
  <si>
    <t>O15439-2_ABCC4</t>
  </si>
  <si>
    <t>O15446_CD3EAP</t>
  </si>
  <si>
    <t>O15453_NBR2</t>
  </si>
  <si>
    <t>O15460-2_P4HA2</t>
  </si>
  <si>
    <t>O15479_MAGEB2</t>
  </si>
  <si>
    <t>O15498_YKT6</t>
  </si>
  <si>
    <t>O15511_ARPC5</t>
  </si>
  <si>
    <t>O15514_POLR2D</t>
  </si>
  <si>
    <t>O15541_RNF113A</t>
  </si>
  <si>
    <t>O43143_DHX15</t>
  </si>
  <si>
    <t>O43148_RNMT</t>
  </si>
  <si>
    <t>O43149_ZZEF1</t>
  </si>
  <si>
    <t>O43156_TTI1</t>
  </si>
  <si>
    <t>O43164-2_PJA2</t>
  </si>
  <si>
    <t>O43172-2_PRPF4</t>
  </si>
  <si>
    <t>O43175_PHGDH</t>
  </si>
  <si>
    <t>O43181_NDUFS4</t>
  </si>
  <si>
    <t>O43182-4_ARHGAP6</t>
  </si>
  <si>
    <t>O43237_DYNC1LI2</t>
  </si>
  <si>
    <t>O43242_PSMD3</t>
  </si>
  <si>
    <t>O43252_PAPSS1</t>
  </si>
  <si>
    <t>O43257_ZNHIT1</t>
  </si>
  <si>
    <t>O43264_ZW10</t>
  </si>
  <si>
    <t>O43290_SART1</t>
  </si>
  <si>
    <t>O43293_DAPK3</t>
  </si>
  <si>
    <t>O43299_AP5Z1</t>
  </si>
  <si>
    <t>O43310_CTIF</t>
  </si>
  <si>
    <t>O43314-2_PPIP5K2</t>
  </si>
  <si>
    <t>O43318_MAP3K7</t>
  </si>
  <si>
    <t>O43353_RIPK2</t>
  </si>
  <si>
    <t>O43379_WDR62</t>
  </si>
  <si>
    <t>O43390_HNRNPR</t>
  </si>
  <si>
    <t>O43395_PRPF3</t>
  </si>
  <si>
    <t>O43396_TXNL1</t>
  </si>
  <si>
    <t>O43399_TPD52L2</t>
  </si>
  <si>
    <t>O43402_EMC8</t>
  </si>
  <si>
    <t>O43422_PRKRIR</t>
  </si>
  <si>
    <t>O43435-3_TBX1</t>
  </si>
  <si>
    <t>O43447_PPIH</t>
  </si>
  <si>
    <t>O43464-3_HTRA2</t>
  </si>
  <si>
    <t>O43482_OIP5</t>
  </si>
  <si>
    <t>O43491_EPB41L2</t>
  </si>
  <si>
    <t>O43502_RAD51C</t>
  </si>
  <si>
    <t>O43504_LAMTOR5</t>
  </si>
  <si>
    <t>O43513_MED7</t>
  </si>
  <si>
    <t>O43516_WIPF1</t>
  </si>
  <si>
    <t>O43521-6_BCL2L11</t>
  </si>
  <si>
    <t>O43583_DENR</t>
  </si>
  <si>
    <t>O43592_XPOT</t>
  </si>
  <si>
    <t>O43598_DNPH1</t>
  </si>
  <si>
    <t>O43615_TIMM44</t>
  </si>
  <si>
    <t>O43617_TRAPPC3</t>
  </si>
  <si>
    <t>O43633_CHMP2A</t>
  </si>
  <si>
    <t>O43639_NCK2</t>
  </si>
  <si>
    <t>O43663_PRC1</t>
  </si>
  <si>
    <t>O43665-2_RGS10</t>
  </si>
  <si>
    <t>O43677_NDUFC1</t>
  </si>
  <si>
    <t>O43678_NDUFA2</t>
  </si>
  <si>
    <t>O43681_ASNA1</t>
  </si>
  <si>
    <t>O43684_BUB3</t>
  </si>
  <si>
    <t>O43707_ACTN4</t>
  </si>
  <si>
    <t>O43709_WBSCR22</t>
  </si>
  <si>
    <t>O43715_TRIAP1</t>
  </si>
  <si>
    <t>O43719_HTATSF1</t>
  </si>
  <si>
    <t>O43734-5_TRAF3IP2</t>
  </si>
  <si>
    <t>O43736-2_ITM2A</t>
  </si>
  <si>
    <t>O43752_STX6</t>
  </si>
  <si>
    <t>O43760_SYNGR2</t>
  </si>
  <si>
    <t>O43765_SGTA</t>
  </si>
  <si>
    <t>O43766-2_LIAS</t>
  </si>
  <si>
    <t>O43768-2_ENSA</t>
  </si>
  <si>
    <t>O43772_SLC25A20</t>
  </si>
  <si>
    <t>O43776_NARS</t>
  </si>
  <si>
    <t>O43805_SSNA1</t>
  </si>
  <si>
    <t>O43809_NUDT21</t>
  </si>
  <si>
    <t>O43813_LANCL1</t>
  </si>
  <si>
    <t>O43815_STRN</t>
  </si>
  <si>
    <t>O43818_RRP9</t>
  </si>
  <si>
    <t>O43819_SCO2</t>
  </si>
  <si>
    <t>O43820-4_HYAL3</t>
  </si>
  <si>
    <t>O43823_AKAP8</t>
  </si>
  <si>
    <t>O43824_GTPBP6</t>
  </si>
  <si>
    <t>O43826_SLC37A4</t>
  </si>
  <si>
    <t>O43829_ZBTB14</t>
  </si>
  <si>
    <t>O43837_IDH3B</t>
  </si>
  <si>
    <t>O43852_CALU</t>
  </si>
  <si>
    <t>O43865_AHCYL1</t>
  </si>
  <si>
    <t>O43896_KIF1C</t>
  </si>
  <si>
    <t>O43913_ORC5</t>
  </si>
  <si>
    <t>O43920_NDUFS5</t>
  </si>
  <si>
    <t>O43924_PDE6D</t>
  </si>
  <si>
    <t>O43930_PRKY</t>
  </si>
  <si>
    <t>O43933_PEX1</t>
  </si>
  <si>
    <t>O60216_RAD21</t>
  </si>
  <si>
    <t>O60220_TIMM8A</t>
  </si>
  <si>
    <t>O60231_DHX16</t>
  </si>
  <si>
    <t>O60234_GMFG</t>
  </si>
  <si>
    <t>O60239_SH3BP5</t>
  </si>
  <si>
    <t>O60244_MED14</t>
  </si>
  <si>
    <t>O60256_PRPSAP2</t>
  </si>
  <si>
    <t>O60264_SMARCA5</t>
  </si>
  <si>
    <t>O60271-4_SPAG9</t>
  </si>
  <si>
    <t>O60293-2_ZFC3H1</t>
  </si>
  <si>
    <t>O60294_LCMT2</t>
  </si>
  <si>
    <t>O60306_AQR</t>
  </si>
  <si>
    <t>O60307_MAST3</t>
  </si>
  <si>
    <t>O60313-2_OPA1</t>
  </si>
  <si>
    <t>O60315-2_ZEB2</t>
  </si>
  <si>
    <t>O60333-2_KIF1B</t>
  </si>
  <si>
    <t>O60337-5_MARCH6</t>
  </si>
  <si>
    <t>O60341_KDM1A</t>
  </si>
  <si>
    <t>O60343-2_TBC1D4</t>
  </si>
  <si>
    <t>O60344-4_ECE2</t>
  </si>
  <si>
    <t>O60427_FADS1</t>
  </si>
  <si>
    <t>O60476_MAN1A2</t>
  </si>
  <si>
    <t>O60488-2_ACSL4</t>
  </si>
  <si>
    <t>O60493_SNX3</t>
  </si>
  <si>
    <t>O60502_MGEA5</t>
  </si>
  <si>
    <t>O60506-3_SYNCRIP</t>
  </si>
  <si>
    <t>O60512_B4GALT3</t>
  </si>
  <si>
    <t>O60518_RANBP6</t>
  </si>
  <si>
    <t>O60524-4_NEMF</t>
  </si>
  <si>
    <t>O60547-2_GMDS</t>
  </si>
  <si>
    <t>O60563_CCNT1</t>
  </si>
  <si>
    <t>O60566_BUB1B</t>
  </si>
  <si>
    <t>O60568_PLOD3</t>
  </si>
  <si>
    <t>O60583-2_CCNT2</t>
  </si>
  <si>
    <t>O60613_SEP15</t>
  </si>
  <si>
    <t>O60645-3_EXOC3</t>
  </si>
  <si>
    <t>O60664_PLIN3</t>
  </si>
  <si>
    <t>O60671_RAD1</t>
  </si>
  <si>
    <t>O60678_PRMT3</t>
  </si>
  <si>
    <t>O60701_UGDH</t>
  </si>
  <si>
    <t>O60704_TPST2</t>
  </si>
  <si>
    <t>O60716-5_CTNND1</t>
  </si>
  <si>
    <t>O60732_MAGEC1</t>
  </si>
  <si>
    <t>O60739_EIF1B</t>
  </si>
  <si>
    <t>O60749_SNX2</t>
  </si>
  <si>
    <t>O60763_USO1</t>
  </si>
  <si>
    <t>O60826_CCDC22</t>
  </si>
  <si>
    <t>O60828_PQBP1</t>
  </si>
  <si>
    <t>O60829_PAGE4</t>
  </si>
  <si>
    <t>O60830_TIMM17B</t>
  </si>
  <si>
    <t>O60832_DKC1</t>
  </si>
  <si>
    <t>O60841_EIF5B</t>
  </si>
  <si>
    <t>O60869_EDF1</t>
  </si>
  <si>
    <t>O60870_KIN</t>
  </si>
  <si>
    <t>O60884_DNAJA2</t>
  </si>
  <si>
    <t>O60885_BRD4</t>
  </si>
  <si>
    <t>O60888-3_CUTA</t>
  </si>
  <si>
    <t>O60906_SMPD2</t>
  </si>
  <si>
    <t>O60907-2_TBL1X</t>
  </si>
  <si>
    <t>O60911_CTSL2</t>
  </si>
  <si>
    <t>O60925_PFDN1</t>
  </si>
  <si>
    <t>O60927_PPP1R11</t>
  </si>
  <si>
    <t>O60930_RNASEH1</t>
  </si>
  <si>
    <t>O60934_NBN</t>
  </si>
  <si>
    <t>O60942_RNGTT</t>
  </si>
  <si>
    <t>O75027_ABCB7</t>
  </si>
  <si>
    <t>O75044_SRGAP2</t>
  </si>
  <si>
    <t>O75054_IGSF3</t>
  </si>
  <si>
    <t>O75061-4_DNAJC6</t>
  </si>
  <si>
    <t>O75063_FAM20B</t>
  </si>
  <si>
    <t>O75083_WDR1</t>
  </si>
  <si>
    <t>O75113_N4BP1</t>
  </si>
  <si>
    <t>O75116_ROCK2</t>
  </si>
  <si>
    <t>O75131_CPNE3</t>
  </si>
  <si>
    <t>O75143-3_ATG13</t>
  </si>
  <si>
    <t>O75145-2_PPFIA3</t>
  </si>
  <si>
    <t>O75146_HIP1R</t>
  </si>
  <si>
    <t>O75150_RNF40</t>
  </si>
  <si>
    <t>O75152_ZC3H11A</t>
  </si>
  <si>
    <t>O75153_CLUH</t>
  </si>
  <si>
    <t>O75155_CAND2</t>
  </si>
  <si>
    <t>O75157-2_TSC22D2</t>
  </si>
  <si>
    <t>O75165_DNAJC13</t>
  </si>
  <si>
    <t>O75170-2_PPP6R2</t>
  </si>
  <si>
    <t>O75175_CNOT3</t>
  </si>
  <si>
    <t>O75179-2_ANKRD17</t>
  </si>
  <si>
    <t>O75191_XYLB</t>
  </si>
  <si>
    <t>O75208_COQ9</t>
  </si>
  <si>
    <t>O75223_GGCT</t>
  </si>
  <si>
    <t>O75306_NDUFS2</t>
  </si>
  <si>
    <t>O75312_ZNF259</t>
  </si>
  <si>
    <t>O75323_GBAS</t>
  </si>
  <si>
    <t>O75330-2_HMMR</t>
  </si>
  <si>
    <t>O75340_PDCD6</t>
  </si>
  <si>
    <t>O75347_TBCA</t>
  </si>
  <si>
    <t>O75348_ATP6V1G1</t>
  </si>
  <si>
    <t>O75351_VPS4B</t>
  </si>
  <si>
    <t>O75362_ZNF217</t>
  </si>
  <si>
    <t>O75365-2_PTP4A3</t>
  </si>
  <si>
    <t>O75368_SH3BGRL</t>
  </si>
  <si>
    <t>O75369-8_FLNB</t>
  </si>
  <si>
    <t>O75376_NCOR1</t>
  </si>
  <si>
    <t>O75379_VAMP4</t>
  </si>
  <si>
    <t>O75380_NDUFS6</t>
  </si>
  <si>
    <t>O75381-2_PEX14</t>
  </si>
  <si>
    <t>O75386_TULP3</t>
  </si>
  <si>
    <t>O75387_SLC43A1</t>
  </si>
  <si>
    <t>O75391_SPAG7</t>
  </si>
  <si>
    <t>O75396_SEC22B</t>
  </si>
  <si>
    <t>O75400_PRPF40A</t>
  </si>
  <si>
    <t>O75419-2_CDC45</t>
  </si>
  <si>
    <t>O75420_GIGYF1</t>
  </si>
  <si>
    <t>O75427_LRCH4</t>
  </si>
  <si>
    <t>O75436_VPS26A</t>
  </si>
  <si>
    <t>O75438_NDUFB1</t>
  </si>
  <si>
    <t>O75439_PMPCB</t>
  </si>
  <si>
    <t>O75446_SAP30</t>
  </si>
  <si>
    <t>O75449_KATNA1</t>
  </si>
  <si>
    <t>O75452_RDH16</t>
  </si>
  <si>
    <t>O75459_PAGE1</t>
  </si>
  <si>
    <t>O75475_PSIP1</t>
  </si>
  <si>
    <t>O75477_ERLIN1</t>
  </si>
  <si>
    <t>O75489_NDUFS3</t>
  </si>
  <si>
    <t>O75503_CLN5</t>
  </si>
  <si>
    <t>O75506_HSBP1</t>
  </si>
  <si>
    <t>O75521-2_ECI2</t>
  </si>
  <si>
    <t>O75528_TADA3</t>
  </si>
  <si>
    <t>O75530-3_EED</t>
  </si>
  <si>
    <t>O75531_BANF1</t>
  </si>
  <si>
    <t>O75533_SF3B1</t>
  </si>
  <si>
    <t>O75534_CSDE1</t>
  </si>
  <si>
    <t>O75554_WBP4</t>
  </si>
  <si>
    <t>O75570_MTRF1</t>
  </si>
  <si>
    <t>O75600_GCAT</t>
  </si>
  <si>
    <t>O75607_NPM3</t>
  </si>
  <si>
    <t>O75608-2_LYPLA1</t>
  </si>
  <si>
    <t>O75616_ERAL1</t>
  </si>
  <si>
    <t>O75629_CREG1</t>
  </si>
  <si>
    <t>O75635-2_SERPINB7</t>
  </si>
  <si>
    <t>O75643_SNRNP200</t>
  </si>
  <si>
    <t>O75648_TRMU</t>
  </si>
  <si>
    <t>O75663_TIPRL</t>
  </si>
  <si>
    <t>O75688_PPM1B</t>
  </si>
  <si>
    <t>O75691_UTP20</t>
  </si>
  <si>
    <t>O75695_RP2</t>
  </si>
  <si>
    <t>O75717_WDHD1</t>
  </si>
  <si>
    <t>O75746_SLC25A12</t>
  </si>
  <si>
    <t>O75781_PALM</t>
  </si>
  <si>
    <t>O75791_GRAP2</t>
  </si>
  <si>
    <t>O75792_RNASEH2A</t>
  </si>
  <si>
    <t>O75794_CDC123</t>
  </si>
  <si>
    <t>O75818-2_RPP40</t>
  </si>
  <si>
    <t>O75821_EIF3G</t>
  </si>
  <si>
    <t>O75822_EIF3J</t>
  </si>
  <si>
    <t>O75828_CBR3</t>
  </si>
  <si>
    <t>O75844_ZMPSTE24</t>
  </si>
  <si>
    <t>O75874_IDH1</t>
  </si>
  <si>
    <t>O75882-3_ATRN</t>
  </si>
  <si>
    <t>O75886_STAM2</t>
  </si>
  <si>
    <t>O75896_TUSC2</t>
  </si>
  <si>
    <t>O75909_CCNK</t>
  </si>
  <si>
    <t>O75911_DHRS3</t>
  </si>
  <si>
    <t>O75915_ARL6IP5</t>
  </si>
  <si>
    <t>O75923-15_DYSF</t>
  </si>
  <si>
    <t>O75928-2_PIAS2</t>
  </si>
  <si>
    <t>O75934_BCAS2</t>
  </si>
  <si>
    <t>O75935-3_DCTN3</t>
  </si>
  <si>
    <t>O75937_DNAJC8</t>
  </si>
  <si>
    <t>O75940_SMNDC1</t>
  </si>
  <si>
    <t>O75943-4_RAD17</t>
  </si>
  <si>
    <t>O75947_ATP5H</t>
  </si>
  <si>
    <t>O75955_FLOT1</t>
  </si>
  <si>
    <t>O75964_ATP5L</t>
  </si>
  <si>
    <t>O75976_CPD</t>
  </si>
  <si>
    <t>O76003_GLRX3</t>
  </si>
  <si>
    <t>O76031_CLPX</t>
  </si>
  <si>
    <t>O76041-2_NEBL</t>
  </si>
  <si>
    <t>O76070_SNCG</t>
  </si>
  <si>
    <t>O76071_CIAO1</t>
  </si>
  <si>
    <t>O76075-2_DFFB</t>
  </si>
  <si>
    <t>O76080_ZFAND5</t>
  </si>
  <si>
    <t>O76094_SRP72</t>
  </si>
  <si>
    <t>O76095-2_JTB</t>
  </si>
  <si>
    <t>O94761_RECQL4</t>
  </si>
  <si>
    <t>O94762_RECQL5</t>
  </si>
  <si>
    <t>O94763_URI1</t>
  </si>
  <si>
    <t>O94766_B3GAT3</t>
  </si>
  <si>
    <t>O94776_MTA2</t>
  </si>
  <si>
    <t>O94782_USP1</t>
  </si>
  <si>
    <t>O94788_ALDH1A2</t>
  </si>
  <si>
    <t>O94804_STK10</t>
  </si>
  <si>
    <t>O94822_LTN1</t>
  </si>
  <si>
    <t>O94826_TOMM70A</t>
  </si>
  <si>
    <t>O94829_IPO13</t>
  </si>
  <si>
    <t>O94830_DDHD2</t>
  </si>
  <si>
    <t>O94832_MYO1D</t>
  </si>
  <si>
    <t>O94851-5_MICAL2</t>
  </si>
  <si>
    <t>O94854-2_KIAA0754</t>
  </si>
  <si>
    <t>O94855_SEC24D</t>
  </si>
  <si>
    <t>O94864-2_SUPT7L</t>
  </si>
  <si>
    <t>O94874_UFL1</t>
  </si>
  <si>
    <t>O94880_PHF14</t>
  </si>
  <si>
    <t>O94885_SASH1</t>
  </si>
  <si>
    <t>O94886_TMEM63A</t>
  </si>
  <si>
    <t>O94888_UBXN7</t>
  </si>
  <si>
    <t>O94889_KLHL18</t>
  </si>
  <si>
    <t>O94898_LRIG2</t>
  </si>
  <si>
    <t>O94903_PROSC</t>
  </si>
  <si>
    <t>O94905_ERLIN2</t>
  </si>
  <si>
    <t>O94906-2_PRPF6</t>
  </si>
  <si>
    <t>O94913_PCF11</t>
  </si>
  <si>
    <t>O94916_NFAT5</t>
  </si>
  <si>
    <t>O94919_ENDOD1</t>
  </si>
  <si>
    <t>O94925-3_GLS</t>
  </si>
  <si>
    <t>O94927_HAUS5</t>
  </si>
  <si>
    <t>O94941-2_UBOX5</t>
  </si>
  <si>
    <t>O94966-7_USP19</t>
  </si>
  <si>
    <t>O94973_AP2A2</t>
  </si>
  <si>
    <t>O94992_HEXIM1</t>
  </si>
  <si>
    <t>O95059_RPP14</t>
  </si>
  <si>
    <t>O95067_CCNB2</t>
  </si>
  <si>
    <t>O95081_AGFG2</t>
  </si>
  <si>
    <t>O95104-3_SCAF4</t>
  </si>
  <si>
    <t>O95139_NDUFB6</t>
  </si>
  <si>
    <t>O95140_MFN2</t>
  </si>
  <si>
    <t>O95155-2_UBE4B</t>
  </si>
  <si>
    <t>O95159_ZFPL1</t>
  </si>
  <si>
    <t>O95163_IKBKAP</t>
  </si>
  <si>
    <t>O95167_NDUFA3</t>
  </si>
  <si>
    <t>O95168_NDUFB4</t>
  </si>
  <si>
    <t>O95182_NDUFA7</t>
  </si>
  <si>
    <t>O95197-2_RTN3</t>
  </si>
  <si>
    <t>O95202_LETM1</t>
  </si>
  <si>
    <t>O95218-2_ZRANB2</t>
  </si>
  <si>
    <t>O95219_SNX4</t>
  </si>
  <si>
    <t>O95229_ZWINT</t>
  </si>
  <si>
    <t>O95231_VENTX</t>
  </si>
  <si>
    <t>O95232_LUC7L3</t>
  </si>
  <si>
    <t>O95239_KIF4A</t>
  </si>
  <si>
    <t>O95251-2_KAT7</t>
  </si>
  <si>
    <t>O95273_CCNDBP1</t>
  </si>
  <si>
    <t>O95292_VAPB</t>
  </si>
  <si>
    <t>O95295_SNAPIN</t>
  </si>
  <si>
    <t>O95297-2_MPZL1</t>
  </si>
  <si>
    <t>O95298-2_NDUFC2</t>
  </si>
  <si>
    <t>O95302_FKBP9</t>
  </si>
  <si>
    <t>O95336_PGLS</t>
  </si>
  <si>
    <t>O95347_SMC2</t>
  </si>
  <si>
    <t>O95352_ATG7</t>
  </si>
  <si>
    <t>O95363_FARS2</t>
  </si>
  <si>
    <t>O95365_ZBTB7A</t>
  </si>
  <si>
    <t>O95372_LYPLA2</t>
  </si>
  <si>
    <t>O95373_IPO7</t>
  </si>
  <si>
    <t>O95376_ARIH2</t>
  </si>
  <si>
    <t>O95391_SLU7</t>
  </si>
  <si>
    <t>O95394_PGM3</t>
  </si>
  <si>
    <t>O95396_MOCS3</t>
  </si>
  <si>
    <t>O95400_CD2BP2</t>
  </si>
  <si>
    <t>O95402_MED26</t>
  </si>
  <si>
    <t>O95405-2_ZFYVE9</t>
  </si>
  <si>
    <t>O95429-2_BAG4</t>
  </si>
  <si>
    <t>O95433_AHSA1</t>
  </si>
  <si>
    <t>O95453-2_PARN</t>
  </si>
  <si>
    <t>O95455_TGDS</t>
  </si>
  <si>
    <t>O95456-2_PSMG1</t>
  </si>
  <si>
    <t>O95466-2_FMNL1</t>
  </si>
  <si>
    <t>O95470_SGPL1</t>
  </si>
  <si>
    <t>O95486_SEC24A</t>
  </si>
  <si>
    <t>O95487-2_SEC24B</t>
  </si>
  <si>
    <t>O95544_NADK</t>
  </si>
  <si>
    <t>O95551_TDP2</t>
  </si>
  <si>
    <t>O95571_ETHE1</t>
  </si>
  <si>
    <t>O95573_ACSL3</t>
  </si>
  <si>
    <t>O95602_POLR1A</t>
  </si>
  <si>
    <t>O95613-2_PCNT</t>
  </si>
  <si>
    <t>O95619_YEATS4</t>
  </si>
  <si>
    <t>O95620_DUS4L</t>
  </si>
  <si>
    <t>O95628-3_CNOT4</t>
  </si>
  <si>
    <t>O95630_STAMBP</t>
  </si>
  <si>
    <t>O95639-3_CPSF4</t>
  </si>
  <si>
    <t>O95671-2_ASMTL</t>
  </si>
  <si>
    <t>O95684_FGFR1OP</t>
  </si>
  <si>
    <t>O95685_PPP1R3D</t>
  </si>
  <si>
    <t>O95716_RAB3D</t>
  </si>
  <si>
    <t>O95721_SNAP29</t>
  </si>
  <si>
    <t>O95747_OXSR1</t>
  </si>
  <si>
    <t>O95749_GGPS1</t>
  </si>
  <si>
    <t>O95758-1_PTBP3</t>
  </si>
  <si>
    <t>O95777_NAA38</t>
  </si>
  <si>
    <t>O95782-2_AP2A1</t>
  </si>
  <si>
    <t>O95801_TTC4</t>
  </si>
  <si>
    <t>O95807_TMEM50A</t>
  </si>
  <si>
    <t>O95810_SDPR</t>
  </si>
  <si>
    <t>O95816_BAG2</t>
  </si>
  <si>
    <t>O95817_BAG3</t>
  </si>
  <si>
    <t>O95825_CRYZL1</t>
  </si>
  <si>
    <t>O95831-3_AIFM1</t>
  </si>
  <si>
    <t>O95834_EML2</t>
  </si>
  <si>
    <t>O95835_LATS1</t>
  </si>
  <si>
    <t>O95848_NUDT14</t>
  </si>
  <si>
    <t>O95857_TSPAN13</t>
  </si>
  <si>
    <t>O95865_DDAH2</t>
  </si>
  <si>
    <t>O95873_C6orf47</t>
  </si>
  <si>
    <t>O95881_TXNDC12</t>
  </si>
  <si>
    <t>O95905_ECD</t>
  </si>
  <si>
    <t>O95926_SYF2</t>
  </si>
  <si>
    <t>O95983-2_MBD3</t>
  </si>
  <si>
    <t>O95985_TOP3B</t>
  </si>
  <si>
    <t>O95989_NUDT3</t>
  </si>
  <si>
    <t>O95997_PTTG1</t>
  </si>
  <si>
    <t>O95999_BCL10</t>
  </si>
  <si>
    <t>O96000_NDUFB10</t>
  </si>
  <si>
    <t>O96007_MOCS2</t>
  </si>
  <si>
    <t>O96008_TOMM40</t>
  </si>
  <si>
    <t>O96011-2_PEX11B</t>
  </si>
  <si>
    <t>O96013_PAK4</t>
  </si>
  <si>
    <t>O96017_CHEK2</t>
  </si>
  <si>
    <t>O96019_ACTL6A</t>
  </si>
  <si>
    <t>O96033_MOCS2</t>
  </si>
  <si>
    <t>P00167-2_CYB5A</t>
  </si>
  <si>
    <t>P00338_LDHA</t>
  </si>
  <si>
    <t>P00352_ALDH1A1</t>
  </si>
  <si>
    <t>P00367_GLUD1</t>
  </si>
  <si>
    <t>P00374_DHFR</t>
  </si>
  <si>
    <t>P00387-2_CYB5R3</t>
  </si>
  <si>
    <t>P00390-5_GSR</t>
  </si>
  <si>
    <t>P00403_MT-CO2</t>
  </si>
  <si>
    <t>P00441_SOD1</t>
  </si>
  <si>
    <t>P00491_PNP</t>
  </si>
  <si>
    <t>P00492_HPRT1</t>
  </si>
  <si>
    <t>P00505_GOT2</t>
  </si>
  <si>
    <t>P00519_ABL1</t>
  </si>
  <si>
    <t>P00558_PGK1</t>
  </si>
  <si>
    <t>P01034_CST3</t>
  </si>
  <si>
    <t>P01111_NRAS</t>
  </si>
  <si>
    <t>P01112_HRAS</t>
  </si>
  <si>
    <t>P01116-2_KRAS</t>
  </si>
  <si>
    <t>P01137_TGFB1</t>
  </si>
  <si>
    <t>P02008_HBZ</t>
  </si>
  <si>
    <t>P02042_HBD</t>
  </si>
  <si>
    <t>P02100_HBE1</t>
  </si>
  <si>
    <t>P02545_LMNA</t>
  </si>
  <si>
    <t>P02545-2_LMNA</t>
  </si>
  <si>
    <t>P02549_SPTA1</t>
  </si>
  <si>
    <t>P02649_APOE</t>
  </si>
  <si>
    <t>P02730_SLC4A1</t>
  </si>
  <si>
    <t>P02786_TFRC</t>
  </si>
  <si>
    <t>P02792_FTL</t>
  </si>
  <si>
    <t>P02794_FTH1</t>
  </si>
  <si>
    <t>P03928_MT-ATP8</t>
  </si>
  <si>
    <t>P04035_HMGCR</t>
  </si>
  <si>
    <t>P04040_CAT</t>
  </si>
  <si>
    <t>P04066_FUCA1</t>
  </si>
  <si>
    <t>P04075_ALDOA</t>
  </si>
  <si>
    <t>P04080_CSTB</t>
  </si>
  <si>
    <t>P04083_ANXA1</t>
  </si>
  <si>
    <t>P04114_APOB</t>
  </si>
  <si>
    <t>P04150-7_NR3C1</t>
  </si>
  <si>
    <t>P04181_OAT</t>
  </si>
  <si>
    <t>P04183_TK1</t>
  </si>
  <si>
    <t>P04350_TUBB4A</t>
  </si>
  <si>
    <t>P04406_GAPDH</t>
  </si>
  <si>
    <t>P04406-2_GAPDH</t>
  </si>
  <si>
    <t>P04424-2_ASL</t>
  </si>
  <si>
    <t>P04632_CAPNS1</t>
  </si>
  <si>
    <t>P04792_HSPB1</t>
  </si>
  <si>
    <t>P04818_TYMS</t>
  </si>
  <si>
    <t>P04843_RPN1</t>
  </si>
  <si>
    <t>P04844-2_RPN2</t>
  </si>
  <si>
    <t>P04899_GNAI2</t>
  </si>
  <si>
    <t>P04920-2_SLC4A2</t>
  </si>
  <si>
    <t>P04921-2_GYPC</t>
  </si>
  <si>
    <t>P05023-4_ATP1A1</t>
  </si>
  <si>
    <t>P05091_ALDH2</t>
  </si>
  <si>
    <t>P05114_HMGN1</t>
  </si>
  <si>
    <t>P05141_SLC25A5</t>
  </si>
  <si>
    <t>P05161_ISG15</t>
  </si>
  <si>
    <t>P05165-3_PCCA</t>
  </si>
  <si>
    <t>P05198_EIF2S1</t>
  </si>
  <si>
    <t>P05204_HMGN2</t>
  </si>
  <si>
    <t>P05362_ICAM1</t>
  </si>
  <si>
    <t>P05386_RPLP1</t>
  </si>
  <si>
    <t>P05387_RPLP2</t>
  </si>
  <si>
    <t>P05388_RPLP0</t>
  </si>
  <si>
    <t>P05412_JUN</t>
  </si>
  <si>
    <t>P05423_POLR3D</t>
  </si>
  <si>
    <t>P05455_SSB</t>
  </si>
  <si>
    <t>P05556_ITGB1</t>
  </si>
  <si>
    <t>P05771-2_PRKCB</t>
  </si>
  <si>
    <t>P05783_KRT18</t>
  </si>
  <si>
    <t>P05937_CALB1</t>
  </si>
  <si>
    <t>P06132_UROD</t>
  </si>
  <si>
    <t>P06280_GLA</t>
  </si>
  <si>
    <t>P06400_RB1</t>
  </si>
  <si>
    <t>P06493_CDK1</t>
  </si>
  <si>
    <t>P06576_ATP5B</t>
  </si>
  <si>
    <t>P06733_ENO1</t>
  </si>
  <si>
    <t>P06733-2_ENO1</t>
  </si>
  <si>
    <t>P06744_GPI</t>
  </si>
  <si>
    <t>P06748_NPM1</t>
  </si>
  <si>
    <t>P06753-2_TPM3</t>
  </si>
  <si>
    <t>P06753-3_TPM3</t>
  </si>
  <si>
    <t>P06756-3_ITGAV</t>
  </si>
  <si>
    <t>P07099_EPHX1</t>
  </si>
  <si>
    <t>P07108_DBI</t>
  </si>
  <si>
    <t>P07195_LDHB</t>
  </si>
  <si>
    <t>P07225_PROS1</t>
  </si>
  <si>
    <t>P07237_P4HB</t>
  </si>
  <si>
    <t>P07339_CTSD</t>
  </si>
  <si>
    <t>P07355_ANXA2</t>
  </si>
  <si>
    <t>P07384_CAPN1</t>
  </si>
  <si>
    <t>P07686_HEXB</t>
  </si>
  <si>
    <t>P07711_CTSL1</t>
  </si>
  <si>
    <t>P07737_PFN1</t>
  </si>
  <si>
    <t>P07738_BPGM</t>
  </si>
  <si>
    <t>P07741_APRT</t>
  </si>
  <si>
    <t>P07814_EPRS</t>
  </si>
  <si>
    <t>P07858_CTSB</t>
  </si>
  <si>
    <t>P07900_HSP90AA1</t>
  </si>
  <si>
    <t>P07902_GALT</t>
  </si>
  <si>
    <t>P07919_UQCRH</t>
  </si>
  <si>
    <t>P07948_LYN</t>
  </si>
  <si>
    <t>P07948-2_LYN</t>
  </si>
  <si>
    <t>P07954-2_FH</t>
  </si>
  <si>
    <t>P08047_SP1</t>
  </si>
  <si>
    <t>P08107_HSPA1A</t>
  </si>
  <si>
    <t>P08123_COL1A2</t>
  </si>
  <si>
    <t>P08133-2_ANXA6</t>
  </si>
  <si>
    <t>P08237_PFKM</t>
  </si>
  <si>
    <t>P08238_HSP90AB1</t>
  </si>
  <si>
    <t>P08240_SRPR</t>
  </si>
  <si>
    <t>P08243-2_ASNS</t>
  </si>
  <si>
    <t>P08397-2_HMBS</t>
  </si>
  <si>
    <t>P08559-3_PDHA1</t>
  </si>
  <si>
    <t>P08574_CYC1</t>
  </si>
  <si>
    <t>P08579_SNRPB2</t>
  </si>
  <si>
    <t>P08590_MYL3</t>
  </si>
  <si>
    <t>P08603_CFH</t>
  </si>
  <si>
    <t>P08621_SNRNP70</t>
  </si>
  <si>
    <t>P08648_ITGA5</t>
  </si>
  <si>
    <t>P08651-4_NFIC</t>
  </si>
  <si>
    <t>P08670_VIM</t>
  </si>
  <si>
    <t>P08754_GNAI3</t>
  </si>
  <si>
    <t>P08758_ANXA5</t>
  </si>
  <si>
    <t>P09012_SNRPA</t>
  </si>
  <si>
    <t>P09038-2_FGF2</t>
  </si>
  <si>
    <t>P09104_ENO2</t>
  </si>
  <si>
    <t>P09105_HBQ1</t>
  </si>
  <si>
    <t>P09110_ACAA1</t>
  </si>
  <si>
    <t>P09132_SRP19</t>
  </si>
  <si>
    <t>P09211_GSTP1</t>
  </si>
  <si>
    <t>P09234_SNRPC</t>
  </si>
  <si>
    <t>P09382_LGALS1</t>
  </si>
  <si>
    <t>P09417_QDPR</t>
  </si>
  <si>
    <t>P09429_HMGB1</t>
  </si>
  <si>
    <t>P09496-2_CLTA</t>
  </si>
  <si>
    <t>P09497-2_CLTB</t>
  </si>
  <si>
    <t>P09525_ANXA4</t>
  </si>
  <si>
    <t>P09543-2_CNP</t>
  </si>
  <si>
    <t>P09622_DLD</t>
  </si>
  <si>
    <t>P09661_SNRPA1</t>
  </si>
  <si>
    <t>P09668_CTSH</t>
  </si>
  <si>
    <t>P09669_COX6C</t>
  </si>
  <si>
    <t>P09874_PARP1</t>
  </si>
  <si>
    <t>P09960_LTA4H</t>
  </si>
  <si>
    <t>P09972_ALDOC</t>
  </si>
  <si>
    <t>P0C2W1_FBXO45</t>
  </si>
  <si>
    <t>P0C7P0_CISD3</t>
  </si>
  <si>
    <t>P0C7P4_UQCRFS1P1</t>
  </si>
  <si>
    <t>P0C7T5_ATXN1L</t>
  </si>
  <si>
    <t>P0CG12_CHTF8</t>
  </si>
  <si>
    <t>P0CW22_RPS17L</t>
  </si>
  <si>
    <t>P0DJ93_SMIM13</t>
  </si>
  <si>
    <t>P10109_FDX1</t>
  </si>
  <si>
    <t>P10114_RAP2A</t>
  </si>
  <si>
    <t>P10124_SRGN</t>
  </si>
  <si>
    <t>P10155_TROVE2</t>
  </si>
  <si>
    <t>P10244_MYBL2</t>
  </si>
  <si>
    <t>P10301_RRAS</t>
  </si>
  <si>
    <t>P10398_ARAF</t>
  </si>
  <si>
    <t>P10412_HIST1H1E</t>
  </si>
  <si>
    <t>P10586-2_PTPRF</t>
  </si>
  <si>
    <t>P10588_NR2F6</t>
  </si>
  <si>
    <t>P10599_TXN</t>
  </si>
  <si>
    <t>P10606_COX5B</t>
  </si>
  <si>
    <t>P10619_CTSA</t>
  </si>
  <si>
    <t>P10644_PRKAR1A</t>
  </si>
  <si>
    <t>P10746_UROS</t>
  </si>
  <si>
    <t>P10768_ESD</t>
  </si>
  <si>
    <t>P10809_HSPD1</t>
  </si>
  <si>
    <t>P11021_HSPA5</t>
  </si>
  <si>
    <t>P11142_HSPA8</t>
  </si>
  <si>
    <t>P11166_SLC2A1</t>
  </si>
  <si>
    <t>P11169_SLC2A3</t>
  </si>
  <si>
    <t>P11171_EPB41</t>
  </si>
  <si>
    <t>P11171-4_EPB41</t>
  </si>
  <si>
    <t>P11172_UMPS</t>
  </si>
  <si>
    <t>P11177-3_PDHB</t>
  </si>
  <si>
    <t>P11182_DBT</t>
  </si>
  <si>
    <t>P11233_RALA</t>
  </si>
  <si>
    <t>P11234_RALB</t>
  </si>
  <si>
    <t>P11274-2_BCR</t>
  </si>
  <si>
    <t>P11277-3_SPTB</t>
  </si>
  <si>
    <t>P11279_LAMP1</t>
  </si>
  <si>
    <t>P11387_TOP1</t>
  </si>
  <si>
    <t>P11388_TOP2A</t>
  </si>
  <si>
    <t>P11413_G6PD</t>
  </si>
  <si>
    <t>P11441_UBL4A</t>
  </si>
  <si>
    <t>P11474-2_ESRRA</t>
  </si>
  <si>
    <t>P11498_PC</t>
  </si>
  <si>
    <t>P11717_IGF2R</t>
  </si>
  <si>
    <t>P11766_ADH5</t>
  </si>
  <si>
    <t>P11802_CDK4</t>
  </si>
  <si>
    <t>P11908_PRPS2</t>
  </si>
  <si>
    <t>P11940_PABPC1</t>
  </si>
  <si>
    <t>P12004_PCNA</t>
  </si>
  <si>
    <t>P12081_HARS</t>
  </si>
  <si>
    <t>P12235_SLC25A4</t>
  </si>
  <si>
    <t>P12236_SLC25A6</t>
  </si>
  <si>
    <t>P12270_TPR</t>
  </si>
  <si>
    <t>P12277_CKB</t>
  </si>
  <si>
    <t>P12318-2_FCGR2A</t>
  </si>
  <si>
    <t>P12429_ANXA3</t>
  </si>
  <si>
    <t>P12532_CKMT1A</t>
  </si>
  <si>
    <t>P12755_SKI</t>
  </si>
  <si>
    <t>P12814-2_ACTN1</t>
  </si>
  <si>
    <t>P12829_MYL4</t>
  </si>
  <si>
    <t>P12882_MYH1</t>
  </si>
  <si>
    <t>P12931_SRC</t>
  </si>
  <si>
    <t>P12955-3_PEPD</t>
  </si>
  <si>
    <t>P12956_XRCC6</t>
  </si>
  <si>
    <t>P13010_XRCC5</t>
  </si>
  <si>
    <t>P13056_NR2C1</t>
  </si>
  <si>
    <t>P13073_COX4I1</t>
  </si>
  <si>
    <t>P13196_ALAS1</t>
  </si>
  <si>
    <t>P13224_GP1BB</t>
  </si>
  <si>
    <t>P13284_IFI30</t>
  </si>
  <si>
    <t>P13473-2_LAMP2</t>
  </si>
  <si>
    <t>P13489_RNH1</t>
  </si>
  <si>
    <t>P13498_CYBA</t>
  </si>
  <si>
    <t>P13639_EEF2</t>
  </si>
  <si>
    <t>P13667_PDIA4</t>
  </si>
  <si>
    <t>P13674-2_P4HA1</t>
  </si>
  <si>
    <t>P13693_TPT1</t>
  </si>
  <si>
    <t>P13796_LCP1</t>
  </si>
  <si>
    <t>P13804_ETFA</t>
  </si>
  <si>
    <t>P13861_PRKAR2A</t>
  </si>
  <si>
    <t>P13929-2_ENO3</t>
  </si>
  <si>
    <t>P13984_GTF2F2</t>
  </si>
  <si>
    <t>P14174_MIF</t>
  </si>
  <si>
    <t>P14209-3_CD99</t>
  </si>
  <si>
    <t>P14316-2_IRF2</t>
  </si>
  <si>
    <t>P14317_HCLS1</t>
  </si>
  <si>
    <t>P14324-2_FDPS</t>
  </si>
  <si>
    <t>P14415_ATP1B2</t>
  </si>
  <si>
    <t>P14550_AKR1A1</t>
  </si>
  <si>
    <t>P14618_PKM</t>
  </si>
  <si>
    <t>P14618-2_PKM</t>
  </si>
  <si>
    <t>P14625_HSP90B1</t>
  </si>
  <si>
    <t>P14635_CCNB1</t>
  </si>
  <si>
    <t>P14649_MYL6B</t>
  </si>
  <si>
    <t>P14678-2_SNRPB</t>
  </si>
  <si>
    <t>P14735_IDE</t>
  </si>
  <si>
    <t>P14854_COX6B1</t>
  </si>
  <si>
    <t>P14866_HNRNPL</t>
  </si>
  <si>
    <t>P14868_DARS</t>
  </si>
  <si>
    <t>P14923_JUP</t>
  </si>
  <si>
    <t>P14927_UQCRB</t>
  </si>
  <si>
    <t>P15056_BRAF</t>
  </si>
  <si>
    <t>P15104_GLUL</t>
  </si>
  <si>
    <t>P15121_AKR1B1</t>
  </si>
  <si>
    <t>P15151-3_PVR</t>
  </si>
  <si>
    <t>P15153_RAC2</t>
  </si>
  <si>
    <t>P15170-2_GSPT1</t>
  </si>
  <si>
    <t>P15289-2_ARSA</t>
  </si>
  <si>
    <t>P15291-2_B4GALT1</t>
  </si>
  <si>
    <t>P15311_EZR</t>
  </si>
  <si>
    <t>P15374_UCHL3</t>
  </si>
  <si>
    <t>P15407_FOSL1</t>
  </si>
  <si>
    <t>P15529-15_CD46</t>
  </si>
  <si>
    <t>P15529-16_CD46</t>
  </si>
  <si>
    <t>P15531_NME1</t>
  </si>
  <si>
    <t>P15880_RPS2</t>
  </si>
  <si>
    <t>P15907_ST6GAL1</t>
  </si>
  <si>
    <t>P15923_TCF3</t>
  </si>
  <si>
    <t>P15923-2_TCF3</t>
  </si>
  <si>
    <t>P15927_RPA2</t>
  </si>
  <si>
    <t>P16150_SPN</t>
  </si>
  <si>
    <t>P16152_CBR1</t>
  </si>
  <si>
    <t>P16157-10_ANK1</t>
  </si>
  <si>
    <t>P16219_ACADS</t>
  </si>
  <si>
    <t>P16284-3_PECAM1</t>
  </si>
  <si>
    <t>P16298_PPP3CB</t>
  </si>
  <si>
    <t>P16333_NCK1</t>
  </si>
  <si>
    <t>P16383_GCFC2</t>
  </si>
  <si>
    <t>P16401_HIST1H1B</t>
  </si>
  <si>
    <t>P16435_POR</t>
  </si>
  <si>
    <t>P16591-3_FER</t>
  </si>
  <si>
    <t>P16615_ATP2A2</t>
  </si>
  <si>
    <t>P16930_FAH</t>
  </si>
  <si>
    <t>P16949_STMN1</t>
  </si>
  <si>
    <t>P16989_YBX3</t>
  </si>
  <si>
    <t>P17017_ZNF14</t>
  </si>
  <si>
    <t>P17028_ZNF24</t>
  </si>
  <si>
    <t>P17036_ZNF3</t>
  </si>
  <si>
    <t>P17039_ZNF30</t>
  </si>
  <si>
    <t>P17050_NAGA</t>
  </si>
  <si>
    <t>P17066_HSPA6</t>
  </si>
  <si>
    <t>P17096-2_HMGA1</t>
  </si>
  <si>
    <t>P17152_TMEM11</t>
  </si>
  <si>
    <t>P17174_GOT1</t>
  </si>
  <si>
    <t>P17252_PRKCA</t>
  </si>
  <si>
    <t>P17275_JUNB</t>
  </si>
  <si>
    <t>P17480_UBTF</t>
  </si>
  <si>
    <t>P17482_HOXB9</t>
  </si>
  <si>
    <t>P17535_JUND</t>
  </si>
  <si>
    <t>P17544-4_ATF7</t>
  </si>
  <si>
    <t>P17568_NDUFB7</t>
  </si>
  <si>
    <t>P17612_PRKACA</t>
  </si>
  <si>
    <t>P17655_CAPN2</t>
  </si>
  <si>
    <t>P17661_DES</t>
  </si>
  <si>
    <t>P17676_CEBPB</t>
  </si>
  <si>
    <t>P17706-2_PTPN2</t>
  </si>
  <si>
    <t>P17707_AMD1</t>
  </si>
  <si>
    <t>P17812_CTPS1</t>
  </si>
  <si>
    <t>P17844_DDX5</t>
  </si>
  <si>
    <t>P17858_PFKL</t>
  </si>
  <si>
    <t>P17987_TCP1</t>
  </si>
  <si>
    <t>P18031_PTPN1</t>
  </si>
  <si>
    <t>P18074_ERCC2</t>
  </si>
  <si>
    <t>P18084_ITGB5</t>
  </si>
  <si>
    <t>P18085_ARF4</t>
  </si>
  <si>
    <t>P18124_RPL7</t>
  </si>
  <si>
    <t>P18146_EGR1</t>
  </si>
  <si>
    <t>P18206-2_VCL</t>
  </si>
  <si>
    <t>P18583-6_SON</t>
  </si>
  <si>
    <t>P18615_NELFE</t>
  </si>
  <si>
    <t>P18669_PGAM1</t>
  </si>
  <si>
    <t>P18754-2_RCC1</t>
  </si>
  <si>
    <t>P18846_ATF1</t>
  </si>
  <si>
    <t>P18859_ATP5J</t>
  </si>
  <si>
    <t>P19174-2_PLCG1</t>
  </si>
  <si>
    <t>P19338_NCL</t>
  </si>
  <si>
    <t>P19367-2_HK1</t>
  </si>
  <si>
    <t>P19387_POLR2C</t>
  </si>
  <si>
    <t>P19388_POLR2E</t>
  </si>
  <si>
    <t>P19419_ELK1</t>
  </si>
  <si>
    <t>P19447_ERCC3</t>
  </si>
  <si>
    <t>P19525-2_EIF2AK2</t>
  </si>
  <si>
    <t>P19532_TFE3</t>
  </si>
  <si>
    <t>P19623_SRM</t>
  </si>
  <si>
    <t>P19784_CSNK2A2</t>
  </si>
  <si>
    <t>P19838_NFKB1</t>
  </si>
  <si>
    <t>P20020-6_ATP2B1</t>
  </si>
  <si>
    <t>P20042_EIF2S2</t>
  </si>
  <si>
    <t>P20138-2_CD33</t>
  </si>
  <si>
    <t>P20248_CCNA2</t>
  </si>
  <si>
    <t>P20290_BTF3</t>
  </si>
  <si>
    <t>P20290-2_BTF3</t>
  </si>
  <si>
    <t>P20333_TNFRSF1B</t>
  </si>
  <si>
    <t>P20336_RAB3A</t>
  </si>
  <si>
    <t>P20338_RAB4A</t>
  </si>
  <si>
    <t>P20340_RAB6A</t>
  </si>
  <si>
    <t>P20340-2_RAB6A</t>
  </si>
  <si>
    <t>P20585_MSH3</t>
  </si>
  <si>
    <t>P20618_PSMB1</t>
  </si>
  <si>
    <t>P20645_M6PR</t>
  </si>
  <si>
    <t>P20674_COX5A</t>
  </si>
  <si>
    <t>P20700_LMNB1</t>
  </si>
  <si>
    <t>P20962_PTMS</t>
  </si>
  <si>
    <t>P21127-8_CDK11B</t>
  </si>
  <si>
    <t>P21281_ATP6V1B2</t>
  </si>
  <si>
    <t>P21283_ATP6V1C1</t>
  </si>
  <si>
    <t>P21291_CSRP1</t>
  </si>
  <si>
    <t>P21333-2_FLNA</t>
  </si>
  <si>
    <t>P21359-2_NF1</t>
  </si>
  <si>
    <t>P21399_ACO1</t>
  </si>
  <si>
    <t>P21580_TNFAIP3</t>
  </si>
  <si>
    <t>P21695-2_GPD1</t>
  </si>
  <si>
    <t>P21731_TBXA2R</t>
  </si>
  <si>
    <t>P21796_VDAC1</t>
  </si>
  <si>
    <t>P21912_SDHB</t>
  </si>
  <si>
    <t>P21964-2_COMT</t>
  </si>
  <si>
    <t>P21980_TGM2</t>
  </si>
  <si>
    <t>P22033_MUT</t>
  </si>
  <si>
    <t>P22059_OSBP</t>
  </si>
  <si>
    <t>P22102_GART</t>
  </si>
  <si>
    <t>P22234_PAICS</t>
  </si>
  <si>
    <t>P22307_SCP2</t>
  </si>
  <si>
    <t>P22307-2_SCP2</t>
  </si>
  <si>
    <t>P22314_UBA1</t>
  </si>
  <si>
    <t>P22466_GAL</t>
  </si>
  <si>
    <t>P22532_SPRR2D</t>
  </si>
  <si>
    <t>P22570_FDXR</t>
  </si>
  <si>
    <t>P22626-2_HNRNPA2B1</t>
  </si>
  <si>
    <t>P22670_RFX1</t>
  </si>
  <si>
    <t>P22681_CBL</t>
  </si>
  <si>
    <t>P22692_IGFBP4</t>
  </si>
  <si>
    <t>P22695_UQCRC2</t>
  </si>
  <si>
    <t>P22830_FECH</t>
  </si>
  <si>
    <t>P23025_XPA</t>
  </si>
  <si>
    <t>P23193_TCEA1</t>
  </si>
  <si>
    <t>P23246_SFPQ</t>
  </si>
  <si>
    <t>P23258_TUBG1</t>
  </si>
  <si>
    <t>P23284_PPIB</t>
  </si>
  <si>
    <t>P23368_ME2</t>
  </si>
  <si>
    <t>P23381_WARS</t>
  </si>
  <si>
    <t>P23396_RPS3</t>
  </si>
  <si>
    <t>P23409_MYF6</t>
  </si>
  <si>
    <t>P23434_GCSH</t>
  </si>
  <si>
    <t>P23458_JAK1</t>
  </si>
  <si>
    <t>P23497_SP100</t>
  </si>
  <si>
    <t>P23511-2_NFYA</t>
  </si>
  <si>
    <t>P23526_AHCY</t>
  </si>
  <si>
    <t>P23528_CFL1</t>
  </si>
  <si>
    <t>P23634-7_ATP2B4</t>
  </si>
  <si>
    <t>P23677_ITPKA</t>
  </si>
  <si>
    <t>P23743_DGKA</t>
  </si>
  <si>
    <t>P23786_CPT2</t>
  </si>
  <si>
    <t>P23919_DTYMK</t>
  </si>
  <si>
    <t>P23921_RRM1</t>
  </si>
  <si>
    <t>P24468_NR2F2</t>
  </si>
  <si>
    <t>P24534_EEF1B2</t>
  </si>
  <si>
    <t>P24666_ACP1</t>
  </si>
  <si>
    <t>P24666-2_ACP1</t>
  </si>
  <si>
    <t>P24752_ACAT1</t>
  </si>
  <si>
    <t>P24928_POLR2A</t>
  </si>
  <si>
    <t>P25054-2_APC</t>
  </si>
  <si>
    <t>P25098_ADRBK1</t>
  </si>
  <si>
    <t>P25116_F2R</t>
  </si>
  <si>
    <t>P25205_MCM3</t>
  </si>
  <si>
    <t>P25398_RPS12</t>
  </si>
  <si>
    <t>P25490_YY1</t>
  </si>
  <si>
    <t>P25685_DNAJB1</t>
  </si>
  <si>
    <t>P25705_ATP5A1</t>
  </si>
  <si>
    <t>P25774-2_CTSS</t>
  </si>
  <si>
    <t>P25786_PSMA1</t>
  </si>
  <si>
    <t>P25787_PSMA2</t>
  </si>
  <si>
    <t>P25788-2_PSMA3</t>
  </si>
  <si>
    <t>P25789_PSMA4</t>
  </si>
  <si>
    <t>P25791_LMO2</t>
  </si>
  <si>
    <t>P25815_S100P</t>
  </si>
  <si>
    <t>P26038_MSN</t>
  </si>
  <si>
    <t>P26196_DDX6</t>
  </si>
  <si>
    <t>P26358_DNMT1</t>
  </si>
  <si>
    <t>P26358-2_DNMT1</t>
  </si>
  <si>
    <t>P26368-2_U2AF2</t>
  </si>
  <si>
    <t>P26373_RPL13</t>
  </si>
  <si>
    <t>P26374_CHML</t>
  </si>
  <si>
    <t>P26447_S100A4</t>
  </si>
  <si>
    <t>P26572_MGAT1</t>
  </si>
  <si>
    <t>P26583_HMGB2</t>
  </si>
  <si>
    <t>P26599_PTBP1</t>
  </si>
  <si>
    <t>P26639_TARS</t>
  </si>
  <si>
    <t>P26640_VARS</t>
  </si>
  <si>
    <t>P26641_EEF1G</t>
  </si>
  <si>
    <t>P26885_FKBP2</t>
  </si>
  <si>
    <t>P27144_AK4</t>
  </si>
  <si>
    <t>P27348_YWHAQ</t>
  </si>
  <si>
    <t>P27361_MAPK3</t>
  </si>
  <si>
    <t>P27540-2_ARNT</t>
  </si>
  <si>
    <t>P27635_RPL10</t>
  </si>
  <si>
    <t>P27694_RPA1</t>
  </si>
  <si>
    <t>P27695_APEX1</t>
  </si>
  <si>
    <t>P27797_CALR</t>
  </si>
  <si>
    <t>P27815-6_PDE4A</t>
  </si>
  <si>
    <t>P27824_CANX</t>
  </si>
  <si>
    <t>P27986_PIK3R1</t>
  </si>
  <si>
    <t>P28065_PSMB9</t>
  </si>
  <si>
    <t>P28066_PSMA5</t>
  </si>
  <si>
    <t>P28070_PSMB4</t>
  </si>
  <si>
    <t>P28072_PSMB6</t>
  </si>
  <si>
    <t>P28074_PSMB5</t>
  </si>
  <si>
    <t>P28289_TMOD1</t>
  </si>
  <si>
    <t>P28331_NDUFS1</t>
  </si>
  <si>
    <t>P28482_MAPK1</t>
  </si>
  <si>
    <t>P28702_RXRB</t>
  </si>
  <si>
    <t>P28715_ERCC5</t>
  </si>
  <si>
    <t>P28799_GRN</t>
  </si>
  <si>
    <t>P28838-2_LAP3</t>
  </si>
  <si>
    <t>P28908_TNFRSF8</t>
  </si>
  <si>
    <t>P29083_GTF2E1</t>
  </si>
  <si>
    <t>P29084_GTF2E2</t>
  </si>
  <si>
    <t>P29218_IMPA1</t>
  </si>
  <si>
    <t>P29350_PTPN6</t>
  </si>
  <si>
    <t>P29353-7_SHC1</t>
  </si>
  <si>
    <t>P29372-5_MPG</t>
  </si>
  <si>
    <t>P29401_TKT</t>
  </si>
  <si>
    <t>P29590-2_PML</t>
  </si>
  <si>
    <t>P29692-3_EEF1D</t>
  </si>
  <si>
    <t>P29966_MARCKS</t>
  </si>
  <si>
    <t>P29992_GNA11</t>
  </si>
  <si>
    <t>P30038_ALDH4A1</t>
  </si>
  <si>
    <t>P30040_ERP29</t>
  </si>
  <si>
    <t>P30041_PRDX6</t>
  </si>
  <si>
    <t>P30042_C21orf33</t>
  </si>
  <si>
    <t>P30043_BLVRB</t>
  </si>
  <si>
    <t>P30044-2_PRDX5</t>
  </si>
  <si>
    <t>P30046_DDT</t>
  </si>
  <si>
    <t>P30049_ATP5D</t>
  </si>
  <si>
    <t>P30050_RPL12</t>
  </si>
  <si>
    <t>P30084_ECHS1</t>
  </si>
  <si>
    <t>P30085_CMPK1</t>
  </si>
  <si>
    <t>P30086_PEBP1</t>
  </si>
  <si>
    <t>P30153_PPP2R1A</t>
  </si>
  <si>
    <t>P30154_PPP2R1B</t>
  </si>
  <si>
    <t>P30260_CDC27</t>
  </si>
  <si>
    <t>P30281_CCND3</t>
  </si>
  <si>
    <t>P30291_WEE1</t>
  </si>
  <si>
    <t>P30307_CDC25C</t>
  </si>
  <si>
    <t>P30405_PPIF</t>
  </si>
  <si>
    <t>P30419_NMT1</t>
  </si>
  <si>
    <t>P30519_HMOX2</t>
  </si>
  <si>
    <t>P30520_ADSS</t>
  </si>
  <si>
    <t>P30533_LRPAP1</t>
  </si>
  <si>
    <t>P30566_ADSL</t>
  </si>
  <si>
    <t>P30613_PKLR</t>
  </si>
  <si>
    <t>P30622-1_CLIP1</t>
  </si>
  <si>
    <t>P30711_GSTT1</t>
  </si>
  <si>
    <t>P30740_SERPINB1</t>
  </si>
  <si>
    <t>P30825_SLC7A1</t>
  </si>
  <si>
    <t>P30837_ALDH1B1</t>
  </si>
  <si>
    <t>P31040_SDHA</t>
  </si>
  <si>
    <t>P31146_CORO1A</t>
  </si>
  <si>
    <t>P31150_GDI1</t>
  </si>
  <si>
    <t>P31153_MAT2A</t>
  </si>
  <si>
    <t>P31321_PRKAR1B</t>
  </si>
  <si>
    <t>P31323_PRKAR2B</t>
  </si>
  <si>
    <t>P31350_RRM2</t>
  </si>
  <si>
    <t>P31641_SLC6A6</t>
  </si>
  <si>
    <t>P31689_DNAJA1</t>
  </si>
  <si>
    <t>P31749_AKT1</t>
  </si>
  <si>
    <t>P31751_AKT2</t>
  </si>
  <si>
    <t>P31930_UQCRC1</t>
  </si>
  <si>
    <t>P31937_HIBADH</t>
  </si>
  <si>
    <t>P31939_ATIC</t>
  </si>
  <si>
    <t>P31942-2_HNRNPH3</t>
  </si>
  <si>
    <t>P31946_YWHAB</t>
  </si>
  <si>
    <t>P31947-2_SFN</t>
  </si>
  <si>
    <t>P31948_STIP1</t>
  </si>
  <si>
    <t>P31949_S100A11</t>
  </si>
  <si>
    <t>P32019-2_INPP5B</t>
  </si>
  <si>
    <t>P32119_PRDX2</t>
  </si>
  <si>
    <t>P32121-5_ARRB2</t>
  </si>
  <si>
    <t>P32189-1_GK</t>
  </si>
  <si>
    <t>P32321_DCTD</t>
  </si>
  <si>
    <t>P32322_PYCR1</t>
  </si>
  <si>
    <t>P32519-2_ELF1</t>
  </si>
  <si>
    <t>P32780_GTF2H1</t>
  </si>
  <si>
    <t>P32856-3_STX2</t>
  </si>
  <si>
    <t>P32929_CTH</t>
  </si>
  <si>
    <t>P32969_RPL9</t>
  </si>
  <si>
    <t>P33121-2_ACSL1</t>
  </si>
  <si>
    <t>P33176_KIF5B</t>
  </si>
  <si>
    <t>P33240-2_CSTF2</t>
  </si>
  <si>
    <t>P33316_DUT</t>
  </si>
  <si>
    <t>P33316-2_DUT</t>
  </si>
  <si>
    <t>P33552_CKS2</t>
  </si>
  <si>
    <t>P33908_MAN1A1</t>
  </si>
  <si>
    <t>P33981-2_TTK</t>
  </si>
  <si>
    <t>P33991_MCM4</t>
  </si>
  <si>
    <t>P33992_MCM5</t>
  </si>
  <si>
    <t>P33993_MCM7</t>
  </si>
  <si>
    <t>P34059_GALNS</t>
  </si>
  <si>
    <t>P34896-2_SHMT1</t>
  </si>
  <si>
    <t>P34897-3_SHMT2</t>
  </si>
  <si>
    <t>P34913_EPHX2</t>
  </si>
  <si>
    <t>P34932_HSPA4</t>
  </si>
  <si>
    <t>P35219_CA8</t>
  </si>
  <si>
    <t>P35221_CTNNA1</t>
  </si>
  <si>
    <t>P35232_PHB</t>
  </si>
  <si>
    <t>P35237_SERPINB6</t>
  </si>
  <si>
    <t>P35240-4_NF2</t>
  </si>
  <si>
    <t>P35241_RDX</t>
  </si>
  <si>
    <t>P35244_RPA3</t>
  </si>
  <si>
    <t>P35249_RFC4</t>
  </si>
  <si>
    <t>P35250_RFC2</t>
  </si>
  <si>
    <t>P35251-2_RFC1</t>
  </si>
  <si>
    <t>P35268_RPL22</t>
  </si>
  <si>
    <t>P35269_GTF2F1</t>
  </si>
  <si>
    <t>P35270_SPR</t>
  </si>
  <si>
    <t>P35520_CBS</t>
  </si>
  <si>
    <t>P35573_AGL</t>
  </si>
  <si>
    <t>P35579_MYH9</t>
  </si>
  <si>
    <t>P35580_MYH10</t>
  </si>
  <si>
    <t>P35606_COPB2</t>
  </si>
  <si>
    <t>P35612_ADD2</t>
  </si>
  <si>
    <t>P35613-2_BSG</t>
  </si>
  <si>
    <t>P35626_ADRBK2</t>
  </si>
  <si>
    <t>P35637-2_FUS</t>
  </si>
  <si>
    <t>P35658-2_NUP214</t>
  </si>
  <si>
    <t>P35659_DEK</t>
  </si>
  <si>
    <t>P35749-4_MYH11</t>
  </si>
  <si>
    <t>P35754_GLRX</t>
  </si>
  <si>
    <t>P35790-2_CHKA</t>
  </si>
  <si>
    <t>P35813_PPM1A</t>
  </si>
  <si>
    <t>P35998_PSMC2</t>
  </si>
  <si>
    <t>P36404_ARL2</t>
  </si>
  <si>
    <t>P36405_ARL3</t>
  </si>
  <si>
    <t>P36507_MAP2K2</t>
  </si>
  <si>
    <t>P36542_ATP5C1</t>
  </si>
  <si>
    <t>P36543_ATP6V1E1</t>
  </si>
  <si>
    <t>P36551_CPOX</t>
  </si>
  <si>
    <t>P36578_RPL4</t>
  </si>
  <si>
    <t>P36639-4_NUDT1</t>
  </si>
  <si>
    <t>P36915_GNL1</t>
  </si>
  <si>
    <t>P36954_POLR2I</t>
  </si>
  <si>
    <t>P36957_DLST</t>
  </si>
  <si>
    <t>P36959_GMPR</t>
  </si>
  <si>
    <t>P36969-2_GPX4</t>
  </si>
  <si>
    <t>P37108_SRP14</t>
  </si>
  <si>
    <t>P37198_NUP62</t>
  </si>
  <si>
    <t>P37235_HPCAL1</t>
  </si>
  <si>
    <t>P37268_FDFT1</t>
  </si>
  <si>
    <t>P37287-3_PIGA</t>
  </si>
  <si>
    <t>P37802_TAGLN2</t>
  </si>
  <si>
    <t>P37837_TALDO1</t>
  </si>
  <si>
    <t>P38117_ETFB</t>
  </si>
  <si>
    <t>P38159_RBMX</t>
  </si>
  <si>
    <t>P38432_COIL</t>
  </si>
  <si>
    <t>P38435_GGCX</t>
  </si>
  <si>
    <t>P38606_ATP6V1A</t>
  </si>
  <si>
    <t>P38646_HSPA9</t>
  </si>
  <si>
    <t>P38919_EIF4A3</t>
  </si>
  <si>
    <t>P38935_IGHMBP2</t>
  </si>
  <si>
    <t>P39019_RPS19</t>
  </si>
  <si>
    <t>P39023_RPL3</t>
  </si>
  <si>
    <t>P39060-2_COL18A1</t>
  </si>
  <si>
    <t>P39656_DDOST</t>
  </si>
  <si>
    <t>P39687_ANP32A</t>
  </si>
  <si>
    <t>P39748_FEN1</t>
  </si>
  <si>
    <t>P39880-2_CUX1</t>
  </si>
  <si>
    <t>P40121_CAPG</t>
  </si>
  <si>
    <t>P40222_TXLNA</t>
  </si>
  <si>
    <t>P40227_CCT6A</t>
  </si>
  <si>
    <t>P40261_NNMT</t>
  </si>
  <si>
    <t>P40337-3_VHL</t>
  </si>
  <si>
    <t>P40425_PBX2</t>
  </si>
  <si>
    <t>P40617_ARL4A</t>
  </si>
  <si>
    <t>P40692_MLH1</t>
  </si>
  <si>
    <t>P40763_STAT3</t>
  </si>
  <si>
    <t>P40763-2_STAT3</t>
  </si>
  <si>
    <t>P40818_USP8</t>
  </si>
  <si>
    <t>P40925_MDH1</t>
  </si>
  <si>
    <t>P40926_MDH2</t>
  </si>
  <si>
    <t>P40937_RFC5</t>
  </si>
  <si>
    <t>P40938_RFC3</t>
  </si>
  <si>
    <t>P40939_HADHA</t>
  </si>
  <si>
    <t>P41091_EIF2S3</t>
  </si>
  <si>
    <t>P41134-2_ID1</t>
  </si>
  <si>
    <t>P41208_CETN2</t>
  </si>
  <si>
    <t>P41214_EIF2D</t>
  </si>
  <si>
    <t>P41223_BUD31</t>
  </si>
  <si>
    <t>P41227_NAA10</t>
  </si>
  <si>
    <t>P41229-2_KDM5C</t>
  </si>
  <si>
    <t>P41236_PPP1R2</t>
  </si>
  <si>
    <t>P41240_CSK</t>
  </si>
  <si>
    <t>P41247_PNPLA4</t>
  </si>
  <si>
    <t>P41250_GARS</t>
  </si>
  <si>
    <t>P41252_IARS</t>
  </si>
  <si>
    <t>P41440_SLC19A1</t>
  </si>
  <si>
    <t>P41567_EIF1</t>
  </si>
  <si>
    <t>P41743_PRKCI</t>
  </si>
  <si>
    <t>P42025_ACTR1B</t>
  </si>
  <si>
    <t>P42126-2_ECI1</t>
  </si>
  <si>
    <t>P42166_TMPO</t>
  </si>
  <si>
    <t>P42167_TMPO</t>
  </si>
  <si>
    <t>P42224_STAT1</t>
  </si>
  <si>
    <t>P42226-3_STAT6</t>
  </si>
  <si>
    <t>P42285_SKIV2L2</t>
  </si>
  <si>
    <t>P42330_AKR1C3</t>
  </si>
  <si>
    <t>P42336_PIK3CA</t>
  </si>
  <si>
    <t>P42338_PIK3CB</t>
  </si>
  <si>
    <t>P42345_MTOR</t>
  </si>
  <si>
    <t>P42566_EPS15</t>
  </si>
  <si>
    <t>P42574_CASP3</t>
  </si>
  <si>
    <t>P42575_CASP2</t>
  </si>
  <si>
    <t>P42677_RPS27</t>
  </si>
  <si>
    <t>P42680_TEC</t>
  </si>
  <si>
    <t>P42684-6_ABL2</t>
  </si>
  <si>
    <t>P42695_NCAPD3</t>
  </si>
  <si>
    <t>P42704_LRPPRC</t>
  </si>
  <si>
    <t>P42765_ACAA2</t>
  </si>
  <si>
    <t>P42766_RPL35</t>
  </si>
  <si>
    <t>P42773_CDKN2C</t>
  </si>
  <si>
    <t>P42785_PRCP</t>
  </si>
  <si>
    <t>P43007_SLC1A4</t>
  </si>
  <si>
    <t>P43034_PAFAH1B1</t>
  </si>
  <si>
    <t>P43121_MCAM</t>
  </si>
  <si>
    <t>P43155-3_CRAT</t>
  </si>
  <si>
    <t>P43246_MSH2</t>
  </si>
  <si>
    <t>P43250-2_GRK6</t>
  </si>
  <si>
    <t>P43304_GPD2</t>
  </si>
  <si>
    <t>P43307_SSR1</t>
  </si>
  <si>
    <t>P43355_MAGEA1</t>
  </si>
  <si>
    <t>P43357_MAGEA3</t>
  </si>
  <si>
    <t>P43366_MAGEB1</t>
  </si>
  <si>
    <t>P43378_PTPN9</t>
  </si>
  <si>
    <t>P43405-2_SYK</t>
  </si>
  <si>
    <t>P43487_RANBP1</t>
  </si>
  <si>
    <t>P43490_NAMPT</t>
  </si>
  <si>
    <t>P43686_PSMC4</t>
  </si>
  <si>
    <t>P43897_TSFM</t>
  </si>
  <si>
    <t>P45880_VDAC2</t>
  </si>
  <si>
    <t>P45880-2_VDAC2</t>
  </si>
  <si>
    <t>P45954_ACADSB</t>
  </si>
  <si>
    <t>P45973_CBX5</t>
  </si>
  <si>
    <t>P45974-2_USP5</t>
  </si>
  <si>
    <t>P45983-3_MAPK8</t>
  </si>
  <si>
    <t>P45984-3_MAPK9</t>
  </si>
  <si>
    <t>P45985_MAP2K4</t>
  </si>
  <si>
    <t>P46013_MKI67</t>
  </si>
  <si>
    <t>P46019_PHKA2</t>
  </si>
  <si>
    <t>P46060_RANGAP1</t>
  </si>
  <si>
    <t>P46063_RECQL</t>
  </si>
  <si>
    <t>P46087-2_NOP2</t>
  </si>
  <si>
    <t>P46100-6_ATRX</t>
  </si>
  <si>
    <t>P46108_CRK</t>
  </si>
  <si>
    <t>P46109_CRKL</t>
  </si>
  <si>
    <t>P46199_MTIF2</t>
  </si>
  <si>
    <t>P46527_CDKN1B</t>
  </si>
  <si>
    <t>P46531_NOTCH1</t>
  </si>
  <si>
    <t>P46734_MAP2K3</t>
  </si>
  <si>
    <t>P46736-2_BRCC3</t>
  </si>
  <si>
    <t>P46777_RPL5</t>
  </si>
  <si>
    <t>P46778_RPL21</t>
  </si>
  <si>
    <t>P46781_RPS9</t>
  </si>
  <si>
    <t>P46783_RPS10</t>
  </si>
  <si>
    <t>P46821_MAP1B</t>
  </si>
  <si>
    <t>P46926_GNPDA1</t>
  </si>
  <si>
    <t>P46934-4_NEDD4</t>
  </si>
  <si>
    <t>P46940_IQGAP1</t>
  </si>
  <si>
    <t>P46976-2_GYG1</t>
  </si>
  <si>
    <t>P46977_STT3A</t>
  </si>
  <si>
    <t>P47224_RABIF</t>
  </si>
  <si>
    <t>P47755_CAPZA2</t>
  </si>
  <si>
    <t>P47756-2_CAPZB</t>
  </si>
  <si>
    <t>P47813_EIF1AX</t>
  </si>
  <si>
    <t>P47897_QARS</t>
  </si>
  <si>
    <t>P47914_RPL29</t>
  </si>
  <si>
    <t>P47974_ZFP36L2</t>
  </si>
  <si>
    <t>P47985_UQCRFS1</t>
  </si>
  <si>
    <t>P48029_SLC6A8</t>
  </si>
  <si>
    <t>P48047_ATP5O</t>
  </si>
  <si>
    <t>P48059-3_LIMS1</t>
  </si>
  <si>
    <t>P48147_PREP</t>
  </si>
  <si>
    <t>P48163_ME1</t>
  </si>
  <si>
    <t>P48200_IREB2</t>
  </si>
  <si>
    <t>P48357-2_LEPR</t>
  </si>
  <si>
    <t>P48378_RFX2</t>
  </si>
  <si>
    <t>P48444_ARCN1</t>
  </si>
  <si>
    <t>P48449_LSS</t>
  </si>
  <si>
    <t>P48454_PPP3CC</t>
  </si>
  <si>
    <t>P48506_GCLC</t>
  </si>
  <si>
    <t>P48507_GCLM</t>
  </si>
  <si>
    <t>P48634_PRRC2A</t>
  </si>
  <si>
    <t>P48637_GSS</t>
  </si>
  <si>
    <t>P48643_CCT5</t>
  </si>
  <si>
    <t>P48681_NES</t>
  </si>
  <si>
    <t>P48723_HSPA13</t>
  </si>
  <si>
    <t>P48729_CSNK1A1</t>
  </si>
  <si>
    <t>P48730_CSNK1D</t>
  </si>
  <si>
    <t>P48735_IDH2</t>
  </si>
  <si>
    <t>P48736_PIK3CG</t>
  </si>
  <si>
    <t>P48739_PITPNB</t>
  </si>
  <si>
    <t>P48960-2_CD97</t>
  </si>
  <si>
    <t>P49005_POLD2</t>
  </si>
  <si>
    <t>P49006_MARCKSL1</t>
  </si>
  <si>
    <t>P49023-2_PXN</t>
  </si>
  <si>
    <t>P49069_CAMLG</t>
  </si>
  <si>
    <t>P49116_NR2C2</t>
  </si>
  <si>
    <t>P49137_MAPKAPK2</t>
  </si>
  <si>
    <t>P49189_ALDH9A1</t>
  </si>
  <si>
    <t>P49207_RPL34</t>
  </si>
  <si>
    <t>P49247_RPIA</t>
  </si>
  <si>
    <t>P49257_LMAN1</t>
  </si>
  <si>
    <t>P49281-5_SLC11A2</t>
  </si>
  <si>
    <t>P49321_NASP</t>
  </si>
  <si>
    <t>P49327_FASN</t>
  </si>
  <si>
    <t>P49336-2_CDK8</t>
  </si>
  <si>
    <t>P49354_FNTA</t>
  </si>
  <si>
    <t>P49366_DHPS</t>
  </si>
  <si>
    <t>P49368_CCT3</t>
  </si>
  <si>
    <t>P49406_MRPL19</t>
  </si>
  <si>
    <t>P49411_TUFM</t>
  </si>
  <si>
    <t>P49427_CDC34</t>
  </si>
  <si>
    <t>P49441_INPP1</t>
  </si>
  <si>
    <t>P49448_GLUD2</t>
  </si>
  <si>
    <t>P49454_CENPF</t>
  </si>
  <si>
    <t>P49458_SRP9</t>
  </si>
  <si>
    <t>P49459_UBE2A</t>
  </si>
  <si>
    <t>P49585_PCYT1A</t>
  </si>
  <si>
    <t>P49588_AARS</t>
  </si>
  <si>
    <t>P49589-3_CARS</t>
  </si>
  <si>
    <t>P49593_PPM1F</t>
  </si>
  <si>
    <t>P49642_PRIM1</t>
  </si>
  <si>
    <t>P49643_PRIM2</t>
  </si>
  <si>
    <t>P49674_CSNK1E</t>
  </si>
  <si>
    <t>P49711_CTCF</t>
  </si>
  <si>
    <t>P49721_PSMB2</t>
  </si>
  <si>
    <t>P49736_MCM2</t>
  </si>
  <si>
    <t>P49748-2_ACADVL</t>
  </si>
  <si>
    <t>P49750_YLPM1</t>
  </si>
  <si>
    <t>P49755_TMED10</t>
  </si>
  <si>
    <t>P49756_RBM25</t>
  </si>
  <si>
    <t>P49757-4_NUMB</t>
  </si>
  <si>
    <t>P49761-1_CLK3</t>
  </si>
  <si>
    <t>P49770_EIF2B2</t>
  </si>
  <si>
    <t>P49773_HINT1</t>
  </si>
  <si>
    <t>P49790_NUP153</t>
  </si>
  <si>
    <t>P49792_RANBP2</t>
  </si>
  <si>
    <t>P49795_RGS19</t>
  </si>
  <si>
    <t>P49840_GSK3A</t>
  </si>
  <si>
    <t>P49841_GSK3B</t>
  </si>
  <si>
    <t>P49902_NT5C2</t>
  </si>
  <si>
    <t>P49903_SEPHS1</t>
  </si>
  <si>
    <t>P49903-3_SEPHS1</t>
  </si>
  <si>
    <t>P49914_MTHFS</t>
  </si>
  <si>
    <t>P49915_GMPS</t>
  </si>
  <si>
    <t>P49916_LIG3</t>
  </si>
  <si>
    <t>P49917_LIG4</t>
  </si>
  <si>
    <t>P49959_MRE11A</t>
  </si>
  <si>
    <t>P50053_KHK</t>
  </si>
  <si>
    <t>P50135_HNMT</t>
  </si>
  <si>
    <t>P50148_GNAQ</t>
  </si>
  <si>
    <t>P50213_IDH3A</t>
  </si>
  <si>
    <t>P50224_SULT1A3</t>
  </si>
  <si>
    <t>P50225_SULT1A1</t>
  </si>
  <si>
    <t>P50336_PPOX</t>
  </si>
  <si>
    <t>P50402_EMD</t>
  </si>
  <si>
    <t>P50416_CPT1A</t>
  </si>
  <si>
    <t>P50453_SERPINB9</t>
  </si>
  <si>
    <t>P50454_SERPINH1</t>
  </si>
  <si>
    <t>P50479_PDLIM4</t>
  </si>
  <si>
    <t>P50502_ST13</t>
  </si>
  <si>
    <t>P50552_VASP</t>
  </si>
  <si>
    <t>P50570_DNM2</t>
  </si>
  <si>
    <t>P50579_METAP2</t>
  </si>
  <si>
    <t>P50583_NUDT2</t>
  </si>
  <si>
    <t>P50613_CDK7</t>
  </si>
  <si>
    <t>P50747_HLCS</t>
  </si>
  <si>
    <t>P50748_KNTC1</t>
  </si>
  <si>
    <t>P50750_CDK9</t>
  </si>
  <si>
    <t>P50897_PPT1</t>
  </si>
  <si>
    <t>P50990_CCT8</t>
  </si>
  <si>
    <t>P50991_CCT4</t>
  </si>
  <si>
    <t>P51003_PAPOLA</t>
  </si>
  <si>
    <t>P51116_FXR2</t>
  </si>
  <si>
    <t>P51148_RAB5C</t>
  </si>
  <si>
    <t>P51149_RAB7A</t>
  </si>
  <si>
    <t>P51151_RAB9A</t>
  </si>
  <si>
    <t>P51153_RAB13</t>
  </si>
  <si>
    <t>P51157_RAB28</t>
  </si>
  <si>
    <t>P51159_RAB27A</t>
  </si>
  <si>
    <t>P51178_PLCD1</t>
  </si>
  <si>
    <t>P51397_DAP</t>
  </si>
  <si>
    <t>P51398-2_DAP3</t>
  </si>
  <si>
    <t>P51452_DUSP3</t>
  </si>
  <si>
    <t>P51531-2_SMARCA2</t>
  </si>
  <si>
    <t>P51553_IDH3G</t>
  </si>
  <si>
    <t>P51570_GALK1</t>
  </si>
  <si>
    <t>P51571_SSR4</t>
  </si>
  <si>
    <t>P51572_BCAP31</t>
  </si>
  <si>
    <t>P51580_TPMT</t>
  </si>
  <si>
    <t>P51608_MECP2</t>
  </si>
  <si>
    <t>P51610-2_HCFC1</t>
  </si>
  <si>
    <t>P51659_HSD17B4</t>
  </si>
  <si>
    <t>P51665_PSMD7</t>
  </si>
  <si>
    <t>P51687_SUOX</t>
  </si>
  <si>
    <t>P51692_STAT5B</t>
  </si>
  <si>
    <t>P51790-4_CLCN3</t>
  </si>
  <si>
    <t>P51795_CLCN5</t>
  </si>
  <si>
    <t>P51797_CLCN6</t>
  </si>
  <si>
    <t>P51798-2_CLCN7</t>
  </si>
  <si>
    <t>P51809_VAMP7</t>
  </si>
  <si>
    <t>P51811_XK</t>
  </si>
  <si>
    <t>P51812_RPS6KA3</t>
  </si>
  <si>
    <t>P51857-2_AKR1D1</t>
  </si>
  <si>
    <t>P51858_HDGF</t>
  </si>
  <si>
    <t>P51911_CNN1</t>
  </si>
  <si>
    <t>P51948_MNAT1</t>
  </si>
  <si>
    <t>P51970_NDUFA8</t>
  </si>
  <si>
    <t>P51991_HNRNPA3</t>
  </si>
  <si>
    <t>P52272-2_HNRNPM</t>
  </si>
  <si>
    <t>P52292_KPNA2</t>
  </si>
  <si>
    <t>P52294_KPNA1</t>
  </si>
  <si>
    <t>P52298_NCBP2</t>
  </si>
  <si>
    <t>P52306_RAP1GDS1</t>
  </si>
  <si>
    <t>P52565_ARHGDIA</t>
  </si>
  <si>
    <t>P52566_ARHGDIB</t>
  </si>
  <si>
    <t>P52597_HNRNPF</t>
  </si>
  <si>
    <t>P52630-4_STAT2</t>
  </si>
  <si>
    <t>P52655_GTF2A1</t>
  </si>
  <si>
    <t>P52657_GTF2A2</t>
  </si>
  <si>
    <t>P52701_MSH6</t>
  </si>
  <si>
    <t>P52732_KIF11</t>
  </si>
  <si>
    <t>P52758_HRSP12</t>
  </si>
  <si>
    <t>P52788_SMS</t>
  </si>
  <si>
    <t>P52789_HK2</t>
  </si>
  <si>
    <t>P52815_MRPL12</t>
  </si>
  <si>
    <t>P52888_THOP1</t>
  </si>
  <si>
    <t>P52907_CAPZA1</t>
  </si>
  <si>
    <t>P52943_CRIP2</t>
  </si>
  <si>
    <t>P52948-6_NUP98</t>
  </si>
  <si>
    <t>P53004_BLVRA</t>
  </si>
  <si>
    <t>P53007_SLC25A1</t>
  </si>
  <si>
    <t>P53350_PLK1</t>
  </si>
  <si>
    <t>P53365_ARFIP2</t>
  </si>
  <si>
    <t>P53367_ARFIP1</t>
  </si>
  <si>
    <t>P53367-2_ARFIP1</t>
  </si>
  <si>
    <t>P53384-2_NUBP1</t>
  </si>
  <si>
    <t>P53396_ACLY</t>
  </si>
  <si>
    <t>P53582_METAP1</t>
  </si>
  <si>
    <t>P53597_SUCLG1</t>
  </si>
  <si>
    <t>P53602_MVD</t>
  </si>
  <si>
    <t>P53609_PGGT1B</t>
  </si>
  <si>
    <t>P53618_COPB1</t>
  </si>
  <si>
    <t>P53621_COPA</t>
  </si>
  <si>
    <t>P53634_CTSC</t>
  </si>
  <si>
    <t>P53701_HCCS</t>
  </si>
  <si>
    <t>P53778_MAPK12</t>
  </si>
  <si>
    <t>P53794_SLC5A3</t>
  </si>
  <si>
    <t>P53803_POLR2K</t>
  </si>
  <si>
    <t>P53814-5_SMTN</t>
  </si>
  <si>
    <t>P53985_SLC16A1</t>
  </si>
  <si>
    <t>P53990-2_IST1</t>
  </si>
  <si>
    <t>P53992_SEC24C</t>
  </si>
  <si>
    <t>P53999_SUB1</t>
  </si>
  <si>
    <t>P54098_POLG</t>
  </si>
  <si>
    <t>P54105_CLNS1A</t>
  </si>
  <si>
    <t>P54136_RARS</t>
  </si>
  <si>
    <t>P54259_ATN1</t>
  </si>
  <si>
    <t>P54278_PMS2</t>
  </si>
  <si>
    <t>P54577_YARS</t>
  </si>
  <si>
    <t>P54578-2_USP14</t>
  </si>
  <si>
    <t>P54619-2_PRKAG1</t>
  </si>
  <si>
    <t>P54687_BCAT1</t>
  </si>
  <si>
    <t>P54707_ATP12A</t>
  </si>
  <si>
    <t>P54709_ATP1B3</t>
  </si>
  <si>
    <t>P54727_RAD23B</t>
  </si>
  <si>
    <t>P54760_EPHB4</t>
  </si>
  <si>
    <t>P54802_NAGLU</t>
  </si>
  <si>
    <t>P54819_AK2</t>
  </si>
  <si>
    <t>P54886-2_ALDH18A1</t>
  </si>
  <si>
    <t>P54920_NAPA</t>
  </si>
  <si>
    <t>P54922_ADPRH</t>
  </si>
  <si>
    <t>P55010_EIF5</t>
  </si>
  <si>
    <t>P55011-3_SLC12A2</t>
  </si>
  <si>
    <t>P55036_PSMD4</t>
  </si>
  <si>
    <t>P55039_DRG2</t>
  </si>
  <si>
    <t>P55060-3_CSE1L</t>
  </si>
  <si>
    <t>P55072_VCP</t>
  </si>
  <si>
    <t>P55081_MFAP1</t>
  </si>
  <si>
    <t>P55082-2_MFAP3</t>
  </si>
  <si>
    <t>P55145_MANF</t>
  </si>
  <si>
    <t>P55196-3_MLLT4</t>
  </si>
  <si>
    <t>P55199_ELL</t>
  </si>
  <si>
    <t>P55201-4_BRPF1</t>
  </si>
  <si>
    <t>P55211-2_CASP9</t>
  </si>
  <si>
    <t>P55212_CASP6</t>
  </si>
  <si>
    <t>P55263_ADK</t>
  </si>
  <si>
    <t>P55735_SEC13</t>
  </si>
  <si>
    <t>P55789_GFER</t>
  </si>
  <si>
    <t>P55795_HNRNPH2</t>
  </si>
  <si>
    <t>P55809_OXCT1</t>
  </si>
  <si>
    <t>P55884_EIF3B</t>
  </si>
  <si>
    <t>P55957_BID</t>
  </si>
  <si>
    <t>P56181-2_NDUFV3</t>
  </si>
  <si>
    <t>P56182_RRP1</t>
  </si>
  <si>
    <t>P56192_MARS</t>
  </si>
  <si>
    <t>P56270-2_MAZ</t>
  </si>
  <si>
    <t>P56277_CMC4</t>
  </si>
  <si>
    <t>P56282-2_POLE2</t>
  </si>
  <si>
    <t>P56377_AP1S2</t>
  </si>
  <si>
    <t>P56381_ATP5E</t>
  </si>
  <si>
    <t>P56385_ATP5I</t>
  </si>
  <si>
    <t>P56524_HDAC4</t>
  </si>
  <si>
    <t>P56537_EIF6</t>
  </si>
  <si>
    <t>P56556_NDUFA6</t>
  </si>
  <si>
    <t>P56589_PEX3</t>
  </si>
  <si>
    <t>P56645_PER3</t>
  </si>
  <si>
    <t>P56749_CLDN12</t>
  </si>
  <si>
    <t>P56937-3_HSD17B7</t>
  </si>
  <si>
    <t>P56945-4_BCAR1</t>
  </si>
  <si>
    <t>P56962_STX17</t>
  </si>
  <si>
    <t>P57054-3_PIGP</t>
  </si>
  <si>
    <t>P57060_RWDD2B</t>
  </si>
  <si>
    <t>P57076_C21orf59</t>
  </si>
  <si>
    <t>P57081-2_WDR4</t>
  </si>
  <si>
    <t>P57088_TMEM33</t>
  </si>
  <si>
    <t>P57105_SYNJ2BP</t>
  </si>
  <si>
    <t>P57682_KLF3</t>
  </si>
  <si>
    <t>P57737-3_CORO7</t>
  </si>
  <si>
    <t>P57740_NUP107</t>
  </si>
  <si>
    <t>P57768_SNX16</t>
  </si>
  <si>
    <t>P57772_EEFSEC</t>
  </si>
  <si>
    <t>P58004_SESN2</t>
  </si>
  <si>
    <t>P58107_EPPK1</t>
  </si>
  <si>
    <t>P58546_MTPN</t>
  </si>
  <si>
    <t>P58557-4_YBEY</t>
  </si>
  <si>
    <t>P59923_ZNF445</t>
  </si>
  <si>
    <t>P59998_ARPC4</t>
  </si>
  <si>
    <t>P60059_SEC61G</t>
  </si>
  <si>
    <t>P60174-1_TPI1</t>
  </si>
  <si>
    <t>P60228_EIF3E</t>
  </si>
  <si>
    <t>P60468_SEC61B</t>
  </si>
  <si>
    <t>P60510_PPP4C</t>
  </si>
  <si>
    <t>P60520_GABARAPL2</t>
  </si>
  <si>
    <t>P60602_ROMO1</t>
  </si>
  <si>
    <t>P60604-2_UBE2G2</t>
  </si>
  <si>
    <t>P60709_ACTB</t>
  </si>
  <si>
    <t>P60763_RAC3</t>
  </si>
  <si>
    <t>P60842_EIF4A1</t>
  </si>
  <si>
    <t>P60866_RPS20</t>
  </si>
  <si>
    <t>P60891_PRPS1</t>
  </si>
  <si>
    <t>P60896_SHFM1</t>
  </si>
  <si>
    <t>P60953_CDC42</t>
  </si>
  <si>
    <t>P60981_DSTN</t>
  </si>
  <si>
    <t>P60983_GMFB</t>
  </si>
  <si>
    <t>P61006_RAB8A</t>
  </si>
  <si>
    <t>P61009_SPCS3</t>
  </si>
  <si>
    <t>P61011_SRP54</t>
  </si>
  <si>
    <t>P61018_RAB4B</t>
  </si>
  <si>
    <t>P61019_RAB2A</t>
  </si>
  <si>
    <t>P61020_RAB5B</t>
  </si>
  <si>
    <t>P61026_RAB10</t>
  </si>
  <si>
    <t>P61077_UBE2D3</t>
  </si>
  <si>
    <t>P61081_UBE2M</t>
  </si>
  <si>
    <t>P61086_UBE2K</t>
  </si>
  <si>
    <t>P61088_UBE2N</t>
  </si>
  <si>
    <t>P61106_RAB14</t>
  </si>
  <si>
    <t>P61129_ZC3H6</t>
  </si>
  <si>
    <t>P61158_ACTR3</t>
  </si>
  <si>
    <t>P61160_ACTR2</t>
  </si>
  <si>
    <t>P61163_ACTR1A</t>
  </si>
  <si>
    <t>P61201_COPS2</t>
  </si>
  <si>
    <t>P61218_POLR2F</t>
  </si>
  <si>
    <t>P61221_ABCE1</t>
  </si>
  <si>
    <t>P61224_RAP1B</t>
  </si>
  <si>
    <t>P61225_RAP2B</t>
  </si>
  <si>
    <t>P61244-2_MAX</t>
  </si>
  <si>
    <t>P61247_RPS3A</t>
  </si>
  <si>
    <t>P61254_RPL26</t>
  </si>
  <si>
    <t>P61289_PSME3</t>
  </si>
  <si>
    <t>P61326_MAGOH</t>
  </si>
  <si>
    <t>P61353_RPL27</t>
  </si>
  <si>
    <t>P61457_PCBD1</t>
  </si>
  <si>
    <t>P61586_RHOA</t>
  </si>
  <si>
    <t>P61599_NAA20</t>
  </si>
  <si>
    <t>P61604_HSPE1</t>
  </si>
  <si>
    <t>P61758_VBP1</t>
  </si>
  <si>
    <t>P61764_STXBP1</t>
  </si>
  <si>
    <t>P61962_DCAF7</t>
  </si>
  <si>
    <t>P61964_WDR5</t>
  </si>
  <si>
    <t>P61966_AP1S1</t>
  </si>
  <si>
    <t>P61970_NUTF2</t>
  </si>
  <si>
    <t>P61978-2_HNRNPK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</si>
  <si>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</si>
  <si>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</si>
  <si>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</si>
  <si>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</si>
  <si>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</si>
  <si>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</si>
  <si>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</si>
  <si>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P62166_NCS1</t>
  </si>
  <si>
    <t>P62191_PSMC1</t>
  </si>
  <si>
    <t>P62195-2_PSMC5</t>
  </si>
  <si>
    <t>P62241_RPS8</t>
  </si>
  <si>
    <t>P62249_RPS16</t>
  </si>
  <si>
    <t>P62253_UBE2G1</t>
  </si>
  <si>
    <t>P62258_YWHAE</t>
  </si>
  <si>
    <t>P62263_RPS14</t>
  </si>
  <si>
    <t>P62266_RPS23</t>
  </si>
  <si>
    <t>P62269_RPS18</t>
  </si>
  <si>
    <t>P62273_RPS29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</si>
  <si>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</si>
  <si>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</si>
  <si>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</si>
  <si>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</si>
  <si>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</si>
  <si>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</si>
  <si>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</si>
  <si>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</si>
  <si>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</si>
  <si>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</si>
  <si>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</si>
  <si>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</si>
  <si>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P62424_RPL7A</t>
  </si>
  <si>
    <t>P62487_POLR2G</t>
  </si>
  <si>
    <t>P62495_ETF1</t>
  </si>
  <si>
    <t>P62633-2_CNBP</t>
  </si>
  <si>
    <t>P62633-4_CNBP</t>
  </si>
  <si>
    <t>P62633-5_CNBP</t>
  </si>
  <si>
    <t>P62699_YPEL5</t>
  </si>
  <si>
    <t>P62701_RPS4X</t>
  </si>
  <si>
    <t>P62714_PPP2CB</t>
  </si>
  <si>
    <t>P62750_RPL23A</t>
  </si>
  <si>
    <t>P62753_RPS6</t>
  </si>
  <si>
    <t>P62805_HIST1H4A</t>
  </si>
  <si>
    <t>P62820_RAB1A</t>
  </si>
  <si>
    <t>P62829_RPL23</t>
  </si>
  <si>
    <t>P62834_RAP1A</t>
  </si>
  <si>
    <t>P62837_UBE2D2</t>
  </si>
  <si>
    <t>P62851_RPS25</t>
  </si>
  <si>
    <t>P62854_RPS26</t>
  </si>
  <si>
    <t>P62857_RPS28</t>
  </si>
  <si>
    <t>P62873_GNB1</t>
  </si>
  <si>
    <t>P62875_POLR2L</t>
  </si>
  <si>
    <t>P62877_RBX1</t>
  </si>
  <si>
    <t>P62879_GNB2</t>
  </si>
  <si>
    <t>P62899_RPL31</t>
  </si>
  <si>
    <t>P62906_RPL10A</t>
  </si>
  <si>
    <t>P62913-2_RPL11</t>
  </si>
  <si>
    <t>P62937_PPIA</t>
  </si>
  <si>
    <t>P62942_FKBP1A</t>
  </si>
  <si>
    <t>P62979_RPS27A</t>
  </si>
  <si>
    <t>P62993_GRB2</t>
  </si>
  <si>
    <t>P62995-3_TRA2B</t>
  </si>
  <si>
    <t>P63000_RAC1</t>
  </si>
  <si>
    <t>P63010_AP2B1</t>
  </si>
  <si>
    <t>P63092_GNAS</t>
  </si>
  <si>
    <t>P63104_YWHAZ</t>
  </si>
  <si>
    <t>P63120_</t>
  </si>
  <si>
    <t>P63151_PPP2R2A</t>
  </si>
  <si>
    <t>P63167_DYNLL1</t>
  </si>
  <si>
    <t>P63173_RPL38</t>
  </si>
  <si>
    <t>P63218_GNG5</t>
  </si>
  <si>
    <t>P63241_EIF5A</t>
  </si>
  <si>
    <t>P63244_GNB2L1</t>
  </si>
  <si>
    <t>P67775_PPP2CA</t>
  </si>
  <si>
    <t>P67809_YBX1</t>
  </si>
  <si>
    <t>P67936_TPM4</t>
  </si>
  <si>
    <t>P68036_UBE2L3</t>
  </si>
  <si>
    <t>P68104_EEF1A1</t>
  </si>
  <si>
    <t>P68133_ACTA1</t>
  </si>
  <si>
    <t>P68363_TUBA1B</t>
  </si>
  <si>
    <t>P68371_TUBB4B</t>
  </si>
  <si>
    <t>P68402_PAFAH1B2</t>
  </si>
  <si>
    <t>P69891_HBG1</t>
  </si>
  <si>
    <t>P69892_HBG2</t>
  </si>
  <si>
    <t>P69905_HBA1</t>
  </si>
  <si>
    <t>P78316_NOP14</t>
  </si>
  <si>
    <t>P78318_IGBP1</t>
  </si>
  <si>
    <t>P78330_PSPH</t>
  </si>
  <si>
    <t>P78332_RBM6</t>
  </si>
  <si>
    <t>P78345_RPP38</t>
  </si>
  <si>
    <t>P78346_RPP30</t>
  </si>
  <si>
    <t>P78347-2_GTF2I</t>
  </si>
  <si>
    <t>P78356_PIP4K2B</t>
  </si>
  <si>
    <t>P78362_SRPK2</t>
  </si>
  <si>
    <t>P78371_CCT2</t>
  </si>
  <si>
    <t>P78406_RAE1</t>
  </si>
  <si>
    <t>P78417_GSTO1</t>
  </si>
  <si>
    <t>P78527_PRKDC</t>
  </si>
  <si>
    <t>P78536_ADAM17</t>
  </si>
  <si>
    <t>P78537_BLOC1S1</t>
  </si>
  <si>
    <t>P78540_ARG2</t>
  </si>
  <si>
    <t>P78560_CRADD</t>
  </si>
  <si>
    <t>P80217_IFI35</t>
  </si>
  <si>
    <t>P80303_NUCB2</t>
  </si>
  <si>
    <t>P81877-4_SSBP2</t>
  </si>
  <si>
    <t>P82094_TMF1</t>
  </si>
  <si>
    <t>P82673_MRPS35</t>
  </si>
  <si>
    <t>P82675_MRPS5</t>
  </si>
  <si>
    <t>P82909_MRPS36</t>
  </si>
  <si>
    <t>P82912-2_MRPS11</t>
  </si>
  <si>
    <t>P82930_MRPS34</t>
  </si>
  <si>
    <t>P82932_MRPS6</t>
  </si>
  <si>
    <t>P82933_MRPS9</t>
  </si>
  <si>
    <t>P82979_SARNP</t>
  </si>
  <si>
    <t>P83111_LACTB</t>
  </si>
  <si>
    <t>P83436_COG7</t>
  </si>
  <si>
    <t>P84022_SMAD3</t>
  </si>
  <si>
    <t>P84077_ARF1</t>
  </si>
  <si>
    <t>P84085_ARF5</t>
  </si>
  <si>
    <t>P84090_ERH</t>
  </si>
  <si>
    <t>P84095_RHOG</t>
  </si>
  <si>
    <t>P84101-4_SERF2</t>
  </si>
  <si>
    <t>P84157_MXRA7</t>
  </si>
  <si>
    <t>P85037_FOXK1</t>
  </si>
  <si>
    <t>P86397_RPP14</t>
  </si>
  <si>
    <t>P86791_CCZ1</t>
  </si>
  <si>
    <t>P98082-2_DAB2</t>
  </si>
  <si>
    <t>P98153-2_DGCR2</t>
  </si>
  <si>
    <t>P98160_HSPG2</t>
  </si>
  <si>
    <t>P98170_XIAP</t>
  </si>
  <si>
    <t>P98172_EFNB1</t>
  </si>
  <si>
    <t>P98173-3_FAM3A</t>
  </si>
  <si>
    <t>P98175-2_RBM10</t>
  </si>
  <si>
    <t>P98179_RBM3</t>
  </si>
  <si>
    <t>Q00013_MPP1</t>
  </si>
  <si>
    <t>Q00059_TFAM</t>
  </si>
  <si>
    <t>Q00169_PITPNA</t>
  </si>
  <si>
    <t>Q00325-2_SLC25A3</t>
  </si>
  <si>
    <t>Q00341_HDLBP</t>
  </si>
  <si>
    <t>Q00403_GTF2B</t>
  </si>
  <si>
    <t>Q00534_CDK6</t>
  </si>
  <si>
    <t>Q00535_CDK5</t>
  </si>
  <si>
    <t>Q00536_CDK16</t>
  </si>
  <si>
    <t>Q00577_PURA</t>
  </si>
  <si>
    <t>Q00587-2_CDC42EP1</t>
  </si>
  <si>
    <t>Q00610-2_CLTC</t>
  </si>
  <si>
    <t>Q00653-4_NFKB2</t>
  </si>
  <si>
    <t>Q00688_FKBP3</t>
  </si>
  <si>
    <t>Q00765_REEP5</t>
  </si>
  <si>
    <t>Q00796_SORD</t>
  </si>
  <si>
    <t>Q00839-2_HNRNPU</t>
  </si>
  <si>
    <t>Q00973_B4GALNT1</t>
  </si>
  <si>
    <t>Q01081_U2AF1</t>
  </si>
  <si>
    <t>Q01082_SPTBN1</t>
  </si>
  <si>
    <t>Q01082-3_SPTBN1</t>
  </si>
  <si>
    <t>Q01085-2_TIAL1</t>
  </si>
  <si>
    <t>Q01105-2_SET</t>
  </si>
  <si>
    <t>Q01167-2_FOXK2</t>
  </si>
  <si>
    <t>Q01415_GALK2</t>
  </si>
  <si>
    <t>Q01432_AMPD3</t>
  </si>
  <si>
    <t>Q01459_CTBS</t>
  </si>
  <si>
    <t>Q01469_FABP5</t>
  </si>
  <si>
    <t>Q01518-2_CAP1</t>
  </si>
  <si>
    <t>Q01581_HMGCS1</t>
  </si>
  <si>
    <t>Q01650_SLC7A5</t>
  </si>
  <si>
    <t>Q01658_DR1</t>
  </si>
  <si>
    <t>Q01664_TFAP4</t>
  </si>
  <si>
    <t>Q01780-2_EXOSC10</t>
  </si>
  <si>
    <t>Q01813_PFKP</t>
  </si>
  <si>
    <t>Q01968_OCRL</t>
  </si>
  <si>
    <t>Q01970_PLCB3</t>
  </si>
  <si>
    <t>Q01974_ROR2</t>
  </si>
  <si>
    <t>Q02040_AKAP17A</t>
  </si>
  <si>
    <t>Q02086-2_SP2</t>
  </si>
  <si>
    <t>Q02127_DHODH</t>
  </si>
  <si>
    <t>Q02224-3_CENPE</t>
  </si>
  <si>
    <t>Q02241_KIF23</t>
  </si>
  <si>
    <t>Q02446_SP4</t>
  </si>
  <si>
    <t>Q02543_RPL18A</t>
  </si>
  <si>
    <t>Q02750_MAP2K1</t>
  </si>
  <si>
    <t>Q02790_FKBP4</t>
  </si>
  <si>
    <t>Q02809_PLOD1</t>
  </si>
  <si>
    <t>Q02818_NUCB1</t>
  </si>
  <si>
    <t>Q02833-3_RASSF7</t>
  </si>
  <si>
    <t>Q02878_RPL6</t>
  </si>
  <si>
    <t>Q02880-2_TOP2B</t>
  </si>
  <si>
    <t>Q02952-3_AKAP12</t>
  </si>
  <si>
    <t>Q03013-2_GSTM4</t>
  </si>
  <si>
    <t>Q03014_HHEX</t>
  </si>
  <si>
    <t>Q03111_MLLT1</t>
  </si>
  <si>
    <t>Q03154_ACY1</t>
  </si>
  <si>
    <t>Q03167-2_TGFBR3</t>
  </si>
  <si>
    <t>Q03169_TNFAIP2</t>
  </si>
  <si>
    <t>Q03701_CEBPZ</t>
  </si>
  <si>
    <t>Q04446_GBE1</t>
  </si>
  <si>
    <t>Q04637-5_EIF4G1</t>
  </si>
  <si>
    <t>Q04656-5_ATP7A</t>
  </si>
  <si>
    <t>Q04759_PRKCQ</t>
  </si>
  <si>
    <t>Q04760_GLO1</t>
  </si>
  <si>
    <t>Q04771_ACVR1</t>
  </si>
  <si>
    <t>Q04828_AKR1C1</t>
  </si>
  <si>
    <t>Q04837_SSBP1</t>
  </si>
  <si>
    <t>Q04917_YWHAH</t>
  </si>
  <si>
    <t>Q04941_PLP2</t>
  </si>
  <si>
    <t>Q05048_CSTF1</t>
  </si>
  <si>
    <t>Q05086-3_UBE3A</t>
  </si>
  <si>
    <t>Q05193-5_DNM1</t>
  </si>
  <si>
    <t>Q05209_PTPN12</t>
  </si>
  <si>
    <t>Q05519-2_SRSF11</t>
  </si>
  <si>
    <t>Q05639_EEF1A2</t>
  </si>
  <si>
    <t>Q05655_PRKCD</t>
  </si>
  <si>
    <t>Q05823_RNASEL</t>
  </si>
  <si>
    <t>Q05932-3_FPGS</t>
  </si>
  <si>
    <t>Q06124_PTPN11</t>
  </si>
  <si>
    <t>Q06187_BTK</t>
  </si>
  <si>
    <t>Q06203_PPAT</t>
  </si>
  <si>
    <t>Q06210-2_GFPT1</t>
  </si>
  <si>
    <t>Q06265_EXOSC9</t>
  </si>
  <si>
    <t>Q06330-5_RBPJ</t>
  </si>
  <si>
    <t>Q06413-5_MEF2C</t>
  </si>
  <si>
    <t>Q06413-6_MEF2C</t>
  </si>
  <si>
    <t>Q06481_APLP2</t>
  </si>
  <si>
    <t>Q06546_GABPA</t>
  </si>
  <si>
    <t>Q06587_RING1</t>
  </si>
  <si>
    <t>Q06609-3_RAD51</t>
  </si>
  <si>
    <t>Q06830_PRDX1</t>
  </si>
  <si>
    <t>Q07021_C1QBP</t>
  </si>
  <si>
    <t>Q07108_CD69</t>
  </si>
  <si>
    <t>Q07283_TCHH</t>
  </si>
  <si>
    <t>Q07666_KHDRBS1</t>
  </si>
  <si>
    <t>Q07812-5_BAX</t>
  </si>
  <si>
    <t>Q07820_MCL1</t>
  </si>
  <si>
    <t>Q07864_POLE</t>
  </si>
  <si>
    <t>Q07866-6_KLC1</t>
  </si>
  <si>
    <t>Q07960_ARHGAP1</t>
  </si>
  <si>
    <t>Q08170_SRSF4</t>
  </si>
  <si>
    <t>Q08209-2_PPP3CA</t>
  </si>
  <si>
    <t>Q08211_DHX9</t>
  </si>
  <si>
    <t>Q08257_CRYZ</t>
  </si>
  <si>
    <t>Q08345-2_DDR1</t>
  </si>
  <si>
    <t>Q08357_SLC20A2</t>
  </si>
  <si>
    <t>Q08378_GOLGA3</t>
  </si>
  <si>
    <t>Q08379_GOLGA2</t>
  </si>
  <si>
    <t>Q08426_EHHADH</t>
  </si>
  <si>
    <t>Q08495_EPB49</t>
  </si>
  <si>
    <t>Q08495-2_EPB49</t>
  </si>
  <si>
    <t>Q08722_CD47</t>
  </si>
  <si>
    <t>Q08752_PPID</t>
  </si>
  <si>
    <t>Q08945_SSRP1</t>
  </si>
  <si>
    <t>Q08AG7_MZT1</t>
  </si>
  <si>
    <t>Q08AM6_VAC14</t>
  </si>
  <si>
    <t>Q08E86_KIAA0100</t>
  </si>
  <si>
    <t>Q08ER3_ZNF365</t>
  </si>
  <si>
    <t>Q08J23_NSUN2</t>
  </si>
  <si>
    <t>Q09028-3_RBBP4</t>
  </si>
  <si>
    <t>Q09028-4_RBBP4</t>
  </si>
  <si>
    <t>Q09161_NCBP1</t>
  </si>
  <si>
    <t>Q09328_MGAT5</t>
  </si>
  <si>
    <t>Q09472_EP300</t>
  </si>
  <si>
    <t>Q09666_AHNAK</t>
  </si>
  <si>
    <t>Q0PNE2_ELP6</t>
  </si>
  <si>
    <t>Q0VDF9_HSPA14</t>
  </si>
  <si>
    <t>Q0VDG4_SCRN3</t>
  </si>
  <si>
    <t>Q0VG06-3_FAAP100</t>
  </si>
  <si>
    <t>Q10469_MGAT2</t>
  </si>
  <si>
    <t>Q10471_GALNT2</t>
  </si>
  <si>
    <t>Q10567-2_AP1B1</t>
  </si>
  <si>
    <t>Q10567-3_AP1B1</t>
  </si>
  <si>
    <t>Q10570_CPSF1</t>
  </si>
  <si>
    <t>Q10589_BST2</t>
  </si>
  <si>
    <t>Q10713_PMPCA</t>
  </si>
  <si>
    <t>Q12769_NUP160</t>
  </si>
  <si>
    <t>Q12770_SCAP</t>
  </si>
  <si>
    <t>Q12788_TBL3</t>
  </si>
  <si>
    <t>Q12789-3_GTF3C1</t>
  </si>
  <si>
    <t>Q12792_TWF1</t>
  </si>
  <si>
    <t>Q12797-10_ASPH</t>
  </si>
  <si>
    <t>Q12809-2_KCNH2</t>
  </si>
  <si>
    <t>Q12830-4_BPTF</t>
  </si>
  <si>
    <t>Q12834_CDC20</t>
  </si>
  <si>
    <t>Q12840_KIF5A</t>
  </si>
  <si>
    <t>Q12846_STX4</t>
  </si>
  <si>
    <t>Q12872_SFSWAP</t>
  </si>
  <si>
    <t>Q12874_SF3A3</t>
  </si>
  <si>
    <t>Q12888_TP53BP1</t>
  </si>
  <si>
    <t>Q12893_TMEM115</t>
  </si>
  <si>
    <t>Q12894_IFRD2</t>
  </si>
  <si>
    <t>Q12904_AIMP1</t>
  </si>
  <si>
    <t>Q12905_ILF2</t>
  </si>
  <si>
    <t>Q12906_ILF3</t>
  </si>
  <si>
    <t>Q12907_LMAN2</t>
  </si>
  <si>
    <t>Q12933-3_TRAF2</t>
  </si>
  <si>
    <t>Q12955_ANK3</t>
  </si>
  <si>
    <t>Q12959-5_DLG1</t>
  </si>
  <si>
    <t>Q12962_TAF10</t>
  </si>
  <si>
    <t>Q12972_PPP1R8</t>
  </si>
  <si>
    <t>Q12974_PTP4A2</t>
  </si>
  <si>
    <t>Q12981_BNIP1</t>
  </si>
  <si>
    <t>Q12986_NFX1</t>
  </si>
  <si>
    <t>Q12996_CSTF3</t>
  </si>
  <si>
    <t>Q13011_ECH1</t>
  </si>
  <si>
    <t>Q13015_MLLT11</t>
  </si>
  <si>
    <t>Q13017-2_ARHGAP5</t>
  </si>
  <si>
    <t>Q13033-2_STRN3</t>
  </si>
  <si>
    <t>Q13042-3_CDC16</t>
  </si>
  <si>
    <t>Q13043_STK4</t>
  </si>
  <si>
    <t>Q13045_FLII</t>
  </si>
  <si>
    <t>Q13045-2_FLII</t>
  </si>
  <si>
    <t>Q13049_TRIM32</t>
  </si>
  <si>
    <t>Q13057_COASY</t>
  </si>
  <si>
    <t>Q13068_GAGE4</t>
  </si>
  <si>
    <t>Q13070_GAGE6</t>
  </si>
  <si>
    <t>Q13085-3_ACACA</t>
  </si>
  <si>
    <t>Q13094_LCP2</t>
  </si>
  <si>
    <t>Q13107-2_USP4</t>
  </si>
  <si>
    <t>Q13111_CHAF1A</t>
  </si>
  <si>
    <t>Q13112_CHAF1B</t>
  </si>
  <si>
    <t>Q13123_IK</t>
  </si>
  <si>
    <t>Q13129_RLF</t>
  </si>
  <si>
    <t>Q13131_PRKAA1</t>
  </si>
  <si>
    <t>Q13136_PPFIA1</t>
  </si>
  <si>
    <t>Q13148_TARDBP</t>
  </si>
  <si>
    <t>Q13151_HNRNPA0</t>
  </si>
  <si>
    <t>Q13155_AIMP2</t>
  </si>
  <si>
    <t>Q13158_FADD</t>
  </si>
  <si>
    <t>Q13162_PRDX4</t>
  </si>
  <si>
    <t>Q13164_MAPK7</t>
  </si>
  <si>
    <t>Q13177_PAK2</t>
  </si>
  <si>
    <t>Q13185_CBX3</t>
  </si>
  <si>
    <t>Q13188_STK3</t>
  </si>
  <si>
    <t>Q13190-3_STX5</t>
  </si>
  <si>
    <t>Q13200_PSMD2</t>
  </si>
  <si>
    <t>Q13206_DDX10</t>
  </si>
  <si>
    <t>Q13217_DNAJC3</t>
  </si>
  <si>
    <t>Q13228_SELENBP1</t>
  </si>
  <si>
    <t>Q13232_NME3</t>
  </si>
  <si>
    <t>Q13233_MAP3K1</t>
  </si>
  <si>
    <t>Q13242_SRSF9</t>
  </si>
  <si>
    <t>Q13243_SRSF5</t>
  </si>
  <si>
    <t>Q13247-3_SRSF6</t>
  </si>
  <si>
    <t>Q13257_MAD2L1</t>
  </si>
  <si>
    <t>Q13263_TRIM28</t>
  </si>
  <si>
    <t>Q13277-2_STX3</t>
  </si>
  <si>
    <t>Q13283_G3BP1</t>
  </si>
  <si>
    <t>Q13287_NMI</t>
  </si>
  <si>
    <t>Q13308-3_PTK7</t>
  </si>
  <si>
    <t>Q13309_SKP2</t>
  </si>
  <si>
    <t>Q13310-3_PABPC4</t>
  </si>
  <si>
    <t>Q13315_ATM</t>
  </si>
  <si>
    <t>Q13322-2_GRB10</t>
  </si>
  <si>
    <t>Q13330-3_MTA1</t>
  </si>
  <si>
    <t>Q13347_EIF3I</t>
  </si>
  <si>
    <t>Q13356_PPIL2</t>
  </si>
  <si>
    <t>Q13362-4_PPP2R5C</t>
  </si>
  <si>
    <t>Q13363-2_CTBP1</t>
  </si>
  <si>
    <t>Q13371_PDCL</t>
  </si>
  <si>
    <t>Q13393-2_PLD1</t>
  </si>
  <si>
    <t>Q13405_MRPL49</t>
  </si>
  <si>
    <t>Q13409-6_DYNC1I2</t>
  </si>
  <si>
    <t>Q13416_ORC2</t>
  </si>
  <si>
    <t>Q13418_ILK</t>
  </si>
  <si>
    <t>Q13422-7_IKZF1</t>
  </si>
  <si>
    <t>Q13423_NNT</t>
  </si>
  <si>
    <t>Q13424_SNTA1</t>
  </si>
  <si>
    <t>Q13425_SNTB2</t>
  </si>
  <si>
    <t>Q13426_XRCC4</t>
  </si>
  <si>
    <t>Q13426-3_XRCC4</t>
  </si>
  <si>
    <t>Q13427_PPIG</t>
  </si>
  <si>
    <t>Q13428-3_TCOF1</t>
  </si>
  <si>
    <t>Q13432-2_UNC119</t>
  </si>
  <si>
    <t>Q13435_SF3B2</t>
  </si>
  <si>
    <t>Q13438-4_OS9</t>
  </si>
  <si>
    <t>Q13439-3_GOLGA4</t>
  </si>
  <si>
    <t>Q13442_PDAP1</t>
  </si>
  <si>
    <t>Q13443_ADAM9</t>
  </si>
  <si>
    <t>Q13444-8_ADAM15</t>
  </si>
  <si>
    <t>Q13445_TMED1</t>
  </si>
  <si>
    <t>Q13451_FKBP5</t>
  </si>
  <si>
    <t>Q13464_ROCK1</t>
  </si>
  <si>
    <t>Q13467_FZD5</t>
  </si>
  <si>
    <t>Q13469-3_NFATC2</t>
  </si>
  <si>
    <t>Q13480-2_GAB1</t>
  </si>
  <si>
    <t>Q13488_TCIRG1</t>
  </si>
  <si>
    <t>Q13492-3_PICALM</t>
  </si>
  <si>
    <t>Q13496_MTM1</t>
  </si>
  <si>
    <t>Q13501_SQSTM1</t>
  </si>
  <si>
    <t>Q13505-3_MTX1</t>
  </si>
  <si>
    <t>Q13506_NAB1</t>
  </si>
  <si>
    <t>Q13509_TUBB3</t>
  </si>
  <si>
    <t>Q13526_PIN1</t>
  </si>
  <si>
    <t>Q13535_ATR</t>
  </si>
  <si>
    <t>Q13541_EIF4EBP1</t>
  </si>
  <si>
    <t>Q13542_EIF4EBP2</t>
  </si>
  <si>
    <t>Q13546_RIPK1</t>
  </si>
  <si>
    <t>Q13547_HDAC1</t>
  </si>
  <si>
    <t>Q13564-2_NAE1</t>
  </si>
  <si>
    <t>Q13572_ITPK1</t>
  </si>
  <si>
    <t>Q13573_SNW1</t>
  </si>
  <si>
    <t>Q13576_IQGAP2</t>
  </si>
  <si>
    <t>Q13586_STIM1</t>
  </si>
  <si>
    <t>Q13596_SNX1</t>
  </si>
  <si>
    <t>Q13608_PEX6</t>
  </si>
  <si>
    <t>Q13614_MTMR2</t>
  </si>
  <si>
    <t>Q13616_CUL1</t>
  </si>
  <si>
    <t>Q13617_CUL2</t>
  </si>
  <si>
    <t>Q13618_CUL3</t>
  </si>
  <si>
    <t>Q13619_CUL4A</t>
  </si>
  <si>
    <t>Q13620-1_CUL4B</t>
  </si>
  <si>
    <t>Q13625-2_TP53BP2</t>
  </si>
  <si>
    <t>Q13627-2_DYRK1A</t>
  </si>
  <si>
    <t>Q13630_TSTA3</t>
  </si>
  <si>
    <t>Q13636_RAB31</t>
  </si>
  <si>
    <t>Q13637_RAB32</t>
  </si>
  <si>
    <t>Q13643_FHL3</t>
  </si>
  <si>
    <t>Q13670_PMS2P11</t>
  </si>
  <si>
    <t>Q13686_ALKBH1</t>
  </si>
  <si>
    <t>Q13724_MOGS</t>
  </si>
  <si>
    <t>Q13769_THOC5</t>
  </si>
  <si>
    <t>Q13795_ARFRP1</t>
  </si>
  <si>
    <t>Q13868_EXOSC2</t>
  </si>
  <si>
    <t>Q13885_TUBB2A</t>
  </si>
  <si>
    <t>Q13895_BYSL</t>
  </si>
  <si>
    <t>Q13907_IDI1</t>
  </si>
  <si>
    <t>Q13951-2_CBFB</t>
  </si>
  <si>
    <t>Q13952-3_NFYC</t>
  </si>
  <si>
    <t>Q14008-2_CKAP5</t>
  </si>
  <si>
    <t>Q14011_CIRBP</t>
  </si>
  <si>
    <t>Q14019_COTL1</t>
  </si>
  <si>
    <t>Q14061_COX17</t>
  </si>
  <si>
    <t>Q14103-3_HNRNPD</t>
  </si>
  <si>
    <t>Q14108_SCARB2</t>
  </si>
  <si>
    <t>Q14114-4_LRP8</t>
  </si>
  <si>
    <t>Q14116-2_IL18</t>
  </si>
  <si>
    <t>Q14118_DAG1</t>
  </si>
  <si>
    <t>Q14126_DSG2</t>
  </si>
  <si>
    <t>Q14137_BOP1</t>
  </si>
  <si>
    <t>Q14139_UBE4A</t>
  </si>
  <si>
    <t>Q14142-2_TRIM14</t>
  </si>
  <si>
    <t>Q14145_KEAP1</t>
  </si>
  <si>
    <t>Q14147_DHX34</t>
  </si>
  <si>
    <t>Q14149_MORC3</t>
  </si>
  <si>
    <t>Q14151_SAFB2</t>
  </si>
  <si>
    <t>Q14152_EIF3A</t>
  </si>
  <si>
    <t>Q14157_UBAP2L</t>
  </si>
  <si>
    <t>Q14157-1_UBAP2L</t>
  </si>
  <si>
    <t>Q14160_SCRIB</t>
  </si>
  <si>
    <t>Q14165_MLEC</t>
  </si>
  <si>
    <t>Q14166_TTLL12</t>
  </si>
  <si>
    <t>Q14181_POLA2</t>
  </si>
  <si>
    <t>Q14191_WRN</t>
  </si>
  <si>
    <t>Q14204_DYNC1H1</t>
  </si>
  <si>
    <t>Q14232_EIF2B1</t>
  </si>
  <si>
    <t>Q14240_EIF4A2</t>
  </si>
  <si>
    <t>Q14241_TCEB3</t>
  </si>
  <si>
    <t>Q14244_MAP7</t>
  </si>
  <si>
    <t>Q14247_CTTN</t>
  </si>
  <si>
    <t>Q14247-3_CTTN</t>
  </si>
  <si>
    <t>Q14249_ENDOG</t>
  </si>
  <si>
    <t>Q14257_RCN2</t>
  </si>
  <si>
    <t>Q14258_TRIM25</t>
  </si>
  <si>
    <t>Q14289-2_PTK2B</t>
  </si>
  <si>
    <t>Q14315_FLNC</t>
  </si>
  <si>
    <t>Q14318-2_FKBP8</t>
  </si>
  <si>
    <t>Q14320_FAM50A</t>
  </si>
  <si>
    <t>Q14331_FRG1</t>
  </si>
  <si>
    <t>Q14344_GNA13</t>
  </si>
  <si>
    <t>Q14353_GAMT</t>
  </si>
  <si>
    <t>Q14376_GALE</t>
  </si>
  <si>
    <t>Q14444-2_CAPRIN1</t>
  </si>
  <si>
    <t>Q14457_BECN1</t>
  </si>
  <si>
    <t>Q14469_HES1</t>
  </si>
  <si>
    <t>Q14498-2_RBM39</t>
  </si>
  <si>
    <t>Q14517_FAT1</t>
  </si>
  <si>
    <t>Q14520-2_HABP2</t>
  </si>
  <si>
    <t>Q14527_HLTF</t>
  </si>
  <si>
    <t>Q14534_SQLE</t>
  </si>
  <si>
    <t>Q14554_PDIA5</t>
  </si>
  <si>
    <t>Q14558_PRPSAP1</t>
  </si>
  <si>
    <t>Q14562_DHX8</t>
  </si>
  <si>
    <t>Q14566_MCM6</t>
  </si>
  <si>
    <t>Q14573_ITPR3</t>
  </si>
  <si>
    <t>Q14644_RASA3</t>
  </si>
  <si>
    <t>Q14651_PLS1</t>
  </si>
  <si>
    <t>Q14653_IRF3</t>
  </si>
  <si>
    <t>Q14657_LAGE3</t>
  </si>
  <si>
    <t>Q14669-3_TRIP12</t>
  </si>
  <si>
    <t>Q14671_PUM1</t>
  </si>
  <si>
    <t>Q14674_ESPL1</t>
  </si>
  <si>
    <t>Q14676_MDC1</t>
  </si>
  <si>
    <t>Q14677_CLINT1</t>
  </si>
  <si>
    <t>Q14680-3_MELK</t>
  </si>
  <si>
    <t>Q14681_KCTD2</t>
  </si>
  <si>
    <t>Q14683_SMC1A</t>
  </si>
  <si>
    <t>Q14684-2_RRP1B</t>
  </si>
  <si>
    <t>Q14686_NCOA6</t>
  </si>
  <si>
    <t>Q14687-2_GSE1</t>
  </si>
  <si>
    <t>Q14690_PDCD11</t>
  </si>
  <si>
    <t>Q14691_GINS1</t>
  </si>
  <si>
    <t>Q14692_BMS1</t>
  </si>
  <si>
    <t>Q14694_USP10</t>
  </si>
  <si>
    <t>Q14696_MESDC2</t>
  </si>
  <si>
    <t>Q14697_GANAB</t>
  </si>
  <si>
    <t>Q14697-2_GANAB</t>
  </si>
  <si>
    <t>Q14739_LBR</t>
  </si>
  <si>
    <t>Q14781_CBX2</t>
  </si>
  <si>
    <t>Q14789-2_GOLGB1</t>
  </si>
  <si>
    <t>Q14790_CASP8</t>
  </si>
  <si>
    <t>Q147X3_NAA30</t>
  </si>
  <si>
    <t>Q14807_KIF22</t>
  </si>
  <si>
    <t>Q14847_LASP1</t>
  </si>
  <si>
    <t>Q14966-3_ZNF638</t>
  </si>
  <si>
    <t>Q14974_KPNB1</t>
  </si>
  <si>
    <t>Q14978-2_NOLC1</t>
  </si>
  <si>
    <t>Q14980_NUMA1</t>
  </si>
  <si>
    <t>Q14997_PSME4</t>
  </si>
  <si>
    <t>Q14BN4_SLMAP</t>
  </si>
  <si>
    <t>Q14C86-6_GAPVD1</t>
  </si>
  <si>
    <t>Q14CX7_NAA25</t>
  </si>
  <si>
    <t>Q14CZ7_FASTKD3</t>
  </si>
  <si>
    <t>Q15003_NCAPH</t>
  </si>
  <si>
    <t>Q15004_KIAA0101</t>
  </si>
  <si>
    <t>Q15006_EMC2</t>
  </si>
  <si>
    <t>Q15007_WTAP</t>
  </si>
  <si>
    <t>Q15008_PSMD6</t>
  </si>
  <si>
    <t>Q15011-3_HERPUD1</t>
  </si>
  <si>
    <t>Q15012_LAPTM4A</t>
  </si>
  <si>
    <t>Q15013_MAD2L1BP</t>
  </si>
  <si>
    <t>Q15018_FAM175B</t>
  </si>
  <si>
    <t>Q15019_SEPT2</t>
  </si>
  <si>
    <t>Q15020_SART3</t>
  </si>
  <si>
    <t>Q15021_NCAPD2</t>
  </si>
  <si>
    <t>Q15024_EXOSC7</t>
  </si>
  <si>
    <t>Q15029-2_EFTUD2</t>
  </si>
  <si>
    <t>Q15032-2_R3HDM1</t>
  </si>
  <si>
    <t>Q15036-2_SNX17</t>
  </si>
  <si>
    <t>Q15038-2_DAZAP2</t>
  </si>
  <si>
    <t>Q15042_RAB3GAP1</t>
  </si>
  <si>
    <t>Q15043-2_SLC39A14</t>
  </si>
  <si>
    <t>Q15046_KARS</t>
  </si>
  <si>
    <t>Q15047-3_SETDB1</t>
  </si>
  <si>
    <t>Q15048_LRRC14</t>
  </si>
  <si>
    <t>Q15056_EIF4H</t>
  </si>
  <si>
    <t>Q15056-2_EIF4H</t>
  </si>
  <si>
    <t>Q15057_ACAP2</t>
  </si>
  <si>
    <t>Q15058_KIF14</t>
  </si>
  <si>
    <t>Q15059_BRD3</t>
  </si>
  <si>
    <t>Q15061_WDR43</t>
  </si>
  <si>
    <t>Q15067-2_ACOX1</t>
  </si>
  <si>
    <t>Q15075_EEA1</t>
  </si>
  <si>
    <t>Q15102_PAFAH1B3</t>
  </si>
  <si>
    <t>Q15111_PLCL1</t>
  </si>
  <si>
    <t>Q15118_PDK1</t>
  </si>
  <si>
    <t>Q15121_PEA15</t>
  </si>
  <si>
    <t>Q15126_PMVK</t>
  </si>
  <si>
    <t>Q15131_CDK10</t>
  </si>
  <si>
    <t>Q15149-4_PLEC</t>
  </si>
  <si>
    <t>Q15155_NOMO1</t>
  </si>
  <si>
    <t>Q15172_PPP2R5A</t>
  </si>
  <si>
    <t>Q15173-2_PPP2R5B</t>
  </si>
  <si>
    <t>Q15181_PPA1</t>
  </si>
  <si>
    <t>Q15208_STK38</t>
  </si>
  <si>
    <t>Q15233_NONO</t>
  </si>
  <si>
    <t>Q15269_PWP2</t>
  </si>
  <si>
    <t>Q15274_QPRT</t>
  </si>
  <si>
    <t>Q15276_RABEP1</t>
  </si>
  <si>
    <t>Q15286_RAB35</t>
  </si>
  <si>
    <t>Q15291_RBBP5</t>
  </si>
  <si>
    <t>Q15293_RCN1</t>
  </si>
  <si>
    <t>Q15311_RALBP1</t>
  </si>
  <si>
    <t>Q15334_LLGL1</t>
  </si>
  <si>
    <t>Q15345-3_LRRC41</t>
  </si>
  <si>
    <t>Q15363_TMED2</t>
  </si>
  <si>
    <t>Q15365_PCBP1</t>
  </si>
  <si>
    <t>Q15366-3_PCBP2</t>
  </si>
  <si>
    <t>Q15366-6_PCBP2</t>
  </si>
  <si>
    <t>Q15370_TCEB2</t>
  </si>
  <si>
    <t>Q15382_RHEB</t>
  </si>
  <si>
    <t>Q15386_UBE3C</t>
  </si>
  <si>
    <t>Q15393_SF3B3</t>
  </si>
  <si>
    <t>Q15398-3_DLGAP5</t>
  </si>
  <si>
    <t>Q15404_RSU1</t>
  </si>
  <si>
    <t>Q15424-2_SAFB</t>
  </si>
  <si>
    <t>Q15428_SF3A2</t>
  </si>
  <si>
    <t>Q15435_PPP1R7</t>
  </si>
  <si>
    <t>Q15437_SEC23B</t>
  </si>
  <si>
    <t>Q15459_SF3A1</t>
  </si>
  <si>
    <t>Q15464-2_SHB</t>
  </si>
  <si>
    <t>Q15506_SPA17</t>
  </si>
  <si>
    <t>Q15526-2_SURF1</t>
  </si>
  <si>
    <t>Q15527_SURF2</t>
  </si>
  <si>
    <t>Q15542-2_TAF5</t>
  </si>
  <si>
    <t>Q15543_TAF13</t>
  </si>
  <si>
    <t>Q15544-2_TAF11</t>
  </si>
  <si>
    <t>Q15545_TAF7</t>
  </si>
  <si>
    <t>Q15554-3_TERF2</t>
  </si>
  <si>
    <t>Q15555_MAPRE2</t>
  </si>
  <si>
    <t>Q15596_NCOA2</t>
  </si>
  <si>
    <t>Q15599-2_SLC9A3R2</t>
  </si>
  <si>
    <t>Q15628_TRADD</t>
  </si>
  <si>
    <t>Q15637-5_SF1</t>
  </si>
  <si>
    <t>Q15637-6_SF1</t>
  </si>
  <si>
    <t>Q15642_TRIP10</t>
  </si>
  <si>
    <t>Q15642-2_TRIP10</t>
  </si>
  <si>
    <t>Q15643_TRIP11</t>
  </si>
  <si>
    <t>Q15645_TRIP13</t>
  </si>
  <si>
    <t>Q15648_MED1</t>
  </si>
  <si>
    <t>Q15649_ZNHIT3</t>
  </si>
  <si>
    <t>Q15650_TRIP4</t>
  </si>
  <si>
    <t>Q15651_HMGN3</t>
  </si>
  <si>
    <t>Q15652-3_JMJD1C</t>
  </si>
  <si>
    <t>Q15653_NFKBIB</t>
  </si>
  <si>
    <t>Q15654_TRIP6</t>
  </si>
  <si>
    <t>Q15691_MAPRE1</t>
  </si>
  <si>
    <t>Q15714-2_TSC22D1</t>
  </si>
  <si>
    <t>Q15717_ELAVL1</t>
  </si>
  <si>
    <t>Q15738_NSDHL</t>
  </si>
  <si>
    <t>Q15742-3_NAB2</t>
  </si>
  <si>
    <t>Q15743_GPR68</t>
  </si>
  <si>
    <t>Q15746-4_MYLK</t>
  </si>
  <si>
    <t>Q15750_TAB1</t>
  </si>
  <si>
    <t>Q15751_HERC1</t>
  </si>
  <si>
    <t>Q15758_SLC1A5</t>
  </si>
  <si>
    <t>Q15759_MAPK11</t>
  </si>
  <si>
    <t>Q15773_MLF2</t>
  </si>
  <si>
    <t>Q15785_TOMM34</t>
  </si>
  <si>
    <t>Q15796-2_SMAD2</t>
  </si>
  <si>
    <t>Q15800-2_MSMO1</t>
  </si>
  <si>
    <t>Q15814_TBCC</t>
  </si>
  <si>
    <t>Q15819_UBE2V2</t>
  </si>
  <si>
    <t>Q15831_STK11</t>
  </si>
  <si>
    <t>Q15833_STXBP2</t>
  </si>
  <si>
    <t>Q15836_VAMP3</t>
  </si>
  <si>
    <t>Q15904_ATP6AP1</t>
  </si>
  <si>
    <t>Q15906_VPS72</t>
  </si>
  <si>
    <t>Q15907_RAB11B</t>
  </si>
  <si>
    <t>Q15910-3_EZH2</t>
  </si>
  <si>
    <t>Q15942_ZYX</t>
  </si>
  <si>
    <t>Q16134_ETFDH</t>
  </si>
  <si>
    <t>Q16181_SEPT7</t>
  </si>
  <si>
    <t>Q16186_ADRM1</t>
  </si>
  <si>
    <t>Q16204_CCDC6</t>
  </si>
  <si>
    <t>Q16222-2_UAP1</t>
  </si>
  <si>
    <t>Q16384_SSX1</t>
  </si>
  <si>
    <t>Q16401-2_PSMD5</t>
  </si>
  <si>
    <t>Q16512_PKN1</t>
  </si>
  <si>
    <t>Q16513-2_PKN2</t>
  </si>
  <si>
    <t>Q16514-2_TAF12</t>
  </si>
  <si>
    <t>Q16531_DDB1</t>
  </si>
  <si>
    <t>Q16539_MAPK14</t>
  </si>
  <si>
    <t>Q16539-2_MAPK14</t>
  </si>
  <si>
    <t>Q16543_CDC37</t>
  </si>
  <si>
    <t>Q16555-2_DPYSL2</t>
  </si>
  <si>
    <t>Q16576_RBBP7</t>
  </si>
  <si>
    <t>Q16587-5_ZNF74</t>
  </si>
  <si>
    <t>Q16594_TAF9</t>
  </si>
  <si>
    <t>Q16600_ZNF239</t>
  </si>
  <si>
    <t>Q16610_ECM1</t>
  </si>
  <si>
    <t>Q16626_MEA1</t>
  </si>
  <si>
    <t>Q16630_CPSF6</t>
  </si>
  <si>
    <t>Q16643-2_DBN1</t>
  </si>
  <si>
    <t>Q16644_MAPKAPK3</t>
  </si>
  <si>
    <t>Q16656-2_NRF1</t>
  </si>
  <si>
    <t>Q16658_FSCN1</t>
  </si>
  <si>
    <t>Q16706_MAN2A1</t>
  </si>
  <si>
    <t>Q16718_NDUFA5</t>
  </si>
  <si>
    <t>Q16720-8_ATP2B3</t>
  </si>
  <si>
    <t>Q16739_UGCG</t>
  </si>
  <si>
    <t>Q16740_CLPP</t>
  </si>
  <si>
    <t>Q16762_TST</t>
  </si>
  <si>
    <t>Q16763_UBE2S</t>
  </si>
  <si>
    <t>Q16778_HIST2H2BE</t>
  </si>
  <si>
    <t>Q16795_NDUFA9</t>
  </si>
  <si>
    <t>Q16822_PCK2</t>
  </si>
  <si>
    <t>Q16850_CYP51A1</t>
  </si>
  <si>
    <t>Q16854_DGUOK</t>
  </si>
  <si>
    <t>Q16864_ATP6V1F</t>
  </si>
  <si>
    <t>Q16880_UGT8</t>
  </si>
  <si>
    <t>Q16891-2_IMMT</t>
  </si>
  <si>
    <t>Q17RU2_REL</t>
  </si>
  <si>
    <t>Q1ED39_KNOP1</t>
  </si>
  <si>
    <t>Q1KMD3_HNRNPUL2</t>
  </si>
  <si>
    <t>Q1L5Z9_LONRF2</t>
  </si>
  <si>
    <t>Q1MSJ5-1_CSPP1</t>
  </si>
  <si>
    <t>Q27J81-2_INF2</t>
  </si>
  <si>
    <t>Q29980_MICB</t>
  </si>
  <si>
    <t>Q29RF7_PDS5A</t>
  </si>
  <si>
    <t>Q2KHR3-2_QSER1</t>
  </si>
  <si>
    <t>Q2KHT3_CLEC16A</t>
  </si>
  <si>
    <t>Q2M2I8-2_AAK1</t>
  </si>
  <si>
    <t>Q2M389_KIAA1033</t>
  </si>
  <si>
    <t>Q2NKX8_ERCC6L</t>
  </si>
  <si>
    <t>Q2NKX9-3_C2orf68</t>
  </si>
  <si>
    <t>Q2NL82_TSR1</t>
  </si>
  <si>
    <t>Q2TAA5_ALG11</t>
  </si>
  <si>
    <t>Q2TAL8_QRICH1</t>
  </si>
  <si>
    <t>Q2TAM5_RELA</t>
  </si>
  <si>
    <t>Q2TAY7_SMU1</t>
  </si>
  <si>
    <t>Q2TBE0_CWF19L2</t>
  </si>
  <si>
    <t>Q32MZ4-2_LRRFIP1</t>
  </si>
  <si>
    <t>Q32MZ4-3_LRRFIP1</t>
  </si>
  <si>
    <t>Q32N00_POLD3</t>
  </si>
  <si>
    <t>Q32NB8_PGS1</t>
  </si>
  <si>
    <t>Q32P28_LEPRE1</t>
  </si>
  <si>
    <t>Q32P41_TRMT5</t>
  </si>
  <si>
    <t>Q32Q12_NME1-NME2</t>
  </si>
  <si>
    <t>Q3B726_TWISTNB</t>
  </si>
  <si>
    <t>Q3B7T1-5_EDRF1</t>
  </si>
  <si>
    <t>Q3BDU3_PMS1</t>
  </si>
  <si>
    <t>Q3KQU3-2_MAP7D1</t>
  </si>
  <si>
    <t>Q3KQV9_UAP1L1</t>
  </si>
  <si>
    <t>Q3KRA9_ALKBH6</t>
  </si>
  <si>
    <t>Q3LXA3_DAK</t>
  </si>
  <si>
    <t>Q3MHD2_LSM12</t>
  </si>
  <si>
    <t>Q3MIT2_PUS10</t>
  </si>
  <si>
    <t>Q3SXM5_HSDL1</t>
  </si>
  <si>
    <t>Q3SY56_SP6</t>
  </si>
  <si>
    <t>Q3V6T2-2_CCDC88A</t>
  </si>
  <si>
    <t>Q3V6T2-5_CCDC88A</t>
  </si>
  <si>
    <t>Q3YEC7_RABL6</t>
  </si>
  <si>
    <t>Q3ZAQ7_VMA21</t>
  </si>
  <si>
    <t>Q3ZCM7_TUBB8</t>
  </si>
  <si>
    <t>Q3ZCQ8_TIMM50</t>
  </si>
  <si>
    <t>Q49AN0_CRY2</t>
  </si>
  <si>
    <t>Q49AR2_C5orf22</t>
  </si>
  <si>
    <t>Q49B96_COX19</t>
  </si>
  <si>
    <t>Q4G0F5_VPS26B</t>
  </si>
  <si>
    <t>Q4G0I0_CCSMST1</t>
  </si>
  <si>
    <t>Q4G0J3_LARP7</t>
  </si>
  <si>
    <t>Q4G0N4_NADKD1</t>
  </si>
  <si>
    <t>Q4G148-2_GXYLT1</t>
  </si>
  <si>
    <t>Q4G176_ACSF3</t>
  </si>
  <si>
    <t>Q4J6C6-4_PREPL</t>
  </si>
  <si>
    <t>Q4KMP7_TBC1D10B</t>
  </si>
  <si>
    <t>Q4KMQ2-3_ANO6</t>
  </si>
  <si>
    <t>Q4KWH8-3_PLCH1</t>
  </si>
  <si>
    <t>Q4LDG9_DNAL1</t>
  </si>
  <si>
    <t>Q4LE39-2_ARID4B</t>
  </si>
  <si>
    <t>Q4V328_GRIPAP1</t>
  </si>
  <si>
    <t>Q4VAR0_CYP11B1</t>
  </si>
  <si>
    <t>Q4VC05-2_BCL7A</t>
  </si>
  <si>
    <t>Q4VXZ8_DECR2</t>
  </si>
  <si>
    <t>Q4ZIN3-2_TMEM259</t>
  </si>
  <si>
    <t>Q504Q3-2_PAN2</t>
  </si>
  <si>
    <t>Q52LJ0-2_FAM98B</t>
  </si>
  <si>
    <t>Q53EL6-2_PDCD4</t>
  </si>
  <si>
    <t>Q53EP0-2_FNDC3B</t>
  </si>
  <si>
    <t>Q53EU6_AGPAT9</t>
  </si>
  <si>
    <t>Q53EZ4-2_CEP55</t>
  </si>
  <si>
    <t>Q53FA7_TP53I3</t>
  </si>
  <si>
    <t>Q53FT3_C11orf73</t>
  </si>
  <si>
    <t>Q53FZ2_ACSM3</t>
  </si>
  <si>
    <t>Q53GQ0_HSD17B12</t>
  </si>
  <si>
    <t>Q53H47_SETMAR</t>
  </si>
  <si>
    <t>Q53H54_TRMT12</t>
  </si>
  <si>
    <t>Q53H82_LACTB2</t>
  </si>
  <si>
    <t>Q53H96_PYCRL</t>
  </si>
  <si>
    <t>Q53R41_FASTKD1</t>
  </si>
  <si>
    <t>Q53RE8_ANKRD39</t>
  </si>
  <si>
    <t>Q53S33_BOLA3</t>
  </si>
  <si>
    <t>Q53T59_HS1BP3</t>
  </si>
  <si>
    <t>Q53TN4-3_CYBRD1</t>
  </si>
  <si>
    <t>Q562F6-2_SGOL2</t>
  </si>
  <si>
    <t>Q567V2-2_MPV17L2</t>
  </si>
  <si>
    <t>Q587I9_SFT2D3</t>
  </si>
  <si>
    <t>Q58A45_PAN3</t>
  </si>
  <si>
    <t>Q58FF7_HSP90AB3P</t>
  </si>
  <si>
    <t>Q58FF8_HSP90AB2P</t>
  </si>
  <si>
    <t>Q58FG1_HSP90AA4P</t>
  </si>
  <si>
    <t>Q58WW2_DCAF6</t>
  </si>
  <si>
    <t>Q59GN2_RPL39P5</t>
  </si>
  <si>
    <t>Q5BKU9_OXLD1</t>
  </si>
  <si>
    <t>Q5BKX5-3_C19orf54</t>
  </si>
  <si>
    <t>Q5BKX6-2_SLC45A4</t>
  </si>
  <si>
    <t>Q5DTB0_CD80</t>
  </si>
  <si>
    <t>Q5EBL4_RILPL1</t>
  </si>
  <si>
    <t>Q5EBL8_PDZD11</t>
  </si>
  <si>
    <t>Q5EBM0_CMPK2</t>
  </si>
  <si>
    <t>Q5F1R6_DNAJC21</t>
  </si>
  <si>
    <t>Q5GLZ8-3_HERC4</t>
  </si>
  <si>
    <t>Q5H8X8_UTS2</t>
  </si>
  <si>
    <t>Q5H937_PKIG</t>
  </si>
  <si>
    <t>Q5H9A7_TIMP1</t>
  </si>
  <si>
    <t>Q5HY40_DNASE1L1</t>
  </si>
  <si>
    <t>Q5HYI8_RABL3</t>
  </si>
  <si>
    <t>Q5HYZ1_WDR46</t>
  </si>
  <si>
    <t>Q5J1K9_ART3</t>
  </si>
  <si>
    <t>Q5JP01_RBBP7</t>
  </si>
  <si>
    <t>Q5JP53_TUBB</t>
  </si>
  <si>
    <t>Q5JPE7-2_NOMO2</t>
  </si>
  <si>
    <t>Q5JPH6_EARS2</t>
  </si>
  <si>
    <t>Q5JR08_RHOC</t>
  </si>
  <si>
    <t>Q5JRA6_MIA3</t>
  </si>
  <si>
    <t>Q5JRG1_NUPL1</t>
  </si>
  <si>
    <t>Q5JRI1_SRSF10</t>
  </si>
  <si>
    <t>Q5JRL0_PAGE2B</t>
  </si>
  <si>
    <t>Q5JRX3_PITRM1</t>
  </si>
  <si>
    <t>Q5JS54_PSMG4</t>
  </si>
  <si>
    <t>Q5JSH3-2_WDR44</t>
  </si>
  <si>
    <t>Q5JSK7_HMGN5</t>
  </si>
  <si>
    <t>Q5JSZ5_PRRC2B</t>
  </si>
  <si>
    <t>Q5JTC4_LAMC3</t>
  </si>
  <si>
    <t>Q5JTD0-2_TJAP1</t>
  </si>
  <si>
    <t>Q5JTH9-2_RRP12</t>
  </si>
  <si>
    <t>Q5JTJ3-3_COA6</t>
  </si>
  <si>
    <t>Q5JTP4_LAMA5</t>
  </si>
  <si>
    <t>Q5JTV1_GMEB2</t>
  </si>
  <si>
    <t>Q5JTV8_TOR1AIP1</t>
  </si>
  <si>
    <t>Q5JTZ9_AARS2</t>
  </si>
  <si>
    <t>Q5JU69_TOR2A</t>
  </si>
  <si>
    <t>Q5JU85-3_IQSEC2</t>
  </si>
  <si>
    <t>Q5JUE6_RAPGEF1</t>
  </si>
  <si>
    <t>Q5JUQ0_FAM78A</t>
  </si>
  <si>
    <t>Q5JUR7_TEX30</t>
  </si>
  <si>
    <t>Q5JUW8_DLG3</t>
  </si>
  <si>
    <t>Q5JVF3-3_PCID2</t>
  </si>
  <si>
    <t>Q5JVZ5_ELMO2</t>
  </si>
  <si>
    <t>Q5JW30_STAU1</t>
  </si>
  <si>
    <t>Q5JWB9_TMEM230</t>
  </si>
  <si>
    <t>Q5JWM4_TASP1</t>
  </si>
  <si>
    <t>Q5JWT2_MED23</t>
  </si>
  <si>
    <t>Q5JXC2_MIIP</t>
  </si>
  <si>
    <t>Q5JXX2_MORF4L2</t>
  </si>
  <si>
    <t>Q5JY65_CRNKL1</t>
  </si>
  <si>
    <t>Q5LJA5_UCHL5</t>
  </si>
  <si>
    <t>Q5M775_SPECC1</t>
  </si>
  <si>
    <t>Q5MIZ7-3_SMEK2</t>
  </si>
  <si>
    <t>Q5MNZ6_WDR45B</t>
  </si>
  <si>
    <t>Q5NDL2_EOGT</t>
  </si>
  <si>
    <t>Q5QJE6_DNTTIP2</t>
  </si>
  <si>
    <t>Q5QNY5_PEX19</t>
  </si>
  <si>
    <t>Q5QNZ2_ATP5F1</t>
  </si>
  <si>
    <t>Q5QP56_BCL2L1</t>
  </si>
  <si>
    <t>Q5QP82-2_DCAF10</t>
  </si>
  <si>
    <t>Q5QPA5_MRPS18A</t>
  </si>
  <si>
    <t>Q5QPC2_TTPAL</t>
  </si>
  <si>
    <t>Q5QPK2_DPM1</t>
  </si>
  <si>
    <t>Q5R372-4_RABGAP1L</t>
  </si>
  <si>
    <t>Q5R3B4_MPC2</t>
  </si>
  <si>
    <t>Q5R3I4_TTC38</t>
  </si>
  <si>
    <t>Q5RI15_COX20</t>
  </si>
  <si>
    <t>Q5RKV6_EXOSC6</t>
  </si>
  <si>
    <t>Q5SNW6_MTHFR</t>
  </si>
  <si>
    <t>Q5SR50_PIK3CD</t>
  </si>
  <si>
    <t>Q5SR54_CLSTN1</t>
  </si>
  <si>
    <t>Q5SR56_HIATL1</t>
  </si>
  <si>
    <t>Q5SRE5_NUP188</t>
  </si>
  <si>
    <t>Q5SRN1_CDC40</t>
  </si>
  <si>
    <t>Q5SRQ6_CSNK2B</t>
  </si>
  <si>
    <t>Q5SSJ5_HP1BP3</t>
  </si>
  <si>
    <t>Q5ST30_VARS2</t>
  </si>
  <si>
    <t>Q5SVK8_DNMBP</t>
  </si>
  <si>
    <t>Q5SW79_CEP170</t>
  </si>
  <si>
    <t>Q5SWX8-2_ODR4</t>
  </si>
  <si>
    <t>Q5SX86_GDI2</t>
  </si>
  <si>
    <t>Q5SXM8_DNLZ</t>
  </si>
  <si>
    <t>Q5SY16_NOL9</t>
  </si>
  <si>
    <t>Q5SZ64_SF3B4</t>
  </si>
  <si>
    <t>Q5SZE3_CERS2</t>
  </si>
  <si>
    <t>Q5SZR4_TDRKH</t>
  </si>
  <si>
    <t>Q5T0D9-2_TPRG1L</t>
  </si>
  <si>
    <t>Q5T0Z6_PKIB</t>
  </si>
  <si>
    <t>Q5T114_C9orf156</t>
  </si>
  <si>
    <t>Q5T123_SH3BGRL3</t>
  </si>
  <si>
    <t>Q5T160_RARS2</t>
  </si>
  <si>
    <t>Q5T171_PYGO2</t>
  </si>
  <si>
    <t>Q5T179_CKS1B</t>
  </si>
  <si>
    <t>Q5T1C6_THEM4</t>
  </si>
  <si>
    <t>Q5T1M5_FKBP15</t>
  </si>
  <si>
    <t>Q5T1V6_DDX59</t>
  </si>
  <si>
    <t>Q5T1Z0_LHPP</t>
  </si>
  <si>
    <t>Q5T1Z4_PUM1</t>
  </si>
  <si>
    <t>Q5T200_ZC3H13</t>
  </si>
  <si>
    <t>Q5T280_C9orf114</t>
  </si>
  <si>
    <t>Q5T2D3_OTUD3</t>
  </si>
  <si>
    <t>Q5T2J3_BCKDHB</t>
  </si>
  <si>
    <t>Q5T2R2-3_PDSS1</t>
  </si>
  <si>
    <t>Q5T3J3-2_LRIF1</t>
  </si>
  <si>
    <t>Q5T3N1_ANXA1</t>
  </si>
  <si>
    <t>Q5T3Q7_HEATR1</t>
  </si>
  <si>
    <t>Q5T3U5-2_ABCC10</t>
  </si>
  <si>
    <t>Q5T418_MUTYH</t>
  </si>
  <si>
    <t>Q5T440_IBA57</t>
  </si>
  <si>
    <t>Q5T447_HECTD3</t>
  </si>
  <si>
    <t>Q5T4B9_COQ4</t>
  </si>
  <si>
    <t>Q5T4D3-2_TMTC4</t>
  </si>
  <si>
    <t>Q5T4S7-3_UBR4</t>
  </si>
  <si>
    <t>Q5T4U5_ACADM</t>
  </si>
  <si>
    <t>Q5T4U8_RABGGTB</t>
  </si>
  <si>
    <t>Q5T5C0-3_STXBP5</t>
  </si>
  <si>
    <t>Q5T5C7_SARS</t>
  </si>
  <si>
    <t>Q5T5U3_ARHGAP21</t>
  </si>
  <si>
    <t>Q5T5X7_BEND3</t>
  </si>
  <si>
    <t>Q5T5Y3_CAMSAP1</t>
  </si>
  <si>
    <t>Q5T6F0_DCAF12</t>
  </si>
  <si>
    <t>Q5T6F2_UBAP2</t>
  </si>
  <si>
    <t>Q5T6S3_PHF19</t>
  </si>
  <si>
    <t>Q5T6S3-2_PHF19</t>
  </si>
  <si>
    <t>Q5T6V5_C9orf64</t>
  </si>
  <si>
    <t>Q5T6Z8_TMEM59</t>
  </si>
  <si>
    <t>Q5T7A4_ADCK3</t>
  </si>
  <si>
    <t>Q5T7V8_GORAB</t>
  </si>
  <si>
    <t>Q5T8D3-4_ACBD5</t>
  </si>
  <si>
    <t>Q5T8I0_COX6A1P2</t>
  </si>
  <si>
    <t>Q5T8I3-2_FAM102B</t>
  </si>
  <si>
    <t>Q5T8P6-2_RBM26</t>
  </si>
  <si>
    <t>Q5T8U5_SURF4</t>
  </si>
  <si>
    <t>Q5T9A4_ATAD3B</t>
  </si>
  <si>
    <t>Q5T9B7_AK1</t>
  </si>
  <si>
    <t>Q5T9U4_MEF2D</t>
  </si>
  <si>
    <t>Q5T9W8_HSP90AB1</t>
  </si>
  <si>
    <t>Q5TA02_GSTO1</t>
  </si>
  <si>
    <t>Q5TA31_RNF187</t>
  </si>
  <si>
    <t>Q5TA45-2_CPSF3L</t>
  </si>
  <si>
    <t>Q5TA50_GLTPD1</t>
  </si>
  <si>
    <t>Q5TA58_AGO1</t>
  </si>
  <si>
    <t>Q5TAA8_HPS1</t>
  </si>
  <si>
    <t>Q5TAW7_CAB39L</t>
  </si>
  <si>
    <t>Q5TAX3_ZCCHC11</t>
  </si>
  <si>
    <t>Q5TBB1_RNASEH2B</t>
  </si>
  <si>
    <t>Q5TBP5_TAF4</t>
  </si>
  <si>
    <t>Q5TBP9_LSM14B</t>
  </si>
  <si>
    <t>Q5TC82-2_RC3H1</t>
  </si>
  <si>
    <t>Q5TD07_NQO2</t>
  </si>
  <si>
    <t>Q5TDG9_DNAJC16</t>
  </si>
  <si>
    <t>Q5TDH0_DDI2</t>
  </si>
  <si>
    <t>Q5TEU4_NDUFAF5</t>
  </si>
  <si>
    <t>Q5TFA5_GINM1</t>
  </si>
  <si>
    <t>Q5TFE4_NT5DC1</t>
  </si>
  <si>
    <t>Q5TGE1_TMEM189</t>
  </si>
  <si>
    <t>Q5TH30_NDRG3</t>
  </si>
  <si>
    <t>Q5THJ4-2_VPS13D</t>
  </si>
  <si>
    <t>Q5THK1-3_PRR14L</t>
  </si>
  <si>
    <t>Q5TI78_METTL18</t>
  </si>
  <si>
    <t>Q5TIE1_SLC19A2</t>
  </si>
  <si>
    <t>Q5TIH2_SFT2D2</t>
  </si>
  <si>
    <t>Q5U5X0_LYRM7</t>
  </si>
  <si>
    <t>Q5UIP0_RIF1</t>
  </si>
  <si>
    <t>Q5VIR6-4_VPS53</t>
  </si>
  <si>
    <t>Q5VSL9_STRIP1</t>
  </si>
  <si>
    <t>Q5VT52_RPRD2</t>
  </si>
  <si>
    <t>Q5VT94_GHITM</t>
  </si>
  <si>
    <t>Q5VTD9-2_GFI1B</t>
  </si>
  <si>
    <t>Q5VTL8_PRPF38B</t>
  </si>
  <si>
    <t>Q5VTR2_RNF20</t>
  </si>
  <si>
    <t>Q5VTU3_DYNLT1</t>
  </si>
  <si>
    <t>Q5VU58_TPM3</t>
  </si>
  <si>
    <t>Q5VUA4_ZNF318</t>
  </si>
  <si>
    <t>Q5VV42_CDKAL1</t>
  </si>
  <si>
    <t>Q5VV50_ZNF691</t>
  </si>
  <si>
    <t>Q5VV87_MGST3</t>
  </si>
  <si>
    <t>Q5VVD7_PLEKHM2</t>
  </si>
  <si>
    <t>Q5VVJ2-2_MYSM1</t>
  </si>
  <si>
    <t>Q5VVQ6_YOD1</t>
  </si>
  <si>
    <t>Q5VW32_BROX</t>
  </si>
  <si>
    <t>Q5VW52_GPAM</t>
  </si>
  <si>
    <t>Q5VWC4_PSMD4</t>
  </si>
  <si>
    <t>Q5VWJ9_SNX30</t>
  </si>
  <si>
    <t>Q5VWP2_FAM46C</t>
  </si>
  <si>
    <t>Q5VWQ0_RSBN1</t>
  </si>
  <si>
    <t>Q5VWV2_PARD3</t>
  </si>
  <si>
    <t>Q5VWZ2_LYPLAL1</t>
  </si>
  <si>
    <t>Q5VY93_ARHGEF2</t>
  </si>
  <si>
    <t>Q5VZ66-2_JAKMIP3</t>
  </si>
  <si>
    <t>Q5VZE5_NAA35</t>
  </si>
  <si>
    <t>Q5VZI3-2_C9orf91</t>
  </si>
  <si>
    <t>Q5VZL5-4_ZMYM4</t>
  </si>
  <si>
    <t>Q5VZR0_GLIPR2</t>
  </si>
  <si>
    <t>Q5VZU9_TPP2</t>
  </si>
  <si>
    <t>Q5VZZ6_CELF2</t>
  </si>
  <si>
    <t>Q5W0A2_ITM2B</t>
  </si>
  <si>
    <t>Q5W0V3_FAM160B1</t>
  </si>
  <si>
    <t>Q5W111-2_SPRYD7</t>
  </si>
  <si>
    <t>Q5W145_NDUFB8</t>
  </si>
  <si>
    <t>Q5XKP0_QIL1</t>
  </si>
  <si>
    <t>Q5XPI4_RNF123</t>
  </si>
  <si>
    <t>Q5XUX1-3_FBXW9</t>
  </si>
  <si>
    <t>Q63HN8_RNF213</t>
  </si>
  <si>
    <t>Q643R3_LPCAT4</t>
  </si>
  <si>
    <t>Q658P3-3_STEAP3</t>
  </si>
  <si>
    <t>Q66GS9_CEP135</t>
  </si>
  <si>
    <t>Q66K14-2_TBC1D9B</t>
  </si>
  <si>
    <t>Q66K64_DCAF15</t>
  </si>
  <si>
    <t>Q66LE6_PPP2R2D</t>
  </si>
  <si>
    <t>Q66PJ3_ARL6IP4</t>
  </si>
  <si>
    <t>Q66S35_PFKFB4</t>
  </si>
  <si>
    <t>Q674X7-3_KAZN</t>
  </si>
  <si>
    <t>Q68CQ4_DIEXF</t>
  </si>
  <si>
    <t>Q68D10-2_SPTY2D1</t>
  </si>
  <si>
    <t>Q68D85_NCR3LG1</t>
  </si>
  <si>
    <t>Q68D91_MBLAC2</t>
  </si>
  <si>
    <t>Q68DH5_LMBRD2</t>
  </si>
  <si>
    <t>Q68E01-2_INTS3</t>
  </si>
  <si>
    <t>Q68EM7-6_ARHGAP17</t>
  </si>
  <si>
    <t>Q69YH5_CDCA2</t>
  </si>
  <si>
    <t>Q69YL0_</t>
  </si>
  <si>
    <t>Q69YM1_DKFZp762C0813</t>
  </si>
  <si>
    <t>Q69YN2_CWF19L1</t>
  </si>
  <si>
    <t>Q69YN4-3_KIAA1429</t>
  </si>
  <si>
    <t>Q69YQ0-2_SPECC1L</t>
  </si>
  <si>
    <t>Q69YU5_C12orf73</t>
  </si>
  <si>
    <t>Q6AI08_HEATR6</t>
  </si>
  <si>
    <t>Q6AI12_ANKRD40</t>
  </si>
  <si>
    <t>Q6BCY4-2_CYB5R2</t>
  </si>
  <si>
    <t>Q6BDS2_UHRF1BP1</t>
  </si>
  <si>
    <t>Q6DCA0_AMMECR1L</t>
  </si>
  <si>
    <t>Q6DD87_ZNF787</t>
  </si>
  <si>
    <t>Q6DD88_ATL3</t>
  </si>
  <si>
    <t>Q6DHV7_ADAL</t>
  </si>
  <si>
    <t>Q6DT37_CDC42BPG</t>
  </si>
  <si>
    <t>Q6EEV4-2_POLR2M</t>
  </si>
  <si>
    <t>Q6EMK4_VASN</t>
  </si>
  <si>
    <t>Q6FI81_CIAPIN1</t>
  </si>
  <si>
    <t>Q6FIF0-2_ZFAND6</t>
  </si>
  <si>
    <t>Q6GMV2_SMYD5</t>
  </si>
  <si>
    <t>Q6GMV3_PTRHD1</t>
  </si>
  <si>
    <t>Q6GQQ9_OTUD7B</t>
  </si>
  <si>
    <t>Q6I9Y2_THOC7</t>
  </si>
  <si>
    <t>Q6IA69_NADSYN1</t>
  </si>
  <si>
    <t>Q6IA86-3_ELP2</t>
  </si>
  <si>
    <t>Q6IAA8_LAMTOR1</t>
  </si>
  <si>
    <t>Q6IAN0_DHRS7B</t>
  </si>
  <si>
    <t>Q6IBS0_TWF2</t>
  </si>
  <si>
    <t>Q6IBW4-2_NCAPH2</t>
  </si>
  <si>
    <t>Q6IC98_GRAMD4</t>
  </si>
  <si>
    <t>Q6IN84_MRM1</t>
  </si>
  <si>
    <t>Q6IN85_SMEK1</t>
  </si>
  <si>
    <t>Q6IPR1_LYRM5</t>
  </si>
  <si>
    <t>Q6IPR3_TYW3</t>
  </si>
  <si>
    <t>Q6IPU0_CENPP</t>
  </si>
  <si>
    <t>Q6IQ22_RAB12</t>
  </si>
  <si>
    <t>Q6IQ49-2_SDE2</t>
  </si>
  <si>
    <t>Q6J164_GRM5</t>
  </si>
  <si>
    <t>Q6JHV3_USP3</t>
  </si>
  <si>
    <t>Q6KC79-2_NIPBL</t>
  </si>
  <si>
    <t>Q6KCM7_SLC25A25</t>
  </si>
  <si>
    <t>Q6MZP7-2_LIN54</t>
  </si>
  <si>
    <t>Q6N063_OGFOD2</t>
  </si>
  <si>
    <t>Q6N069_NAA16</t>
  </si>
  <si>
    <t>Q6NSH3_CT45A5</t>
  </si>
  <si>
    <t>Q6NSJ5_LRRC8E</t>
  </si>
  <si>
    <t>Q6NT16_SLC18B1</t>
  </si>
  <si>
    <t>Q6NTE8_C5orf45</t>
  </si>
  <si>
    <t>Q6NUK1_SLC25A24</t>
  </si>
  <si>
    <t>Q6NUK4-2_REEP3</t>
  </si>
  <si>
    <t>Q6NUM9_RETSAT</t>
  </si>
  <si>
    <t>Q6NUQ1_RINT1</t>
  </si>
  <si>
    <t>Q6NUQ4-2_TMEM214</t>
  </si>
  <si>
    <t>Q6NVY1_HIBCH</t>
  </si>
  <si>
    <t>Q6NXE6-2_ARMC6</t>
  </si>
  <si>
    <t>Q6NXT1_ANKRD54</t>
  </si>
  <si>
    <t>Q6NXT6_TAPT1</t>
  </si>
  <si>
    <t>Q6NYC8_PPP1R18</t>
  </si>
  <si>
    <t>Q6NZI2_PTRF</t>
  </si>
  <si>
    <t>Q6NZY4_ZCCHC8</t>
  </si>
  <si>
    <t>Q6P161_MRPL54</t>
  </si>
  <si>
    <t>Q6P1J9_CDC73</t>
  </si>
  <si>
    <t>Q6P1K2-4_PMF1</t>
  </si>
  <si>
    <t>Q6P1K8_GTF2H2C</t>
  </si>
  <si>
    <t>Q6P1L5-2_FAM117B</t>
  </si>
  <si>
    <t>Q6P1L8_MRPL14</t>
  </si>
  <si>
    <t>Q6P1M0_SLC27A4</t>
  </si>
  <si>
    <t>Q6P1N0-2_CC2D1A</t>
  </si>
  <si>
    <t>Q6P1Q9_METTL2B</t>
  </si>
  <si>
    <t>Q6P1R4_DUS1L</t>
  </si>
  <si>
    <t>Q6P1X5_TAF2</t>
  </si>
  <si>
    <t>Q6P2C8-2_MED27</t>
  </si>
  <si>
    <t>Q6P2E9_EDC4</t>
  </si>
  <si>
    <t>Q6P2H3-2_CEP85</t>
  </si>
  <si>
    <t>Q6P2P2_PRMT10</t>
  </si>
  <si>
    <t>Q6P2Q9_PRPF8</t>
  </si>
  <si>
    <t>Q6P3S1-5_DENND1B</t>
  </si>
  <si>
    <t>Q6P3S6_FBXO42</t>
  </si>
  <si>
    <t>Q6P3W7_SCYL2</t>
  </si>
  <si>
    <t>Q6P3X3_TTC27</t>
  </si>
  <si>
    <t>Q6P444_MTFR2</t>
  </si>
  <si>
    <t>Q6P499-2_NIPAL3</t>
  </si>
  <si>
    <t>Q6P4A7_SFXN4</t>
  </si>
  <si>
    <t>Q6P4A8_PLBD1</t>
  </si>
  <si>
    <t>Q6P4E1_CASC4</t>
  </si>
  <si>
    <t>Q6P4F2_FDX1L</t>
  </si>
  <si>
    <t>Q6P4I2_WDR73</t>
  </si>
  <si>
    <t>Q6P582_MZT2A</t>
  </si>
  <si>
    <t>Q6P587_FAHD1</t>
  </si>
  <si>
    <t>Q6P5X5_C22orf39</t>
  </si>
  <si>
    <t>Q6P5Z2_PKN3</t>
  </si>
  <si>
    <t>Q6P6B7-2_ANKRD16</t>
  </si>
  <si>
    <t>Q6P6C2-3_ALKBH5</t>
  </si>
  <si>
    <t>Q6P9B6_KIAA1609</t>
  </si>
  <si>
    <t>Q6P9F7_LRRC8B</t>
  </si>
  <si>
    <t>Q6PCB5_RSBN1L</t>
  </si>
  <si>
    <t>Q6PCE3_PGM2L1</t>
  </si>
  <si>
    <t>Q6PD62_CTR9</t>
  </si>
  <si>
    <t>Q6PD74_AAGAB</t>
  </si>
  <si>
    <t>Q6PGN9-2_PSRC1</t>
  </si>
  <si>
    <t>Q6PH81_C16orf87</t>
  </si>
  <si>
    <t>Q6PI48_DARS2</t>
  </si>
  <si>
    <t>Q6PID6_TTC33</t>
  </si>
  <si>
    <t>Q6PII3_CCDC174</t>
  </si>
  <si>
    <t>Q6PII5-2_HAGHL</t>
  </si>
  <si>
    <t>Q6PIJ6-2_FBXO38</t>
  </si>
  <si>
    <t>Q6PIR0_CENPC1</t>
  </si>
  <si>
    <t>Q6PIW4-2_FIGNL1</t>
  </si>
  <si>
    <t>Q6PJ61_FBXO46</t>
  </si>
  <si>
    <t>Q6PJ69_TRIM65</t>
  </si>
  <si>
    <t>Q6PJG6_BRAT1</t>
  </si>
  <si>
    <t>Q6PJT7-5_ZC3H14</t>
  </si>
  <si>
    <t>Q6PJW8_CNST</t>
  </si>
  <si>
    <t>Q6PK18_OGFOD3</t>
  </si>
  <si>
    <t>Q6PK81-2_ZNF773</t>
  </si>
  <si>
    <t>Q6PKC3-2_TXNDC11</t>
  </si>
  <si>
    <t>Q6PKG0_LARP1</t>
  </si>
  <si>
    <t>Q6PL24_TMED8</t>
  </si>
  <si>
    <t>Q6PML9_SLC30A9</t>
  </si>
  <si>
    <t>Q6PUV4_CPLX2</t>
  </si>
  <si>
    <t>Q6QNY0_BLOC1S3</t>
  </si>
  <si>
    <t>Q6QNY1_BLOC1S2</t>
  </si>
  <si>
    <t>Q6R327_RICTOR</t>
  </si>
  <si>
    <t>Q6RFH5-2_WDR74</t>
  </si>
  <si>
    <t>Q6RW13_AGTRAP</t>
  </si>
  <si>
    <t>Q6S8J3_POTEE</t>
  </si>
  <si>
    <t>Q6SPF0_SAMD1</t>
  </si>
  <si>
    <t>Q6STE5-2_SMARCD3</t>
  </si>
  <si>
    <t>Q6T4P5_LPPR3</t>
  </si>
  <si>
    <t>Q6UB35_MTHFD1L</t>
  </si>
  <si>
    <t>Q6UB99_ANKRD11</t>
  </si>
  <si>
    <t>Q6ULP2-5_AFTPH</t>
  </si>
  <si>
    <t>Q6UN15-5_FIP1L1</t>
  </si>
  <si>
    <t>Q6UUV7-3_CRTC3</t>
  </si>
  <si>
    <t>Q6UUV9-3_CRTC1</t>
  </si>
  <si>
    <t>Q6UW63_KDELC1</t>
  </si>
  <si>
    <t>Q6UW78_C11orf83</t>
  </si>
  <si>
    <t>Q6UWB1_IL27RA</t>
  </si>
  <si>
    <t>Q6UWE0_LRSAM1</t>
  </si>
  <si>
    <t>Q6UWP2_DHRS11</t>
  </si>
  <si>
    <t>Q6UWP7-3_LCLAT1</t>
  </si>
  <si>
    <t>Q6UWS5_PET117</t>
  </si>
  <si>
    <t>Q6UWU4_C6orf89</t>
  </si>
  <si>
    <t>Q6UX04_CWC27</t>
  </si>
  <si>
    <t>Q6UX07_DHRS13</t>
  </si>
  <si>
    <t>Q6UXH1-4_CRELD2</t>
  </si>
  <si>
    <t>Q6UXN9_WDR82</t>
  </si>
  <si>
    <t>Q6UXV4_APOOL</t>
  </si>
  <si>
    <t>Q6UY14-2_ADAMTSL4</t>
  </si>
  <si>
    <t>Q6VMQ6-2_ATF7IP</t>
  </si>
  <si>
    <t>Q6VY07_PACS1</t>
  </si>
  <si>
    <t>Q6W2J9-4_BCOR</t>
  </si>
  <si>
    <t>Q6WKZ4_RAB11FIP1</t>
  </si>
  <si>
    <t>Q6XQN6_NAPRT1</t>
  </si>
  <si>
    <t>Q6XR72_SLC30A10</t>
  </si>
  <si>
    <t>Q6Y1H2_PTPLB</t>
  </si>
  <si>
    <t>Q6Y7W6-4_GIGYF2</t>
  </si>
  <si>
    <t>Q6YHU6-3_THADA</t>
  </si>
  <si>
    <t>Q6YN16_HSDL2</t>
  </si>
  <si>
    <t>Q6YP21-3_CCBL2</t>
  </si>
  <si>
    <t>Q6ZMI0_PPP1R21</t>
  </si>
  <si>
    <t>Q6ZN04_MEX3B</t>
  </si>
  <si>
    <t>Q6ZN17_LIN28B</t>
  </si>
  <si>
    <t>Q6ZN54-4_DEF8</t>
  </si>
  <si>
    <t>Q6ZNA5_FRRS1</t>
  </si>
  <si>
    <t>Q6ZNB6_NFXL1</t>
  </si>
  <si>
    <t>Q6ZNJ1-2_NBEAL2</t>
  </si>
  <si>
    <t>Q6ZNW5_GDPGP1</t>
  </si>
  <si>
    <t>Q6ZPD9_DPY19L3</t>
  </si>
  <si>
    <t>Q6ZRP7_QSOX2</t>
  </si>
  <si>
    <t>Q6ZRS2-3_SRCAP</t>
  </si>
  <si>
    <t>Q6ZS17-2_FAM65A</t>
  </si>
  <si>
    <t>Q6ZSJ8_C1orf122</t>
  </si>
  <si>
    <t>Q6ZT12_UBR3</t>
  </si>
  <si>
    <t>Q6ZT62_SH3BP1</t>
  </si>
  <si>
    <t>Q6ZUT1-3_C11orf57</t>
  </si>
  <si>
    <t>Q6ZW49-4_PAXIP1</t>
  </si>
  <si>
    <t>Q6ZXV5-2_TMTC3</t>
  </si>
  <si>
    <t>Q6ZYL4_GTF2H5</t>
  </si>
  <si>
    <t>Q709C8-3_VPS13C</t>
  </si>
  <si>
    <t>Q70CQ2_USP34</t>
  </si>
  <si>
    <t>Q70IA6_MOB2</t>
  </si>
  <si>
    <t>Q70J99_UNC13D</t>
  </si>
  <si>
    <t>Q70UQ0_IKBIP</t>
  </si>
  <si>
    <t>Q70UQ0-4_IKBIP</t>
  </si>
  <si>
    <t>Q70Z53-2_FRA10AC1</t>
  </si>
  <si>
    <t>Q712K3_UBE2R2</t>
  </si>
  <si>
    <t>Q71RC2-5_LARP4</t>
  </si>
  <si>
    <t>Q71SY5-5_MED25</t>
  </si>
  <si>
    <t>Q71TU5_CSNK1A1</t>
  </si>
  <si>
    <t>Q71UI9_H2AFV</t>
  </si>
  <si>
    <t>Q765P7_MTSS1L</t>
  </si>
  <si>
    <t>Q7KYR7-5_BTN2A1</t>
  </si>
  <si>
    <t>Q7KZ85_SUPT6H</t>
  </si>
  <si>
    <t>Q7KZ85-2_SUPT6H</t>
  </si>
  <si>
    <t>Q7KZF4_SND1</t>
  </si>
  <si>
    <t>Q7KZN9-2_COX15</t>
  </si>
  <si>
    <t>Q7L014_DDX46</t>
  </si>
  <si>
    <t>Q7L099-2_RUFY3</t>
  </si>
  <si>
    <t>Q7L099-4_RUFY3</t>
  </si>
  <si>
    <t>Q7L0Y3_TRMT10C</t>
  </si>
  <si>
    <t>Q7L1Q6_BZW1</t>
  </si>
  <si>
    <t>Q7L1T6_CYB5R4</t>
  </si>
  <si>
    <t>Q7L1W4_LRRC8D</t>
  </si>
  <si>
    <t>Q7L211_ABHD13</t>
  </si>
  <si>
    <t>Q7L266_ASRGL1</t>
  </si>
  <si>
    <t>Q7L273_KCTD9</t>
  </si>
  <si>
    <t>Q7L2H7_EIF3M</t>
  </si>
  <si>
    <t>Q7L2J0_MEPCE</t>
  </si>
  <si>
    <t>Q7L3T8_PARS2</t>
  </si>
  <si>
    <t>Q7L4E1-3_FAM73B</t>
  </si>
  <si>
    <t>Q7L4I2_RSRC2</t>
  </si>
  <si>
    <t>Q7L523_RRAGA</t>
  </si>
  <si>
    <t>Q7L576_CYFIP1</t>
  </si>
  <si>
    <t>Q7L592_NDUFAF7</t>
  </si>
  <si>
    <t>Q7L5D6_GET4</t>
  </si>
  <si>
    <t>Q7L5Y1_ENOSF1</t>
  </si>
  <si>
    <t>Q7L5Y9_MAEA</t>
  </si>
  <si>
    <t>Q7L775_EPM2AIP1</t>
  </si>
  <si>
    <t>Q7L7X3_TAOK1</t>
  </si>
  <si>
    <t>Q7L8J4_SH3BP5L</t>
  </si>
  <si>
    <t>Q7L8L6_FASTKD5</t>
  </si>
  <si>
    <t>Q7L8W6_ATPBD4</t>
  </si>
  <si>
    <t>Q7LBC6_KDM3B</t>
  </si>
  <si>
    <t>Q7LBR1_CHMP1B</t>
  </si>
  <si>
    <t>Q7LDG7_RASGRP2</t>
  </si>
  <si>
    <t>Q7LG56_RRM2B</t>
  </si>
  <si>
    <t>Q7LGA3_HS2ST1</t>
  </si>
  <si>
    <t>Q7RTN6-6_STRADA</t>
  </si>
  <si>
    <t>Q7RTP0_NIPA1</t>
  </si>
  <si>
    <t>Q7RTP6_MICAL3</t>
  </si>
  <si>
    <t>Q7RTV0_PHF5A</t>
  </si>
  <si>
    <t>Q7Z2E3-3_APTX</t>
  </si>
  <si>
    <t>Q7Z2K8_GPRIN1</t>
  </si>
  <si>
    <t>Q7Z2T5_TRMT1L</t>
  </si>
  <si>
    <t>Q7Z2W4_ZC3HAV1</t>
  </si>
  <si>
    <t>Q7Z2Z2_EFTUD1</t>
  </si>
  <si>
    <t>Q7Z309-5_FAM122B</t>
  </si>
  <si>
    <t>Q7Z333-3_SETX</t>
  </si>
  <si>
    <t>Q7Z372_DKFZp686N07218</t>
  </si>
  <si>
    <t>Q7Z392-4_TRAPPC11</t>
  </si>
  <si>
    <t>Q7Z3B3_KANSL1</t>
  </si>
  <si>
    <t>Q7Z3C6-2_ATG9A</t>
  </si>
  <si>
    <t>Q7Z3D4_LYSMD3</t>
  </si>
  <si>
    <t>Q7Z3E2_C10orf118</t>
  </si>
  <si>
    <t>Q7Z3K3-5_POGZ</t>
  </si>
  <si>
    <t>Q7Z3T8_ZFYVE16</t>
  </si>
  <si>
    <t>Q7Z3V4_UBE3B</t>
  </si>
  <si>
    <t>Q7Z401_DENND4A</t>
  </si>
  <si>
    <t>Q7Z417_NUFIP2</t>
  </si>
  <si>
    <t>Q7Z422-2_SZRD1</t>
  </si>
  <si>
    <t>Q7Z434_MAVS</t>
  </si>
  <si>
    <t>Q7Z451_AP2B1</t>
  </si>
  <si>
    <t>Q7Z460_CLASP1</t>
  </si>
  <si>
    <t>Q7Z478_DHX29</t>
  </si>
  <si>
    <t>Q7Z4F1_LRP10</t>
  </si>
  <si>
    <t>Q7Z4G1_COMMD6</t>
  </si>
  <si>
    <t>Q7Z4H3_HDDC2</t>
  </si>
  <si>
    <t>Q7Z4H7-3_HAUS6</t>
  </si>
  <si>
    <t>Q7Z4H8_KDELC2</t>
  </si>
  <si>
    <t>Q7Z4L5_TTC21B</t>
  </si>
  <si>
    <t>Q7Z4Q2_HEATR3</t>
  </si>
  <si>
    <t>Q7Z4V5_HDGFRP2</t>
  </si>
  <si>
    <t>Q7Z4W1_DCXR</t>
  </si>
  <si>
    <t>Q7Z5G4_GOLGA7</t>
  </si>
  <si>
    <t>Q7Z5H3-3_ARHGAP22</t>
  </si>
  <si>
    <t>Q7Z5K2_WAPAL</t>
  </si>
  <si>
    <t>Q7Z5L9-2_IRF2BP2</t>
  </si>
  <si>
    <t>Q7Z5U6_WDR53</t>
  </si>
  <si>
    <t>Q7Z650_MTHFD2</t>
  </si>
  <si>
    <t>Q7Z6B0-2_CCDC91</t>
  </si>
  <si>
    <t>Q7Z6E9_RBBP6</t>
  </si>
  <si>
    <t>Q7Z6I8_C5orf24</t>
  </si>
  <si>
    <t>Q7Z6J8_UBE3D</t>
  </si>
  <si>
    <t>Q7Z6J9_TSEN54</t>
  </si>
  <si>
    <t>Q7Z6K3_PTAR1</t>
  </si>
  <si>
    <t>Q7Z6L1_TECPR1</t>
  </si>
  <si>
    <t>Q7Z6M1_RABEPK</t>
  </si>
  <si>
    <t>Q7Z6M4_MTERFD2</t>
  </si>
  <si>
    <t>Q7Z6U0_TBPL1</t>
  </si>
  <si>
    <t>Q7Z6V5-2_ADAT2</t>
  </si>
  <si>
    <t>Q7Z6Z7-2_HUWE1</t>
  </si>
  <si>
    <t>Q7Z7A1-5_CNTRL</t>
  </si>
  <si>
    <t>Q7Z7A3_CTU1</t>
  </si>
  <si>
    <t>Q7Z7C8_TAF8</t>
  </si>
  <si>
    <t>Q7Z7E8_UBE2Q1</t>
  </si>
  <si>
    <t>Q7Z7F0-2_KIAA0907</t>
  </si>
  <si>
    <t>Q7Z7F7_MRPL55</t>
  </si>
  <si>
    <t>Q7Z7G8-2_VPS13B</t>
  </si>
  <si>
    <t>Q7Z7H5-3_TMED4</t>
  </si>
  <si>
    <t>Q7Z7H8_MRPL10</t>
  </si>
  <si>
    <t>Q7Z7K0_CMC1</t>
  </si>
  <si>
    <t>Q7Z7K6-3_CENPV</t>
  </si>
  <si>
    <t>Q7Z7M9_GALNT5</t>
  </si>
  <si>
    <t>Q7Z7N9_TMEM179B</t>
  </si>
  <si>
    <t>Q86SF2_GALNT7</t>
  </si>
  <si>
    <t>Q86SQ9-3_DHDDS</t>
  </si>
  <si>
    <t>Q86SX6_GLRX5</t>
  </si>
  <si>
    <t>Q86SZ2-2_TRAPPC6B</t>
  </si>
  <si>
    <t>Q86T03_TMEM55B</t>
  </si>
  <si>
    <t>Q86TA1_MOB3B</t>
  </si>
  <si>
    <t>Q86TB9-4_PATL1</t>
  </si>
  <si>
    <t>Q86TI2_DPP9</t>
  </si>
  <si>
    <t>Q86TM6-2_SYVN1</t>
  </si>
  <si>
    <t>Q86TN4_TRPT1</t>
  </si>
  <si>
    <t>Q86TP1_PRUNE</t>
  </si>
  <si>
    <t>Q86TU7_SETD3</t>
  </si>
  <si>
    <t>Q86TV6_TTC7B</t>
  </si>
  <si>
    <t>Q86U06-4_RBM23</t>
  </si>
  <si>
    <t>Q86U28_ISCA2</t>
  </si>
  <si>
    <t>Q86U38_NOP9</t>
  </si>
  <si>
    <t>Q86U44_METTL3</t>
  </si>
  <si>
    <t>Q86U70-3_LDB1</t>
  </si>
  <si>
    <t>Q86U90_YRDC</t>
  </si>
  <si>
    <t>Q86UA1_PRPF39</t>
  </si>
  <si>
    <t>Q86UD0_SAPCD2</t>
  </si>
  <si>
    <t>Q86UE4_MTDH</t>
  </si>
  <si>
    <t>Q86UE8-2_TLK2</t>
  </si>
  <si>
    <t>Q86UK7-2_ZNF598</t>
  </si>
  <si>
    <t>Q86UL3_AGPAT6</t>
  </si>
  <si>
    <t>Q86UP2_KTN1</t>
  </si>
  <si>
    <t>Q86US8_SMG6</t>
  </si>
  <si>
    <t>Q86UU0-3_BCL9L</t>
  </si>
  <si>
    <t>Q86UU1-2_PHLDB1</t>
  </si>
  <si>
    <t>Q86UV5_USP48</t>
  </si>
  <si>
    <t>Q86UX3_ABCC5</t>
  </si>
  <si>
    <t>Q86UX7-2_FERMT3</t>
  </si>
  <si>
    <t>Q86UY0_TXNDC5</t>
  </si>
  <si>
    <t>Q86UY5_FAM83A</t>
  </si>
  <si>
    <t>Q86UY6_NAA40</t>
  </si>
  <si>
    <t>Q86UY8-2_NT5DC3</t>
  </si>
  <si>
    <t>Q86V21_AACS</t>
  </si>
  <si>
    <t>Q86V48_LUZP1</t>
  </si>
  <si>
    <t>Q86V59-2_PNMAL1</t>
  </si>
  <si>
    <t>Q86V85_GPR180</t>
  </si>
  <si>
    <t>Q86VI3_IQGAP3</t>
  </si>
  <si>
    <t>Q86VN1-2_VPS36</t>
  </si>
  <si>
    <t>Q86VP6_CAND1</t>
  </si>
  <si>
    <t>Q86VQ1_GLCCI1</t>
  </si>
  <si>
    <t>Q86VQ3-2_TXNDC2</t>
  </si>
  <si>
    <t>Q86VR2_FAM134C</t>
  </si>
  <si>
    <t>Q86VS8_HOOK3</t>
  </si>
  <si>
    <t>Q86VU5_COMTD1</t>
  </si>
  <si>
    <t>Q86VX2-2_COMMD7</t>
  </si>
  <si>
    <t>Q86VX9_MON1A</t>
  </si>
  <si>
    <t>Q86W42_THOC6</t>
  </si>
  <si>
    <t>Q86W50_METTL16</t>
  </si>
  <si>
    <t>Q86W56_PARG</t>
  </si>
  <si>
    <t>Q86WA6-2_BPHL</t>
  </si>
  <si>
    <t>Q86WA8_LONP2</t>
  </si>
  <si>
    <t>Q86WC4_OSTM1</t>
  </si>
  <si>
    <t>Q86WH2_RASSF3</t>
  </si>
  <si>
    <t>Q86WJ1_CHD1L</t>
  </si>
  <si>
    <t>Q86WQ0_NR2C2AP</t>
  </si>
  <si>
    <t>Q86WR0_CCDC25</t>
  </si>
  <si>
    <t>Q86WR7_PROSER2</t>
  </si>
  <si>
    <t>Q86WV6_TMEM173</t>
  </si>
  <si>
    <t>Q86WV7_CCDC43</t>
  </si>
  <si>
    <t>Q86WX3_RPS19BP1</t>
  </si>
  <si>
    <t>Q86X02_CDR2L</t>
  </si>
  <si>
    <t>Q86X27-2_RALGPS2</t>
  </si>
  <si>
    <t>Q86X29-3_LSR</t>
  </si>
  <si>
    <t>Q86X53_ERICH1</t>
  </si>
  <si>
    <t>Q86X55-1_CARM1</t>
  </si>
  <si>
    <t>Q86X76-2_NIT1</t>
  </si>
  <si>
    <t>Q86X83_COMMD2</t>
  </si>
  <si>
    <t>Q86X95-2_CIR1</t>
  </si>
  <si>
    <t>Q86XK3-3_SFR1</t>
  </si>
  <si>
    <t>Q86XP3_DDX42</t>
  </si>
  <si>
    <t>Q86XZ4_SPATS2</t>
  </si>
  <si>
    <t>Q86Y07_VRK2</t>
  </si>
  <si>
    <t>Q86Y37-4_CACUL1</t>
  </si>
  <si>
    <t>Q86Y56_HEATR2</t>
  </si>
  <si>
    <t>Q86Y79_PTRH1</t>
  </si>
  <si>
    <t>Q86Y82_STX12</t>
  </si>
  <si>
    <t>Q86YH6_PDSS2</t>
  </si>
  <si>
    <t>Q86YM7_HOMER1</t>
  </si>
  <si>
    <t>Q86YN1-2_DOLPP1</t>
  </si>
  <si>
    <t>Q86YP4_GATAD2A</t>
  </si>
  <si>
    <t>Q86YQ8_CPNE8</t>
  </si>
  <si>
    <t>Q86YR5-4_GPSM1</t>
  </si>
  <si>
    <t>Q86YS3_RAB11FIP4</t>
  </si>
  <si>
    <t>Q86YS7_C2CD5</t>
  </si>
  <si>
    <t>Q86YT6_MIB1</t>
  </si>
  <si>
    <t>Q86YV9_HPS6</t>
  </si>
  <si>
    <t>Q8IU81_IRF2BP1</t>
  </si>
  <si>
    <t>Q8IUD2-2_ERC1</t>
  </si>
  <si>
    <t>Q8IUF8_MINA</t>
  </si>
  <si>
    <t>Q8IUH3-3_RBM45</t>
  </si>
  <si>
    <t>Q8IUH4_ZDHHC13</t>
  </si>
  <si>
    <t>Q8IUI8_CRLF3</t>
  </si>
  <si>
    <t>Q8IUR0_TRAPPC5</t>
  </si>
  <si>
    <t>Q8IUX1-4_TMEM126B</t>
  </si>
  <si>
    <t>Q8IV08_PLD3</t>
  </si>
  <si>
    <t>Q8IV38_ANKMY2</t>
  </si>
  <si>
    <t>Q8IV48_ERI1</t>
  </si>
  <si>
    <t>Q8IV50_LYSMD2</t>
  </si>
  <si>
    <t>Q8IV63-3_VRK3</t>
  </si>
  <si>
    <t>Q8IVB5_LIX1L</t>
  </si>
  <si>
    <t>Q8IVD9_NUDCD3</t>
  </si>
  <si>
    <t>Q8IVM0_CCDC50</t>
  </si>
  <si>
    <t>Q8IVM0-2_CCDC50</t>
  </si>
  <si>
    <t>Q8IVS2_MCAT</t>
  </si>
  <si>
    <t>Q8IVW6-4_ARID3B</t>
  </si>
  <si>
    <t>Q8IW45_CARKD</t>
  </si>
  <si>
    <t>Q8IWA0_WDR75</t>
  </si>
  <si>
    <t>Q8IWB1_ITPRIP</t>
  </si>
  <si>
    <t>Q8IWB7_WDFY1</t>
  </si>
  <si>
    <t>Q8IWB9_TEX2</t>
  </si>
  <si>
    <t>Q8IWC1-2_MAP7D3</t>
  </si>
  <si>
    <t>Q8IWD4_CCDC117</t>
  </si>
  <si>
    <t>Q8IWE4_DCUN1D3</t>
  </si>
  <si>
    <t>Q8IWF6_DENND6A</t>
  </si>
  <si>
    <t>Q8IWJ2_GCC2</t>
  </si>
  <si>
    <t>Q8IWL3_HSCB</t>
  </si>
  <si>
    <t>Q8IWR0_ZC3H7A</t>
  </si>
  <si>
    <t>Q8IWS0_PHF6</t>
  </si>
  <si>
    <t>Q8IWT6_LRRC8A</t>
  </si>
  <si>
    <t>Q8IWU2_LMTK2</t>
  </si>
  <si>
    <t>Q8IWV7_UBR1</t>
  </si>
  <si>
    <t>Q8IWV8-4_UBR2</t>
  </si>
  <si>
    <t>Q8IWY8-3_ZSCAN29</t>
  </si>
  <si>
    <t>Q8IWY9-1_CDAN1</t>
  </si>
  <si>
    <t>Q8IWZ3_ANKHD1</t>
  </si>
  <si>
    <t>Q8IWZ8_SUGP1</t>
  </si>
  <si>
    <t>Q8IX07_ZFPM1</t>
  </si>
  <si>
    <t>Q8IX12-2_CCAR1</t>
  </si>
  <si>
    <t>Q8IX18-3_DHX40</t>
  </si>
  <si>
    <t>Q8IX90_SKA3</t>
  </si>
  <si>
    <t>Q8IXB1_DNAJC10</t>
  </si>
  <si>
    <t>Q8IXI1_RHOT2</t>
  </si>
  <si>
    <t>Q8IXI2-2_RHOT1</t>
  </si>
  <si>
    <t>Q8IXJ6-2_SIRT2</t>
  </si>
  <si>
    <t>Q8IXJ9-2_ASXL1</t>
  </si>
  <si>
    <t>Q8IXK2_GALNT12</t>
  </si>
  <si>
    <t>Q8IXM6-2_NRM</t>
  </si>
  <si>
    <t>Q8IXQ3_C9orf40</t>
  </si>
  <si>
    <t>Q8IXQ4_KIAA1704</t>
  </si>
  <si>
    <t>Q8IXS8_FAM126B</t>
  </si>
  <si>
    <t>Q8IY17-3_PNPLA6</t>
  </si>
  <si>
    <t>Q8IY18_SMC5</t>
  </si>
  <si>
    <t>Q8IY22-3_CMIP</t>
  </si>
  <si>
    <t>Q8IY26_PPAPDC2</t>
  </si>
  <si>
    <t>Q8IY33_MICALL2</t>
  </si>
  <si>
    <t>Q8IY37_DHX37</t>
  </si>
  <si>
    <t>Q8IY47_KBTBD2</t>
  </si>
  <si>
    <t>Q8IY63-2_AMOTL1</t>
  </si>
  <si>
    <t>Q8IY95-2_TMEM192</t>
  </si>
  <si>
    <t>Q8IYB5-3_SMAP1</t>
  </si>
  <si>
    <t>Q8IYB7_DIS3L2</t>
  </si>
  <si>
    <t>Q8IYB8_SUPV3L1</t>
  </si>
  <si>
    <t>Q8IYB9_ZNF595</t>
  </si>
  <si>
    <t>Q8IYD1_GSPT2</t>
  </si>
  <si>
    <t>Q8IYH5-4_ZZZ3</t>
  </si>
  <si>
    <t>Q8IYI6_EXOC8</t>
  </si>
  <si>
    <t>Q8IYK4_COLGALT2</t>
  </si>
  <si>
    <t>Q8IYL3_C1orf174</t>
  </si>
  <si>
    <t>Q8IYN2_TCEAL8</t>
  </si>
  <si>
    <t>Q8IYQ7_THNSL1</t>
  </si>
  <si>
    <t>Q8IYS1_PM20D2</t>
  </si>
  <si>
    <t>Q8IYS2_KIAA2013</t>
  </si>
  <si>
    <t>Q8IYT2_FTSJD1</t>
  </si>
  <si>
    <t>Q8IYU8_MICU2</t>
  </si>
  <si>
    <t>Q8IYW5_RNF168</t>
  </si>
  <si>
    <t>Q8IZ07_ANKRD13A</t>
  </si>
  <si>
    <t>Q8IZ21-3_PHACTR4</t>
  </si>
  <si>
    <t>Q8IZ52_CHPF</t>
  </si>
  <si>
    <t>Q8IZ68_MTX2</t>
  </si>
  <si>
    <t>Q8IZ73_RPUSD2</t>
  </si>
  <si>
    <t>Q8IZ83_ALDH16A1</t>
  </si>
  <si>
    <t>Q8IZH2-2_XRN1</t>
  </si>
  <si>
    <t>Q8IZQ5_SELH</t>
  </si>
  <si>
    <t>Q8IZR5-3_CMTM4</t>
  </si>
  <si>
    <t>Q8IZV5_RDH10</t>
  </si>
  <si>
    <t>Q8N0T1_C8orf59</t>
  </si>
  <si>
    <t>Q8N0U8_VKORC1L1</t>
  </si>
  <si>
    <t>Q8N0W3_FUK</t>
  </si>
  <si>
    <t>Q8N0W7_FMR1NB</t>
  </si>
  <si>
    <t>Q8N0X7_SPG20</t>
  </si>
  <si>
    <t>Q8N108-17_MIER1</t>
  </si>
  <si>
    <t>Q8N129_CNPY4</t>
  </si>
  <si>
    <t>Q8N137-4_CNTROB</t>
  </si>
  <si>
    <t>Q8N142_ADSSL1</t>
  </si>
  <si>
    <t>Q8N157-2_AHI1</t>
  </si>
  <si>
    <t>Q8N163_KIAA1967</t>
  </si>
  <si>
    <t>Q8N183_NDUFAF2</t>
  </si>
  <si>
    <t>Q8N1A6_C4orf33</t>
  </si>
  <si>
    <t>Q8N1B4_VPS52</t>
  </si>
  <si>
    <t>Q8N1F7_NUP93</t>
  </si>
  <si>
    <t>Q8N1G0_ZNF687</t>
  </si>
  <si>
    <t>Q8N1G1_REXO1</t>
  </si>
  <si>
    <t>Q8N1G2_FTSJD2</t>
  </si>
  <si>
    <t>Q8N1G4_LRRC47</t>
  </si>
  <si>
    <t>Q8N1Q1_CA13</t>
  </si>
  <si>
    <t>Q8N2A8_PLD6</t>
  </si>
  <si>
    <t>Q8N2F6-3_ARMC10</t>
  </si>
  <si>
    <t>Q8N2G8-3_GHDC</t>
  </si>
  <si>
    <t>Q8N2I9-3_STK40</t>
  </si>
  <si>
    <t>Q8N2K0_ABHD12</t>
  </si>
  <si>
    <t>Q8N2W9_PIAS4</t>
  </si>
  <si>
    <t>Q8N2Z9_APITD1</t>
  </si>
  <si>
    <t>Q8N300_CCDC23</t>
  </si>
  <si>
    <t>Q8N335_GPD1L</t>
  </si>
  <si>
    <t>Q8N350_DOS</t>
  </si>
  <si>
    <t>Q8N371_KDM8</t>
  </si>
  <si>
    <t>Q8N392_ARHGAP18</t>
  </si>
  <si>
    <t>Q8N3C0_ASCC3</t>
  </si>
  <si>
    <t>Q8N3D4_EHBP1L1</t>
  </si>
  <si>
    <t>Q8N3F8_MICALL1</t>
  </si>
  <si>
    <t>Q8N3X1_FNBP4</t>
  </si>
  <si>
    <t>Q8N442_GUF1</t>
  </si>
  <si>
    <t>Q8N465_D2HGDH</t>
  </si>
  <si>
    <t>Q8N488_RYBP</t>
  </si>
  <si>
    <t>Q8N490-2_PNKD</t>
  </si>
  <si>
    <t>Q8N490-4_PNKD</t>
  </si>
  <si>
    <t>Q8N4B1-2_FAM109A</t>
  </si>
  <si>
    <t>Q8N4C8-5_MINK1</t>
  </si>
  <si>
    <t>Q8N4H5_TOMM5</t>
  </si>
  <si>
    <t>Q8N4N3-2_KLHL36</t>
  </si>
  <si>
    <t>Q8N4P3_HDDC3</t>
  </si>
  <si>
    <t>Q8N4Q0_ZADH2</t>
  </si>
  <si>
    <t>Q8N4Q1_CHCHD4</t>
  </si>
  <si>
    <t>Q8N4V1_MMGT1</t>
  </si>
  <si>
    <t>Q8N567_ZCCHC9</t>
  </si>
  <si>
    <t>Q8N573-2_OXR1</t>
  </si>
  <si>
    <t>Q8N573-8_OXR1</t>
  </si>
  <si>
    <t>Q8N5A5-3_ZGPAT</t>
  </si>
  <si>
    <t>Q8N5C6_SRBD1</t>
  </si>
  <si>
    <t>Q8N5C7_DTWD1</t>
  </si>
  <si>
    <t>Q8N5D0-4_WDTC1</t>
  </si>
  <si>
    <t>Q8N5F7_NKAP</t>
  </si>
  <si>
    <t>Q8N5G0-2_SMIM20</t>
  </si>
  <si>
    <t>Q8N5G2_TMEM57</t>
  </si>
  <si>
    <t>Q8N5I2_ARRDC1</t>
  </si>
  <si>
    <t>Q8N5I9_C12orf45</t>
  </si>
  <si>
    <t>Q8N5J2-2_FAM63A</t>
  </si>
  <si>
    <t>Q8N5K1_CISD2</t>
  </si>
  <si>
    <t>Q8N5L8_RPP25L</t>
  </si>
  <si>
    <t>Q8N5M1_ATPAF2</t>
  </si>
  <si>
    <t>Q8N5M9_JAGN1</t>
  </si>
  <si>
    <t>Q8N5N7_MRPL50</t>
  </si>
  <si>
    <t>Q8N5P1_ZC3H8</t>
  </si>
  <si>
    <t>Q8N684-2_CPSF7</t>
  </si>
  <si>
    <t>Q8N697_SLC15A4</t>
  </si>
  <si>
    <t>Q8N6H7_ARFGAP2</t>
  </si>
  <si>
    <t>Q8N6M0_OTUD6B</t>
  </si>
  <si>
    <t>Q8N6N3_C1orf52</t>
  </si>
  <si>
    <t>Q8N6N7_ACBD7</t>
  </si>
  <si>
    <t>Q8N6T3_ARFGAP1</t>
  </si>
  <si>
    <t>Q8N766-3_EMC1</t>
  </si>
  <si>
    <t>Q8N806_UBR7</t>
  </si>
  <si>
    <t>Q8N8J7_C4orf32</t>
  </si>
  <si>
    <t>Q8N8N7_PTGR2</t>
  </si>
  <si>
    <t>Q8N8R5_C2orf69</t>
  </si>
  <si>
    <t>Q8N8R7_ARL14EP</t>
  </si>
  <si>
    <t>Q8N954_GPATCH11</t>
  </si>
  <si>
    <t>Q8N999-3_C12orf29</t>
  </si>
  <si>
    <t>Q8N9F7_GDPD1</t>
  </si>
  <si>
    <t>Q8N9M1-3_C19orf47</t>
  </si>
  <si>
    <t>Q8N9N7_LRRC57</t>
  </si>
  <si>
    <t>Q8N9Q2_SREK1IP1</t>
  </si>
  <si>
    <t>Q8N9V3-2_WDSUB1</t>
  </si>
  <si>
    <t>Q8N9Z2_CCDC71L</t>
  </si>
  <si>
    <t>Q8NAF0_ZNF579</t>
  </si>
  <si>
    <t>Q8NAT1_GTDC2</t>
  </si>
  <si>
    <t>Q8NAV1_PRPF38A</t>
  </si>
  <si>
    <t>Q8NB15-2_ZNF511</t>
  </si>
  <si>
    <t>Q8NB37_PDDC1</t>
  </si>
  <si>
    <t>Q8NB46_ANKRD52</t>
  </si>
  <si>
    <t>Q8NB49-3_ATP11C</t>
  </si>
  <si>
    <t>Q8NB90_SPATA5</t>
  </si>
  <si>
    <t>Q8NBA8_DTWD2</t>
  </si>
  <si>
    <t>Q8NBF2_NHLRC2</t>
  </si>
  <si>
    <t>Q8NBF6_AVL9</t>
  </si>
  <si>
    <t>Q8NBI5_SLC43A3</t>
  </si>
  <si>
    <t>Q8NBI6_XXYLT1</t>
  </si>
  <si>
    <t>Q8NBJ5_COLGALT1</t>
  </si>
  <si>
    <t>Q8NBK3-4_SUMF1</t>
  </si>
  <si>
    <t>Q8NBL1_POGLUT1</t>
  </si>
  <si>
    <t>Q8NBM4-4_UBAC2</t>
  </si>
  <si>
    <t>Q8NBM8_PCYOX1L</t>
  </si>
  <si>
    <t>Q8NBN3_TMEM87A</t>
  </si>
  <si>
    <t>Q8NBN7_RDH13</t>
  </si>
  <si>
    <t>Q8NBU5_ATAD1</t>
  </si>
  <si>
    <t>Q8NBX0_SCCPDH</t>
  </si>
  <si>
    <t>Q8NBY1_MST4</t>
  </si>
  <si>
    <t>Q8NC51-2_SERBP1</t>
  </si>
  <si>
    <t>Q8NC56_LEMD2</t>
  </si>
  <si>
    <t>Q8NC60_NOA1</t>
  </si>
  <si>
    <t>Q8NC96_NECAP1</t>
  </si>
  <si>
    <t>Q8NCA5-2_FAM98A</t>
  </si>
  <si>
    <t>Q8NCC3_PLA2G15</t>
  </si>
  <si>
    <t>Q8NCE2-3_MTMR14</t>
  </si>
  <si>
    <t>Q8NCF5_NFATC2IP</t>
  </si>
  <si>
    <t>Q8NCH0_CHST14</t>
  </si>
  <si>
    <t>Q8NCL4_GALNT6</t>
  </si>
  <si>
    <t>Q8NCN4_RNF169</t>
  </si>
  <si>
    <t>Q8NCW5_APOA1BP</t>
  </si>
  <si>
    <t>Q8ND04_SMG8</t>
  </si>
  <si>
    <t>Q8ND24_RNF214</t>
  </si>
  <si>
    <t>Q8ND56-2_LSM14A</t>
  </si>
  <si>
    <t>Q8ND76_CCNY</t>
  </si>
  <si>
    <t>Q8ND90_PNMA1</t>
  </si>
  <si>
    <t>Q8NDC0_MAPK1IP1L</t>
  </si>
  <si>
    <t>Q8NDD1-2_C1orf131</t>
  </si>
  <si>
    <t>Q8NDI1-3_EHBP1</t>
  </si>
  <si>
    <t>Q8NDZ4_C3orf58</t>
  </si>
  <si>
    <t>Q8NE01-2_CNNM3</t>
  </si>
  <si>
    <t>Q8NE71_ABCF1</t>
  </si>
  <si>
    <t>Q8NE86-3_MCU</t>
  </si>
  <si>
    <t>Q8NEB9_PIK3C3</t>
  </si>
  <si>
    <t>Q8NEC7_GSTCD</t>
  </si>
  <si>
    <t>Q8NEJ9-2_NGDN</t>
  </si>
  <si>
    <t>Q8NEM2_SHCBP1</t>
  </si>
  <si>
    <t>Q8NEN9_PDZD8</t>
  </si>
  <si>
    <t>Q8NEY1-7_NAV1</t>
  </si>
  <si>
    <t>Q8NEY8-3_PPHLN1</t>
  </si>
  <si>
    <t>Q8NEZ2-2_VPS37A</t>
  </si>
  <si>
    <t>Q8NEZ4_MLL3</t>
  </si>
  <si>
    <t>Q8NEZ5_FBXO22</t>
  </si>
  <si>
    <t>Q8NF37_LPCAT1</t>
  </si>
  <si>
    <t>Q8NF50-4_DOCK8</t>
  </si>
  <si>
    <t>Q8NFA0_USP32</t>
  </si>
  <si>
    <t>Q8NFC6_BOD1L1</t>
  </si>
  <si>
    <t>Q8NFF5-2_FLAD1</t>
  </si>
  <si>
    <t>Q8NFG4_FLCN</t>
  </si>
  <si>
    <t>Q8NFH3_NUP43</t>
  </si>
  <si>
    <t>Q8NFH4_NUP37</t>
  </si>
  <si>
    <t>Q8NFI3_ENGASE</t>
  </si>
  <si>
    <t>Q8NFQ8_TOR1AIP2</t>
  </si>
  <si>
    <t>Q8NFU5_IPMK</t>
  </si>
  <si>
    <t>Q8NFV4_ABHD11</t>
  </si>
  <si>
    <t>Q8NFW8_CMAS</t>
  </si>
  <si>
    <t>Q8NFY9_KBTBD8</t>
  </si>
  <si>
    <t>Q8NFZ0_FBXO18</t>
  </si>
  <si>
    <t>Q8NG06_TRIM58</t>
  </si>
  <si>
    <t>Q8NG08_HELB</t>
  </si>
  <si>
    <t>Q8NG11-2_TSPAN14</t>
  </si>
  <si>
    <t>Q8NG31-3_CASC5</t>
  </si>
  <si>
    <t>Q8NG68_TTL</t>
  </si>
  <si>
    <t>Q8NHG7_SVIP</t>
  </si>
  <si>
    <t>Q8NHG8_ZNRF2</t>
  </si>
  <si>
    <t>Q8NHH9_ATL2</t>
  </si>
  <si>
    <t>Q8NHM4_TRY6</t>
  </si>
  <si>
    <t>Q8NHM5-4_KDM2B</t>
  </si>
  <si>
    <t>Q8NHP8_PLBD2</t>
  </si>
  <si>
    <t>Q8NHU6-2_TDRD7</t>
  </si>
  <si>
    <t>Q8NHV4-2_NEDD1</t>
  </si>
  <si>
    <t>Q8NI08-2_NCOA7</t>
  </si>
  <si>
    <t>Q8NI22-2_MCFD2</t>
  </si>
  <si>
    <t>Q8NI27_THOC2</t>
  </si>
  <si>
    <t>Q8NI36_WDR36</t>
  </si>
  <si>
    <t>Q8TA86_RP9</t>
  </si>
  <si>
    <t>Q8TAA5_GRPEL2</t>
  </si>
  <si>
    <t>Q8TAA9-2_VANGL1</t>
  </si>
  <si>
    <t>Q8TAC1_RFESD</t>
  </si>
  <si>
    <t>Q8TAD8_SNIP1</t>
  </si>
  <si>
    <t>Q8TAE8_GADD45GIP1</t>
  </si>
  <si>
    <t>Q8TAF3_WDR48</t>
  </si>
  <si>
    <t>Q8TAG9_EXOC6</t>
  </si>
  <si>
    <t>Q8TAP6-2_CEP76</t>
  </si>
  <si>
    <t>Q8TAP8_PPP1R35</t>
  </si>
  <si>
    <t>Q8TAP9_MPLKIP</t>
  </si>
  <si>
    <t>Q8TAQ2_SMARCC2</t>
  </si>
  <si>
    <t>Q8TAT6_NPLOC4</t>
  </si>
  <si>
    <t>Q8TAV0_FAM76A</t>
  </si>
  <si>
    <t>Q8TB03_CXorf38</t>
  </si>
  <si>
    <t>Q8TB36-2_GDAP1</t>
  </si>
  <si>
    <t>Q8TB37_NUBPL</t>
  </si>
  <si>
    <t>Q8TB52_FBXO30</t>
  </si>
  <si>
    <t>Q8TB61-3_SLC35B2</t>
  </si>
  <si>
    <t>Q8TB70_TXNDC9</t>
  </si>
  <si>
    <t>Q8TB72-2_PUM2</t>
  </si>
  <si>
    <t>Q8TBA6-2_GOLGA5</t>
  </si>
  <si>
    <t>Q8TBB5-3_KLHDC4</t>
  </si>
  <si>
    <t>Q8TBC4_UBA3</t>
  </si>
  <si>
    <t>Q8TBE0-3_BAHD1</t>
  </si>
  <si>
    <t>Q8TBE9_NANP</t>
  </si>
  <si>
    <t>Q8TBM8-2_DNAJB14</t>
  </si>
  <si>
    <t>Q8TBN0_RAB3IL1</t>
  </si>
  <si>
    <t>Q8TBN0-2_RAB3IL1</t>
  </si>
  <si>
    <t>Q8TBP6_SLC25A40</t>
  </si>
  <si>
    <t>Q8TBX8_PIP4K2C</t>
  </si>
  <si>
    <t>Q8TBZ3_WDR20</t>
  </si>
  <si>
    <t>Q8TBZ6_TRMT10A</t>
  </si>
  <si>
    <t>Q8TC07-2_TBC1D15</t>
  </si>
  <si>
    <t>Q8TC12_RDH11</t>
  </si>
  <si>
    <t>Q8TCA0_LRRC20</t>
  </si>
  <si>
    <t>Q8TCB7_METTL6</t>
  </si>
  <si>
    <t>Q8TCD1_C18orf32</t>
  </si>
  <si>
    <t>Q8TCD5_NT5C</t>
  </si>
  <si>
    <t>Q8TCG1_KIAA1524</t>
  </si>
  <si>
    <t>Q8TCG2_PI4K2B</t>
  </si>
  <si>
    <t>Q8TCJ2_STT3B</t>
  </si>
  <si>
    <t>Q8TCS8_PNPT1</t>
  </si>
  <si>
    <t>Q8TCT8_SPPL2A</t>
  </si>
  <si>
    <t>Q8TCT9-5_HM13</t>
  </si>
  <si>
    <t>Q8TCX1_DYNC2LI1</t>
  </si>
  <si>
    <t>Q8TCY9_URGCP</t>
  </si>
  <si>
    <t>Q8TCZ2-6_CD99L2</t>
  </si>
  <si>
    <t>Q8TD08-2_MAPK15</t>
  </si>
  <si>
    <t>Q8TD16_BICD2</t>
  </si>
  <si>
    <t>Q8TD19_NEK9</t>
  </si>
  <si>
    <t>Q8TD30_GPT2</t>
  </si>
  <si>
    <t>Q8TDD1_DDX54</t>
  </si>
  <si>
    <t>Q8TDH9_BLOC1S5</t>
  </si>
  <si>
    <t>Q8TDN6_BRIX1</t>
  </si>
  <si>
    <t>Q8TDQ7-3_GNPDA2</t>
  </si>
  <si>
    <t>Q8TDW0_LRRC8C</t>
  </si>
  <si>
    <t>Q8TDX7_NEK7</t>
  </si>
  <si>
    <t>Q8TDY2-2_RB1CC1</t>
  </si>
  <si>
    <t>Q8TDY4-3_ASAP3</t>
  </si>
  <si>
    <t>Q8TDZ2_MICAL1</t>
  </si>
  <si>
    <t>Q8TEA1_NSUN6</t>
  </si>
  <si>
    <t>Q8TEA7-3_TBCK</t>
  </si>
  <si>
    <t>Q8TEA8_DTD1</t>
  </si>
  <si>
    <t>Q8TEB1-2_DCAF11</t>
  </si>
  <si>
    <t>Q8TEH3_DENND1A</t>
  </si>
  <si>
    <t>Q8TEM1_NUP210</t>
  </si>
  <si>
    <t>Q8TEQ6_GEMIN5</t>
  </si>
  <si>
    <t>Q8TEX9_IPO4</t>
  </si>
  <si>
    <t>Q8TEY7-3_USP33</t>
  </si>
  <si>
    <t>Q8TF01_PNISR</t>
  </si>
  <si>
    <t>Q8TF05-2_PPP4R1</t>
  </si>
  <si>
    <t>Q8TF46-2_DIS3L</t>
  </si>
  <si>
    <t>Q8TF64_GIPC3</t>
  </si>
  <si>
    <t>Q8TF74_WIPF2</t>
  </si>
  <si>
    <t>Q8WTS1_ABHD5</t>
  </si>
  <si>
    <t>Q8WTW3_COG1</t>
  </si>
  <si>
    <t>Q8WU40_CAMK2G</t>
  </si>
  <si>
    <t>Q8WU76-2_SCFD2</t>
  </si>
  <si>
    <t>Q8WU79_SMAP2</t>
  </si>
  <si>
    <t>Q8WU90_ZC3H15</t>
  </si>
  <si>
    <t>Q8WUA2_PPIL4</t>
  </si>
  <si>
    <t>Q8WUA4-2_GTF3C2</t>
  </si>
  <si>
    <t>Q8WUB8-3_PHF10</t>
  </si>
  <si>
    <t>Q8WUD1_RAB2B</t>
  </si>
  <si>
    <t>Q8WUE5_CXorf48</t>
  </si>
  <si>
    <t>Q8WUF5_PPP1R13L</t>
  </si>
  <si>
    <t>Q8WUH1_CHURC1</t>
  </si>
  <si>
    <t>Q8WUH2_TGFBRAP1</t>
  </si>
  <si>
    <t>Q8WUH6_C12orf23</t>
  </si>
  <si>
    <t>Q8WUI4-3_HDAC7</t>
  </si>
  <si>
    <t>Q8WUJ0_STYX</t>
  </si>
  <si>
    <t>Q8WUK0-2_PTPMT1</t>
  </si>
  <si>
    <t>Q8WUM4_PDCD6IP</t>
  </si>
  <si>
    <t>Q8WUM9_SLC20A1</t>
  </si>
  <si>
    <t>Q8WUR7_C15orf40</t>
  </si>
  <si>
    <t>Q8WUX1_SLC38A5</t>
  </si>
  <si>
    <t>Q8WUX2_CHAC2</t>
  </si>
  <si>
    <t>Q8WUX9_CHMP7</t>
  </si>
  <si>
    <t>Q8WUY1_THEM6</t>
  </si>
  <si>
    <t>Q8WUY8_NAT14</t>
  </si>
  <si>
    <t>Q8WV22_NSMCE1</t>
  </si>
  <si>
    <t>Q8WV41_SNX33</t>
  </si>
  <si>
    <t>Q8WV60_PTCD2</t>
  </si>
  <si>
    <t>Q8WV92_MITD1</t>
  </si>
  <si>
    <t>Q8WV93_LACE1</t>
  </si>
  <si>
    <t>Q8WVB6_CHTF18</t>
  </si>
  <si>
    <t>Q8WVC0_LEO1</t>
  </si>
  <si>
    <t>Q8WVC2_RPS21</t>
  </si>
  <si>
    <t>Q8WVD3_RNF138</t>
  </si>
  <si>
    <t>Q8WVJ2_NUDCD2</t>
  </si>
  <si>
    <t>Q8WVK2_SNRNP27</t>
  </si>
  <si>
    <t>Q8WVK7_SKA2</t>
  </si>
  <si>
    <t>Q8WVL7_ANKRD49</t>
  </si>
  <si>
    <t>Q8WVM0_TFB1M</t>
  </si>
  <si>
    <t>Q8WVM8_SCFD1</t>
  </si>
  <si>
    <t>Q8WVQ1_CANT1</t>
  </si>
  <si>
    <t>Q8WVT3_TRAPPC12</t>
  </si>
  <si>
    <t>Q8WVX9_FAR1</t>
  </si>
  <si>
    <t>Q8WVY7_UBLCP1</t>
  </si>
  <si>
    <t>Q8WW01_TSEN15</t>
  </si>
  <si>
    <t>Q8WW12_PCNP</t>
  </si>
  <si>
    <t>Q8WW59_SPRYD4</t>
  </si>
  <si>
    <t>Q8WWB7-2_C1orf85</t>
  </si>
  <si>
    <t>Q8WWC4_C2orf47</t>
  </si>
  <si>
    <t>Q8WWH5_TRUB1</t>
  </si>
  <si>
    <t>Q8WWM7_ATXN2L</t>
  </si>
  <si>
    <t>Q8WWV3_RTN4IP1</t>
  </si>
  <si>
    <t>Q8WWW0-3_RASSF5</t>
  </si>
  <si>
    <t>Q8WWX9_SELM</t>
  </si>
  <si>
    <t>Q8WWY3_PRPF31</t>
  </si>
  <si>
    <t>Q8WX92_NELFB</t>
  </si>
  <si>
    <t>Q8WXA9-2_SREK1</t>
  </si>
  <si>
    <t>Q8WXD2_SCG3</t>
  </si>
  <si>
    <t>Q8WXD5_GEMIN6</t>
  </si>
  <si>
    <t>Q8WXE1-5_ATRIP</t>
  </si>
  <si>
    <t>Q8WXF1_PSPC1</t>
  </si>
  <si>
    <t>Q8WXG6-7_MADD</t>
  </si>
  <si>
    <t>Q8WXI9_GATAD2B</t>
  </si>
  <si>
    <t>Q8WXW3_PIBF1</t>
  </si>
  <si>
    <t>Q8WXX5_DNAJC9</t>
  </si>
  <si>
    <t>Q8WY22_BRI3BP</t>
  </si>
  <si>
    <t>Q8WY54-2_PPM1E</t>
  </si>
  <si>
    <t>Q8WY91_THAP4</t>
  </si>
  <si>
    <t>Q8WYP5_AHCTF1</t>
  </si>
  <si>
    <t>Q8WYQ5-3_DGCR8</t>
  </si>
  <si>
    <t>Q8WZ42-11_TTN</t>
  </si>
  <si>
    <t>Q8WZ82_OVCA2</t>
  </si>
  <si>
    <t>Q8WZA0_LZIC</t>
  </si>
  <si>
    <t>Q8WZA9_IRGQ</t>
  </si>
  <si>
    <t>Q92466-2_DDB2</t>
  </si>
  <si>
    <t>Q92499_DDX1</t>
  </si>
  <si>
    <t>Q92504_SLC39A7</t>
  </si>
  <si>
    <t>Q92506_HSD17B8</t>
  </si>
  <si>
    <t>Q92508_PIEZO1</t>
  </si>
  <si>
    <t>Q92520_FAM3C</t>
  </si>
  <si>
    <t>Q92526_CCT6B</t>
  </si>
  <si>
    <t>Q92536_SLC7A6</t>
  </si>
  <si>
    <t>Q92538_GBF1</t>
  </si>
  <si>
    <t>Q92541_RTF1</t>
  </si>
  <si>
    <t>Q92544_TM9SF4</t>
  </si>
  <si>
    <t>Q92547_TOPBP1</t>
  </si>
  <si>
    <t>Q92551_IP6K1</t>
  </si>
  <si>
    <t>Q92552_MRPS27</t>
  </si>
  <si>
    <t>Q92556_ELMO1</t>
  </si>
  <si>
    <t>Q92558_WASF1</t>
  </si>
  <si>
    <t>Q92572_AP3S1</t>
  </si>
  <si>
    <t>Q92575_UBXN4</t>
  </si>
  <si>
    <t>Q92576-2_PHF3</t>
  </si>
  <si>
    <t>Q92581-3_SLC9A6</t>
  </si>
  <si>
    <t>Q92598-2_HSPH1</t>
  </si>
  <si>
    <t>Q92600_RQCD1</t>
  </si>
  <si>
    <t>Q92609_TBC1D5</t>
  </si>
  <si>
    <t>Q92610_ZNF592</t>
  </si>
  <si>
    <t>Q92615_LARP4B</t>
  </si>
  <si>
    <t>Q92616_GCN1L1</t>
  </si>
  <si>
    <t>Q92619_HMHA1</t>
  </si>
  <si>
    <t>Q92620_DHX38</t>
  </si>
  <si>
    <t>Q92621_NUP205</t>
  </si>
  <si>
    <t>Q92625_ANKS1A</t>
  </si>
  <si>
    <t>Q92636_NSMAF</t>
  </si>
  <si>
    <t>Q92664-2_GTF3A</t>
  </si>
  <si>
    <t>Q92665_MRPS31</t>
  </si>
  <si>
    <t>Q92667_AKAP1</t>
  </si>
  <si>
    <t>Q92686_NRGN</t>
  </si>
  <si>
    <t>Q92688-2_ANP32B</t>
  </si>
  <si>
    <t>Q92692_PVRL2</t>
  </si>
  <si>
    <t>Q92692-2_PVRL2</t>
  </si>
  <si>
    <t>Q92696_RABGGTA</t>
  </si>
  <si>
    <t>Q92698_RAD54L</t>
  </si>
  <si>
    <t>Q92734-2_TFG</t>
  </si>
  <si>
    <t>Q92747_ARPC1A</t>
  </si>
  <si>
    <t>Q92759_GTF2H4</t>
  </si>
  <si>
    <t>Q92766_RREB1</t>
  </si>
  <si>
    <t>Q92783-2_STAM</t>
  </si>
  <si>
    <t>Q92793-2_CREBBP</t>
  </si>
  <si>
    <t>Q92797_SYMPK</t>
  </si>
  <si>
    <t>Q92804-2_TAF15</t>
  </si>
  <si>
    <t>Q92805_GOLGA1</t>
  </si>
  <si>
    <t>Q92820_GGH</t>
  </si>
  <si>
    <t>Q92828_CORO2A</t>
  </si>
  <si>
    <t>Q92843-2_BCL2L2</t>
  </si>
  <si>
    <t>Q92844_TANK</t>
  </si>
  <si>
    <t>Q92845-2_KIFAP3</t>
  </si>
  <si>
    <t>Q92851-2_CASP10</t>
  </si>
  <si>
    <t>Q92871_PMM1</t>
  </si>
  <si>
    <t>Q92878_RAD50</t>
  </si>
  <si>
    <t>Q92882_OSTF1</t>
  </si>
  <si>
    <t>Q92889_ERCC4</t>
  </si>
  <si>
    <t>Q92890_UFD1L</t>
  </si>
  <si>
    <t>Q92896_GLG1</t>
  </si>
  <si>
    <t>Q92900_UPF1</t>
  </si>
  <si>
    <t>Q92905_COPS5</t>
  </si>
  <si>
    <t>Q92917_GPKOW</t>
  </si>
  <si>
    <t>Q92922_SMARCC1</t>
  </si>
  <si>
    <t>Q92930_RAB8B</t>
  </si>
  <si>
    <t>Q92934_BAD</t>
  </si>
  <si>
    <t>Q92945_KHSRP</t>
  </si>
  <si>
    <t>Q92947_GCDH</t>
  </si>
  <si>
    <t>Q92968_PEX13</t>
  </si>
  <si>
    <t>Q92973-2_TNPO1</t>
  </si>
  <si>
    <t>Q92979_EMG1</t>
  </si>
  <si>
    <t>Q92990_GLMN</t>
  </si>
  <si>
    <t>Q93008_USP9X</t>
  </si>
  <si>
    <t>Q93015_NAT6</t>
  </si>
  <si>
    <t>Q93034_CUL5</t>
  </si>
  <si>
    <t>Q93063_EXT2</t>
  </si>
  <si>
    <t>Q93074-3_MED12</t>
  </si>
  <si>
    <t>Q93077_HIST1H2AC</t>
  </si>
  <si>
    <t>Q93084-4_ATP2A3</t>
  </si>
  <si>
    <t>Q93100-4_PHKB</t>
  </si>
  <si>
    <t>Q969E2-2_SCAMP4</t>
  </si>
  <si>
    <t>Q969E8_TSR2</t>
  </si>
  <si>
    <t>Q969F8_KISS1R</t>
  </si>
  <si>
    <t>Q969G6_RFK</t>
  </si>
  <si>
    <t>Q969H6-2_POP5</t>
  </si>
  <si>
    <t>Q969H8_C19orf10</t>
  </si>
  <si>
    <t>Q969K3_RNF34</t>
  </si>
  <si>
    <t>Q969M3_YIPF5</t>
  </si>
  <si>
    <t>Q969N2-4_PIGT</t>
  </si>
  <si>
    <t>Q969P0-3_IGSF8</t>
  </si>
  <si>
    <t>Q969R8_ITFG2</t>
  </si>
  <si>
    <t>Q969S3_ZNF622</t>
  </si>
  <si>
    <t>Q969S9-2_GFM2</t>
  </si>
  <si>
    <t>Q969T7-2_NT5C3B</t>
  </si>
  <si>
    <t>Q969U7_PSMG2</t>
  </si>
  <si>
    <t>Q969V3-2_NCLN</t>
  </si>
  <si>
    <t>Q969V5_MUL1</t>
  </si>
  <si>
    <t>Q969X0_RILPL2</t>
  </si>
  <si>
    <t>Q969X5-2_ERGIC1</t>
  </si>
  <si>
    <t>Q969Y2-3_GTPBP3</t>
  </si>
  <si>
    <t>Q969Z0_TBRG4</t>
  </si>
  <si>
    <t>Q96A00_PPP1R14A</t>
  </si>
  <si>
    <t>Q96A19_CCDC102A</t>
  </si>
  <si>
    <t>Q96A33_CCDC47</t>
  </si>
  <si>
    <t>Q96A46_SLC25A28</t>
  </si>
  <si>
    <t>Q96A47_ISL2</t>
  </si>
  <si>
    <t>Q96A49_SYAP1</t>
  </si>
  <si>
    <t>Q96A65_EXOC4</t>
  </si>
  <si>
    <t>Q96A73-2_KIAA1191</t>
  </si>
  <si>
    <t>Q96AB3_ISOC2</t>
  </si>
  <si>
    <t>Q96AD5_PNPLA2</t>
  </si>
  <si>
    <t>Q96AE4_FUBP1</t>
  </si>
  <si>
    <t>Q96AE4-2_FUBP1</t>
  </si>
  <si>
    <t>Q96AG4_LRRC59</t>
  </si>
  <si>
    <t>Q96AJ9-1_VTI1A</t>
  </si>
  <si>
    <t>Q96AP7_ESAM</t>
  </si>
  <si>
    <t>Q96AQ8_MCUR1</t>
  </si>
  <si>
    <t>Q96AT1_KIAA1143</t>
  </si>
  <si>
    <t>Q96AT9_RPE</t>
  </si>
  <si>
    <t>Q96AX1_VPS33A</t>
  </si>
  <si>
    <t>Q96B23-2_C18orf25</t>
  </si>
  <si>
    <t>Q96B26_EXOSC8</t>
  </si>
  <si>
    <t>Q96B36_AKT1S1</t>
  </si>
  <si>
    <t>Q96B45_C10orf32</t>
  </si>
  <si>
    <t>Q96B49_TOMM6</t>
  </si>
  <si>
    <t>Q96BD8_SKA1</t>
  </si>
  <si>
    <t>Q96BH1_RNF25</t>
  </si>
  <si>
    <t>Q96BK5_PINX1</t>
  </si>
  <si>
    <t>Q96BM9_ARL8A</t>
  </si>
  <si>
    <t>Q96BN8_FAM105B</t>
  </si>
  <si>
    <t>Q96BP3_PPWD1</t>
  </si>
  <si>
    <t>Q96BQ5_CCDC127</t>
  </si>
  <si>
    <t>Q96BR5_SELRC1</t>
  </si>
  <si>
    <t>Q96BT7_ALKBH8</t>
  </si>
  <si>
    <t>Q96BW1-3_UPRT</t>
  </si>
  <si>
    <t>Q96BW5-2_PTER</t>
  </si>
  <si>
    <t>Q96BX8_MOB3A</t>
  </si>
  <si>
    <t>Q96BY7_ATG2B</t>
  </si>
  <si>
    <t>Q96BZ8_LENG1</t>
  </si>
  <si>
    <t>Q96BZ9_TBC1D20</t>
  </si>
  <si>
    <t>Q96C01_FAM136A</t>
  </si>
  <si>
    <t>Q96C19_EFHD2</t>
  </si>
  <si>
    <t>Q96C23_GALM</t>
  </si>
  <si>
    <t>Q96C36_PYCR2</t>
  </si>
  <si>
    <t>Q96C57_C12orf43</t>
  </si>
  <si>
    <t>Q96C86_DCPS</t>
  </si>
  <si>
    <t>Q96C90_PPP1R14B</t>
  </si>
  <si>
    <t>Q96CB9-4_NSUN4</t>
  </si>
  <si>
    <t>Q96CF2_CHMP4C</t>
  </si>
  <si>
    <t>Q96CM3-2_RPUSD4</t>
  </si>
  <si>
    <t>Q96CN7_ISOC1</t>
  </si>
  <si>
    <t>Q96CN9_GCC1</t>
  </si>
  <si>
    <t>Q96CP2_FLYWCH2</t>
  </si>
  <si>
    <t>Q96CQ1_SLC25A36</t>
  </si>
  <si>
    <t>Q96CS2_HAUS1</t>
  </si>
  <si>
    <t>Q96CS3_FAF2</t>
  </si>
  <si>
    <t>Q96CT7_CCDC124</t>
  </si>
  <si>
    <t>Q96CU9_FOXRED1</t>
  </si>
  <si>
    <t>Q96CW1-2_AP2M1</t>
  </si>
  <si>
    <t>Q96CW5-3_TUBGCP3</t>
  </si>
  <si>
    <t>Q96CW6_SLC7A6OS</t>
  </si>
  <si>
    <t>Q96CX6_LRRC58</t>
  </si>
  <si>
    <t>Q96D05_C10orf35</t>
  </si>
  <si>
    <t>Q96D15_RCN3</t>
  </si>
  <si>
    <t>Q96D31-2_ORAI1</t>
  </si>
  <si>
    <t>Q96D71-3_REPS1</t>
  </si>
  <si>
    <t>Q96DA6-2_DNAJC19</t>
  </si>
  <si>
    <t>Q96DB5_RMDN1</t>
  </si>
  <si>
    <t>Q96DE0_NUDT16</t>
  </si>
  <si>
    <t>Q96DE5_ANAPC16</t>
  </si>
  <si>
    <t>Q96DF8_DGCR14</t>
  </si>
  <si>
    <t>Q96DG6_CMBL</t>
  </si>
  <si>
    <t>Q96DI7_SNRNP40</t>
  </si>
  <si>
    <t>Q96DT6_ATG4C</t>
  </si>
  <si>
    <t>Q96DU7_ITPKC</t>
  </si>
  <si>
    <t>Q96DV4_MRPL38</t>
  </si>
  <si>
    <t>Q96DX4_RSPRY1</t>
  </si>
  <si>
    <t>Q96DX7_TRIM44</t>
  </si>
  <si>
    <t>Q96DY2_IQCD</t>
  </si>
  <si>
    <t>Q96DZ1-2_ERLEC1</t>
  </si>
  <si>
    <t>Q96E09_FAM122A</t>
  </si>
  <si>
    <t>Q96E11-3_MRRF</t>
  </si>
  <si>
    <t>Q96E22_NUS1</t>
  </si>
  <si>
    <t>Q96E52_OMA1</t>
  </si>
  <si>
    <t>Q96EA4_SPDL1</t>
  </si>
  <si>
    <t>Q96EB1_ELP4</t>
  </si>
  <si>
    <t>Q96EB6_SIRT1</t>
  </si>
  <si>
    <t>Q96EC8_YIPF6</t>
  </si>
  <si>
    <t>Q96ED9-2_HOOK2</t>
  </si>
  <si>
    <t>Q96EE3_SEH1L</t>
  </si>
  <si>
    <t>Q96EF9_ZHX1-C8orf76</t>
  </si>
  <si>
    <t>Q96EH3_MALSU1</t>
  </si>
  <si>
    <t>Q96EK5_KIAA1279</t>
  </si>
  <si>
    <t>Q96EK6_GNPNAT1</t>
  </si>
  <si>
    <t>Q96EK9_KTI12</t>
  </si>
  <si>
    <t>Q96EL3_MRPL53</t>
  </si>
  <si>
    <t>Q96EM0_L3HYPDH</t>
  </si>
  <si>
    <t>Q96EN8_MOCOS</t>
  </si>
  <si>
    <t>Q96EP1-5_CHFR</t>
  </si>
  <si>
    <t>Q96EP5_DAZAP1</t>
  </si>
  <si>
    <t>Q96EP9_SLC10A4</t>
  </si>
  <si>
    <t>Q96EQ0_SGTB</t>
  </si>
  <si>
    <t>Q96ER3_SAAL1</t>
  </si>
  <si>
    <t>Q96ER9_CCDC51</t>
  </si>
  <si>
    <t>Q96ES7_CCDC101</t>
  </si>
  <si>
    <t>Q96EU6-2_RRP36</t>
  </si>
  <si>
    <t>Q96EV2_RBM33</t>
  </si>
  <si>
    <t>Q96EV8_DTNBP1</t>
  </si>
  <si>
    <t>Q96EX1_SMIM12</t>
  </si>
  <si>
    <t>Q96EX3_WDR34</t>
  </si>
  <si>
    <t>Q96EY1_DNAJA3</t>
  </si>
  <si>
    <t>Q96EY5_MVB12A</t>
  </si>
  <si>
    <t>Q96EY7_PTCD3</t>
  </si>
  <si>
    <t>Q96EY8_MMAB</t>
  </si>
  <si>
    <t>Q96EY9_ADAT3</t>
  </si>
  <si>
    <t>Q96F24-2_NRBF2</t>
  </si>
  <si>
    <t>Q96F44-3_TRIM11</t>
  </si>
  <si>
    <t>Q96F46_IL17RA</t>
  </si>
  <si>
    <t>Q96F63_CCDC97</t>
  </si>
  <si>
    <t>Q96F86_EDC3</t>
  </si>
  <si>
    <t>Q96FC9-4_DDX11</t>
  </si>
  <si>
    <t>Q96FH0-2_MEF2BNB</t>
  </si>
  <si>
    <t>Q96FJ2_DYNLL2</t>
  </si>
  <si>
    <t>Q96FK6_WDR89</t>
  </si>
  <si>
    <t>Q96FS4_SIPA1</t>
  </si>
  <si>
    <t>Q96FV9_THOC1</t>
  </si>
  <si>
    <t>Q96FX2_DPH3</t>
  </si>
  <si>
    <t>Q96FX7_TRMT61A</t>
  </si>
  <si>
    <t>Q96FZ2_C3orf37</t>
  </si>
  <si>
    <t>Q96FZ7_CHMP6</t>
  </si>
  <si>
    <t>Q96G03_PGM2</t>
  </si>
  <si>
    <t>Q96G25_MED8</t>
  </si>
  <si>
    <t>Q96G28_CCDC104</t>
  </si>
  <si>
    <t>Q96G46_DUS3L</t>
  </si>
  <si>
    <t>Q96G74-3_OTUD5</t>
  </si>
  <si>
    <t>Q96GA3_LTV1</t>
  </si>
  <si>
    <t>Q96GA7_SDSL</t>
  </si>
  <si>
    <t>Q96GD0_PDXP</t>
  </si>
  <si>
    <t>Q96GF1_RNF185</t>
  </si>
  <si>
    <t>Q96GG9_DCUN1D1</t>
  </si>
  <si>
    <t>Q96GK7_FAHD2A</t>
  </si>
  <si>
    <t>Q96GM5_SMARCD1</t>
  </si>
  <si>
    <t>Q96GM8_TOE1</t>
  </si>
  <si>
    <t>Q96GQ7_DDX27</t>
  </si>
  <si>
    <t>Q96GS4_C17orf59</t>
  </si>
  <si>
    <t>Q96GS6_ABHD17A</t>
  </si>
  <si>
    <t>Q96GU1-2_PAGE5</t>
  </si>
  <si>
    <t>Q96GV9_C5orf30</t>
  </si>
  <si>
    <t>Q96GW9_MARS2</t>
  </si>
  <si>
    <t>Q96GX2_ATXN7L3B</t>
  </si>
  <si>
    <t>Q96GX5-2_MASTL</t>
  </si>
  <si>
    <t>Q96H20_SNF8</t>
  </si>
  <si>
    <t>Q96H55-2_MYO19</t>
  </si>
  <si>
    <t>Q96HA1-2_POM121</t>
  </si>
  <si>
    <t>Q96HA4-4_C1orf159</t>
  </si>
  <si>
    <t>Q96HA7-2_TONSL</t>
  </si>
  <si>
    <t>Q96HC4_PDLIM5</t>
  </si>
  <si>
    <t>Q96HD1_CRELD1</t>
  </si>
  <si>
    <t>Q96HE7_ERO1L</t>
  </si>
  <si>
    <t>Q96HJ9_C7orf55</t>
  </si>
  <si>
    <t>Q96HQ2-2_CDKN2AIPNL</t>
  </si>
  <si>
    <t>Q96HR9_REEP6</t>
  </si>
  <si>
    <t>Q96HS1_PGAM5</t>
  </si>
  <si>
    <t>Q96HW7_INTS4</t>
  </si>
  <si>
    <t>Q96HY6_DDRGK1</t>
  </si>
  <si>
    <t>Q96I15_SCLY</t>
  </si>
  <si>
    <t>Q96I24_FUBP3</t>
  </si>
  <si>
    <t>Q96I25_RBM17</t>
  </si>
  <si>
    <t>Q96I34_PPP1R16A</t>
  </si>
  <si>
    <t>Q96I36_COX14</t>
  </si>
  <si>
    <t>Q96I51_WBSCR16</t>
  </si>
  <si>
    <t>Q96I59_NARS2</t>
  </si>
  <si>
    <t>Q96I99_SUCLG2</t>
  </si>
  <si>
    <t>Q96IJ6_GMPPA</t>
  </si>
  <si>
    <t>Q96IQ9_ZNF414</t>
  </si>
  <si>
    <t>Q96IR2_ZNF845</t>
  </si>
  <si>
    <t>Q96IU4_ABHD14B</t>
  </si>
  <si>
    <t>Q96IV0_NGLY1</t>
  </si>
  <si>
    <t>Q96IX5_USMG5</t>
  </si>
  <si>
    <t>Q96IY1_NSL1</t>
  </si>
  <si>
    <t>Q96IZ7-2_RSRC1</t>
  </si>
  <si>
    <t>Q96J01_THOC3</t>
  </si>
  <si>
    <t>Q96J02-2_ITCH</t>
  </si>
  <si>
    <t>Q96JA1_LRIG1</t>
  </si>
  <si>
    <t>Q96JB2_COG3</t>
  </si>
  <si>
    <t>Q96JB3-2_HIC2</t>
  </si>
  <si>
    <t>Q96JB5-2_CDK5RAP3</t>
  </si>
  <si>
    <t>Q96JC1-2_VPS39</t>
  </si>
  <si>
    <t>Q96JC9_EAF1</t>
  </si>
  <si>
    <t>Q96JG6_CCDC132</t>
  </si>
  <si>
    <t>Q96JH7_VCPIP1</t>
  </si>
  <si>
    <t>Q96JJ7_TMX3</t>
  </si>
  <si>
    <t>Q96JM3_CHAMP1</t>
  </si>
  <si>
    <t>Q96JP5-2_ZFP91</t>
  </si>
  <si>
    <t>Q96K17_BTF3L4</t>
  </si>
  <si>
    <t>Q96K19-2_RNF170</t>
  </si>
  <si>
    <t>Q96KA5-2_CLPTM1L</t>
  </si>
  <si>
    <t>Q96KB5_PBK</t>
  </si>
  <si>
    <t>Q96KC2_ARL5B</t>
  </si>
  <si>
    <t>Q96KC8_DNAJC1</t>
  </si>
  <si>
    <t>Q96KF7_SMIM8</t>
  </si>
  <si>
    <t>Q96KM6_ZNF512B</t>
  </si>
  <si>
    <t>Q96KP1_EXOC2</t>
  </si>
  <si>
    <t>Q96KP4_CNDP2</t>
  </si>
  <si>
    <t>Q96KR1_ZFR</t>
  </si>
  <si>
    <t>Q96L91-3_EP400</t>
  </si>
  <si>
    <t>Q96L92-3_SNX27</t>
  </si>
  <si>
    <t>Q96L93-6_KIF16B</t>
  </si>
  <si>
    <t>Q96LA8-2_PRMT6</t>
  </si>
  <si>
    <t>Q96LB3_IFT74</t>
  </si>
  <si>
    <t>Q96LD4_TRIM47</t>
  </si>
  <si>
    <t>Q96LJ7_DHRS1</t>
  </si>
  <si>
    <t>Q96LJ8_UBXN10</t>
  </si>
  <si>
    <t>Q96M20-2_CNBD2</t>
  </si>
  <si>
    <t>Q96M27_PRRC1</t>
  </si>
  <si>
    <t>Q96MB7_HARBI1</t>
  </si>
  <si>
    <t>Q96ME1-4_FBXL18</t>
  </si>
  <si>
    <t>Q96MG7_NDNL2</t>
  </si>
  <si>
    <t>Q96MH2_HEXIM2</t>
  </si>
  <si>
    <t>Q96MH6-2_TMEM68</t>
  </si>
  <si>
    <t>Q96MN5_TCEANC2</t>
  </si>
  <si>
    <t>Q96MW5_COG8</t>
  </si>
  <si>
    <t>Q96MX6_WDR92</t>
  </si>
  <si>
    <t>Q96MY1-2_C20orf112</t>
  </si>
  <si>
    <t>Q96N21-2_ENTHD2</t>
  </si>
  <si>
    <t>Q96N46_TTC14</t>
  </si>
  <si>
    <t>Q96N66-2_MBOAT7</t>
  </si>
  <si>
    <t>Q96N67-4_DOCK7</t>
  </si>
  <si>
    <t>Q96NA2_RILP</t>
  </si>
  <si>
    <t>Q96NB1_FOPNL</t>
  </si>
  <si>
    <t>Q96NB2_SFXN2</t>
  </si>
  <si>
    <t>Q96NB3_ZNF830</t>
  </si>
  <si>
    <t>Q96NC0_ZMAT2</t>
  </si>
  <si>
    <t>Q96NL6_SCLT1</t>
  </si>
  <si>
    <t>Q96NL8_C8orf37</t>
  </si>
  <si>
    <t>Q96NT0_CCDC115</t>
  </si>
  <si>
    <t>Q96NT1_NAP1L5</t>
  </si>
  <si>
    <t>Q96NW4_ANKRD27</t>
  </si>
  <si>
    <t>Q96P11-2_NSUN5</t>
  </si>
  <si>
    <t>Q96P47_AGAP3</t>
  </si>
  <si>
    <t>Q96P48-3_ARAP1</t>
  </si>
  <si>
    <t>Q96P70_IPO9</t>
  </si>
  <si>
    <t>Q96PE7_MCEE</t>
  </si>
  <si>
    <t>Q96PG8-1_BBC3</t>
  </si>
  <si>
    <t>Q96PK6_RBM14</t>
  </si>
  <si>
    <t>Q96PL5_ERMAP</t>
  </si>
  <si>
    <t>Q96PM5_RCHY1</t>
  </si>
  <si>
    <t>Q96PU5-2_NEDD4L</t>
  </si>
  <si>
    <t>Q96PU8-9_QKI</t>
  </si>
  <si>
    <t>Q96PZ0_PUS7</t>
  </si>
  <si>
    <t>Q96Q11-2_TRNT1</t>
  </si>
  <si>
    <t>Q96Q45-2_TMEM237</t>
  </si>
  <si>
    <t>Q96Q83_ALKBH3</t>
  </si>
  <si>
    <t>Q96QC0_PPP1R10</t>
  </si>
  <si>
    <t>Q96QC4_MICA</t>
  </si>
  <si>
    <t>Q96QG7_MTMR9</t>
  </si>
  <si>
    <t>Q96QK1_VPS35</t>
  </si>
  <si>
    <t>Q96QR8_PURB</t>
  </si>
  <si>
    <t>Q96QU8_XPO6</t>
  </si>
  <si>
    <t>Q96QZ7-6_MAGI1</t>
  </si>
  <si>
    <t>Q96R06_SPAG5</t>
  </si>
  <si>
    <t>Q96RE7_NACC1</t>
  </si>
  <si>
    <t>Q96RF0-3_SNX18</t>
  </si>
  <si>
    <t>Q96RG2_PASK</t>
  </si>
  <si>
    <t>Q96RL1_UIMC1</t>
  </si>
  <si>
    <t>Q96RL7-4_VPS13A</t>
  </si>
  <si>
    <t>Q96RN5-3_MED15</t>
  </si>
  <si>
    <t>Q96RP9_GFM1</t>
  </si>
  <si>
    <t>Q96RR1_PEO1</t>
  </si>
  <si>
    <t>Q96RR4-6_CAMKK2</t>
  </si>
  <si>
    <t>Q96RS0_TGS1</t>
  </si>
  <si>
    <t>Q96RS6_NUDCD1</t>
  </si>
  <si>
    <t>Q96RT1-9_ERBB2IP</t>
  </si>
  <si>
    <t>Q96RU3-4_FNBP1</t>
  </si>
  <si>
    <t>Q96S19-3_C16orf13</t>
  </si>
  <si>
    <t>Q96S38_RPS6KC1</t>
  </si>
  <si>
    <t>Q96S44_TP53RK</t>
  </si>
  <si>
    <t>Q96S52_PIGS</t>
  </si>
  <si>
    <t>Q96S55-2_WRNIP1</t>
  </si>
  <si>
    <t>Q96S59_RANBP9</t>
  </si>
  <si>
    <t>Q96S66_CLCC1</t>
  </si>
  <si>
    <t>Q96S82_UBL7</t>
  </si>
  <si>
    <t>Q96S94_CCNL2</t>
  </si>
  <si>
    <t>Q96S99_PLEKHF1</t>
  </si>
  <si>
    <t>Q96SB8_SMC6</t>
  </si>
  <si>
    <t>Q96SI1_KCTD15</t>
  </si>
  <si>
    <t>Q96SK2-2_TMEM209</t>
  </si>
  <si>
    <t>Q96SQ9_CYP2S1</t>
  </si>
  <si>
    <t>Q96ST2-3_IWS1</t>
  </si>
  <si>
    <t>Q96ST3_SIN3A</t>
  </si>
  <si>
    <t>Q96SZ5_ADO</t>
  </si>
  <si>
    <t>Q96SZ6-2_CDK5RAP1</t>
  </si>
  <si>
    <t>Q96T37-2_RBM15</t>
  </si>
  <si>
    <t>Q96T51_RUFY1</t>
  </si>
  <si>
    <t>Q96T58_SPEN</t>
  </si>
  <si>
    <t>Q96T60_PNKP</t>
  </si>
  <si>
    <t>Q96T76_MMS19</t>
  </si>
  <si>
    <t>Q96T88_UHRF1</t>
  </si>
  <si>
    <t>Q96TA1-2_FAM129B</t>
  </si>
  <si>
    <t>Q96TA2-3_YME1L1</t>
  </si>
  <si>
    <t>Q96TC7_RMDN3</t>
  </si>
  <si>
    <t>Q99081_TCF12</t>
  </si>
  <si>
    <t>Q99417_MYCBP</t>
  </si>
  <si>
    <t>Q99426_TBCB</t>
  </si>
  <si>
    <t>Q99436_PSMB7</t>
  </si>
  <si>
    <t>Q99447_PCYT2</t>
  </si>
  <si>
    <t>Q99459_CDC5L</t>
  </si>
  <si>
    <t>Q99460_PSMD1</t>
  </si>
  <si>
    <t>Q99470_SDF2</t>
  </si>
  <si>
    <t>Q99471_PFDN5</t>
  </si>
  <si>
    <t>Q99487_PAFAH2</t>
  </si>
  <si>
    <t>Q99496_RNF2</t>
  </si>
  <si>
    <t>Q99497_PARK7</t>
  </si>
  <si>
    <t>Q99501_GAS2L1</t>
  </si>
  <si>
    <t>Q99504-2_EYA3</t>
  </si>
  <si>
    <t>Q99519_NEU1</t>
  </si>
  <si>
    <t>Q99523_SORT1</t>
  </si>
  <si>
    <t>Q99536_VAT1</t>
  </si>
  <si>
    <t>Q99541_PLIN2</t>
  </si>
  <si>
    <t>Q99543_DNAJC2</t>
  </si>
  <si>
    <t>Q99543-2_DNAJC2</t>
  </si>
  <si>
    <t>Q99549_MPHOSPH8</t>
  </si>
  <si>
    <t>Q99567_NUP88</t>
  </si>
  <si>
    <t>Q99569-2_PKP4</t>
  </si>
  <si>
    <t>Q99570_PIK3R4</t>
  </si>
  <si>
    <t>Q99575_POP1</t>
  </si>
  <si>
    <t>Q99583_MNT</t>
  </si>
  <si>
    <t>Q99584_S100A13</t>
  </si>
  <si>
    <t>Q99595_TIMM17A</t>
  </si>
  <si>
    <t>Q99598_TSNAX</t>
  </si>
  <si>
    <t>Q99614_TTC1</t>
  </si>
  <si>
    <t>Q99615_DNAJC7</t>
  </si>
  <si>
    <t>Q99618_CDCA3</t>
  </si>
  <si>
    <t>Q99622_C12orf57</t>
  </si>
  <si>
    <t>Q99633_PRPF18</t>
  </si>
  <si>
    <t>Q99640-4_PKMYT1</t>
  </si>
  <si>
    <t>Q99653_CHP1</t>
  </si>
  <si>
    <t>Q99661_KIF2C</t>
  </si>
  <si>
    <t>Q99700-4_ATXN2</t>
  </si>
  <si>
    <t>Q99704_DOK1</t>
  </si>
  <si>
    <t>Q99707_MTR</t>
  </si>
  <si>
    <t>Q99714_HSD17B10</t>
  </si>
  <si>
    <t>Q99720-4_SIGMAR1</t>
  </si>
  <si>
    <t>Q99733_NAP1L4</t>
  </si>
  <si>
    <t>Q99735-2_MGST2</t>
  </si>
  <si>
    <t>Q99747_NAPG</t>
  </si>
  <si>
    <t>Q99757_TXN2</t>
  </si>
  <si>
    <t>Q99766_ATP5S</t>
  </si>
  <si>
    <t>Q99767-2_APBA2</t>
  </si>
  <si>
    <t>Q99797_MIPEP</t>
  </si>
  <si>
    <t>Q99805_TM9SF2</t>
  </si>
  <si>
    <t>Q99808_SLC29A1</t>
  </si>
  <si>
    <t>Q99828_CIB1</t>
  </si>
  <si>
    <t>Q99832_CCT7</t>
  </si>
  <si>
    <t>Q99856_ARID3A</t>
  </si>
  <si>
    <t>Q99871-3_HAUS7</t>
  </si>
  <si>
    <t>Q99878_HIST1H2AJ</t>
  </si>
  <si>
    <t>Q99909-2_SSX3</t>
  </si>
  <si>
    <t>Q99956_DUSP9</t>
  </si>
  <si>
    <t>Q99961_SH3GL1</t>
  </si>
  <si>
    <t>Q99963-4_SH3GL3</t>
  </si>
  <si>
    <t>Q99986_VRK1</t>
  </si>
  <si>
    <t>Q99988_GDF15</t>
  </si>
  <si>
    <t>Q99996-4_AKAP9</t>
  </si>
  <si>
    <t>Q9BPW8_NIPSNAP1</t>
  </si>
  <si>
    <t>Q9BPX3_NCAPG</t>
  </si>
  <si>
    <t>Q9BPX5_ARPC5L</t>
  </si>
  <si>
    <t>Q9BPZ3_PAIP2</t>
  </si>
  <si>
    <t>Q9BQ39_DDX50</t>
  </si>
  <si>
    <t>Q9BQ52_ELAC2</t>
  </si>
  <si>
    <t>Q9BQ61_C19orf43</t>
  </si>
  <si>
    <t>Q9BQ67_GRWD1</t>
  </si>
  <si>
    <t>Q9BQ69_MACROD1</t>
  </si>
  <si>
    <t>Q9BQ70_TCF25</t>
  </si>
  <si>
    <t>Q9BQ90_KLHDC3</t>
  </si>
  <si>
    <t>Q9BQ95_ECSIT</t>
  </si>
  <si>
    <t>Q9BQA1_WDR77</t>
  </si>
  <si>
    <t>Q9BQA9-2_C17orf62</t>
  </si>
  <si>
    <t>Q9BQC3_DPH2</t>
  </si>
  <si>
    <t>Q9BQG2_NUDT12</t>
  </si>
  <si>
    <t>Q9BQI3-2_EIF2AK1</t>
  </si>
  <si>
    <t>Q9BQP7_MGME1</t>
  </si>
  <si>
    <t>Q9BQQ3_GORASP1</t>
  </si>
  <si>
    <t>Q9BQS7-2_HEPH</t>
  </si>
  <si>
    <t>Q9BQS8_FYCO1</t>
  </si>
  <si>
    <t>Q9BQT8-2_SLC25A21</t>
  </si>
  <si>
    <t>Q9BQY4_RHOXF2</t>
  </si>
  <si>
    <t>Q9BR61_ACBD6</t>
  </si>
  <si>
    <t>Q9BR76_CORO1B</t>
  </si>
  <si>
    <t>Q9BRA2_TXNDC17</t>
  </si>
  <si>
    <t>Q9BRD0_BUD13</t>
  </si>
  <si>
    <t>Q9BRF8_CPPED1</t>
  </si>
  <si>
    <t>Q9BRG1_VPS25</t>
  </si>
  <si>
    <t>Q9BRJ2_MRPL45</t>
  </si>
  <si>
    <t>Q9BRK5_SDF4</t>
  </si>
  <si>
    <t>Q9BRP1_PDCD2L</t>
  </si>
  <si>
    <t>Q9BRP4_PAAF1</t>
  </si>
  <si>
    <t>Q9BRP8-2_WIBG</t>
  </si>
  <si>
    <t>Q9BRQ8_AIFM2</t>
  </si>
  <si>
    <t>Q9BRR0_ZKSCAN3</t>
  </si>
  <si>
    <t>Q9BRR6-2_ADPGK</t>
  </si>
  <si>
    <t>Q9BRR8_GPATCH1</t>
  </si>
  <si>
    <t>Q9BRS2_RIOK1</t>
  </si>
  <si>
    <t>Q9BRT2_MNF1</t>
  </si>
  <si>
    <t>Q9BRT9_GINS4</t>
  </si>
  <si>
    <t>Q9BRV8_SIKE1</t>
  </si>
  <si>
    <t>Q9BRX2_PELO</t>
  </si>
  <si>
    <t>Q9BRX5_GINS3</t>
  </si>
  <si>
    <t>Q9BRZ2_TRIM56</t>
  </si>
  <si>
    <t>Q9BS18_ANAPC13</t>
  </si>
  <si>
    <t>Q9BS26_ERP44</t>
  </si>
  <si>
    <t>Q9BSB4_ATG101</t>
  </si>
  <si>
    <t>Q9BSD7_NTPCR</t>
  </si>
  <si>
    <t>Q9BSF4_C19orf52</t>
  </si>
  <si>
    <t>Q9BSG0_PRADC1</t>
  </si>
  <si>
    <t>Q9BSH4_TACO1</t>
  </si>
  <si>
    <t>Q9BSH5_HDHD3</t>
  </si>
  <si>
    <t>Q9BSJ2_TUBGCP2</t>
  </si>
  <si>
    <t>Q9BSJ5_C17orf80</t>
  </si>
  <si>
    <t>Q9BSJ8-2_ESYT1</t>
  </si>
  <si>
    <t>Q9BSK2_SLC25A33</t>
  </si>
  <si>
    <t>Q9BSL1_UBAC1</t>
  </si>
  <si>
    <t>Q9BSR8_YIPF4</t>
  </si>
  <si>
    <t>Q9BSU3_NAA11</t>
  </si>
  <si>
    <t>Q9BSV6_TSEN34</t>
  </si>
  <si>
    <t>Q9BSW2-2_EFCAB4B</t>
  </si>
  <si>
    <t>Q9BSY4_CHCHD5</t>
  </si>
  <si>
    <t>Q9BT09_CNPY3</t>
  </si>
  <si>
    <t>Q9BT22_ALG1</t>
  </si>
  <si>
    <t>Q9BT23_LIMD2</t>
  </si>
  <si>
    <t>Q9BT25-2_HAUS8</t>
  </si>
  <si>
    <t>Q9BT30_ALKBH7</t>
  </si>
  <si>
    <t>Q9BT73_PSMG3</t>
  </si>
  <si>
    <t>Q9BT78_COPS4</t>
  </si>
  <si>
    <t>Q9BTA9-2_WAC</t>
  </si>
  <si>
    <t>Q9BTC0_DIDO1</t>
  </si>
  <si>
    <t>Q9BTE3-2_MCMBP</t>
  </si>
  <si>
    <t>Q9BTE7_DCUN1D5</t>
  </si>
  <si>
    <t>Q9BTL3_FAM103A1</t>
  </si>
  <si>
    <t>Q9BTT0_ANP32E</t>
  </si>
  <si>
    <t>Q9BTT4_MED10</t>
  </si>
  <si>
    <t>Q9BTU6_PI4K2A</t>
  </si>
  <si>
    <t>Q9BTV4_TMEM43</t>
  </si>
  <si>
    <t>Q9BTV6_WDR85</t>
  </si>
  <si>
    <t>Q9BTV7_CABLES2</t>
  </si>
  <si>
    <t>Q9BTY2_FUCA2</t>
  </si>
  <si>
    <t>Q9BTY7_FAM203A</t>
  </si>
  <si>
    <t>Q9BTZ2-8_DHRS4</t>
  </si>
  <si>
    <t>Q9BU23-3_LMF2</t>
  </si>
  <si>
    <t>Q9BU61_NDUFAF3</t>
  </si>
  <si>
    <t>Q9BU76-4_MMTAG2</t>
  </si>
  <si>
    <t>Q9BU89_DOHH</t>
  </si>
  <si>
    <t>Q9BUA3_C11orf84</t>
  </si>
  <si>
    <t>Q9BUB5-2_MKNK1</t>
  </si>
  <si>
    <t>Q9BUB7_TMEM70</t>
  </si>
  <si>
    <t>Q9BUE0_MED18</t>
  </si>
  <si>
    <t>Q9BUE6_ISCA1</t>
  </si>
  <si>
    <t>Q9BUF5_TUBB6</t>
  </si>
  <si>
    <t>Q9BUH6_C9orf142</t>
  </si>
  <si>
    <t>Q9BUI4_POLR3C</t>
  </si>
  <si>
    <t>Q9BUJ2-2_HNRNPUL1</t>
  </si>
  <si>
    <t>Q9BUK6-3_MSTO1</t>
  </si>
  <si>
    <t>Q9BUL9_RPP25</t>
  </si>
  <si>
    <t>Q9BUP3-3_HTATIP2</t>
  </si>
  <si>
    <t>Q9BUQ8_DDX23</t>
  </si>
  <si>
    <t>Q9BUR4_WRAP53</t>
  </si>
  <si>
    <t>Q9BUT1_BDH2</t>
  </si>
  <si>
    <t>Q9BUT9_FAM195A</t>
  </si>
  <si>
    <t>Q9BUW7_C9orf16</t>
  </si>
  <si>
    <t>Q9BUZ4_TRAF4</t>
  </si>
  <si>
    <t>Q9BV19_C1orf50</t>
  </si>
  <si>
    <t>Q9BV20_MRI1</t>
  </si>
  <si>
    <t>Q9BV23_ABHD6</t>
  </si>
  <si>
    <t>Q9BV38_WDR18</t>
  </si>
  <si>
    <t>Q9BV40_VAMP8</t>
  </si>
  <si>
    <t>Q9BV44_THUMPD3</t>
  </si>
  <si>
    <t>Q9BV57_ADI1</t>
  </si>
  <si>
    <t>Q9BV68-2_RNF126</t>
  </si>
  <si>
    <t>Q9BV73-2_CEP250</t>
  </si>
  <si>
    <t>Q9BV79_MECR</t>
  </si>
  <si>
    <t>Q9BV81_EMC6</t>
  </si>
  <si>
    <t>Q9BV86_NTMT1</t>
  </si>
  <si>
    <t>Q9BVA0_KATNB1</t>
  </si>
  <si>
    <t>Q9BVA1_TUBB2B</t>
  </si>
  <si>
    <t>Q9BVC3_DSCC1</t>
  </si>
  <si>
    <t>Q9BVC5_C2orf49</t>
  </si>
  <si>
    <t>Q9BVC6_TMEM109</t>
  </si>
  <si>
    <t>Q9BVG4_PBDC1</t>
  </si>
  <si>
    <t>Q9BVG9_PTDSS2</t>
  </si>
  <si>
    <t>Q9BVI4_NOC4L</t>
  </si>
  <si>
    <t>Q9BVJ6-3_UTP14A</t>
  </si>
  <si>
    <t>Q9BVJ7_DUSP23</t>
  </si>
  <si>
    <t>Q9BVK6_TMED9</t>
  </si>
  <si>
    <t>Q9BVL4_SELO</t>
  </si>
  <si>
    <t>Q9BVQ7_SPATA5L1</t>
  </si>
  <si>
    <t>Q9BVS4_RIOK2</t>
  </si>
  <si>
    <t>Q9BVS5_TRMT61B</t>
  </si>
  <si>
    <t>Q9BVV7_TIMM21</t>
  </si>
  <si>
    <t>Q9BW04_SARG</t>
  </si>
  <si>
    <t>Q9BW19_KIFC1</t>
  </si>
  <si>
    <t>Q9BW27_NUP85</t>
  </si>
  <si>
    <t>Q9BW60_ELOVL1</t>
  </si>
  <si>
    <t>Q9BW61_DDA1</t>
  </si>
  <si>
    <t>Q9BW71-2_HIRIP3</t>
  </si>
  <si>
    <t>Q9BW85_CCDC94</t>
  </si>
  <si>
    <t>Q9BW91-2_NUDT9</t>
  </si>
  <si>
    <t>Q9BW92_TARS2</t>
  </si>
  <si>
    <t>Q9BWD1_ACAT2</t>
  </si>
  <si>
    <t>Q9BWE0_REPIN1</t>
  </si>
  <si>
    <t>Q9BWF3_RBM4</t>
  </si>
  <si>
    <t>Q9BWG6_SCNM1</t>
  </si>
  <si>
    <t>Q9BWH2_FUNDC2</t>
  </si>
  <si>
    <t>Q9BWH6_RPAP1</t>
  </si>
  <si>
    <t>Q9BWJ5_SF3B5</t>
  </si>
  <si>
    <t>Q9BWM7_SFXN3</t>
  </si>
  <si>
    <t>Q9BWT3_PAPOLG</t>
  </si>
  <si>
    <t>Q9BWT6_MND1</t>
  </si>
  <si>
    <t>Q9BWU0_SLC4A1AP</t>
  </si>
  <si>
    <t>Q9BWW4-2_SSBP3</t>
  </si>
  <si>
    <t>Q9BWW5_SSDP4</t>
  </si>
  <si>
    <t>Q9BX10-2_GTPBP2</t>
  </si>
  <si>
    <t>Q9BX40_LSM14B</t>
  </si>
  <si>
    <t>Q9BX63_BRIP1</t>
  </si>
  <si>
    <t>Q9BX66-9_SORBS1</t>
  </si>
  <si>
    <t>Q9BX68_HINT2</t>
  </si>
  <si>
    <t>Q9BX69_CARD6</t>
  </si>
  <si>
    <t>Q9BX95_SGPP1</t>
  </si>
  <si>
    <t>Q9BXB4_OSBPL11</t>
  </si>
  <si>
    <t>Q9BXH1_BBC3</t>
  </si>
  <si>
    <t>Q9BXJ9_NAA15</t>
  </si>
  <si>
    <t>Q9BXK1_KLF16</t>
  </si>
  <si>
    <t>Q9BXK5_BCL2L13</t>
  </si>
  <si>
    <t>Q9BXL5_HEMGN</t>
  </si>
  <si>
    <t>Q9BXL7_CARD11</t>
  </si>
  <si>
    <t>Q9BXP2_SLC12A9</t>
  </si>
  <si>
    <t>Q9BXP5-4_SRRT</t>
  </si>
  <si>
    <t>Q9BXR0_QTRT1</t>
  </si>
  <si>
    <t>Q9BXS6-2_NUSAP1</t>
  </si>
  <si>
    <t>Q9BXV9_C14orf142</t>
  </si>
  <si>
    <t>Q9BXW7-2_CECR5</t>
  </si>
  <si>
    <t>Q9BXW9-2_FANCD2</t>
  </si>
  <si>
    <t>Q9BY27_DGCR6L</t>
  </si>
  <si>
    <t>Q9BY32_ITPA</t>
  </si>
  <si>
    <t>Q9BY42_RTFDC1</t>
  </si>
  <si>
    <t>Q9BY44_EIF2A</t>
  </si>
  <si>
    <t>Q9BY77_POLDIP3</t>
  </si>
  <si>
    <t>Q9BYB4_GNB1L</t>
  </si>
  <si>
    <t>Q9BYC5-2_FUT8</t>
  </si>
  <si>
    <t>Q9BYC8_MRPL32</t>
  </si>
  <si>
    <t>Q9BYD6_MRPL1</t>
  </si>
  <si>
    <t>Q9BYG5_PARD6B</t>
  </si>
  <si>
    <t>Q9BYI3_FAM126A</t>
  </si>
  <si>
    <t>Q9BYT8_NLN</t>
  </si>
  <si>
    <t>Q9BYV8_CEP41</t>
  </si>
  <si>
    <t>Q9BYW2_SETD2</t>
  </si>
  <si>
    <t>Q9BYX2-4_TBC1D2</t>
  </si>
  <si>
    <t>Q9BZ23-3_PANK2</t>
  </si>
  <si>
    <t>Q9BZ29-3_DOCK9</t>
  </si>
  <si>
    <t>Q9BZ95-4_WHSC1L1</t>
  </si>
  <si>
    <t>Q9BZD3_GCOM2</t>
  </si>
  <si>
    <t>Q9BZD4_NUF2</t>
  </si>
  <si>
    <t>Q9BZE1_MRPL37</t>
  </si>
  <si>
    <t>Q9BZE2_PUS3</t>
  </si>
  <si>
    <t>Q9BZE9_ASPSCR1</t>
  </si>
  <si>
    <t>Q9BZF1-3_OSBPL8</t>
  </si>
  <si>
    <t>Q9BZF3-4_OSBPL6</t>
  </si>
  <si>
    <t>Q9BZH6_WDR11</t>
  </si>
  <si>
    <t>Q9BZI7-2_UPF3B</t>
  </si>
  <si>
    <t>Q9BZK7_TBL1XR1</t>
  </si>
  <si>
    <t>Q9BZL1_UBL5</t>
  </si>
  <si>
    <t>Q9BZM1_PLA2G12A</t>
  </si>
  <si>
    <t>Q9BZM6_ULBP1</t>
  </si>
  <si>
    <t>Q9BZQ8_FAM129A</t>
  </si>
  <si>
    <t>Q9BZX2_UCK2</t>
  </si>
  <si>
    <t>Q9BZZ5_API5</t>
  </si>
  <si>
    <t>Q9BZZ5-2_API5</t>
  </si>
  <si>
    <t>Q9C004_SPRY4</t>
  </si>
  <si>
    <t>Q9C005_DPY30</t>
  </si>
  <si>
    <t>Q9C037-2_TRIM4</t>
  </si>
  <si>
    <t>Q9C073_FAM117A</t>
  </si>
  <si>
    <t>Q9C0B0_UNK</t>
  </si>
  <si>
    <t>Q9C0B1_FTO</t>
  </si>
  <si>
    <t>Q9C0B5-2_ZDHHC5</t>
  </si>
  <si>
    <t>Q9C0B7_TANGO6</t>
  </si>
  <si>
    <t>Q9C0C2_TNKS1BP1</t>
  </si>
  <si>
    <t>Q9C0C4_SEMA4C</t>
  </si>
  <si>
    <t>Q9C0C7-4_AMBRA1</t>
  </si>
  <si>
    <t>Q9C0C9_UBE2O</t>
  </si>
  <si>
    <t>Q9C0D3_ZYG11B</t>
  </si>
  <si>
    <t>Q9C0F1_CEP44</t>
  </si>
  <si>
    <t>Q9C0I1_MTMR12</t>
  </si>
  <si>
    <t>Q9C0J8_WDR33</t>
  </si>
  <si>
    <t>Q9GZL7_WDR12</t>
  </si>
  <si>
    <t>Q9GZN1_ACTR6</t>
  </si>
  <si>
    <t>Q9GZN8_C20orf27</t>
  </si>
  <si>
    <t>Q9GZP1_NRSN2</t>
  </si>
  <si>
    <t>Q9GZP4_PITHD1</t>
  </si>
  <si>
    <t>Q9GZP9_DERL2</t>
  </si>
  <si>
    <t>Q9GZQ3_COMMD5</t>
  </si>
  <si>
    <t>Q9GZS1-2_POLR1E</t>
  </si>
  <si>
    <t>Q9GZS3_WDR61</t>
  </si>
  <si>
    <t>Q9GZT3-2_SLIRP</t>
  </si>
  <si>
    <t>Q9GZT4_SRR</t>
  </si>
  <si>
    <t>Q9GZT6-2_CCDC90B</t>
  </si>
  <si>
    <t>Q9GZT8-2_NIF3L1</t>
  </si>
  <si>
    <t>Q9GZT9_EGLN1</t>
  </si>
  <si>
    <t>Q9GZU8_FAM192A</t>
  </si>
  <si>
    <t>Q9GZX9_TWSG1</t>
  </si>
  <si>
    <t>Q9GZY4_COA1</t>
  </si>
  <si>
    <t>Q9GZY8-2_MFF</t>
  </si>
  <si>
    <t>Q9GZZ9_UBA5</t>
  </si>
  <si>
    <t>Q9H019-3_MTFR1L</t>
  </si>
  <si>
    <t>Q9H061_TMEM126A</t>
  </si>
  <si>
    <t>Q9H074_PAIP1</t>
  </si>
  <si>
    <t>Q9H078-2_CLPB</t>
  </si>
  <si>
    <t>Q9H081_MIS12</t>
  </si>
  <si>
    <t>Q9H082_RAB33B</t>
  </si>
  <si>
    <t>Q9H089_LSG1</t>
  </si>
  <si>
    <t>Q9H0B6_KLC2</t>
  </si>
  <si>
    <t>Q9H0C8_ILKAP</t>
  </si>
  <si>
    <t>Q9H0D6_XRN2</t>
  </si>
  <si>
    <t>Q9H0E2_TOLLIP</t>
  </si>
  <si>
    <t>Q9H0E9-2_BRD8</t>
  </si>
  <si>
    <t>Q9H0F6-2_SHARPIN</t>
  </si>
  <si>
    <t>Q9H0G5_NSRP1</t>
  </si>
  <si>
    <t>Q9H0H5_RACGAP1</t>
  </si>
  <si>
    <t>Q9H0J9_PARP12</t>
  </si>
  <si>
    <t>Q9H0K6_PUS7L</t>
  </si>
  <si>
    <t>Q9H0L4_CSTF2T</t>
  </si>
  <si>
    <t>Q9H0P0_NT5C3A</t>
  </si>
  <si>
    <t>Q9H0R4_HDHD2</t>
  </si>
  <si>
    <t>Q9H0R6_QRSL1</t>
  </si>
  <si>
    <t>Q9H0S4-2_DDX47</t>
  </si>
  <si>
    <t>Q9H0U3_MAGT1</t>
  </si>
  <si>
    <t>Q9H0U4_RAB1B</t>
  </si>
  <si>
    <t>Q9H0U6_MRPL18</t>
  </si>
  <si>
    <t>Q9H0U9_TSPYL1</t>
  </si>
  <si>
    <t>Q9H0V1_TMEM168</t>
  </si>
  <si>
    <t>Q9H0V9_LMAN2L</t>
  </si>
  <si>
    <t>Q9H0W8-2_SMG9</t>
  </si>
  <si>
    <t>Q9H0W9_C11orf54</t>
  </si>
  <si>
    <t>Q9H0X4_ITFG3</t>
  </si>
  <si>
    <t>Q9H160_ING2</t>
  </si>
  <si>
    <t>Q9H173_SIL1</t>
  </si>
  <si>
    <t>Q9H1A3-2_METTL9</t>
  </si>
  <si>
    <t>Q9H1A4_ANAPC1</t>
  </si>
  <si>
    <t>Q9H1B7_IRF2BPL</t>
  </si>
  <si>
    <t>Q9H1D9_POLR3F</t>
  </si>
  <si>
    <t>Q9H1E3_NUCKS1</t>
  </si>
  <si>
    <t>Q9H1H9-3_KIF13A</t>
  </si>
  <si>
    <t>Q9H1J1-2_UPF3A</t>
  </si>
  <si>
    <t>Q9H1K0_ZFYVE20</t>
  </si>
  <si>
    <t>Q9H1K1_ISCU</t>
  </si>
  <si>
    <t>Q9H1K6_MESDC1</t>
  </si>
  <si>
    <t>Q9H1P3-2_OSBPL2</t>
  </si>
  <si>
    <t>Q9H1Y0_ATG5</t>
  </si>
  <si>
    <t>Q9H1Z4_WDR13</t>
  </si>
  <si>
    <t>Q9H211_CDT1</t>
  </si>
  <si>
    <t>Q9H223_EHD4</t>
  </si>
  <si>
    <t>Q9H257-2_CARD9</t>
  </si>
  <si>
    <t>Q9H267_VPS33B</t>
  </si>
  <si>
    <t>Q9H269_VPS16</t>
  </si>
  <si>
    <t>Q9H270_VPS11</t>
  </si>
  <si>
    <t>Q9H2C0_GAN</t>
  </si>
  <si>
    <t>Q9H2D1_SLC25A32</t>
  </si>
  <si>
    <t>Q9H2G2-2_SLK</t>
  </si>
  <si>
    <t>Q9H2G9_BLZF1</t>
  </si>
  <si>
    <t>Q9H2J4_PDCL3</t>
  </si>
  <si>
    <t>Q9H2K0_MTIF3</t>
  </si>
  <si>
    <t>Q9H2K8_TAOK3</t>
  </si>
  <si>
    <t>Q9H2M9_RAB3GAP2</t>
  </si>
  <si>
    <t>Q9H2P0_ADNP</t>
  </si>
  <si>
    <t>Q9H2P9-3_DPH5</t>
  </si>
  <si>
    <t>Q9H2U2_PPA2</t>
  </si>
  <si>
    <t>Q9H2W6_MRPL46</t>
  </si>
  <si>
    <t>Q9H300_PARL</t>
  </si>
  <si>
    <t>Q9H307_PNN</t>
  </si>
  <si>
    <t>Q9H330-2_TMEM245</t>
  </si>
  <si>
    <t>Q9H3C7_GGNBP2</t>
  </si>
  <si>
    <t>Q9H3H1-4_TRIT1</t>
  </si>
  <si>
    <t>Q9H3H3-2_C11orf68</t>
  </si>
  <si>
    <t>Q9H3H5-2_DPAGT1</t>
  </si>
  <si>
    <t>Q9H3J6_C12orf65</t>
  </si>
  <si>
    <t>Q9H3K6_BOLA2</t>
  </si>
  <si>
    <t>Q9H3M7_TXNIP</t>
  </si>
  <si>
    <t>Q9H3N1_TMX1</t>
  </si>
  <si>
    <t>Q9H3P2_NELFA</t>
  </si>
  <si>
    <t>Q9H3P7_ACBD3</t>
  </si>
  <si>
    <t>Q9H3Q1_CDC42EP4</t>
  </si>
  <si>
    <t>Q9H3R5_CENPH</t>
  </si>
  <si>
    <t>Q9H3S7_PTPN23</t>
  </si>
  <si>
    <t>Q9H3U1_UNC45A</t>
  </si>
  <si>
    <t>Q9H3U5-3_MFSD1</t>
  </si>
  <si>
    <t>Q9H3Y8_PPDPF</t>
  </si>
  <si>
    <t>Q9H3Z4-2_DNAJC5</t>
  </si>
  <si>
    <t>Q9H410_DSN1</t>
  </si>
  <si>
    <t>Q9H425_C1orf198</t>
  </si>
  <si>
    <t>Q9H444_CHMP4B</t>
  </si>
  <si>
    <t>Q9H467_CUEDC2</t>
  </si>
  <si>
    <t>Q9H469_FBXL15</t>
  </si>
  <si>
    <t>Q9H479_FN3K</t>
  </si>
  <si>
    <t>Q9H488_POFUT1</t>
  </si>
  <si>
    <t>Q9H490-2_PIGU</t>
  </si>
  <si>
    <t>Q9H496_IFRG15</t>
  </si>
  <si>
    <t>Q9H497_TOR3A</t>
  </si>
  <si>
    <t>Q9H4A4_RNPEP</t>
  </si>
  <si>
    <t>Q9H4A5_GOLPH3L</t>
  </si>
  <si>
    <t>Q9H4A6_GOLPH3</t>
  </si>
  <si>
    <t>Q9H4E7_DEF6</t>
  </si>
  <si>
    <t>Q9H4H8_FAM83D</t>
  </si>
  <si>
    <t>Q9H4L5_OSBPL3</t>
  </si>
  <si>
    <t>Q9H4L7_SMARCAD1</t>
  </si>
  <si>
    <t>Q9H4M9_EHD1</t>
  </si>
  <si>
    <t>Q9H4P4-2_RNF41</t>
  </si>
  <si>
    <t>Q9H4Z3_PCIF1</t>
  </si>
  <si>
    <t>Q9H501_ESF1</t>
  </si>
  <si>
    <t>Q9H553_ALG2</t>
  </si>
  <si>
    <t>Q9H5K3_SGK196</t>
  </si>
  <si>
    <t>Q9H5N1_RABEP2</t>
  </si>
  <si>
    <t>Q9H5Q4_TFB2M</t>
  </si>
  <si>
    <t>Q9H5V8_CDCP1</t>
  </si>
  <si>
    <t>Q9H5V9-3_CXorf56</t>
  </si>
  <si>
    <t>Q9H5X1_FAM96A</t>
  </si>
  <si>
    <t>Q9H6D7_HAUS4</t>
  </si>
  <si>
    <t>Q9H6E4_CCDC134</t>
  </si>
  <si>
    <t>Q9H6F5_CCDC86</t>
  </si>
  <si>
    <t>Q9H6H4_REEP4</t>
  </si>
  <si>
    <t>Q9H6K1_C6orf106</t>
  </si>
  <si>
    <t>Q9H6K4_OPA3</t>
  </si>
  <si>
    <t>Q9H6Q4_NARFL</t>
  </si>
  <si>
    <t>Q9H6R6-2_ZDHHC6</t>
  </si>
  <si>
    <t>Q9H6R7-2_C2orf44</t>
  </si>
  <si>
    <t>Q9H6S0_YTHDC2</t>
  </si>
  <si>
    <t>Q9H6S1_AZI2</t>
  </si>
  <si>
    <t>Q9H6S3_EPS8L2</t>
  </si>
  <si>
    <t>Q9H6T3_RPAP3</t>
  </si>
  <si>
    <t>Q9H6U8_ALG9</t>
  </si>
  <si>
    <t>Q9H6Y2_WDR55</t>
  </si>
  <si>
    <t>Q9H773_DCTPP1</t>
  </si>
  <si>
    <t>Q9H7B4_SMYD3</t>
  </si>
  <si>
    <t>Q9H7D7-2_WDR26</t>
  </si>
  <si>
    <t>Q9H7E2-3_TDRD3</t>
  </si>
  <si>
    <t>Q9H7E9_C8orf33</t>
  </si>
  <si>
    <t>Q9H7F0_ATP13A3</t>
  </si>
  <si>
    <t>Q9H7L9_SUDS3</t>
  </si>
  <si>
    <t>Q9H7N4_SCAF1</t>
  </si>
  <si>
    <t>Q9H7Z6_KAT8</t>
  </si>
  <si>
    <t>Q9H7Z7_PTGES2</t>
  </si>
  <si>
    <t>Q9H813_TMEM206</t>
  </si>
  <si>
    <t>Q9H814_PHAX</t>
  </si>
  <si>
    <t>Q9H832_UBE2Z</t>
  </si>
  <si>
    <t>Q9H840_GEMIN7</t>
  </si>
  <si>
    <t>Q9H845_ACAD9</t>
  </si>
  <si>
    <t>Q9H871_RMND5A</t>
  </si>
  <si>
    <t>Q9H875_PRKRIP1</t>
  </si>
  <si>
    <t>Q9H8G2_CAAP1</t>
  </si>
  <si>
    <t>Q9H8H0_NOL11</t>
  </si>
  <si>
    <t>Q9H8M7_FAM188A</t>
  </si>
  <si>
    <t>Q9H8S9_MOB1A</t>
  </si>
  <si>
    <t>Q9H8U3_ZFAND3</t>
  </si>
  <si>
    <t>Q9H8W4_PLEKHF2</t>
  </si>
  <si>
    <t>Q9H8X2_IPPK</t>
  </si>
  <si>
    <t>Q9H8Y5_ANKZF1</t>
  </si>
  <si>
    <t>Q9H8Y8_GORASP2</t>
  </si>
  <si>
    <t>Q9H900_ZWILCH</t>
  </si>
  <si>
    <t>Q9H910-2_HN1L</t>
  </si>
  <si>
    <t>Q9H936_SLC25A22</t>
  </si>
  <si>
    <t>Q9H939_PSTPIP2</t>
  </si>
  <si>
    <t>Q9H944_MED20</t>
  </si>
  <si>
    <t>Q9H974_QTRTD1</t>
  </si>
  <si>
    <t>Q9H981_ACTR8</t>
  </si>
  <si>
    <t>Q9H993_C6orf211</t>
  </si>
  <si>
    <t>Q9H999_PANK3</t>
  </si>
  <si>
    <t>Q9H9A5-2_CNOT10</t>
  </si>
  <si>
    <t>Q9H9A6_LRRC40</t>
  </si>
  <si>
    <t>Q9H9A7_RMI1</t>
  </si>
  <si>
    <t>Q9H9B1_EHMT1</t>
  </si>
  <si>
    <t>Q9H9B4_SFXN1</t>
  </si>
  <si>
    <t>Q9H9F9_ACTR5</t>
  </si>
  <si>
    <t>Q9H9H4_VPS37B</t>
  </si>
  <si>
    <t>Q9H9P8_L2HGDH</t>
  </si>
  <si>
    <t>Q9H9S5_FKRP</t>
  </si>
  <si>
    <t>Q9H9T3-2_ELP3</t>
  </si>
  <si>
    <t>Q9H9V9-2_JMJD4</t>
  </si>
  <si>
    <t>Q9H9Y4_GPN2</t>
  </si>
  <si>
    <t>Q9H9Y6_POLR1B</t>
  </si>
  <si>
    <t>Q9HA47-3_UCK1</t>
  </si>
  <si>
    <t>Q9HA64_FN3KRP</t>
  </si>
  <si>
    <t>Q9HA65_TBC1D17</t>
  </si>
  <si>
    <t>Q9HA77_CARS2</t>
  </si>
  <si>
    <t>Q9HAB8_PPCS</t>
  </si>
  <si>
    <t>Q9HAF1-2_MEAF6</t>
  </si>
  <si>
    <t>Q9HAJ7_SAP30L</t>
  </si>
  <si>
    <t>Q9HAN9_NMNAT1</t>
  </si>
  <si>
    <t>Q9HAP6_LIN7B</t>
  </si>
  <si>
    <t>Q9HAT2-2_SIAE</t>
  </si>
  <si>
    <t>Q9HAU0_PLEKHA5</t>
  </si>
  <si>
    <t>Q9HAU5_UPF2</t>
  </si>
  <si>
    <t>Q9HAV0_GNB4</t>
  </si>
  <si>
    <t>Q9HAV4_XPO5</t>
  </si>
  <si>
    <t>Q9HAV7_GRPEL1</t>
  </si>
  <si>
    <t>Q9HAW4_CLSPN</t>
  </si>
  <si>
    <t>Q9HB09_BCL2L12</t>
  </si>
  <si>
    <t>Q9HB19_PLEKHA2</t>
  </si>
  <si>
    <t>Q9HB40_SCPEP1</t>
  </si>
  <si>
    <t>Q9HB71_CACYBP</t>
  </si>
  <si>
    <t>Q9HB90_RRAGC</t>
  </si>
  <si>
    <t>Q9HBD4_SMARCA4</t>
  </si>
  <si>
    <t>Q9HBH1_PDF</t>
  </si>
  <si>
    <t>Q9HBH5_RDH14</t>
  </si>
  <si>
    <t>Q9HBI1_PARVB</t>
  </si>
  <si>
    <t>Q9HBL7_PLGRKT</t>
  </si>
  <si>
    <t>Q9HBL8_NMRAL1</t>
  </si>
  <si>
    <t>Q9HBM1_SPC25</t>
  </si>
  <si>
    <t>Q9HBM6_TAF9B</t>
  </si>
  <si>
    <t>Q9HBM8_AGPAT1</t>
  </si>
  <si>
    <t>Q9HBR0-3_SLC38A10</t>
  </si>
  <si>
    <t>Q9HC35_EML4</t>
  </si>
  <si>
    <t>Q9HC36_RNMTL1</t>
  </si>
  <si>
    <t>Q9HC38-2_GLOD4</t>
  </si>
  <si>
    <t>Q9HC44_GPBP1L1</t>
  </si>
  <si>
    <t>Q9HC52_CBX8</t>
  </si>
  <si>
    <t>Q9HCC0_MCCC2</t>
  </si>
  <si>
    <t>Q9HCC9-5_ZFYVE28</t>
  </si>
  <si>
    <t>Q9HCD5_NCOA5</t>
  </si>
  <si>
    <t>Q9HCE1_MOV10</t>
  </si>
  <si>
    <t>Q9HCE5_METTL14</t>
  </si>
  <si>
    <t>Q9HCK8-2_CHD8</t>
  </si>
  <si>
    <t>Q9HCN3_TMEM8A</t>
  </si>
  <si>
    <t>Q9HCN4-4_GPN1</t>
  </si>
  <si>
    <t>Q9HCN8_SDF2L1</t>
  </si>
  <si>
    <t>Q9HCP0-2_CSNK1G1</t>
  </si>
  <si>
    <t>Q9HCU5_PREB</t>
  </si>
  <si>
    <t>Q9HCU8_POLD4</t>
  </si>
  <si>
    <t>Q9HD15_SRA1</t>
  </si>
  <si>
    <t>Q9HD20-2_ATP13A1</t>
  </si>
  <si>
    <t>Q9HD23_MRS2</t>
  </si>
  <si>
    <t>Q9HD26_GOPC</t>
  </si>
  <si>
    <t>Q9HD40-3_SEPSECS</t>
  </si>
  <si>
    <t>Q9HD42_CHMP1A</t>
  </si>
  <si>
    <t>Q9HD45_TM9SF3</t>
  </si>
  <si>
    <t>Q9HD47-2_RANGRF</t>
  </si>
  <si>
    <t>Q9HD64_XAGE1A</t>
  </si>
  <si>
    <t>Q9HDC5_JPH1</t>
  </si>
  <si>
    <t>Q9HDC9_APMAP</t>
  </si>
  <si>
    <t>Q9NNW5_WDR6</t>
  </si>
  <si>
    <t>Q9NP31-3_SH2D2A</t>
  </si>
  <si>
    <t>Q9NP58-4_ABCB6</t>
  </si>
  <si>
    <t>Q9NP59_SLC40A1</t>
  </si>
  <si>
    <t>Q9NP66_HMG20A</t>
  </si>
  <si>
    <t>Q9NP72_RAB18</t>
  </si>
  <si>
    <t>Q9NP73-2_ALG13</t>
  </si>
  <si>
    <t>Q9NP74-3_PALMD</t>
  </si>
  <si>
    <t>Q9NP77_SSU72</t>
  </si>
  <si>
    <t>Q9NP79_VTA1</t>
  </si>
  <si>
    <t>Q9NP80-3_PNPLA8</t>
  </si>
  <si>
    <t>Q9NP92_MRPS30</t>
  </si>
  <si>
    <t>Q9NPA0_EMC7</t>
  </si>
  <si>
    <t>Q9NPA3_MID1IP1</t>
  </si>
  <si>
    <t>Q9NPA8-2_ENY2</t>
  </si>
  <si>
    <t>Q9NPB8_GPCPD1</t>
  </si>
  <si>
    <t>Q9NPD3_EXOSC4</t>
  </si>
  <si>
    <t>Q9NPD8_UBE2T</t>
  </si>
  <si>
    <t>Q9NPE2_NGRN</t>
  </si>
  <si>
    <t>Q9NPE3_NOP10</t>
  </si>
  <si>
    <t>Q9NPF0_CD320</t>
  </si>
  <si>
    <t>Q9NPF4_OSGEP</t>
  </si>
  <si>
    <t>Q9NPF5_DMAP1</t>
  </si>
  <si>
    <t>Q9NPH2_ISYNA1</t>
  </si>
  <si>
    <t>Q9NPI1_BRD7</t>
  </si>
  <si>
    <t>Q9NPJ3_ACOT13</t>
  </si>
  <si>
    <t>Q9NPJ6_MED4</t>
  </si>
  <si>
    <t>Q9NPL8_TIMMDC1</t>
  </si>
  <si>
    <t>Q9NPQ8-4_RIC8A</t>
  </si>
  <si>
    <t>Q9NPR9_GPR108</t>
  </si>
  <si>
    <t>Q9NQ11-3_ATP13A2</t>
  </si>
  <si>
    <t>Q9NQ29_LUC7L</t>
  </si>
  <si>
    <t>Q9NQ75_CASS4</t>
  </si>
  <si>
    <t>Q9NQ88_TIGAR</t>
  </si>
  <si>
    <t>Q9NQC3_RTN4</t>
  </si>
  <si>
    <t>Q9NQE9_HINT3</t>
  </si>
  <si>
    <t>Q9NQG5_RPRD1B</t>
  </si>
  <si>
    <t>Q9NQG7-3_HPS4</t>
  </si>
  <si>
    <t>Q9NQH7-2_XPNPEP3</t>
  </si>
  <si>
    <t>Q9NQP4_PFDN4</t>
  </si>
  <si>
    <t>Q9NQR4_NIT2</t>
  </si>
  <si>
    <t>Q9NQS1_AVEN</t>
  </si>
  <si>
    <t>Q9NQT4_EXOSC5</t>
  </si>
  <si>
    <t>Q9NQT5_EXOSC3</t>
  </si>
  <si>
    <t>Q9NQT8_KIF13B</t>
  </si>
  <si>
    <t>Q9NQW6_ANLN</t>
  </si>
  <si>
    <t>Q9NQW7-3_XPNPEP1</t>
  </si>
  <si>
    <t>Q9NQY0_BIN3</t>
  </si>
  <si>
    <t>Q9NQZ2_UTP3</t>
  </si>
  <si>
    <t>Q9NQZ5_STARD7</t>
  </si>
  <si>
    <t>Q9NR09_BIRC6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</si>
  <si>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</si>
  <si>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</si>
  <si>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</si>
  <si>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</si>
  <si>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</si>
  <si>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</si>
  <si>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</si>
  <si>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Q9NR50_EIF2B3</t>
  </si>
  <si>
    <t>Q9NRD5_PICK1</t>
  </si>
  <si>
    <t>Q9NRF2-3_SH2B1</t>
  </si>
  <si>
    <t>Q9NRF8_CTPS2</t>
  </si>
  <si>
    <t>Q9NRF9_POLE3</t>
  </si>
  <si>
    <t>Q9NRG0_CHRAC1</t>
  </si>
  <si>
    <t>Q9NRG1_PRTFDC1</t>
  </si>
  <si>
    <t>Q9NRG4_SMYD2</t>
  </si>
  <si>
    <t>Q9NRH1_YAE1D1</t>
  </si>
  <si>
    <t>Q9NRK6_ABCB10</t>
  </si>
  <si>
    <t>Q9NRL2-2_BAZ1A</t>
  </si>
  <si>
    <t>Q9NRL3_STRN4</t>
  </si>
  <si>
    <t>Q9NRN7_AASDHPPT</t>
  </si>
  <si>
    <t>Q9NRN9_METTL5</t>
  </si>
  <si>
    <t>Q9NRP2_CMC2</t>
  </si>
  <si>
    <t>Q9NRP4_ACN9</t>
  </si>
  <si>
    <t>Q9NRR5_UBQLN4</t>
  </si>
  <si>
    <t>Q9NRR8_CDC42SE1</t>
  </si>
  <si>
    <t>Q9NRS6-2_SNX15</t>
  </si>
  <si>
    <t>Q9NRV9_HEBP1</t>
  </si>
  <si>
    <t>Q9NRW1_RAB6B</t>
  </si>
  <si>
    <t>Q9NRW3_APOBEC3C</t>
  </si>
  <si>
    <t>Q9NRW4_DUSP22</t>
  </si>
  <si>
    <t>Q9NRW7_VPS45</t>
  </si>
  <si>
    <t>Q9NRX1_PNO1</t>
  </si>
  <si>
    <t>Q9NRX4_PHPT1</t>
  </si>
  <si>
    <t>Q9NRX5_SERINC1</t>
  </si>
  <si>
    <t>Q9NRY2_INIP</t>
  </si>
  <si>
    <t>Q9NRY4_ARHGAP35</t>
  </si>
  <si>
    <t>Q9NRY5_FAM114A2</t>
  </si>
  <si>
    <t>Q9NRZ7-2_AGPAT3</t>
  </si>
  <si>
    <t>Q9NRZ9-4_HELLS</t>
  </si>
  <si>
    <t>Q9NS18_GLRX2</t>
  </si>
  <si>
    <t>Q9NS23-4_RASSF1</t>
  </si>
  <si>
    <t>Q9NS69_TOMM22</t>
  </si>
  <si>
    <t>Q9NS86_LANCL2</t>
  </si>
  <si>
    <t>Q9NS87_KIF15</t>
  </si>
  <si>
    <t>Q9NS91_RAD18</t>
  </si>
  <si>
    <t>Q9NS93_TM7SF3</t>
  </si>
  <si>
    <t>Q9NSA3_CTNNBIP1</t>
  </si>
  <si>
    <t>Q9NSD9_FARSB</t>
  </si>
  <si>
    <t>Q9NSE4_IARS2</t>
  </si>
  <si>
    <t>Q9NSG2-3_C1orf112</t>
  </si>
  <si>
    <t>Q9NSI2-2_FAM207A</t>
  </si>
  <si>
    <t>Q9NSI8_SAMSN1</t>
  </si>
  <si>
    <t>Q9NSK0_KLC4</t>
  </si>
  <si>
    <t>Q9NSY1_BMP2K</t>
  </si>
  <si>
    <t>Q9NT62_ATG3</t>
  </si>
  <si>
    <t>Q9NTG7_SIRT3</t>
  </si>
  <si>
    <t>Q9NTI5-2_PDS5B</t>
  </si>
  <si>
    <t>Q9NTJ3_SMC4</t>
  </si>
  <si>
    <t>Q9NTJ4-3_MAN2C1</t>
  </si>
  <si>
    <t>Q9NTJ5_SACM1L</t>
  </si>
  <si>
    <t>Q9NTM9_CUTC</t>
  </si>
  <si>
    <t>Q9NTX5-2_ECHDC1</t>
  </si>
  <si>
    <t>Q9NTX7-2_RNF146</t>
  </si>
  <si>
    <t>Q9NTZ6_RBM12</t>
  </si>
  <si>
    <t>Q9NU19_TBC1D22B</t>
  </si>
  <si>
    <t>Q9NU22_MDN1</t>
  </si>
  <si>
    <t>Q9NU23_LYRM2</t>
  </si>
  <si>
    <t>Q9NUD5_ZCCHC3</t>
  </si>
  <si>
    <t>Q9NUE0_ZDHHC18</t>
  </si>
  <si>
    <t>Q9NUG6_PDRG1</t>
  </si>
  <si>
    <t>Q9NUJ1_ABHD10</t>
  </si>
  <si>
    <t>Q9NUM4_TMEM106B</t>
  </si>
  <si>
    <t>Q9NUN5-3_LMBRD1</t>
  </si>
  <si>
    <t>Q9NUP1_BLOC1S4</t>
  </si>
  <si>
    <t>Q9NUP7_TRMT13</t>
  </si>
  <si>
    <t>Q9NUP9_LIN7C</t>
  </si>
  <si>
    <t>Q9NUQ2_AGPAT5</t>
  </si>
  <si>
    <t>Q9NUQ3_TXLNG</t>
  </si>
  <si>
    <t>Q9NUQ7_UFSP2</t>
  </si>
  <si>
    <t>Q9NUQ8_ABCF3</t>
  </si>
  <si>
    <t>Q9NUQ9_FAM49B</t>
  </si>
  <si>
    <t>Q9NUS5_AP5S1</t>
  </si>
  <si>
    <t>Q9NUU7_DDX19A</t>
  </si>
  <si>
    <t>Q9NUW8_TDP1</t>
  </si>
  <si>
    <t>Q9NUY8_TBC1D23</t>
  </si>
  <si>
    <t>Q9NV06_DCAF13</t>
  </si>
  <si>
    <t>Q9NV31_IMP3</t>
  </si>
  <si>
    <t>Q9NV35_NUDT15</t>
  </si>
  <si>
    <t>Q9NV56_MRGBP</t>
  </si>
  <si>
    <t>Q9NV66_TYW1</t>
  </si>
  <si>
    <t>Q9NV70-2_EXOC1</t>
  </si>
  <si>
    <t>Q9NV96-2_TMEM30A</t>
  </si>
  <si>
    <t>Q9NVA1-2_UQCC</t>
  </si>
  <si>
    <t>Q9NVC6_MED17</t>
  </si>
  <si>
    <t>Q9NVE7_PANK4</t>
  </si>
  <si>
    <t>Q9NVF7_FBXO28</t>
  </si>
  <si>
    <t>Q9NVG8_TBC1D13</t>
  </si>
  <si>
    <t>Q9NVH0-2_EXD2</t>
  </si>
  <si>
    <t>Q9NVH1-3_DNAJC11</t>
  </si>
  <si>
    <t>Q9NVH2-4_INTS7</t>
  </si>
  <si>
    <t>Q9NVH6-4_TMLHE</t>
  </si>
  <si>
    <t>Q9NVI1_FANCI</t>
  </si>
  <si>
    <t>Q9NVI7-2_ATAD3A</t>
  </si>
  <si>
    <t>Q9NVJ2_ARL8B</t>
  </si>
  <si>
    <t>Q9NVK5_FGFR1OP2</t>
  </si>
  <si>
    <t>Q9NVM1_EVA1B</t>
  </si>
  <si>
    <t>Q9NVM4-3_PRMT7</t>
  </si>
  <si>
    <t>Q9NVM6_DNAJC17</t>
  </si>
  <si>
    <t>Q9NVM9_ASUN</t>
  </si>
  <si>
    <t>Q9NVN8_GNL3L</t>
  </si>
  <si>
    <t>Q9NVP1_DDX18</t>
  </si>
  <si>
    <t>Q9NVP2_ASF1B</t>
  </si>
  <si>
    <t>Q9NVR0_KLHL11</t>
  </si>
  <si>
    <t>Q9NVR2_INTS10</t>
  </si>
  <si>
    <t>Q9NVR5_DNAAF2</t>
  </si>
  <si>
    <t>Q9NVU0-5_POLR3E</t>
  </si>
  <si>
    <t>Q9NVV0_TMEM38B</t>
  </si>
  <si>
    <t>Q9NVV4_MTPAP</t>
  </si>
  <si>
    <t>Q9NVW2_RLIM</t>
  </si>
  <si>
    <t>Q9NVX0-3_HAUS2</t>
  </si>
  <si>
    <t>Q9NVX2_NLE1</t>
  </si>
  <si>
    <t>Q9NVX7_KBTBD4</t>
  </si>
  <si>
    <t>Q9NVZ3_NECAP2</t>
  </si>
  <si>
    <t>Q9NW08-2_POLR3B</t>
  </si>
  <si>
    <t>Q9NW13_RBM28</t>
  </si>
  <si>
    <t>Q9NW15_ANO10</t>
  </si>
  <si>
    <t>Q9NW64_RBM22</t>
  </si>
  <si>
    <t>Q9NW82_WDR70</t>
  </si>
  <si>
    <t>Q9NWB6_ARGLU1</t>
  </si>
  <si>
    <t>Q9NWD8_TMEM248</t>
  </si>
  <si>
    <t>Q9NWD9_BEX4</t>
  </si>
  <si>
    <t>Q9NWH2_TMEM242</t>
  </si>
  <si>
    <t>Q9NWH9_SLTM</t>
  </si>
  <si>
    <t>Q9NWK9_ZNHIT6</t>
  </si>
  <si>
    <t>Q9NWM8_FKBP14</t>
  </si>
  <si>
    <t>Q9NWQ9_C14orf119</t>
  </si>
  <si>
    <t>Q9NWS0_PIH1D1</t>
  </si>
  <si>
    <t>Q9NWS6_FAM118A</t>
  </si>
  <si>
    <t>Q9NWS8_RMND1</t>
  </si>
  <si>
    <t>Q9NWT1_PAK1IP1</t>
  </si>
  <si>
    <t>Q9NWT6_HIF1AN</t>
  </si>
  <si>
    <t>Q9NWT8_AURKAIP1</t>
  </si>
  <si>
    <t>Q9NWU1_OXSM</t>
  </si>
  <si>
    <t>Q9NWU2_GID8</t>
  </si>
  <si>
    <t>Q9NWV4_C1orf123</t>
  </si>
  <si>
    <t>Q9NWX6_THG1L</t>
  </si>
  <si>
    <t>Q9NWY4_C4orf27</t>
  </si>
  <si>
    <t>Q9NWZ3_IRAK4</t>
  </si>
  <si>
    <t>Q9NX01_TXNL4B</t>
  </si>
  <si>
    <t>Q9NX02-5_NLRP2</t>
  </si>
  <si>
    <t>Q9NX04_C1orf109</t>
  </si>
  <si>
    <t>Q9NX07-2_TRNAU1AP</t>
  </si>
  <si>
    <t>Q9NX08_COMMD8</t>
  </si>
  <si>
    <t>Q9NX09_DDIT4</t>
  </si>
  <si>
    <t>Q9NX14_NDUFB11</t>
  </si>
  <si>
    <t>Q9NX20_MRPL16</t>
  </si>
  <si>
    <t>Q9NX24_NHP2</t>
  </si>
  <si>
    <t>Q9NX38_FAM206A</t>
  </si>
  <si>
    <t>Q9NX40_OCIAD1</t>
  </si>
  <si>
    <t>Q9NX46_ADPRHL2</t>
  </si>
  <si>
    <t>Q9NX47_MARCH5</t>
  </si>
  <si>
    <t>Q9NX55_HYPK</t>
  </si>
  <si>
    <t>Q9NX58_LYAR</t>
  </si>
  <si>
    <t>Q9NX62_IMPAD1</t>
  </si>
  <si>
    <t>Q9NX70_MED29</t>
  </si>
  <si>
    <t>Q9NX74_DUS2L</t>
  </si>
  <si>
    <t>Q9NX94_WBP1L</t>
  </si>
  <si>
    <t>Q9NXA8-4_SIRT5</t>
  </si>
  <si>
    <t>Q9NXC5_MIOS</t>
  </si>
  <si>
    <t>Q9NXE8_CWC25</t>
  </si>
  <si>
    <t>Q9NXF1-2_TEX10</t>
  </si>
  <si>
    <t>Q9NXF7_DCAF16</t>
  </si>
  <si>
    <t>Q9NXF8_ZDHHC7</t>
  </si>
  <si>
    <t>Q9NXH8_TOR4A</t>
  </si>
  <si>
    <t>Q9NXH9_TRMT1</t>
  </si>
  <si>
    <t>Q9NXK8-2_FBXL12</t>
  </si>
  <si>
    <t>Q9NXN4-2_GDAP2</t>
  </si>
  <si>
    <t>Q9NXR1-2_NDE1</t>
  </si>
  <si>
    <t>Q9NXR7_BRE</t>
  </si>
  <si>
    <t>Q9NXS2_QPCTL</t>
  </si>
  <si>
    <t>Q9NXU5_ARL15</t>
  </si>
  <si>
    <t>Q9NXV2_KCTD5</t>
  </si>
  <si>
    <t>Q9NXV6_CDKN2AIP</t>
  </si>
  <si>
    <t>Q9NXW9_ALKBH4</t>
  </si>
  <si>
    <t>Q9NXX6_NSMCE4A</t>
  </si>
  <si>
    <t>Q9NY27_PPP4R2</t>
  </si>
  <si>
    <t>Q9NY97-2_B3GNT2</t>
  </si>
  <si>
    <t>Q9NYA1-2_SPHK1</t>
  </si>
  <si>
    <t>Q9NYB0_TERF2IP</t>
  </si>
  <si>
    <t>Q9NYH9_UTP6</t>
  </si>
  <si>
    <t>Q9NYJ1_COA4</t>
  </si>
  <si>
    <t>Q9NYJ8_TAB2</t>
  </si>
  <si>
    <t>Q9NYK5_MRPL39</t>
  </si>
  <si>
    <t>Q9NYL2_MLTK</t>
  </si>
  <si>
    <t>Q9NYL2-2_MLTK</t>
  </si>
  <si>
    <t>Q9NYL9_TMOD3</t>
  </si>
  <si>
    <t>Q9NYP9_MIS18A</t>
  </si>
  <si>
    <t>Q9NYU2-2_UGGT1</t>
  </si>
  <si>
    <t>Q9NYV4-2_CDK12</t>
  </si>
  <si>
    <t>Q9NYY8_FASTKD2</t>
  </si>
  <si>
    <t>Q9NYZ2-4_SLC25A37</t>
  </si>
  <si>
    <t>Q9NYZ3_GTSE1</t>
  </si>
  <si>
    <t>Q9NZ01_TECR</t>
  </si>
  <si>
    <t>Q9NZ08_ERAP1</t>
  </si>
  <si>
    <t>Q9NZ09-2_UBAP1</t>
  </si>
  <si>
    <t>Q9NZ32_ACTR10</t>
  </si>
  <si>
    <t>Q9NZ43_USE1</t>
  </si>
  <si>
    <t>Q9NZ45_CISD1</t>
  </si>
  <si>
    <t>Q9NZ53_PODXL2</t>
  </si>
  <si>
    <t>Q9NZ63_C9orf78</t>
  </si>
  <si>
    <t>Q9NZA1-3_CLIC5</t>
  </si>
  <si>
    <t>Q9NZC3_GDE1</t>
  </si>
  <si>
    <t>Q9NZC7-5_WWOX</t>
  </si>
  <si>
    <t>Q9NZC9_SMARCAL1</t>
  </si>
  <si>
    <t>Q9NZD8-2_SPG21</t>
  </si>
  <si>
    <t>Q9NZI7-4_UBP1</t>
  </si>
  <si>
    <t>Q9NZI8_IGF2BP1</t>
  </si>
  <si>
    <t>Q9NZJ4_SACS</t>
  </si>
  <si>
    <t>Q9NZJ6_COQ3</t>
  </si>
  <si>
    <t>Q9NZJ7-2_MTCH1</t>
  </si>
  <si>
    <t>Q9NZJ9_NUDT4</t>
  </si>
  <si>
    <t>Q9NZL4_HSPBP1</t>
  </si>
  <si>
    <t>Q9NZL9_MAT2B</t>
  </si>
  <si>
    <t>Q9NZL9-2_MAT2B</t>
  </si>
  <si>
    <t>Q9NZM3-4_ITSN2</t>
  </si>
  <si>
    <t>Q9NZM4-2_GLTSCR1</t>
  </si>
  <si>
    <t>Q9NZN4_EHD2</t>
  </si>
  <si>
    <t>Q9NZN5-2_ARHGEF12</t>
  </si>
  <si>
    <t>Q9NZQ3-3_NCKIPSD</t>
  </si>
  <si>
    <t>Q9NZT2-2_OGFR</t>
  </si>
  <si>
    <t>Q9NZW5_MPP6</t>
  </si>
  <si>
    <t>Q9NZZ3_CHMP5</t>
  </si>
  <si>
    <t>Q9P000_COMMD9</t>
  </si>
  <si>
    <t>Q9P013_CWC15</t>
  </si>
  <si>
    <t>Q9P016_THYN1</t>
  </si>
  <si>
    <t>Q9P021_CRIPT</t>
  </si>
  <si>
    <t>Q9P031_CCDC59</t>
  </si>
  <si>
    <t>Q9P032_NDUFAF4</t>
  </si>
  <si>
    <t>Q9P035_PTPLAD1</t>
  </si>
  <si>
    <t>Q9P0B6_CCDC167</t>
  </si>
  <si>
    <t>Q9P0I2_EMC3</t>
  </si>
  <si>
    <t>Q9P0J7_KCMF1</t>
  </si>
  <si>
    <t>Q9P0L0_VAPA</t>
  </si>
  <si>
    <t>Q9P0N9-3_TBC1D7</t>
  </si>
  <si>
    <t>Q9P0P0_RNF181</t>
  </si>
  <si>
    <t>Q9P0R6_GSKIP</t>
  </si>
  <si>
    <t>Q9P0U4_CXXC1</t>
  </si>
  <si>
    <t>Q9P0W2_HMG20B</t>
  </si>
  <si>
    <t>Q9P1U0_ZNRD1</t>
  </si>
  <si>
    <t>Q9P1U1_ACTR3B</t>
  </si>
  <si>
    <t>Q9P1W9_PIM2</t>
  </si>
  <si>
    <t>Q9P1Z2-2_CALCOCO1</t>
  </si>
  <si>
    <t>Q9P206-2_KIAA1522</t>
  </si>
  <si>
    <t>Q9P209_CEP72</t>
  </si>
  <si>
    <t>Q9P215_POGK</t>
  </si>
  <si>
    <t>Q9P253_VPS18</t>
  </si>
  <si>
    <t>Q9P258_RCC2</t>
  </si>
  <si>
    <t>Q9P260_KIAA1468</t>
  </si>
  <si>
    <t>Q9P265_DIP2B</t>
  </si>
  <si>
    <t>Q9P270_SLAIN2</t>
  </si>
  <si>
    <t>Q9P287_BCCIP</t>
  </si>
  <si>
    <t>Q9P287-2_BCCIP</t>
  </si>
  <si>
    <t>Q9P2B2_PTGFRN</t>
  </si>
  <si>
    <t>Q9P2D1_CHD7</t>
  </si>
  <si>
    <t>Q9P2D3-3_HEATR5B</t>
  </si>
  <si>
    <t>Q9P2D7-5_DNAH1</t>
  </si>
  <si>
    <t>Q9P2E3_ZNFX1</t>
  </si>
  <si>
    <t>Q9P2E9_RRBP1</t>
  </si>
  <si>
    <t>Q9P2I0_CPSF2</t>
  </si>
  <si>
    <t>Q9P2J8_ZNF624</t>
  </si>
  <si>
    <t>Q9P2J9_PDP2</t>
  </si>
  <si>
    <t>Q9P2K8-2_EIF2AK4</t>
  </si>
  <si>
    <t>Q9P2M4_TBC1D14</t>
  </si>
  <si>
    <t>Q9P2N5_RBM27</t>
  </si>
  <si>
    <t>Q9P2R3_ANKFY1</t>
  </si>
  <si>
    <t>Q9P2R6_RERE</t>
  </si>
  <si>
    <t>Q9P2W1_PSMC3IP</t>
  </si>
  <si>
    <t>Q9P2X0_DPM3</t>
  </si>
  <si>
    <t>Q9P2Y5_UVRAG</t>
  </si>
  <si>
    <t>Q9UBB4_ATXN10</t>
  </si>
  <si>
    <t>Q9UBB5_MBD2</t>
  </si>
  <si>
    <t>Q9UBB6_NCDN</t>
  </si>
  <si>
    <t>Q9UBB9_TFIP11</t>
  </si>
  <si>
    <t>Q9UBC2-2_EPS15L1</t>
  </si>
  <si>
    <t>Q9UBC3-4_DNMT3B</t>
  </si>
  <si>
    <t>Q9UBD5_ORC3</t>
  </si>
  <si>
    <t>Q9UBE0_SAE1</t>
  </si>
  <si>
    <t>Q9UBF1_MAGEC2</t>
  </si>
  <si>
    <t>Q9UBF2_COPG2</t>
  </si>
  <si>
    <t>Q9UBF6_RNF7</t>
  </si>
  <si>
    <t>Q9UBF8-2_PI4KB</t>
  </si>
  <si>
    <t>Q9UBH6-2_XPR1</t>
  </si>
  <si>
    <t>Q9UBI1_COMMD3</t>
  </si>
  <si>
    <t>Q9UBI6_GNG12</t>
  </si>
  <si>
    <t>Q9UBK8-2_MTRR</t>
  </si>
  <si>
    <t>Q9UBK9_UXT</t>
  </si>
  <si>
    <t>Q9UBL3-3_ASH2L</t>
  </si>
  <si>
    <t>Q9UBM7_DHCR7</t>
  </si>
  <si>
    <t>Q9UBP0-3_SPAST</t>
  </si>
  <si>
    <t>Q9UBP6_METTL1</t>
  </si>
  <si>
    <t>Q9UBP9_GULP1</t>
  </si>
  <si>
    <t>Q9UBQ7_GRHPR</t>
  </si>
  <si>
    <t>Q9UBR2_CTSZ</t>
  </si>
  <si>
    <t>Q9UBS0_RPS6KB2</t>
  </si>
  <si>
    <t>Q9UBS4_DNAJB11</t>
  </si>
  <si>
    <t>Q9UBS8_RNF14</t>
  </si>
  <si>
    <t>Q9UBT2_UBA2</t>
  </si>
  <si>
    <t>Q9UBU6_FAM8A1</t>
  </si>
  <si>
    <t>Q9UBU9_NXF1</t>
  </si>
  <si>
    <t>Q9UBV2_SEL1L</t>
  </si>
  <si>
    <t>Q9UBV7_B4GALT7</t>
  </si>
  <si>
    <t>Q9UBV8_PEF1</t>
  </si>
  <si>
    <t>Q9UBW7_ZMYM2</t>
  </si>
  <si>
    <t>Q9UBW8_COPS7A</t>
  </si>
  <si>
    <t>Q9UBX3_SLC25A10</t>
  </si>
  <si>
    <t>Q9UBY8_CLN8</t>
  </si>
  <si>
    <t>Q9UDX5_MTFP1</t>
  </si>
  <si>
    <t>Q9UDY2_TJP2</t>
  </si>
  <si>
    <t>Q9UDY4_DNAJB4</t>
  </si>
  <si>
    <t>Q9UEE9_CFDP1</t>
  </si>
  <si>
    <t>Q9UEG4_ZNF629</t>
  </si>
  <si>
    <t>Q9UEL6_MPZL1</t>
  </si>
  <si>
    <t>Q9UER7-2_DAXX</t>
  </si>
  <si>
    <t>Q9UET6-2_FTSJ1</t>
  </si>
  <si>
    <t>Q9UEU0_VTI1B</t>
  </si>
  <si>
    <t>Q9UEU5_GAGE2D</t>
  </si>
  <si>
    <t>Q9UEY8-2_ADD3</t>
  </si>
  <si>
    <t>Q9UFC0_LRWD1</t>
  </si>
  <si>
    <t>Q9UFG5_C19orf25</t>
  </si>
  <si>
    <t>Q9UFN0_NIPSNAP3A</t>
  </si>
  <si>
    <t>Q9UFW8_CGGBP1</t>
  </si>
  <si>
    <t>Q9UG52_DKFZp564L232</t>
  </si>
  <si>
    <t>Q9UG63_ABCF2</t>
  </si>
  <si>
    <t>Q9UGC7-4_MTRF1L</t>
  </si>
  <si>
    <t>Q9UGI8_TES</t>
  </si>
  <si>
    <t>Q9UGJ1-2_TUBGCP4</t>
  </si>
  <si>
    <t>Q9UGM6_WARS2</t>
  </si>
  <si>
    <t>Q9UGP4_LIMD1</t>
  </si>
  <si>
    <t>Q9UGP8_SEC63</t>
  </si>
  <si>
    <t>Q9UGR2-2_ZC3H7B</t>
  </si>
  <si>
    <t>Q9UH62_ARMCX3</t>
  </si>
  <si>
    <t>Q9UH65_SWAP70</t>
  </si>
  <si>
    <t>Q9UH99_SUN2</t>
  </si>
  <si>
    <t>Q9UHA2_SS18L2</t>
  </si>
  <si>
    <t>Q9UHA4_LAMTOR3</t>
  </si>
  <si>
    <t>Q9UHB7_AFF4</t>
  </si>
  <si>
    <t>Q9UHB9-4_SRP68</t>
  </si>
  <si>
    <t>Q9UHD1_CHORDC1</t>
  </si>
  <si>
    <t>Q9UHD2_TBK1</t>
  </si>
  <si>
    <t>Q9UHD8-7_SEPT9</t>
  </si>
  <si>
    <t>Q9UHD9_UBQLN2</t>
  </si>
  <si>
    <t>Q9UHF1_EGFL7</t>
  </si>
  <si>
    <t>Q9UHG3_PCYOX1</t>
  </si>
  <si>
    <t>Q9UHI6_DDX20</t>
  </si>
  <si>
    <t>Q9UHJ6_SHPK</t>
  </si>
  <si>
    <t>Q9UHK0_NUFIP1</t>
  </si>
  <si>
    <t>Q9UHL4_DPP7</t>
  </si>
  <si>
    <t>Q9UHN1_POLG2</t>
  </si>
  <si>
    <t>Q9UHN6-2_TMEM2</t>
  </si>
  <si>
    <t>Q9UHP3_USP25</t>
  </si>
  <si>
    <t>Q9UHQ1_NARF</t>
  </si>
  <si>
    <t>Q9UHQ4_BCAP29</t>
  </si>
  <si>
    <t>Q9UHQ9_CYB5R1</t>
  </si>
  <si>
    <t>Q9UHR4_BAIAP2L1</t>
  </si>
  <si>
    <t>Q9UHR6_ZNHIT2</t>
  </si>
  <si>
    <t>Q9UHV9_PFDN2</t>
  </si>
  <si>
    <t>Q9UHW5_GPN3</t>
  </si>
  <si>
    <t>Q9UHX1-4_PUF60</t>
  </si>
  <si>
    <t>Q9UHX3-5_EMR2</t>
  </si>
  <si>
    <t>Q9UHY1_NRBP1</t>
  </si>
  <si>
    <t>Q9UHY7_ENOPH1</t>
  </si>
  <si>
    <t>Q9UHY8_FEZ2</t>
  </si>
  <si>
    <t>Q9UI09_NDUFA12</t>
  </si>
  <si>
    <t>Q9UI10_EIF2B4</t>
  </si>
  <si>
    <t>Q9UI10-3_EIF2B4</t>
  </si>
  <si>
    <t>Q9UI12-2_ATP6V1H</t>
  </si>
  <si>
    <t>Q9UI26_IPO11</t>
  </si>
  <si>
    <t>Q9UI30_TRMT112</t>
  </si>
  <si>
    <t>Q9UI43_FTSJ2</t>
  </si>
  <si>
    <t>Q9UIC8_LCMT1</t>
  </si>
  <si>
    <t>Q9UID3_VPS51</t>
  </si>
  <si>
    <t>Q9UIG0-2_BAZ1B</t>
  </si>
  <si>
    <t>Q9UII2_ATPIF1</t>
  </si>
  <si>
    <t>Q9UIJ7_AK3</t>
  </si>
  <si>
    <t>Q9UIL1-3_SCOC</t>
  </si>
  <si>
    <t>Q9UIM3_FKBPL</t>
  </si>
  <si>
    <t>Q9UIQ6-3_LNPEP</t>
  </si>
  <si>
    <t>Q9UIV1-2_CNOT7</t>
  </si>
  <si>
    <t>Q9UJ14-5_GGT7</t>
  </si>
  <si>
    <t>Q9UJA2-2_CRLS1</t>
  </si>
  <si>
    <t>Q9UJA5_TRMT6</t>
  </si>
  <si>
    <t>Q9UJJ9_GNPTG</t>
  </si>
  <si>
    <t>Q9UJK0_TSR3</t>
  </si>
  <si>
    <t>Q9UJN7_ZNF391</t>
  </si>
  <si>
    <t>Q9UJS0_SLC25A13</t>
  </si>
  <si>
    <t>Q9UJT0_TUBE1</t>
  </si>
  <si>
    <t>Q9UJU6_DBNL</t>
  </si>
  <si>
    <t>Q9UJU6-2_DBNL</t>
  </si>
  <si>
    <t>Q9UJW0-2_DCTN4</t>
  </si>
  <si>
    <t>Q9UJX2_CDC23</t>
  </si>
  <si>
    <t>Q9UJX3-2_ANAPC7</t>
  </si>
  <si>
    <t>Q9UJX5_ANAPC4</t>
  </si>
  <si>
    <t>Q9UJX6-2_ANAPC2</t>
  </si>
  <si>
    <t>Q9UJY4_GGA2</t>
  </si>
  <si>
    <t>Q9UJY5-4_GGA1</t>
  </si>
  <si>
    <t>Q9UJZ1_STOML2</t>
  </si>
  <si>
    <t>Q9UK23-2_NAGPA</t>
  </si>
  <si>
    <t>Q9UK41_VPS28</t>
  </si>
  <si>
    <t>Q9UK45_LSM7</t>
  </si>
  <si>
    <t>Q9UK53-3_ING1</t>
  </si>
  <si>
    <t>Q9UK59_DBR1</t>
  </si>
  <si>
    <t>Q9UK61-2_FAM208A</t>
  </si>
  <si>
    <t>Q9UK73_FEM1B</t>
  </si>
  <si>
    <t>Q9UK97-3_FBXO9</t>
  </si>
  <si>
    <t>Q9UKA4_AKAP11</t>
  </si>
  <si>
    <t>Q9UKB3-2_DNAJC12</t>
  </si>
  <si>
    <t>Q9UKD2_MRTO4</t>
  </si>
  <si>
    <t>Q9UKE5-2_TNIK</t>
  </si>
  <si>
    <t>Q9UKE5-6_TNIK</t>
  </si>
  <si>
    <t>Q9UKF6_CPSF3</t>
  </si>
  <si>
    <t>Q9UKG1_APPL1</t>
  </si>
  <si>
    <t>Q9UKI8_TLK1</t>
  </si>
  <si>
    <t>Q9UKJ3-2_GPATCH8</t>
  </si>
  <si>
    <t>Q9UKL0_RCOR1</t>
  </si>
  <si>
    <t>Q9UKN8_GTF3C4</t>
  </si>
  <si>
    <t>Q9UKS6_PACSIN3</t>
  </si>
  <si>
    <t>Q9UKT4-2_FBXO5</t>
  </si>
  <si>
    <t>Q9UKT5_FBXO4</t>
  </si>
  <si>
    <t>Q9UKU7_ACAD8</t>
  </si>
  <si>
    <t>Q9UKV5_AMFR</t>
  </si>
  <si>
    <t>Q9UKV8_AGO2</t>
  </si>
  <si>
    <t>Q9UKX7-2_NUP50</t>
  </si>
  <si>
    <t>Q9UKY1_ZHX1</t>
  </si>
  <si>
    <t>Q9UKY7_CDV3</t>
  </si>
  <si>
    <t>Q9UKZ1_CNOT11</t>
  </si>
  <si>
    <t>Q9UL15_BAG5</t>
  </si>
  <si>
    <t>Q9UL25_RAB21</t>
  </si>
  <si>
    <t>Q9UL26_RAB22A</t>
  </si>
  <si>
    <t>Q9UL33-2_TRAPPC2L</t>
  </si>
  <si>
    <t>Q9UL46_PSME2</t>
  </si>
  <si>
    <t>Q9UL54-2_TAOK2</t>
  </si>
  <si>
    <t>Q9ULC3_RAB23</t>
  </si>
  <si>
    <t>Q9ULC4_MCTS1</t>
  </si>
  <si>
    <t>Q9ULE0_WWC3</t>
  </si>
  <si>
    <t>Q9ULF5_SLC39A10</t>
  </si>
  <si>
    <t>Q9ULG6-4_CCPG1</t>
  </si>
  <si>
    <t>Q9ULH0-4_KIDINS220</t>
  </si>
  <si>
    <t>Q9ULH1_ASAP1</t>
  </si>
  <si>
    <t>Q9ULI2-2_RIMKLB</t>
  </si>
  <si>
    <t>Q9ULJ3-2_ZBTB21</t>
  </si>
  <si>
    <t>Q9ULJ6_ZMIZ1</t>
  </si>
  <si>
    <t>Q9ULJ7_ANKRD50</t>
  </si>
  <si>
    <t>Q9ULM6_CNOT6</t>
  </si>
  <si>
    <t>Q9ULP9-2_TBC1D24</t>
  </si>
  <si>
    <t>Q9ULR0_ISY1</t>
  </si>
  <si>
    <t>Q9ULR3_PPM1H</t>
  </si>
  <si>
    <t>Q9ULT8_HECTD1</t>
  </si>
  <si>
    <t>Q9ULU4-9_ZMYND8</t>
  </si>
  <si>
    <t>Q9ULV4_CORO1C</t>
  </si>
  <si>
    <t>Q9ULW0_TPX2</t>
  </si>
  <si>
    <t>Q9ULX3_NOB1</t>
  </si>
  <si>
    <t>Q9ULX6-2_AKAP8L</t>
  </si>
  <si>
    <t>Q9ULZ3-2_PYCARD</t>
  </si>
  <si>
    <t>Q9UM13_ANAPC10</t>
  </si>
  <si>
    <t>Q9UMF0_ICAM5</t>
  </si>
  <si>
    <t>Q9UMS0-3_NFU1</t>
  </si>
  <si>
    <t>Q9UMS4_PRPF19</t>
  </si>
  <si>
    <t>Q9UMX0_UBQLN1</t>
  </si>
  <si>
    <t>Q9UMX1-2_SUFU</t>
  </si>
  <si>
    <t>Q9UMX5_NENF</t>
  </si>
  <si>
    <t>Q9UMY4-2_SNX12</t>
  </si>
  <si>
    <t>Q9UMZ2-6_SYNRG</t>
  </si>
  <si>
    <t>Q9UN36-2_NDRG2</t>
  </si>
  <si>
    <t>Q9UN37_VPS4A</t>
  </si>
  <si>
    <t>Q9UN86-2_G3BP2</t>
  </si>
  <si>
    <t>Q9UNE7_STUB1</t>
  </si>
  <si>
    <t>Q9UNF0-2_PACSIN2</t>
  </si>
  <si>
    <t>Q9UNF1_MAGED2</t>
  </si>
  <si>
    <t>Q9UNH7_SNX6</t>
  </si>
  <si>
    <t>Q9UNI6_DUSP12</t>
  </si>
  <si>
    <t>Q9UNK0_STX8</t>
  </si>
  <si>
    <t>Q9UNM6_PSMD13</t>
  </si>
  <si>
    <t>Q9UNN5_FAF1</t>
  </si>
  <si>
    <t>Q9UNN8_PROCR</t>
  </si>
  <si>
    <t>Q9UNP9_PPIE</t>
  </si>
  <si>
    <t>Q9UNQ2_DIMT1</t>
  </si>
  <si>
    <t>Q9UNS1-2_TIMELESS</t>
  </si>
  <si>
    <t>Q9UNS2_COPS3</t>
  </si>
  <si>
    <t>Q9UNW1_MINPP1</t>
  </si>
  <si>
    <t>Q9UNX4_WDR3</t>
  </si>
  <si>
    <t>Q9UNY4_TTF2</t>
  </si>
  <si>
    <t>Q9UNZ2_NSFL1C</t>
  </si>
  <si>
    <t>Q9UNZ5_C19orf53</t>
  </si>
  <si>
    <t>Q9UP52-3_TFR2</t>
  </si>
  <si>
    <t>Q9UP83_COG5</t>
  </si>
  <si>
    <t>Q9UP95-3_SLC12A4</t>
  </si>
  <si>
    <t>Q9UPM8-2_AP4E1</t>
  </si>
  <si>
    <t>Q9UPN3_MACF1</t>
  </si>
  <si>
    <t>Q9UPN6_SCAF8</t>
  </si>
  <si>
    <t>Q9UPN7_PPP6R1</t>
  </si>
  <si>
    <t>Q9UPN9_TRIM33</t>
  </si>
  <si>
    <t>Q9UPN9-2_TRIM33</t>
  </si>
  <si>
    <t>Q9UPR3_SMG5</t>
  </si>
  <si>
    <t>Q9UPT5-2_EXOC7</t>
  </si>
  <si>
    <t>Q9UPT9-2_USP22</t>
  </si>
  <si>
    <t>Q9UPU5_USP24</t>
  </si>
  <si>
    <t>Q9UPY8_MAPRE3</t>
  </si>
  <si>
    <t>Q9UPY8-2_MAPRE3</t>
  </si>
  <si>
    <t>Q9UPZ3-2_HPS5</t>
  </si>
  <si>
    <t>Q9UQ13-2_SHOC2</t>
  </si>
  <si>
    <t>Q9UQ35_SRRM2</t>
  </si>
  <si>
    <t>Q9UQ53-2_MGAT4B</t>
  </si>
  <si>
    <t>Q9UQ80_PA2G4</t>
  </si>
  <si>
    <t>Q9UQ88-4_CDK11A</t>
  </si>
  <si>
    <t>Q9UQ90_SPG7</t>
  </si>
  <si>
    <t>Q9UQB8-3_BAIAP2</t>
  </si>
  <si>
    <t>Q9UQC2-2_GAB2</t>
  </si>
  <si>
    <t>Q9UQE7_SMC3</t>
  </si>
  <si>
    <t>Q9UQL0_UBE2D4</t>
  </si>
  <si>
    <t>Q9UQQ2_SH2B3</t>
  </si>
  <si>
    <t>Q9UQR0_SCML2</t>
  </si>
  <si>
    <t>Q9UQR1_ZNF148</t>
  </si>
  <si>
    <t>Q9Y217_MTMR6</t>
  </si>
  <si>
    <t>Q9Y219_JAG2</t>
  </si>
  <si>
    <t>Q9Y223_GNE</t>
  </si>
  <si>
    <t>Q9Y224_C14orf166</t>
  </si>
  <si>
    <t>Q9Y225_RNF24</t>
  </si>
  <si>
    <t>Q9Y230_RUVBL2</t>
  </si>
  <si>
    <t>Q9Y232-2_CDYL</t>
  </si>
  <si>
    <t>Q9Y237_PIN4</t>
  </si>
  <si>
    <t>Q9Y240_CLEC11A</t>
  </si>
  <si>
    <t>Q9Y241_HIGD1A</t>
  </si>
  <si>
    <t>Q9Y244_POMP</t>
  </si>
  <si>
    <t>Q9Y248_GINS2</t>
  </si>
  <si>
    <t>Q9Y250-5_LZTS1</t>
  </si>
  <si>
    <t>Q9Y263_PLAA</t>
  </si>
  <si>
    <t>Q9Y265_RUVBL1</t>
  </si>
  <si>
    <t>Q9Y266_NUDC</t>
  </si>
  <si>
    <t>Q9Y276_BCS1L</t>
  </si>
  <si>
    <t>Q9Y277_VDAC3</t>
  </si>
  <si>
    <t>Q9Y281_CFL2</t>
  </si>
  <si>
    <t>Q9Y289_SLC5A6</t>
  </si>
  <si>
    <t>Q9Y294_ASF1A</t>
  </si>
  <si>
    <t>Q9Y295_DRG1</t>
  </si>
  <si>
    <t>Q9Y2A7_NCKAP1</t>
  </si>
  <si>
    <t>Q9Y2B0_CNPY2</t>
  </si>
  <si>
    <t>Q9Y2D8-2_SSX2IP</t>
  </si>
  <si>
    <t>Q9Y2G2-4_CARD8</t>
  </si>
  <si>
    <t>Q9Y2G3_ATP11B</t>
  </si>
  <si>
    <t>Q9Y2G5_POFUT2</t>
  </si>
  <si>
    <t>Q9Y2H0-3_DLGAP4</t>
  </si>
  <si>
    <t>Q9Y2H6-2_FNDC3A</t>
  </si>
  <si>
    <t>Q9Y2I1_NISCH</t>
  </si>
  <si>
    <t>Q9Y2I7_PIKFYVE</t>
  </si>
  <si>
    <t>Q9Y2I8_WDR37</t>
  </si>
  <si>
    <t>Q9Y2K6_USP20</t>
  </si>
  <si>
    <t>Q9Y2K7_KDM2A</t>
  </si>
  <si>
    <t>Q9Y2L1_DIS3</t>
  </si>
  <si>
    <t>Q9Y2Q3_GSTK1</t>
  </si>
  <si>
    <t>Q9Y2Q5_LAMTOR2</t>
  </si>
  <si>
    <t>Q9Y2Q9_MRPS28</t>
  </si>
  <si>
    <t>Q9Y2R0_COA3</t>
  </si>
  <si>
    <t>Q9Y2S0_POLR1D</t>
  </si>
  <si>
    <t>Q9Y2S6_TMA7</t>
  </si>
  <si>
    <t>Q9Y2S7_POLDIP2</t>
  </si>
  <si>
    <t>Q9Y2T2_AP3M1</t>
  </si>
  <si>
    <t>Q9Y2U5_MAP3K2</t>
  </si>
  <si>
    <t>Q9Y2U8_LEMD3</t>
  </si>
  <si>
    <t>Q9Y2V2_CARHSP1</t>
  </si>
  <si>
    <t>Q9Y2V7-2_COG6</t>
  </si>
  <si>
    <t>Q9Y2W1_THRAP3</t>
  </si>
  <si>
    <t>Q9Y2X3_NOP58</t>
  </si>
  <si>
    <t>Q9Y2Y1_POLR3K</t>
  </si>
  <si>
    <t>Q9Y2Z0_SUGT1</t>
  </si>
  <si>
    <t>Q9Y2Z0-2_SUGT1</t>
  </si>
  <si>
    <t>Q9Y2Z2-5_MTO1</t>
  </si>
  <si>
    <t>Q9Y2Z4_YARS2</t>
  </si>
  <si>
    <t>Q9Y2Z9-3_COQ6</t>
  </si>
  <si>
    <t>Q9Y303_AMDHD2</t>
  </si>
  <si>
    <t>Q9Y303-2_AMDHD2</t>
  </si>
  <si>
    <t>Q9Y305_ACOT9</t>
  </si>
  <si>
    <t>Q9Y314_NOSIP</t>
  </si>
  <si>
    <t>Q9Y316_MEMO1</t>
  </si>
  <si>
    <t>Q9Y320-2_TMX2</t>
  </si>
  <si>
    <t>Q9Y333_LSM2</t>
  </si>
  <si>
    <t>Q9Y371_SH3GLB1</t>
  </si>
  <si>
    <t>Q9Y375_NDUFAF1</t>
  </si>
  <si>
    <t>Q9Y376_CAB39</t>
  </si>
  <si>
    <t>Q9Y383_LUC7L2</t>
  </si>
  <si>
    <t>Q9Y385_UBE2J1</t>
  </si>
  <si>
    <t>Q9Y388_RBMX2</t>
  </si>
  <si>
    <t>Q9Y394-2_DHRS7</t>
  </si>
  <si>
    <t>Q9Y399_MRPS2</t>
  </si>
  <si>
    <t>Q9Y3A3_MOB4</t>
  </si>
  <si>
    <t>Q9Y3A5_SBDS</t>
  </si>
  <si>
    <t>Q9Y3A6_TMED5</t>
  </si>
  <si>
    <t>Q9Y3B3_TMED7</t>
  </si>
  <si>
    <t>Q9Y3B4_SF3B14</t>
  </si>
  <si>
    <t>Q9Y3B7_MRPL11</t>
  </si>
  <si>
    <t>Q9Y3B9_RRP15</t>
  </si>
  <si>
    <t>Q9Y3C1_NOP16</t>
  </si>
  <si>
    <t>Q9Y3C4-2_TPRKB</t>
  </si>
  <si>
    <t>Q9Y3C5_RNF11</t>
  </si>
  <si>
    <t>Q9Y3C6_PPIL1</t>
  </si>
  <si>
    <t>Q9Y3C8_UFC1</t>
  </si>
  <si>
    <t>Q9Y3D0_FAM96B</t>
  </si>
  <si>
    <t>Q9Y3D2_MSRB2</t>
  </si>
  <si>
    <t>Q9Y3D6_FIS1</t>
  </si>
  <si>
    <t>Q9Y3D8-2_TAF9</t>
  </si>
  <si>
    <t>Q9Y3D9_MRPS23</t>
  </si>
  <si>
    <t>Q9Y3E1_HDGFRP3</t>
  </si>
  <si>
    <t>Q9Y3E7-4_CHMP3</t>
  </si>
  <si>
    <t>Q9Y3F4_STRAP</t>
  </si>
  <si>
    <t>Q9Y3I0_C22orf28</t>
  </si>
  <si>
    <t>Q9Y3I1_FBXO7</t>
  </si>
  <si>
    <t>Q9Y3L3_SH3BP1</t>
  </si>
  <si>
    <t>Q9Y3L5_RAP2C</t>
  </si>
  <si>
    <t>Q9Y3P9_RABGAP1</t>
  </si>
  <si>
    <t>Q9Y3Q3_TMED3</t>
  </si>
  <si>
    <t>Q9Y3Q8_TSC22D4</t>
  </si>
  <si>
    <t>Q9Y3S2_ZNF330</t>
  </si>
  <si>
    <t>Q9Y3T6_R3HCC1</t>
  </si>
  <si>
    <t>Q9Y3T9_NOC2L</t>
  </si>
  <si>
    <t>Q9Y3U8_RPL36</t>
  </si>
  <si>
    <t>Q9Y3X0_CCDC9</t>
  </si>
  <si>
    <t>Q9Y3Y2-4_CHTOP</t>
  </si>
  <si>
    <t>Q9Y3Z3_SAMHD1</t>
  </si>
  <si>
    <t>Q9Y426-2_C2CD2</t>
  </si>
  <si>
    <t>Q9Y446_PKP3</t>
  </si>
  <si>
    <t>Q9Y448_KNSTRN</t>
  </si>
  <si>
    <t>Q9Y450-4_HBS1L</t>
  </si>
  <si>
    <t>Q9Y467_SALL2</t>
  </si>
  <si>
    <t>Q9Y478_PRKAB1</t>
  </si>
  <si>
    <t>Q9Y483-2_MTF2</t>
  </si>
  <si>
    <t>Q9Y487_ATP6V0A2</t>
  </si>
  <si>
    <t>Q9Y490_TLN1</t>
  </si>
  <si>
    <t>Q9Y4B6-3_VPRBP</t>
  </si>
  <si>
    <t>Q9Y4C2-2_FAM115A</t>
  </si>
  <si>
    <t>Q9Y4D7-2_PLXND1</t>
  </si>
  <si>
    <t>Q9Y4E8_USP15</t>
  </si>
  <si>
    <t>Q9Y4G6_TLN2</t>
  </si>
  <si>
    <t>Q9Y4G8_RAPGEF2</t>
  </si>
  <si>
    <t>Q9Y4K3_TRAF6</t>
  </si>
  <si>
    <t>Q9Y4K4_MAP4K5</t>
  </si>
  <si>
    <t>Q9Y4P1-6_ATG4B</t>
  </si>
  <si>
    <t>Q9Y4P8-3_WIPI2</t>
  </si>
  <si>
    <t>Q9Y4P8-4_WIPI2</t>
  </si>
  <si>
    <t>Q9Y4R8_TELO2</t>
  </si>
  <si>
    <t>Q9Y4U1_MMACHC</t>
  </si>
  <si>
    <t>Q9Y4W2-2_LAS1L</t>
  </si>
  <si>
    <t>Q9Y4W6_AFG3L2</t>
  </si>
  <si>
    <t>Q9Y4X0_AMMECR1</t>
  </si>
  <si>
    <t>Q9Y4X5_ARIH1</t>
  </si>
  <si>
    <t>Q9Y4Z0_LSM4</t>
  </si>
  <si>
    <t>Q9Y508_RNF114</t>
  </si>
  <si>
    <t>Q9Y512_SAMM50</t>
  </si>
  <si>
    <t>Q9Y546_LRRC42</t>
  </si>
  <si>
    <t>Q9Y570_PPME1</t>
  </si>
  <si>
    <t>Q9Y584_TIMM22</t>
  </si>
  <si>
    <t>Q9Y597-2_KCTD3</t>
  </si>
  <si>
    <t>Q9Y5A9_YTHDF2</t>
  </si>
  <si>
    <t>Q9Y5B0_CTDP1</t>
  </si>
  <si>
    <t>Q9Y5B6_PAXBP1</t>
  </si>
  <si>
    <t>Q9Y5B8-2_NME7</t>
  </si>
  <si>
    <t>Q9Y5B9_SUPT16H</t>
  </si>
  <si>
    <t>Q9Y5J6_TIMM10B</t>
  </si>
  <si>
    <t>Q9Y5J7_TIMM9</t>
  </si>
  <si>
    <t>Q9Y5K6_CD2AP</t>
  </si>
  <si>
    <t>Q9Y5K8_ATP6V1D</t>
  </si>
  <si>
    <t>Q9Y5L0_TNPO3</t>
  </si>
  <si>
    <t>Q9Y5L4_TIMM13</t>
  </si>
  <si>
    <t>Q9Y5M8_SRPRB</t>
  </si>
  <si>
    <t>Q9Y5N5_N6AMT1</t>
  </si>
  <si>
    <t>Q9Y5N6_ORC6</t>
  </si>
  <si>
    <t>Q9Y5P4-2_COL4A3BP</t>
  </si>
  <si>
    <t>Q9Y5P6_GMPPB</t>
  </si>
  <si>
    <t>Q9Y5Q8_GTF3C5</t>
  </si>
  <si>
    <t>Q9Y5Q9_GTF3C3</t>
  </si>
  <si>
    <t>Q9Y5R8_TRAPPC1</t>
  </si>
  <si>
    <t>Q9Y5S1_TRPV2</t>
  </si>
  <si>
    <t>Q9Y5S2_CDC42BPB</t>
  </si>
  <si>
    <t>Q9Y5S9_RBM8A</t>
  </si>
  <si>
    <t>Q9Y5T5-2_USP16</t>
  </si>
  <si>
    <t>Q9Y5U2-2_TSSC4</t>
  </si>
  <si>
    <t>Q9Y5U9_IER3IP1</t>
  </si>
  <si>
    <t>Q9Y5V0_ZNF706</t>
  </si>
  <si>
    <t>Q9Y5X1_SNX9</t>
  </si>
  <si>
    <t>Q9Y5X2_SNX8</t>
  </si>
  <si>
    <t>Q9Y5X3_SNX5</t>
  </si>
  <si>
    <t>Q9Y5Y0_FLVCR1</t>
  </si>
  <si>
    <t>Q9Y5Y2_NUBP2</t>
  </si>
  <si>
    <t>Q9Y5Z4_HEBP2</t>
  </si>
  <si>
    <t>Q9Y5Z9-2_UBIAD1</t>
  </si>
  <si>
    <t>Q9Y605_MRFAP1</t>
  </si>
  <si>
    <t>Q9Y608-4_LRRFIP2</t>
  </si>
  <si>
    <t>Q9Y613_FHOD1</t>
  </si>
  <si>
    <t>Q9Y617_PSAT1</t>
  </si>
  <si>
    <t>Q9Y619_SLC25A15</t>
  </si>
  <si>
    <t>Q9Y620_RAD54B</t>
  </si>
  <si>
    <t>Q9Y639-1_NPTN</t>
  </si>
  <si>
    <t>Q9Y646_CPQ</t>
  </si>
  <si>
    <t>Q9Y657_SPIN1</t>
  </si>
  <si>
    <t>Q9Y673_ALG5</t>
  </si>
  <si>
    <t>Q9Y676_MRPS18B</t>
  </si>
  <si>
    <t>Q9Y678_COPG1</t>
  </si>
  <si>
    <t>Q9Y679-2_AUP1</t>
  </si>
  <si>
    <t>Q9Y680-3_FKBP7</t>
  </si>
  <si>
    <t>Q9Y689-2_ARL5A</t>
  </si>
  <si>
    <t>Q9Y692-2_GMEB1</t>
  </si>
  <si>
    <t>Q9Y696_CLIC4</t>
  </si>
  <si>
    <t>Q9Y697-2_NFS1</t>
  </si>
  <si>
    <t>Q9Y6A4_C16orf80</t>
  </si>
  <si>
    <t>Q9Y6A5_TACC3</t>
  </si>
  <si>
    <t>Q9Y6B6_SAR1B</t>
  </si>
  <si>
    <t>Q9Y6B7_AP4B1</t>
  </si>
  <si>
    <t>Q9Y6C9_MTCH2</t>
  </si>
  <si>
    <t>Q9Y6D5_ARFGEF2</t>
  </si>
  <si>
    <t>Q9Y6D6_ARFGEF1</t>
  </si>
  <si>
    <t>Q9Y6D9_MAD1L1</t>
  </si>
  <si>
    <t>Q9Y6G9_DYNC1LI1</t>
  </si>
  <si>
    <t>Q9Y6H1_CHCHD2</t>
  </si>
  <si>
    <t>Q9Y6H3_XRCC6BP1</t>
  </si>
  <si>
    <t>Q9Y6I3-3_EPN1</t>
  </si>
  <si>
    <t>Q9Y6I9_TEX264</t>
  </si>
  <si>
    <t>Q9Y6J9_TAF6L</t>
  </si>
  <si>
    <t>Q9Y6K0_CEPT1</t>
  </si>
  <si>
    <t>Q9Y6K9_IKBKG</t>
  </si>
  <si>
    <t>Q9Y6M0-2_PRSS21</t>
  </si>
  <si>
    <t>Q9Y6M4-3_CSNK1G3</t>
  </si>
  <si>
    <t>Q9Y6M5_SLC30A1</t>
  </si>
  <si>
    <t>Q9Y6P5-3_SESN1</t>
  </si>
  <si>
    <t>Q9Y6Q9-2_NCOA3</t>
  </si>
  <si>
    <t>Q9Y6R0_NUMBL</t>
  </si>
  <si>
    <t>Q9Y6V7_DDX49</t>
  </si>
  <si>
    <t>Q9Y6W3_CAPN7</t>
  </si>
  <si>
    <t>Q9Y6W5_WASF2</t>
  </si>
  <si>
    <t>Q9Y6X9_MORC2</t>
  </si>
  <si>
    <t>Q9Y6Y0_IVNS1ABP</t>
  </si>
  <si>
    <t>R4GMN1_MOSPD2</t>
  </si>
  <si>
    <t>R4GMR5_PSMD8</t>
  </si>
  <si>
    <t>R4GMX3_BMI1</t>
  </si>
  <si>
    <t>R4GN33_MAPKAPK5</t>
  </si>
  <si>
    <t>R4GN55_YTHDF3</t>
  </si>
  <si>
    <t>R4GNB1_AASDH</t>
  </si>
  <si>
    <t>R4GNB2_DENND4C</t>
  </si>
  <si>
    <t>R4GND1_UBE2E3</t>
  </si>
  <si>
    <t>R4GNF5_TCP11L1</t>
  </si>
  <si>
    <t>R4GNH3_PSMC3</t>
  </si>
  <si>
    <t>R4GNJ5_ACD</t>
  </si>
  <si>
    <t>Melting_Curves/meltCurve_A0AVT1_UBA6.pdf</t>
  </si>
  <si>
    <t>Melting_Curves/meltCurve_A0FGR8_2_ESYT2.pdf</t>
  </si>
  <si>
    <t>Melting_Curves/meltCurve_A0JNW5_UHRF1BP1L.pdf</t>
  </si>
  <si>
    <t>Melting_Curves/meltCurve_A0MZ66_KIAA1598.pdf</t>
  </si>
  <si>
    <t>Melting_Curves/meltCurve_A0PJW6_TMEM223.pdf</t>
  </si>
  <si>
    <t>Melting_Curves/meltCurve_A1A5A9_KIAA0999.pdf</t>
  </si>
  <si>
    <t>Melting_Curves/meltCurve_A1L0T0_ILVBL.pdf</t>
  </si>
  <si>
    <t>Melting_Curves/meltCurve_A2A274_ACO2.pdf</t>
  </si>
  <si>
    <t>Melting_Curves/meltCurve_A2A2F0_RALGAPB.pdf</t>
  </si>
  <si>
    <t>Melting_Curves/meltCurve_A2A2G4_ALG6.pdf</t>
  </si>
  <si>
    <t>Melting_Curves/meltCurve_A2A2Q9_AAR2.pdf</t>
  </si>
  <si>
    <t>Melting_Curves/meltCurve_A2A2V1_PRNP.pdf</t>
  </si>
  <si>
    <t>Melting_Curves/meltCurve_A2A3N6_PIPSL.pdf</t>
  </si>
  <si>
    <t>Melting_Curves/meltCurve_A2RRP1_NBAS.pdf</t>
  </si>
  <si>
    <t>Melting_Curves/meltCurve_A2VDF0_2_FUOM.pdf</t>
  </si>
  <si>
    <t>Melting_Curves/meltCurve_A3KN83_3_SBNO1.pdf</t>
  </si>
  <si>
    <t>Melting_Curves/meltCurve_A4D126_ISPD.pdf</t>
  </si>
  <si>
    <t>Melting_Curves/meltCurve_A4D1E9_GTPBP10.pdf</t>
  </si>
  <si>
    <t>Melting_Curves/meltCurve_A4D212_DKFZP586J0619.pdf</t>
  </si>
  <si>
    <t>Melting_Curves/meltCurve_A4D2B0_MBLAC1.pdf</t>
  </si>
  <si>
    <t>Melting_Curves/meltCurve_A4UGR9_2_XIRP2.pdf</t>
  </si>
  <si>
    <t>Melting_Curves/meltCurve_A5YKK6_CNOT1.pdf</t>
  </si>
  <si>
    <t>Melting_Curves/meltCurve_A6NCS9_SDCCAG8.pdf</t>
  </si>
  <si>
    <t>Melting_Curves/meltCurve_A6ND22_MRPS16.pdf</t>
  </si>
  <si>
    <t>Melting_Curves/meltCurve_A6ND36_2_FAM83G.pdf</t>
  </si>
  <si>
    <t>Melting_Curves/meltCurve_A6NDB9_PALM3.pdf</t>
  </si>
  <si>
    <t>Melting_Curves/meltCurve_A6NDG6_PGP.pdf</t>
  </si>
  <si>
    <t>Melting_Curves/meltCurve_A6NDJ8_.pdf</t>
  </si>
  <si>
    <t>Melting_Curves/meltCurve_A6NDU8_C5orf51.pdf</t>
  </si>
  <si>
    <t>Melting_Curves/meltCurve_A6NED2_RCCD1.pdf</t>
  </si>
  <si>
    <t>Melting_Curves/meltCurve_A6NEM2_HCFC1.pdf</t>
  </si>
  <si>
    <t>Melting_Curves/meltCurve_A6NEM5_PIGK.pdf</t>
  </si>
  <si>
    <t>Melting_Curves/meltCurve_A6NF31_OFD1.pdf</t>
  </si>
  <si>
    <t>Melting_Curves/meltCurve_A6NF48_ZNF281.pdf</t>
  </si>
  <si>
    <t>Melting_Curves/meltCurve_A6NF51_BPNT1.pdf</t>
  </si>
  <si>
    <t>Melting_Curves/meltCurve_A6NFI3_ZNF316.pdf</t>
  </si>
  <si>
    <t>Melting_Curves/meltCurve_A6NFQ2_3_FAM115C.pdf</t>
  </si>
  <si>
    <t>Melting_Curves/meltCurve_A6NFX8_NUDT5.pdf</t>
  </si>
  <si>
    <t>Melting_Curves/meltCurve_A6NG32_CHMP1A.pdf</t>
  </si>
  <si>
    <t>Melting_Curves/meltCurve_A6NG51_SPTAN1.pdf</t>
  </si>
  <si>
    <t>Melting_Curves/meltCurve_A6NG79_PRCC.pdf</t>
  </si>
  <si>
    <t>Melting_Curves/meltCurve_A6NGB9_WIPF3.pdf</t>
  </si>
  <si>
    <t>Melting_Curves/meltCurve_A6NGH7_CCDC160.pdf</t>
  </si>
  <si>
    <t>Melting_Curves/meltCurve_A6NGP5_HN1L.pdf</t>
  </si>
  <si>
    <t>Melting_Curves/meltCurve_A6NGU5_GGT3P.pdf</t>
  </si>
  <si>
    <t>Melting_Curves/meltCurve_A6NHL2_2_TUBAL3.pdf</t>
  </si>
  <si>
    <t>Melting_Curves/meltCurve_A6NHN7_ZMYM3.pdf</t>
  </si>
  <si>
    <t>Melting_Curves/meltCurve_A6NHQ2_FBLL1.pdf</t>
  </si>
  <si>
    <t>Melting_Curves/meltCurve_A6NHR9_SMCHD1.pdf</t>
  </si>
  <si>
    <t>Melting_Curves/meltCurve_A6NIH7_UNC119B.pdf</t>
  </si>
  <si>
    <t>Melting_Curves/meltCurve_A6NIW2_DOCK11.pdf</t>
  </si>
  <si>
    <t>Melting_Curves/meltCurve_A6NIZ0_NDEL1.pdf</t>
  </si>
  <si>
    <t>Melting_Curves/meltCurve_A6NJ78_METTL15.pdf</t>
  </si>
  <si>
    <t>Melting_Curves/meltCurve_A6NJX6_CHCHD1.pdf</t>
  </si>
  <si>
    <t>Melting_Curves/meltCurve_A6NK28_MAP2K5.pdf</t>
  </si>
  <si>
    <t>Melting_Curves/meltCurve_A6NK88_CDKN1C.pdf</t>
  </si>
  <si>
    <t>Melting_Curves/meltCurve_A6NKD9_CCDC85C.pdf</t>
  </si>
  <si>
    <t>Melting_Curves/meltCurve_A6NKF9_GPR89C.pdf</t>
  </si>
  <si>
    <t>Melting_Curves/meltCurve_A6NKZ2_RENBP.pdf</t>
  </si>
  <si>
    <t>Melting_Curves/meltCurve_A6NLH6_CNIH4.pdf</t>
  </si>
  <si>
    <t>Melting_Curves/meltCurve_A6NMH6_SEPT8.pdf</t>
  </si>
  <si>
    <t>Melting_Curves/meltCurve_A6NMQ1_POLA1.pdf</t>
  </si>
  <si>
    <t>Melting_Curves/meltCurve_A6NN40_SHROOM1.pdf</t>
  </si>
  <si>
    <t>Melting_Curves/meltCurve_A6PVN5_PPP2R4.pdf</t>
  </si>
  <si>
    <t>Melting_Curves/meltCurve_A6PW58_PIP5K1A.pdf</t>
  </si>
  <si>
    <t>Melting_Curves/meltCurve_A6ZJ12_TRIM39R.pdf</t>
  </si>
  <si>
    <t>Melting_Curves/meltCurve_A6ZKI3_FAM127A.pdf</t>
  </si>
  <si>
    <t>Melting_Curves/meltCurve_A8K0B5_ZBTB8OS.pdf</t>
  </si>
  <si>
    <t>Melting_Curves/meltCurve_A8K0M9_SELK.pdf</t>
  </si>
  <si>
    <t>Melting_Curves/meltCurve_A8MPP1_DDX11L8.pdf</t>
  </si>
  <si>
    <t>Melting_Curves/meltCurve_A8MPS7_YDJC.pdf</t>
  </si>
  <si>
    <t>Melting_Curves/meltCurve_A8MRB1_S100B.pdf</t>
  </si>
  <si>
    <t>Melting_Curves/meltCurve_A8MT40_PDPR.pdf</t>
  </si>
  <si>
    <t>Melting_Curves/meltCurve_A8MTK3_POT1.pdf</t>
  </si>
  <si>
    <t>Melting_Curves/meltCurve_A8MTK4_TRAF3IP1.pdf</t>
  </si>
  <si>
    <t>Melting_Curves/meltCurve_A8MTP9_DDX52.pdf</t>
  </si>
  <si>
    <t>Melting_Curves/meltCurve_A8MTQ3_TFPT.pdf</t>
  </si>
  <si>
    <t>Melting_Curves/meltCurve_A8MTY9_DSCR3.pdf</t>
  </si>
  <si>
    <t>Melting_Curves/meltCurve_A8MTZ6_S100PBP.pdf</t>
  </si>
  <si>
    <t>Melting_Curves/meltCurve_A8MUA9_SUMO3.pdf</t>
  </si>
  <si>
    <t>Melting_Curves/meltCurve_A8MUB1_TUBA4A.pdf</t>
  </si>
  <si>
    <t>Melting_Curves/meltCurve_A8MUF7_HBE1.pdf</t>
  </si>
  <si>
    <t>Melting_Curves/meltCurve_A8MUM1_TSSC1.pdf</t>
  </si>
  <si>
    <t>Melting_Curves/meltCurve_A8MVF6_NPRL3.pdf</t>
  </si>
  <si>
    <t>Melting_Curves/meltCurve_A8MVN1_DGKZ.pdf</t>
  </si>
  <si>
    <t>Melting_Curves/meltCurve_A8MVZ6_BICD1.pdf</t>
  </si>
  <si>
    <t>Melting_Curves/meltCurve_A8MW61_PLRG1.pdf</t>
  </si>
  <si>
    <t>Melting_Curves/meltCurve_A8MWY0_KIAA1324L.pdf</t>
  </si>
  <si>
    <t>Melting_Curves/meltCurve_A8MXB9_SUMF2.pdf</t>
  </si>
  <si>
    <t>Melting_Curves/meltCurve_A8MXE8_RAI1.pdf</t>
  </si>
  <si>
    <t>Melting_Curves/meltCurve_A8MXP9_MATR3.pdf</t>
  </si>
  <si>
    <t>Melting_Curves/meltCurve_A8MXQ1_PTTG1IP.pdf</t>
  </si>
  <si>
    <t>Melting_Curves/meltCurve_A8MXV4_NUDT19.pdf</t>
  </si>
  <si>
    <t>Melting_Curves/meltCurve_A9UHW6_MIF4GD.pdf</t>
  </si>
  <si>
    <t>Melting_Curves/meltCurve_A9Z1X7_SRRM1.pdf</t>
  </si>
  <si>
    <t>Melting_Curves/meltCurve_B0FLL2_PFKFB2.pdf</t>
  </si>
  <si>
    <t>Melting_Curves/meltCurve_B0QXZ8_HMGXB4.pdf</t>
  </si>
  <si>
    <t>Melting_Curves/meltCurve_B0QY89_EIF3L.pdf</t>
  </si>
  <si>
    <t>Melting_Curves/meltCurve_B0QY95_SMCR7L.pdf</t>
  </si>
  <si>
    <t>Melting_Curves/meltCurve_B0QYI3_TBC1D22A.pdf</t>
  </si>
  <si>
    <t>Melting_Curves/meltCurve_B0QYK0_EWSR1.pdf</t>
  </si>
  <si>
    <t>Melting_Curves/meltCurve_B0QYW5_SLC25A17.pdf</t>
  </si>
  <si>
    <t>Melting_Curves/meltCurve_B0S7V7_CCHCR1.pdf</t>
  </si>
  <si>
    <t>Melting_Curves/meltCurve_B0UX83_BAG6.pdf</t>
  </si>
  <si>
    <t>Melting_Curves/meltCurve_B0UXB6_ABHD16A.pdf</t>
  </si>
  <si>
    <t>Melting_Curves/meltCurve_B0UZY3_EHMT2.pdf</t>
  </si>
  <si>
    <t>Melting_Curves/meltCurve_B0YIW2_APOC3.pdf</t>
  </si>
  <si>
    <t>Melting_Curves/meltCurve_B1AH87_TSPO.pdf</t>
  </si>
  <si>
    <t>Melting_Curves/meltCurve_B1AHD1_NHP2L1.pdf</t>
  </si>
  <si>
    <t>Melting_Curves/meltCurve_B1AJY7_PSMD10.pdf</t>
  </si>
  <si>
    <t>Melting_Curves/meltCurve_B1AK13_HMGCL.pdf</t>
  </si>
  <si>
    <t>Melting_Curves/meltCurve_B1AKD8_CROCC.pdf</t>
  </si>
  <si>
    <t>Melting_Curves/meltCurve_B1AKJ5_NRD1.pdf</t>
  </si>
  <si>
    <t>Melting_Curves/meltCurve_B1AKJ6_OSBPL9.pdf</t>
  </si>
  <si>
    <t>Melting_Curves/meltCurve_B1AKL4_EIF4ENIF1.pdf</t>
  </si>
  <si>
    <t>Melting_Curves/meltCurve_B1AL69_CDC37L1.pdf</t>
  </si>
  <si>
    <t>Melting_Curves/meltCurve_B1ALM5_TMEM9.pdf</t>
  </si>
  <si>
    <t>Melting_Curves/meltCurve_B1AMF0_UBE2J2.pdf</t>
  </si>
  <si>
    <t>Melting_Curves/meltCurve_B1AMS2_SEPT6.pdf</t>
  </si>
  <si>
    <t>Melting_Curves/meltCurve_B1AMU7_EXOSC1.pdf</t>
  </si>
  <si>
    <t>Melting_Curves/meltCurve_B1AMW1_CD58.pdf</t>
  </si>
  <si>
    <t>Melting_Curves/meltCurve_B1AN99_PRSS3.pdf</t>
  </si>
  <si>
    <t>Melting_Curves/meltCurve_B1ANH0_GUK1.pdf</t>
  </si>
  <si>
    <t>Melting_Curves/meltCurve_B1APM4_SOAT1.pdf</t>
  </si>
  <si>
    <t>Melting_Curves/meltCurve_B1AQ61_UBE4B.pdf</t>
  </si>
  <si>
    <t>Melting_Curves/meltCurve_B1AQP1_USF1.pdf</t>
  </si>
  <si>
    <t>Melting_Curves/meltCurve_B1AVQ5_MUC1.pdf</t>
  </si>
  <si>
    <t>Melting_Curves/meltCurve_B1B1H9_FGF13.pdf</t>
  </si>
  <si>
    <t>Melting_Curves/meltCurve_B2WTI3_JMJD6.pdf</t>
  </si>
  <si>
    <t>Melting_Curves/meltCurve_B3KPJ4_PHC2.pdf</t>
  </si>
  <si>
    <t>Melting_Curves/meltCurve_B3KQ25_PSME3.pdf</t>
  </si>
  <si>
    <t>Melting_Curves/meltCurve_B3KQC5_MAN1B1.pdf</t>
  </si>
  <si>
    <t>Melting_Curves/meltCurve_B3KS98_EIF3S3.pdf</t>
  </si>
  <si>
    <t>Melting_Curves/meltCurve_B3KSH1_EIF3F.pdf</t>
  </si>
  <si>
    <t>Melting_Curves/meltCurve_B3KSI9_LZTFL1.pdf</t>
  </si>
  <si>
    <t>Melting_Curves/meltCurve_B3KTR6_MXRA8.pdf</t>
  </si>
  <si>
    <t>Melting_Curves/meltCurve_B3KUK2_SOD2.pdf</t>
  </si>
  <si>
    <t>Melting_Curves/meltCurve_B3KVH8_PHF23.pdf</t>
  </si>
  <si>
    <t>Melting_Curves/meltCurve_B3KWN8_PYROXD1.pdf</t>
  </si>
  <si>
    <t>Melting_Curves/meltCurve_B3KXX3_SLC12A6.pdf</t>
  </si>
  <si>
    <t>Melting_Curves/meltCurve_B3KY83_RXRA.pdf</t>
  </si>
  <si>
    <t>Melting_Curves/meltCurve_B3V0L1_ARL6IP4.pdf</t>
  </si>
  <si>
    <t>Melting_Curves/meltCurve_B4DDF4_CNN2.pdf</t>
  </si>
  <si>
    <t>Melting_Curves/meltCurve_B4DDR8_MED24.pdf</t>
  </si>
  <si>
    <t>Melting_Curves/meltCurve_B4DDY8_HARS2.pdf</t>
  </si>
  <si>
    <t>Melting_Curves/meltCurve_B4DE11_SLC35A2.pdf</t>
  </si>
  <si>
    <t>Melting_Curves/meltCurve_B4DE16_CTNNBL1.pdf</t>
  </si>
  <si>
    <t>Melting_Curves/meltCurve_B4DE92_TBC1D25.pdf</t>
  </si>
  <si>
    <t>Melting_Curves/meltCurve_B4DEX5_PRNPIP.pdf</t>
  </si>
  <si>
    <t>Melting_Curves/meltCurve_B4DEZ3_NDUFA13.pdf</t>
  </si>
  <si>
    <t>Melting_Curves/meltCurve_B4DF64_HAUS3.pdf</t>
  </si>
  <si>
    <t>Melting_Curves/meltCurve_B4DFF2_SLC17A5.pdf</t>
  </si>
  <si>
    <t>Melting_Curves/meltCurve_B4DFI9_HUS1.pdf</t>
  </si>
  <si>
    <t>Melting_Curves/meltCurve_B4DFQ4_COMMD1.pdf</t>
  </si>
  <si>
    <t>Melting_Curves/meltCurve_B4DFR2_DYNLRB1.pdf</t>
  </si>
  <si>
    <t>Melting_Curves/meltCurve_B4DGM3_SMARCE1.pdf</t>
  </si>
  <si>
    <t>Melting_Curves/meltCurve_B4DGU4_CTNNB1.pdf</t>
  </si>
  <si>
    <t>Melting_Curves/meltCurve_B4DGX2_PIP4K2A.pdf</t>
  </si>
  <si>
    <t>Melting_Curves/meltCurve_B4DH26_DCUN1D4.pdf</t>
  </si>
  <si>
    <t>Melting_Curves/meltCurve_B4DH53_MAP1S.pdf</t>
  </si>
  <si>
    <t>Melting_Curves/meltCurve_B4DH70_FBXW11.pdf</t>
  </si>
  <si>
    <t>Melting_Curves/meltCurve_B4DHW1_TMEM165.pdf</t>
  </si>
  <si>
    <t>Melting_Curves/meltCurve_B4DHX2_AGTPBP1.pdf</t>
  </si>
  <si>
    <t>Melting_Curves/meltCurve_B4DIG7_PIP5K1B.pdf</t>
  </si>
  <si>
    <t>Melting_Curves/meltCurve_B4DJA5_RAB5A.pdf</t>
  </si>
  <si>
    <t>Melting_Curves/meltCurve_B4DJP7_SNRPD3.pdf</t>
  </si>
  <si>
    <t>Melting_Curves/meltCurve_B4DJV2_CS.pdf</t>
  </si>
  <si>
    <t>Melting_Curves/meltCurve_B4DK80_TOP3A.pdf</t>
  </si>
  <si>
    <t>Melting_Curves/meltCurve_B4DKB2_ECE1.pdf</t>
  </si>
  <si>
    <t>Melting_Curves/meltCurve_B4DKF9_ZNF286A.pdf</t>
  </si>
  <si>
    <t>Melting_Curves/meltCurve_B4DKL4_LSR.pdf</t>
  </si>
  <si>
    <t>Melting_Curves/meltCurve_B4DL54_CHURC1_FNTB.pdf</t>
  </si>
  <si>
    <t>Melting_Curves/meltCurve_B4DL79_KIF20A.pdf</t>
  </si>
  <si>
    <t>Melting_Curves/meltCurve_B4DLH2_C2orf18.pdf</t>
  </si>
  <si>
    <t>Melting_Curves/meltCurve_B4DLN1_SLC25A10.pdf</t>
  </si>
  <si>
    <t>Melting_Curves/meltCurve_B4DLR8_NQO1.pdf</t>
  </si>
  <si>
    <t>Melting_Curves/meltCurve_B4DLT4_RPS6KB1.pdf</t>
  </si>
  <si>
    <t>Melting_Curves/meltCurve_B4DLZ9_RNF220.pdf</t>
  </si>
  <si>
    <t>Melting_Curves/meltCurve_B4DMU4_FAM45A.pdf</t>
  </si>
  <si>
    <t>Melting_Curves/meltCurve_B4DMX0_KDSR.pdf</t>
  </si>
  <si>
    <t>Melting_Curves/meltCurve_B4DN34_MRPL48.pdf</t>
  </si>
  <si>
    <t>Melting_Curves/meltCurve_B4DNX9_ZNF460.pdf</t>
  </si>
  <si>
    <t>Melting_Curves/meltCurve_B4DP21_PTGES3.pdf</t>
  </si>
  <si>
    <t>Melting_Curves/meltCurve_B4DPY5_SNX11.pdf</t>
  </si>
  <si>
    <t>Melting_Curves/meltCurve_B4DPY8_TOX4.pdf</t>
  </si>
  <si>
    <t>Melting_Curves/meltCurve_B4DQJ8_PGD.pdf</t>
  </si>
  <si>
    <t>Melting_Curves/meltCurve_B4DR52_HIST2H2BF.pdf</t>
  </si>
  <si>
    <t>Melting_Curves/meltCurve_B4DR61_SEC61A1.pdf</t>
  </si>
  <si>
    <t>Melting_Curves/meltCurve_B4DR80_STK24.pdf</t>
  </si>
  <si>
    <t>Melting_Curves/meltCurve_B4DRC4_ASB6.pdf</t>
  </si>
  <si>
    <t>Melting_Curves/meltCurve_B4DRL9_CHM.pdf</t>
  </si>
  <si>
    <t>Melting_Curves/meltCurve_B4DRS7_SH2D3A.pdf</t>
  </si>
  <si>
    <t>Melting_Curves/meltCurve_B4DSD4_C9orf41.pdf</t>
  </si>
  <si>
    <t>Melting_Curves/meltCurve_B4DSF9_AGPAT4.pdf</t>
  </si>
  <si>
    <t>Melting_Curves/meltCurve_B4DSS5_KIAA0513.pdf</t>
  </si>
  <si>
    <t>Melting_Curves/meltCurve_B4DSS8_PTBP2.pdf</t>
  </si>
  <si>
    <t>Melting_Curves/meltCurve_B4DT55_WDR41.pdf</t>
  </si>
  <si>
    <t>Melting_Curves/meltCurve_B4DT77_ANXA7.pdf</t>
  </si>
  <si>
    <t>Melting_Curves/meltCurve_B4DTA3_SLC25A46.pdf</t>
  </si>
  <si>
    <t>Melting_Curves/meltCurve_B4DTU4_LIG1.pdf</t>
  </si>
  <si>
    <t>Melting_Curves/meltCurve_B4DUE9_SERINC3.pdf</t>
  </si>
  <si>
    <t>Melting_Curves/meltCurve_B4DUS9_BPNT1.pdf</t>
  </si>
  <si>
    <t>Melting_Curves/meltCurve_B4DVE7_ANXA11.pdf</t>
  </si>
  <si>
    <t>Melting_Curves/meltCurve_B4DVT3_VWA9.pdf</t>
  </si>
  <si>
    <t>Melting_Curves/meltCurve_B4DVY1_EIF3D.pdf</t>
  </si>
  <si>
    <t>Melting_Curves/meltCurve_B4DVZ6_FOXO3.pdf</t>
  </si>
  <si>
    <t>Melting_Curves/meltCurve_B4DWI1_HACL1.pdf</t>
  </si>
  <si>
    <t>Melting_Curves/meltCurve_B4DXK0_DBF4.pdf</t>
  </si>
  <si>
    <t>Melting_Curves/meltCurve_B4DXZ6_FXR1.pdf</t>
  </si>
  <si>
    <t>Melting_Curves/meltCurve_B4DY13_GTPBP4.pdf</t>
  </si>
  <si>
    <t>Melting_Curves/meltCurve_B4DY26_TGFBR1.pdf</t>
  </si>
  <si>
    <t>Melting_Curves/meltCurve_B4DYB4_NUP35.pdf</t>
  </si>
  <si>
    <t>Melting_Curves/meltCurve_B4DZG7_ARL1.pdf</t>
  </si>
  <si>
    <t>Melting_Curves/meltCurve_B4DZH6_HDAC6.pdf</t>
  </si>
  <si>
    <t>Melting_Curves/meltCurve_B4E0E3_TMEM134.pdf</t>
  </si>
  <si>
    <t>Melting_Curves/meltCurve_B4E0T2_PEX5.pdf</t>
  </si>
  <si>
    <t>Melting_Curves/meltCurve_B4E0T7_LRCH3.pdf</t>
  </si>
  <si>
    <t>Melting_Curves/meltCurve_B4E0V0_PNPO.pdf</t>
  </si>
  <si>
    <t>Melting_Curves/meltCurve_B4E107_ATE1.pdf</t>
  </si>
  <si>
    <t>Melting_Curves/meltCurve_B4E1J0_PBXIP1.pdf</t>
  </si>
  <si>
    <t>Melting_Curves/meltCurve_B4E1M0_MSANTD2.pdf</t>
  </si>
  <si>
    <t>Melting_Curves/meltCurve_B4E1Q4_RIOK3.pdf</t>
  </si>
  <si>
    <t>Melting_Curves/meltCurve_B4E241_SFRS3.pdf</t>
  </si>
  <si>
    <t>Melting_Curves/meltCurve_B4E2B6_PUM2.pdf</t>
  </si>
  <si>
    <t>Melting_Curves/meltCurve_B4E2V5_STOM.pdf</t>
  </si>
  <si>
    <t>Melting_Curves/meltCurve_B4E2W0_HADHB.pdf</t>
  </si>
  <si>
    <t>Melting_Curves/meltCurve_B4E2X3_METTL13.pdf</t>
  </si>
  <si>
    <t>Melting_Curves/meltCurve_B5MBW9_CHCHD10.pdf</t>
  </si>
  <si>
    <t>Melting_Curves/meltCurve_B5MBX0_CDCA5.pdf</t>
  </si>
  <si>
    <t>Melting_Curves/meltCurve_B5MBX5_LBH.pdf</t>
  </si>
  <si>
    <t>Melting_Curves/meltCurve_B5MCA4_EPCAM.pdf</t>
  </si>
  <si>
    <t>Melting_Curves/meltCurve_B5MCF9_PES1.pdf</t>
  </si>
  <si>
    <t>Melting_Curves/meltCurve_B5MCN7_NCOA1.pdf</t>
  </si>
  <si>
    <t>Melting_Curves/meltCurve_B5MD58_SREBF1.pdf</t>
  </si>
  <si>
    <t>Melting_Curves/meltCurve_B5MDE0_RFT1.pdf</t>
  </si>
  <si>
    <t>Melting_Curves/meltCurve_B5MDF5_RAN.pdf</t>
  </si>
  <si>
    <t>Melting_Curves/meltCurve_B5MDU6_C2orf43.pdf</t>
  </si>
  <si>
    <t>Melting_Curves/meltCurve_B5ME25_METTL8.pdf</t>
  </si>
  <si>
    <t>Melting_Curves/meltCurve_B7WNQ9_GATA1.pdf</t>
  </si>
  <si>
    <t>Melting_Curves/meltCurve_B7WP27_CWC22.pdf</t>
  </si>
  <si>
    <t>Melting_Curves/meltCurve_B7WPE2_EML3.pdf</t>
  </si>
  <si>
    <t>Melting_Curves/meltCurve_B7WPG3_HNRPLL.pdf</t>
  </si>
  <si>
    <t>Melting_Curves/meltCurve_B7WPL0_RIC8B.pdf</t>
  </si>
  <si>
    <t>Melting_Curves/meltCurve_B7Z254_PDIA6.pdf</t>
  </si>
  <si>
    <t>Melting_Curves/meltCurve_B7Z2B2_MFSD8.pdf</t>
  </si>
  <si>
    <t>Melting_Curves/meltCurve_B7Z2Y5_RPS6KA5.pdf</t>
  </si>
  <si>
    <t>Melting_Curves/meltCurve_B7Z3I9_ALAD.pdf</t>
  </si>
  <si>
    <t>Melting_Curves/meltCurve_B7Z3P1_TBCE.pdf</t>
  </si>
  <si>
    <t>Melting_Curves/meltCurve_B7Z3R2_TPCN1.pdf</t>
  </si>
  <si>
    <t>Melting_Curves/meltCurve_B7Z4K6_DNASE2.pdf</t>
  </si>
  <si>
    <t>Melting_Curves/meltCurve_B7Z4R0_ERF.pdf</t>
  </si>
  <si>
    <t>Melting_Curves/meltCurve_B7Z4W5_CCBL1.pdf</t>
  </si>
  <si>
    <t>Melting_Curves/meltCurve_B7Z589_SLC6A9.pdf</t>
  </si>
  <si>
    <t>Melting_Curves/meltCurve_B7Z5G4_STMN3.pdf</t>
  </si>
  <si>
    <t>Melting_Curves/meltCurve_B7Z5W1_F11R.pdf</t>
  </si>
  <si>
    <t>Melting_Curves/meltCurve_B7Z637_ARMC8.pdf</t>
  </si>
  <si>
    <t>Melting_Curves/meltCurve_B7Z6B8_DECR1.pdf</t>
  </si>
  <si>
    <t>Melting_Curves/meltCurve_B7Z7F3_RANBP3.pdf</t>
  </si>
  <si>
    <t>Melting_Curves/meltCurve_B7Z7J3_AMN1.pdf</t>
  </si>
  <si>
    <t>Melting_Curves/meltCurve_B7Z815_USP7.pdf</t>
  </si>
  <si>
    <t>Melting_Curves/meltCurve_B7Z817_DHCR24.pdf</t>
  </si>
  <si>
    <t>Melting_Curves/meltCurve_B7Z8H2_TRDMT1.pdf</t>
  </si>
  <si>
    <t>Melting_Curves/meltCurve_B7Z9C6_SH3PXD2A.pdf</t>
  </si>
  <si>
    <t>Melting_Curves/meltCurve_B7Z9I3_ATP6AP2.pdf</t>
  </si>
  <si>
    <t>Melting_Curves/meltCurve_B7ZC38_SH3GLB2.pdf</t>
  </si>
  <si>
    <t>Melting_Curves/meltCurve_B7ZKK9_PPP2R5E.pdf</t>
  </si>
  <si>
    <t>Melting_Curves/meltCurve_B7ZKQ9_SCARB1.pdf</t>
  </si>
  <si>
    <t>Melting_Curves/meltCurve_B7ZKW8_RCSD1.pdf</t>
  </si>
  <si>
    <t>Melting_Curves/meltCurve_B7ZL88_COX18.pdf</t>
  </si>
  <si>
    <t>Melting_Curves/meltCurve_B7ZLP8_TARSL2.pdf</t>
  </si>
  <si>
    <t>Melting_Curves/meltCurve_B7ZLZ2_EDEM3.pdf</t>
  </si>
  <si>
    <t>Melting_Curves/meltCurve_B8X2Z3_RLTPR.pdf</t>
  </si>
  <si>
    <t>Melting_Curves/meltCurve_B8ZZD4_TAX1BP1.pdf</t>
  </si>
  <si>
    <t>Melting_Curves/meltCurve_B8ZZN6_SUMO1.pdf</t>
  </si>
  <si>
    <t>Melting_Curves/meltCurve_B8ZZQ6_PTMA.pdf</t>
  </si>
  <si>
    <t>Melting_Curves/meltCurve_B8ZZT9_SNX13.pdf</t>
  </si>
  <si>
    <t>Melting_Curves/meltCurve_B8ZZU6_ATF2.pdf</t>
  </si>
  <si>
    <t>Melting_Curves/meltCurve_B8ZZY2_AGFG1.pdf</t>
  </si>
  <si>
    <t>Melting_Curves/meltCurve_B9A018_USP39.pdf</t>
  </si>
  <si>
    <t>Melting_Curves/meltCurve_B9A054_RHBDD1.pdf</t>
  </si>
  <si>
    <t>Melting_Curves/meltCurve_B9ZVM7_ICA1.pdf</t>
  </si>
  <si>
    <t>Melting_Curves/meltCurve_C0H5Y7_BAK1.pdf</t>
  </si>
  <si>
    <t>Melting_Curves/meltCurve_C4AMC7_WASH3P.pdf</t>
  </si>
  <si>
    <t>Melting_Curves/meltCurve_C4B7M2_SPG11.pdf</t>
  </si>
  <si>
    <t>Melting_Curves/meltCurve_C6GKU9_MED30S.pdf</t>
  </si>
  <si>
    <t>Melting_Curves/meltCurve_C9IY40_MRPL2.pdf</t>
  </si>
  <si>
    <t>Melting_Curves/meltCurve_C9IYZ1_ASNSD1.pdf</t>
  </si>
  <si>
    <t>Melting_Curves/meltCurve_C9J0A7_CHMP2B.pdf</t>
  </si>
  <si>
    <t>Melting_Curves/meltCurve_C9J0I9_ZC3HC1.pdf</t>
  </si>
  <si>
    <t>Melting_Curves/meltCurve_C9J0K6_SRI.pdf</t>
  </si>
  <si>
    <t>Melting_Curves/meltCurve_C9J1X0_WDR91.pdf</t>
  </si>
  <si>
    <t>Melting_Curves/meltCurve_C9J1X3_TNK2.pdf</t>
  </si>
  <si>
    <t>Melting_Curves/meltCurve_C9J212_UBE2F.pdf</t>
  </si>
  <si>
    <t>Melting_Curves/meltCurve_C9J2P0_UBE2E1.pdf</t>
  </si>
  <si>
    <t>Melting_Curves/meltCurve_C9J2P9_CBLL1.pdf</t>
  </si>
  <si>
    <t>Melting_Curves/meltCurve_C9J2U4_TAMM41.pdf</t>
  </si>
  <si>
    <t>Melting_Curves/meltCurve_C9J2V2_IKBKG.pdf</t>
  </si>
  <si>
    <t>Melting_Curves/meltCurve_C9J2Y9_POLR2B.pdf</t>
  </si>
  <si>
    <t>Melting_Curves/meltCurve_C9J3M4_MOSPD3.pdf</t>
  </si>
  <si>
    <t>Melting_Curves/meltCurve_C9J406_IMMT.pdf</t>
  </si>
  <si>
    <t>Melting_Curves/meltCurve_C9J470_NCAPH.pdf</t>
  </si>
  <si>
    <t>Melting_Curves/meltCurve_C9J494_MKRN2.pdf</t>
  </si>
  <si>
    <t>Melting_Curves/meltCurve_C9J4K5_DONSON.pdf</t>
  </si>
  <si>
    <t>Melting_Curves/meltCurve_C9J4Z0_SLC22A23.pdf</t>
  </si>
  <si>
    <t>Melting_Curves/meltCurve_C9J4Z3_RPL37A.pdf</t>
  </si>
  <si>
    <t>Melting_Curves/meltCurve_C9J5C3_PDCD10.pdf</t>
  </si>
  <si>
    <t>Melting_Curves/meltCurve_C9J5J4_LIN9.pdf</t>
  </si>
  <si>
    <t>Melting_Curves/meltCurve_C9J5N1_PTGES3L_AARSD1.pdf</t>
  </si>
  <si>
    <t>Melting_Curves/meltCurve_C9J5X1_IGF1R.pdf</t>
  </si>
  <si>
    <t>Melting_Curves/meltCurve_C9J6W2_KIF20B.pdf</t>
  </si>
  <si>
    <t>Melting_Curves/meltCurve_C9J719_EBP.pdf</t>
  </si>
  <si>
    <t>Melting_Curves/meltCurve_C9J7E8_MKLN1.pdf</t>
  </si>
  <si>
    <t>Melting_Curves/meltCurve_C9J7H8_LDHB.pdf</t>
  </si>
  <si>
    <t>Melting_Curves/meltCurve_C9J7K9_PLSCR1.pdf</t>
  </si>
  <si>
    <t>Melting_Curves/meltCurve_C9J7Z4_TSEN2.pdf</t>
  </si>
  <si>
    <t>Melting_Curves/meltCurve_C9J815_APOBR.pdf</t>
  </si>
  <si>
    <t>Melting_Curves/meltCurve_C9J8B8_HDAC10.pdf</t>
  </si>
  <si>
    <t>Melting_Curves/meltCurve_C9J8Q5_ALDH5A1.pdf</t>
  </si>
  <si>
    <t>Melting_Curves/meltCurve_C9J929_PHF15.pdf</t>
  </si>
  <si>
    <t>Melting_Curves/meltCurve_C9J9K3_RPSA.pdf</t>
  </si>
  <si>
    <t>Melting_Curves/meltCurve_C9JA08_NMD3.pdf</t>
  </si>
  <si>
    <t>Melting_Curves/meltCurve_C9JA28_SSR3.pdf</t>
  </si>
  <si>
    <t>Melting_Curves/meltCurve_C9JAB2_SRSF7.pdf</t>
  </si>
  <si>
    <t>Melting_Curves/meltCurve_C9JAB9_NCK1.pdf</t>
  </si>
  <si>
    <t>Melting_Curves/meltCurve_C9JAX1_FXN.pdf</t>
  </si>
  <si>
    <t>Melting_Curves/meltCurve_C9JB13_BSDC1.pdf</t>
  </si>
  <si>
    <t>Melting_Curves/meltCurve_C9JBB3_TFPI.pdf</t>
  </si>
  <si>
    <t>Melting_Curves/meltCurve_C9JBG5_SIDT2.pdf</t>
  </si>
  <si>
    <t>Melting_Curves/meltCurve_C9JBL1_SPCS1.pdf</t>
  </si>
  <si>
    <t>Melting_Curves/meltCurve_C9JC99_TANGO2.pdf</t>
  </si>
  <si>
    <t>Melting_Curves/meltCurve_C9JCC6_DRAP1.pdf</t>
  </si>
  <si>
    <t>Melting_Curves/meltCurve_C9JDG0_DIAPH3.pdf</t>
  </si>
  <si>
    <t>Melting_Curves/meltCurve_C9JE12_TMUB1.pdf</t>
  </si>
  <si>
    <t>Melting_Curves/meltCurve_C9JE98_NCOR2.pdf</t>
  </si>
  <si>
    <t>Melting_Curves/meltCurve_C9JEL3_EIF4E2.pdf</t>
  </si>
  <si>
    <t>Melting_Curves/meltCurve_C9JFB2_YIPF1.pdf</t>
  </si>
  <si>
    <t>Melting_Curves/meltCurve_C9JFE4_GPS1.pdf</t>
  </si>
  <si>
    <t>Melting_Curves/meltCurve_C9JFR7_CYCS.pdf</t>
  </si>
  <si>
    <t>Melting_Curves/meltCurve_C9JG41_ITM2C.pdf</t>
  </si>
  <si>
    <t>Melting_Curves/meltCurve_C9JG63_SPRED2.pdf</t>
  </si>
  <si>
    <t>Melting_Curves/meltCurve_C9JG97_AAMP.pdf</t>
  </si>
  <si>
    <t>Melting_Curves/meltCurve_C9JGD4_GALNT10.pdf</t>
  </si>
  <si>
    <t>Melting_Curves/meltCurve_C9JIF9_APEH.pdf</t>
  </si>
  <si>
    <t>Melting_Curves/meltCurve_C9JIZ6_PSAP.pdf</t>
  </si>
  <si>
    <t>Melting_Curves/meltCurve_C9JJN9_VPS8.pdf</t>
  </si>
  <si>
    <t>Melting_Curves/meltCurve_C9JJV6_MYADM.pdf</t>
  </si>
  <si>
    <t>Melting_Curves/meltCurve_C9JKC7_C7orf49.pdf</t>
  </si>
  <si>
    <t>Melting_Curves/meltCurve_C9JKQ2_NDUFB3.pdf</t>
  </si>
  <si>
    <t>Melting_Curves/meltCurve_C9JKQ7_GART.pdf</t>
  </si>
  <si>
    <t>Melting_Curves/meltCurve_C9JLU1_POLR2H.pdf</t>
  </si>
  <si>
    <t>Melting_Curves/meltCurve_C9JLV4_APAF1.pdf</t>
  </si>
  <si>
    <t>Melting_Curves/meltCurve_C9JNE2_OARD1.pdf</t>
  </si>
  <si>
    <t>Melting_Curves/meltCurve_C9JP00_MBNL1.pdf</t>
  </si>
  <si>
    <t>Melting_Curves/meltCurve_C9JP16_CRTAP.pdf</t>
  </si>
  <si>
    <t>Melting_Curves/meltCurve_C9JPL0_CCNL1.pdf</t>
  </si>
  <si>
    <t>Melting_Curves/meltCurve_C9JPP2_NKIRAS2.pdf</t>
  </si>
  <si>
    <t>Melting_Curves/meltCurve_C9JQ41_CCDC58.pdf</t>
  </si>
  <si>
    <t>Melting_Curves/meltCurve_C9JQB1_NME6.pdf</t>
  </si>
  <si>
    <t>Melting_Curves/meltCurve_C9JQV3_STK11IP.pdf</t>
  </si>
  <si>
    <t>Melting_Curves/meltCurve_C9JR56_SATB2.pdf</t>
  </si>
  <si>
    <t>Melting_Curves/meltCurve_C9JRY4_SEC22A.pdf</t>
  </si>
  <si>
    <t>Melting_Curves/meltCurve_C9JRZ6_CHCHD3.pdf</t>
  </si>
  <si>
    <t>Melting_Curves/meltCurve_C9JSG1_DPP8.pdf</t>
  </si>
  <si>
    <t>Melting_Curves/meltCurve_C9JTX5_ACTB.pdf</t>
  </si>
  <si>
    <t>Melting_Curves/meltCurve_C9JUP7_VCP.pdf</t>
  </si>
  <si>
    <t>Melting_Curves/meltCurve_C9JV08_IFNAR1.pdf</t>
  </si>
  <si>
    <t>Melting_Curves/meltCurve_C9JV54_TTC32.pdf</t>
  </si>
  <si>
    <t>Melting_Curves/meltCurve_C9JVP0_FOXJ3.pdf</t>
  </si>
  <si>
    <t>Melting_Curves/meltCurve_C9JVW0_PRR24.pdf</t>
  </si>
  <si>
    <t>Melting_Curves/meltCurve_C9JXA7_LAMTOR4.pdf</t>
  </si>
  <si>
    <t>Melting_Curves/meltCurve_C9JXB8_RPL24.pdf</t>
  </si>
  <si>
    <t>Melting_Curves/meltCurve_C9JY06_NUDT22.pdf</t>
  </si>
  <si>
    <t>Melting_Curves/meltCurve_C9JYD0_PCGF3.pdf</t>
  </si>
  <si>
    <t>Melting_Curves/meltCurve_C9JYK5_BAG1.pdf</t>
  </si>
  <si>
    <t>Melting_Curves/meltCurve_C9JYN0_SYPL1.pdf</t>
  </si>
  <si>
    <t>Melting_Curves/meltCurve_C9JZB0_INPP5K.pdf</t>
  </si>
  <si>
    <t>Melting_Curves/meltCurve_C9JZG2_GART.pdf</t>
  </si>
  <si>
    <t>Melting_Curves/meltCurve_C9JZR4_ARFGAP3.pdf</t>
  </si>
  <si>
    <t>Melting_Curves/meltCurve_C9JZY6_UBE2H.pdf</t>
  </si>
  <si>
    <t>Melting_Curves/meltCurve_C9K0X5_SNUPN.pdf</t>
  </si>
  <si>
    <t>Melting_Curves/meltCurve_D3DPN2_SDC3.pdf</t>
  </si>
  <si>
    <t>Melting_Curves/meltCurve_D3DTZ5_SUPT4H1.pdf</t>
  </si>
  <si>
    <t>Melting_Curves/meltCurve_D3DWC4_TMEM23.pdf</t>
  </si>
  <si>
    <t>Melting_Curves/meltCurve_D3YTB1_RPL32.pdf</t>
  </si>
  <si>
    <t>Melting_Curves/meltCurve_D3YTB5_IRAK1.pdf</t>
  </si>
  <si>
    <t>Melting_Curves/meltCurve_D3YTG6_NDOR1.pdf</t>
  </si>
  <si>
    <t>Melting_Curves/meltCurve_D3YTI9_TAPBP.pdf</t>
  </si>
  <si>
    <t>Melting_Curves/meltCurve_D6R9P3_HNRNPAB.pdf</t>
  </si>
  <si>
    <t>Melting_Curves/meltCurve_D6R9U7_POLR3G.pdf</t>
  </si>
  <si>
    <t>Melting_Curves/meltCurve_D6R9Z7_COX7C.pdf</t>
  </si>
  <si>
    <t>Melting_Curves/meltCurve_D6RAM3_DOK3.pdf</t>
  </si>
  <si>
    <t>Melting_Curves/meltCurve_D6RAR3_TMEM161B.pdf</t>
  </si>
  <si>
    <t>Melting_Curves/meltCurve_D6RBC9_NMU.pdf</t>
  </si>
  <si>
    <t>Melting_Curves/meltCurve_D6RBS5_ELMOD2.pdf</t>
  </si>
  <si>
    <t>Melting_Curves/meltCurve_D6RBW1_EIF4E.pdf</t>
  </si>
  <si>
    <t>Melting_Curves/meltCurve_D6RCD0_HSD17B11.pdf</t>
  </si>
  <si>
    <t>Melting_Curves/meltCurve_D6RCQ0_EEF1E1.pdf</t>
  </si>
  <si>
    <t>Melting_Curves/meltCurve_D6RCQ8_PGM3.pdf</t>
  </si>
  <si>
    <t>Melting_Curves/meltCurve_D6RD25_PRELID1.pdf</t>
  </si>
  <si>
    <t>Melting_Curves/meltCurve_D6RDW9_IL2RG.pdf</t>
  </si>
  <si>
    <t>Melting_Curves/meltCurve_D6REA0_PET112.pdf</t>
  </si>
  <si>
    <t>Melting_Curves/meltCurve_D6REK2_TRIM41.pdf</t>
  </si>
  <si>
    <t>Melting_Curves/meltCurve_D6REL0_CDC42SE2.pdf</t>
  </si>
  <si>
    <t>Melting_Curves/meltCurve_D6REL5_FAM175A.pdf</t>
  </si>
  <si>
    <t>Melting_Curves/meltCurve_D6REM4_CSNK1A1.pdf</t>
  </si>
  <si>
    <t>Melting_Curves/meltCurve_D6REX3_SEC31A.pdf</t>
  </si>
  <si>
    <t>Melting_Curves/meltCurve_D6REX9_CEP120.pdf</t>
  </si>
  <si>
    <t>Melting_Curves/meltCurve_D6RF48_STX18.pdf</t>
  </si>
  <si>
    <t>Melting_Curves/meltCurve_D6RFG8_DCK.pdf</t>
  </si>
  <si>
    <t>Melting_Curves/meltCurve_D6RFH4_CYB5B.pdf</t>
  </si>
  <si>
    <t>Melting_Curves/meltCurve_D6RGI3_SEPT11.pdf</t>
  </si>
  <si>
    <t>Melting_Curves/meltCurve_D6RGJ7_SLC9B2.pdf</t>
  </si>
  <si>
    <t>Melting_Curves/meltCurve_D6RGK9_CNOT6L.pdf</t>
  </si>
  <si>
    <t>Melting_Curves/meltCurve_D6RHD3_CENPK.pdf</t>
  </si>
  <si>
    <t>Melting_Curves/meltCurve_D6RHI7_CCNH.pdf</t>
  </si>
  <si>
    <t>Melting_Curves/meltCurve_D6RHI9_RNASET2.pdf</t>
  </si>
  <si>
    <t>Melting_Curves/meltCurve_D6RIE3_COX7A2.pdf</t>
  </si>
  <si>
    <t>Melting_Curves/meltCurve_D6RIU2_CLDND1.pdf</t>
  </si>
  <si>
    <t>Melting_Curves/meltCurve_D6RIZ4_MFSD10.pdf</t>
  </si>
  <si>
    <t>Melting_Curves/meltCurve_D6RJ07_ZNF346.pdf</t>
  </si>
  <si>
    <t>Melting_Curves/meltCurve_D6RJ90_COMMD10.pdf</t>
  </si>
  <si>
    <t>Melting_Curves/meltCurve_E2QRD0_VWA8.pdf</t>
  </si>
  <si>
    <t>Melting_Curves/meltCurve_E2QRF9_GMNN.pdf</t>
  </si>
  <si>
    <t>Melting_Curves/meltCurve_E5RFJ1_NSMCE2.pdf</t>
  </si>
  <si>
    <t>Melting_Curves/meltCurve_E5RG13_IMPA1.pdf</t>
  </si>
  <si>
    <t>Melting_Curves/meltCurve_E5RG17_TATDN1.pdf</t>
  </si>
  <si>
    <t>Melting_Curves/meltCurve_E5RGQ3_RWDD1.pdf</t>
  </si>
  <si>
    <t>Melting_Curves/meltCurve_E5RGT6_FCHSD1.pdf</t>
  </si>
  <si>
    <t>Melting_Curves/meltCurve_E5RGX5_STMN2.pdf</t>
  </si>
  <si>
    <t>Melting_Curves/meltCurve_E5RGY0_DERL1.pdf</t>
  </si>
  <si>
    <t>Melting_Curves/meltCurve_E5RH36_IDO1.pdf</t>
  </si>
  <si>
    <t>Melting_Curves/meltCurve_E5RHC1_PPP2CB.pdf</t>
  </si>
  <si>
    <t>Melting_Curves/meltCurve_E5RHG8_TCEB1.pdf</t>
  </si>
  <si>
    <t>Melting_Curves/meltCurve_E5RHG9_UQCRB.pdf</t>
  </si>
  <si>
    <t>Melting_Curves/meltCurve_E5RHT1_PSEN2.pdf</t>
  </si>
  <si>
    <t>Melting_Curves/meltCurve_E5RHV2_ANKRD46.pdf</t>
  </si>
  <si>
    <t>Melting_Curves/meltCurve_E5RHW0_TMEM66.pdf</t>
  </si>
  <si>
    <t>Melting_Curves/meltCurve_E5RI99_RPL30.pdf</t>
  </si>
  <si>
    <t>Melting_Curves/meltCurve_E5RIA0_SORBS3.pdf</t>
  </si>
  <si>
    <t>Melting_Curves/meltCurve_E5RIH5_TTI2.pdf</t>
  </si>
  <si>
    <t>Melting_Curves/meltCurve_E5RIJ0_POLB.pdf</t>
  </si>
  <si>
    <t>Melting_Curves/meltCurve_E5RIY0_TMEM55A.pdf</t>
  </si>
  <si>
    <t>Melting_Curves/meltCurve_E5RJ08_CHCHD7.pdf</t>
  </si>
  <si>
    <t>Melting_Curves/meltCurve_E5RJ86_ARMC1.pdf</t>
  </si>
  <si>
    <t>Melting_Curves/meltCurve_E5RJ99_ZFAND1.pdf</t>
  </si>
  <si>
    <t>Melting_Curves/meltCurve_E5RJI7_MRPL13.pdf</t>
  </si>
  <si>
    <t>Melting_Curves/meltCurve_E5RJR5_SKP1.pdf</t>
  </si>
  <si>
    <t>Melting_Curves/meltCurve_E5RJY1_NDRG1.pdf</t>
  </si>
  <si>
    <t>Melting_Curves/meltCurve_E5RK82_CETN3.pdf</t>
  </si>
  <si>
    <t>Melting_Curves/meltCurve_E7EM50_PIGG.pdf</t>
  </si>
  <si>
    <t>Melting_Curves/meltCurve_E7EM64_COPS6.pdf</t>
  </si>
  <si>
    <t>Melting_Curves/meltCurve_E7EM95_RNF5.pdf</t>
  </si>
  <si>
    <t>Melting_Curves/meltCurve_E7EMA9_ATHL1.pdf</t>
  </si>
  <si>
    <t>Melting_Curves/meltCurve_E7EMB6_DNPEP.pdf</t>
  </si>
  <si>
    <t>Melting_Curves/meltCurve_E7EMD6_AKAP10.pdf</t>
  </si>
  <si>
    <t>Melting_Curves/meltCurve_E7EMM4_ASAH1.pdf</t>
  </si>
  <si>
    <t>Melting_Curves/meltCurve_E7EMX7_RAI14.pdf</t>
  </si>
  <si>
    <t>Melting_Curves/meltCurve_E7EN32_MEN1.pdf</t>
  </si>
  <si>
    <t>Melting_Curves/meltCurve_E7EN73_KIAA0319L.pdf</t>
  </si>
  <si>
    <t>Melting_Curves/meltCurve_E7EN86_ZNF143.pdf</t>
  </si>
  <si>
    <t>Melting_Curves/meltCurve_E7ENA9_NCSTN.pdf</t>
  </si>
  <si>
    <t>Melting_Curves/meltCurve_E7ENK0_CALCOCO2.pdf</t>
  </si>
  <si>
    <t>Melting_Curves/meltCurve_E7ENN3_SYNE1.pdf</t>
  </si>
  <si>
    <t>Melting_Curves/meltCurve_E7ENU4_ADAR.pdf</t>
  </si>
  <si>
    <t>Melting_Curves/meltCurve_E7EPB3_RPL14.pdf</t>
  </si>
  <si>
    <t>Melting_Curves/meltCurve_E7EPD0_TOM1.pdf</t>
  </si>
  <si>
    <t>Melting_Curves/meltCurve_E7EPF0_ZCCHC17.pdf</t>
  </si>
  <si>
    <t>Melting_Curves/meltCurve_E7EPL4_PDXDC1.pdf</t>
  </si>
  <si>
    <t>Melting_Curves/meltCurve_E7EPN9_PRRC2C.pdf</t>
  </si>
  <si>
    <t>Melting_Curves/meltCurve_E7EPP7_STXBP4.pdf</t>
  </si>
  <si>
    <t>Melting_Curves/meltCurve_E7EPT4_NDUFV2.pdf</t>
  </si>
  <si>
    <t>Melting_Curves/meltCurve_E7EPV7_SNCA.pdf</t>
  </si>
  <si>
    <t>Melting_Curves/meltCurve_E7EPW5_ST7.pdf</t>
  </si>
  <si>
    <t>Melting_Curves/meltCurve_E7EPY1_TNIP1.pdf</t>
  </si>
  <si>
    <t>Melting_Curves/meltCurve_E7EQ29_GLB1.pdf</t>
  </si>
  <si>
    <t>Melting_Curves/meltCurve_E7EQ69_NAA50.pdf</t>
  </si>
  <si>
    <t>Melting_Curves/meltCurve_E7EQI7_KIAA0196.pdf</t>
  </si>
  <si>
    <t>Melting_Curves/meltCurve_E7EQN6_SENP6.pdf</t>
  </si>
  <si>
    <t>Melting_Curves/meltCurve_E7EQR8_YIPF3.pdf</t>
  </si>
  <si>
    <t>Melting_Curves/meltCurve_E7EQS5_DMD.pdf</t>
  </si>
  <si>
    <t>Melting_Curves/meltCurve_E7EQT4_ACIN1.pdf</t>
  </si>
  <si>
    <t>Melting_Curves/meltCurve_E7EQV9_RPL15.pdf</t>
  </si>
  <si>
    <t>Melting_Curves/meltCurve_E7ER68_FAM91A1.pdf</t>
  </si>
  <si>
    <t>Melting_Curves/meltCurve_E7ER77_ERMP1.pdf</t>
  </si>
  <si>
    <t>Melting_Curves/meltCurve_E7ERB7_GMIP.pdf</t>
  </si>
  <si>
    <t>Melting_Curves/meltCurve_E7ERC6_ATP2C1.pdf</t>
  </si>
  <si>
    <t>Melting_Curves/meltCurve_E7ERL6_MAST2.pdf</t>
  </si>
  <si>
    <t>Melting_Curves/meltCurve_E7ERS3_ZC3H18.pdf</t>
  </si>
  <si>
    <t>Melting_Curves/meltCurve_E7ERW0_VGLL4.pdf</t>
  </si>
  <si>
    <t>Melting_Curves/meltCurve_E7ES43_HSPA4L.pdf</t>
  </si>
  <si>
    <t>Melting_Curves/meltCurve_E7ES96_PSEN1.pdf</t>
  </si>
  <si>
    <t>Melting_Curves/meltCurve_E7ESC6_XPO7.pdf</t>
  </si>
  <si>
    <t>Melting_Curves/meltCurve_E7ESD2_FAM21A.pdf</t>
  </si>
  <si>
    <t>Melting_Curves/meltCurve_E7ESU4_NAT10.pdf</t>
  </si>
  <si>
    <t>Melting_Curves/meltCurve_E7ESU7_CTBP1.pdf</t>
  </si>
  <si>
    <t>Melting_Curves/meltCurve_E7ESZ7_NDUFA10.pdf</t>
  </si>
  <si>
    <t>Melting_Curves/meltCurve_E7ET15_U2SURP.pdf</t>
  </si>
  <si>
    <t>Melting_Curves/meltCurve_E7ET49_DAGLB.pdf</t>
  </si>
  <si>
    <t>Melting_Curves/meltCurve_E7ET55_ATP7B.pdf</t>
  </si>
  <si>
    <t>Melting_Curves/meltCurve_E7ETK0_RPS24.pdf</t>
  </si>
  <si>
    <t>Melting_Curves/meltCurve_E7ETY4_MARK2.pdf</t>
  </si>
  <si>
    <t>Melting_Curves/meltCurve_E7ETZ4_BZW2.pdf</t>
  </si>
  <si>
    <t>Melting_Curves/meltCurve_E7EU19_RAD54L2.pdf</t>
  </si>
  <si>
    <t>Melting_Curves/meltCurve_E7EU23_GDI2.pdf</t>
  </si>
  <si>
    <t>Melting_Curves/meltCurve_E7EU24_CBFA2T3.pdf</t>
  </si>
  <si>
    <t>Melting_Curves/meltCurve_E7EU96_CSNK2A1.pdf</t>
  </si>
  <si>
    <t>Melting_Curves/meltCurve_E7EUC7_UGP2.pdf</t>
  </si>
  <si>
    <t>Melting_Curves/meltCurve_E7EUH9_NCAPG2.pdf</t>
  </si>
  <si>
    <t>Melting_Curves/meltCurve_E7EUL7_SSFA2.pdf</t>
  </si>
  <si>
    <t>Melting_Curves/meltCurve_E7EUM5_NUP54.pdf</t>
  </si>
  <si>
    <t>Melting_Curves/meltCurve_E7EUN2_AGAP1.pdf</t>
  </si>
  <si>
    <t>Melting_Curves/meltCurve_E7EUY3_PCCB.pdf</t>
  </si>
  <si>
    <t>Melting_Curves/meltCurve_E7EUY5_SSBP1.pdf</t>
  </si>
  <si>
    <t>Melting_Curves/meltCurve_E7EV43_RWDD4.pdf</t>
  </si>
  <si>
    <t>Melting_Curves/meltCurve_E7EV46_PGBD3.pdf</t>
  </si>
  <si>
    <t>Melting_Curves/meltCurve_E7EV56_PCM1.pdf</t>
  </si>
  <si>
    <t>Melting_Curves/meltCurve_E7EV99_ADD1.pdf</t>
  </si>
  <si>
    <t>Melting_Curves/meltCurve_E7EVA0_MAP4.pdf</t>
  </si>
  <si>
    <t>Melting_Curves/meltCurve_E7EVC7_ATG16L1.pdf</t>
  </si>
  <si>
    <t>Melting_Curves/meltCurve_E7EVH9_HDHD1.pdf</t>
  </si>
  <si>
    <t>Melting_Curves/meltCurve_E7EVJ3_NDST1.pdf</t>
  </si>
  <si>
    <t>Melting_Curves/meltCurve_E7EVK2_MTG1.pdf</t>
  </si>
  <si>
    <t>Melting_Curves/meltCurve_E7EVM2_TAL1.pdf</t>
  </si>
  <si>
    <t>Melting_Curves/meltCurve_E7EVZ2_YWHAZ.pdf</t>
  </si>
  <si>
    <t>Melting_Curves/meltCurve_E7EW05_SDAD1.pdf</t>
  </si>
  <si>
    <t>Melting_Curves/meltCurve_E7EW20_MYO6.pdf</t>
  </si>
  <si>
    <t>Melting_Curves/meltCurve_E7EW32_MON1B.pdf</t>
  </si>
  <si>
    <t>Melting_Curves/meltCurve_E7EWM3_ZMIZ2.pdf</t>
  </si>
  <si>
    <t>Melting_Curves/meltCurve_E7EWP0_NDUFB5.pdf</t>
  </si>
  <si>
    <t>Melting_Curves/meltCurve_E7EWQ5_MAST4.pdf</t>
  </si>
  <si>
    <t>Melting_Curves/meltCurve_E7EX17_EIF4B.pdf</t>
  </si>
  <si>
    <t>Melting_Curves/meltCurve_E7EX73_EIF4G1.pdf</t>
  </si>
  <si>
    <t>Melting_Curves/meltCurve_E7EX90_DCTN1.pdf</t>
  </si>
  <si>
    <t>Melting_Curves/meltCurve_E9PAK5_DENND4B.pdf</t>
  </si>
  <si>
    <t>Melting_Curves/meltCurve_E9PAL9_NT5DC2.pdf</t>
  </si>
  <si>
    <t>Melting_Curves/meltCurve_E9PAU2_RAVER1.pdf</t>
  </si>
  <si>
    <t>Melting_Curves/meltCurve_E9PB14_PDHX.pdf</t>
  </si>
  <si>
    <t>Melting_Curves/meltCurve_E9PB61_ALYREF.pdf</t>
  </si>
  <si>
    <t>Melting_Curves/meltCurve_E9PC15_AGK.pdf</t>
  </si>
  <si>
    <t>Melting_Curves/meltCurve_E9PC26_BUB1.pdf</t>
  </si>
  <si>
    <t>Melting_Curves/meltCurve_E9PC28_PTPRC.pdf</t>
  </si>
  <si>
    <t>Melting_Curves/meltCurve_E9PC52_RBBP7.pdf</t>
  </si>
  <si>
    <t>Melting_Curves/meltCurve_E9PC74_EIF2B5.pdf</t>
  </si>
  <si>
    <t>Melting_Curves/meltCurve_E9PCH4_FNIP1.pdf</t>
  </si>
  <si>
    <t>Melting_Curves/meltCurve_E9PCS8_MTA3.pdf</t>
  </si>
  <si>
    <t>Melting_Curves/meltCurve_E9PCW1_GOSR1.pdf</t>
  </si>
  <si>
    <t>Melting_Curves/meltCurve_E9PCY7_HNRNPH1.pdf</t>
  </si>
  <si>
    <t>Melting_Curves/meltCurve_E9PD50_SMG7.pdf</t>
  </si>
  <si>
    <t>Melting_Curves/meltCurve_E9PD56_PXK.pdf</t>
  </si>
  <si>
    <t>Melting_Curves/meltCurve_E9PD90_CKAP2.pdf</t>
  </si>
  <si>
    <t>Melting_Curves/meltCurve_E9PDE4_CAST.pdf</t>
  </si>
  <si>
    <t>Melting_Curves/meltCurve_E9PDK2_UNKL.pdf</t>
  </si>
  <si>
    <t>Melting_Curves/meltCurve_E9PDQ5_ARHGEF7.pdf</t>
  </si>
  <si>
    <t>Melting_Curves/meltCurve_E9PE19_BPTF.pdf</t>
  </si>
  <si>
    <t>Melting_Curves/meltCurve_E9PE47_SLC2A13.pdf</t>
  </si>
  <si>
    <t>Melting_Curves/meltCurve_E9PEE8_ITGB6.pdf</t>
  </si>
  <si>
    <t>Melting_Curves/meltCurve_E9PEN8_XPO7.pdf</t>
  </si>
  <si>
    <t>Melting_Curves/meltCurve_E9PER1_DIP2A.pdf</t>
  </si>
  <si>
    <t>Melting_Curves/meltCurve_E9PER6_PDPK1.pdf</t>
  </si>
  <si>
    <t>Melting_Curves/meltCurve_E9PEZ3_DIAPH1.pdf</t>
  </si>
  <si>
    <t>Melting_Curves/meltCurve_E9PF10_NUP155.pdf</t>
  </si>
  <si>
    <t>Melting_Curves/meltCurve_E9PF18_HADH.pdf</t>
  </si>
  <si>
    <t>Melting_Curves/meltCurve_E9PF19_TBL2.pdf</t>
  </si>
  <si>
    <t>Melting_Curves/meltCurve_E9PF74_SLC25A19.pdf</t>
  </si>
  <si>
    <t>Melting_Curves/meltCurve_E9PFH7_MAPK8IP3.pdf</t>
  </si>
  <si>
    <t>Melting_Curves/meltCurve_E9PFK9_RABGEF1.pdf</t>
  </si>
  <si>
    <t>Melting_Curves/meltCurve_E9PFR3_PPP2R5D.pdf</t>
  </si>
  <si>
    <t>Melting_Curves/meltCurve_E9PFZ1_C3orf38.pdf</t>
  </si>
  <si>
    <t>Melting_Curves/meltCurve_E9PG22_CEP97.pdf</t>
  </si>
  <si>
    <t>Melting_Curves/meltCurve_E9PGC1_SLC4A7.pdf</t>
  </si>
  <si>
    <t>Melting_Curves/meltCurve_E9PGQ0_SLC25A44.pdf</t>
  </si>
  <si>
    <t>Melting_Curves/meltCurve_E9PGT1_TSN.pdf</t>
  </si>
  <si>
    <t>Melting_Curves/meltCurve_E9PGT3_RPS6KA1.pdf</t>
  </si>
  <si>
    <t>Melting_Curves/meltCurve_E9PGT6_COPS8.pdf</t>
  </si>
  <si>
    <t>Melting_Curves/meltCurve_E9PGW7_MED22.pdf</t>
  </si>
  <si>
    <t>Melting_Curves/meltCurve_E9PH29_PRDX3.pdf</t>
  </si>
  <si>
    <t>Melting_Curves/meltCurve_E9PH64_NDUFB9.pdf</t>
  </si>
  <si>
    <t>Melting_Curves/meltCurve_E9PH99_ZNF451.pdf</t>
  </si>
  <si>
    <t>Melting_Curves/meltCurve_E9PHF7_MCCC1.pdf</t>
  </si>
  <si>
    <t>Melting_Curves/meltCurve_E9PHG5_CYP20A1.pdf</t>
  </si>
  <si>
    <t>Melting_Curves/meltCurve_E9PHM2_LARS2.pdf</t>
  </si>
  <si>
    <t>Melting_Curves/meltCurve_E9PI60_BRPF3.pdf</t>
  </si>
  <si>
    <t>Melting_Curves/meltCurve_E9PIB9_GLI1.pdf</t>
  </si>
  <si>
    <t>Melting_Curves/meltCurve_E9PIE4_MTCH2.pdf</t>
  </si>
  <si>
    <t>Melting_Curves/meltCurve_E9PIR7_TXNRD1.pdf</t>
  </si>
  <si>
    <t>Melting_Curves/meltCurve_E9PJ64_PDE4DIP.pdf</t>
  </si>
  <si>
    <t>Melting_Curves/meltCurve_E9PJ81_UBXN1.pdf</t>
  </si>
  <si>
    <t>Melting_Curves/meltCurve_E9PJB8_VIMP.pdf</t>
  </si>
  <si>
    <t>Melting_Curves/meltCurve_E9PJD7_CYHR1.pdf</t>
  </si>
  <si>
    <t>Melting_Curves/meltCurve_E9PJF5_BRMS1.pdf</t>
  </si>
  <si>
    <t>Melting_Curves/meltCurve_E9PJH1_MKNK1.pdf</t>
  </si>
  <si>
    <t>Melting_Curves/meltCurve_E9PJK1_CD81.pdf</t>
  </si>
  <si>
    <t>Melting_Curves/meltCurve_E9PJM3_FBXO3.pdf</t>
  </si>
  <si>
    <t>Melting_Curves/meltCurve_E9PK01_EEF1D.pdf</t>
  </si>
  <si>
    <t>Melting_Curves/meltCurve_E9PK91_BCLAF1.pdf</t>
  </si>
  <si>
    <t>Melting_Curves/meltCurve_E9PKA7_RCE1.pdf</t>
  </si>
  <si>
    <t>Melting_Curves/meltCurve_E9PKE9_RNF121.pdf</t>
  </si>
  <si>
    <t>Melting_Curves/meltCurve_E9PKF3_ACAT1.pdf</t>
  </si>
  <si>
    <t>Melting_Curves/meltCurve_E9PKG1_PRMT1.pdf</t>
  </si>
  <si>
    <t>Melting_Curves/meltCurve_E9PKP7_UBTF.pdf</t>
  </si>
  <si>
    <t>Melting_Curves/meltCurve_E9PKT4_TMEM123.pdf</t>
  </si>
  <si>
    <t>Melting_Curves/meltCurve_E9PKV2_MRPL17.pdf</t>
  </si>
  <si>
    <t>Melting_Curves/meltCurve_E9PKV8_TTC9C.pdf</t>
  </si>
  <si>
    <t>Melting_Curves/meltCurve_E9PKZ0_RPL8.pdf</t>
  </si>
  <si>
    <t>Melting_Curves/meltCurve_E9PL01_SPCS2.pdf</t>
  </si>
  <si>
    <t>Melting_Curves/meltCurve_E9PL17_CLP1.pdf</t>
  </si>
  <si>
    <t>Melting_Curves/meltCurve_E9PL22_HYOU1.pdf</t>
  </si>
  <si>
    <t>Melting_Curves/meltCurve_E9PL33_EI24.pdf</t>
  </si>
  <si>
    <t>Melting_Curves/meltCurve_E9PL57_NEDD8_MDP1.pdf</t>
  </si>
  <si>
    <t>Melting_Curves/meltCurve_E9PL69_RRM1.pdf</t>
  </si>
  <si>
    <t>Melting_Curves/meltCurve_E9PLD3_.pdf</t>
  </si>
  <si>
    <t>Melting_Curves/meltCurve_E9PLJ2_CHIA.pdf</t>
  </si>
  <si>
    <t>Melting_Curves/meltCurve_E9PLK3_NPEPPS.pdf</t>
  </si>
  <si>
    <t>Melting_Curves/meltCurve_E9PLL6_RPL27A.pdf</t>
  </si>
  <si>
    <t>Melting_Curves/meltCurve_E9PLX2_RNF141.pdf</t>
  </si>
  <si>
    <t>Melting_Curves/meltCurve_E9PLY5_MACF1.pdf</t>
  </si>
  <si>
    <t>Melting_Curves/meltCurve_E9PM19_TYK2.pdf</t>
  </si>
  <si>
    <t>Melting_Curves/meltCurve_E9PM46_USP47.pdf</t>
  </si>
  <si>
    <t>Melting_Curves/meltCurve_E9PM92_C11orf58.pdf</t>
  </si>
  <si>
    <t>Melting_Curves/meltCurve_E9PMJ2_FAM118B.pdf</t>
  </si>
  <si>
    <t>Melting_Curves/meltCurve_E9PMQ6_HSF1.pdf</t>
  </si>
  <si>
    <t>Melting_Curves/meltCurve_E9PMR4_CD151.pdf</t>
  </si>
  <si>
    <t>Melting_Curves/meltCurve_E9PMS3_PEX16.pdf</t>
  </si>
  <si>
    <t>Melting_Curves/meltCurve_E9PMY4_IFRD1.pdf</t>
  </si>
  <si>
    <t>Melting_Curves/meltCurve_E9PN89_HSPA8.pdf</t>
  </si>
  <si>
    <t>Melting_Curves/meltCurve_E9PND3_EBAG9.pdf</t>
  </si>
  <si>
    <t>Melting_Curves/meltCurve_E9PNK6_TPD52L1.pdf</t>
  </si>
  <si>
    <t>Melting_Curves/meltCurve_E9PNN3_PTS.pdf</t>
  </si>
  <si>
    <t>Melting_Curves/meltCurve_E9PNP3_AAMDC.pdf</t>
  </si>
  <si>
    <t>Melting_Curves/meltCurve_E9PNT2_ARHGAP27.pdf</t>
  </si>
  <si>
    <t>Melting_Curves/meltCurve_E9PNW4_CD59.pdf</t>
  </si>
  <si>
    <t>Melting_Curves/meltCurve_E9PPJ5_MDK.pdf</t>
  </si>
  <si>
    <t>Melting_Curves/meltCurve_E9PPM8_DERA.pdf</t>
  </si>
  <si>
    <t>Melting_Curves/meltCurve_E9PPZ9_GPAA1.pdf</t>
  </si>
  <si>
    <t>Melting_Curves/meltCurve_E9PQ59_NFRKB.pdf</t>
  </si>
  <si>
    <t>Melting_Curves/meltCurve_E9PQ62_VWA5B1.pdf</t>
  </si>
  <si>
    <t>Melting_Curves/meltCurve_E9PQN5_PPP2R5B.pdf</t>
  </si>
  <si>
    <t>Melting_Curves/meltCurve_E9PQY3_ACP2.pdf</t>
  </si>
  <si>
    <t>Melting_Curves/meltCurve_E9PR25_NEU3.pdf</t>
  </si>
  <si>
    <t>Melting_Curves/meltCurve_E9PR30_FAU.pdf</t>
  </si>
  <si>
    <t>Melting_Curves/meltCurve_E9PR76_MAF1.pdf</t>
  </si>
  <si>
    <t>Melting_Curves/meltCurve_E9PRA1_TATDN3.pdf</t>
  </si>
  <si>
    <t>Melting_Curves/meltCurve_E9PRR8_EIF1AD.pdf</t>
  </si>
  <si>
    <t>Melting_Curves/meltCurve_E9PRY8_EEF1D.pdf</t>
  </si>
  <si>
    <t>Melting_Curves/meltCurve_E9PS00_FADS3.pdf</t>
  </si>
  <si>
    <t>Melting_Curves/meltCurve_E9PS17_SCYL1.pdf</t>
  </si>
  <si>
    <t>Melting_Curves/meltCurve_E9PS38_NEDD8_MDP1.pdf</t>
  </si>
  <si>
    <t>Melting_Curves/meltCurve_E9PSI1_TM9SF1.pdf</t>
  </si>
  <si>
    <t>Melting_Curves/meltCurve_F2Z2I2_PFKFB3.pdf</t>
  </si>
  <si>
    <t>Melting_Curves/meltCurve_F2Z2Q4_TRMT11.pdf</t>
  </si>
  <si>
    <t>Melting_Curves/meltCurve_F2Z2U8_MYH14.pdf</t>
  </si>
  <si>
    <t>Melting_Curves/meltCurve_F2Z2V0_CPNE1.pdf</t>
  </si>
  <si>
    <t>Melting_Curves/meltCurve_F2Z2W7_TRMT2A.pdf</t>
  </si>
  <si>
    <t>Melting_Curves/meltCurve_F2Z2X4_XPO4.pdf</t>
  </si>
  <si>
    <t>Melting_Curves/meltCurve_F5GWD3_GTF2H3.pdf</t>
  </si>
  <si>
    <t>Melting_Curves/meltCurve_F5GWI4_ADA.pdf</t>
  </si>
  <si>
    <t>Melting_Curves/meltCurve_F5GWI9_CCDC53.pdf</t>
  </si>
  <si>
    <t>Melting_Curves/meltCurve_F5GWP8_JUP.pdf</t>
  </si>
  <si>
    <t>Melting_Curves/meltCurve_F5GWT4_WNK1.pdf</t>
  </si>
  <si>
    <t>Melting_Curves/meltCurve_F5GWU7_SMAD5.pdf</t>
  </si>
  <si>
    <t>Melting_Curves/meltCurve_F5GWX5_CHD4.pdf</t>
  </si>
  <si>
    <t>Melting_Curves/meltCurve_F5GX09_FAM76B.pdf</t>
  </si>
  <si>
    <t>Melting_Curves/meltCurve_F5GX68_DNMT1.pdf</t>
  </si>
  <si>
    <t>Melting_Curves/meltCurve_F5GX82_FRYL.pdf</t>
  </si>
  <si>
    <t>Melting_Curves/meltCurve_F5GX85_TRIM3.pdf</t>
  </si>
  <si>
    <t>Melting_Curves/meltCurve_F5GXC3_TRAPPC13.pdf</t>
  </si>
  <si>
    <t>Melting_Curves/meltCurve_F5GXC8_SUCLA2.pdf</t>
  </si>
  <si>
    <t>Melting_Curves/meltCurve_F5GXF9_AFF1.pdf</t>
  </si>
  <si>
    <t>Melting_Curves/meltCurve_F5GXK8_DNAJB11.pdf</t>
  </si>
  <si>
    <t>Melting_Curves/meltCurve_F5GXX5_DAD1.pdf</t>
  </si>
  <si>
    <t>Melting_Curves/meltCurve_F5GXY5_SASS6.pdf</t>
  </si>
  <si>
    <t>Melting_Curves/meltCurve_F5GY92_GPBP1.pdf</t>
  </si>
  <si>
    <t>Melting_Curves/meltCurve_F5GY99_GALNT1.pdf</t>
  </si>
  <si>
    <t>Melting_Curves/meltCurve_F5GYC1_ABCD3.pdf</t>
  </si>
  <si>
    <t>Melting_Curves/meltCurve_F5GYC2_MAP7D2.pdf</t>
  </si>
  <si>
    <t>Melting_Curves/meltCurve_F5GYJ5_.pdf</t>
  </si>
  <si>
    <t>Melting_Curves/meltCurve_F5GYN4_OTUB1.pdf</t>
  </si>
  <si>
    <t>Melting_Curves/meltCurve_F5GYQ1_ATP6V0D1.pdf</t>
  </si>
  <si>
    <t>Melting_Curves/meltCurve_F5GYS8_MEIS1.pdf</t>
  </si>
  <si>
    <t>Melting_Curves/meltCurve_F5GZ90_DTL.pdf</t>
  </si>
  <si>
    <t>Melting_Curves/meltCurve_F5GZG1_RAP1B.pdf</t>
  </si>
  <si>
    <t>Melting_Curves/meltCurve_F5GZP3_TRIM59.pdf</t>
  </si>
  <si>
    <t>Melting_Curves/meltCurve_F5GZS0_DHX36.pdf</t>
  </si>
  <si>
    <t>Melting_Curves/meltCurve_F5GZS6_SLC3A2.pdf</t>
  </si>
  <si>
    <t>Melting_Curves/meltCurve_F5GZW3_ARHGAP4.pdf</t>
  </si>
  <si>
    <t>Melting_Curves/meltCurve_F5GZX9_FAM120B.pdf</t>
  </si>
  <si>
    <t>Melting_Curves/meltCurve_F5GZZ0_ALKBH2.pdf</t>
  </si>
  <si>
    <t>Melting_Curves/meltCurve_F5H012_TRIM21.pdf</t>
  </si>
  <si>
    <t>Melting_Curves/meltCurve_F5H070_KDM3A.pdf</t>
  </si>
  <si>
    <t>Melting_Curves/meltCurve_F5H0F9_ANAPC5.pdf</t>
  </si>
  <si>
    <t>Melting_Curves/meltCurve_F5H0I3_SOX5.pdf</t>
  </si>
  <si>
    <t>Melting_Curves/meltCurve_F5H0K8_KSR1.pdf</t>
  </si>
  <si>
    <t>Melting_Curves/meltCurve_F5H0L8_SEC23IP.pdf</t>
  </si>
  <si>
    <t>Melting_Curves/meltCurve_F5H0Q6_CLASRP.pdf</t>
  </si>
  <si>
    <t>Melting_Curves/meltCurve_F5H0R1_TUT1.pdf</t>
  </si>
  <si>
    <t>Melting_Curves/meltCurve_F5H0U5_GLTP.pdf</t>
  </si>
  <si>
    <t>Melting_Curves/meltCurve_F5H148_RRN3.pdf</t>
  </si>
  <si>
    <t>Melting_Curves/meltCurve_F5H149_CCDC180.pdf</t>
  </si>
  <si>
    <t>Melting_Curves/meltCurve_F5H1G9_ABI1.pdf</t>
  </si>
  <si>
    <t>Melting_Curves/meltCurve_F5H1L4_TXNRD2.pdf</t>
  </si>
  <si>
    <t>Melting_Curves/meltCurve_F5H1X8_LRBA.pdf</t>
  </si>
  <si>
    <t>Melting_Curves/meltCurve_F5H1Y0_RAD51AP1.pdf</t>
  </si>
  <si>
    <t>Melting_Curves/meltCurve_F5H254_TMEM135.pdf</t>
  </si>
  <si>
    <t>Melting_Curves/meltCurve_F5H2B0_PIK3C2A.pdf</t>
  </si>
  <si>
    <t>Melting_Curves/meltCurve_F5H2H5_ANKLE2.pdf</t>
  </si>
  <si>
    <t>Melting_Curves/meltCurve_F5H2J3_VMP1.pdf</t>
  </si>
  <si>
    <t>Melting_Curves/meltCurve_F5H2Q7_KIAA1715.pdf</t>
  </si>
  <si>
    <t>Melting_Curves/meltCurve_F5H2S7_DCTN2.pdf</t>
  </si>
  <si>
    <t>Melting_Curves/meltCurve_F5H2U2_PRPF4B.pdf</t>
  </si>
  <si>
    <t>Melting_Curves/meltCurve_F5H2X7_CIZ1.pdf</t>
  </si>
  <si>
    <t>Melting_Curves/meltCurve_F5H315_XAB2.pdf</t>
  </si>
  <si>
    <t>Melting_Curves/meltCurve_F5H365_SEC23A.pdf</t>
  </si>
  <si>
    <t>Melting_Curves/meltCurve_F5H3J3_CHST10.pdf</t>
  </si>
  <si>
    <t>Melting_Curves/meltCurve_F5H3S6_TOM1L2.pdf</t>
  </si>
  <si>
    <t>Melting_Curves/meltCurve_F5H433_SALL2.pdf</t>
  </si>
  <si>
    <t>Melting_Curves/meltCurve_F5H442_TSG101.pdf</t>
  </si>
  <si>
    <t>Melting_Curves/meltCurve_F5H450_FZD10.pdf</t>
  </si>
  <si>
    <t>Melting_Curves/meltCurve_F5H492_RAD9A.pdf</t>
  </si>
  <si>
    <t>Melting_Curves/meltCurve_F5H4B1_PRAME.pdf</t>
  </si>
  <si>
    <t>Melting_Curves/meltCurve_F5H4G7_KPNA6.pdf</t>
  </si>
  <si>
    <t>Melting_Curves/meltCurve_F5H4I2_RNF115.pdf</t>
  </si>
  <si>
    <t>Melting_Curves/meltCurve_F5H4N4_PXMP2.pdf</t>
  </si>
  <si>
    <t>Melting_Curves/meltCurve_F5H4Q5_VPS37C.pdf</t>
  </si>
  <si>
    <t>Melting_Curves/meltCurve_F5H4R0_EVI5.pdf</t>
  </si>
  <si>
    <t>Melting_Curves/meltCurve_F5H4S8_NFATC1.pdf</t>
  </si>
  <si>
    <t>Melting_Curves/meltCurve_F5H4V9_PDCD2.pdf</t>
  </si>
  <si>
    <t>Melting_Curves/meltCurve_F5H4Z3_PSMF1.pdf</t>
  </si>
  <si>
    <t>Melting_Curves/meltCurve_F5H523_KLHL42.pdf</t>
  </si>
  <si>
    <t>Melting_Curves/meltCurve_F5H564_EIF4G3.pdf</t>
  </si>
  <si>
    <t>Melting_Curves/meltCurve_F5H569_ATP6V0A1.pdf</t>
  </si>
  <si>
    <t>Melting_Curves/meltCurve_F5H577_BRK1.pdf</t>
  </si>
  <si>
    <t>Melting_Curves/meltCurve_F5H5C2_NUP133.pdf</t>
  </si>
  <si>
    <t>Melting_Curves/meltCurve_F5H5D3_TUBA1C.pdf</t>
  </si>
  <si>
    <t>Melting_Curves/meltCurve_F5H5I6_GRSF1.pdf</t>
  </si>
  <si>
    <t>Melting_Curves/meltCurve_F5H5M7_IFNGR1.pdf</t>
  </si>
  <si>
    <t>Melting_Curves/meltCurve_F5H5N0_CDC42BPA.pdf</t>
  </si>
  <si>
    <t>Melting_Curves/meltCurve_F5H5N1_NDUFS7.pdf</t>
  </si>
  <si>
    <t>Melting_Curves/meltCurve_F5H5P2_BCKDHA.pdf</t>
  </si>
  <si>
    <t>Melting_Curves/meltCurve_F5H5R8_NAT1.pdf</t>
  </si>
  <si>
    <t>Melting_Curves/meltCurve_F5H5U2_DDX55.pdf</t>
  </si>
  <si>
    <t>Melting_Curves/meltCurve_F5H5V6_KDM6A.pdf</t>
  </si>
  <si>
    <t>Melting_Curves/meltCurve_F5H604_CLASP2.pdf</t>
  </si>
  <si>
    <t>Melting_Curves/meltCurve_F5H620_OXNAD1.pdf</t>
  </si>
  <si>
    <t>Melting_Curves/meltCurve_F5H648_TAP1.pdf</t>
  </si>
  <si>
    <t>Melting_Curves/meltCurve_F5H698_LARS.pdf</t>
  </si>
  <si>
    <t>Melting_Curves/meltCurve_F5H6U2_FAM60A.pdf</t>
  </si>
  <si>
    <t>Melting_Curves/meltCurve_F5H6V0_KCTD10.pdf</t>
  </si>
  <si>
    <t>Melting_Curves/meltCurve_F5H715_AIDA.pdf</t>
  </si>
  <si>
    <t>Melting_Curves/meltCurve_F5H721_WBP11.pdf</t>
  </si>
  <si>
    <t>Melting_Curves/meltCurve_F5H777_CCDC82.pdf</t>
  </si>
  <si>
    <t>Melting_Curves/meltCurve_F5H7B3_CDC14A.pdf</t>
  </si>
  <si>
    <t>Melting_Curves/meltCurve_F5H7F6_MGST1.pdf</t>
  </si>
  <si>
    <t>Melting_Curves/meltCurve_F5H7I4_GABPB1.pdf</t>
  </si>
  <si>
    <t>Melting_Curves/meltCurve_F5H7J5_RPTOR.pdf</t>
  </si>
  <si>
    <t>Melting_Curves/meltCurve_F5H7K2_MGA.pdf</t>
  </si>
  <si>
    <t>Melting_Curves/meltCurve_F5H7N9_MFGE8.pdf</t>
  </si>
  <si>
    <t>Melting_Curves/meltCurve_F5H801_OGDH.pdf</t>
  </si>
  <si>
    <t>Melting_Curves/meltCurve_F5H827_POMGNT1.pdf</t>
  </si>
  <si>
    <t>Melting_Curves/meltCurve_F5H860_INPP4A.pdf</t>
  </si>
  <si>
    <t>Melting_Curves/meltCurve_F5H872_MED21.pdf</t>
  </si>
  <si>
    <t>Melting_Curves/meltCurve_F5H897_TRAP1.pdf</t>
  </si>
  <si>
    <t>Melting_Curves/meltCurve_F5H8D7_XRCC1.pdf</t>
  </si>
  <si>
    <t>Melting_Curves/meltCurve_F5H8H2_MVK.pdf</t>
  </si>
  <si>
    <t>Melting_Curves/meltCurve_F5H8J3_CLPTM1.pdf</t>
  </si>
  <si>
    <t>Melting_Curves/meltCurve_F6PQP6_EPN2.pdf</t>
  </si>
  <si>
    <t>Melting_Curves/meltCurve_F6RU81_ELMSAN1.pdf</t>
  </si>
  <si>
    <t>Melting_Curves/meltCurve_F6SS63_TAB3.pdf</t>
  </si>
  <si>
    <t>Melting_Curves/meltCurve_F6T1Q0_PDE12.pdf</t>
  </si>
  <si>
    <t>Melting_Curves/meltCurve_F6U1F2_BAG6.pdf</t>
  </si>
  <si>
    <t>Melting_Curves/meltCurve_F6U1T9_PPP3R1.pdf</t>
  </si>
  <si>
    <t>Melting_Curves/meltCurve_F6XY72_NME2.pdf</t>
  </si>
  <si>
    <t>Melting_Curves/meltCurve_F8VP89_EIF4B.pdf</t>
  </si>
  <si>
    <t>Melting_Curves/meltCurve_F8VPD4_CAD.pdf</t>
  </si>
  <si>
    <t>Melting_Curves/meltCurve_F8VQ10_DDX39B.pdf</t>
  </si>
  <si>
    <t>Melting_Curves/meltCurve_F8VQE1_LIMA1.pdf</t>
  </si>
  <si>
    <t>Melting_Curves/meltCurve_F8VQR7_CSRP2.pdf</t>
  </si>
  <si>
    <t>Melting_Curves/meltCurve_F8VQX6_METTL7A.pdf</t>
  </si>
  <si>
    <t>Melting_Curves/meltCurve_F8VQZ7_METAP2.pdf</t>
  </si>
  <si>
    <t>Melting_Curves/meltCurve_F8VR31_DNA2.pdf</t>
  </si>
  <si>
    <t>Melting_Curves/meltCurve_F8VRE8_TMEM19.pdf</t>
  </si>
  <si>
    <t>Melting_Curves/meltCurve_F8VRH0_PCBP2.pdf</t>
  </si>
  <si>
    <t>Melting_Curves/meltCurve_F8VSL3_NFYB.pdf</t>
  </si>
  <si>
    <t>Melting_Curves/meltCurve_F8VSZ4_PLXNA1.pdf</t>
  </si>
  <si>
    <t>Melting_Curves/meltCurve_F8VUJ3_POC1B_GALNT4.pdf</t>
  </si>
  <si>
    <t>Melting_Curves/meltCurve_F8VUY8_SLC38A2.pdf</t>
  </si>
  <si>
    <t>Melting_Curves/meltCurve_F8VV52_CNOT2.pdf</t>
  </si>
  <si>
    <t>Melting_Curves/meltCurve_F8VV59_NAP1L1.pdf</t>
  </si>
  <si>
    <t>Melting_Curves/meltCurve_F8VVA7_COPZ1.pdf</t>
  </si>
  <si>
    <t>Melting_Curves/meltCurve_F8VVN7_TMEM106C.pdf</t>
  </si>
  <si>
    <t>Melting_Curves/meltCurve_F8VVX6_COQ5.pdf</t>
  </si>
  <si>
    <t>Melting_Curves/meltCurve_F8VW54_TSPAN31.pdf</t>
  </si>
  <si>
    <t>Melting_Curves/meltCurve_F8VWA6_MON2.pdf</t>
  </si>
  <si>
    <t>Melting_Curves/meltCurve_F8VWA9_ALG10B.pdf</t>
  </si>
  <si>
    <t>Melting_Curves/meltCurve_F8VX04_SLC38A1.pdf</t>
  </si>
  <si>
    <t>Melting_Curves/meltCurve_F8VXG7_SCAF11.pdf</t>
  </si>
  <si>
    <t>Melting_Curves/meltCurve_F8VXI9_GIT2.pdf</t>
  </si>
  <si>
    <t>Melting_Curves/meltCurve_F8VXU5_VPS29.pdf</t>
  </si>
  <si>
    <t>Melting_Curves/meltCurve_F8VY35_NAP1L1.pdf</t>
  </si>
  <si>
    <t>Melting_Curves/meltCurve_F8VYE8_PPP1CC.pdf</t>
  </si>
  <si>
    <t>Melting_Curves/meltCurve_F8VZ44_AAAS.pdf</t>
  </si>
  <si>
    <t>Melting_Curves/meltCurve_F8VZH8_UNC13A.pdf</t>
  </si>
  <si>
    <t>Melting_Curves/meltCurve_F8VZJ2_NACA.pdf</t>
  </si>
  <si>
    <t>Melting_Curves/meltCurve_F8W0Q9_PPHLN1.pdf</t>
  </si>
  <si>
    <t>Melting_Curves/meltCurve_F8W0R1_ERGIC2.pdf</t>
  </si>
  <si>
    <t>Melting_Curves/meltCurve_F8W184_CTDSP2.pdf</t>
  </si>
  <si>
    <t>Melting_Curves/meltCurve_F8W1N9_NFE2.pdf</t>
  </si>
  <si>
    <t>Melting_Curves/meltCurve_F8W689_RFX5.pdf</t>
  </si>
  <si>
    <t>Melting_Curves/meltCurve_F8W6I7_HNRNPA1.pdf</t>
  </si>
  <si>
    <t>Melting_Curves/meltCurve_F8W6N3_BAP1.pdf</t>
  </si>
  <si>
    <t>Melting_Curves/meltCurve_F8W6N8_TRIM5.pdf</t>
  </si>
  <si>
    <t>Melting_Curves/meltCurve_F8W6Q3_ZNF384.pdf</t>
  </si>
  <si>
    <t>Melting_Curves/meltCurve_F8W720_GMPS.pdf</t>
  </si>
  <si>
    <t>Melting_Curves/meltCurve_F8W782_ADIPOR1.pdf</t>
  </si>
  <si>
    <t>Melting_Curves/meltCurve_F8W7A7_CCDC178.pdf</t>
  </si>
  <si>
    <t>Melting_Curves/meltCurve_F8W7D6_GPHN.pdf</t>
  </si>
  <si>
    <t>Melting_Curves/meltCurve_F8W7G7_FN1.pdf</t>
  </si>
  <si>
    <t>Melting_Curves/meltCurve_F8W7Q4_FAM162A.pdf</t>
  </si>
  <si>
    <t>Melting_Curves/meltCurve_F8W894_KANSL3.pdf</t>
  </si>
  <si>
    <t>Melting_Curves/meltCurve_F8W8C2_VEZT.pdf</t>
  </si>
  <si>
    <t>Melting_Curves/meltCurve_F8W8D3_SLBP.pdf</t>
  </si>
  <si>
    <t>Melting_Curves/meltCurve_F8W8H5_RAB24.pdf</t>
  </si>
  <si>
    <t>Melting_Curves/meltCurve_F8W8I6_TIA1.pdf</t>
  </si>
  <si>
    <t>Melting_Curves/meltCurve_F8W930_IGF2BP2.pdf</t>
  </si>
  <si>
    <t>Melting_Curves/meltCurve_F8W9A8_PPIP5K1.pdf</t>
  </si>
  <si>
    <t>Melting_Curves/meltCurve_F8W9B9_SYTL4.pdf</t>
  </si>
  <si>
    <t>Melting_Curves/meltCurve_F8W9Q9_LENG8.pdf</t>
  </si>
  <si>
    <t>Melting_Curves/meltCurve_F8W9X7_CCDC93.pdf</t>
  </si>
  <si>
    <t>Melting_Curves/meltCurve_F8WA39_MTMR1.pdf</t>
  </si>
  <si>
    <t>Melting_Curves/meltCurve_F8WAC3_UCKL1.pdf</t>
  </si>
  <si>
    <t>Melting_Curves/meltCurve_F8WAK8_STAG2.pdf</t>
  </si>
  <si>
    <t>Melting_Curves/meltCurve_F8WBK5_MRPL40.pdf</t>
  </si>
  <si>
    <t>Melting_Curves/meltCurve_F8WBT5_PINX1.pdf</t>
  </si>
  <si>
    <t>Melting_Curves/meltCurve_F8WBY6_GTPBP8.pdf</t>
  </si>
  <si>
    <t>Melting_Curves/meltCurve_F8WC68_DOM3Z.pdf</t>
  </si>
  <si>
    <t>Melting_Curves/meltCurve_F8WCD0_RNF149.pdf</t>
  </si>
  <si>
    <t>Melting_Curves/meltCurve_F8WCP6_KIF21A.pdf</t>
  </si>
  <si>
    <t>Melting_Curves/meltCurve_F8WDT8_DDX56.pdf</t>
  </si>
  <si>
    <t>Melting_Curves/meltCurve_F8WDV1_POLR3H.pdf</t>
  </si>
  <si>
    <t>Melting_Curves/meltCurve_F8WE28_EXOG.pdf</t>
  </si>
  <si>
    <t>Melting_Curves/meltCurve_F8WE91_DNMT3A.pdf</t>
  </si>
  <si>
    <t>Melting_Curves/meltCurve_F8WEC0_MMADHC.pdf</t>
  </si>
  <si>
    <t>Melting_Curves/meltCurve_F8WEE4_ZFAND2B.pdf</t>
  </si>
  <si>
    <t>Melting_Curves/meltCurve_F8WEG8_PRKRA.pdf</t>
  </si>
  <si>
    <t>Melting_Curves/meltCurve_F8WF48_SEC62.pdf</t>
  </si>
  <si>
    <t>Melting_Curves/meltCurve_F8WF93_ALG3.pdf</t>
  </si>
  <si>
    <t>Melting_Curves/meltCurve_G3V0I5_NDUFV1.pdf</t>
  </si>
  <si>
    <t>Melting_Curves/meltCurve_G3V0I6_OTUD4.pdf</t>
  </si>
  <si>
    <t>Melting_Curves/meltCurve_G3V167_PARP2.pdf</t>
  </si>
  <si>
    <t>Melting_Curves/meltCurve_G3V1C3_API5.pdf</t>
  </si>
  <si>
    <t>Melting_Curves/meltCurve_G3V1D3_DPP3.pdf</t>
  </si>
  <si>
    <t>Melting_Curves/meltCurve_G3V1K3_PON2.pdf</t>
  </si>
  <si>
    <t>Melting_Curves/meltCurve_G3V1L9_TJP1.pdf</t>
  </si>
  <si>
    <t>Melting_Curves/meltCurve_G3V1N2_HBA2.pdf</t>
  </si>
  <si>
    <t>Melting_Curves/meltCurve_G3V1N5_USP28.pdf</t>
  </si>
  <si>
    <t>Melting_Curves/meltCurve_G3V1P3_LOH12CR1.pdf</t>
  </si>
  <si>
    <t>Melting_Curves/meltCurve_G3V1P9_LEPREL2.pdf</t>
  </si>
  <si>
    <t>Melting_Curves/meltCurve_G3V1Q4_SEPT7.pdf</t>
  </si>
  <si>
    <t>Melting_Curves/meltCurve_G3V1Q7_PMFBP1.pdf</t>
  </si>
  <si>
    <t>Melting_Curves/meltCurve_G3V1R3_ZEB1.pdf</t>
  </si>
  <si>
    <t>Melting_Curves/meltCurve_G3V1U5_GOLT1B.pdf</t>
  </si>
  <si>
    <t>Melting_Curves/meltCurve_G3V1V1_ZCRB1.pdf</t>
  </si>
  <si>
    <t>Melting_Curves/meltCurve_G3V1V4_GTSF1.pdf</t>
  </si>
  <si>
    <t>Melting_Curves/meltCurve_G3V203_RPL18.pdf</t>
  </si>
  <si>
    <t>Melting_Curves/meltCurve_G3V238_METTL10.pdf</t>
  </si>
  <si>
    <t>Melting_Curves/meltCurve_G3V2A6_NDRG2.pdf</t>
  </si>
  <si>
    <t>Melting_Curves/meltCurve_G3V2B8_MTHFD1.pdf</t>
  </si>
  <si>
    <t>Melting_Curves/meltCurve_G3V2F7_TMEM189.pdf</t>
  </si>
  <si>
    <t>Melting_Curves/meltCurve_G3V2U7_ACYP1.pdf</t>
  </si>
  <si>
    <t>Melting_Curves/meltCurve_G3V325_ATP5J2_PTCD1.pdf</t>
  </si>
  <si>
    <t>Melting_Curves/meltCurve_G3V379_FERMT2.pdf</t>
  </si>
  <si>
    <t>Melting_Curves/meltCurve_G3V3E1_SKOR1.pdf</t>
  </si>
  <si>
    <t>Melting_Curves/meltCurve_G3V3G9_DCAF8.pdf</t>
  </si>
  <si>
    <t>Melting_Curves/meltCurve_G3V3H7_AKAP6.pdf</t>
  </si>
  <si>
    <t>Melting_Curves/meltCurve_G3V3I4_NFKBIA.pdf</t>
  </si>
  <si>
    <t>Melting_Curves/meltCurve_G3V3Q2_XRCC3.pdf</t>
  </si>
  <si>
    <t>Melting_Curves/meltCurve_G3V3R7_ATXN3.pdf</t>
  </si>
  <si>
    <t>Melting_Curves/meltCurve_G3V3U6_MRPL52.pdf</t>
  </si>
  <si>
    <t>Melting_Curves/meltCurve_G3V4A5_MED6.pdf</t>
  </si>
  <si>
    <t>Melting_Curves/meltCurve_G3V4I0_ENTPD5.pdf</t>
  </si>
  <si>
    <t>Melting_Curves/meltCurve_G3V4K3_VIPAS39.pdf</t>
  </si>
  <si>
    <t>Melting_Curves/meltCurve_G3V4P7_AP4S1.pdf</t>
  </si>
  <si>
    <t>Melting_Curves/meltCurve_G3V4W0_HNRNPC.pdf</t>
  </si>
  <si>
    <t>Melting_Curves/meltCurve_G3V583_FAM177A1.pdf</t>
  </si>
  <si>
    <t>Melting_Curves/meltCurve_G3V597_ACYP1.pdf</t>
  </si>
  <si>
    <t>Melting_Curves/meltCurve_G3V599_CTAGE5.pdf</t>
  </si>
  <si>
    <t>Melting_Curves/meltCurve_G3V5B9_THTPA.pdf</t>
  </si>
  <si>
    <t>Melting_Curves/meltCurve_G3V5N8_ZFYVE1.pdf</t>
  </si>
  <si>
    <t>Melting_Curves/meltCurve_G3V5T0_GSTZ1.pdf</t>
  </si>
  <si>
    <t>Melting_Curves/meltCurve_G3V5T9_CDK2.pdf</t>
  </si>
  <si>
    <t>Melting_Curves/meltCurve_G3V5W1_WARS.pdf</t>
  </si>
  <si>
    <t>Melting_Curves/meltCurve_G3V5Z7_PSMA6.pdf</t>
  </si>
  <si>
    <t>Melting_Curves/meltCurve_G3XA81_TMEM48.pdf</t>
  </si>
  <si>
    <t>Melting_Curves/meltCurve_G3XAA0_ARID1B.pdf</t>
  </si>
  <si>
    <t>Melting_Curves/meltCurve_G3XAB3_TTC17.pdf</t>
  </si>
  <si>
    <t>Melting_Curves/meltCurve_G3XAC1_SLC26A6.pdf</t>
  </si>
  <si>
    <t>Melting_Curves/meltCurve_G3XAG7_ERCC8.pdf</t>
  </si>
  <si>
    <t>Melting_Curves/meltCurve_G3XAH0_SEPT5.pdf</t>
  </si>
  <si>
    <t>Melting_Curves/meltCurve_G3XAI2_LAMB1.pdf</t>
  </si>
  <si>
    <t>Melting_Curves/meltCurve_G3XAN8_TIMM8B.pdf</t>
  </si>
  <si>
    <t>Melting_Curves/meltCurve_G3XAP3_ABCB8.pdf</t>
  </si>
  <si>
    <t>Melting_Curves/meltCurve_G5E933_SBF1.pdf</t>
  </si>
  <si>
    <t>Melting_Curves/meltCurve_G5E948_MAP4K4.pdf</t>
  </si>
  <si>
    <t>Melting_Curves/meltCurve_G5E953_MTMR3.pdf</t>
  </si>
  <si>
    <t>Melting_Curves/meltCurve_G5E975_SMARCB1.pdf</t>
  </si>
  <si>
    <t>Melting_Curves/meltCurve_G5E979_ATG4A.pdf</t>
  </si>
  <si>
    <t>Melting_Curves/meltCurve_G5E994_GPR107.pdf</t>
  </si>
  <si>
    <t>Melting_Curves/meltCurve_G5E9A6_USP11.pdf</t>
  </si>
  <si>
    <t>Melting_Curves/meltCurve_G5E9C8_SOS1.pdf</t>
  </si>
  <si>
    <t>Melting_Curves/meltCurve_G5E9L8_ECT2.pdf</t>
  </si>
  <si>
    <t>Melting_Curves/meltCurve_G5E9N0_ENTPD3.pdf</t>
  </si>
  <si>
    <t>Melting_Curves/meltCurve_G5E9P1_ITPR1.pdf</t>
  </si>
  <si>
    <t>Melting_Curves/meltCurve_G5E9T8_GOSR1.pdf</t>
  </si>
  <si>
    <t>Melting_Curves/meltCurve_G5E9W2_CHPF2.pdf</t>
  </si>
  <si>
    <t>Melting_Curves/meltCurve_G5E9W7_MRPS22.pdf</t>
  </si>
  <si>
    <t>Melting_Curves/meltCurve_G5EA09_SDCBP.pdf</t>
  </si>
  <si>
    <t>Melting_Curves/meltCurve_G5EA30_CELF1.pdf</t>
  </si>
  <si>
    <t>Melting_Curves/meltCurve_G5EA52_PDIA3.pdf</t>
  </si>
  <si>
    <t>Melting_Curves/meltCurve_G8JL88_APOL1.pdf</t>
  </si>
  <si>
    <t>Melting_Curves/meltCurve_G8JLA2_MYL6.pdf</t>
  </si>
  <si>
    <t>Melting_Curves/meltCurve_G8JLB3_PUS1.pdf</t>
  </si>
  <si>
    <t>Melting_Curves/meltCurve_G8JLD3_ERC1.pdf</t>
  </si>
  <si>
    <t>Melting_Curves/meltCurve_G8JLE5_TIPIN.pdf</t>
  </si>
  <si>
    <t>Melting_Curves/meltCurve_G8JLI5_WDR45.pdf</t>
  </si>
  <si>
    <t>Melting_Curves/meltCurve_G8JLK4_TACC1.pdf</t>
  </si>
  <si>
    <t>Melting_Curves/meltCurve_G8JLK7_NOL6.pdf</t>
  </si>
  <si>
    <t>Melting_Curves/meltCurve_G8JLL2_PPT2.pdf</t>
  </si>
  <si>
    <t>Melting_Curves/meltCurve_G8JLM6_TAF6.pdf</t>
  </si>
  <si>
    <t>Melting_Curves/meltCurve_G8JLP4_KIAA0430.pdf</t>
  </si>
  <si>
    <t>Melting_Curves/meltCurve_H0UI80_TH1L.pdf</t>
  </si>
  <si>
    <t>Melting_Curves/meltCurve_H0Y2U5_.pdf</t>
  </si>
  <si>
    <t>Melting_Curves/meltCurve_H0Y360_AMPD2.pdf</t>
  </si>
  <si>
    <t>Melting_Curves/meltCurve_H0Y362_SLC30A7.pdf</t>
  </si>
  <si>
    <t>Melting_Curves/meltCurve_H0Y384_ODF2.pdf</t>
  </si>
  <si>
    <t>Melting_Curves/meltCurve_H0Y3A3_DAB2IP.pdf</t>
  </si>
  <si>
    <t>Melting_Curves/meltCurve_H0Y3P2_EIF4G2.pdf</t>
  </si>
  <si>
    <t>Melting_Curves/meltCurve_H0Y4G9_MYD88.pdf</t>
  </si>
  <si>
    <t>Melting_Curves/meltCurve_H0Y4R1_IMPDH2.pdf</t>
  </si>
  <si>
    <t>Melting_Curves/meltCurve_H0Y4S7_RBCK1.pdf</t>
  </si>
  <si>
    <t>Melting_Curves/meltCurve_H0Y4W2_TRRAP.pdf</t>
  </si>
  <si>
    <t>Melting_Curves/meltCurve_H0Y547_ATP11A.pdf</t>
  </si>
  <si>
    <t>Melting_Curves/meltCurve_H0Y5Y0_PREP.pdf</t>
  </si>
  <si>
    <t>Melting_Curves/meltCurve_H0Y614_UFM1.pdf</t>
  </si>
  <si>
    <t>Melting_Curves/meltCurve_H0Y6B2_SUSD1.pdf</t>
  </si>
  <si>
    <t>Melting_Curves/meltCurve_H0Y6F5_ZHX3.pdf</t>
  </si>
  <si>
    <t>Melting_Curves/meltCurve_H0Y6K2_BRD2.pdf</t>
  </si>
  <si>
    <t>Melting_Curves/meltCurve_H0Y6K5_SP3.pdf</t>
  </si>
  <si>
    <t>Melting_Curves/meltCurve_H0Y6N5_SUN1.pdf</t>
  </si>
  <si>
    <t>Melting_Curves/meltCurve_H0Y6Y8_MRPL43.pdf</t>
  </si>
  <si>
    <t>Melting_Curves/meltCurve_H0Y720_TNRC6B.pdf</t>
  </si>
  <si>
    <t>Melting_Curves/meltCurve_H0Y759_BAG6.pdf</t>
  </si>
  <si>
    <t>Melting_Curves/meltCurve_H0Y773_IGSF23.pdf</t>
  </si>
  <si>
    <t>Melting_Curves/meltCurve_H0Y7A7_CALM2.pdf</t>
  </si>
  <si>
    <t>Melting_Curves/meltCurve_H0Y7L9_ABCD1.pdf</t>
  </si>
  <si>
    <t>Melting_Curves/meltCurve_H0Y7P7_PISD.pdf</t>
  </si>
  <si>
    <t>Melting_Curves/meltCurve_H0Y7S3_ATP2B2.pdf</t>
  </si>
  <si>
    <t>Melting_Curves/meltCurve_H0Y8D0_TMEM222.pdf</t>
  </si>
  <si>
    <t>Melting_Curves/meltCurve_H0Y8F2_TACC3.pdf</t>
  </si>
  <si>
    <t>Melting_Curves/meltCurve_H0Y8P4_UTP15.pdf</t>
  </si>
  <si>
    <t>Melting_Curves/meltCurve_H0Y8W3_RGS14.pdf</t>
  </si>
  <si>
    <t>Melting_Curves/meltCurve_H0Y8X4_DNPH1.pdf</t>
  </si>
  <si>
    <t>Melting_Curves/meltCurve_H0Y9B8_.pdf</t>
  </si>
  <si>
    <t>Melting_Curves/meltCurve_H0Y9G6_MRPL3.pdf</t>
  </si>
  <si>
    <t>Melting_Curves/meltCurve_H0Y9L4_WHSC1.pdf</t>
  </si>
  <si>
    <t>Melting_Curves/meltCurve_H0Y9S9_PPIP5K2.pdf</t>
  </si>
  <si>
    <t>Melting_Curves/meltCurve_H0Y9T5_DCP2.pdf</t>
  </si>
  <si>
    <t>Melting_Curves/meltCurve_H0Y9X1_TMA16.pdf</t>
  </si>
  <si>
    <t>Melting_Curves/meltCurve_H0YA52_PCBD2.pdf</t>
  </si>
  <si>
    <t>Melting_Curves/meltCurve_H0YA61_RBM24.pdf</t>
  </si>
  <si>
    <t>Melting_Curves/meltCurve_H0YA80_UBE2B.pdf</t>
  </si>
  <si>
    <t>Melting_Curves/meltCurve_H0YAN3_MSRA.pdf</t>
  </si>
  <si>
    <t>Melting_Curves/meltCurve_H0YAR2_PABPC1.pdf</t>
  </si>
  <si>
    <t>Melting_Curves/meltCurve_H0YAX0_ZDHHC14.pdf</t>
  </si>
  <si>
    <t>Melting_Curves/meltCurve_H0YB94_STAR.pdf</t>
  </si>
  <si>
    <t>Melting_Curves/meltCurve_H0YBP1_PTK2.pdf</t>
  </si>
  <si>
    <t>Melting_Curves/meltCurve_H0YBR0_TRAPPC9.pdf</t>
  </si>
  <si>
    <t>Melting_Curves/meltCurve_H0YBS1_INTS8.pdf</t>
  </si>
  <si>
    <t>Melting_Curves/meltCurve_H0YC02_HMBOX1.pdf</t>
  </si>
  <si>
    <t>Melting_Curves/meltCurve_H0YCB3_ASCC1.pdf</t>
  </si>
  <si>
    <t>Melting_Curves/meltCurve_H0YCY4_GLB1L2.pdf</t>
  </si>
  <si>
    <t>Melting_Curves/meltCurve_H0YD13_CD44.pdf</t>
  </si>
  <si>
    <t>Melting_Curves/meltCurve_H0YD75_NLK.pdf</t>
  </si>
  <si>
    <t>Melting_Curves/meltCurve_H0YDD4_DLAT.pdf</t>
  </si>
  <si>
    <t>Melting_Curves/meltCurve_H0YDQ1_ALG8.pdf</t>
  </si>
  <si>
    <t>Melting_Curves/meltCurve_H0YDR5_SIGIRR.pdf</t>
  </si>
  <si>
    <t>Melting_Curves/meltCurve_H0YDU8_PPP5C.pdf</t>
  </si>
  <si>
    <t>Melting_Curves/meltCurve_H0YEB6_SSSCA1.pdf</t>
  </si>
  <si>
    <t>Melting_Curves/meltCurve_H0YEF3_RNASEH2C.pdf</t>
  </si>
  <si>
    <t>Melting_Curves/meltCurve_H0YEN0_RIC8A.pdf</t>
  </si>
  <si>
    <t>Melting_Curves/meltCurve_H0YER1_RSF1.pdf</t>
  </si>
  <si>
    <t>Melting_Curves/meltCurve_H0YF22_RCOR3.pdf</t>
  </si>
  <si>
    <t>Melting_Curves/meltCurve_H0YF29_C8orf82.pdf</t>
  </si>
  <si>
    <t>Melting_Curves/meltCurve_H0YFN7_KIAA1432.pdf</t>
  </si>
  <si>
    <t>Melting_Curves/meltCurve_H0YGR4_REXO2.pdf</t>
  </si>
  <si>
    <t>Melting_Curves/meltCurve_H0YH69_ETNK1.pdf</t>
  </si>
  <si>
    <t>Melting_Curves/meltCurve_H0YHG0_.pdf</t>
  </si>
  <si>
    <t>Melting_Curves/meltCurve_H0YIE8_WDR83.pdf</t>
  </si>
  <si>
    <t>Melting_Curves/meltCurve_H0YIQ8_KANSL2.pdf</t>
  </si>
  <si>
    <t>Melting_Curves/meltCurve_H0YIV5_LETMD1.pdf</t>
  </si>
  <si>
    <t>Melting_Curves/meltCurve_H0YIV9_.pdf</t>
  </si>
  <si>
    <t>Melting_Curves/meltCurve_H0YIZ9_CEP128.pdf</t>
  </si>
  <si>
    <t>Melting_Curves/meltCurve_H0YJN0_EVL.pdf</t>
  </si>
  <si>
    <t>Melting_Curves/meltCurve_H0YK48_TPM1.pdf</t>
  </si>
  <si>
    <t>Melting_Curves/meltCurve_H0YK61_EMC4.pdf</t>
  </si>
  <si>
    <t>Melting_Curves/meltCurve_H0YKJ9_TSPAN3.pdf</t>
  </si>
  <si>
    <t>Melting_Curves/meltCurve_H0YL26_TRAF3.pdf</t>
  </si>
  <si>
    <t>Melting_Curves/meltCurve_H0YL33_ANXA2.pdf</t>
  </si>
  <si>
    <t>Melting_Curves/meltCurve_H0YL70_TLE3.pdf</t>
  </si>
  <si>
    <t>Melting_Curves/meltCurve_H0YLB5_POU2F1.pdf</t>
  </si>
  <si>
    <t>Melting_Curves/meltCurve_H0YLB9_MAN2A2.pdf</t>
  </si>
  <si>
    <t>Melting_Curves/meltCurve_H0YLF3_B2M.pdf</t>
  </si>
  <si>
    <t>Melting_Curves/meltCurve_H0YLI7_AP3S2.pdf</t>
  </si>
  <si>
    <t>Melting_Curves/meltCurve_H0YLN8_TRPM7.pdf</t>
  </si>
  <si>
    <t>Melting_Curves/meltCurve_H0YLR1_FAM63B.pdf</t>
  </si>
  <si>
    <t>Melting_Curves/meltCurve_H0YLX2_RFX7.pdf</t>
  </si>
  <si>
    <t>Melting_Curves/meltCurve_H0YLY9_PIGH.pdf</t>
  </si>
  <si>
    <t>Melting_Curves/meltCurve_H0YMA9_CUX1.pdf</t>
  </si>
  <si>
    <t>Melting_Curves/meltCurve_H0YMB3_GMPR2.pdf</t>
  </si>
  <si>
    <t>Melting_Curves/meltCurve_H0YMF4_RPL28.pdf</t>
  </si>
  <si>
    <t>Melting_Curves/meltCurve_H0YMJ0_MORF4L1.pdf</t>
  </si>
  <si>
    <t>Melting_Curves/meltCurve_H0YMX0_PKNOX1.pdf</t>
  </si>
  <si>
    <t>Melting_Curves/meltCurve_H0YN78_C15orf57.pdf</t>
  </si>
  <si>
    <t>Melting_Curves/meltCurve_H0YNE3_PSME1.pdf</t>
  </si>
  <si>
    <t>Melting_Curves/meltCurve_H0YNG3_SEC11A.pdf</t>
  </si>
  <si>
    <t>Melting_Curves/meltCurve_H0YNH6_EMC9.pdf</t>
  </si>
  <si>
    <t>Melting_Curves/meltCurve_H0YNJ3_PPP2R5C.pdf</t>
  </si>
  <si>
    <t>Melting_Curves/meltCurve_H0YNX7_GCHFR.pdf</t>
  </si>
  <si>
    <t>Melting_Curves/meltCurve_H3BLU7_AKR7A2.pdf</t>
  </si>
  <si>
    <t>Melting_Curves/meltCurve_H3BLV0_CD55.pdf</t>
  </si>
  <si>
    <t>Melting_Curves/meltCurve_H3BLV9_SRPK1.pdf</t>
  </si>
  <si>
    <t>Melting_Curves/meltCurve_H3BLZ2_DBNDD1.pdf</t>
  </si>
  <si>
    <t>Melting_Curves/meltCurve_H3BLZ8_DDX17.pdf</t>
  </si>
  <si>
    <t>Melting_Curves/meltCurve_H3BM14_NUB1.pdf</t>
  </si>
  <si>
    <t>Melting_Curves/meltCurve_H3BM91_COMMD4.pdf</t>
  </si>
  <si>
    <t>Melting_Curves/meltCurve_H3BMD8_ARPP19.pdf</t>
  </si>
  <si>
    <t>Melting_Curves/meltCurve_H3BMF4_SPNS1.pdf</t>
  </si>
  <si>
    <t>Melting_Curves/meltCurve_H3BMQ0_TSC2.pdf</t>
  </si>
  <si>
    <t>Melting_Curves/meltCurve_H3BN98_.pdf</t>
  </si>
  <si>
    <t>Melting_Curves/meltCurve_H3BND3_NUDT21.pdf</t>
  </si>
  <si>
    <t>Melting_Curves/meltCurve_H3BNK2_LYRM1.pdf</t>
  </si>
  <si>
    <t>Melting_Curves/meltCurve_H3BNM4_INO80E.pdf</t>
  </si>
  <si>
    <t>Melting_Curves/meltCurve_H3BNV8_RAB40C.pdf</t>
  </si>
  <si>
    <t>Melting_Curves/meltCurve_H3BP20_HEXA.pdf</t>
  </si>
  <si>
    <t>Melting_Curves/meltCurve_H3BP28_COQ7.pdf</t>
  </si>
  <si>
    <t>Melting_Curves/meltCurve_H3BPB8_MPI.pdf</t>
  </si>
  <si>
    <t>Melting_Curves/meltCurve_H3BPC4_UBE2I.pdf</t>
  </si>
  <si>
    <t>Melting_Curves/meltCurve_H3BPD5_NTHL1.pdf</t>
  </si>
  <si>
    <t>Melting_Curves/meltCurve_H3BPE1_MACF1.pdf</t>
  </si>
  <si>
    <t>Melting_Curves/meltCurve_H3BPJ7_TCF4.pdf</t>
  </si>
  <si>
    <t>Melting_Curves/meltCurve_H3BPK3_HAGH.pdf</t>
  </si>
  <si>
    <t>Melting_Curves/meltCurve_H3BPL0_CLN3.pdf</t>
  </si>
  <si>
    <t>Melting_Curves/meltCurve_H3BPS8_ALDOA.pdf</t>
  </si>
  <si>
    <t>Melting_Curves/meltCurve_H3BPX2_OBSCN.pdf</t>
  </si>
  <si>
    <t>Melting_Curves/meltCurve_H3BQA0_SNAPC5.pdf</t>
  </si>
  <si>
    <t>Melting_Curves/meltCurve_H3BR29_C16orf58.pdf</t>
  </si>
  <si>
    <t>Melting_Curves/meltCurve_H3BR94_DCTN5.pdf</t>
  </si>
  <si>
    <t>Melting_Curves/meltCurve_H3BRF9_ZFYVE19.pdf</t>
  </si>
  <si>
    <t>Melting_Curves/meltCurve_H3BRL3_UBFD1.pdf</t>
  </si>
  <si>
    <t>Melting_Curves/meltCurve_H3BRN7_.pdf</t>
  </si>
  <si>
    <t>Melting_Curves/meltCurve_H3BRQ0_PPCDC.pdf</t>
  </si>
  <si>
    <t>Melting_Curves/meltCurve_H3BRS1_NFATC3.pdf</t>
  </si>
  <si>
    <t>Melting_Curves/meltCurve_H3BRU1_FAM219B.pdf</t>
  </si>
  <si>
    <t>Melting_Curves/meltCurve_H3BRV0_EIF3C.pdf</t>
  </si>
  <si>
    <t>Melting_Curves/meltCurve_H3BS01_C15orf41.pdf</t>
  </si>
  <si>
    <t>Melting_Curves/meltCurve_H3BS66_SMIM1.pdf</t>
  </si>
  <si>
    <t>Melting_Curves/meltCurve_H3BS99_ZNF106.pdf</t>
  </si>
  <si>
    <t>Melting_Curves/meltCurve_H3BSH7_CIRH1A.pdf</t>
  </si>
  <si>
    <t>Melting_Curves/meltCurve_H3BSR5_FANCA.pdf</t>
  </si>
  <si>
    <t>Melting_Curves/meltCurve_H3BSW6_CTU2.pdf</t>
  </si>
  <si>
    <t>Melting_Curves/meltCurve_H3BSZ4_MLST8.pdf</t>
  </si>
  <si>
    <t>Melting_Curves/meltCurve_H3BTK5_SENP8.pdf</t>
  </si>
  <si>
    <t>Melting_Curves/meltCurve_H3BTL1_MAP1LC3B.pdf</t>
  </si>
  <si>
    <t>Melting_Curves/meltCurve_H3BTN5_PKM.pdf</t>
  </si>
  <si>
    <t>Melting_Curves/meltCurve_H3BTX0_.pdf</t>
  </si>
  <si>
    <t>Melting_Curves/meltCurve_H3BTX7_RNF166.pdf</t>
  </si>
  <si>
    <t>Melting_Curves/meltCurve_H3BU49_ARL2BP.pdf</t>
  </si>
  <si>
    <t>Melting_Curves/meltCurve_H3BUQ2_OGFOD1.pdf</t>
  </si>
  <si>
    <t>Melting_Curves/meltCurve_H3BV80_RNPS1.pdf</t>
  </si>
  <si>
    <t>Melting_Curves/meltCurve_H3BVB1_FBXL19.pdf</t>
  </si>
  <si>
    <t>Melting_Curves/meltCurve_H3BVD9_SPINT1.pdf</t>
  </si>
  <si>
    <t>Melting_Curves/meltCurve_H7BXF4_SMPD4.pdf</t>
  </si>
  <si>
    <t>Melting_Curves/meltCurve_H7BXF5_SAP130.pdf</t>
  </si>
  <si>
    <t>Melting_Curves/meltCurve_H7BXH2_PPP6R3.pdf</t>
  </si>
  <si>
    <t>Melting_Curves/meltCurve_H7BXH9_METTL21A.pdf</t>
  </si>
  <si>
    <t>Melting_Curves/meltCurve_H7BXI1_ESYT2.pdf</t>
  </si>
  <si>
    <t>Melting_Curves/meltCurve_H7BXI5_ERGIC3.pdf</t>
  </si>
  <si>
    <t>Melting_Curves/meltCurve_H7BXL1_TMEM41A.pdf</t>
  </si>
  <si>
    <t>Melting_Curves/meltCurve_H7BXP5_TPRN.pdf</t>
  </si>
  <si>
    <t>Melting_Curves/meltCurve_H7BXT7_BET1L.pdf</t>
  </si>
  <si>
    <t>Melting_Curves/meltCurve_H7BXW7_MPC1.pdf</t>
  </si>
  <si>
    <t>Melting_Curves/meltCurve_H7BXY3_DHX30.pdf</t>
  </si>
  <si>
    <t>Melting_Curves/meltCurve_H7BY58_PCMT1.pdf</t>
  </si>
  <si>
    <t>Melting_Curves/meltCurve_H7BYE5_WRB.pdf</t>
  </si>
  <si>
    <t>Melting_Curves/meltCurve_H7BYQ6_INTS9.pdf</t>
  </si>
  <si>
    <t>Melting_Curves/meltCurve_H7BYV1_IFITM2.pdf</t>
  </si>
  <si>
    <t>Melting_Curves/meltCurve_H7BYY1_TPM1.pdf</t>
  </si>
  <si>
    <t>Melting_Curves/meltCurve_H7BZ11_.pdf</t>
  </si>
  <si>
    <t>Melting_Curves/meltCurve_H7BZ14_PPIL3.pdf</t>
  </si>
  <si>
    <t>Melting_Curves/meltCurve_H7BZF5_C2orf80.pdf</t>
  </si>
  <si>
    <t>Melting_Curves/meltCurve_H7BZG6_AP1S2.pdf</t>
  </si>
  <si>
    <t>Melting_Curves/meltCurve_H7BZJ3_PDIA3.pdf</t>
  </si>
  <si>
    <t>Melting_Curves/meltCurve_H7BZK6_USP46.pdf</t>
  </si>
  <si>
    <t>Melting_Curves/meltCurve_H7BZT4_.pdf</t>
  </si>
  <si>
    <t>Melting_Curves/meltCurve_H7C0C1_.pdf</t>
  </si>
  <si>
    <t>Melting_Curves/meltCurve_H7C0G7_NHEJ1.pdf</t>
  </si>
  <si>
    <t>Melting_Curves/meltCurve_H7C0N4_SF1.pdf</t>
  </si>
  <si>
    <t>Melting_Curves/meltCurve_H7C0S3_CDKN3.pdf</t>
  </si>
  <si>
    <t>Melting_Curves/meltCurve_H7C0T0_FAM120A.pdf</t>
  </si>
  <si>
    <t>Melting_Curves/meltCurve_H7C107_IQSEC1.pdf</t>
  </si>
  <si>
    <t>Melting_Curves/meltCurve_H7C124_THEMIS2.pdf</t>
  </si>
  <si>
    <t>Melting_Curves/meltCurve_H7C137_RANBP1.pdf</t>
  </si>
  <si>
    <t>Melting_Curves/meltCurve_H7C155_RAF1.pdf</t>
  </si>
  <si>
    <t>Melting_Curves/meltCurve_H7C173_MZT2B.pdf</t>
  </si>
  <si>
    <t>Melting_Curves/meltCurve_H7C1M5_DNTTIP1.pdf</t>
  </si>
  <si>
    <t>Melting_Curves/meltCurve_H7C1N3_BET1.pdf</t>
  </si>
  <si>
    <t>Melting_Curves/meltCurve_H7C1U3_CC2D1B.pdf</t>
  </si>
  <si>
    <t>Melting_Curves/meltCurve_H7C1U8_APOO.pdf</t>
  </si>
  <si>
    <t>Melting_Curves/meltCurve_H7C1W4_TATDN2.pdf</t>
  </si>
  <si>
    <t>Melting_Curves/meltCurve_H7C261_PCLO.pdf</t>
  </si>
  <si>
    <t>Melting_Curves/meltCurve_H7C270_CTDSP1.pdf</t>
  </si>
  <si>
    <t>Melting_Curves/meltCurve_H7C2B1_NOL7.pdf</t>
  </si>
  <si>
    <t>Melting_Curves/meltCurve_H7C2Q8_EBNA1BP2.pdf</t>
  </si>
  <si>
    <t>Melting_Curves/meltCurve_H7C347_PPM1N.pdf</t>
  </si>
  <si>
    <t>Melting_Curves/meltCurve_H7C3D5_FAM134A.pdf</t>
  </si>
  <si>
    <t>Melting_Curves/meltCurve_H7C3G9_NAGK.pdf</t>
  </si>
  <si>
    <t>Melting_Curves/meltCurve_H7C3P4_GNS.pdf</t>
  </si>
  <si>
    <t>Melting_Curves/meltCurve_H7C3T2_ATG2A.pdf</t>
  </si>
  <si>
    <t>Melting_Curves/meltCurve_H7C446_PPAN.pdf</t>
  </si>
  <si>
    <t>Melting_Curves/meltCurve_H7C484_ARV1.pdf</t>
  </si>
  <si>
    <t>Melting_Curves/meltCurve_H7C4K1_STK19.pdf</t>
  </si>
  <si>
    <t>Melting_Curves/meltCurve_H7C4P1_ARHGAP25.pdf</t>
  </si>
  <si>
    <t>Melting_Curves/meltCurve_H7C561_SF1.pdf</t>
  </si>
  <si>
    <t>Melting_Curves/meltCurve_H7C5A5_STIM2.pdf</t>
  </si>
  <si>
    <t>Melting_Curves/meltCurve_H7C5F7_NDFIP2.pdf</t>
  </si>
  <si>
    <t>Melting_Curves/meltCurve_H7C5H5_MFN1.pdf</t>
  </si>
  <si>
    <t>Melting_Curves/meltCurve_H7C5R4_GK5.pdf</t>
  </si>
  <si>
    <t>Melting_Curves/meltCurve_H7C5R8_PARP14.pdf</t>
  </si>
  <si>
    <t>Melting_Curves/meltCurve_H7C5W6_HEATR5A.pdf</t>
  </si>
  <si>
    <t>Melting_Curves/meltCurve_H9KV44_EFR3A.pdf</t>
  </si>
  <si>
    <t>Melting_Curves/meltCurve_H9KVB8_MICU1.pdf</t>
  </si>
  <si>
    <t>Melting_Curves/meltCurve_H9ZYI9_GABPB1.pdf</t>
  </si>
  <si>
    <t>Melting_Curves/meltCurve_I3L097_.pdf</t>
  </si>
  <si>
    <t>Melting_Curves/meltCurve_I3L0B8_SLC25A52.pdf</t>
  </si>
  <si>
    <t>Melting_Curves/meltCurve_I3L0C1_SMG1.pdf</t>
  </si>
  <si>
    <t>Melting_Curves/meltCurve_I3L0E3_MRPS17.pdf</t>
  </si>
  <si>
    <t>Melting_Curves/meltCurve_I3L0I1_SOGA1.pdf</t>
  </si>
  <si>
    <t>Melting_Curves/meltCurve_I3L0K1_GOSR2.pdf</t>
  </si>
  <si>
    <t>Melting_Curves/meltCurve_I3L0L6_RNF167.pdf</t>
  </si>
  <si>
    <t>Melting_Curves/meltCurve_I3L0N3_NSF.pdf</t>
  </si>
  <si>
    <t>Melting_Curves/meltCurve_I3L170_MAPT.pdf</t>
  </si>
  <si>
    <t>Melting_Curves/meltCurve_I3L1H5_DPH1.pdf</t>
  </si>
  <si>
    <t>Melting_Curves/meltCurve_I3L1L3_MYBBP1A.pdf</t>
  </si>
  <si>
    <t>Melting_Curves/meltCurve_I3L1P8_SLC25A11.pdf</t>
  </si>
  <si>
    <t>Melting_Curves/meltCurve_I3L1Q2_BCL7C.pdf</t>
  </si>
  <si>
    <t>Melting_Curves/meltCurve_I3L1Q3_ELP5.pdf</t>
  </si>
  <si>
    <t>Melting_Curves/meltCurve_I3L2B0_CLUH.pdf</t>
  </si>
  <si>
    <t>Melting_Curves/meltCurve_I3L2J0_CIC.pdf</t>
  </si>
  <si>
    <t>Melting_Curves/meltCurve_I3L2L5_FAM195B.pdf</t>
  </si>
  <si>
    <t>Melting_Curves/meltCurve_I3L2M9_PCTP.pdf</t>
  </si>
  <si>
    <t>Melting_Curves/meltCurve_I3L367_TOM1L1.pdf</t>
  </si>
  <si>
    <t>Melting_Curves/meltCurve_I3L3A8_PELP1.pdf</t>
  </si>
  <si>
    <t>Melting_Curves/meltCurve_I3L3B4_.pdf</t>
  </si>
  <si>
    <t>Melting_Curves/meltCurve_I3L3P7_RPS15A.pdf</t>
  </si>
  <si>
    <t>Melting_Curves/meltCurve_I3L413_CCNE1.pdf</t>
  </si>
  <si>
    <t>Melting_Curves/meltCurve_I3L448_ATPAF1.pdf</t>
  </si>
  <si>
    <t>Melting_Curves/meltCurve_I3L480_SIRT7.pdf</t>
  </si>
  <si>
    <t>Melting_Curves/meltCurve_I3L4N7_SERPINF1.pdf</t>
  </si>
  <si>
    <t>Melting_Curves/meltCurve_I3L4X2_ABCC1.pdf</t>
  </si>
  <si>
    <t>Melting_Curves/meltCurve_I3L4X7_GPS2.pdf</t>
  </si>
  <si>
    <t>Melting_Curves/meltCurve_I3NI29_PLSCR3.pdf</t>
  </si>
  <si>
    <t>Melting_Curves/meltCurve_I6L8A6_RBBP8.pdf</t>
  </si>
  <si>
    <t>Melting_Curves/meltCurve_J3KMW7_UBR5.pdf</t>
  </si>
  <si>
    <t>Melting_Curves/meltCurve_J3KMW8_CACTIN.pdf</t>
  </si>
  <si>
    <t>Melting_Curves/meltCurve_J3KMX2_SMARCD2.pdf</t>
  </si>
  <si>
    <t>Melting_Curves/meltCurve_J3KMY5_NPC2.pdf</t>
  </si>
  <si>
    <t>Melting_Curves/meltCurve_J3KMZ7_INTS2.pdf</t>
  </si>
  <si>
    <t>Melting_Curves/meltCurve_J3KMZ8_DPF2.pdf</t>
  </si>
  <si>
    <t>Melting_Curves/meltCurve_J3KMZ9_LDLR.pdf</t>
  </si>
  <si>
    <t>Melting_Curves/meltCurve_J3KN01_MLLT4.pdf</t>
  </si>
  <si>
    <t>Melting_Curves/meltCurve_J3KN10_PI4KA.pdf</t>
  </si>
  <si>
    <t>Melting_Curves/meltCurve_J3KN16_KIAA0368.pdf</t>
  </si>
  <si>
    <t>Melting_Curves/meltCurve_J3KN27_FBRSL1.pdf</t>
  </si>
  <si>
    <t>Melting_Curves/meltCurve_J3KN29_PSMD9.pdf</t>
  </si>
  <si>
    <t>Melting_Curves/meltCurve_J3KN49_OBSL1.pdf</t>
  </si>
  <si>
    <t>Melting_Curves/meltCurve_J3KN59_BNIP2.pdf</t>
  </si>
  <si>
    <t>Melting_Curves/meltCurve_J3KN69_NCEH1.pdf</t>
  </si>
  <si>
    <t>Melting_Curves/meltCurve_J3KN82_APIP.pdf</t>
  </si>
  <si>
    <t>Melting_Curves/meltCurve_J3KNA0_OXA1L.pdf</t>
  </si>
  <si>
    <t>Melting_Curves/meltCurve_J3KNB8_MAP3K4.pdf</t>
  </si>
  <si>
    <t>Melting_Curves/meltCurve_J3KNC8_NDST2.pdf</t>
  </si>
  <si>
    <t>Melting_Curves/meltCurve_J3KND1_SAAL1.pdf</t>
  </si>
  <si>
    <t>Melting_Curves/meltCurve_J3KNE0_RGPD3.pdf</t>
  </si>
  <si>
    <t>Melting_Curves/meltCurve_J3KNF4_CCS.pdf</t>
  </si>
  <si>
    <t>Melting_Curves/meltCurve_J3KNF5_CEP290.pdf</t>
  </si>
  <si>
    <t>Melting_Curves/meltCurve_J3KNG8_FNIP1.pdf</t>
  </si>
  <si>
    <t>Melting_Curves/meltCurve_J3KNI1_COG4.pdf</t>
  </si>
  <si>
    <t>Melting_Curves/meltCurve_J3KNL3_CHID1.pdf</t>
  </si>
  <si>
    <t>Melting_Curves/meltCurve_J3KNL6_SEC16A.pdf</t>
  </si>
  <si>
    <t>Melting_Curves/meltCurve_J3KNN5_DDX41.pdf</t>
  </si>
  <si>
    <t>Melting_Curves/meltCurve_J3KNN7_BRAP.pdf</t>
  </si>
  <si>
    <t>Melting_Curves/meltCurve_J3KNP4_SEMA4B.pdf</t>
  </si>
  <si>
    <t>Melting_Curves/meltCurve_J3KNR0_MARK3.pdf</t>
  </si>
  <si>
    <t>Melting_Curves/meltCurve_J3KNR6_PTDSS1.pdf</t>
  </si>
  <si>
    <t>Melting_Curves/meltCurve_J3KNS3_ZNF385A.pdf</t>
  </si>
  <si>
    <t>Melting_Curves/meltCurve_J3KNU8_ALDH6A1.pdf</t>
  </si>
  <si>
    <t>Melting_Curves/meltCurve_J3KNW0_FCHO2.pdf</t>
  </si>
  <si>
    <t>Melting_Curves/meltCurve_J3KNW4_FHL2.pdf</t>
  </si>
  <si>
    <t>Melting_Curves/meltCurve_J3KNW7_CCDC41.pdf</t>
  </si>
  <si>
    <t>Melting_Curves/meltCurve_J3KNX9_MYO18A.pdf</t>
  </si>
  <si>
    <t>Melting_Curves/meltCurve_J3KNY6_RGPD4.pdf</t>
  </si>
  <si>
    <t>Melting_Curves/meltCurve_J3KNZ9_FBRS.pdf</t>
  </si>
  <si>
    <t>Melting_Curves/meltCurve_J3KP15_SRSF2.pdf</t>
  </si>
  <si>
    <t>Melting_Curves/meltCurve_J3KP20_NTRK1.pdf</t>
  </si>
  <si>
    <t>Melting_Curves/meltCurve_J3KP22_PTPRA.pdf</t>
  </si>
  <si>
    <t>Melting_Curves/meltCurve_J3KP27_TRAPPC4.pdf</t>
  </si>
  <si>
    <t>Melting_Curves/meltCurve_J3KP36_FAM21C.pdf</t>
  </si>
  <si>
    <t>Melting_Curves/meltCurve_J3KP75_PHACTR2.pdf</t>
  </si>
  <si>
    <t>Melting_Curves/meltCurve_J3KPC5_RAP1GAP.pdf</t>
  </si>
  <si>
    <t>Melting_Curves/meltCurve_J3KPD3_RBM7.pdf</t>
  </si>
  <si>
    <t>Melting_Curves/meltCurve_J3KPF0_HECTD4.pdf</t>
  </si>
  <si>
    <t>Melting_Curves/meltCurve_J3KPF9_KIF3A.pdf</t>
  </si>
  <si>
    <t>Melting_Curves/meltCurve_J3KPJ3_CAMKK1.pdf</t>
  </si>
  <si>
    <t>Melting_Curves/meltCurve_J3KPK1_SYNJ1.pdf</t>
  </si>
  <si>
    <t>Melting_Curves/meltCurve_J3KPL2_KDM1B.pdf</t>
  </si>
  <si>
    <t>Melting_Curves/meltCurve_J3KPN1_TESC.pdf</t>
  </si>
  <si>
    <t>Melting_Curves/meltCurve_J3KPP7_ARRB1.pdf</t>
  </si>
  <si>
    <t>Melting_Curves/meltCurve_J3KPS0_DNAJB12.pdf</t>
  </si>
  <si>
    <t>Melting_Curves/meltCurve_J3KPT4_TRABD.pdf</t>
  </si>
  <si>
    <t>Melting_Curves/meltCurve_J3KPV7_MPST.pdf</t>
  </si>
  <si>
    <t>Melting_Curves/meltCurve_J3KPW7_HDAC2.pdf</t>
  </si>
  <si>
    <t>Melting_Curves/meltCurve_J3KPX7_PHB2.pdf</t>
  </si>
  <si>
    <t>Melting_Curves/meltCurve_J3KPX8_MAP1A.pdf</t>
  </si>
  <si>
    <t>Melting_Curves/meltCurve_J3KPY9_ANTXR2.pdf</t>
  </si>
  <si>
    <t>Melting_Curves/meltCurve_J3KPZ8_RFXANK.pdf</t>
  </si>
  <si>
    <t>Melting_Curves/meltCurve_J3KQ32_OLA1.pdf</t>
  </si>
  <si>
    <t>Melting_Curves/meltCurve_J3KQ34_COPS7B.pdf</t>
  </si>
  <si>
    <t>Melting_Curves/meltCurve_J3KQ45_TGOLN2.pdf</t>
  </si>
  <si>
    <t>Melting_Curves/meltCurve_J3KQ48_PTRH2.pdf</t>
  </si>
  <si>
    <t>Melting_Curves/meltCurve_J3KQ72_FBXO6.pdf</t>
  </si>
  <si>
    <t>Melting_Curves/meltCurve_J3KQ73_FKBP8.pdf</t>
  </si>
  <si>
    <t>Melting_Curves/meltCurve_J3KQ88_C6orf203.pdf</t>
  </si>
  <si>
    <t>Melting_Curves/meltCurve_J3KQ97_C6orf120.pdf</t>
  </si>
  <si>
    <t>Melting_Curves/meltCurve_J3KQB0_THUMPD1.pdf</t>
  </si>
  <si>
    <t>Melting_Curves/meltCurve_J3KQG4_GBA.pdf</t>
  </si>
  <si>
    <t>Melting_Curves/meltCurve_J3KQJ9_VWDE.pdf</t>
  </si>
  <si>
    <t>Melting_Curves/meltCurve_J3KQL8_APOL2.pdf</t>
  </si>
  <si>
    <t>Melting_Curves/meltCurve_J3KQS2_CDC7.pdf</t>
  </si>
  <si>
    <t>Melting_Curves/meltCurve_J3KQS6_BABAM1.pdf</t>
  </si>
  <si>
    <t>Melting_Curves/meltCurve_J3KQU5_EPHB6.pdf</t>
  </si>
  <si>
    <t>Melting_Curves/meltCurve_J3KQU9_AP1G1.pdf</t>
  </si>
  <si>
    <t>Melting_Curves/meltCurve_J3KQV2_RGP1.pdf</t>
  </si>
  <si>
    <t>Melting_Curves/meltCurve_J3KR35_CCDC12.pdf</t>
  </si>
  <si>
    <t>Melting_Curves/meltCurve_J3KR55_PTPN7.pdf</t>
  </si>
  <si>
    <t>Melting_Curves/meltCurve_J3KR58_SEPHS2.pdf</t>
  </si>
  <si>
    <t>Melting_Curves/meltCurve_J3KR97_TBCD.pdf</t>
  </si>
  <si>
    <t>Melting_Curves/meltCurve_J3KRC8_C16orf55.pdf</t>
  </si>
  <si>
    <t>Melting_Curves/meltCurve_J3KRN4_MAP3K3.pdf</t>
  </si>
  <si>
    <t>Melting_Curves/meltCurve_J3KRP6_SS18.pdf</t>
  </si>
  <si>
    <t>Melting_Curves/meltCurve_J3KRR5_PIGL.pdf</t>
  </si>
  <si>
    <t>Melting_Curves/meltCurve_J3KRW7_TMEM199.pdf</t>
  </si>
  <si>
    <t>Melting_Curves/meltCurve_J3KRZ1_DDX5.pdf</t>
  </si>
  <si>
    <t>Melting_Curves/meltCurve_J3KS05_CBX1.pdf</t>
  </si>
  <si>
    <t>Melting_Curves/meltCurve_J3KSH1_AMZ2.pdf</t>
  </si>
  <si>
    <t>Melting_Curves/meltCurve_J3KSS7_GGA3.pdf</t>
  </si>
  <si>
    <t>Melting_Curves/meltCurve_J3KSW8_MPRIP.pdf</t>
  </si>
  <si>
    <t>Melting_Curves/meltCurve_J3KSY6_NT5C.pdf</t>
  </si>
  <si>
    <t>Melting_Curves/meltCurve_J3KT51_HN1.pdf</t>
  </si>
  <si>
    <t>Melting_Curves/meltCurve_J3KT68_TMEM97.pdf</t>
  </si>
  <si>
    <t>Melting_Curves/meltCurve_J3KTA1_FBXL20.pdf</t>
  </si>
  <si>
    <t>Melting_Curves/meltCurve_J3KTK5_MED9.pdf</t>
  </si>
  <si>
    <t>Melting_Curves/meltCurve_J3KTL2_SRSF1.pdf</t>
  </si>
  <si>
    <t>Melting_Curves/meltCurve_J3QK89_CHERP.pdf</t>
  </si>
  <si>
    <t>Melting_Curves/meltCurve_J3QKR3_PSMB3.pdf</t>
  </si>
  <si>
    <t>Melting_Curves/meltCurve_J3QKR4_ICAM2.pdf</t>
  </si>
  <si>
    <t>Melting_Curves/meltCurve_J3QL56_SCO1.pdf</t>
  </si>
  <si>
    <t>Melting_Curves/meltCurve_J3QL71_SCRN2.pdf</t>
  </si>
  <si>
    <t>Melting_Curves/meltCurve_J3QLB2_SLC39A11.pdf</t>
  </si>
  <si>
    <t>Melting_Curves/meltCurve_J3QLD9_FLOT2.pdf</t>
  </si>
  <si>
    <t>Melting_Curves/meltCurve_J3QLP7_UBBP4.pdf</t>
  </si>
  <si>
    <t>Melting_Curves/meltCurve_J3QLS3_MRPS7.pdf</t>
  </si>
  <si>
    <t>Melting_Curves/meltCurve_J3QQJ0_SAP30BP.pdf</t>
  </si>
  <si>
    <t>Melting_Curves/meltCurve_J3QQJ5_TRAPPC8.pdf</t>
  </si>
  <si>
    <t>Melting_Curves/meltCurve_J3QQT2_RPL17.pdf</t>
  </si>
  <si>
    <t>Melting_Curves/meltCurve_J3QQW9_SUZ12.pdf</t>
  </si>
  <si>
    <t>Melting_Curves/meltCurve_J3QQX3_FDXR.pdf</t>
  </si>
  <si>
    <t>Melting_Curves/meltCurve_J3QQY0_MSL1.pdf</t>
  </si>
  <si>
    <t>Melting_Curves/meltCurve_J3QR09_RPL19.pdf</t>
  </si>
  <si>
    <t>Melting_Curves/meltCurve_J3QR29_CDK11B.pdf</t>
  </si>
  <si>
    <t>Melting_Curves/meltCurve_J3QR35_STRA13.pdf</t>
  </si>
  <si>
    <t>Melting_Curves/meltCurve_J3QR65_MTMR4.pdf</t>
  </si>
  <si>
    <t>Melting_Curves/meltCurve_J3QRM9_ORMDL3.pdf</t>
  </si>
  <si>
    <t>Melting_Curves/meltCurve_J3QRS3_MYL12A.pdf</t>
  </si>
  <si>
    <t>Melting_Curves/meltCurve_J3QRS9_ZNF207.pdf</t>
  </si>
  <si>
    <t>Melting_Curves/meltCurve_J3QRU1_YES1.pdf</t>
  </si>
  <si>
    <t>Melting_Curves/meltCurve_J3QRU4_VAMP2.pdf</t>
  </si>
  <si>
    <t>Melting_Curves/meltCurve_J3QRU8_GIT1.pdf</t>
  </si>
  <si>
    <t>Melting_Curves/meltCurve_J3QRV5_LLGL2.pdf</t>
  </si>
  <si>
    <t>Melting_Curves/meltCurve_J3QRX6_COPRS.pdf</t>
  </si>
  <si>
    <t>Melting_Curves/meltCurve_J3QS41_HELZ.pdf</t>
  </si>
  <si>
    <t>Melting_Curves/meltCurve_J3QSV6_RSL1D1.pdf</t>
  </si>
  <si>
    <t>Melting_Curves/meltCurve_J3QT56_HYPK.pdf</t>
  </si>
  <si>
    <t>Melting_Curves/meltCurve_J3QT87_CRBN.pdf</t>
  </si>
  <si>
    <t>Melting_Curves/meltCurve_J9JIC5_C17orf75.pdf</t>
  </si>
  <si>
    <t>Melting_Curves/meltCurve_J9JID7_LMNB2.pdf</t>
  </si>
  <si>
    <t>Melting_Curves/meltCurve_J9JIE6_TMCO1.pdf</t>
  </si>
  <si>
    <t>Melting_Curves/meltCurve_K4DI92_RWDD4.pdf</t>
  </si>
  <si>
    <t>Melting_Curves/meltCurve_K4DI94_SHPRH.pdf</t>
  </si>
  <si>
    <t>Melting_Curves/meltCurve_K7EIG1_CLUH.pdf</t>
  </si>
  <si>
    <t>Melting_Curves/meltCurve_K7EIL6_.pdf</t>
  </si>
  <si>
    <t>Melting_Curves/meltCurve_K7EIP7_YIPF2.pdf</t>
  </si>
  <si>
    <t>Melting_Curves/meltCurve_K7EIU8_SMAD4.pdf</t>
  </si>
  <si>
    <t>Melting_Curves/meltCurve_K7EIY1_FAM32A.pdf</t>
  </si>
  <si>
    <t>Melting_Curves/meltCurve_K7EJ08_SEC14L1.pdf</t>
  </si>
  <si>
    <t>Melting_Curves/meltCurve_K7EJ78_RPS15.pdf</t>
  </si>
  <si>
    <t>Melting_Curves/meltCurve_K7EJB9_CALR.pdf</t>
  </si>
  <si>
    <t>Melting_Curves/meltCurve_K7EJH0_SPC24.pdf</t>
  </si>
  <si>
    <t>Melting_Curves/meltCurve_K7EJL1_AP1M1.pdf</t>
  </si>
  <si>
    <t>Melting_Curves/meltCurve_K7EJQ7_SEC11C.pdf</t>
  </si>
  <si>
    <t>Melting_Curves/meltCurve_K7EK00_FAM210A.pdf</t>
  </si>
  <si>
    <t>Melting_Curves/meltCurve_K7EK07_H3F3B.pdf</t>
  </si>
  <si>
    <t>Melting_Curves/meltCurve_K7EK35_STAT5A.pdf</t>
  </si>
  <si>
    <t>Melting_Curves/meltCurve_K7EK99_LIN37.pdf</t>
  </si>
  <si>
    <t>Melting_Curves/meltCurve_K7EKE6_LONP1.pdf</t>
  </si>
  <si>
    <t>Melting_Curves/meltCurve_K7EKG9_ATXN7L3.pdf</t>
  </si>
  <si>
    <t>Melting_Curves/meltCurve_K7EKI4_MRPL4.pdf</t>
  </si>
  <si>
    <t>Melting_Curves/meltCurve_K7EKS3_POLRMT.pdf</t>
  </si>
  <si>
    <t>Melting_Curves/meltCurve_K7EKW3_TMUB2.pdf</t>
  </si>
  <si>
    <t>Melting_Curves/meltCurve_K7EKZ9_LINC00493.pdf</t>
  </si>
  <si>
    <t>Melting_Curves/meltCurve_K7EL68_CDC37.pdf</t>
  </si>
  <si>
    <t>Melting_Curves/meltCurve_K7EL81_PPP1R12C.pdf</t>
  </si>
  <si>
    <t>Melting_Curves/meltCurve_K7ELE3_AES.pdf</t>
  </si>
  <si>
    <t>Melting_Curves/meltCurve_K7ELK7_R3HDM4.pdf</t>
  </si>
  <si>
    <t>Melting_Curves/meltCurve_K7ELL7_PRKCSH.pdf</t>
  </si>
  <si>
    <t>Melting_Curves/meltCurve_K7ELN3_DNAH17.pdf</t>
  </si>
  <si>
    <t>Melting_Curves/meltCurve_K7ELW3_EPS8L1.pdf</t>
  </si>
  <si>
    <t>Melting_Curves/meltCurve_K7ELW5_PTBP1.pdf</t>
  </si>
  <si>
    <t>Melting_Curves/meltCurve_K7ELY2_STX10.pdf</t>
  </si>
  <si>
    <t>Melting_Curves/meltCurve_K7EM02_KATNAL2.pdf</t>
  </si>
  <si>
    <t>Melting_Curves/meltCurve_K7EM09_TMEM205.pdf</t>
  </si>
  <si>
    <t>Melting_Curves/meltCurve_K7EML3_C19orf66.pdf</t>
  </si>
  <si>
    <t>Melting_Curves/meltCurve_K7EMW3_SLC25A39.pdf</t>
  </si>
  <si>
    <t>Melting_Curves/meltCurve_K7EN05_ELOF1.pdf</t>
  </si>
  <si>
    <t>Melting_Curves/meltCurve_K7EN88_hCG_2039718.pdf</t>
  </si>
  <si>
    <t>Melting_Curves/meltCurve_K7ENF0_NARS.pdf</t>
  </si>
  <si>
    <t>Melting_Curves/meltCurve_K7ENH2_PSME3.pdf</t>
  </si>
  <si>
    <t>Melting_Curves/meltCurve_K7ENL9_C18orf8.pdf</t>
  </si>
  <si>
    <t>Melting_Curves/meltCurve_K7EP31_ATP5SL.pdf</t>
  </si>
  <si>
    <t>Melting_Curves/meltCurve_K7EP32_UBXN6.pdf</t>
  </si>
  <si>
    <t>Melting_Curves/meltCurve_K7EPJ5_MGRN1.pdf</t>
  </si>
  <si>
    <t>Melting_Curves/meltCurve_K7EQ34_TMEM161A.pdf</t>
  </si>
  <si>
    <t>Melting_Curves/meltCurve_K7EQ37_UNC13D.pdf</t>
  </si>
  <si>
    <t>Melting_Curves/meltCurve_K7EQ77_NDUFA11.pdf</t>
  </si>
  <si>
    <t>Melting_Curves/meltCurve_K7EQB6_LIG3.pdf</t>
  </si>
  <si>
    <t>Melting_Curves/meltCurve_K7EQL1_FAM98C.pdf</t>
  </si>
  <si>
    <t>Melting_Curves/meltCurve_K7EQT1_FZR1.pdf</t>
  </si>
  <si>
    <t>Melting_Curves/meltCurve_K7EQV2_POP4.pdf</t>
  </si>
  <si>
    <t>Melting_Curves/meltCurve_K7EQW8_TPM4.pdf</t>
  </si>
  <si>
    <t>Melting_Curves/meltCurve_K7EQX8_MXRA7.pdf</t>
  </si>
  <si>
    <t>Melting_Curves/meltCurve_K7ER00_FARSA.pdf</t>
  </si>
  <si>
    <t>Melting_Curves/meltCurve_K7ER89_ERCC1.pdf</t>
  </si>
  <si>
    <t>Melting_Curves/meltCurve_K7ERF1_EIF3K.pdf</t>
  </si>
  <si>
    <t>Melting_Curves/meltCurve_K7ERG0_NLRP7.pdf</t>
  </si>
  <si>
    <t>Melting_Curves/meltCurve_K7ERH2_PLEKHJ1.pdf</t>
  </si>
  <si>
    <t>Melting_Curves/meltCurve_K7ERI9_APOC1.pdf</t>
  </si>
  <si>
    <t>Melting_Curves/meltCurve_K7ERQ0_YIF1B.pdf</t>
  </si>
  <si>
    <t>Melting_Curves/meltCurve_K7ERQ8_.pdf</t>
  </si>
  <si>
    <t>Melting_Curves/meltCurve_K7ERU9_.pdf</t>
  </si>
  <si>
    <t>Melting_Curves/meltCurve_K7ERV3_TK1.pdf</t>
  </si>
  <si>
    <t>Melting_Curves/meltCurve_K7ES02_BLMH.pdf</t>
  </si>
  <si>
    <t>Melting_Curves/meltCurve_K7ES11_UBE2O.pdf</t>
  </si>
  <si>
    <t>Melting_Curves/meltCurve_K7ES84_FAM86A.pdf</t>
  </si>
  <si>
    <t>Melting_Curves/meltCurve_K7ESE3_RAD23A.pdf</t>
  </si>
  <si>
    <t>Melting_Curves/meltCurve_K7ESP4_DCAKD.pdf</t>
  </si>
  <si>
    <t>Melting_Curves/meltCurve_M0QWZ7_SARS2.pdf</t>
  </si>
  <si>
    <t>Melting_Curves/meltCurve_M0QX35_PAF1.pdf</t>
  </si>
  <si>
    <t>Melting_Curves/meltCurve_M0QXA7_WIZ.pdf</t>
  </si>
  <si>
    <t>Melting_Curves/meltCurve_M0QXB4_COPE.pdf</t>
  </si>
  <si>
    <t>Melting_Curves/meltCurve_M0QXC2_GMFG.pdf</t>
  </si>
  <si>
    <t>Melting_Curves/meltCurve_M0QXD0_MCOLN1.pdf</t>
  </si>
  <si>
    <t>Melting_Curves/meltCurve_M0QXL5_FBL.pdf</t>
  </si>
  <si>
    <t>Melting_Curves/meltCurve_M0QXT0_USF2.pdf</t>
  </si>
  <si>
    <t>Melting_Curves/meltCurve_M0QXZ5_ZNF428.pdf</t>
  </si>
  <si>
    <t>Melting_Curves/meltCurve_M0QY01_EPS15L1.pdf</t>
  </si>
  <si>
    <t>Melting_Curves/meltCurve_M0QY97_ZC3H4.pdf</t>
  </si>
  <si>
    <t>Melting_Curves/meltCurve_M0QYI9_C19orf60.pdf</t>
  </si>
  <si>
    <t>Melting_Curves/meltCurve_M0QYM7_TUBB4A.pdf</t>
  </si>
  <si>
    <t>Melting_Curves/meltCurve_M0QYS1_RPL13A.pdf</t>
  </si>
  <si>
    <t>Melting_Curves/meltCurve_M0QZ09_SIRT6.pdf</t>
  </si>
  <si>
    <t>Melting_Curves/meltCurve_M0QZ12_GRAMD1A.pdf</t>
  </si>
  <si>
    <t>Melting_Curves/meltCurve_M0QZ22_SAMD4B.pdf</t>
  </si>
  <si>
    <t>Melting_Curves/meltCurve_M0QZ43_HRC.pdf</t>
  </si>
  <si>
    <t>Melting_Curves/meltCurve_M0QZI3_FCHO1.pdf</t>
  </si>
  <si>
    <t>Melting_Curves/meltCurve_M0QZM1_HNRNPM.pdf</t>
  </si>
  <si>
    <t>Melting_Curves/meltCurve_M0QZP3_SPHK2.pdf</t>
  </si>
  <si>
    <t>Melting_Curves/meltCurve_M0QZR4_ARHGEF1.pdf</t>
  </si>
  <si>
    <t>Melting_Curves/meltCurve_M0QZW1_PRKD2.pdf</t>
  </si>
  <si>
    <t>Melting_Curves/meltCurve_M0R042_TUBB4A.pdf</t>
  </si>
  <si>
    <t>Melting_Curves/meltCurve_M0R0B4_KXD1.pdf</t>
  </si>
  <si>
    <t>Melting_Curves/meltCurve_M0R0F0_RPS5.pdf</t>
  </si>
  <si>
    <t>Melting_Curves/meltCurve_M0R0N4_AP2S1.pdf</t>
  </si>
  <si>
    <t>Melting_Curves/meltCurve_M0R0V1_PLEKHA4.pdf</t>
  </si>
  <si>
    <t>Melting_Curves/meltCurve_M0R150_.pdf</t>
  </si>
  <si>
    <t>Melting_Curves/meltCurve_M0R1J0_KCNN4.pdf</t>
  </si>
  <si>
    <t>Melting_Curves/meltCurve_M0R2A0_EMC10.pdf</t>
  </si>
  <si>
    <t>Melting_Curves/meltCurve_M0R2B7_POLD1.pdf</t>
  </si>
  <si>
    <t>Melting_Curves/meltCurve_M0R2C4_LSR.pdf</t>
  </si>
  <si>
    <t>Melting_Curves/meltCurve_M0R2D3_TUBB4A.pdf</t>
  </si>
  <si>
    <t>Melting_Curves/meltCurve_M0R300_MYO9B.pdf</t>
  </si>
  <si>
    <t>Melting_Curves/meltCurve_M0R3D4_RABAC1.pdf</t>
  </si>
  <si>
    <t>Melting_Curves/meltCurve_O00116_AGPS.pdf</t>
  </si>
  <si>
    <t>Melting_Curves/meltCurve_O00124_3_UBXN8.pdf</t>
  </si>
  <si>
    <t>Melting_Curves/meltCurve_O00139_1_KIF2A.pdf</t>
  </si>
  <si>
    <t>Melting_Curves/meltCurve_O00139_2_KIF2A.pdf</t>
  </si>
  <si>
    <t>Melting_Curves/meltCurve_O00148_DDX39A.pdf</t>
  </si>
  <si>
    <t>Melting_Curves/meltCurve_O00151_PDLIM1.pdf</t>
  </si>
  <si>
    <t>Melting_Curves/meltCurve_O00154_4_ACOT7.pdf</t>
  </si>
  <si>
    <t>Melting_Curves/meltCurve_O00159_MYO1C.pdf</t>
  </si>
  <si>
    <t>Melting_Curves/meltCurve_O00161_SNAP23.pdf</t>
  </si>
  <si>
    <t>Melting_Curves/meltCurve_O00165_5_HAX1.pdf</t>
  </si>
  <si>
    <t>Melting_Curves/meltCurve_O00170_AIP.pdf</t>
  </si>
  <si>
    <t>Melting_Curves/meltCurve_O00178_GTPBP1.pdf</t>
  </si>
  <si>
    <t>Melting_Curves/meltCurve_O00180_KCNK1.pdf</t>
  </si>
  <si>
    <t>Melting_Curves/meltCurve_O00186_STXBP3.pdf</t>
  </si>
  <si>
    <t>Melting_Curves/meltCurve_O00203_AP3B1.pdf</t>
  </si>
  <si>
    <t>Melting_Curves/meltCurve_O00214_2_LGALS8.pdf</t>
  </si>
  <si>
    <t>Melting_Curves/meltCurve_O00217_NDUFS8.pdf</t>
  </si>
  <si>
    <t>Melting_Curves/meltCurve_O00220_TNFRSF10A.pdf</t>
  </si>
  <si>
    <t>Melting_Curves/meltCurve_O00221_NFKBIE.pdf</t>
  </si>
  <si>
    <t>Melting_Curves/meltCurve_O00231_PSMD11.pdf</t>
  </si>
  <si>
    <t>Melting_Curves/meltCurve_O00232_PSMD12.pdf</t>
  </si>
  <si>
    <t>Melting_Curves/meltCurve_O00244_ATOX1.pdf</t>
  </si>
  <si>
    <t>Melting_Curves/meltCurve_O00264_PGRMC1.pdf</t>
  </si>
  <si>
    <t>Melting_Curves/meltCurve_O00267_2_SUPT5H.pdf</t>
  </si>
  <si>
    <t>Melting_Curves/meltCurve_O00273_DFFA.pdf</t>
  </si>
  <si>
    <t>Melting_Curves/meltCurve_O00273_2_DFFA.pdf</t>
  </si>
  <si>
    <t>Melting_Curves/meltCurve_O00287_RFXAP.pdf</t>
  </si>
  <si>
    <t>Melting_Curves/meltCurve_O00291_HIP1.pdf</t>
  </si>
  <si>
    <t>Melting_Curves/meltCurve_O00299_CLIC1.pdf</t>
  </si>
  <si>
    <t>Melting_Curves/meltCurve_O00308_WWP2.pdf</t>
  </si>
  <si>
    <t>Melting_Curves/meltCurve_O00325_PTGER3.pdf</t>
  </si>
  <si>
    <t>Melting_Curves/meltCurve_O00399_DCTN6.pdf</t>
  </si>
  <si>
    <t>Melting_Curves/meltCurve_O00400_SLC33A1.pdf</t>
  </si>
  <si>
    <t>Melting_Curves/meltCurve_O00401_WASL.pdf</t>
  </si>
  <si>
    <t>Melting_Curves/meltCurve_O00410_IPO5.pdf</t>
  </si>
  <si>
    <t>Melting_Curves/meltCurve_O00418_EEF2K.pdf</t>
  </si>
  <si>
    <t>Melting_Curves/meltCurve_O00422_SAP18.pdf</t>
  </si>
  <si>
    <t>Melting_Curves/meltCurve_O00425_IGF2BP3.pdf</t>
  </si>
  <si>
    <t>Melting_Curves/meltCurve_O00429_3_DNM1L.pdf</t>
  </si>
  <si>
    <t>Melting_Curves/meltCurve_O00429_4_DNM1L.pdf</t>
  </si>
  <si>
    <t>Melting_Curves/meltCurve_O00442_RTCA.pdf</t>
  </si>
  <si>
    <t>Melting_Curves/meltCurve_O00459_PIK3R2.pdf</t>
  </si>
  <si>
    <t>Melting_Curves/meltCurve_O00461_GOLIM4.pdf</t>
  </si>
  <si>
    <t>Melting_Curves/meltCurve_O00462_MANBA.pdf</t>
  </si>
  <si>
    <t>Melting_Curves/meltCurve_O00468_2_AGRN.pdf</t>
  </si>
  <si>
    <t>Melting_Curves/meltCurve_O00471_EXOC5.pdf</t>
  </si>
  <si>
    <t>Melting_Curves/meltCurve_O00479_HMGN4.pdf</t>
  </si>
  <si>
    <t>Melting_Curves/meltCurve_O00483_NDUFA4.pdf</t>
  </si>
  <si>
    <t>Melting_Curves/meltCurve_O00487_PSMD14.pdf</t>
  </si>
  <si>
    <t>Melting_Curves/meltCurve_O00488_ZNF593.pdf</t>
  </si>
  <si>
    <t>Melting_Curves/meltCurve_O00505_KPNA3.pdf</t>
  </si>
  <si>
    <t>Melting_Curves/meltCurve_O00506_STK25.pdf</t>
  </si>
  <si>
    <t>Melting_Curves/meltCurve_O00512_BCL9.pdf</t>
  </si>
  <si>
    <t>Melting_Curves/meltCurve_O00522_KRIT1.pdf</t>
  </si>
  <si>
    <t>Melting_Curves/meltCurve_O00560_SDCBP.pdf</t>
  </si>
  <si>
    <t>Melting_Curves/meltCurve_O00562_2_PITPNM1.pdf</t>
  </si>
  <si>
    <t>Melting_Curves/meltCurve_O00566_MPHOSPH10.pdf</t>
  </si>
  <si>
    <t>Melting_Curves/meltCurve_O00567_NOP56.pdf</t>
  </si>
  <si>
    <t>Melting_Curves/meltCurve_O00571_DDX3X.pdf</t>
  </si>
  <si>
    <t>Melting_Curves/meltCurve_O00625_PIR.pdf</t>
  </si>
  <si>
    <t>Melting_Curves/meltCurve_O00629_KPNA4.pdf</t>
  </si>
  <si>
    <t>Melting_Curves/meltCurve_O00635_TRIM38.pdf</t>
  </si>
  <si>
    <t>Melting_Curves/meltCurve_O00743_PPP6C.pdf</t>
  </si>
  <si>
    <t>Melting_Curves/meltCurve_O00748_CES2.pdf</t>
  </si>
  <si>
    <t>Melting_Curves/meltCurve_O00754_2_MAN2B1.pdf</t>
  </si>
  <si>
    <t>Melting_Curves/meltCurve_O00764_PDXK.pdf</t>
  </si>
  <si>
    <t>Melting_Curves/meltCurve_O00764_3_PDXK.pdf</t>
  </si>
  <si>
    <t>Melting_Curves/meltCurve_O00767_SCD.pdf</t>
  </si>
  <si>
    <t>Melting_Curves/meltCurve_O14497_ARID1A.pdf</t>
  </si>
  <si>
    <t>Melting_Curves/meltCurve_O14503_BHLHE40.pdf</t>
  </si>
  <si>
    <t>Melting_Curves/meltCurve_O14508_SOCS2.pdf</t>
  </si>
  <si>
    <t>Melting_Curves/meltCurve_O14519_2_CDK2AP1.pdf</t>
  </si>
  <si>
    <t>Melting_Curves/meltCurve_O14523_C2CD2L.pdf</t>
  </si>
  <si>
    <t>Melting_Curves/meltCurve_O14524_2_TMEM194A.pdf</t>
  </si>
  <si>
    <t>Melting_Curves/meltCurve_O14545_TRAFD1.pdf</t>
  </si>
  <si>
    <t>Melting_Curves/meltCurve_O14548_COX7A2L.pdf</t>
  </si>
  <si>
    <t>Melting_Curves/meltCurve_O14561_NDUFAB1.pdf</t>
  </si>
  <si>
    <t>Melting_Curves/meltCurve_O14578_CIT.pdf</t>
  </si>
  <si>
    <t>Melting_Curves/meltCurve_O14613_CDC42EP2.pdf</t>
  </si>
  <si>
    <t>Melting_Curves/meltCurve_O14617_AP3D1.pdf</t>
  </si>
  <si>
    <t>Melting_Curves/meltCurve_O14646_2_CHD1.pdf</t>
  </si>
  <si>
    <t>Melting_Curves/meltCurve_O14656_TOR1A.pdf</t>
  </si>
  <si>
    <t>Melting_Curves/meltCurve_O14657_TOR1B.pdf</t>
  </si>
  <si>
    <t>Melting_Curves/meltCurve_O14662_2_STX16.pdf</t>
  </si>
  <si>
    <t>Melting_Curves/meltCurve_O14672_ADAM10.pdf</t>
  </si>
  <si>
    <t>Melting_Curves/meltCurve_O14686_MLL2.pdf</t>
  </si>
  <si>
    <t>Melting_Curves/meltCurve_O14733_3_MAP2K7.pdf</t>
  </si>
  <si>
    <t>Melting_Curves/meltCurve_O14734_ACOT8.pdf</t>
  </si>
  <si>
    <t>Melting_Curves/meltCurve_O14737_PDCD5.pdf</t>
  </si>
  <si>
    <t>Melting_Curves/meltCurve_O14744_PRMT5.pdf</t>
  </si>
  <si>
    <t>Melting_Curves/meltCurve_O14745_SLC9A3R1.pdf</t>
  </si>
  <si>
    <t>Melting_Curves/meltCurve_O14757_CHEK1.pdf</t>
  </si>
  <si>
    <t>Melting_Curves/meltCurve_O14763_2_TNFRSF10B.pdf</t>
  </si>
  <si>
    <t>Melting_Curves/meltCurve_O14772_2_FPGT.pdf</t>
  </si>
  <si>
    <t>Melting_Curves/meltCurve_O14773_TPP1.pdf</t>
  </si>
  <si>
    <t>Melting_Curves/meltCurve_O14776_2_TCERG1.pdf</t>
  </si>
  <si>
    <t>Melting_Curves/meltCurve_O14777_NDC80.pdf</t>
  </si>
  <si>
    <t>Melting_Curves/meltCurve_O14787_2_TNPO2.pdf</t>
  </si>
  <si>
    <t>Melting_Curves/meltCurve_O14802_POLR3A.pdf</t>
  </si>
  <si>
    <t>Melting_Curves/meltCurve_O14818_PSMA7.pdf</t>
  </si>
  <si>
    <t>Melting_Curves/meltCurve_O14828_SCAMP3.pdf</t>
  </si>
  <si>
    <t>Melting_Curves/meltCurve_O14841_OPLAH.pdf</t>
  </si>
  <si>
    <t>Melting_Curves/meltCurve_O14867_BACH1.pdf</t>
  </si>
  <si>
    <t>Melting_Curves/meltCurve_O14893_2_GEMIN2.pdf</t>
  </si>
  <si>
    <t>Melting_Curves/meltCurve_O14908_GIPC1.pdf</t>
  </si>
  <si>
    <t>Melting_Curves/meltCurve_O14920_IKBKB.pdf</t>
  </si>
  <si>
    <t>Melting_Curves/meltCurve_O14925_TIMM23.pdf</t>
  </si>
  <si>
    <t>Melting_Curves/meltCurve_O14929_HAT1.pdf</t>
  </si>
  <si>
    <t>Melting_Curves/meltCurve_O14933_UBE2L6.pdf</t>
  </si>
  <si>
    <t>Melting_Curves/meltCurve_O14949_UQCRQ.pdf</t>
  </si>
  <si>
    <t>Melting_Curves/meltCurve_O14964_HGS.pdf</t>
  </si>
  <si>
    <t>Melting_Curves/meltCurve_O14965_AURKA.pdf</t>
  </si>
  <si>
    <t>Melting_Curves/meltCurve_O14974_4_PPP1R12A.pdf</t>
  </si>
  <si>
    <t>Melting_Curves/meltCurve_O14975_2_SLC27A2.pdf</t>
  </si>
  <si>
    <t>Melting_Curves/meltCurve_O14976_GAK.pdf</t>
  </si>
  <si>
    <t>Melting_Curves/meltCurve_O14979_3_HNRPDL.pdf</t>
  </si>
  <si>
    <t>Melting_Curves/meltCurve_O14980_XPO1.pdf</t>
  </si>
  <si>
    <t>Melting_Curves/meltCurve_O14981_BTAF1.pdf</t>
  </si>
  <si>
    <t>Melting_Curves/meltCurve_O15014_ZNF609.pdf</t>
  </si>
  <si>
    <t>Melting_Curves/meltCurve_O15020_2_SPTBN2.pdf</t>
  </si>
  <si>
    <t>Melting_Curves/meltCurve_O15031_PLXNB2.pdf</t>
  </si>
  <si>
    <t>Melting_Curves/meltCurve_O15037_KHNYN.pdf</t>
  </si>
  <si>
    <t>Melting_Curves/meltCurve_O15047_SETD1A.pdf</t>
  </si>
  <si>
    <t>Melting_Curves/meltCurve_O15056_SYNJ2.pdf</t>
  </si>
  <si>
    <t>Melting_Curves/meltCurve_O15066_KIF3B.pdf</t>
  </si>
  <si>
    <t>Melting_Curves/meltCurve_O15067_PFAS.pdf</t>
  </si>
  <si>
    <t>Melting_Curves/meltCurve_O15084_ANKRD28.pdf</t>
  </si>
  <si>
    <t>Melting_Curves/meltCurve_O15085_ARHGEF11.pdf</t>
  </si>
  <si>
    <t>Melting_Curves/meltCurve_O15091_4_KIAA0391.pdf</t>
  </si>
  <si>
    <t>Melting_Curves/meltCurve_O15111_CHUK.pdf</t>
  </si>
  <si>
    <t>Melting_Curves/meltCurve_O15116_LSM1.pdf</t>
  </si>
  <si>
    <t>Melting_Curves/meltCurve_O15118_NPC1.pdf</t>
  </si>
  <si>
    <t>Melting_Curves/meltCurve_O15120_AGPAT2.pdf</t>
  </si>
  <si>
    <t>Melting_Curves/meltCurve_O15121_DEGS1.pdf</t>
  </si>
  <si>
    <t>Melting_Curves/meltCurve_O15126_SCAMP1.pdf</t>
  </si>
  <si>
    <t>Melting_Curves/meltCurve_O15127_SCAMP2.pdf</t>
  </si>
  <si>
    <t>Melting_Curves/meltCurve_O15143_ARPC1B.pdf</t>
  </si>
  <si>
    <t>Melting_Curves/meltCurve_O15144_ARPC2.pdf</t>
  </si>
  <si>
    <t>Melting_Curves/meltCurve_O15145_ARPC3.pdf</t>
  </si>
  <si>
    <t>Melting_Curves/meltCurve_O15156_ZBTB7B.pdf</t>
  </si>
  <si>
    <t>Melting_Curves/meltCurve_O15160_POLR1C.pdf</t>
  </si>
  <si>
    <t>Melting_Curves/meltCurve_O15164_2_TRIM24.pdf</t>
  </si>
  <si>
    <t>Melting_Curves/meltCurve_O15169_2_AXIN1.pdf</t>
  </si>
  <si>
    <t>Melting_Curves/meltCurve_O15173_PGRMC2.pdf</t>
  </si>
  <si>
    <t>Melting_Curves/meltCurve_O15212_PFDN6.pdf</t>
  </si>
  <si>
    <t>Melting_Curves/meltCurve_O15226_NKRF.pdf</t>
  </si>
  <si>
    <t>Melting_Curves/meltCurve_O15228_GNPAT.pdf</t>
  </si>
  <si>
    <t>Melting_Curves/meltCurve_O15234_CASC3.pdf</t>
  </si>
  <si>
    <t>Melting_Curves/meltCurve_O15235_MRPS12.pdf</t>
  </si>
  <si>
    <t>Melting_Curves/meltCurve_O15240_VGF.pdf</t>
  </si>
  <si>
    <t>Melting_Curves/meltCurve_O15247_CLIC2.pdf</t>
  </si>
  <si>
    <t>Melting_Curves/meltCurve_O15258_RER1.pdf</t>
  </si>
  <si>
    <t>Melting_Curves/meltCurve_O15269_SPTLC1.pdf</t>
  </si>
  <si>
    <t>Melting_Curves/meltCurve_O15270_SPTLC2.pdf</t>
  </si>
  <si>
    <t>Melting_Curves/meltCurve_O15294_3_OGT.pdf</t>
  </si>
  <si>
    <t>Melting_Curves/meltCurve_O15305_PMM2.pdf</t>
  </si>
  <si>
    <t>Melting_Curves/meltCurve_O15347_HMGB3.pdf</t>
  </si>
  <si>
    <t>Melting_Curves/meltCurve_O15355_PPM1G.pdf</t>
  </si>
  <si>
    <t>Melting_Curves/meltCurve_O15357_INPPL1.pdf</t>
  </si>
  <si>
    <t>Melting_Curves/meltCurve_O15379_HDAC3.pdf</t>
  </si>
  <si>
    <t>Melting_Curves/meltCurve_O15381_2_NVL.pdf</t>
  </si>
  <si>
    <t>Melting_Curves/meltCurve_O15382_BCAT2.pdf</t>
  </si>
  <si>
    <t>Melting_Curves/meltCurve_O15391_YY2.pdf</t>
  </si>
  <si>
    <t>Melting_Curves/meltCurve_O15397_IPO8.pdf</t>
  </si>
  <si>
    <t>Melting_Curves/meltCurve_O15400_2_STX7.pdf</t>
  </si>
  <si>
    <t>Melting_Curves/meltCurve_O15439_2_ABCC4.pdf</t>
  </si>
  <si>
    <t>Melting_Curves/meltCurve_O15446_CD3EAP.pdf</t>
  </si>
  <si>
    <t>Melting_Curves/meltCurve_O15453_NBR2.pdf</t>
  </si>
  <si>
    <t>Melting_Curves/meltCurve_O15460_2_P4HA2.pdf</t>
  </si>
  <si>
    <t>Melting_Curves/meltCurve_O15479_MAGEB2.pdf</t>
  </si>
  <si>
    <t>Melting_Curves/meltCurve_O15498_YKT6.pdf</t>
  </si>
  <si>
    <t>Melting_Curves/meltCurve_O15511_ARPC5.pdf</t>
  </si>
  <si>
    <t>Melting_Curves/meltCurve_O15514_POLR2D.pdf</t>
  </si>
  <si>
    <t>Melting_Curves/meltCurve_O15541_RNF113A.pdf</t>
  </si>
  <si>
    <t>Melting_Curves/meltCurve_O43143_DHX15.pdf</t>
  </si>
  <si>
    <t>Melting_Curves/meltCurve_O43148_RNMT.pdf</t>
  </si>
  <si>
    <t>Melting_Curves/meltCurve_O43149_ZZEF1.pdf</t>
  </si>
  <si>
    <t>Melting_Curves/meltCurve_O43156_TTI1.pdf</t>
  </si>
  <si>
    <t>Melting_Curves/meltCurve_O43164_2_PJA2.pdf</t>
  </si>
  <si>
    <t>Melting_Curves/meltCurve_O43172_2_PRPF4.pdf</t>
  </si>
  <si>
    <t>Melting_Curves/meltCurve_O43175_PHGDH.pdf</t>
  </si>
  <si>
    <t>Melting_Curves/meltCurve_O43181_NDUFS4.pdf</t>
  </si>
  <si>
    <t>Melting_Curves/meltCurve_O43182_4_ARHGAP6.pdf</t>
  </si>
  <si>
    <t>Melting_Curves/meltCurve_O43237_DYNC1LI2.pdf</t>
  </si>
  <si>
    <t>Melting_Curves/meltCurve_O43242_PSMD3.pdf</t>
  </si>
  <si>
    <t>Melting_Curves/meltCurve_O43252_PAPSS1.pdf</t>
  </si>
  <si>
    <t>Melting_Curves/meltCurve_O43257_ZNHIT1.pdf</t>
  </si>
  <si>
    <t>Melting_Curves/meltCurve_O43264_ZW10.pdf</t>
  </si>
  <si>
    <t>Melting_Curves/meltCurve_O43290_SART1.pdf</t>
  </si>
  <si>
    <t>Melting_Curves/meltCurve_O43293_DAPK3.pdf</t>
  </si>
  <si>
    <t>Melting_Curves/meltCurve_O43299_AP5Z1.pdf</t>
  </si>
  <si>
    <t>Melting_Curves/meltCurve_O43310_CTIF.pdf</t>
  </si>
  <si>
    <t>Melting_Curves/meltCurve_O43314_2_PPIP5K2.pdf</t>
  </si>
  <si>
    <t>Melting_Curves/meltCurve_O43318_MAP3K7.pdf</t>
  </si>
  <si>
    <t>Melting_Curves/meltCurve_O43353_RIPK2.pdf</t>
  </si>
  <si>
    <t>Melting_Curves/meltCurve_O43379_WDR62.pdf</t>
  </si>
  <si>
    <t>Melting_Curves/meltCurve_O43390_HNRNPR.pdf</t>
  </si>
  <si>
    <t>Melting_Curves/meltCurve_O43395_PRPF3.pdf</t>
  </si>
  <si>
    <t>Melting_Curves/meltCurve_O43396_TXNL1.pdf</t>
  </si>
  <si>
    <t>Melting_Curves/meltCurve_O43399_TPD52L2.pdf</t>
  </si>
  <si>
    <t>Melting_Curves/meltCurve_O43402_EMC8.pdf</t>
  </si>
  <si>
    <t>Melting_Curves/meltCurve_O43422_PRKRIR.pdf</t>
  </si>
  <si>
    <t>Melting_Curves/meltCurve_O43435_3_TBX1.pdf</t>
  </si>
  <si>
    <t>Melting_Curves/meltCurve_O43447_PPIH.pdf</t>
  </si>
  <si>
    <t>Melting_Curves/meltCurve_O43464_3_HTRA2.pdf</t>
  </si>
  <si>
    <t>Melting_Curves/meltCurve_O43482_OIP5.pdf</t>
  </si>
  <si>
    <t>Melting_Curves/meltCurve_O43491_EPB41L2.pdf</t>
  </si>
  <si>
    <t>Melting_Curves/meltCurve_O43502_RAD51C.pdf</t>
  </si>
  <si>
    <t>Melting_Curves/meltCurve_O43504_LAMTOR5.pdf</t>
  </si>
  <si>
    <t>Melting_Curves/meltCurve_O43513_MED7.pdf</t>
  </si>
  <si>
    <t>Melting_Curves/meltCurve_O43516_WIPF1.pdf</t>
  </si>
  <si>
    <t>Melting_Curves/meltCurve_O43521_6_BCL2L11.pdf</t>
  </si>
  <si>
    <t>Melting_Curves/meltCurve_O43583_DENR.pdf</t>
  </si>
  <si>
    <t>Melting_Curves/meltCurve_O43592_XPOT.pdf</t>
  </si>
  <si>
    <t>Melting_Curves/meltCurve_O43598_DNPH1.pdf</t>
  </si>
  <si>
    <t>Melting_Curves/meltCurve_O43615_TIMM44.pdf</t>
  </si>
  <si>
    <t>Melting_Curves/meltCurve_O43617_TRAPPC3.pdf</t>
  </si>
  <si>
    <t>Melting_Curves/meltCurve_O43633_CHMP2A.pdf</t>
  </si>
  <si>
    <t>Melting_Curves/meltCurve_O43639_NCK2.pdf</t>
  </si>
  <si>
    <t>Melting_Curves/meltCurve_O43663_PRC1.pdf</t>
  </si>
  <si>
    <t>Melting_Curves/meltCurve_O43665_2_RGS10.pdf</t>
  </si>
  <si>
    <t>Melting_Curves/meltCurve_O43677_NDUFC1.pdf</t>
  </si>
  <si>
    <t>Melting_Curves/meltCurve_O43678_NDUFA2.pdf</t>
  </si>
  <si>
    <t>Melting_Curves/meltCurve_O43681_ASNA1.pdf</t>
  </si>
  <si>
    <t>Melting_Curves/meltCurve_O43684_BUB3.pdf</t>
  </si>
  <si>
    <t>Melting_Curves/meltCurve_O43707_ACTN4.pdf</t>
  </si>
  <si>
    <t>Melting_Curves/meltCurve_O43709_WBSCR22.pdf</t>
  </si>
  <si>
    <t>Melting_Curves/meltCurve_O43715_TRIAP1.pdf</t>
  </si>
  <si>
    <t>Melting_Curves/meltCurve_O43719_HTATSF1.pdf</t>
  </si>
  <si>
    <t>Melting_Curves/meltCurve_O43734_5_TRAF3IP2.pdf</t>
  </si>
  <si>
    <t>Melting_Curves/meltCurve_O43736_2_ITM2A.pdf</t>
  </si>
  <si>
    <t>Melting_Curves/meltCurve_O43752_STX6.pdf</t>
  </si>
  <si>
    <t>Melting_Curves/meltCurve_O43760_SYNGR2.pdf</t>
  </si>
  <si>
    <t>Melting_Curves/meltCurve_O43765_SGTA.pdf</t>
  </si>
  <si>
    <t>Melting_Curves/meltCurve_O43766_2_LIAS.pdf</t>
  </si>
  <si>
    <t>Melting_Curves/meltCurve_O43768_2_ENSA.pdf</t>
  </si>
  <si>
    <t>Melting_Curves/meltCurve_O43772_SLC25A20.pdf</t>
  </si>
  <si>
    <t>Melting_Curves/meltCurve_O43776_NARS.pdf</t>
  </si>
  <si>
    <t>Melting_Curves/meltCurve_O43805_SSNA1.pdf</t>
  </si>
  <si>
    <t>Melting_Curves/meltCurve_O43809_NUDT21.pdf</t>
  </si>
  <si>
    <t>Melting_Curves/meltCurve_O43813_LANCL1.pdf</t>
  </si>
  <si>
    <t>Melting_Curves/meltCurve_O43815_STRN.pdf</t>
  </si>
  <si>
    <t>Melting_Curves/meltCurve_O43818_RRP9.pdf</t>
  </si>
  <si>
    <t>Melting_Curves/meltCurve_O43819_SCO2.pdf</t>
  </si>
  <si>
    <t>Melting_Curves/meltCurve_O43820_4_HYAL3.pdf</t>
  </si>
  <si>
    <t>Melting_Curves/meltCurve_O43823_AKAP8.pdf</t>
  </si>
  <si>
    <t>Melting_Curves/meltCurve_O43824_GTPBP6.pdf</t>
  </si>
  <si>
    <t>Melting_Curves/meltCurve_O43826_SLC37A4.pdf</t>
  </si>
  <si>
    <t>Melting_Curves/meltCurve_O43829_ZBTB14.pdf</t>
  </si>
  <si>
    <t>Melting_Curves/meltCurve_O43837_IDH3B.pdf</t>
  </si>
  <si>
    <t>Melting_Curves/meltCurve_O43852_CALU.pdf</t>
  </si>
  <si>
    <t>Melting_Curves/meltCurve_O43865_AHCYL1.pdf</t>
  </si>
  <si>
    <t>Melting_Curves/meltCurve_O43896_KIF1C.pdf</t>
  </si>
  <si>
    <t>Melting_Curves/meltCurve_O43913_ORC5.pdf</t>
  </si>
  <si>
    <t>Melting_Curves/meltCurve_O43920_NDUFS5.pdf</t>
  </si>
  <si>
    <t>Melting_Curves/meltCurve_O43924_PDE6D.pdf</t>
  </si>
  <si>
    <t>Melting_Curves/meltCurve_O43930_PRKY.pdf</t>
  </si>
  <si>
    <t>Melting_Curves/meltCurve_O43933_PEX1.pdf</t>
  </si>
  <si>
    <t>Melting_Curves/meltCurve_O60216_RAD21.pdf</t>
  </si>
  <si>
    <t>Melting_Curves/meltCurve_O60220_TIMM8A.pdf</t>
  </si>
  <si>
    <t>Melting_Curves/meltCurve_O60231_DHX16.pdf</t>
  </si>
  <si>
    <t>Melting_Curves/meltCurve_O60234_GMFG.pdf</t>
  </si>
  <si>
    <t>Melting_Curves/meltCurve_O60239_SH3BP5.pdf</t>
  </si>
  <si>
    <t>Melting_Curves/meltCurve_O60244_MED14.pdf</t>
  </si>
  <si>
    <t>Melting_Curves/meltCurve_O60256_PRPSAP2.pdf</t>
  </si>
  <si>
    <t>Melting_Curves/meltCurve_O60264_SMARCA5.pdf</t>
  </si>
  <si>
    <t>Melting_Curves/meltCurve_O60271_4_SPAG9.pdf</t>
  </si>
  <si>
    <t>Melting_Curves/meltCurve_O60293_2_ZFC3H1.pdf</t>
  </si>
  <si>
    <t>Melting_Curves/meltCurve_O60294_LCMT2.pdf</t>
  </si>
  <si>
    <t>Melting_Curves/meltCurve_O60306_AQR.pdf</t>
  </si>
  <si>
    <t>Melting_Curves/meltCurve_O60307_MAST3.pdf</t>
  </si>
  <si>
    <t>Melting_Curves/meltCurve_O60313_2_OPA1.pdf</t>
  </si>
  <si>
    <t>Melting_Curves/meltCurve_O60315_2_ZEB2.pdf</t>
  </si>
  <si>
    <t>Melting_Curves/meltCurve_O60333_2_KIF1B.pdf</t>
  </si>
  <si>
    <t>Melting_Curves/meltCurve_O60337_5_MARCH6.pdf</t>
  </si>
  <si>
    <t>Melting_Curves/meltCurve_O60341_KDM1A.pdf</t>
  </si>
  <si>
    <t>Melting_Curves/meltCurve_O60343_2_TBC1D4.pdf</t>
  </si>
  <si>
    <t>Melting_Curves/meltCurve_O60344_4_ECE2.pdf</t>
  </si>
  <si>
    <t>Melting_Curves/meltCurve_O60427_FADS1.pdf</t>
  </si>
  <si>
    <t>Melting_Curves/meltCurve_O60476_MAN1A2.pdf</t>
  </si>
  <si>
    <t>Melting_Curves/meltCurve_O60488_2_ACSL4.pdf</t>
  </si>
  <si>
    <t>Melting_Curves/meltCurve_O60493_SNX3.pdf</t>
  </si>
  <si>
    <t>Melting_Curves/meltCurve_O60502_MGEA5.pdf</t>
  </si>
  <si>
    <t>Melting_Curves/meltCurve_O60506_3_SYNCRIP.pdf</t>
  </si>
  <si>
    <t>Melting_Curves/meltCurve_O60512_B4GALT3.pdf</t>
  </si>
  <si>
    <t>Melting_Curves/meltCurve_O60518_RANBP6.pdf</t>
  </si>
  <si>
    <t>Melting_Curves/meltCurve_O60524_4_NEMF.pdf</t>
  </si>
  <si>
    <t>Melting_Curves/meltCurve_O60547_2_GMDS.pdf</t>
  </si>
  <si>
    <t>Melting_Curves/meltCurve_O60563_CCNT1.pdf</t>
  </si>
  <si>
    <t>Melting_Curves/meltCurve_O60566_BUB1B.pdf</t>
  </si>
  <si>
    <t>Melting_Curves/meltCurve_O60568_PLOD3.pdf</t>
  </si>
  <si>
    <t>Melting_Curves/meltCurve_O60583_2_CCNT2.pdf</t>
  </si>
  <si>
    <t>Melting_Curves/meltCurve_O60613_SEP15.pdf</t>
  </si>
  <si>
    <t>Melting_Curves/meltCurve_O60645_3_EXOC3.pdf</t>
  </si>
  <si>
    <t>Melting_Curves/meltCurve_O60664_PLIN3.pdf</t>
  </si>
  <si>
    <t>Melting_Curves/meltCurve_O60671_RAD1.pdf</t>
  </si>
  <si>
    <t>Melting_Curves/meltCurve_O60678_PRMT3.pdf</t>
  </si>
  <si>
    <t>Melting_Curves/meltCurve_O60701_UGDH.pdf</t>
  </si>
  <si>
    <t>Melting_Curves/meltCurve_O60704_TPST2.pdf</t>
  </si>
  <si>
    <t>Melting_Curves/meltCurve_O60716_5_CTNND1.pdf</t>
  </si>
  <si>
    <t>Melting_Curves/meltCurve_O60732_MAGEC1.pdf</t>
  </si>
  <si>
    <t>Melting_Curves/meltCurve_O60739_EIF1B.pdf</t>
  </si>
  <si>
    <t>Melting_Curves/meltCurve_O60749_SNX2.pdf</t>
  </si>
  <si>
    <t>Melting_Curves/meltCurve_O60763_USO1.pdf</t>
  </si>
  <si>
    <t>Melting_Curves/meltCurve_O60826_CCDC22.pdf</t>
  </si>
  <si>
    <t>Melting_Curves/meltCurve_O60828_PQBP1.pdf</t>
  </si>
  <si>
    <t>Melting_Curves/meltCurve_O60829_PAGE4.pdf</t>
  </si>
  <si>
    <t>Melting_Curves/meltCurve_O60830_TIMM17B.pdf</t>
  </si>
  <si>
    <t>Melting_Curves/meltCurve_O60832_DKC1.pdf</t>
  </si>
  <si>
    <t>Melting_Curves/meltCurve_O60841_EIF5B.pdf</t>
  </si>
  <si>
    <t>Melting_Curves/meltCurve_O60869_EDF1.pdf</t>
  </si>
  <si>
    <t>Melting_Curves/meltCurve_O60870_KIN.pdf</t>
  </si>
  <si>
    <t>Melting_Curves/meltCurve_O60884_DNAJA2.pdf</t>
  </si>
  <si>
    <t>Melting_Curves/meltCurve_O60885_BRD4.pdf</t>
  </si>
  <si>
    <t>Melting_Curves/meltCurve_O60888_3_CUTA.pdf</t>
  </si>
  <si>
    <t>Melting_Curves/meltCurve_O60906_SMPD2.pdf</t>
  </si>
  <si>
    <t>Melting_Curves/meltCurve_O60907_2_TBL1X.pdf</t>
  </si>
  <si>
    <t>Melting_Curves/meltCurve_O60911_CTSL2.pdf</t>
  </si>
  <si>
    <t>Melting_Curves/meltCurve_O60925_PFDN1.pdf</t>
  </si>
  <si>
    <t>Melting_Curves/meltCurve_O60927_PPP1R11.pdf</t>
  </si>
  <si>
    <t>Melting_Curves/meltCurve_O60930_RNASEH1.pdf</t>
  </si>
  <si>
    <t>Melting_Curves/meltCurve_O60934_NBN.pdf</t>
  </si>
  <si>
    <t>Melting_Curves/meltCurve_O60942_RNGTT.pdf</t>
  </si>
  <si>
    <t>Melting_Curves/meltCurve_O75027_ABCB7.pdf</t>
  </si>
  <si>
    <t>Melting_Curves/meltCurve_O75044_SRGAP2.pdf</t>
  </si>
  <si>
    <t>Melting_Curves/meltCurve_O75054_IGSF3.pdf</t>
  </si>
  <si>
    <t>Melting_Curves/meltCurve_O75061_4_DNAJC6.pdf</t>
  </si>
  <si>
    <t>Melting_Curves/meltCurve_O75063_FAM20B.pdf</t>
  </si>
  <si>
    <t>Melting_Curves/meltCurve_O75083_WDR1.pdf</t>
  </si>
  <si>
    <t>Melting_Curves/meltCurve_O75113_N4BP1.pdf</t>
  </si>
  <si>
    <t>Melting_Curves/meltCurve_O75116_ROCK2.pdf</t>
  </si>
  <si>
    <t>Melting_Curves/meltCurve_O75131_CPNE3.pdf</t>
  </si>
  <si>
    <t>Melting_Curves/meltCurve_O75143_3_ATG13.pdf</t>
  </si>
  <si>
    <t>Melting_Curves/meltCurve_O75145_2_PPFIA3.pdf</t>
  </si>
  <si>
    <t>Melting_Curves/meltCurve_O75146_HIP1R.pdf</t>
  </si>
  <si>
    <t>Melting_Curves/meltCurve_O75150_RNF40.pdf</t>
  </si>
  <si>
    <t>Melting_Curves/meltCurve_O75152_ZC3H11A.pdf</t>
  </si>
  <si>
    <t>Melting_Curves/meltCurve_O75153_CLUH.pdf</t>
  </si>
  <si>
    <t>Melting_Curves/meltCurve_O75155_CAND2.pdf</t>
  </si>
  <si>
    <t>Melting_Curves/meltCurve_O75157_2_TSC22D2.pdf</t>
  </si>
  <si>
    <t>Melting_Curves/meltCurve_O75165_DNAJC13.pdf</t>
  </si>
  <si>
    <t>Melting_Curves/meltCurve_O75170_2_PPP6R2.pdf</t>
  </si>
  <si>
    <t>Melting_Curves/meltCurve_O75175_CNOT3.pdf</t>
  </si>
  <si>
    <t>Melting_Curves/meltCurve_O75179_2_ANKRD17.pdf</t>
  </si>
  <si>
    <t>Melting_Curves/meltCurve_O75191_XYLB.pdf</t>
  </si>
  <si>
    <t>Melting_Curves/meltCurve_O75208_COQ9.pdf</t>
  </si>
  <si>
    <t>Melting_Curves/meltCurve_O75223_GGCT.pdf</t>
  </si>
  <si>
    <t>Melting_Curves/meltCurve_O75306_NDUFS2.pdf</t>
  </si>
  <si>
    <t>Melting_Curves/meltCurve_O75312_ZNF259.pdf</t>
  </si>
  <si>
    <t>Melting_Curves/meltCurve_O75323_GBAS.pdf</t>
  </si>
  <si>
    <t>Melting_Curves/meltCurve_O75330_2_HMMR.pdf</t>
  </si>
  <si>
    <t>Melting_Curves/meltCurve_O75340_PDCD6.pdf</t>
  </si>
  <si>
    <t>Melting_Curves/meltCurve_O75347_TBCA.pdf</t>
  </si>
  <si>
    <t>Melting_Curves/meltCurve_O75348_ATP6V1G1.pdf</t>
  </si>
  <si>
    <t>Melting_Curves/meltCurve_O75351_VPS4B.pdf</t>
  </si>
  <si>
    <t>Melting_Curves/meltCurve_O75362_ZNF217.pdf</t>
  </si>
  <si>
    <t>Melting_Curves/meltCurve_O75365_2_PTP4A3.pdf</t>
  </si>
  <si>
    <t>Melting_Curves/meltCurve_O75368_SH3BGRL.pdf</t>
  </si>
  <si>
    <t>Melting_Curves/meltCurve_O75369_8_FLNB.pdf</t>
  </si>
  <si>
    <t>Melting_Curves/meltCurve_O75376_NCOR1.pdf</t>
  </si>
  <si>
    <t>Melting_Curves/meltCurve_O75379_VAMP4.pdf</t>
  </si>
  <si>
    <t>Melting_Curves/meltCurve_O75380_NDUFS6.pdf</t>
  </si>
  <si>
    <t>Melting_Curves/meltCurve_O75381_2_PEX14.pdf</t>
  </si>
  <si>
    <t>Melting_Curves/meltCurve_O75386_TULP3.pdf</t>
  </si>
  <si>
    <t>Melting_Curves/meltCurve_O75387_SLC43A1.pdf</t>
  </si>
  <si>
    <t>Melting_Curves/meltCurve_O75391_SPAG7.pdf</t>
  </si>
  <si>
    <t>Melting_Curves/meltCurve_O75396_SEC22B.pdf</t>
  </si>
  <si>
    <t>Melting_Curves/meltCurve_O75400_PRPF40A.pdf</t>
  </si>
  <si>
    <t>Melting_Curves/meltCurve_O75419_2_CDC45.pdf</t>
  </si>
  <si>
    <t>Melting_Curves/meltCurve_O75420_GIGYF1.pdf</t>
  </si>
  <si>
    <t>Melting_Curves/meltCurve_O75427_LRCH4.pdf</t>
  </si>
  <si>
    <t>Melting_Curves/meltCurve_O75436_VPS26A.pdf</t>
  </si>
  <si>
    <t>Melting_Curves/meltCurve_O75438_NDUFB1.pdf</t>
  </si>
  <si>
    <t>Melting_Curves/meltCurve_O75439_PMPCB.pdf</t>
  </si>
  <si>
    <t>Melting_Curves/meltCurve_O75446_SAP30.pdf</t>
  </si>
  <si>
    <t>Melting_Curves/meltCurve_O75449_KATNA1.pdf</t>
  </si>
  <si>
    <t>Melting_Curves/meltCurve_O75452_RDH16.pdf</t>
  </si>
  <si>
    <t>Melting_Curves/meltCurve_O75459_PAGE1.pdf</t>
  </si>
  <si>
    <t>Melting_Curves/meltCurve_O75475_PSIP1.pdf</t>
  </si>
  <si>
    <t>Melting_Curves/meltCurve_O75477_ERLIN1.pdf</t>
  </si>
  <si>
    <t>Melting_Curves/meltCurve_O75489_NDUFS3.pdf</t>
  </si>
  <si>
    <t>Melting_Curves/meltCurve_O75503_CLN5.pdf</t>
  </si>
  <si>
    <t>Melting_Curves/meltCurve_O75506_HSBP1.pdf</t>
  </si>
  <si>
    <t>Melting_Curves/meltCurve_O75521_2_ECI2.pdf</t>
  </si>
  <si>
    <t>Melting_Curves/meltCurve_O75528_TADA3.pdf</t>
  </si>
  <si>
    <t>Melting_Curves/meltCurve_O75530_3_EED.pdf</t>
  </si>
  <si>
    <t>Melting_Curves/meltCurve_O75531_BANF1.pdf</t>
  </si>
  <si>
    <t>Melting_Curves/meltCurve_O75533_SF3B1.pdf</t>
  </si>
  <si>
    <t>Melting_Curves/meltCurve_O75534_CSDE1.pdf</t>
  </si>
  <si>
    <t>Melting_Curves/meltCurve_O75554_WBP4.pdf</t>
  </si>
  <si>
    <t>Melting_Curves/meltCurve_O75570_MTRF1.pdf</t>
  </si>
  <si>
    <t>Melting_Curves/meltCurve_O75600_GCAT.pdf</t>
  </si>
  <si>
    <t>Melting_Curves/meltCurve_O75607_NPM3.pdf</t>
  </si>
  <si>
    <t>Melting_Curves/meltCurve_O75608_2_LYPLA1.pdf</t>
  </si>
  <si>
    <t>Melting_Curves/meltCurve_O75616_ERAL1.pdf</t>
  </si>
  <si>
    <t>Melting_Curves/meltCurve_O75629_CREG1.pdf</t>
  </si>
  <si>
    <t>Melting_Curves/meltCurve_O75635_2_SERPINB7.pdf</t>
  </si>
  <si>
    <t>Melting_Curves/meltCurve_O75643_SNRNP200.pdf</t>
  </si>
  <si>
    <t>Melting_Curves/meltCurve_O75648_TRMU.pdf</t>
  </si>
  <si>
    <t>Melting_Curves/meltCurve_O75663_TIPRL.pdf</t>
  </si>
  <si>
    <t>Melting_Curves/meltCurve_O75688_PPM1B.pdf</t>
  </si>
  <si>
    <t>Melting_Curves/meltCurve_O75691_UTP20.pdf</t>
  </si>
  <si>
    <t>Melting_Curves/meltCurve_O75695_RP2.pdf</t>
  </si>
  <si>
    <t>Melting_Curves/meltCurve_O75717_WDHD1.pdf</t>
  </si>
  <si>
    <t>Melting_Curves/meltCurve_O75746_SLC25A12.pdf</t>
  </si>
  <si>
    <t>Melting_Curves/meltCurve_O75781_PALM.pdf</t>
  </si>
  <si>
    <t>Melting_Curves/meltCurve_O75791_GRAP2.pdf</t>
  </si>
  <si>
    <t>Melting_Curves/meltCurve_O75792_RNASEH2A.pdf</t>
  </si>
  <si>
    <t>Melting_Curves/meltCurve_O75794_CDC123.pdf</t>
  </si>
  <si>
    <t>Melting_Curves/meltCurve_O75818_2_RPP40.pdf</t>
  </si>
  <si>
    <t>Melting_Curves/meltCurve_O75821_EIF3G.pdf</t>
  </si>
  <si>
    <t>Melting_Curves/meltCurve_O75822_EIF3J.pdf</t>
  </si>
  <si>
    <t>Melting_Curves/meltCurve_O75828_CBR3.pdf</t>
  </si>
  <si>
    <t>Melting_Curves/meltCurve_O75844_ZMPSTE24.pdf</t>
  </si>
  <si>
    <t>Melting_Curves/meltCurve_O75874_IDH1.pdf</t>
  </si>
  <si>
    <t>Melting_Curves/meltCurve_O75882_3_ATRN.pdf</t>
  </si>
  <si>
    <t>Melting_Curves/meltCurve_O75886_STAM2.pdf</t>
  </si>
  <si>
    <t>Melting_Curves/meltCurve_O75896_TUSC2.pdf</t>
  </si>
  <si>
    <t>Melting_Curves/meltCurve_O75909_CCNK.pdf</t>
  </si>
  <si>
    <t>Melting_Curves/meltCurve_O75911_DHRS3.pdf</t>
  </si>
  <si>
    <t>Melting_Curves/meltCurve_O75915_ARL6IP5.pdf</t>
  </si>
  <si>
    <t>Melting_Curves/meltCurve_O75923_15_DYSF.pdf</t>
  </si>
  <si>
    <t>Melting_Curves/meltCurve_O75928_2_PIAS2.pdf</t>
  </si>
  <si>
    <t>Melting_Curves/meltCurve_O75934_BCAS2.pdf</t>
  </si>
  <si>
    <t>Melting_Curves/meltCurve_O75935_3_DCTN3.pdf</t>
  </si>
  <si>
    <t>Melting_Curves/meltCurve_O75937_DNAJC8.pdf</t>
  </si>
  <si>
    <t>Melting_Curves/meltCurve_O75940_SMNDC1.pdf</t>
  </si>
  <si>
    <t>Melting_Curves/meltCurve_O75943_4_RAD17.pdf</t>
  </si>
  <si>
    <t>Melting_Curves/meltCurve_O75947_ATP5H.pdf</t>
  </si>
  <si>
    <t>Melting_Curves/meltCurve_O75955_FLOT1.pdf</t>
  </si>
  <si>
    <t>Melting_Curves/meltCurve_O75964_ATP5L.pdf</t>
  </si>
  <si>
    <t>Melting_Curves/meltCurve_O75976_CPD.pdf</t>
  </si>
  <si>
    <t>Melting_Curves/meltCurve_O76003_GLRX3.pdf</t>
  </si>
  <si>
    <t>Melting_Curves/meltCurve_O76031_CLPX.pdf</t>
  </si>
  <si>
    <t>Melting_Curves/meltCurve_O76041_2_NEBL.pdf</t>
  </si>
  <si>
    <t>Melting_Curves/meltCurve_O76070_SNCG.pdf</t>
  </si>
  <si>
    <t>Melting_Curves/meltCurve_O76071_CIAO1.pdf</t>
  </si>
  <si>
    <t>Melting_Curves/meltCurve_O76075_2_DFFB.pdf</t>
  </si>
  <si>
    <t>Melting_Curves/meltCurve_O76080_ZFAND5.pdf</t>
  </si>
  <si>
    <t>Melting_Curves/meltCurve_O76094_SRP72.pdf</t>
  </si>
  <si>
    <t>Melting_Curves/meltCurve_O76095_2_JTB.pdf</t>
  </si>
  <si>
    <t>Melting_Curves/meltCurve_O94761_RECQL4.pdf</t>
  </si>
  <si>
    <t>Melting_Curves/meltCurve_O94762_RECQL5.pdf</t>
  </si>
  <si>
    <t>Melting_Curves/meltCurve_O94763_URI1.pdf</t>
  </si>
  <si>
    <t>Melting_Curves/meltCurve_O94766_B3GAT3.pdf</t>
  </si>
  <si>
    <t>Melting_Curves/meltCurve_O94776_MTA2.pdf</t>
  </si>
  <si>
    <t>Melting_Curves/meltCurve_O94782_USP1.pdf</t>
  </si>
  <si>
    <t>Melting_Curves/meltCurve_O94788_ALDH1A2.pdf</t>
  </si>
  <si>
    <t>Melting_Curves/meltCurve_O94804_STK10.pdf</t>
  </si>
  <si>
    <t>Melting_Curves/meltCurve_O94822_LTN1.pdf</t>
  </si>
  <si>
    <t>Melting_Curves/meltCurve_O94826_TOMM70A.pdf</t>
  </si>
  <si>
    <t>Melting_Curves/meltCurve_O94829_IPO13.pdf</t>
  </si>
  <si>
    <t>Melting_Curves/meltCurve_O94830_DDHD2.pdf</t>
  </si>
  <si>
    <t>Melting_Curves/meltCurve_O94832_MYO1D.pdf</t>
  </si>
  <si>
    <t>Melting_Curves/meltCurve_O94851_5_MICAL2.pdf</t>
  </si>
  <si>
    <t>Melting_Curves/meltCurve_O94854_2_KIAA0754.pdf</t>
  </si>
  <si>
    <t>Melting_Curves/meltCurve_O94855_SEC24D.pdf</t>
  </si>
  <si>
    <t>Melting_Curves/meltCurve_O94864_2_SUPT7L.pdf</t>
  </si>
  <si>
    <t>Melting_Curves/meltCurve_O94874_UFL1.pdf</t>
  </si>
  <si>
    <t>Melting_Curves/meltCurve_O94880_PHF14.pdf</t>
  </si>
  <si>
    <t>Melting_Curves/meltCurve_O94885_SASH1.pdf</t>
  </si>
  <si>
    <t>Melting_Curves/meltCurve_O94886_TMEM63A.pdf</t>
  </si>
  <si>
    <t>Melting_Curves/meltCurve_O94888_UBXN7.pdf</t>
  </si>
  <si>
    <t>Melting_Curves/meltCurve_O94889_KLHL18.pdf</t>
  </si>
  <si>
    <t>Melting_Curves/meltCurve_O94898_LRIG2.pdf</t>
  </si>
  <si>
    <t>Melting_Curves/meltCurve_O94903_PROSC.pdf</t>
  </si>
  <si>
    <t>Melting_Curves/meltCurve_O94905_ERLIN2.pdf</t>
  </si>
  <si>
    <t>Melting_Curves/meltCurve_O94906_2_PRPF6.pdf</t>
  </si>
  <si>
    <t>Melting_Curves/meltCurve_O94913_PCF11.pdf</t>
  </si>
  <si>
    <t>Melting_Curves/meltCurve_O94916_NFAT5.pdf</t>
  </si>
  <si>
    <t>Melting_Curves/meltCurve_O94919_ENDOD1.pdf</t>
  </si>
  <si>
    <t>Melting_Curves/meltCurve_O94925_3_GLS.pdf</t>
  </si>
  <si>
    <t>Melting_Curves/meltCurve_O94927_HAUS5.pdf</t>
  </si>
  <si>
    <t>Melting_Curves/meltCurve_O94941_2_UBOX5.pdf</t>
  </si>
  <si>
    <t>Melting_Curves/meltCurve_O94966_7_USP19.pdf</t>
  </si>
  <si>
    <t>Melting_Curves/meltCurve_O94973_AP2A2.pdf</t>
  </si>
  <si>
    <t>Melting_Curves/meltCurve_O94992_HEXIM1.pdf</t>
  </si>
  <si>
    <t>Melting_Curves/meltCurve_O95059_RPP14.pdf</t>
  </si>
  <si>
    <t>Melting_Curves/meltCurve_O95067_CCNB2.pdf</t>
  </si>
  <si>
    <t>Melting_Curves/meltCurve_O95081_AGFG2.pdf</t>
  </si>
  <si>
    <t>Melting_Curves/meltCurve_O95104_3_SCAF4.pdf</t>
  </si>
  <si>
    <t>Melting_Curves/meltCurve_O95139_NDUFB6.pdf</t>
  </si>
  <si>
    <t>Melting_Curves/meltCurve_O95140_MFN2.pdf</t>
  </si>
  <si>
    <t>Melting_Curves/meltCurve_O95155_2_UBE4B.pdf</t>
  </si>
  <si>
    <t>Melting_Curves/meltCurve_O95159_ZFPL1.pdf</t>
  </si>
  <si>
    <t>Melting_Curves/meltCurve_O95163_IKBKAP.pdf</t>
  </si>
  <si>
    <t>Melting_Curves/meltCurve_O95167_NDUFA3.pdf</t>
  </si>
  <si>
    <t>Melting_Curves/meltCurve_O95168_NDUFB4.pdf</t>
  </si>
  <si>
    <t>Melting_Curves/meltCurve_O95182_NDUFA7.pdf</t>
  </si>
  <si>
    <t>Melting_Curves/meltCurve_O95197_2_RTN3.pdf</t>
  </si>
  <si>
    <t>Melting_Curves/meltCurve_O95202_LETM1.pdf</t>
  </si>
  <si>
    <t>Melting_Curves/meltCurve_O95218_2_ZRANB2.pdf</t>
  </si>
  <si>
    <t>Melting_Curves/meltCurve_O95219_SNX4.pdf</t>
  </si>
  <si>
    <t>Melting_Curves/meltCurve_O95229_ZWINT.pdf</t>
  </si>
  <si>
    <t>Melting_Curves/meltCurve_O95231_VENTX.pdf</t>
  </si>
  <si>
    <t>Melting_Curves/meltCurve_O95232_LUC7L3.pdf</t>
  </si>
  <si>
    <t>Melting_Curves/meltCurve_O95239_KIF4A.pdf</t>
  </si>
  <si>
    <t>Melting_Curves/meltCurve_O95251_2_KAT7.pdf</t>
  </si>
  <si>
    <t>Melting_Curves/meltCurve_O95273_CCNDBP1.pdf</t>
  </si>
  <si>
    <t>Melting_Curves/meltCurve_O95292_VAPB.pdf</t>
  </si>
  <si>
    <t>Melting_Curves/meltCurve_O95295_SNAPIN.pdf</t>
  </si>
  <si>
    <t>Melting_Curves/meltCurve_O95297_2_MPZL1.pdf</t>
  </si>
  <si>
    <t>Melting_Curves/meltCurve_O95298_2_NDUFC2.pdf</t>
  </si>
  <si>
    <t>Melting_Curves/meltCurve_O95302_FKBP9.pdf</t>
  </si>
  <si>
    <t>Melting_Curves/meltCurve_O95336_PGLS.pdf</t>
  </si>
  <si>
    <t>Melting_Curves/meltCurve_O95347_SMC2.pdf</t>
  </si>
  <si>
    <t>Melting_Curves/meltCurve_O95352_ATG7.pdf</t>
  </si>
  <si>
    <t>Melting_Curves/meltCurve_O95363_FARS2.pdf</t>
  </si>
  <si>
    <t>Melting_Curves/meltCurve_O95365_ZBTB7A.pdf</t>
  </si>
  <si>
    <t>Melting_Curves/meltCurve_O95372_LYPLA2.pdf</t>
  </si>
  <si>
    <t>Melting_Curves/meltCurve_O95373_IPO7.pdf</t>
  </si>
  <si>
    <t>Melting_Curves/meltCurve_O95376_ARIH2.pdf</t>
  </si>
  <si>
    <t>Melting_Curves/meltCurve_O95391_SLU7.pdf</t>
  </si>
  <si>
    <t>Melting_Curves/meltCurve_O95394_PGM3.pdf</t>
  </si>
  <si>
    <t>Melting_Curves/meltCurve_O95396_MOCS3.pdf</t>
  </si>
  <si>
    <t>Melting_Curves/meltCurve_O95400_CD2BP2.pdf</t>
  </si>
  <si>
    <t>Melting_Curves/meltCurve_O95402_MED26.pdf</t>
  </si>
  <si>
    <t>Melting_Curves/meltCurve_O95405_2_ZFYVE9.pdf</t>
  </si>
  <si>
    <t>Melting_Curves/meltCurve_O95429_2_BAG4.pdf</t>
  </si>
  <si>
    <t>Melting_Curves/meltCurve_O95433_AHSA1.pdf</t>
  </si>
  <si>
    <t>Melting_Curves/meltCurve_O95453_2_PARN.pdf</t>
  </si>
  <si>
    <t>Melting_Curves/meltCurve_O95455_TGDS.pdf</t>
  </si>
  <si>
    <t>Melting_Curves/meltCurve_O95456_2_PSMG1.pdf</t>
  </si>
  <si>
    <t>Melting_Curves/meltCurve_O95466_2_FMNL1.pdf</t>
  </si>
  <si>
    <t>Melting_Curves/meltCurve_O95470_SGPL1.pdf</t>
  </si>
  <si>
    <t>Melting_Curves/meltCurve_O95486_SEC24A.pdf</t>
  </si>
  <si>
    <t>Melting_Curves/meltCurve_O95487_2_SEC24B.pdf</t>
  </si>
  <si>
    <t>Melting_Curves/meltCurve_O95544_NADK.pdf</t>
  </si>
  <si>
    <t>Melting_Curves/meltCurve_O95551_TDP2.pdf</t>
  </si>
  <si>
    <t>Melting_Curves/meltCurve_O95571_ETHE1.pdf</t>
  </si>
  <si>
    <t>Melting_Curves/meltCurve_O95573_ACSL3.pdf</t>
  </si>
  <si>
    <t>Melting_Curves/meltCurve_O95602_POLR1A.pdf</t>
  </si>
  <si>
    <t>Melting_Curves/meltCurve_O95613_2_PCNT.pdf</t>
  </si>
  <si>
    <t>Melting_Curves/meltCurve_O95619_YEATS4.pdf</t>
  </si>
  <si>
    <t>Melting_Curves/meltCurve_O95620_DUS4L.pdf</t>
  </si>
  <si>
    <t>Melting_Curves/meltCurve_O95628_3_CNOT4.pdf</t>
  </si>
  <si>
    <t>Melting_Curves/meltCurve_O95630_STAMBP.pdf</t>
  </si>
  <si>
    <t>Melting_Curves/meltCurve_O95639_3_CPSF4.pdf</t>
  </si>
  <si>
    <t>Melting_Curves/meltCurve_O95671_2_ASMTL.pdf</t>
  </si>
  <si>
    <t>Melting_Curves/meltCurve_O95684_FGFR1OP.pdf</t>
  </si>
  <si>
    <t>Melting_Curves/meltCurve_O95685_PPP1R3D.pdf</t>
  </si>
  <si>
    <t>Melting_Curves/meltCurve_O95716_RAB3D.pdf</t>
  </si>
  <si>
    <t>Melting_Curves/meltCurve_O95721_SNAP29.pdf</t>
  </si>
  <si>
    <t>Melting_Curves/meltCurve_O95747_OXSR1.pdf</t>
  </si>
  <si>
    <t>Melting_Curves/meltCurve_O95749_GGPS1.pdf</t>
  </si>
  <si>
    <t>Melting_Curves/meltCurve_O95758_1_PTBP3.pdf</t>
  </si>
  <si>
    <t>Melting_Curves/meltCurve_O95777_NAA38.pdf</t>
  </si>
  <si>
    <t>Melting_Curves/meltCurve_O95782_2_AP2A1.pdf</t>
  </si>
  <si>
    <t>Melting_Curves/meltCurve_O95801_TTC4.pdf</t>
  </si>
  <si>
    <t>Melting_Curves/meltCurve_O95807_TMEM50A.pdf</t>
  </si>
  <si>
    <t>Melting_Curves/meltCurve_O95810_SDPR.pdf</t>
  </si>
  <si>
    <t>Melting_Curves/meltCurve_O95816_BAG2.pdf</t>
  </si>
  <si>
    <t>Melting_Curves/meltCurve_O95817_BAG3.pdf</t>
  </si>
  <si>
    <t>Melting_Curves/meltCurve_O95825_CRYZL1.pdf</t>
  </si>
  <si>
    <t>Melting_Curves/meltCurve_O95831_3_AIFM1.pdf</t>
  </si>
  <si>
    <t>Melting_Curves/meltCurve_O95834_EML2.pdf</t>
  </si>
  <si>
    <t>Melting_Curves/meltCurve_O95835_LATS1.pdf</t>
  </si>
  <si>
    <t>Melting_Curves/meltCurve_O95848_NUDT14.pdf</t>
  </si>
  <si>
    <t>Melting_Curves/meltCurve_O95857_TSPAN13.pdf</t>
  </si>
  <si>
    <t>Melting_Curves/meltCurve_O95865_DDAH2.pdf</t>
  </si>
  <si>
    <t>Melting_Curves/meltCurve_O95873_C6orf47.pdf</t>
  </si>
  <si>
    <t>Melting_Curves/meltCurve_O95881_TXNDC12.pdf</t>
  </si>
  <si>
    <t>Melting_Curves/meltCurve_O95905_ECD.pdf</t>
  </si>
  <si>
    <t>Melting_Curves/meltCurve_O95926_SYF2.pdf</t>
  </si>
  <si>
    <t>Melting_Curves/meltCurve_O95983_2_MBD3.pdf</t>
  </si>
  <si>
    <t>Melting_Curves/meltCurve_O95985_TOP3B.pdf</t>
  </si>
  <si>
    <t>Melting_Curves/meltCurve_O95989_NUDT3.pdf</t>
  </si>
  <si>
    <t>Melting_Curves/meltCurve_O95997_PTTG1.pdf</t>
  </si>
  <si>
    <t>Melting_Curves/meltCurve_O95999_BCL10.pdf</t>
  </si>
  <si>
    <t>Melting_Curves/meltCurve_O96000_NDUFB10.pdf</t>
  </si>
  <si>
    <t>Melting_Curves/meltCurve_O96007_MOCS2.pdf</t>
  </si>
  <si>
    <t>Melting_Curves/meltCurve_O96008_TOMM40.pdf</t>
  </si>
  <si>
    <t>Melting_Curves/meltCurve_O96011_2_PEX11B.pdf</t>
  </si>
  <si>
    <t>Melting_Curves/meltCurve_O96013_PAK4.pdf</t>
  </si>
  <si>
    <t>Melting_Curves/meltCurve_O96017_CHEK2.pdf</t>
  </si>
  <si>
    <t>Melting_Curves/meltCurve_O96019_ACTL6A.pdf</t>
  </si>
  <si>
    <t>Melting_Curves/meltCurve_O96033_MOCS2.pdf</t>
  </si>
  <si>
    <t>Melting_Curves/meltCurve_P00167_2_CYB5A.pdf</t>
  </si>
  <si>
    <t>Melting_Curves/meltCurve_P00338_LDHA.pdf</t>
  </si>
  <si>
    <t>Melting_Curves/meltCurve_P00352_ALDH1A1.pdf</t>
  </si>
  <si>
    <t>Melting_Curves/meltCurve_P00367_GLUD1.pdf</t>
  </si>
  <si>
    <t>Melting_Curves/meltCurve_P00374_DHFR.pdf</t>
  </si>
  <si>
    <t>Melting_Curves/meltCurve_P00387_2_CYB5R3.pdf</t>
  </si>
  <si>
    <t>Melting_Curves/meltCurve_P00390_5_GSR.pdf</t>
  </si>
  <si>
    <t>Melting_Curves/meltCurve_P00403_MT_CO2.pdf</t>
  </si>
  <si>
    <t>Melting_Curves/meltCurve_P00441_SOD1.pdf</t>
  </si>
  <si>
    <t>Melting_Curves/meltCurve_P00491_PNP.pdf</t>
  </si>
  <si>
    <t>Melting_Curves/meltCurve_P00492_HPRT1.pdf</t>
  </si>
  <si>
    <t>Melting_Curves/meltCurve_P00505_GOT2.pdf</t>
  </si>
  <si>
    <t>Melting_Curves/meltCurve_P00519_ABL1.pdf</t>
  </si>
  <si>
    <t>Melting_Curves/meltCurve_P00558_PGK1.pdf</t>
  </si>
  <si>
    <t>Melting_Curves/meltCurve_P01034_CST3.pdf</t>
  </si>
  <si>
    <t>Melting_Curves/meltCurve_P01111_NRAS.pdf</t>
  </si>
  <si>
    <t>Melting_Curves/meltCurve_P01112_HRAS.pdf</t>
  </si>
  <si>
    <t>Melting_Curves/meltCurve_P01116_2_KRAS.pdf</t>
  </si>
  <si>
    <t>Melting_Curves/meltCurve_P01137_TGFB1.pdf</t>
  </si>
  <si>
    <t>Melting_Curves/meltCurve_P02008_HBZ.pdf</t>
  </si>
  <si>
    <t>Melting_Curves/meltCurve_P02042_HBD.pdf</t>
  </si>
  <si>
    <t>Melting_Curves/meltCurve_P02100_HBE1.pdf</t>
  </si>
  <si>
    <t>Melting_Curves/meltCurve_P02545_LMNA.pdf</t>
  </si>
  <si>
    <t>Melting_Curves/meltCurve_P02545_2_LMNA.pdf</t>
  </si>
  <si>
    <t>Melting_Curves/meltCurve_P02549_SPTA1.pdf</t>
  </si>
  <si>
    <t>Melting_Curves/meltCurve_P02649_APOE.pdf</t>
  </si>
  <si>
    <t>Melting_Curves/meltCurve_P02730_SLC4A1.pdf</t>
  </si>
  <si>
    <t>Melting_Curves/meltCurve_P02786_TFRC.pdf</t>
  </si>
  <si>
    <t>Melting_Curves/meltCurve_P02792_FTL.pdf</t>
  </si>
  <si>
    <t>Melting_Curves/meltCurve_P02794_FTH1.pdf</t>
  </si>
  <si>
    <t>Melting_Curves/meltCurve_P03928_MT_ATP8.pdf</t>
  </si>
  <si>
    <t>Melting_Curves/meltCurve_P04035_HMGCR.pdf</t>
  </si>
  <si>
    <t>Melting_Curves/meltCurve_P04040_CAT.pdf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</si>
  <si>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</si>
  <si>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</si>
  <si>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</si>
  <si>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</si>
  <si>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Melting_Curves/meltCurve_P04114_APOB.pdf</t>
  </si>
  <si>
    <t>Melting_Curves/meltCurve_P04150_7_NR3C1.pdf</t>
  </si>
  <si>
    <t>Melting_Curves/meltCurve_P04181_OAT.pdf</t>
  </si>
  <si>
    <t>Melting_Curves/meltCurve_P04183_TK1.pdf</t>
  </si>
  <si>
    <t>Melting_Curves/meltCurve_P04350_TUBB4A.pdf</t>
  </si>
  <si>
    <t>Melting_Curves/meltCurve_P04406_GAPDH.pdf</t>
  </si>
  <si>
    <t>Melting_Curves/meltCurve_P04406_2_GAPDH.pdf</t>
  </si>
  <si>
    <t>Melting_Curves/meltCurve_P04424_2_ASL.pdf</t>
  </si>
  <si>
    <t>Melting_Curves/meltCurve_P04632_CAPNS1.pdf</t>
  </si>
  <si>
    <t>Melting_Curves/meltCurve_P04792_HSPB1.pdf</t>
  </si>
  <si>
    <t>Melting_Curves/meltCurve_P04818_TYMS.pdf</t>
  </si>
  <si>
    <t>Melting_Curves/meltCurve_P04843_RPN1.pdf</t>
  </si>
  <si>
    <t>Melting_Curves/meltCurve_P04844_2_RPN2.pdf</t>
  </si>
  <si>
    <t>Melting_Curves/meltCurve_P04899_GNAI2.pdf</t>
  </si>
  <si>
    <t>Melting_Curves/meltCurve_P04920_2_SLC4A2.pdf</t>
  </si>
  <si>
    <t>Melting_Curves/meltCurve_P04921_2_GYPC.pdf</t>
  </si>
  <si>
    <t>Melting_Curves/meltCurve_P05023_4_ATP1A1.pdf</t>
  </si>
  <si>
    <t>Melting_Curves/meltCurve_P05091_ALDH2.pdf</t>
  </si>
  <si>
    <t>Melting_Curves/meltCurve_P05114_HMGN1.pdf</t>
  </si>
  <si>
    <t>Melting_Curves/meltCurve_P05141_SLC25A5.pdf</t>
  </si>
  <si>
    <t>Melting_Curves/meltCurve_P05161_ISG15.pdf</t>
  </si>
  <si>
    <t>Melting_Curves/meltCurve_P05165_3_PCCA.pdf</t>
  </si>
  <si>
    <t>Melting_Curves/meltCurve_P05198_EIF2S1.pdf</t>
  </si>
  <si>
    <t>Melting_Curves/meltCurve_P05204_HMGN2.pdf</t>
  </si>
  <si>
    <t>Melting_Curves/meltCurve_P05362_ICAM1.pdf</t>
  </si>
  <si>
    <t>Melting_Curves/meltCurve_P05386_RPLP1.pdf</t>
  </si>
  <si>
    <t>Melting_Curves/meltCurve_P05387_RPLP2.pdf</t>
  </si>
  <si>
    <t>Melting_Curves/meltCurve_P05388_RPLP0.pdf</t>
  </si>
  <si>
    <t>Melting_Curves/meltCurve_P05412_JUN.pdf</t>
  </si>
  <si>
    <t>Melting_Curves/meltCurve_P05423_POLR3D.pdf</t>
  </si>
  <si>
    <t>Melting_Curves/meltCurve_P05455_SSB.pdf</t>
  </si>
  <si>
    <t>Melting_Curves/meltCurve_P05556_ITGB1.pdf</t>
  </si>
  <si>
    <t>Melting_Curves/meltCurve_P05771_2_PRKCB.pdf</t>
  </si>
  <si>
    <t>Melting_Curves/meltCurve_P05783_KRT18.pdf</t>
  </si>
  <si>
    <t>Melting_Curves/meltCurve_P05937_CALB1.pdf</t>
  </si>
  <si>
    <t>Melting_Curves/meltCurve_P06132_UROD.pdf</t>
  </si>
  <si>
    <t>Melting_Curves/meltCurve_P06280_GLA.pdf</t>
  </si>
  <si>
    <t>Melting_Curves/meltCurve_P06400_RB1.pdf</t>
  </si>
  <si>
    <t>Melting_Curves/meltCurve_P06493_CDK1.pdf</t>
  </si>
  <si>
    <t>Melting_Curves/meltCurve_P06576_ATP5B.pdf</t>
  </si>
  <si>
    <t>Melting_Curves/meltCurve_P06733_ENO1.pdf</t>
  </si>
  <si>
    <t>Melting_Curves/meltCurve_P06733_2_ENO1.pdf</t>
  </si>
  <si>
    <t>Melting_Curves/meltCurve_P06744_GPI.pdf</t>
  </si>
  <si>
    <t>Melting_Curves/meltCurve_P06748_NPM1.pdf</t>
  </si>
  <si>
    <t>Melting_Curves/meltCurve_P06753_2_TPM3.pdf</t>
  </si>
  <si>
    <t>Melting_Curves/meltCurve_P06753_3_TPM3.pdf</t>
  </si>
  <si>
    <t>Melting_Curves/meltCurve_P06756_3_ITGAV.pdf</t>
  </si>
  <si>
    <t>Melting_Curves/meltCurve_P07099_EPHX1.pdf</t>
  </si>
  <si>
    <t>Melting_Curves/meltCurve_P07108_DBI.pdf</t>
  </si>
  <si>
    <t>Melting_Curves/meltCurve_P07195_LDHB.pdf</t>
  </si>
  <si>
    <t>Melting_Curves/meltCurve_P07225_PROS1.pdf</t>
  </si>
  <si>
    <t>Melting_Curves/meltCurve_P07237_P4HB.pdf</t>
  </si>
  <si>
    <t>Melting_Curves/meltCurve_P07339_CTSD.pdf</t>
  </si>
  <si>
    <t>Melting_Curves/meltCurve_P07355_ANXA2.pdf</t>
  </si>
  <si>
    <t>Melting_Curves/meltCurve_P07384_CAPN1.pdf</t>
  </si>
  <si>
    <t>Melting_Curves/meltCurve_P07686_HEXB.pdf</t>
  </si>
  <si>
    <t>Melting_Curves/meltCurve_P07711_CTSL1.pdf</t>
  </si>
  <si>
    <t>Melting_Curves/meltCurve_P07737_PFN1.pdf</t>
  </si>
  <si>
    <t>Melting_Curves/meltCurve_P07738_BPGM.pdf</t>
  </si>
  <si>
    <t>Melting_Curves/meltCurve_P07741_APRT.pdf</t>
  </si>
  <si>
    <t>Melting_Curves/meltCurve_P07814_EPRS.pdf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</si>
  <si>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</si>
  <si>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</si>
  <si>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</si>
  <si>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</si>
  <si>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Melting_Curves/meltCurve_P07948_LYN.pdf</t>
  </si>
  <si>
    <t>Melting_Curves/meltCurve_P07948_2_LYN.pdf</t>
  </si>
  <si>
    <t>Melting_Curves/meltCurve_P07954_2_FH.pdf</t>
  </si>
  <si>
    <t>Melting_Curves/meltCurve_P08047_SP1.pdf</t>
  </si>
  <si>
    <t>Melting_Curves/meltCurve_P08107_HSPA1A.pdf</t>
  </si>
  <si>
    <t>Melting_Curves/meltCurve_P08123_COL1A2.pdf</t>
  </si>
  <si>
    <t>Melting_Curves/meltCurve_P08133_2_ANXA6.pdf</t>
  </si>
  <si>
    <t>Melting_Curves/meltCurve_P08237_PFKM.pdf</t>
  </si>
  <si>
    <t>Melting_Curves/meltCurve_P08238_HSP90AB1.pdf</t>
  </si>
  <si>
    <t>Melting_Curves/meltCurve_P08240_SRPR.pdf</t>
  </si>
  <si>
    <t>Melting_Curves/meltCurve_P08243_2_ASNS.pdf</t>
  </si>
  <si>
    <t>Melting_Curves/meltCurve_P08397_2_HMBS.pdf</t>
  </si>
  <si>
    <t>Melting_Curves/meltCurve_P08559_3_PDHA1.pdf</t>
  </si>
  <si>
    <t>Melting_Curves/meltCurve_P08574_CYC1.pdf</t>
  </si>
  <si>
    <t>Melting_Curves/meltCurve_P08579_SNRPB2.pdf</t>
  </si>
  <si>
    <t>Melting_Curves/meltCurve_P08590_MYL3.pdf</t>
  </si>
  <si>
    <t>Melting_Curves/meltCurve_P08603_CFH.pdf</t>
  </si>
  <si>
    <t>Melting_Curves/meltCurve_P08621_SNRNP70.pdf</t>
  </si>
  <si>
    <t>Melting_Curves/meltCurve_P08648_ITGA5.pdf</t>
  </si>
  <si>
    <t>Melting_Curves/meltCurve_P08651_4_NFIC.pdf</t>
  </si>
  <si>
    <t>Melting_Curves/meltCurve_P08670_VIM.pdf</t>
  </si>
  <si>
    <t>Melting_Curves/meltCurve_P08754_GNAI3.pdf</t>
  </si>
  <si>
    <t>Melting_Curves/meltCurve_P08758_ANXA5.pdf</t>
  </si>
  <si>
    <t>Melting_Curves/meltCurve_P09012_SNRPA.pdf</t>
  </si>
  <si>
    <t>Melting_Curves/meltCurve_P09038_2_FGF2.pdf</t>
  </si>
  <si>
    <t>Melting_Curves/meltCurve_P09104_ENO2.pdf</t>
  </si>
  <si>
    <t>Melting_Curves/meltCurve_P09105_HBQ1.pdf</t>
  </si>
  <si>
    <t>Melting_Curves/meltCurve_P09110_ACAA1.pdf</t>
  </si>
  <si>
    <t>Melting_Curves/meltCurve_P09132_SRP19.pdf</t>
  </si>
  <si>
    <t>Melting_Curves/meltCurve_P09211_GSTP1.pdf</t>
  </si>
  <si>
    <t>Melting_Curves/meltCurve_P09234_SNRPC.pdf</t>
  </si>
  <si>
    <t>Melting_Curves/meltCurve_P09382_LGALS1.pdf</t>
  </si>
  <si>
    <t>Melting_Curves/meltCurve_P09417_QDPR.pdf</t>
  </si>
  <si>
    <t>Melting_Curves/meltCurve_P09429_HMGB1.pdf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</si>
  <si>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</si>
  <si>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</si>
  <si>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</si>
  <si>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</si>
  <si>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Melting_Curves/meltCurve_P09622_DLD.pdf</t>
  </si>
  <si>
    <t>Melting_Curves/meltCurve_P09661_SNRPA1.pdf</t>
  </si>
  <si>
    <t>Melting_Curves/meltCurve_P09668_CTSH.pdf</t>
  </si>
  <si>
    <t>Melting_Curves/meltCurve_P09669_COX6C.pdf</t>
  </si>
  <si>
    <t>Melting_Curves/meltCurve_P09874_PARP1.pdf</t>
  </si>
  <si>
    <t>Melting_Curves/meltCurve_P09960_LTA4H.pdf</t>
  </si>
  <si>
    <t>Melting_Curves/meltCurve_P09972_ALDOC.pdf</t>
  </si>
  <si>
    <t>Melting_Curves/meltCurve_P0C2W1_FBXO45.pdf</t>
  </si>
  <si>
    <t>Melting_Curves/meltCurve_P0C7P0_CISD3.pdf</t>
  </si>
  <si>
    <t>Melting_Curves/meltCurve_P0C7P4_UQCRFS1P1.pdf</t>
  </si>
  <si>
    <t>Melting_Curves/meltCurve_P0C7T5_ATXN1L.pdf</t>
  </si>
  <si>
    <t>Melting_Curves/meltCurve_P0CG12_CHTF8.pdf</t>
  </si>
  <si>
    <t>Melting_Curves/meltCurve_P0CW22_RPS17L.pdf</t>
  </si>
  <si>
    <t>Melting_Curves/meltCurve_P0DJ93_SMIM13.pdf</t>
  </si>
  <si>
    <t>Melting_Curves/meltCurve_P10109_FDX1.pdf</t>
  </si>
  <si>
    <t>Melting_Curves/meltCurve_P10114_RAP2A.pdf</t>
  </si>
  <si>
    <t>Melting_Curves/meltCurve_P10124_SRGN.pdf</t>
  </si>
  <si>
    <t>Melting_Curves/meltCurve_P10155_TROVE2.pdf</t>
  </si>
  <si>
    <t>Melting_Curves/meltCurve_P10244_MYBL2.pdf</t>
  </si>
  <si>
    <t>Melting_Curves/meltCurve_P10301_RRAS.pdf</t>
  </si>
  <si>
    <t>Melting_Curves/meltCurve_P10398_ARAF.pdf</t>
  </si>
  <si>
    <t>Melting_Curves/meltCurve_P10412_HIST1H1E.pdf</t>
  </si>
  <si>
    <t>Melting_Curves/meltCurve_P10586_2_PTPRF.pdf</t>
  </si>
  <si>
    <t>Melting_Curves/meltCurve_P10588_NR2F6.pdf</t>
  </si>
  <si>
    <t>Melting_Curves/meltCurve_P10599_TXN.pdf</t>
  </si>
  <si>
    <t>Melting_Curves/meltCurve_P10606_COX5B.pdf</t>
  </si>
  <si>
    <t>Melting_Curves/meltCurve_P10619_CTSA.pdf</t>
  </si>
  <si>
    <t>Melting_Curves/meltCurve_P10644_PRKAR1A.pdf</t>
  </si>
  <si>
    <t>Melting_Curves/meltCurve_P10746_UROS.pdf</t>
  </si>
  <si>
    <t>Melting_Curves/meltCurve_P10768_ESD.pdf</t>
  </si>
  <si>
    <t>Melting_Curves/meltCurve_P10809_HSPD1.pdf</t>
  </si>
  <si>
    <t>Melting_Curves/meltCurve_P11021_HSPA5.pdf</t>
  </si>
  <si>
    <t>Melting_Curves/meltCurve_P11142_HSPA8.pdf</t>
  </si>
  <si>
    <t>Melting_Curves/meltCurve_P11166_SLC2A1.pdf</t>
  </si>
  <si>
    <t>Melting_Curves/meltCurve_P11169_SLC2A3.pdf</t>
  </si>
  <si>
    <t>Melting_Curves/meltCurve_P11171_EPB41.pdf</t>
  </si>
  <si>
    <t>Melting_Curves/meltCurve_P11171_4_EPB41.pdf</t>
  </si>
  <si>
    <t>Melting_Curves/meltCurve_P11172_UMPS.pdf</t>
  </si>
  <si>
    <t>Melting_Curves/meltCurve_P11177_3_PDHB.pdf</t>
  </si>
  <si>
    <t>Melting_Curves/meltCurve_P11182_DBT.pdf</t>
  </si>
  <si>
    <t>Melting_Curves/meltCurve_P11233_RALA.pdf</t>
  </si>
  <si>
    <t>Melting_Curves/meltCurve_P11234_RALB.pdf</t>
  </si>
  <si>
    <t>Melting_Curves/meltCurve_P11274_2_BCR.pdf</t>
  </si>
  <si>
    <t>Melting_Curves/meltCurve_P11277_3_SPTB.pdf</t>
  </si>
  <si>
    <t>Melting_Curves/meltCurve_P11279_LAMP1.pdf</t>
  </si>
  <si>
    <t>Melting_Curves/meltCurve_P11387_TOP1.pdf</t>
  </si>
  <si>
    <t>Melting_Curves/meltCurve_P11388_TOP2A.pdf</t>
  </si>
  <si>
    <t>Melting_Curves/meltCurve_P11413_G6PD.pdf</t>
  </si>
  <si>
    <t>Melting_Curves/meltCurve_P11441_UBL4A.pdf</t>
  </si>
  <si>
    <t>Melting_Curves/meltCurve_P11474_2_ESRRA.pdf</t>
  </si>
  <si>
    <t>Melting_Curves/meltCurve_P11498_PC.pdf</t>
  </si>
  <si>
    <t>Melting_Curves/meltCurve_P11717_IGF2R.pdf</t>
  </si>
  <si>
    <t>Melting_Curves/meltCurve_P11766_ADH5.pdf</t>
  </si>
  <si>
    <t>Melting_Curves/meltCurve_P11802_CDK4.pdf</t>
  </si>
  <si>
    <t>Melting_Curves/meltCurve_P11908_PRPS2.pdf</t>
  </si>
  <si>
    <t>Melting_Curves/meltCurve_P11940_PABPC1.pdf</t>
  </si>
  <si>
    <t>Melting_Curves/meltCurve_P12004_PCNA.pdf</t>
  </si>
  <si>
    <t>Melting_Curves/meltCurve_P12081_HARS.pdf</t>
  </si>
  <si>
    <t>Melting_Curves/meltCurve_P12235_SLC25A4.pdf</t>
  </si>
  <si>
    <t>Melting_Curves/meltCurve_P12236_SLC25A6.pdf</t>
  </si>
  <si>
    <t>Melting_Curves/meltCurve_P12270_TPR.pdf</t>
  </si>
  <si>
    <t>Melting_Curves/meltCurve_P12277_CKB.pdf</t>
  </si>
  <si>
    <t>Melting_Curves/meltCurve_P12318_2_FCGR2A.pdf</t>
  </si>
  <si>
    <t>Melting_Curves/meltCurve_P12429_ANXA3.pdf</t>
  </si>
  <si>
    <t>Melting_Curves/meltCurve_P12532_CKMT1A.pdf</t>
  </si>
  <si>
    <t>Melting_Curves/meltCurve_P12755_SKI.pdf</t>
  </si>
  <si>
    <t>Melting_Curves/meltCurve_P12814_2_ACTN1.pdf</t>
  </si>
  <si>
    <t>Melting_Curves/meltCurve_P12829_MYL4.pdf</t>
  </si>
  <si>
    <t>Melting_Curves/meltCurve_P12882_MYH1.pdf</t>
  </si>
  <si>
    <t>Melting_Curves/meltCurve_P12931_SRC.pdf</t>
  </si>
  <si>
    <t>Melting_Curves/meltCurve_P12955_3_PEPD.pdf</t>
  </si>
  <si>
    <t>Melting_Curves/meltCurve_P12956_XRCC6.pdf</t>
  </si>
  <si>
    <t>Melting_Curves/meltCurve_P13010_XRCC5.pdf</t>
  </si>
  <si>
    <t>Melting_Curves/meltCurve_P13056_NR2C1.pdf</t>
  </si>
  <si>
    <t>Melting_Curves/meltCurve_P13073_COX4I1.pdf</t>
  </si>
  <si>
    <t>Melting_Curves/meltCurve_P13196_ALAS1.pdf</t>
  </si>
  <si>
    <t>Melting_Curves/meltCurve_P13224_GP1BB.pdf</t>
  </si>
  <si>
    <t>Melting_Curves/meltCurve_P13284_IFI30.pdf</t>
  </si>
  <si>
    <t>Melting_Curves/meltCurve_P13473_2_LAMP2.pdf</t>
  </si>
  <si>
    <t>Melting_Curves/meltCurve_P13489_RNH1.pdf</t>
  </si>
  <si>
    <t>Melting_Curves/meltCurve_P13498_CYBA.pdf</t>
  </si>
  <si>
    <t>Melting_Curves/meltCurve_P13639_EEF2.pdf</t>
  </si>
  <si>
    <t>Melting_Curves/meltCurve_P13667_PDIA4.pdf</t>
  </si>
  <si>
    <t>Melting_Curves/meltCurve_P13674_2_P4HA1.pdf</t>
  </si>
  <si>
    <t>Melting_Curves/meltCurve_P13693_TPT1.pdf</t>
  </si>
  <si>
    <t>Melting_Curves/meltCurve_P13796_LCP1.pdf</t>
  </si>
  <si>
    <t>Melting_Curves/meltCurve_P13804_ETFA.pdf</t>
  </si>
  <si>
    <t>Melting_Curves/meltCurve_P13861_PRKAR2A.pdf</t>
  </si>
  <si>
    <t>Melting_Curves/meltCurve_P13929_2_ENO3.pdf</t>
  </si>
  <si>
    <t>Melting_Curves/meltCurve_P13984_GTF2F2.pdf</t>
  </si>
  <si>
    <t>Melting_Curves/meltCurve_P14174_MIF.pdf</t>
  </si>
  <si>
    <t>Melting_Curves/meltCurve_P14209_3_CD99.pdf</t>
  </si>
  <si>
    <t>Melting_Curves/meltCurve_P14316_2_IRF2.pdf</t>
  </si>
  <si>
    <t>Melting_Curves/meltCurve_P14317_HCLS1.pdf</t>
  </si>
  <si>
    <t>Melting_Curves/meltCurve_P14324_2_FDPS.pdf</t>
  </si>
  <si>
    <t>Melting_Curves/meltCurve_P14415_ATP1B2.pdf</t>
  </si>
  <si>
    <t>Melting_Curves/meltCurve_P14550_AKR1A1.pdf</t>
  </si>
  <si>
    <t>Melting_Curves/meltCurve_P14618_PKM.pdf</t>
  </si>
  <si>
    <t>Melting_Curves/meltCurve_P14618_2_PKM.pdf</t>
  </si>
  <si>
    <t>Melting_Curves/meltCurve_P14625_HSP90B1.pdf</t>
  </si>
  <si>
    <t>Melting_Curves/meltCurve_P14635_CCNB1.pdf</t>
  </si>
  <si>
    <t>Melting_Curves/meltCurve_P14649_MYL6B.pdf</t>
  </si>
  <si>
    <t>Melting_Curves/meltCurve_P14678_2_SNRPB.pdf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</si>
  <si>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</si>
  <si>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</si>
  <si>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</si>
  <si>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</si>
  <si>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Melting_Curves/meltCurve_P14923_JUP.pdf</t>
  </si>
  <si>
    <t>Melting_Curves/meltCurve_P14927_UQCRB.pdf</t>
  </si>
  <si>
    <t>Melting_Curves/meltCurve_P15056_BRAF.pdf</t>
  </si>
  <si>
    <t>Melting_Curves/meltCurve_P15104_GLUL.pdf</t>
  </si>
  <si>
    <t>Melting_Curves/meltCurve_P15121_AKR1B1.pdf</t>
  </si>
  <si>
    <t>Melting_Curves/meltCurve_P15151_3_PVR.pdf</t>
  </si>
  <si>
    <t>Melting_Curves/meltCurve_P15153_RAC2.pdf</t>
  </si>
  <si>
    <t>Melting_Curves/meltCurve_P15170_2_GSPT1.pdf</t>
  </si>
  <si>
    <t>Melting_Curves/meltCurve_P15289_2_ARSA.pdf</t>
  </si>
  <si>
    <t>Melting_Curves/meltCurve_P15291_2_B4GALT1.pdf</t>
  </si>
  <si>
    <t>Melting_Curves/meltCurve_P15311_EZR.pdf</t>
  </si>
  <si>
    <t>Melting_Curves/meltCurve_P15374_UCHL3.pdf</t>
  </si>
  <si>
    <t>Melting_Curves/meltCurve_P15407_FOSL1.pdf</t>
  </si>
  <si>
    <t>Melting_Curves/meltCurve_P15529_15_CD46.pdf</t>
  </si>
  <si>
    <t>Melting_Curves/meltCurve_P15529_16_CD46.pdf</t>
  </si>
  <si>
    <t>Melting_Curves/meltCurve_P15531_NME1.pdf</t>
  </si>
  <si>
    <t>Melting_Curves/meltCurve_P15880_RPS2.pdf</t>
  </si>
  <si>
    <t>Melting_Curves/meltCurve_P15907_ST6GAL1.pdf</t>
  </si>
  <si>
    <t>Melting_Curves/meltCurve_P15923_TCF3.pdf</t>
  </si>
  <si>
    <t>Melting_Curves/meltCurve_P15923_2_TCF3.pdf</t>
  </si>
  <si>
    <t>Melting_Curves/meltCurve_P15927_RPA2.pdf</t>
  </si>
  <si>
    <t>Melting_Curves/meltCurve_P16150_SPN.pdf</t>
  </si>
  <si>
    <t>Melting_Curves/meltCurve_P16152_CBR1.pdf</t>
  </si>
  <si>
    <t>Melting_Curves/meltCurve_P16157_10_ANK1.pdf</t>
  </si>
  <si>
    <t>Melting_Curves/meltCurve_P16219_ACADS.pdf</t>
  </si>
  <si>
    <t>Melting_Curves/meltCurve_P16284_3_PECAM1.pdf</t>
  </si>
  <si>
    <t>Melting_Curves/meltCurve_P16298_PPP3CB.pdf</t>
  </si>
  <si>
    <t>Melting_Curves/meltCurve_P16333_NCK1.pdf</t>
  </si>
  <si>
    <t>Melting_Curves/meltCurve_P16383_GCFC2.pdf</t>
  </si>
  <si>
    <t>Melting_Curves/meltCurve_P16401_HIST1H1B.pdf</t>
  </si>
  <si>
    <t>Melting_Curves/meltCurve_P16435_POR.pdf</t>
  </si>
  <si>
    <t>Melting_Curves/meltCurve_P16591_3_FER.pdf</t>
  </si>
  <si>
    <t>Melting_Curves/meltCurve_P16615_ATP2A2.pdf</t>
  </si>
  <si>
    <t>Melting_Curves/meltCurve_P16930_FAH.pdf</t>
  </si>
  <si>
    <t>Melting_Curves/meltCurve_P16949_STMN1.pdf</t>
  </si>
  <si>
    <t>Melting_Curves/meltCurve_P16989_YBX3.pdf</t>
  </si>
  <si>
    <t>Melting_Curves/meltCurve_P17017_ZNF14.pdf</t>
  </si>
  <si>
    <t>Melting_Curves/meltCurve_P17028_ZNF24.pdf</t>
  </si>
  <si>
    <t>Melting_Curves/meltCurve_P17036_ZNF3.pdf</t>
  </si>
  <si>
    <t>Melting_Curves/meltCurve_P17039_ZNF30.pdf</t>
  </si>
  <si>
    <t>Melting_Curves/meltCurve_P17050_NAGA.pdf</t>
  </si>
  <si>
    <t>Melting_Curves/meltCurve_P17066_HSPA6.pdf</t>
  </si>
  <si>
    <t>Melting_Curves/meltCurve_P17096_2_HMGA1.pdf</t>
  </si>
  <si>
    <t>Melting_Curves/meltCurve_P17152_TMEM11.pdf</t>
  </si>
  <si>
    <t>Melting_Curves/meltCurve_P17174_GOT1.pdf</t>
  </si>
  <si>
    <t>Melting_Curves/meltCurve_P17252_PRKCA.pdf</t>
  </si>
  <si>
    <t>Melting_Curves/meltCurve_P17275_JUNB.pdf</t>
  </si>
  <si>
    <t>Melting_Curves/meltCurve_P17480_UBTF.pdf</t>
  </si>
  <si>
    <t>Melting_Curves/meltCurve_P17482_HOXB9.pdf</t>
  </si>
  <si>
    <t>Melting_Curves/meltCurve_P17535_JUND.pdf</t>
  </si>
  <si>
    <t>Melting_Curves/meltCurve_P17544_4_ATF7.pdf</t>
  </si>
  <si>
    <t>Melting_Curves/meltCurve_P17568_NDUFB7.pdf</t>
  </si>
  <si>
    <t>Melting_Curves/meltCurve_P17612_PRKACA.pdf</t>
  </si>
  <si>
    <t>Melting_Curves/meltCurve_P17655_CAPN2.pdf</t>
  </si>
  <si>
    <t>Melting_Curves/meltCurve_P17661_DES.pdf</t>
  </si>
  <si>
    <t>Melting_Curves/meltCurve_P17676_CEBPB.pdf</t>
  </si>
  <si>
    <t>Melting_Curves/meltCurve_P17706_2_PTPN2.pdf</t>
  </si>
  <si>
    <t>Melting_Curves/meltCurve_P17707_AMD1.pdf</t>
  </si>
  <si>
    <t>Melting_Curves/meltCurve_P17812_CTPS1.pdf</t>
  </si>
  <si>
    <t>Melting_Curves/meltCurve_P17844_DDX5.pdf</t>
  </si>
  <si>
    <t>Melting_Curves/meltCurve_P17858_PFKL.pdf</t>
  </si>
  <si>
    <t>Melting_Curves/meltCurve_P17987_TCP1.pdf</t>
  </si>
  <si>
    <t>Melting_Curves/meltCurve_P18031_PTPN1.pdf</t>
  </si>
  <si>
    <t>Melting_Curves/meltCurve_P18074_ERCC2.pdf</t>
  </si>
  <si>
    <t>Melting_Curves/meltCurve_P18084_ITGB5.pdf</t>
  </si>
  <si>
    <t>Melting_Curves/meltCurve_P18085_ARF4.pdf</t>
  </si>
  <si>
    <t>Melting_Curves/meltCurve_P18124_RPL7.pdf</t>
  </si>
  <si>
    <t>Melting_Curves/meltCurve_P18146_EGR1.pdf</t>
  </si>
  <si>
    <t>Melting_Curves/meltCurve_P18206_2_VCL.pdf</t>
  </si>
  <si>
    <t>Melting_Curves/meltCurve_P18583_6_SON.pdf</t>
  </si>
  <si>
    <t>Melting_Curves/meltCurve_P18615_NELFE.pdf</t>
  </si>
  <si>
    <t>Melting_Curves/meltCurve_P18669_PGAM1.pdf</t>
  </si>
  <si>
    <t>Melting_Curves/meltCurve_P18754_2_RCC1.pdf</t>
  </si>
  <si>
    <t>Melting_Curves/meltCurve_P18846_ATF1.pdf</t>
  </si>
  <si>
    <t>Melting_Curves/meltCurve_P18859_ATP5J.pdf</t>
  </si>
  <si>
    <t>Melting_Curves/meltCurve_P19174_2_PLCG1.pdf</t>
  </si>
  <si>
    <t>Melting_Curves/meltCurve_P19338_NCL.pdf</t>
  </si>
  <si>
    <t>Melting_Curves/meltCurve_P19367_2_HK1.pdf</t>
  </si>
  <si>
    <t>Melting_Curves/meltCurve_P19387_POLR2C.pdf</t>
  </si>
  <si>
    <t>Melting_Curves/meltCurve_P19388_POLR2E.pdf</t>
  </si>
  <si>
    <t>Melting_Curves/meltCurve_P19419_ELK1.pdf</t>
  </si>
  <si>
    <t>Melting_Curves/meltCurve_P19447_ERCC3.pdf</t>
  </si>
  <si>
    <t>Melting_Curves/meltCurve_P19525_2_EIF2AK2.pdf</t>
  </si>
  <si>
    <t>Melting_Curves/meltCurve_P19532_TFE3.pdf</t>
  </si>
  <si>
    <t>Melting_Curves/meltCurve_P19623_SRM.pdf</t>
  </si>
  <si>
    <t>Melting_Curves/meltCurve_P19784_CSNK2A2.pdf</t>
  </si>
  <si>
    <t>Melting_Curves/meltCurve_P19838_NFKB1.pdf</t>
  </si>
  <si>
    <t>Melting_Curves/meltCurve_P20020_6_ATP2B1.pdf</t>
  </si>
  <si>
    <t>Melting_Curves/meltCurve_P20042_EIF2S2.pdf</t>
  </si>
  <si>
    <t>Melting_Curves/meltCurve_P20138_2_CD33.pdf</t>
  </si>
  <si>
    <t>Melting_Curves/meltCurve_P20248_CCNA2.pdf</t>
  </si>
  <si>
    <t>Melting_Curves/meltCurve_P20290_BTF3.pdf</t>
  </si>
  <si>
    <t>Melting_Curves/meltCurve_P20290_2_BTF3.pdf</t>
  </si>
  <si>
    <t>Melting_Curves/meltCurve_P20333_TNFRSF1B.pdf</t>
  </si>
  <si>
    <t>Melting_Curves/meltCurve_P20336_RAB3A.pdf</t>
  </si>
  <si>
    <t>Melting_Curves/meltCurve_P20338_RAB4A.pdf</t>
  </si>
  <si>
    <t>Melting_Curves/meltCurve_P20340_RAB6A.pdf</t>
  </si>
  <si>
    <t>Melting_Curves/meltCurve_P20340_2_RAB6A.pdf</t>
  </si>
  <si>
    <t>Melting_Curves/meltCurve_P20585_MSH3.pdf</t>
  </si>
  <si>
    <t>Melting_Curves/meltCurve_P20618_PSMB1.pdf</t>
  </si>
  <si>
    <t>Melting_Curves/meltCurve_P20645_M6PR.pdf</t>
  </si>
  <si>
    <t>Melting_Curves/meltCurve_P20674_COX5A.pdf</t>
  </si>
  <si>
    <t>Melting_Curves/meltCurve_P20700_LMNB1.pdf</t>
  </si>
  <si>
    <t>Melting_Curves/meltCurve_P20962_PTMS.pdf</t>
  </si>
  <si>
    <t>Melting_Curves/meltCurve_P21127_8_CDK11B.pdf</t>
  </si>
  <si>
    <t>Melting_Curves/meltCurve_P21281_ATP6V1B2.pdf</t>
  </si>
  <si>
    <t>Melting_Curves/meltCurve_P21283_ATP6V1C1.pdf</t>
  </si>
  <si>
    <t>Melting_Curves/meltCurve_P21291_CSRP1.pdf</t>
  </si>
  <si>
    <t>Melting_Curves/meltCurve_P21333_2_FLNA.pdf</t>
  </si>
  <si>
    <t>Melting_Curves/meltCurve_P21359_2_NF1.pdf</t>
  </si>
  <si>
    <t>Melting_Curves/meltCurve_P21399_ACO1.pdf</t>
  </si>
  <si>
    <t>Melting_Curves/meltCurve_P21580_TNFAIP3.pdf</t>
  </si>
  <si>
    <t>Melting_Curves/meltCurve_P21695_2_GPD1.pdf</t>
  </si>
  <si>
    <t>Melting_Curves/meltCurve_P21731_TBXA2R.pdf</t>
  </si>
  <si>
    <t>Melting_Curves/meltCurve_P21796_VDAC1.pdf</t>
  </si>
  <si>
    <t>Melting_Curves/meltCurve_P21912_SDHB.pdf</t>
  </si>
  <si>
    <t>Melting_Curves/meltCurve_P21964_2_COMT.pdf</t>
  </si>
  <si>
    <t>Melting_Curves/meltCurve_P21980_TGM2.pdf</t>
  </si>
  <si>
    <t>Melting_Curves/meltCurve_P22033_MUT.pdf</t>
  </si>
  <si>
    <t>Melting_Curves/meltCurve_P22059_OSBP.pdf</t>
  </si>
  <si>
    <t>Melting_Curves/meltCurve_P22102_GART.pdf</t>
  </si>
  <si>
    <t>Melting_Curves/meltCurve_P22234_PAICS.pdf</t>
  </si>
  <si>
    <t>Melting_Curves/meltCurve_P22307_SCP2.pdf</t>
  </si>
  <si>
    <t>Melting_Curves/meltCurve_P22307_2_SCP2.pdf</t>
  </si>
  <si>
    <t>Melting_Curves/meltCurve_P22314_UBA1.pdf</t>
  </si>
  <si>
    <t>Melting_Curves/meltCurve_P22466_GAL.pdf</t>
  </si>
  <si>
    <t>Melting_Curves/meltCurve_P22532_SPRR2D.pdf</t>
  </si>
  <si>
    <t>Melting_Curves/meltCurve_P22570_FDXR.pdf</t>
  </si>
  <si>
    <t>Melting_Curves/meltCurve_P22626_2_HNRNPA2B1.pdf</t>
  </si>
  <si>
    <t>Melting_Curves/meltCurve_P22670_RFX1.pdf</t>
  </si>
  <si>
    <t>Melting_Curves/meltCurve_P22681_CBL.pdf</t>
  </si>
  <si>
    <t>Melting_Curves/meltCurve_P22692_IGFBP4.pdf</t>
  </si>
  <si>
    <t>Melting_Curves/meltCurve_P22695_UQCRC2.pdf</t>
  </si>
  <si>
    <t>Melting_Curves/meltCurve_P22830_FECH.pdf</t>
  </si>
  <si>
    <t>Melting_Curves/meltCurve_P23025_XPA.pdf</t>
  </si>
  <si>
    <t>Melting_Curves/meltCurve_P23193_TCEA1.pdf</t>
  </si>
  <si>
    <t>Melting_Curves/meltCurve_P23246_SFPQ.pdf</t>
  </si>
  <si>
    <t>Melting_Curves/meltCurve_P23258_TUBG1.pdf</t>
  </si>
  <si>
    <t>Melting_Curves/meltCurve_P23284_PPIB.pdf</t>
  </si>
  <si>
    <t>Melting_Curves/meltCurve_P23368_ME2.pdf</t>
  </si>
  <si>
    <t>Melting_Curves/meltCurve_P23381_WARS.pdf</t>
  </si>
  <si>
    <t>Melting_Curves/meltCurve_P23396_RPS3.pdf</t>
  </si>
  <si>
    <t>Melting_Curves/meltCurve_P23409_MYF6.pdf</t>
  </si>
  <si>
    <t>Melting_Curves/meltCurve_P23434_GCSH.pdf</t>
  </si>
  <si>
    <t>Melting_Curves/meltCurve_P23458_JAK1.pdf</t>
  </si>
  <si>
    <t>Melting_Curves/meltCurve_P23497_SP100.pdf</t>
  </si>
  <si>
    <t>Melting_Curves/meltCurve_P23511_2_NFYA.pdf</t>
  </si>
  <si>
    <t>Melting_Curves/meltCurve_P23526_AHCY.pdf</t>
  </si>
  <si>
    <t>Melting_Curves/meltCurve_P23528_CFL1.pdf</t>
  </si>
  <si>
    <t>Melting_Curves/meltCurve_P23634_7_ATP2B4.pdf</t>
  </si>
  <si>
    <t>Melting_Curves/meltCurve_P23677_ITPKA.pdf</t>
  </si>
  <si>
    <t>Melting_Curves/meltCurve_P23743_DGKA.pdf</t>
  </si>
  <si>
    <t>Melting_Curves/meltCurve_P23786_CPT2.pdf</t>
  </si>
  <si>
    <t>Melting_Curves/meltCurve_P23919_DTYMK.pdf</t>
  </si>
  <si>
    <t>Melting_Curves/meltCurve_P23921_RRM1.pdf</t>
  </si>
  <si>
    <t>Melting_Curves/meltCurve_P24468_NR2F2.pdf</t>
  </si>
  <si>
    <t>Melting_Curves/meltCurve_P24534_EEF1B2.pdf</t>
  </si>
  <si>
    <t>Melting_Curves/meltCurve_P24666_ACP1.pdf</t>
  </si>
  <si>
    <t>Melting_Curves/meltCurve_P24666_2_ACP1.pdf</t>
  </si>
  <si>
    <t>Melting_Curves/meltCurve_P24752_ACAT1.pdf</t>
  </si>
  <si>
    <t>Melting_Curves/meltCurve_P24928_POLR2A.pdf</t>
  </si>
  <si>
    <t>Melting_Curves/meltCurve_P25054_2_APC.pdf</t>
  </si>
  <si>
    <t>Melting_Curves/meltCurve_P25098_ADRBK1.pdf</t>
  </si>
  <si>
    <t>Melting_Curves/meltCurve_P25116_F2R.pdf</t>
  </si>
  <si>
    <t>Melting_Curves/meltCurve_P25205_MCM3.pdf</t>
  </si>
  <si>
    <t>Melting_Curves/meltCurve_P25398_RPS12.pdf</t>
  </si>
  <si>
    <t>Melting_Curves/meltCurve_P25490_YY1.pdf</t>
  </si>
  <si>
    <t>Melting_Curves/meltCurve_P25685_DNAJB1.pdf</t>
  </si>
  <si>
    <t>Melting_Curves/meltCurve_P25705_ATP5A1.pdf</t>
  </si>
  <si>
    <t>Melting_Curves/meltCurve_P25774_2_CTSS.pdf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</si>
  <si>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</si>
  <si>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</si>
  <si>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</si>
  <si>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</si>
  <si>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Melting_Curves/meltCurve_P25791_LMO2.pdf</t>
  </si>
  <si>
    <t>Melting_Curves/meltCurve_P25815_S100P.pdf</t>
  </si>
  <si>
    <t>Melting_Curves/meltCurve_P26038_MSN.pdf</t>
  </si>
  <si>
    <t>Melting_Curves/meltCurve_P26196_DDX6.pdf</t>
  </si>
  <si>
    <t>Melting_Curves/meltCurve_P26358_DNMT1.pdf</t>
  </si>
  <si>
    <t>Melting_Curves/meltCurve_P26358_2_DNMT1.pdf</t>
  </si>
  <si>
    <t>Melting_Curves/meltCurve_P26368_2_U2AF2.pdf</t>
  </si>
  <si>
    <t>Melting_Curves/meltCurve_P26373_RPL13.pdf</t>
  </si>
  <si>
    <t>Melting_Curves/meltCurve_P26374_CHML.pdf</t>
  </si>
  <si>
    <t>Melting_Curves/meltCurve_P26447_S100A4.pdf</t>
  </si>
  <si>
    <t>Melting_Curves/meltCurve_P26572_MGAT1.pdf</t>
  </si>
  <si>
    <t>Melting_Curves/meltCurve_P26583_HMGB2.pdf</t>
  </si>
  <si>
    <t>Melting_Curves/meltCurve_P26599_PTBP1.pdf</t>
  </si>
  <si>
    <t>Melting_Curves/meltCurve_P26639_TARS.pdf</t>
  </si>
  <si>
    <t>Melting_Curves/meltCurve_P26640_VARS.pdf</t>
  </si>
  <si>
    <t>Melting_Curves/meltCurve_P26641_EEF1G.pdf</t>
  </si>
  <si>
    <t>Melting_Curves/meltCurve_P26885_FKBP2.pdf</t>
  </si>
  <si>
    <t>Melting_Curves/meltCurve_P27144_AK4.pdf</t>
  </si>
  <si>
    <t>Melting_Curves/meltCurve_P27348_YWHAQ.pdf</t>
  </si>
  <si>
    <t>Melting_Curves/meltCurve_P27361_MAPK3.pdf</t>
  </si>
  <si>
    <t>Melting_Curves/meltCurve_P27540_2_ARNT.pdf</t>
  </si>
  <si>
    <t>Melting_Curves/meltCurve_P27635_RPL10.pdf</t>
  </si>
  <si>
    <t>Melting_Curves/meltCurve_P27694_RPA1.pdf</t>
  </si>
  <si>
    <t>Melting_Curves/meltCurve_P27695_APEX1.pdf</t>
  </si>
  <si>
    <t>Melting_Curves/meltCurve_P27797_CALR.pdf</t>
  </si>
  <si>
    <t>Melting_Curves/meltCurve_P27815_6_PDE4A.pdf</t>
  </si>
  <si>
    <t>Melting_Curves/meltCurve_P27824_CANX.pdf</t>
  </si>
  <si>
    <t>Melting_Curves/meltCurve_P27986_PIK3R1.pdf</t>
  </si>
  <si>
    <t>Melting_Curves/meltCurve_P28065_PSMB9.pdf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</si>
  <si>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</si>
  <si>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</si>
  <si>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</si>
  <si>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</si>
  <si>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Melting_Curves/meltCurve_P28289_TMOD1.pdf</t>
  </si>
  <si>
    <t>Melting_Curves/meltCurve_P28331_NDUFS1.pdf</t>
  </si>
  <si>
    <t>Melting_Curves/meltCurve_P28482_MAPK1.pdf</t>
  </si>
  <si>
    <t>Melting_Curves/meltCurve_P28702_RXRB.pdf</t>
  </si>
  <si>
    <t>Melting_Curves/meltCurve_P28715_ERCC5.pdf</t>
  </si>
  <si>
    <t>Melting_Curves/meltCurve_P28799_GRN.pdf</t>
  </si>
  <si>
    <t>Melting_Curves/meltCurve_P28838_2_LAP3.pdf</t>
  </si>
  <si>
    <t>Melting_Curves/meltCurve_P28908_TNFRSF8.pdf</t>
  </si>
  <si>
    <t>Melting_Curves/meltCurve_P29083_GTF2E1.pdf</t>
  </si>
  <si>
    <t>Melting_Curves/meltCurve_P29084_GTF2E2.pdf</t>
  </si>
  <si>
    <t>Melting_Curves/meltCurve_P29218_IMPA1.pdf</t>
  </si>
  <si>
    <t>Melting_Curves/meltCurve_P29350_PTPN6.pdf</t>
  </si>
  <si>
    <t>Melting_Curves/meltCurve_P29353_7_SHC1.pdf</t>
  </si>
  <si>
    <t>Melting_Curves/meltCurve_P29372_5_MPG.pdf</t>
  </si>
  <si>
    <t>Melting_Curves/meltCurve_P29401_TKT.pdf</t>
  </si>
  <si>
    <t>Melting_Curves/meltCurve_P29590_2_PML.pdf</t>
  </si>
  <si>
    <t>Melting_Curves/meltCurve_P29692_3_EEF1D.pdf</t>
  </si>
  <si>
    <t>Melting_Curves/meltCurve_P29966_MARCKS.pdf</t>
  </si>
  <si>
    <t>Melting_Curves/meltCurve_P29992_GNA11.pdf</t>
  </si>
  <si>
    <t>Melting_Curves/meltCurve_P30038_ALDH4A1.pdf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</si>
  <si>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</si>
  <si>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</si>
  <si>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</si>
  <si>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</si>
  <si>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Melting_Curves/meltCurve_P30044_2_PRDX5.pdf</t>
  </si>
  <si>
    <t>Melting_Curves/meltCurve_P30046_DDT.pdf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</si>
  <si>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</si>
  <si>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</si>
  <si>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</si>
  <si>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</si>
  <si>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</si>
  <si>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Melting_Curves/meltCurve_P30153_PPP2R1A.pdf</t>
  </si>
  <si>
    <t>Melting_Curves/meltCurve_P30154_PPP2R1B.pdf</t>
  </si>
  <si>
    <t>Melting_Curves/meltCurve_P30260_CDC27.pdf</t>
  </si>
  <si>
    <t>Melting_Curves/meltCurve_P30281_CCND3.pdf</t>
  </si>
  <si>
    <t>Melting_Curves/meltCurve_P30291_WEE1.pdf</t>
  </si>
  <si>
    <t>Melting_Curves/meltCurve_P30307_CDC25C.pdf</t>
  </si>
  <si>
    <t>Melting_Curves/meltCurve_P30405_PPIF.pdf</t>
  </si>
  <si>
    <t>Melting_Curves/meltCurve_P30419_NMT1.pdf</t>
  </si>
  <si>
    <t>Melting_Curves/meltCurve_P30519_HMOX2.pdf</t>
  </si>
  <si>
    <t>Melting_Curves/meltCurve_P30520_ADSS.pdf</t>
  </si>
  <si>
    <t>Melting_Curves/meltCurve_P30533_LRPAP1.pdf</t>
  </si>
  <si>
    <t>Melting_Curves/meltCurve_P30566_ADSL.pdf</t>
  </si>
  <si>
    <t>Melting_Curves/meltCurve_P30613_PKLR.pdf</t>
  </si>
  <si>
    <t>Melting_Curves/meltCurve_P30622_1_CLIP1.pdf</t>
  </si>
  <si>
    <t>Melting_Curves/meltCurve_P30711_GSTT1.pdf</t>
  </si>
  <si>
    <t>Melting_Curves/meltCurve_P30740_SERPINB1.pdf</t>
  </si>
  <si>
    <t>Melting_Curves/meltCurve_P30825_SLC7A1.pdf</t>
  </si>
  <si>
    <t>Melting_Curves/meltCurve_P30837_ALDH1B1.pdf</t>
  </si>
  <si>
    <t>Melting_Curves/meltCurve_P31040_SDHA.pdf</t>
  </si>
  <si>
    <t>Melting_Curves/meltCurve_P31146_CORO1A.pdf</t>
  </si>
  <si>
    <t>Melting_Curves/meltCurve_P31150_GDI1.pdf</t>
  </si>
  <si>
    <t>Melting_Curves/meltCurve_P31153_MAT2A.pdf</t>
  </si>
  <si>
    <t>Melting_Curves/meltCurve_P31321_PRKAR1B.pdf</t>
  </si>
  <si>
    <t>Melting_Curves/meltCurve_P31323_PRKAR2B.pdf</t>
  </si>
  <si>
    <t>Melting_Curves/meltCurve_P31350_RRM2.pdf</t>
  </si>
  <si>
    <t>Melting_Curves/meltCurve_P31641_SLC6A6.pdf</t>
  </si>
  <si>
    <t>Melting_Curves/meltCurve_P31689_DNAJA1.pdf</t>
  </si>
  <si>
    <t>Melting_Curves/meltCurve_P31749_AKT1.pdf</t>
  </si>
  <si>
    <t>Melting_Curves/meltCurve_P31751_AKT2.pdf</t>
  </si>
  <si>
    <t>Melting_Curves/meltCurve_P31930_UQCRC1.pdf</t>
  </si>
  <si>
    <t>Melting_Curves/meltCurve_P31937_HIBADH.pdf</t>
  </si>
  <si>
    <t>Melting_Curves/meltCurve_P31939_ATIC.pdf</t>
  </si>
  <si>
    <t>Melting_Curves/meltCurve_P31942_2_HNRNPH3.pdf</t>
  </si>
  <si>
    <t>Melting_Curves/meltCurve_P31946_YWHAB.pdf</t>
  </si>
  <si>
    <t>Melting_Curves/meltCurve_P31947_2_SFN.pdf</t>
  </si>
  <si>
    <t>Melting_Curves/meltCurve_P31948_STIP1.pdf</t>
  </si>
  <si>
    <t>Melting_Curves/meltCurve_P31949_S100A11.pdf</t>
  </si>
  <si>
    <t>Melting_Curves/meltCurve_P32019_2_INPP5B.pdf</t>
  </si>
  <si>
    <t>Melting_Curves/meltCurve_P32119_PRDX2.pdf</t>
  </si>
  <si>
    <t>Melting_Curves/meltCurve_P32121_5_ARRB2.pdf</t>
  </si>
  <si>
    <t>Melting_Curves/meltCurve_P32189_1_GK.pdf</t>
  </si>
  <si>
    <t>Melting_Curves/meltCurve_P32321_DCTD.pdf</t>
  </si>
  <si>
    <t>Melting_Curves/meltCurve_P32322_PYCR1.pdf</t>
  </si>
  <si>
    <t>Melting_Curves/meltCurve_P32519_2_ELF1.pdf</t>
  </si>
  <si>
    <t>Melting_Curves/meltCurve_P32780_GTF2H1.pdf</t>
  </si>
  <si>
    <t>Melting_Curves/meltCurve_P32856_3_STX2.pdf</t>
  </si>
  <si>
    <t>Melting_Curves/meltCurve_P32929_CTH.pdf</t>
  </si>
  <si>
    <t>Melting_Curves/meltCurve_P32969_RPL9.pdf</t>
  </si>
  <si>
    <t>Melting_Curves/meltCurve_P33121_2_ACSL1.pdf</t>
  </si>
  <si>
    <t>Melting_Curves/meltCurve_P33176_KIF5B.pdf</t>
  </si>
  <si>
    <t>Melting_Curves/meltCurve_P33240_2_CSTF2.pdf</t>
  </si>
  <si>
    <t>Melting_Curves/meltCurve_P33316_DUT.pdf</t>
  </si>
  <si>
    <t>Melting_Curves/meltCurve_P33316_2_DUT.pdf</t>
  </si>
  <si>
    <t>Melting_Curves/meltCurve_P33552_CKS2.pdf</t>
  </si>
  <si>
    <t>Melting_Curves/meltCurve_P33908_MAN1A1.pdf</t>
  </si>
  <si>
    <t>Melting_Curves/meltCurve_P33981_2_TTK.pdf</t>
  </si>
  <si>
    <t>Melting_Curves/meltCurve_P33991_MCM4.pdf</t>
  </si>
  <si>
    <t>Melting_Curves/meltCurve_P33992_MCM5.pdf</t>
  </si>
  <si>
    <t>Melting_Curves/meltCurve_P33993_MCM7.pdf</t>
  </si>
  <si>
    <t>Melting_Curves/meltCurve_P34059_GALNS.pdf</t>
  </si>
  <si>
    <t>Melting_Curves/meltCurve_P34896_2_SHMT1.pdf</t>
  </si>
  <si>
    <t>Melting_Curves/meltCurve_P34897_3_SHMT2.pdf</t>
  </si>
  <si>
    <t>Melting_Curves/meltCurve_P34913_EPHX2.pdf</t>
  </si>
  <si>
    <t>Melting_Curves/meltCurve_P34932_HSPA4.pdf</t>
  </si>
  <si>
    <t>Melting_Curves/meltCurve_P35219_CA8.pdf</t>
  </si>
  <si>
    <t>Melting_Curves/meltCurve_P35221_CTNNA1.pdf</t>
  </si>
  <si>
    <t>Melting_Curves/meltCurve_P35232_PHB.pdf</t>
  </si>
  <si>
    <t>Melting_Curves/meltCurve_P35237_SERPINB6.pdf</t>
  </si>
  <si>
    <t>Melting_Curves/meltCurve_P35240_4_NF2.pdf</t>
  </si>
  <si>
    <t>Melting_Curves/meltCurve_P35241_RDX.pdf</t>
  </si>
  <si>
    <t>Melting_Curves/meltCurve_P35244_RPA3.pdf</t>
  </si>
  <si>
    <t>Melting_Curves/meltCurve_P35249_RFC4.pdf</t>
  </si>
  <si>
    <t>Melting_Curves/meltCurve_P35250_RFC2.pdf</t>
  </si>
  <si>
    <t>Melting_Curves/meltCurve_P35251_2_RFC1.pdf</t>
  </si>
  <si>
    <t>Melting_Curves/meltCurve_P35268_RPL22.pdf</t>
  </si>
  <si>
    <t>Melting_Curves/meltCurve_P35269_GTF2F1.pdf</t>
  </si>
  <si>
    <t>Melting_Curves/meltCurve_P35270_SPR.pdf</t>
  </si>
  <si>
    <t>Melting_Curves/meltCurve_P35520_CBS.pdf</t>
  </si>
  <si>
    <t>Melting_Curves/meltCurve_P35573_AGL.pdf</t>
  </si>
  <si>
    <t>Melting_Curves/meltCurve_P35579_MYH9.pdf</t>
  </si>
  <si>
    <t>Melting_Curves/meltCurve_P35580_MYH10.pdf</t>
  </si>
  <si>
    <t>Melting_Curves/meltCurve_P35606_COPB2.pdf</t>
  </si>
  <si>
    <t>Melting_Curves/meltCurve_P35612_ADD2.pdf</t>
  </si>
  <si>
    <t>Melting_Curves/meltCurve_P35613_2_BSG.pdf</t>
  </si>
  <si>
    <t>Melting_Curves/meltCurve_P35626_ADRBK2.pdf</t>
  </si>
  <si>
    <t>Melting_Curves/meltCurve_P35637_2_FUS.pdf</t>
  </si>
  <si>
    <t>Melting_Curves/meltCurve_P35658_2_NUP214.pdf</t>
  </si>
  <si>
    <t>Melting_Curves/meltCurve_P35659_DEK.pdf</t>
  </si>
  <si>
    <t>Melting_Curves/meltCurve_P35749_4_MYH11.pdf</t>
  </si>
  <si>
    <t>Melting_Curves/meltCurve_P35754_GLRX.pdf</t>
  </si>
  <si>
    <t>Melting_Curves/meltCurve_P35790_2_CHKA.pdf</t>
  </si>
  <si>
    <t>Melting_Curves/meltCurve_P35813_PPM1A.pdf</t>
  </si>
  <si>
    <t>Melting_Curves/meltCurve_P35998_PSMC2.pdf</t>
  </si>
  <si>
    <t>Melting_Curves/meltCurve_P36404_ARL2.pdf</t>
  </si>
  <si>
    <t>Melting_Curves/meltCurve_P36405_ARL3.pdf</t>
  </si>
  <si>
    <t>Melting_Curves/meltCurve_P36507_MAP2K2.pdf</t>
  </si>
  <si>
    <t>Melting_Curves/meltCurve_P36542_ATP5C1.pdf</t>
  </si>
  <si>
    <t>Melting_Curves/meltCurve_P36543_ATP6V1E1.pdf</t>
  </si>
  <si>
    <t>Melting_Curves/meltCurve_P36551_CPOX.pdf</t>
  </si>
  <si>
    <t>Melting_Curves/meltCurve_P36578_RPL4.pdf</t>
  </si>
  <si>
    <t>Melting_Curves/meltCurve_P36639_4_NUDT1.pdf</t>
  </si>
  <si>
    <t>Melting_Curves/meltCurve_P36915_GNL1.pdf</t>
  </si>
  <si>
    <t>Melting_Curves/meltCurve_P36954_POLR2I.pdf</t>
  </si>
  <si>
    <t>Melting_Curves/meltCurve_P36957_DLST.pdf</t>
  </si>
  <si>
    <t>Melting_Curves/meltCurve_P36959_GMPR.pdf</t>
  </si>
  <si>
    <t>Melting_Curves/meltCurve_P36969_2_GPX4.pdf</t>
  </si>
  <si>
    <t>Melting_Curves/meltCurve_P37108_SRP14.pdf</t>
  </si>
  <si>
    <t>Melting_Curves/meltCurve_P37198_NUP62.pdf</t>
  </si>
  <si>
    <t>Melting_Curves/meltCurve_P37235_HPCAL1.pdf</t>
  </si>
  <si>
    <t>Melting_Curves/meltCurve_P37268_FDFT1.pdf</t>
  </si>
  <si>
    <t>Melting_Curves/meltCurve_P37287_3_PIGA.pdf</t>
  </si>
  <si>
    <t>Melting_Curves/meltCurve_P37802_TAGLN2.pdf</t>
  </si>
  <si>
    <t>Melting_Curves/meltCurve_P37837_TALDO1.pdf</t>
  </si>
  <si>
    <t>Melting_Curves/meltCurve_P38117_ETFB.pdf</t>
  </si>
  <si>
    <t>Melting_Curves/meltCurve_P38159_RBMX.pdf</t>
  </si>
  <si>
    <t>Melting_Curves/meltCurve_P38432_COIL.pdf</t>
  </si>
  <si>
    <t>Melting_Curves/meltCurve_P38435_GGCX.pdf</t>
  </si>
  <si>
    <t>Melting_Curves/meltCurve_P38606_ATP6V1A.pdf</t>
  </si>
  <si>
    <t>Melting_Curves/meltCurve_P38646_HSPA9.pdf</t>
  </si>
  <si>
    <t>Melting_Curves/meltCurve_P38919_EIF4A3.pdf</t>
  </si>
  <si>
    <t>Melting_Curves/meltCurve_P38935_IGHMBP2.pdf</t>
  </si>
  <si>
    <t>Melting_Curves/meltCurve_P39019_RPS19.pdf</t>
  </si>
  <si>
    <t>Melting_Curves/meltCurve_P39023_RPL3.pdf</t>
  </si>
  <si>
    <t>Melting_Curves/meltCurve_P39060_2_COL18A1.pdf</t>
  </si>
  <si>
    <t>Melting_Curves/meltCurve_P39656_DDOST.pdf</t>
  </si>
  <si>
    <t>Melting_Curves/meltCurve_P39687_ANP32A.pdf</t>
  </si>
  <si>
    <t>Melting_Curves/meltCurve_P39748_FEN1.pdf</t>
  </si>
  <si>
    <t>Melting_Curves/meltCurve_P39880_2_CUX1.pdf</t>
  </si>
  <si>
    <t>Melting_Curves/meltCurve_P40121_CAPG.pdf</t>
  </si>
  <si>
    <t>Melting_Curves/meltCurve_P40222_TXLNA.pdf</t>
  </si>
  <si>
    <t>Melting_Curves/meltCurve_P40227_CCT6A.pdf</t>
  </si>
  <si>
    <t>Melting_Curves/meltCurve_P40261_NNMT.pdf</t>
  </si>
  <si>
    <t>Melting_Curves/meltCurve_P40337_3_VHL.pdf</t>
  </si>
  <si>
    <t>Melting_Curves/meltCurve_P40425_PBX2.pdf</t>
  </si>
  <si>
    <t>Melting_Curves/meltCurve_P40617_ARL4A.pdf</t>
  </si>
  <si>
    <t>Melting_Curves/meltCurve_P40692_MLH1.pdf</t>
  </si>
  <si>
    <t>Melting_Curves/meltCurve_P40763_STAT3.pdf</t>
  </si>
  <si>
    <t>Melting_Curves/meltCurve_P40763_2_STAT3.pdf</t>
  </si>
  <si>
    <t>Melting_Curves/meltCurve_P40818_USP8.pdf</t>
  </si>
  <si>
    <t>Melting_Curves/meltCurve_P40925_MDH1.pdf</t>
  </si>
  <si>
    <t>Melting_Curves/meltCurve_P40926_MDH2.pdf</t>
  </si>
  <si>
    <t>Melting_Curves/meltCurve_P40937_RFC5.pdf</t>
  </si>
  <si>
    <t>Melting_Curves/meltCurve_P40938_RFC3.pdf</t>
  </si>
  <si>
    <t>Melting_Curves/meltCurve_P40939_HADHA.pdf</t>
  </si>
  <si>
    <t>Melting_Curves/meltCurve_P41091_EIF2S3.pdf</t>
  </si>
  <si>
    <t>Melting_Curves/meltCurve_P41134_2_ID1.pdf</t>
  </si>
  <si>
    <t>Melting_Curves/meltCurve_P41208_CETN2.pdf</t>
  </si>
  <si>
    <t>Melting_Curves/meltCurve_P41214_EIF2D.pdf</t>
  </si>
  <si>
    <t>Melting_Curves/meltCurve_P41223_BUD31.pdf</t>
  </si>
  <si>
    <t>Melting_Curves/meltCurve_P41227_NAA10.pdf</t>
  </si>
  <si>
    <t>Melting_Curves/meltCurve_P41229_2_KDM5C.pdf</t>
  </si>
  <si>
    <t>Melting_Curves/meltCurve_P41236_PPP1R2.pdf</t>
  </si>
  <si>
    <t>Melting_Curves/meltCurve_P41240_CSK.pdf</t>
  </si>
  <si>
    <t>Melting_Curves/meltCurve_P41247_PNPLA4.pdf</t>
  </si>
  <si>
    <t>Melting_Curves/meltCurve_P41250_GARS.pdf</t>
  </si>
  <si>
    <t>Melting_Curves/meltCurve_P41252_IARS.pdf</t>
  </si>
  <si>
    <t>Melting_Curves/meltCurve_P41440_SLC19A1.pdf</t>
  </si>
  <si>
    <t>Melting_Curves/meltCurve_P41567_EIF1.pdf</t>
  </si>
  <si>
    <t>Melting_Curves/meltCurve_P41743_PRKCI.pdf</t>
  </si>
  <si>
    <t>Melting_Curves/meltCurve_P42025_ACTR1B.pdf</t>
  </si>
  <si>
    <t>Melting_Curves/meltCurve_P42126_2_ECI1.pdf</t>
  </si>
  <si>
    <t>Melting_Curves/meltCurve_P42166_TMPO.pdf</t>
  </si>
  <si>
    <t>Melting_Curves/meltCurve_P42167_TMPO.pdf</t>
  </si>
  <si>
    <t>Melting_Curves/meltCurve_P42224_STAT1.pdf</t>
  </si>
  <si>
    <t>Melting_Curves/meltCurve_P42226_3_STAT6.pdf</t>
  </si>
  <si>
    <t>Melting_Curves/meltCurve_P42285_SKIV2L2.pdf</t>
  </si>
  <si>
    <t>Melting_Curves/meltCurve_P42330_AKR1C3.pdf</t>
  </si>
  <si>
    <t>Melting_Curves/meltCurve_P42336_PIK3CA.pdf</t>
  </si>
  <si>
    <t>Melting_Curves/meltCurve_P42338_PIK3CB.pdf</t>
  </si>
  <si>
    <t>Melting_Curves/meltCurve_P42345_MTOR.pdf</t>
  </si>
  <si>
    <t>Melting_Curves/meltCurve_P42566_EPS15.pdf</t>
  </si>
  <si>
    <t>Melting_Curves/meltCurve_P42574_CASP3.pdf</t>
  </si>
  <si>
    <t>Melting_Curves/meltCurve_P42575_CASP2.pdf</t>
  </si>
  <si>
    <t>Melting_Curves/meltCurve_P42677_RPS27.pdf</t>
  </si>
  <si>
    <t>Melting_Curves/meltCurve_P42680_TEC.pdf</t>
  </si>
  <si>
    <t>Melting_Curves/meltCurve_P42684_6_ABL2.pdf</t>
  </si>
  <si>
    <t>Melting_Curves/meltCurve_P42695_NCAPD3.pdf</t>
  </si>
  <si>
    <t>Melting_Curves/meltCurve_P42704_LRPPRC.pdf</t>
  </si>
  <si>
    <t>Melting_Curves/meltCurve_P42765_ACAA2.pdf</t>
  </si>
  <si>
    <t>Melting_Curves/meltCurve_P42766_RPL35.pdf</t>
  </si>
  <si>
    <t>Melting_Curves/meltCurve_P42773_CDKN2C.pdf</t>
  </si>
  <si>
    <t>Melting_Curves/meltCurve_P42785_PRCP.pdf</t>
  </si>
  <si>
    <t>Melting_Curves/meltCurve_P43007_SLC1A4.pdf</t>
  </si>
  <si>
    <t>Melting_Curves/meltCurve_P43034_PAFAH1B1.pdf</t>
  </si>
  <si>
    <t>Melting_Curves/meltCurve_P43121_MCAM.pdf</t>
  </si>
  <si>
    <t>Melting_Curves/meltCurve_P43155_3_CRAT.pdf</t>
  </si>
  <si>
    <t>Melting_Curves/meltCurve_P43246_MSH2.pdf</t>
  </si>
  <si>
    <t>Melting_Curves/meltCurve_P43250_2_GRK6.pdf</t>
  </si>
  <si>
    <t>Melting_Curves/meltCurve_P43304_GPD2.pdf</t>
  </si>
  <si>
    <t>Melting_Curves/meltCurve_P43307_SSR1.pdf</t>
  </si>
  <si>
    <t>Melting_Curves/meltCurve_P43355_MAGEA1.pdf</t>
  </si>
  <si>
    <t>Melting_Curves/meltCurve_P43357_MAGEA3.pdf</t>
  </si>
  <si>
    <t>Melting_Curves/meltCurve_P43366_MAGEB1.pdf</t>
  </si>
  <si>
    <t>Melting_Curves/meltCurve_P43378_PTPN9.pdf</t>
  </si>
  <si>
    <t>Melting_Curves/meltCurve_P43405_2_SYK.pdf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</si>
  <si>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</si>
  <si>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</si>
  <si>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</si>
  <si>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</si>
  <si>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Melting_Curves/meltCurve_P45880_VDAC2.pdf</t>
  </si>
  <si>
    <t>Melting_Curves/meltCurve_P45880_2_VDAC2.pdf</t>
  </si>
  <si>
    <t>Melting_Curves/meltCurve_P45954_ACADSB.pdf</t>
  </si>
  <si>
    <t>Melting_Curves/meltCurve_P45973_CBX5.pdf</t>
  </si>
  <si>
    <t>Melting_Curves/meltCurve_P45974_2_USP5.pdf</t>
  </si>
  <si>
    <t>Melting_Curves/meltCurve_P45983_3_MAPK8.pdf</t>
  </si>
  <si>
    <t>Melting_Curves/meltCurve_P45984_3_MAPK9.pdf</t>
  </si>
  <si>
    <t>Melting_Curves/meltCurve_P45985_MAP2K4.pdf</t>
  </si>
  <si>
    <t>Melting_Curves/meltCurve_P46013_MKI67.pdf</t>
  </si>
  <si>
    <t>Melting_Curves/meltCurve_P46019_PHKA2.pdf</t>
  </si>
  <si>
    <t>Melting_Curves/meltCurve_P46060_RANGAP1.pdf</t>
  </si>
  <si>
    <t>Melting_Curves/meltCurve_P46063_RECQL.pdf</t>
  </si>
  <si>
    <t>Melting_Curves/meltCurve_P46087_2_NOP2.pdf</t>
  </si>
  <si>
    <t>Melting_Curves/meltCurve_P46100_6_ATRX.pdf</t>
  </si>
  <si>
    <t>Melting_Curves/meltCurve_P46108_CRK.pdf</t>
  </si>
  <si>
    <t>Melting_Curves/meltCurve_P46109_CRKL.pdf</t>
  </si>
  <si>
    <t>Melting_Curves/meltCurve_P46199_MTIF2.pdf</t>
  </si>
  <si>
    <t>Melting_Curves/meltCurve_P46527_CDKN1B.pdf</t>
  </si>
  <si>
    <t>Melting_Curves/meltCurve_P46531_NOTCH1.pdf</t>
  </si>
  <si>
    <t>Melting_Curves/meltCurve_P46734_MAP2K3.pdf</t>
  </si>
  <si>
    <t>Melting_Curves/meltCurve_P46736_2_BRCC3.pdf</t>
  </si>
  <si>
    <t>Melting_Curves/meltCurve_P46777_RPL5.pdf</t>
  </si>
  <si>
    <t>Melting_Curves/meltCurve_P46778_RPL21.pdf</t>
  </si>
  <si>
    <t>Melting_Curves/meltCurve_P46781_RPS9.pdf</t>
  </si>
  <si>
    <t>Melting_Curves/meltCurve_P46783_RPS10.pdf</t>
  </si>
  <si>
    <t>Melting_Curves/meltCurve_P46821_MAP1B.pdf</t>
  </si>
  <si>
    <t>Melting_Curves/meltCurve_P46926_GNPDA1.pdf</t>
  </si>
  <si>
    <t>Melting_Curves/meltCurve_P46934_4_NEDD4.pdf</t>
  </si>
  <si>
    <t>Melting_Curves/meltCurve_P46940_IQGAP1.pdf</t>
  </si>
  <si>
    <t>Melting_Curves/meltCurve_P46976_2_GYG1.pdf</t>
  </si>
  <si>
    <t>Melting_Curves/meltCurve_P46977_STT3A.pdf</t>
  </si>
  <si>
    <t>Melting_Curves/meltCurve_P47224_RABIF.pdf</t>
  </si>
  <si>
    <t>Melting_Curves/meltCurve_P47755_CAPZA2.pdf</t>
  </si>
  <si>
    <t>Melting_Curves/meltCurve_P47756_2_CAPZB.pdf</t>
  </si>
  <si>
    <t>Melting_Curves/meltCurve_P47813_EIF1AX.pdf</t>
  </si>
  <si>
    <t>Melting_Curves/meltCurve_P47897_QARS.pdf</t>
  </si>
  <si>
    <t>Melting_Curves/meltCurve_P47914_RPL29.pdf</t>
  </si>
  <si>
    <t>Melting_Curves/meltCurve_P47974_ZFP36L2.pdf</t>
  </si>
  <si>
    <t>Melting_Curves/meltCurve_P47985_UQCRFS1.pdf</t>
  </si>
  <si>
    <t>Melting_Curves/meltCurve_P48029_SLC6A8.pdf</t>
  </si>
  <si>
    <t>Melting_Curves/meltCurve_P48047_ATP5O.pdf</t>
  </si>
  <si>
    <t>Melting_Curves/meltCurve_P48059_3_LIMS1.pdf</t>
  </si>
  <si>
    <t>Melting_Curves/meltCurve_P48147_PREP.pdf</t>
  </si>
  <si>
    <t>Melting_Curves/meltCurve_P48163_ME1.pdf</t>
  </si>
  <si>
    <t>Melting_Curves/meltCurve_P48200_IREB2.pdf</t>
  </si>
  <si>
    <t>Melting_Curves/meltCurve_P48357_2_LEPR.pdf</t>
  </si>
  <si>
    <t>Melting_Curves/meltCurve_P48378_RFX2.pdf</t>
  </si>
  <si>
    <t>Melting_Curves/meltCurve_P48444_ARCN1.pdf</t>
  </si>
  <si>
    <t>Melting_Curves/meltCurve_P48449_LSS.pdf</t>
  </si>
  <si>
    <t>Melting_Curves/meltCurve_P48454_PPP3CC.pdf</t>
  </si>
  <si>
    <t>Melting_Curves/meltCurve_P48506_GCLC.pdf</t>
  </si>
  <si>
    <t>Melting_Curves/meltCurve_P48507_GCLM.pdf</t>
  </si>
  <si>
    <t>Melting_Curves/meltCurve_P48634_PRRC2A.pdf</t>
  </si>
  <si>
    <t>Melting_Curves/meltCurve_P48637_GSS.pdf</t>
  </si>
  <si>
    <t>Melting_Curves/meltCurve_P48643_CCT5.pdf</t>
  </si>
  <si>
    <t>Melting_Curves/meltCurve_P48681_NES.pdf</t>
  </si>
  <si>
    <t>Melting_Curves/meltCurve_P48723_HSPA13.pdf</t>
  </si>
  <si>
    <t>Melting_Curves/meltCurve_P48729_CSNK1A1.pdf</t>
  </si>
  <si>
    <t>Melting_Curves/meltCurve_P48730_CSNK1D.pdf</t>
  </si>
  <si>
    <t>Melting_Curves/meltCurve_P48735_IDH2.pdf</t>
  </si>
  <si>
    <t>Melting_Curves/meltCurve_P48736_PIK3CG.pdf</t>
  </si>
  <si>
    <t>Melting_Curves/meltCurve_P48739_PITPNB.pdf</t>
  </si>
  <si>
    <t>Melting_Curves/meltCurve_P48960_2_CD97.pdf</t>
  </si>
  <si>
    <t>Melting_Curves/meltCurve_P49005_POLD2.pdf</t>
  </si>
  <si>
    <t>Melting_Curves/meltCurve_P49006_MARCKSL1.pdf</t>
  </si>
  <si>
    <t>Melting_Curves/meltCurve_P49023_2_PXN.pdf</t>
  </si>
  <si>
    <t>Melting_Curves/meltCurve_P49069_CAMLG.pdf</t>
  </si>
  <si>
    <t>Melting_Curves/meltCurve_P49116_NR2C2.pdf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</si>
  <si>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</si>
  <si>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</si>
  <si>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</si>
  <si>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</si>
  <si>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Melting_Curves/meltCurve_P49257_LMAN1.pdf</t>
  </si>
  <si>
    <t>Melting_Curves/meltCurve_P49281_5_SLC11A2.pdf</t>
  </si>
  <si>
    <t>Melting_Curves/meltCurve_P49321_NASP.pdf</t>
  </si>
  <si>
    <t>Melting_Curves/meltCurve_P49327_FASN.pdf</t>
  </si>
  <si>
    <t>Melting_Curves/meltCurve_P49336_2_CDK8.pdf</t>
  </si>
  <si>
    <t>Melting_Curves/meltCurve_P49354_FNTA.pdf</t>
  </si>
  <si>
    <t>Melting_Curves/meltCurve_P49366_DHPS.pdf</t>
  </si>
  <si>
    <t>Melting_Curves/meltCurve_P49368_CCT3.pdf</t>
  </si>
  <si>
    <t>Melting_Curves/meltCurve_P49406_MRPL19.pdf</t>
  </si>
  <si>
    <t>Melting_Curves/meltCurve_P49411_TUFM.pdf</t>
  </si>
  <si>
    <t>Melting_Curves/meltCurve_P49427_CDC34.pdf</t>
  </si>
  <si>
    <t>Melting_Curves/meltCurve_P49441_INPP1.pdf</t>
  </si>
  <si>
    <t>Melting_Curves/meltCurve_P49448_GLUD2.pdf</t>
  </si>
  <si>
    <t>Melting_Curves/meltCurve_P49454_CENPF.pdf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</si>
  <si>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</si>
  <si>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</si>
  <si>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</si>
  <si>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</si>
  <si>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</si>
  <si>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Melting_Curves/meltCurve_P49593_PPM1F.pdf</t>
  </si>
  <si>
    <t>Melting_Curves/meltCurve_P49642_PRIM1.pdf</t>
  </si>
  <si>
    <t>Melting_Curves/meltCurve_P49643_PRIM2.pdf</t>
  </si>
  <si>
    <t>Melting_Curves/meltCurve_P49674_CSNK1E.pdf</t>
  </si>
  <si>
    <t>Melting_Curves/meltCurve_P49711_CTCF.pdf</t>
  </si>
  <si>
    <t>Melting_Curves/meltCurve_P49721_PSMB2.pdf</t>
  </si>
  <si>
    <t>Melting_Curves/meltCurve_P49736_MCM2.pdf</t>
  </si>
  <si>
    <t>Melting_Curves/meltCurve_P49748_2_ACADVL.pdf</t>
  </si>
  <si>
    <t>Melting_Curves/meltCurve_P49750_YLPM1.pdf</t>
  </si>
  <si>
    <t>Melting_Curves/meltCurve_P49755_TMED10.pdf</t>
  </si>
  <si>
    <t>Melting_Curves/meltCurve_P49756_RBM25.pdf</t>
  </si>
  <si>
    <t>Melting_Curves/meltCurve_P49757_4_NUMB.pdf</t>
  </si>
  <si>
    <t>Melting_Curves/meltCurve_P49761_1_CLK3.pdf</t>
  </si>
  <si>
    <t>Melting_Curves/meltCurve_P49770_EIF2B2.pdf</t>
  </si>
  <si>
    <t>Melting_Curves/meltCurve_P49773_HINT1.pdf</t>
  </si>
  <si>
    <t>Melting_Curves/meltCurve_P49790_NUP153.pdf</t>
  </si>
  <si>
    <t>Melting_Curves/meltCurve_P49792_RANBP2.pdf</t>
  </si>
  <si>
    <t>Melting_Curves/meltCurve_P49795_RGS19.pdf</t>
  </si>
  <si>
    <t>Melting_Curves/meltCurve_P49840_GSK3A.pdf</t>
  </si>
  <si>
    <t>Melting_Curves/meltCurve_P49841_GSK3B.pdf</t>
  </si>
  <si>
    <t>Melting_Curves/meltCurve_P49902_NT5C2.pdf</t>
  </si>
  <si>
    <t>Melting_Curves/meltCurve_P49903_SEPHS1.pdf</t>
  </si>
  <si>
    <t>Melting_Curves/meltCurve_P49903_3_SEPHS1.pdf</t>
  </si>
  <si>
    <t>Melting_Curves/meltCurve_P49914_MTHFS.pdf</t>
  </si>
  <si>
    <t>Melting_Curves/meltCurve_P49915_GMPS.pdf</t>
  </si>
  <si>
    <t>Melting_Curves/meltCurve_P49916_LIG3.pdf</t>
  </si>
  <si>
    <t>Melting_Curves/meltCurve_P49917_LIG4.pdf</t>
  </si>
  <si>
    <t>Melting_Curves/meltCurve_P49959_MRE11A.pdf</t>
  </si>
  <si>
    <t>Melting_Curves/meltCurve_P50053_KHK.pdf</t>
  </si>
  <si>
    <t>Melting_Curves/meltCurve_P50135_HNMT.pdf</t>
  </si>
  <si>
    <t>Melting_Curves/meltCurve_P50148_GNAQ.pdf</t>
  </si>
  <si>
    <t>Melting_Curves/meltCurve_P50213_IDH3A.pdf</t>
  </si>
  <si>
    <t>Melting_Curves/meltCurve_P50224_SULT1A3.pdf</t>
  </si>
  <si>
    <t>Melting_Curves/meltCurve_P50225_SULT1A1.pdf</t>
  </si>
  <si>
    <t>Melting_Curves/meltCurve_P50336_PPOX.pdf</t>
  </si>
  <si>
    <t>Melting_Curves/meltCurve_P50402_EMD.pdf</t>
  </si>
  <si>
    <t>Melting_Curves/meltCurve_P50416_CPT1A.pdf</t>
  </si>
  <si>
    <t>Melting_Curves/meltCurve_P50453_SERPINB9.pdf</t>
  </si>
  <si>
    <t>Melting_Curves/meltCurve_P50454_SERPINH1.pdf</t>
  </si>
  <si>
    <t>Melting_Curves/meltCurve_P50479_PDLIM4.pdf</t>
  </si>
  <si>
    <t>Melting_Curves/meltCurve_P50502_ST13.pdf</t>
  </si>
  <si>
    <t>Melting_Curves/meltCurve_P50552_VASP.pdf</t>
  </si>
  <si>
    <t>Melting_Curves/meltCurve_P50570_DNM2.pdf</t>
  </si>
  <si>
    <t>Melting_Curves/meltCurve_P50579_METAP2.pdf</t>
  </si>
  <si>
    <t>Melting_Curves/meltCurve_P50583_NUDT2.pdf</t>
  </si>
  <si>
    <t>Melting_Curves/meltCurve_P50613_CDK7.pdf</t>
  </si>
  <si>
    <t>Melting_Curves/meltCurve_P50747_HLCS.pdf</t>
  </si>
  <si>
    <t>Melting_Curves/meltCurve_P50748_KNTC1.pdf</t>
  </si>
  <si>
    <t>Melting_Curves/meltCurve_P50750_CDK9.pdf</t>
  </si>
  <si>
    <t>Melting_Curves/meltCurve_P50897_PPT1.pdf</t>
  </si>
  <si>
    <t>Melting_Curves/meltCurve_P50990_CCT8.pdf</t>
  </si>
  <si>
    <t>Melting_Curves/meltCurve_P50991_CCT4.pdf</t>
  </si>
  <si>
    <t>Melting_Curves/meltCurve_P51003_PAPOLA.pdf</t>
  </si>
  <si>
    <t>Melting_Curves/meltCurve_P51116_FXR2.pdf</t>
  </si>
  <si>
    <t>Melting_Curves/meltCurve_P51148_RAB5C.pdf</t>
  </si>
  <si>
    <t>Melting_Curves/meltCurve_P51149_RAB7A.pdf</t>
  </si>
  <si>
    <t>Melting_Curves/meltCurve_P51151_RAB9A.pdf</t>
  </si>
  <si>
    <t>Melting_Curves/meltCurve_P51153_RAB13.pdf</t>
  </si>
  <si>
    <t>Melting_Curves/meltCurve_P51157_RAB28.pdf</t>
  </si>
  <si>
    <t>Melting_Curves/meltCurve_P51159_RAB27A.pdf</t>
  </si>
  <si>
    <t>Melting_Curves/meltCurve_P51178_PLCD1.pdf</t>
  </si>
  <si>
    <t>Melting_Curves/meltCurve_P51397_DAP.pdf</t>
  </si>
  <si>
    <t>Melting_Curves/meltCurve_P51398_2_DAP3.pdf</t>
  </si>
  <si>
    <t>Melting_Curves/meltCurve_P51452_DUSP3.pdf</t>
  </si>
  <si>
    <t>Melting_Curves/meltCurve_P51531_2_SMARCA2.pdf</t>
  </si>
  <si>
    <t>Melting_Curves/meltCurve_P51553_IDH3G.pdf</t>
  </si>
  <si>
    <t>Melting_Curves/meltCurve_P51570_GALK1.pdf</t>
  </si>
  <si>
    <t>Melting_Curves/meltCurve_P51571_SSR4.pdf</t>
  </si>
  <si>
    <t>Melting_Curves/meltCurve_P51572_BCAP31.pdf</t>
  </si>
  <si>
    <t>Melting_Curves/meltCurve_P51580_TPMT.pdf</t>
  </si>
  <si>
    <t>Melting_Curves/meltCurve_P51608_MECP2.pdf</t>
  </si>
  <si>
    <t>Melting_Curves/meltCurve_P51610_2_HCFC1.pdf</t>
  </si>
  <si>
    <t>Melting_Curves/meltCurve_P51659_HSD17B4.pdf</t>
  </si>
  <si>
    <t>Melting_Curves/meltCurve_P51665_PSMD7.pdf</t>
  </si>
  <si>
    <t>Melting_Curves/meltCurve_P51687_SUOX.pdf</t>
  </si>
  <si>
    <t>Melting_Curves/meltCurve_P51692_STAT5B.pdf</t>
  </si>
  <si>
    <t>Melting_Curves/meltCurve_P51790_4_CLCN3.pdf</t>
  </si>
  <si>
    <t>Melting_Curves/meltCurve_P51795_CLCN5.pdf</t>
  </si>
  <si>
    <t>Melting_Curves/meltCurve_P51797_CLCN6.pdf</t>
  </si>
  <si>
    <t>Melting_Curves/meltCurve_P51798_2_CLCN7.pdf</t>
  </si>
  <si>
    <t>Melting_Curves/meltCurve_P51809_VAMP7.pdf</t>
  </si>
  <si>
    <t>Melting_Curves/meltCurve_P51811_XK.pdf</t>
  </si>
  <si>
    <t>Melting_Curves/meltCurve_P51812_RPS6KA3.pdf</t>
  </si>
  <si>
    <t>Melting_Curves/meltCurve_P51857_2_AKR1D1.pdf</t>
  </si>
  <si>
    <t>Melting_Curves/meltCurve_P51858_HDGF.pdf</t>
  </si>
  <si>
    <t>Melting_Curves/meltCurve_P51911_CNN1.pdf</t>
  </si>
  <si>
    <t>Melting_Curves/meltCurve_P51948_MNAT1.pdf</t>
  </si>
  <si>
    <t>Melting_Curves/meltCurve_P51970_NDUFA8.pdf</t>
  </si>
  <si>
    <t>Melting_Curves/meltCurve_P51991_HNRNPA3.pdf</t>
  </si>
  <si>
    <t>Melting_Curves/meltCurve_P52272_2_HNRNPM.pdf</t>
  </si>
  <si>
    <t>Melting_Curves/meltCurve_P52292_KPNA2.pdf</t>
  </si>
  <si>
    <t>Melting_Curves/meltCurve_P52294_KPNA1.pdf</t>
  </si>
  <si>
    <t>Melting_Curves/meltCurve_P52298_NCBP2.pdf</t>
  </si>
  <si>
    <t>Melting_Curves/meltCurve_P52306_RAP1GDS1.pdf</t>
  </si>
  <si>
    <t>Melting_Curves/meltCurve_P52565_ARHGDIA.pdf</t>
  </si>
  <si>
    <t>Melting_Curves/meltCurve_P52566_ARHGDIB.pdf</t>
  </si>
  <si>
    <t>Melting_Curves/meltCurve_P52597_HNRNPF.pdf</t>
  </si>
  <si>
    <t>Melting_Curves/meltCurve_P52630_4_STAT2.pdf</t>
  </si>
  <si>
    <t>Melting_Curves/meltCurve_P52655_GTF2A1.pdf</t>
  </si>
  <si>
    <t>Melting_Curves/meltCurve_P52657_GTF2A2.pdf</t>
  </si>
  <si>
    <t>Melting_Curves/meltCurve_P52701_MSH6.pdf</t>
  </si>
  <si>
    <t>Melting_Curves/meltCurve_P52732_KIF11.pdf</t>
  </si>
  <si>
    <t>Melting_Curves/meltCurve_P52758_HRSP12.pdf</t>
  </si>
  <si>
    <t>Melting_Curves/meltCurve_P52788_SMS.pdf</t>
  </si>
  <si>
    <t>Melting_Curves/meltCurve_P52789_HK2.pdf</t>
  </si>
  <si>
    <t>Melting_Curves/meltCurve_P52815_MRPL12.pdf</t>
  </si>
  <si>
    <t>Melting_Curves/meltCurve_P52888_THOP1.pdf</t>
  </si>
  <si>
    <t>Melting_Curves/meltCurve_P52907_CAPZA1.pdf</t>
  </si>
  <si>
    <t>Melting_Curves/meltCurve_P52943_CRIP2.pdf</t>
  </si>
  <si>
    <t>Melting_Curves/meltCurve_P52948_6_NUP98.pdf</t>
  </si>
  <si>
    <t>Melting_Curves/meltCurve_P53004_BLVRA.pdf</t>
  </si>
  <si>
    <t>Melting_Curves/meltCurve_P53007_SLC25A1.pdf</t>
  </si>
  <si>
    <t>Melting_Curves/meltCurve_P53350_PLK1.pdf</t>
  </si>
  <si>
    <t>Melting_Curves/meltCurve_P53365_ARFIP2.pdf</t>
  </si>
  <si>
    <t>Melting_Curves/meltCurve_P53367_ARFIP1.pdf</t>
  </si>
  <si>
    <t>Melting_Curves/meltCurve_P53367_2_ARFIP1.pdf</t>
  </si>
  <si>
    <t>Melting_Curves/meltCurve_P53384_2_NUBP1.pdf</t>
  </si>
  <si>
    <t>Melting_Curves/meltCurve_P53396_ACLY.pdf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</si>
  <si>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</si>
  <si>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</si>
  <si>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</si>
  <si>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</si>
  <si>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Melting_Curves/meltCurve_P53618_COPB1.pdf</t>
  </si>
  <si>
    <t>Melting_Curves/meltCurve_P53621_COPA.pdf</t>
  </si>
  <si>
    <t>Melting_Curves/meltCurve_P53634_CTSC.pdf</t>
  </si>
  <si>
    <t>Melting_Curves/meltCurve_P53701_HCCS.pdf</t>
  </si>
  <si>
    <t>Melting_Curves/meltCurve_P53778_MAPK12.pdf</t>
  </si>
  <si>
    <t>Melting_Curves/meltCurve_P53794_SLC5A3.pdf</t>
  </si>
  <si>
    <t>Melting_Curves/meltCurve_P53803_POLR2K.pdf</t>
  </si>
  <si>
    <t>Melting_Curves/meltCurve_P53814_5_SMTN.pdf</t>
  </si>
  <si>
    <t>Melting_Curves/meltCurve_P53985_SLC16A1.pdf</t>
  </si>
  <si>
    <t>Melting_Curves/meltCurve_P53990_2_IST1.pdf</t>
  </si>
  <si>
    <t>Melting_Curves/meltCurve_P53992_SEC24C.pdf</t>
  </si>
  <si>
    <t>Melting_Curves/meltCurve_P53999_SUB1.pdf</t>
  </si>
  <si>
    <t>Melting_Curves/meltCurve_P54098_POLG.pdf</t>
  </si>
  <si>
    <t>Melting_Curves/meltCurve_P54105_CLNS1A.pdf</t>
  </si>
  <si>
    <t>Melting_Curves/meltCurve_P54136_RARS.pdf</t>
  </si>
  <si>
    <t>Melting_Curves/meltCurve_P54259_ATN1.pdf</t>
  </si>
  <si>
    <t>Melting_Curves/meltCurve_P54278_PMS2.pdf</t>
  </si>
  <si>
    <t>Melting_Curves/meltCurve_P54577_YARS.pdf</t>
  </si>
  <si>
    <t>Melting_Curves/meltCurve_P54578_2_USP14.pdf</t>
  </si>
  <si>
    <t>Melting_Curves/meltCurve_P54619_2_PRKAG1.pdf</t>
  </si>
  <si>
    <t>Melting_Curves/meltCurve_P54687_BCAT1.pdf</t>
  </si>
  <si>
    <t>Melting_Curves/meltCurve_P54707_ATP12A.pdf</t>
  </si>
  <si>
    <t>Melting_Curves/meltCurve_P54709_ATP1B3.pdf</t>
  </si>
  <si>
    <t>Melting_Curves/meltCurve_P54727_RAD23B.pdf</t>
  </si>
  <si>
    <t>Melting_Curves/meltCurve_P54760_EPHB4.pdf</t>
  </si>
  <si>
    <t>Melting_Curves/meltCurve_P54802_NAGLU.pdf</t>
  </si>
  <si>
    <t>Melting_Curves/meltCurve_P54819_AK2.pdf</t>
  </si>
  <si>
    <t>Melting_Curves/meltCurve_P54886_2_ALDH18A1.pdf</t>
  </si>
  <si>
    <t>Melting_Curves/meltCurve_P54920_NAPA.pdf</t>
  </si>
  <si>
    <t>Melting_Curves/meltCurve_P54922_ADPRH.pdf</t>
  </si>
  <si>
    <t>Melting_Curves/meltCurve_P55010_EIF5.pdf</t>
  </si>
  <si>
    <t>Melting_Curves/meltCurve_P55011_3_SLC12A2.pdf</t>
  </si>
  <si>
    <t>Melting_Curves/meltCurve_P55036_PSMD4.pdf</t>
  </si>
  <si>
    <t>Melting_Curves/meltCurve_P55039_DRG2.pdf</t>
  </si>
  <si>
    <t>Melting_Curves/meltCurve_P55060_3_CSE1L.pdf</t>
  </si>
  <si>
    <t>Melting_Curves/meltCurve_P55072_VCP.pdf</t>
  </si>
  <si>
    <t>Melting_Curves/meltCurve_P55081_MFAP1.pdf</t>
  </si>
  <si>
    <t>Melting_Curves/meltCurve_P55082_2_MFAP3.pdf</t>
  </si>
  <si>
    <t>Melting_Curves/meltCurve_P55145_MANF.pdf</t>
  </si>
  <si>
    <t>Melting_Curves/meltCurve_P55196_3_MLLT4.pdf</t>
  </si>
  <si>
    <t>Melting_Curves/meltCurve_P55199_ELL.pdf</t>
  </si>
  <si>
    <t>Melting_Curves/meltCurve_P55201_4_BRPF1.pdf</t>
  </si>
  <si>
    <t>Melting_Curves/meltCurve_P55211_2_CASP9.pdf</t>
  </si>
  <si>
    <t>Melting_Curves/meltCurve_P55212_CASP6.pdf</t>
  </si>
  <si>
    <t>Melting_Curves/meltCurve_P55263_ADK.pdf</t>
  </si>
  <si>
    <t>Melting_Curves/meltCurve_P55735_SEC13.pdf</t>
  </si>
  <si>
    <t>Melting_Curves/meltCurve_P55789_GFER.pdf</t>
  </si>
  <si>
    <t>Melting_Curves/meltCurve_P55795_HNRNPH2.pdf</t>
  </si>
  <si>
    <t>Melting_Curves/meltCurve_P55809_OXCT1.pdf</t>
  </si>
  <si>
    <t>Melting_Curves/meltCurve_P55884_EIF3B.pdf</t>
  </si>
  <si>
    <t>Melting_Curves/meltCurve_P55957_BID.pdf</t>
  </si>
  <si>
    <t>Melting_Curves/meltCurve_P56181_2_NDUFV3.pdf</t>
  </si>
  <si>
    <t>Melting_Curves/meltCurve_P56182_RRP1.pdf</t>
  </si>
  <si>
    <t>Melting_Curves/meltCurve_P56192_MARS.pdf</t>
  </si>
  <si>
    <t>Melting_Curves/meltCurve_P56270_2_MAZ.pdf</t>
  </si>
  <si>
    <t>Melting_Curves/meltCurve_P56277_CMC4.pdf</t>
  </si>
  <si>
    <t>Melting_Curves/meltCurve_P56282_2_POLE2.pdf</t>
  </si>
  <si>
    <t>Melting_Curves/meltCurve_P56377_AP1S2.pdf</t>
  </si>
  <si>
    <t>Melting_Curves/meltCurve_P56381_ATP5E.pdf</t>
  </si>
  <si>
    <t>Melting_Curves/meltCurve_P56385_ATP5I.pdf</t>
  </si>
  <si>
    <t>Melting_Curves/meltCurve_P56524_HDAC4.pdf</t>
  </si>
  <si>
    <t>Melting_Curves/meltCurve_P56537_EIF6.pdf</t>
  </si>
  <si>
    <t>Melting_Curves/meltCurve_P56556_NDUFA6.pdf</t>
  </si>
  <si>
    <t>Melting_Curves/meltCurve_P56589_PEX3.pdf</t>
  </si>
  <si>
    <t>Melting_Curves/meltCurve_P56645_PER3.pdf</t>
  </si>
  <si>
    <t>Melting_Curves/meltCurve_P56749_CLDN12.pdf</t>
  </si>
  <si>
    <t>Melting_Curves/meltCurve_P56937_3_HSD17B7.pdf</t>
  </si>
  <si>
    <t>Melting_Curves/meltCurve_P56945_4_BCAR1.pdf</t>
  </si>
  <si>
    <t>Melting_Curves/meltCurve_P56962_STX17.pdf</t>
  </si>
  <si>
    <t>Melting_Curves/meltCurve_P57054_3_PIGP.pdf</t>
  </si>
  <si>
    <t>Melting_Curves/meltCurve_P57060_RWDD2B.pdf</t>
  </si>
  <si>
    <t>Melting_Curves/meltCurve_P57076_C21orf59.pdf</t>
  </si>
  <si>
    <t>Melting_Curves/meltCurve_P57081_2_WDR4.pdf</t>
  </si>
  <si>
    <t>Melting_Curves/meltCurve_P57088_TMEM33.pdf</t>
  </si>
  <si>
    <t>Melting_Curves/meltCurve_P57105_SYNJ2BP.pdf</t>
  </si>
  <si>
    <t>Melting_Curves/meltCurve_P57682_KLF3.pdf</t>
  </si>
  <si>
    <t>Melting_Curves/meltCurve_P57737_3_CORO7.pdf</t>
  </si>
  <si>
    <t>Melting_Curves/meltCurve_P57740_NUP107.pdf</t>
  </si>
  <si>
    <t>Melting_Curves/meltCurve_P57768_SNX16.pdf</t>
  </si>
  <si>
    <t>Melting_Curves/meltCurve_P57772_EEFSEC.pdf</t>
  </si>
  <si>
    <t>Melting_Curves/meltCurve_P58004_SESN2.pdf</t>
  </si>
  <si>
    <t>Melting_Curves/meltCurve_P58107_EPPK1.pdf</t>
  </si>
  <si>
    <t>Melting_Curves/meltCurve_P58546_MTPN.pdf</t>
  </si>
  <si>
    <t>Melting_Curves/meltCurve_P58557_4_YBEY.pdf</t>
  </si>
  <si>
    <t>Melting_Curves/meltCurve_P59923_ZNF445.pdf</t>
  </si>
  <si>
    <t>Melting_Curves/meltCurve_P59998_ARPC4.pdf</t>
  </si>
  <si>
    <t>Melting_Curves/meltCurve_P60059_SEC61G.pdf</t>
  </si>
  <si>
    <t>Melting_Curves/meltCurve_P60174_1_TPI1.pdf</t>
  </si>
  <si>
    <t>Melting_Curves/meltCurve_P60228_EIF3E.pdf</t>
  </si>
  <si>
    <t>Melting_Curves/meltCurve_P60468_SEC61B.pdf</t>
  </si>
  <si>
    <t>Melting_Curves/meltCurve_P60510_PPP4C.pdf</t>
  </si>
  <si>
    <t>Melting_Curves/meltCurve_P60520_GABARAPL2.pdf</t>
  </si>
  <si>
    <t>Melting_Curves/meltCurve_P60602_ROMO1.pdf</t>
  </si>
  <si>
    <t>Melting_Curves/meltCurve_P60604_2_UBE2G2.pdf</t>
  </si>
  <si>
    <t>Melting_Curves/meltCurve_P60709_ACTB.pdf</t>
  </si>
  <si>
    <t>Melting_Curves/meltCurve_P60763_RAC3.pdf</t>
  </si>
  <si>
    <t>Melting_Curves/meltCurve_P60842_EIF4A1.pdf</t>
  </si>
  <si>
    <t>Melting_Curves/meltCurve_P60866_RPS20.pdf</t>
  </si>
  <si>
    <t>Melting_Curves/meltCurve_P60891_PRPS1.pdf</t>
  </si>
  <si>
    <t>Melting_Curves/meltCurve_P60896_SHFM1.pdf</t>
  </si>
  <si>
    <t>Melting_Curves/meltCurve_P60953_CDC42.pdf</t>
  </si>
  <si>
    <t>Melting_Curves/meltCurve_P60981_DSTN.pdf</t>
  </si>
  <si>
    <t>Melting_Curves/meltCurve_P60983_GMFB.pdf</t>
  </si>
  <si>
    <t>Melting_Curves/meltCurve_P61006_RAB8A.pdf</t>
  </si>
  <si>
    <t>Melting_Curves/meltCurve_P61009_SPCS3.pdf</t>
  </si>
  <si>
    <t>Melting_Curves/meltCurve_P61011_SRP54.pdf</t>
  </si>
  <si>
    <t>Melting_Curves/meltCurve_P61018_RAB4B.pdf</t>
  </si>
  <si>
    <t>Melting_Curves/meltCurve_P61019_RAB2A.pdf</t>
  </si>
  <si>
    <t>Melting_Curves/meltCurve_P61020_RAB5B.pdf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</si>
  <si>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</si>
  <si>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</si>
  <si>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</si>
  <si>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</si>
  <si>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</si>
  <si>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</si>
  <si>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Melting_Curves/meltCurve_P61129_ZC3H6.pdf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</si>
  <si>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</si>
  <si>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</si>
  <si>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</si>
  <si>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</si>
  <si>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Melting_Curves/meltCurve_P61218_POLR2F.pdf</t>
  </si>
  <si>
    <t>Melting_Curves/meltCurve_P61221_ABCE1.pdf</t>
  </si>
  <si>
    <t>Melting_Curves/meltCurve_P61224_RAP1B.pdf</t>
  </si>
  <si>
    <t>Melting_Curves/meltCurve_P61225_RAP2B.pdf</t>
  </si>
  <si>
    <t>Melting_Curves/meltCurve_P61244_2_MAX.pdf</t>
  </si>
  <si>
    <t>Melting_Curves/meltCurve_P61247_RPS3A.pdf</t>
  </si>
  <si>
    <t>Melting_Curves/meltCurve_P61254_RPL26.pdf</t>
  </si>
  <si>
    <t>Melting_Curves/meltCurve_P61289_PSME3.pdf</t>
  </si>
  <si>
    <t>Melting_Curves/meltCurve_P61326_MAGOH.pdf</t>
  </si>
  <si>
    <t>Melting_Curves/meltCurve_P61353_RPL27.pdf</t>
  </si>
  <si>
    <t>Melting_Curves/meltCurve_P61457_PCBD1.pdf</t>
  </si>
  <si>
    <t>Melting_Curves/meltCurve_P61586_RHOA.pdf</t>
  </si>
  <si>
    <t>Melting_Curves/meltCurve_P61599_NAA20.pdf</t>
  </si>
  <si>
    <t>Melting_Curves/meltCurve_P61604_HSPE1.pdf</t>
  </si>
  <si>
    <t>Melting_Curves/meltCurve_P61758_VBP1.pdf</t>
  </si>
  <si>
    <t>Melting_Curves/meltCurve_P61764_STXBP1.pdf</t>
  </si>
  <si>
    <t>Melting_Curves/meltCurve_P61962_DCAF7.pdf</t>
  </si>
  <si>
    <t>Melting_Curves/meltCurve_P61964_WDR5.pdf</t>
  </si>
  <si>
    <t>Melting_Curves/meltCurve_P61966_AP1S1.pdf</t>
  </si>
  <si>
    <t>Melting_Curves/meltCurve_P61970_NUTF2.pdf</t>
  </si>
  <si>
    <t>Melting_Curves/meltCurve_P61978_2_HNRNPK.pdf</t>
  </si>
  <si>
    <t>Melting_Curves/meltCurve_P61978_3_HNRNPK.pdf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</si>
  <si>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</si>
  <si>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</si>
  <si>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</si>
  <si>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</si>
  <si>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</si>
  <si>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</si>
  <si>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Melting_Curves/meltCurve_P62166_NCS1.pdf</t>
  </si>
  <si>
    <t>Melting_Curves/meltCurve_P62191_PSMC1.pdf</t>
  </si>
  <si>
    <t>Melting_Curves/meltCurve_P62195_2_PSMC5.pdf</t>
  </si>
  <si>
    <t>Melting_Curves/meltCurve_P62241_RPS8.pdf</t>
  </si>
  <si>
    <t>Melting_Curves/meltCurve_P62249_RPS16.pdf</t>
  </si>
  <si>
    <t>Melting_Curves/meltCurve_P62253_UBE2G1.pdf</t>
  </si>
  <si>
    <t>Melting_Curves/meltCurve_P62258_YWHAE.pdf</t>
  </si>
  <si>
    <t>Melting_Curves/meltCurve_P62263_RPS14.pdf</t>
  </si>
  <si>
    <t>Melting_Curves/meltCurve_P62266_RPS23.pdf</t>
  </si>
  <si>
    <t>Melting_Curves/meltCurve_P62269_RPS18.pdf</t>
  </si>
  <si>
    <t>Melting_Curves/meltCurve_P62273_RPS29.pdf</t>
  </si>
  <si>
    <t>Melting_Curves/meltCurve_P62277_RPS13.pdf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</si>
  <si>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</si>
  <si>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</si>
  <si>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</si>
  <si>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</si>
  <si>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</si>
  <si>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</si>
  <si>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</si>
  <si>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</si>
  <si>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Melting_Curves/meltCurve_P62328_TMSB4X.pdf</t>
  </si>
  <si>
    <t>Melting_Curves/meltCurve_P62330_ARF6.pdf</t>
  </si>
  <si>
    <t>Melting_Curves/meltCurve_P62333_PSMC6.pdf</t>
  </si>
  <si>
    <t>Melting_Curves/meltCurve_P62424_RPL7A.pdf</t>
  </si>
  <si>
    <t>Melting_Curves/meltCurve_P62487_POLR2G.pdf</t>
  </si>
  <si>
    <t>Melting_Curves/meltCurve_P62495_ETF1.pdf</t>
  </si>
  <si>
    <t>Melting_Curves/meltCurve_P62633_2_CNBP.pdf</t>
  </si>
  <si>
    <t>Melting_Curves/meltCurve_P62633_4_CNBP.pdf</t>
  </si>
  <si>
    <t>Melting_Curves/meltCurve_P62633_5_CNBP.pdf</t>
  </si>
  <si>
    <t>Melting_Curves/meltCurve_P62699_YPEL5.pdf</t>
  </si>
  <si>
    <t>Melting_Curves/meltCurve_P62701_RPS4X.pdf</t>
  </si>
  <si>
    <t>Melting_Curves/meltCurve_P62714_PPP2CB.pdf</t>
  </si>
  <si>
    <t>Melting_Curves/meltCurve_P62750_RPL23A.pdf</t>
  </si>
  <si>
    <t>Melting_Curves/meltCurve_P62753_RPS6.pdf</t>
  </si>
  <si>
    <t>Melting_Curves/meltCurve_P62805_HIST1H4A.pdf</t>
  </si>
  <si>
    <t>Melting_Curves/meltCurve_P62820_RAB1A.pdf</t>
  </si>
  <si>
    <t>Melting_Curves/meltCurve_P62829_RPL23.pdf</t>
  </si>
  <si>
    <t>Melting_Curves/meltCurve_P62834_RAP1A.pdf</t>
  </si>
  <si>
    <t>Melting_Curves/meltCurve_P62837_UBE2D2.pdf</t>
  </si>
  <si>
    <t>Melting_Curves/meltCurve_P62851_RPS25.pdf</t>
  </si>
  <si>
    <t>Melting_Curves/meltCurve_P62854_RPS26.pdf</t>
  </si>
  <si>
    <t>Melting_Curves/meltCurve_P62857_RPS28.pdf</t>
  </si>
  <si>
    <t>Melting_Curves/meltCurve_P62873_GNB1.pdf</t>
  </si>
  <si>
    <t>Melting_Curves/meltCurve_P62875_POLR2L.pdf</t>
  </si>
  <si>
    <t>Melting_Curves/meltCurve_P62877_RBX1.pdf</t>
  </si>
  <si>
    <t>Melting_Curves/meltCurve_P62879_GNB2.pdf</t>
  </si>
  <si>
    <t>Melting_Curves/meltCurve_P62899_RPL31.pdf</t>
  </si>
  <si>
    <t>Melting_Curves/meltCurve_P62906_RPL10A.pdf</t>
  </si>
  <si>
    <t>Melting_Curves/meltCurve_P62913_2_RPL11.pdf</t>
  </si>
  <si>
    <t>Melting_Curves/meltCurve_P62937_PPIA.pdf</t>
  </si>
  <si>
    <t>Melting_Curves/meltCurve_P62942_FKBP1A.pdf</t>
  </si>
  <si>
    <t>Melting_Curves/meltCurve_P62979_RPS27A.pdf</t>
  </si>
  <si>
    <t>Melting_Curves/meltCurve_P62993_GRB2.pdf</t>
  </si>
  <si>
    <t>Melting_Curves/meltCurve_P62995_3_TRA2B.pdf</t>
  </si>
  <si>
    <t>Melting_Curves/meltCurve_P63000_RAC1.pdf</t>
  </si>
  <si>
    <t>Melting_Curves/meltCurve_P63010_AP2B1.pdf</t>
  </si>
  <si>
    <t>Melting_Curves/meltCurve_P63092_GNAS.pdf</t>
  </si>
  <si>
    <t>Melting_Curves/meltCurve_P63104_YWHAZ.pdf</t>
  </si>
  <si>
    <t>Melting_Curves/meltCurve_P63120_.pdf</t>
  </si>
  <si>
    <t>Melting_Curves/meltCurve_P63151_PPP2R2A.pdf</t>
  </si>
  <si>
    <t>Melting_Curves/meltCurve_P63167_DYNLL1.pdf</t>
  </si>
  <si>
    <t>Melting_Curves/meltCurve_P63173_RPL38.pdf</t>
  </si>
  <si>
    <t>Melting_Curves/meltCurve_P63218_GNG5.pdf</t>
  </si>
  <si>
    <t>Melting_Curves/meltCurve_P63241_EIF5A.pdf</t>
  </si>
  <si>
    <t>Melting_Curves/meltCurve_P63244_GNB2L1.pdf</t>
  </si>
  <si>
    <t>Melting_Curves/meltCurve_P67775_PPP2CA.pdf</t>
  </si>
  <si>
    <t>Melting_Curves/meltCurve_P67809_YBX1.pdf</t>
  </si>
  <si>
    <t>Melting_Curves/meltCurve_P67936_TPM4.pdf</t>
  </si>
  <si>
    <t>Melting_Curves/meltCurve_P68036_UBE2L3.pdf</t>
  </si>
  <si>
    <t>Melting_Curves/meltCurve_P68104_EEF1A1.pdf</t>
  </si>
  <si>
    <t>Melting_Curves/meltCurve_P68133_ACTA1.pdf</t>
  </si>
  <si>
    <t>Melting_Curves/meltCurve_P68363_TUBA1B.pdf</t>
  </si>
  <si>
    <t>Melting_Curves/meltCurve_P68371_TUBB4B.pdf</t>
  </si>
  <si>
    <t>Melting_Curves/meltCurve_P68402_PAFAH1B2.pdf</t>
  </si>
  <si>
    <t>Melting_Curves/meltCurve_P69891_HBG1.pdf</t>
  </si>
  <si>
    <t>Melting_Curves/meltCurve_P69892_HBG2.pdf</t>
  </si>
  <si>
    <t>Melting_Curves/meltCurve_P69905_HBA1.pdf</t>
  </si>
  <si>
    <t>Melting_Curves/meltCurve_P78316_NOP14.pdf</t>
  </si>
  <si>
    <t>Melting_Curves/meltCurve_P78318_IGBP1.pdf</t>
  </si>
  <si>
    <t>Melting_Curves/meltCurve_P78330_PSPH.pdf</t>
  </si>
  <si>
    <t>Melting_Curves/meltCurve_P78332_RBM6.pdf</t>
  </si>
  <si>
    <t>Melting_Curves/meltCurve_P78345_RPP38.pdf</t>
  </si>
  <si>
    <t>Melting_Curves/meltCurve_P78346_RPP30.pdf</t>
  </si>
  <si>
    <t>Melting_Curves/meltCurve_P78347_2_GTF2I.pdf</t>
  </si>
  <si>
    <t>Melting_Curves/meltCurve_P78356_PIP4K2B.pdf</t>
  </si>
  <si>
    <t>Melting_Curves/meltCurve_P78362_SRPK2.pdf</t>
  </si>
  <si>
    <t>Melting_Curves/meltCurve_P78371_CCT2.pdf</t>
  </si>
  <si>
    <t>Melting_Curves/meltCurve_P78406_RAE1.pdf</t>
  </si>
  <si>
    <t>Melting_Curves/meltCurve_P78417_GSTO1.pdf</t>
  </si>
  <si>
    <t>Melting_Curves/meltCurve_P78527_PRKDC.pdf</t>
  </si>
  <si>
    <t>Melting_Curves/meltCurve_P78536_ADAM17.pdf</t>
  </si>
  <si>
    <t>Melting_Curves/meltCurve_P78537_BLOC1S1.pdf</t>
  </si>
  <si>
    <t>Melting_Curves/meltCurve_P78540_ARG2.pdf</t>
  </si>
  <si>
    <t>Melting_Curves/meltCurve_P78560_CRADD.pdf</t>
  </si>
  <si>
    <t>Melting_Curves/meltCurve_P80217_IFI35.pdf</t>
  </si>
  <si>
    <t>Melting_Curves/meltCurve_P80303_NUCB2.pdf</t>
  </si>
  <si>
    <t>Melting_Curves/meltCurve_P81877_4_SSBP2.pdf</t>
  </si>
  <si>
    <t>Melting_Curves/meltCurve_P82094_TMF1.pdf</t>
  </si>
  <si>
    <t>Melting_Curves/meltCurve_P82673_MRPS35.pdf</t>
  </si>
  <si>
    <t>Melting_Curves/meltCurve_P82675_MRPS5.pdf</t>
  </si>
  <si>
    <t>Melting_Curves/meltCurve_P82909_MRPS36.pdf</t>
  </si>
  <si>
    <t>Melting_Curves/meltCurve_P82912_2_MRPS11.pdf</t>
  </si>
  <si>
    <t>Melting_Curves/meltCurve_P82930_MRPS34.pdf</t>
  </si>
  <si>
    <t>Melting_Curves/meltCurve_P82932_MRPS6.pdf</t>
  </si>
  <si>
    <t>Melting_Curves/meltCurve_P82933_MRPS9.pdf</t>
  </si>
  <si>
    <t>Melting_Curves/meltCurve_P82979_SARNP.pdf</t>
  </si>
  <si>
    <t>Melting_Curves/meltCurve_P83111_LACTB.pdf</t>
  </si>
  <si>
    <t>Melting_Curves/meltCurve_P83436_COG7.pdf</t>
  </si>
  <si>
    <t>Melting_Curves/meltCurve_P84022_SMAD3.pdf</t>
  </si>
  <si>
    <t>Melting_Curves/meltCurve_P84077_ARF1.pdf</t>
  </si>
  <si>
    <t>Melting_Curves/meltCurve_P84085_ARF5.pdf</t>
  </si>
  <si>
    <t>Melting_Curves/meltCurve_P84090_ERH.pdf</t>
  </si>
  <si>
    <t>Melting_Curves/meltCurve_P84095_RHOG.pdf</t>
  </si>
  <si>
    <t>Melting_Curves/meltCurve_P84101_4_SERF2.pdf</t>
  </si>
  <si>
    <t>Melting_Curves/meltCurve_P84157_MXRA7.pdf</t>
  </si>
  <si>
    <t>Melting_Curves/meltCurve_P85037_FOXK1.pdf</t>
  </si>
  <si>
    <t>Melting_Curves/meltCurve_P86397_RPP14.pdf</t>
  </si>
  <si>
    <t>Melting_Curves/meltCurve_P86791_CCZ1.pdf</t>
  </si>
  <si>
    <t>Melting_Curves/meltCurve_P98082_2_DAB2.pdf</t>
  </si>
  <si>
    <t>Melting_Curves/meltCurve_P98153_2_DGCR2.pdf</t>
  </si>
  <si>
    <t>Melting_Curves/meltCurve_P98160_HSPG2.pdf</t>
  </si>
  <si>
    <t>Melting_Curves/meltCurve_P98170_XIAP.pdf</t>
  </si>
  <si>
    <t>Melting_Curves/meltCurve_P98172_EFNB1.pdf</t>
  </si>
  <si>
    <t>Melting_Curves/meltCurve_P98173_3_FAM3A.pdf</t>
  </si>
  <si>
    <t>Melting_Curves/meltCurve_P98175_2_RBM10.pdf</t>
  </si>
  <si>
    <t>Melting_Curves/meltCurve_P98179_RBM3.pdf</t>
  </si>
  <si>
    <t>Melting_Curves/meltCurve_Q00013_MPP1.pdf</t>
  </si>
  <si>
    <t>Melting_Curves/meltCurve_Q00059_TFAM.pdf</t>
  </si>
  <si>
    <t>Melting_Curves/meltCurve_Q00169_PITPNA.pdf</t>
  </si>
  <si>
    <t>Melting_Curves/meltCurve_Q00325_2_SLC25A3.pdf</t>
  </si>
  <si>
    <t>Melting_Curves/meltCurve_Q00341_HDLBP.pdf</t>
  </si>
  <si>
    <t>Melting_Curves/meltCurve_Q00403_GTF2B.pdf</t>
  </si>
  <si>
    <t>Melting_Curves/meltCurve_Q00534_CDK6.pdf</t>
  </si>
  <si>
    <t>Melting_Curves/meltCurve_Q00535_CDK5.pdf</t>
  </si>
  <si>
    <t>Melting_Curves/meltCurve_Q00536_CDK16.pdf</t>
  </si>
  <si>
    <t>Melting_Curves/meltCurve_Q00577_PURA.pdf</t>
  </si>
  <si>
    <t>Melting_Curves/meltCurve_Q00587_2_CDC42EP1.pdf</t>
  </si>
  <si>
    <t>Melting_Curves/meltCurve_Q00610_2_CLTC.pdf</t>
  </si>
  <si>
    <t>Melting_Curves/meltCurve_Q00653_4_NFKB2.pdf</t>
  </si>
  <si>
    <t>Melting_Curves/meltCurve_Q00688_FKBP3.pdf</t>
  </si>
  <si>
    <t>Melting_Curves/meltCurve_Q00765_REEP5.pdf</t>
  </si>
  <si>
    <t>Melting_Curves/meltCurve_Q00796_SORD.pdf</t>
  </si>
  <si>
    <t>Melting_Curves/meltCurve_Q00839_2_HNRNPU.pdf</t>
  </si>
  <si>
    <t>Melting_Curves/meltCurve_Q00973_B4GALNT1.pdf</t>
  </si>
  <si>
    <t>Melting_Curves/meltCurve_Q01081_U2AF1.pdf</t>
  </si>
  <si>
    <t>Melting_Curves/meltCurve_Q01082_SPTBN1.pdf</t>
  </si>
  <si>
    <t>Melting_Curves/meltCurve_Q01082_3_SPTBN1.pdf</t>
  </si>
  <si>
    <t>Melting_Curves/meltCurve_Q01085_2_TIAL1.pdf</t>
  </si>
  <si>
    <t>Melting_Curves/meltCurve_Q01105_2_SET.pdf</t>
  </si>
  <si>
    <t>Melting_Curves/meltCurve_Q01167_2_FOXK2.pdf</t>
  </si>
  <si>
    <t>Melting_Curves/meltCurve_Q01415_GALK2.pdf</t>
  </si>
  <si>
    <t>Melting_Curves/meltCurve_Q01432_AMPD3.pdf</t>
  </si>
  <si>
    <t>Melting_Curves/meltCurve_Q01459_CTBS.pdf</t>
  </si>
  <si>
    <t>Melting_Curves/meltCurve_Q01469_FABP5.pdf</t>
  </si>
  <si>
    <t>Melting_Curves/meltCurve_Q01518_2_CAP1.pdf</t>
  </si>
  <si>
    <t>Melting_Curves/meltCurve_Q01581_HMGCS1.pdf</t>
  </si>
  <si>
    <t>Melting_Curves/meltCurve_Q01650_SLC7A5.pdf</t>
  </si>
  <si>
    <t>Melting_Curves/meltCurve_Q01658_DR1.pdf</t>
  </si>
  <si>
    <t>Melting_Curves/meltCurve_Q01664_TFAP4.pdf</t>
  </si>
  <si>
    <t>Melting_Curves/meltCurve_Q01780_2_EXOSC10.pdf</t>
  </si>
  <si>
    <t>Melting_Curves/meltCurve_Q01813_PFKP.pdf</t>
  </si>
  <si>
    <t>Melting_Curves/meltCurve_Q01968_OCRL.pdf</t>
  </si>
  <si>
    <t>Melting_Curves/meltCurve_Q01970_PLCB3.pdf</t>
  </si>
  <si>
    <t>Melting_Curves/meltCurve_Q01974_ROR2.pdf</t>
  </si>
  <si>
    <t>Melting_Curves/meltCurve_Q02040_AKAP17A.pdf</t>
  </si>
  <si>
    <t>Melting_Curves/meltCurve_Q02086_2_SP2.pdf</t>
  </si>
  <si>
    <t>Melting_Curves/meltCurve_Q02127_DHODH.pdf</t>
  </si>
  <si>
    <t>Melting_Curves/meltCurve_Q02224_3_CENPE.pdf</t>
  </si>
  <si>
    <t>Melting_Curves/meltCurve_Q02241_KIF23.pdf</t>
  </si>
  <si>
    <t>Melting_Curves/meltCurve_Q02446_SP4.pdf</t>
  </si>
  <si>
    <t>Melting_Curves/meltCurve_Q02543_RPL18A.pdf</t>
  </si>
  <si>
    <t>Melting_Curves/meltCurve_Q02750_MAP2K1.pdf</t>
  </si>
  <si>
    <t>Melting_Curves/meltCurve_Q02790_FKBP4.pdf</t>
  </si>
  <si>
    <t>Melting_Curves/meltCurve_Q02809_PLOD1.pdf</t>
  </si>
  <si>
    <t>Melting_Curves/meltCurve_Q02818_NUCB1.pdf</t>
  </si>
  <si>
    <t>Melting_Curves/meltCurve_Q02833_3_RASSF7.pdf</t>
  </si>
  <si>
    <t>Melting_Curves/meltCurve_Q02878_RPL6.pdf</t>
  </si>
  <si>
    <t>Melting_Curves/meltCurve_Q02880_2_TOP2B.pdf</t>
  </si>
  <si>
    <t>Melting_Curves/meltCurve_Q02952_3_AKAP12.pdf</t>
  </si>
  <si>
    <t>Melting_Curves/meltCurve_Q03013_2_GSTM4.pdf</t>
  </si>
  <si>
    <t>Melting_Curves/meltCurve_Q03014_HHEX.pdf</t>
  </si>
  <si>
    <t>Melting_Curves/meltCurve_Q03111_MLLT1.pdf</t>
  </si>
  <si>
    <t>Melting_Curves/meltCurve_Q03154_ACY1.pdf</t>
  </si>
  <si>
    <t>Melting_Curves/meltCurve_Q03167_2_TGFBR3.pdf</t>
  </si>
  <si>
    <t>Melting_Curves/meltCurve_Q03169_TNFAIP2.pdf</t>
  </si>
  <si>
    <t>Melting_Curves/meltCurve_Q03701_CEBPZ.pdf</t>
  </si>
  <si>
    <t>Melting_Curves/meltCurve_Q04446_GBE1.pdf</t>
  </si>
  <si>
    <t>Melting_Curves/meltCurve_Q04637_5_EIF4G1.pdf</t>
  </si>
  <si>
    <t>Melting_Curves/meltCurve_Q04656_5_ATP7A.pdf</t>
  </si>
  <si>
    <t>Melting_Curves/meltCurve_Q04759_PRKCQ.pdf</t>
  </si>
  <si>
    <t>Melting_Curves/meltCurve_Q04760_GLO1.pdf</t>
  </si>
  <si>
    <t>Melting_Curves/meltCurve_Q04771_ACVR1.pdf</t>
  </si>
  <si>
    <t>Melting_Curves/meltCurve_Q04828_AKR1C1.pdf</t>
  </si>
  <si>
    <t>Melting_Curves/meltCurve_Q04837_SSBP1.pdf</t>
  </si>
  <si>
    <t>Melting_Curves/meltCurve_Q04917_YWHAH.pdf</t>
  </si>
  <si>
    <t>Melting_Curves/meltCurve_Q04941_PLP2.pdf</t>
  </si>
  <si>
    <t>Melting_Curves/meltCurve_Q05048_CSTF1.pdf</t>
  </si>
  <si>
    <t>Melting_Curves/meltCurve_Q05086_3_UBE3A.pdf</t>
  </si>
  <si>
    <t>Melting_Curves/meltCurve_Q05193_5_DNM1.pdf</t>
  </si>
  <si>
    <t>Melting_Curves/meltCurve_Q05209_PTPN12.pdf</t>
  </si>
  <si>
    <t>Melting_Curves/meltCurve_Q05519_2_SRSF11.pdf</t>
  </si>
  <si>
    <t>Melting_Curves/meltCurve_Q05639_EEF1A2.pdf</t>
  </si>
  <si>
    <t>Melting_Curves/meltCurve_Q05655_PRKCD.pdf</t>
  </si>
  <si>
    <t>Melting_Curves/meltCurve_Q05823_RNASEL.pdf</t>
  </si>
  <si>
    <t>Melting_Curves/meltCurve_Q05932_3_FPGS.pdf</t>
  </si>
  <si>
    <t>Melting_Curves/meltCurve_Q06124_PTPN11.pdf</t>
  </si>
  <si>
    <t>Melting_Curves/meltCurve_Q06187_BTK.pdf</t>
  </si>
  <si>
    <t>Melting_Curves/meltCurve_Q06203_PPAT.pdf</t>
  </si>
  <si>
    <t>Melting_Curves/meltCurve_Q06210_2_GFPT1.pdf</t>
  </si>
  <si>
    <t>Melting_Curves/meltCurve_Q06265_EXOSC9.pdf</t>
  </si>
  <si>
    <t>Melting_Curves/meltCurve_Q06330_5_RBPJ.pdf</t>
  </si>
  <si>
    <t>Melting_Curves/meltCurve_Q06413_5_MEF2C.pdf</t>
  </si>
  <si>
    <t>Melting_Curves/meltCurve_Q06413_6_MEF2C.pdf</t>
  </si>
  <si>
    <t>Melting_Curves/meltCurve_Q06481_APLP2.pdf</t>
  </si>
  <si>
    <t>Melting_Curves/meltCurve_Q06546_GABPA.pdf</t>
  </si>
  <si>
    <t>Melting_Curves/meltCurve_Q06587_RING1.pdf</t>
  </si>
  <si>
    <t>Melting_Curves/meltCurve_Q06609_3_RAD51.pdf</t>
  </si>
  <si>
    <t>Melting_Curves/meltCurve_Q06830_PRDX1.pdf</t>
  </si>
  <si>
    <t>Melting_Curves/meltCurve_Q07021_C1QBP.pdf</t>
  </si>
  <si>
    <t>Melting_Curves/meltCurve_Q07108_CD69.pdf</t>
  </si>
  <si>
    <t>Melting_Curves/meltCurve_Q07283_TCHH.pdf</t>
  </si>
  <si>
    <t>Melting_Curves/meltCurve_Q07666_KHDRBS1.pdf</t>
  </si>
  <si>
    <t>Melting_Curves/meltCurve_Q07812_5_BAX.pdf</t>
  </si>
  <si>
    <t>Melting_Curves/meltCurve_Q07820_MCL1.pdf</t>
  </si>
  <si>
    <t>Melting_Curves/meltCurve_Q07864_POLE.pdf</t>
  </si>
  <si>
    <t>Melting_Curves/meltCurve_Q07866_6_KLC1.pdf</t>
  </si>
  <si>
    <t>Melting_Curves/meltCurve_Q07960_ARHGAP1.pdf</t>
  </si>
  <si>
    <t>Melting_Curves/meltCurve_Q08170_SRSF4.pdf</t>
  </si>
  <si>
    <t>Melting_Curves/meltCurve_Q08209_2_PPP3CA.pdf</t>
  </si>
  <si>
    <t>Melting_Curves/meltCurve_Q08211_DHX9.pdf</t>
  </si>
  <si>
    <t>Melting_Curves/meltCurve_Q08257_CRYZ.pdf</t>
  </si>
  <si>
    <t>Melting_Curves/meltCurve_Q08345_2_DDR1.pdf</t>
  </si>
  <si>
    <t>Melting_Curves/meltCurve_Q08357_SLC20A2.pdf</t>
  </si>
  <si>
    <t>Melting_Curves/meltCurve_Q08378_GOLGA3.pdf</t>
  </si>
  <si>
    <t>Melting_Curves/meltCurve_Q08379_GOLGA2.pdf</t>
  </si>
  <si>
    <t>Melting_Curves/meltCurve_Q08426_EHHADH.pdf</t>
  </si>
  <si>
    <t>Melting_Curves/meltCurve_Q08495_EPB49.pdf</t>
  </si>
  <si>
    <t>Melting_Curves/meltCurve_Q08495_2_EPB49.pdf</t>
  </si>
  <si>
    <t>Melting_Curves/meltCurve_Q08722_CD47.pdf</t>
  </si>
  <si>
    <t>Melting_Curves/meltCurve_Q08752_PPID.pdf</t>
  </si>
  <si>
    <t>Melting_Curves/meltCurve_Q08945_SSRP1.pdf</t>
  </si>
  <si>
    <t>Melting_Curves/meltCurve_Q08AG7_MZT1.pdf</t>
  </si>
  <si>
    <t>Melting_Curves/meltCurve_Q08AM6_VAC14.pdf</t>
  </si>
  <si>
    <t>Melting_Curves/meltCurve_Q08E86_KIAA0100.pdf</t>
  </si>
  <si>
    <t>Melting_Curves/meltCurve_Q08ER3_ZNF365.pdf</t>
  </si>
  <si>
    <t>Melting_Curves/meltCurve_Q08J23_NSUN2.pdf</t>
  </si>
  <si>
    <t>Melting_Curves/meltCurve_Q09028_3_RBBP4.pdf</t>
  </si>
  <si>
    <t>Melting_Curves/meltCurve_Q09028_4_RBBP4.pdf</t>
  </si>
  <si>
    <t>Melting_Curves/meltCurve_Q09161_NCBP1.pdf</t>
  </si>
  <si>
    <t>Melting_Curves/meltCurve_Q09328_MGAT5.pdf</t>
  </si>
  <si>
    <t>Melting_Curves/meltCurve_Q09472_EP300.pdf</t>
  </si>
  <si>
    <t>Melting_Curves/meltCurve_Q09666_AHNAK.pdf</t>
  </si>
  <si>
    <t>Melting_Curves/meltCurve_Q0PNE2_ELP6.pdf</t>
  </si>
  <si>
    <t>Melting_Curves/meltCurve_Q0VDF9_HSPA14.pdf</t>
  </si>
  <si>
    <t>Melting_Curves/meltCurve_Q0VDG4_SCRN3.pdf</t>
  </si>
  <si>
    <t>Melting_Curves/meltCurve_Q0VG06_3_FAAP100.pdf</t>
  </si>
  <si>
    <t>Melting_Curves/meltCurve_Q10469_MGAT2.pdf</t>
  </si>
  <si>
    <t>Melting_Curves/meltCurve_Q10471_GALNT2.pdf</t>
  </si>
  <si>
    <t>Melting_Curves/meltCurve_Q10567_2_AP1B1.pdf</t>
  </si>
  <si>
    <t>Melting_Curves/meltCurve_Q10567_3_AP1B1.pdf</t>
  </si>
  <si>
    <t>Melting_Curves/meltCurve_Q10570_CPSF1.pdf</t>
  </si>
  <si>
    <t>Melting_Curves/meltCurve_Q10589_BST2.pdf</t>
  </si>
  <si>
    <t>Melting_Curves/meltCurve_Q10713_PMPCA.pdf</t>
  </si>
  <si>
    <t>Melting_Curves/meltCurve_Q12769_NUP160.pdf</t>
  </si>
  <si>
    <t>Melting_Curves/meltCurve_Q12770_SCAP.pdf</t>
  </si>
  <si>
    <t>Melting_Curves/meltCurve_Q12788_TBL3.pdf</t>
  </si>
  <si>
    <t>Melting_Curves/meltCurve_Q12789_3_GTF3C1.pdf</t>
  </si>
  <si>
    <t>Melting_Curves/meltCurve_Q12792_TWF1.pdf</t>
  </si>
  <si>
    <t>Melting_Curves/meltCurve_Q12797_10_ASPH.pdf</t>
  </si>
  <si>
    <t>Melting_Curves/meltCurve_Q12809_2_KCNH2.pdf</t>
  </si>
  <si>
    <t>Melting_Curves/meltCurve_Q12830_4_BPTF.pdf</t>
  </si>
  <si>
    <t>Melting_Curves/meltCurve_Q12834_CDC20.pdf</t>
  </si>
  <si>
    <t>Melting_Curves/meltCurve_Q12840_KIF5A.pdf</t>
  </si>
  <si>
    <t>Melting_Curves/meltCurve_Q12846_STX4.pdf</t>
  </si>
  <si>
    <t>Melting_Curves/meltCurve_Q12872_SFSWAP.pdf</t>
  </si>
  <si>
    <t>Melting_Curves/meltCurve_Q12874_SF3A3.pdf</t>
  </si>
  <si>
    <t>Melting_Curves/meltCurve_Q12888_TP53BP1.pdf</t>
  </si>
  <si>
    <t>Melting_Curves/meltCurve_Q12893_TMEM115.pdf</t>
  </si>
  <si>
    <t>Melting_Curves/meltCurve_Q12894_IFRD2.pdf</t>
  </si>
  <si>
    <t>Melting_Curves/meltCurve_Q12904_AIMP1.pdf</t>
  </si>
  <si>
    <t>Melting_Curves/meltCurve_Q12905_ILF2.pdf</t>
  </si>
  <si>
    <t>Melting_Curves/meltCurve_Q12906_ILF3.pdf</t>
  </si>
  <si>
    <t>Melting_Curves/meltCurve_Q12907_LMAN2.pdf</t>
  </si>
  <si>
    <t>Melting_Curves/meltCurve_Q12933_3_TRAF2.pdf</t>
  </si>
  <si>
    <t>Melting_Curves/meltCurve_Q12955_ANK3.pdf</t>
  </si>
  <si>
    <t>Melting_Curves/meltCurve_Q12959_5_DLG1.pdf</t>
  </si>
  <si>
    <t>Melting_Curves/meltCurve_Q12962_TAF10.pdf</t>
  </si>
  <si>
    <t>Melting_Curves/meltCurve_Q12972_PPP1R8.pdf</t>
  </si>
  <si>
    <t>Melting_Curves/meltCurve_Q12974_PTP4A2.pdf</t>
  </si>
  <si>
    <t>Melting_Curves/meltCurve_Q12981_BNIP1.pdf</t>
  </si>
  <si>
    <t>Melting_Curves/meltCurve_Q12986_NFX1.pdf</t>
  </si>
  <si>
    <t>Melting_Curves/meltCurve_Q12996_CSTF3.pdf</t>
  </si>
  <si>
    <t>Melting_Curves/meltCurve_Q13011_ECH1.pdf</t>
  </si>
  <si>
    <t>Melting_Curves/meltCurve_Q13015_MLLT11.pdf</t>
  </si>
  <si>
    <t>Melting_Curves/meltCurve_Q13017_2_ARHGAP5.pdf</t>
  </si>
  <si>
    <t>Melting_Curves/meltCurve_Q13033_2_STRN3.pdf</t>
  </si>
  <si>
    <t>Melting_Curves/meltCurve_Q13042_3_CDC16.pdf</t>
  </si>
  <si>
    <t>Melting_Curves/meltCurve_Q13043_STK4.pdf</t>
  </si>
  <si>
    <t>Melting_Curves/meltCurve_Q13045_FLII.pdf</t>
  </si>
  <si>
    <t>Melting_Curves/meltCurve_Q13045_2_FLII.pdf</t>
  </si>
  <si>
    <t>Melting_Curves/meltCurve_Q13049_TRIM32.pdf</t>
  </si>
  <si>
    <t>Melting_Curves/meltCurve_Q13057_COASY.pdf</t>
  </si>
  <si>
    <t>Melting_Curves/meltCurve_Q13068_GAGE4.pdf</t>
  </si>
  <si>
    <t>Melting_Curves/meltCurve_Q13070_GAGE6.pdf</t>
  </si>
  <si>
    <t>Melting_Curves/meltCurve_Q13085_3_ACACA.pdf</t>
  </si>
  <si>
    <t>Melting_Curves/meltCurve_Q13094_LCP2.pdf</t>
  </si>
  <si>
    <t>Melting_Curves/meltCurve_Q13107_2_USP4.pdf</t>
  </si>
  <si>
    <t>Melting_Curves/meltCurve_Q13111_CHAF1A.pdf</t>
  </si>
  <si>
    <t>Melting_Curves/meltCurve_Q13112_CHAF1B.pdf</t>
  </si>
  <si>
    <t>Melting_Curves/meltCurve_Q13123_IK.pdf</t>
  </si>
  <si>
    <t>Melting_Curves/meltCurve_Q13129_RLF.pdf</t>
  </si>
  <si>
    <t>Melting_Curves/meltCurve_Q13131_PRKAA1.pdf</t>
  </si>
  <si>
    <t>Melting_Curves/meltCurve_Q13136_PPFIA1.pdf</t>
  </si>
  <si>
    <t>Melting_Curves/meltCurve_Q13148_TARDBP.pdf</t>
  </si>
  <si>
    <t>Melting_Curves/meltCurve_Q13151_HNRNPA0.pdf</t>
  </si>
  <si>
    <t>Melting_Curves/meltCurve_Q13155_AIMP2.pdf</t>
  </si>
  <si>
    <t>Melting_Curves/meltCurve_Q13158_FADD.pdf</t>
  </si>
  <si>
    <t>Melting_Curves/meltCurve_Q13162_PRDX4.pdf</t>
  </si>
  <si>
    <t>Melting_Curves/meltCurve_Q13164_MAPK7.pdf</t>
  </si>
  <si>
    <t>Melting_Curves/meltCurve_Q13177_PAK2.pdf</t>
  </si>
  <si>
    <t>Melting_Curves/meltCurve_Q13185_CBX3.pdf</t>
  </si>
  <si>
    <t>Melting_Curves/meltCurve_Q13188_STK3.pdf</t>
  </si>
  <si>
    <t>Melting_Curves/meltCurve_Q13190_3_STX5.pdf</t>
  </si>
  <si>
    <t>Melting_Curves/meltCurve_Q13200_PSMD2.pdf</t>
  </si>
  <si>
    <t>Melting_Curves/meltCurve_Q13206_DDX10.pdf</t>
  </si>
  <si>
    <t>Melting_Curves/meltCurve_Q13217_DNAJC3.pdf</t>
  </si>
  <si>
    <t>Melting_Curves/meltCurve_Q13228_SELENBP1.pdf</t>
  </si>
  <si>
    <t>Melting_Curves/meltCurve_Q13232_NME3.pdf</t>
  </si>
  <si>
    <t>Melting_Curves/meltCurve_Q13233_MAP3K1.pdf</t>
  </si>
  <si>
    <t>Melting_Curves/meltCurve_Q13242_SRSF9.pdf</t>
  </si>
  <si>
    <t>Melting_Curves/meltCurve_Q13243_SRSF5.pdf</t>
  </si>
  <si>
    <t>Melting_Curves/meltCurve_Q13247_3_SRSF6.pdf</t>
  </si>
  <si>
    <t>Melting_Curves/meltCurve_Q13257_MAD2L1.pdf</t>
  </si>
  <si>
    <t>Melting_Curves/meltCurve_Q13263_TRIM28.pdf</t>
  </si>
  <si>
    <t>Melting_Curves/meltCurve_Q13277_2_STX3.pdf</t>
  </si>
  <si>
    <t>Melting_Curves/meltCurve_Q13283_G3BP1.pdf</t>
  </si>
  <si>
    <t>Melting_Curves/meltCurve_Q13287_NMI.pdf</t>
  </si>
  <si>
    <t>Melting_Curves/meltCurve_Q13308_3_PTK7.pdf</t>
  </si>
  <si>
    <t>Melting_Curves/meltCurve_Q13309_SKP2.pdf</t>
  </si>
  <si>
    <t>Melting_Curves/meltCurve_Q13310_3_PABPC4.pdf</t>
  </si>
  <si>
    <t>Melting_Curves/meltCurve_Q13315_ATM.pdf</t>
  </si>
  <si>
    <t>Melting_Curves/meltCurve_Q13322_2_GRB10.pdf</t>
  </si>
  <si>
    <t>Melting_Curves/meltCurve_Q13330_3_MTA1.pdf</t>
  </si>
  <si>
    <t>Melting_Curves/meltCurve_Q13347_EIF3I.pdf</t>
  </si>
  <si>
    <t>Melting_Curves/meltCurve_Q13356_PPIL2.pdf</t>
  </si>
  <si>
    <t>Melting_Curves/meltCurve_Q13362_4_PPP2R5C.pdf</t>
  </si>
  <si>
    <t>Melting_Curves/meltCurve_Q13363_2_CTBP1.pdf</t>
  </si>
  <si>
    <t>Melting_Curves/meltCurve_Q13371_PDCL.pdf</t>
  </si>
  <si>
    <t>Melting_Curves/meltCurve_Q13393_2_PLD1.pdf</t>
  </si>
  <si>
    <t>Melting_Curves/meltCurve_Q13405_MRPL49.pdf</t>
  </si>
  <si>
    <t>Melting_Curves/meltCurve_Q13409_6_DYNC1I2.pdf</t>
  </si>
  <si>
    <t>Melting_Curves/meltCurve_Q13416_ORC2.pdf</t>
  </si>
  <si>
    <t>Melting_Curves/meltCurve_Q13418_ILK.pdf</t>
  </si>
  <si>
    <t>Melting_Curves/meltCurve_Q13422_7_IKZF1.pdf</t>
  </si>
  <si>
    <t>Melting_Curves/meltCurve_Q13423_NNT.pdf</t>
  </si>
  <si>
    <t>Melting_Curves/meltCurve_Q13424_SNTA1.pdf</t>
  </si>
  <si>
    <t>Melting_Curves/meltCurve_Q13425_SNTB2.pdf</t>
  </si>
  <si>
    <t>Melting_Curves/meltCurve_Q13426_XRCC4.pdf</t>
  </si>
  <si>
    <t>Melting_Curves/meltCurve_Q13426_3_XRCC4.pdf</t>
  </si>
  <si>
    <t>Melting_Curves/meltCurve_Q13427_PPIG.pdf</t>
  </si>
  <si>
    <t>Melting_Curves/meltCurve_Q13428_3_TCOF1.pdf</t>
  </si>
  <si>
    <t>Melting_Curves/meltCurve_Q13432_2_UNC119.pdf</t>
  </si>
  <si>
    <t>Melting_Curves/meltCurve_Q13435_SF3B2.pdf</t>
  </si>
  <si>
    <t>Melting_Curves/meltCurve_Q13438_4_OS9.pdf</t>
  </si>
  <si>
    <t>Melting_Curves/meltCurve_Q13439_3_GOLGA4.pdf</t>
  </si>
  <si>
    <t>Melting_Curves/meltCurve_Q13442_PDAP1.pdf</t>
  </si>
  <si>
    <t>Melting_Curves/meltCurve_Q13443_ADAM9.pdf</t>
  </si>
  <si>
    <t>Melting_Curves/meltCurve_Q13444_8_ADAM15.pdf</t>
  </si>
  <si>
    <t>Melting_Curves/meltCurve_Q13445_TMED1.pdf</t>
  </si>
  <si>
    <t>Melting_Curves/meltCurve_Q13451_FKBP5.pdf</t>
  </si>
  <si>
    <t>Melting_Curves/meltCurve_Q13464_ROCK1.pdf</t>
  </si>
  <si>
    <t>Melting_Curves/meltCurve_Q13467_FZD5.pdf</t>
  </si>
  <si>
    <t>Melting_Curves/meltCurve_Q13469_3_NFATC2.pdf</t>
  </si>
  <si>
    <t>Melting_Curves/meltCurve_Q13480_2_GAB1.pdf</t>
  </si>
  <si>
    <t>Melting_Curves/meltCurve_Q13488_TCIRG1.pdf</t>
  </si>
  <si>
    <t>Melting_Curves/meltCurve_Q13492_3_PICALM.pdf</t>
  </si>
  <si>
    <t>Melting_Curves/meltCurve_Q13496_MTM1.pdf</t>
  </si>
  <si>
    <t>Melting_Curves/meltCurve_Q13501_SQSTM1.pdf</t>
  </si>
  <si>
    <t>Melting_Curves/meltCurve_Q13505_3_MTX1.pdf</t>
  </si>
  <si>
    <t>Melting_Curves/meltCurve_Q13506_NAB1.pdf</t>
  </si>
  <si>
    <t>Melting_Curves/meltCurve_Q13509_TUBB3.pdf</t>
  </si>
  <si>
    <t>Melting_Curves/meltCurve_Q13526_PIN1.pdf</t>
  </si>
  <si>
    <t>Melting_Curves/meltCurve_Q13535_ATR.pdf</t>
  </si>
  <si>
    <t>Melting_Curves/meltCurve_Q13541_EIF4EBP1.pdf</t>
  </si>
  <si>
    <t>Melting_Curves/meltCurve_Q13542_EIF4EBP2.pdf</t>
  </si>
  <si>
    <t>Melting_Curves/meltCurve_Q13546_RIPK1.pdf</t>
  </si>
  <si>
    <t>Melting_Curves/meltCurve_Q13547_HDAC1.pdf</t>
  </si>
  <si>
    <t>Melting_Curves/meltCurve_Q13564_2_NAE1.pdf</t>
  </si>
  <si>
    <t>Melting_Curves/meltCurve_Q13572_ITPK1.pdf</t>
  </si>
  <si>
    <t>Melting_Curves/meltCurve_Q13573_SNW1.pdf</t>
  </si>
  <si>
    <t>Melting_Curves/meltCurve_Q13576_IQGAP2.pdf</t>
  </si>
  <si>
    <t>Melting_Curves/meltCurve_Q13586_STIM1.pdf</t>
  </si>
  <si>
    <t>Melting_Curves/meltCurve_Q13596_SNX1.pdf</t>
  </si>
  <si>
    <t>Melting_Curves/meltCurve_Q13608_PEX6.pdf</t>
  </si>
  <si>
    <t>Melting_Curves/meltCurve_Q13614_MTMR2.pdf</t>
  </si>
  <si>
    <t>Melting_Curves/meltCurve_Q13616_CUL1.pdf</t>
  </si>
  <si>
    <t>Melting_Curves/meltCurve_Q13617_CUL2.pdf</t>
  </si>
  <si>
    <t>Melting_Curves/meltCurve_Q13618_CUL3.pdf</t>
  </si>
  <si>
    <t>Melting_Curves/meltCurve_Q13619_CUL4A.pdf</t>
  </si>
  <si>
    <t>Melting_Curves/meltCurve_Q13620_1_CUL4B.pdf</t>
  </si>
  <si>
    <t>Melting_Curves/meltCurve_Q13625_2_TP53BP2.pdf</t>
  </si>
  <si>
    <t>Melting_Curves/meltCurve_Q13627_2_DYRK1A.pdf</t>
  </si>
  <si>
    <t>Melting_Curves/meltCurve_Q13630_TSTA3.pdf</t>
  </si>
  <si>
    <t>Melting_Curves/meltCurve_Q13636_RAB31.pdf</t>
  </si>
  <si>
    <t>Melting_Curves/meltCurve_Q13637_RAB32.pdf</t>
  </si>
  <si>
    <t>Melting_Curves/meltCurve_Q13643_FHL3.pdf</t>
  </si>
  <si>
    <t>Melting_Curves/meltCurve_Q13670_PMS2P11.pdf</t>
  </si>
  <si>
    <t>Melting_Curves/meltCurve_Q13686_ALKBH1.pdf</t>
  </si>
  <si>
    <t>Melting_Curves/meltCurve_Q13724_MOGS.pdf</t>
  </si>
  <si>
    <t>Melting_Curves/meltCurve_Q13769_THOC5.pdf</t>
  </si>
  <si>
    <t>Melting_Curves/meltCurve_Q13795_ARFRP1.pdf</t>
  </si>
  <si>
    <t>Melting_Curves/meltCurve_Q13868_EXOSC2.pdf</t>
  </si>
  <si>
    <t>Melting_Curves/meltCurve_Q13885_TUBB2A.pdf</t>
  </si>
  <si>
    <t>Melting_Curves/meltCurve_Q13895_BYSL.pdf</t>
  </si>
  <si>
    <t>Melting_Curves/meltCurve_Q13907_IDI1.pdf</t>
  </si>
  <si>
    <t>Melting_Curves/meltCurve_Q13951_2_CBFB.pdf</t>
  </si>
  <si>
    <t>Melting_Curves/meltCurve_Q13952_3_NFYC.pdf</t>
  </si>
  <si>
    <t>Melting_Curves/meltCurve_Q14008_2_CKAP5.pdf</t>
  </si>
  <si>
    <t>Melting_Curves/meltCurve_Q14011_CIRBP.pdf</t>
  </si>
  <si>
    <t>Melting_Curves/meltCurve_Q14019_COTL1.pdf</t>
  </si>
  <si>
    <t>Melting_Curves/meltCurve_Q14061_COX17.pdf</t>
  </si>
  <si>
    <t>Melting_Curves/meltCurve_Q14103_3_HNRNPD.pdf</t>
  </si>
  <si>
    <t>Melting_Curves/meltCurve_Q14108_SCARB2.pdf</t>
  </si>
  <si>
    <t>Melting_Curves/meltCurve_Q14114_4_LRP8.pdf</t>
  </si>
  <si>
    <t>Melting_Curves/meltCurve_Q14116_2_IL18.pdf</t>
  </si>
  <si>
    <t>Melting_Curves/meltCurve_Q14118_DAG1.pdf</t>
  </si>
  <si>
    <t>Melting_Curves/meltCurve_Q14126_DSG2.pdf</t>
  </si>
  <si>
    <t>Melting_Curves/meltCurve_Q14137_BOP1.pdf</t>
  </si>
  <si>
    <t>Melting_Curves/meltCurve_Q14139_UBE4A.pdf</t>
  </si>
  <si>
    <t>Melting_Curves/meltCurve_Q14142_2_TRIM14.pdf</t>
  </si>
  <si>
    <t>Melting_Curves/meltCurve_Q14145_KEAP1.pdf</t>
  </si>
  <si>
    <t>Melting_Curves/meltCurve_Q14147_DHX34.pdf</t>
  </si>
  <si>
    <t>Melting_Curves/meltCurve_Q14149_MORC3.pdf</t>
  </si>
  <si>
    <t>Melting_Curves/meltCurve_Q14151_SAFB2.pdf</t>
  </si>
  <si>
    <t>Melting_Curves/meltCurve_Q14152_EIF3A.pdf</t>
  </si>
  <si>
    <t>Melting_Curves/meltCurve_Q14157_UBAP2L.pdf</t>
  </si>
  <si>
    <t>Melting_Curves/meltCurve_Q14157_1_UBAP2L.pdf</t>
  </si>
  <si>
    <t>Melting_Curves/meltCurve_Q14160_SCRIB.pdf</t>
  </si>
  <si>
    <t>Melting_Curves/meltCurve_Q14165_MLEC.pdf</t>
  </si>
  <si>
    <t>Melting_Curves/meltCurve_Q14166_TTLL12.pdf</t>
  </si>
  <si>
    <t>Melting_Curves/meltCurve_Q14181_POLA2.pdf</t>
  </si>
  <si>
    <t>Melting_Curves/meltCurve_Q14191_WRN.pdf</t>
  </si>
  <si>
    <t>Melting_Curves/meltCurve_Q14204_DYNC1H1.pdf</t>
  </si>
  <si>
    <t>Melting_Curves/meltCurve_Q14232_EIF2B1.pdf</t>
  </si>
  <si>
    <t>Melting_Curves/meltCurve_Q14240_EIF4A2.pdf</t>
  </si>
  <si>
    <t>Melting_Curves/meltCurve_Q14241_TCEB3.pdf</t>
  </si>
  <si>
    <t>Melting_Curves/meltCurve_Q14244_MAP7.pdf</t>
  </si>
  <si>
    <t>Melting_Curves/meltCurve_Q14247_CTTN.pdf</t>
  </si>
  <si>
    <t>Melting_Curves/meltCurve_Q14247_3_CTTN.pdf</t>
  </si>
  <si>
    <t>Melting_Curves/meltCurve_Q14249_ENDOG.pdf</t>
  </si>
  <si>
    <t>Melting_Curves/meltCurve_Q14257_RCN2.pdf</t>
  </si>
  <si>
    <t>Melting_Curves/meltCurve_Q14258_TRIM25.pdf</t>
  </si>
  <si>
    <t>Melting_Curves/meltCurve_Q14289_2_PTK2B.pdf</t>
  </si>
  <si>
    <t>Melting_Curves/meltCurve_Q14315_FLNC.pdf</t>
  </si>
  <si>
    <t>Melting_Curves/meltCurve_Q14318_2_FKBP8.pdf</t>
  </si>
  <si>
    <t>Melting_Curves/meltCurve_Q14320_FAM50A.pdf</t>
  </si>
  <si>
    <t>Melting_Curves/meltCurve_Q14331_FRG1.pdf</t>
  </si>
  <si>
    <t>Melting_Curves/meltCurve_Q14344_GNA13.pdf</t>
  </si>
  <si>
    <t>Melting_Curves/meltCurve_Q14353_GAMT.pdf</t>
  </si>
  <si>
    <t>Melting_Curves/meltCurve_Q14376_GALE.pdf</t>
  </si>
  <si>
    <t>Melting_Curves/meltCurve_Q14444_2_CAPRIN1.pdf</t>
  </si>
  <si>
    <t>Melting_Curves/meltCurve_Q14457_BECN1.pdf</t>
  </si>
  <si>
    <t>Melting_Curves/meltCurve_Q14469_HES1.pdf</t>
  </si>
  <si>
    <t>Melting_Curves/meltCurve_Q14498_2_RBM39.pdf</t>
  </si>
  <si>
    <t>Melting_Curves/meltCurve_Q14517_FAT1.pdf</t>
  </si>
  <si>
    <t>Melting_Curves/meltCurve_Q14520_2_HABP2.pdf</t>
  </si>
  <si>
    <t>Melting_Curves/meltCurve_Q14527_HLTF.pdf</t>
  </si>
  <si>
    <t>Melting_Curves/meltCurve_Q14534_SQLE.pdf</t>
  </si>
  <si>
    <t>Melting_Curves/meltCurve_Q14554_PDIA5.pdf</t>
  </si>
  <si>
    <t>Melting_Curves/meltCurve_Q14558_PRPSAP1.pdf</t>
  </si>
  <si>
    <t>Melting_Curves/meltCurve_Q14562_DHX8.pdf</t>
  </si>
  <si>
    <t>Melting_Curves/meltCurve_Q14566_MCM6.pdf</t>
  </si>
  <si>
    <t>Melting_Curves/meltCurve_Q14573_ITPR3.pdf</t>
  </si>
  <si>
    <t>Melting_Curves/meltCurve_Q14644_RASA3.pdf</t>
  </si>
  <si>
    <t>Melting_Curves/meltCurve_Q14651_PLS1.pdf</t>
  </si>
  <si>
    <t>Melting_Curves/meltCurve_Q14653_IRF3.pdf</t>
  </si>
  <si>
    <t>Melting_Curves/meltCurve_Q14657_LAGE3.pdf</t>
  </si>
  <si>
    <t>Melting_Curves/meltCurve_Q14669_3_TRIP12.pdf</t>
  </si>
  <si>
    <t>Melting_Curves/meltCurve_Q14671_PUM1.pdf</t>
  </si>
  <si>
    <t>Melting_Curves/meltCurve_Q14674_ESPL1.pdf</t>
  </si>
  <si>
    <t>Melting_Curves/meltCurve_Q14676_MDC1.pdf</t>
  </si>
  <si>
    <t>Melting_Curves/meltCurve_Q14677_CLINT1.pdf</t>
  </si>
  <si>
    <t>Melting_Curves/meltCurve_Q14680_3_MELK.pdf</t>
  </si>
  <si>
    <t>Melting_Curves/meltCurve_Q14681_KCTD2.pdf</t>
  </si>
  <si>
    <t>Melting_Curves/meltCurve_Q14683_SMC1A.pdf</t>
  </si>
  <si>
    <t>Melting_Curves/meltCurve_Q14684_2_RRP1B.pdf</t>
  </si>
  <si>
    <t>Melting_Curves/meltCurve_Q14686_NCOA6.pdf</t>
  </si>
  <si>
    <t>Melting_Curves/meltCurve_Q14687_2_GSE1.pdf</t>
  </si>
  <si>
    <t>Melting_Curves/meltCurve_Q14690_PDCD11.pdf</t>
  </si>
  <si>
    <t>Melting_Curves/meltCurve_Q14691_GINS1.pdf</t>
  </si>
  <si>
    <t>Melting_Curves/meltCurve_Q14692_BMS1.pdf</t>
  </si>
  <si>
    <t>Melting_Curves/meltCurve_Q14694_USP10.pdf</t>
  </si>
  <si>
    <t>Melting_Curves/meltCurve_Q14696_MESDC2.pdf</t>
  </si>
  <si>
    <t>Melting_Curves/meltCurve_Q14697_GANAB.pdf</t>
  </si>
  <si>
    <t>Melting_Curves/meltCurve_Q14697_2_GANAB.pdf</t>
  </si>
  <si>
    <t>Melting_Curves/meltCurve_Q14739_LBR.pdf</t>
  </si>
  <si>
    <t>Melting_Curves/meltCurve_Q14781_CBX2.pdf</t>
  </si>
  <si>
    <t>Melting_Curves/meltCurve_Q14789_2_GOLGB1.pdf</t>
  </si>
  <si>
    <t>Melting_Curves/meltCurve_Q14790_CASP8.pdf</t>
  </si>
  <si>
    <t>Melting_Curves/meltCurve_Q147X3_NAA30.pdf</t>
  </si>
  <si>
    <t>Melting_Curves/meltCurve_Q14807_KIF22.pdf</t>
  </si>
  <si>
    <t>Melting_Curves/meltCurve_Q14847_LASP1.pdf</t>
  </si>
  <si>
    <t>Melting_Curves/meltCurve_Q14966_3_ZNF638.pdf</t>
  </si>
  <si>
    <t>Melting_Curves/meltCurve_Q14974_KPNB1.pdf</t>
  </si>
  <si>
    <t>Melting_Curves/meltCurve_Q14978_2_NOLC1.pdf</t>
  </si>
  <si>
    <t>Melting_Curves/meltCurve_Q14980_NUMA1.pdf</t>
  </si>
  <si>
    <t>Melting_Curves/meltCurve_Q14997_PSME4.pdf</t>
  </si>
  <si>
    <t>Melting_Curves/meltCurve_Q14BN4_SLMAP.pdf</t>
  </si>
  <si>
    <t>Melting_Curves/meltCurve_Q14C86_6_GAPVD1.pdf</t>
  </si>
  <si>
    <t>Melting_Curves/meltCurve_Q14CX7_NAA25.pdf</t>
  </si>
  <si>
    <t>Melting_Curves/meltCurve_Q14CZ7_FASTKD3.pdf</t>
  </si>
  <si>
    <t>Melting_Curves/meltCurve_Q15003_NCAPH.pdf</t>
  </si>
  <si>
    <t>Melting_Curves/meltCurve_Q15004_KIAA0101.pdf</t>
  </si>
  <si>
    <t>Melting_Curves/meltCurve_Q15006_EMC2.pdf</t>
  </si>
  <si>
    <t>Melting_Curves/meltCurve_Q15007_WTAP.pdf</t>
  </si>
  <si>
    <t>Melting_Curves/meltCurve_Q15008_PSMD6.pdf</t>
  </si>
  <si>
    <t>Melting_Curves/meltCurve_Q15011_3_HERPUD1.pdf</t>
  </si>
  <si>
    <t>Melting_Curves/meltCurve_Q15012_LAPTM4A.pdf</t>
  </si>
  <si>
    <t>Melting_Curves/meltCurve_Q15013_MAD2L1BP.pdf</t>
  </si>
  <si>
    <t>Melting_Curves/meltCurve_Q15018_FAM175B.pdf</t>
  </si>
  <si>
    <t>Melting_Curves/meltCurve_Q15019_SEPT2.pdf</t>
  </si>
  <si>
    <t>Melting_Curves/meltCurve_Q15020_SART3.pdf</t>
  </si>
  <si>
    <t>Melting_Curves/meltCurve_Q15021_NCAPD2.pdf</t>
  </si>
  <si>
    <t>Melting_Curves/meltCurve_Q15024_EXOSC7.pdf</t>
  </si>
  <si>
    <t>Melting_Curves/meltCurve_Q15029_2_EFTUD2.pdf</t>
  </si>
  <si>
    <t>Melting_Curves/meltCurve_Q15032_2_R3HDM1.pdf</t>
  </si>
  <si>
    <t>Melting_Curves/meltCurve_Q15036_2_SNX17.pdf</t>
  </si>
  <si>
    <t>Melting_Curves/meltCurve_Q15038_2_DAZAP2.pdf</t>
  </si>
  <si>
    <t>Melting_Curves/meltCurve_Q15042_RAB3GAP1.pdf</t>
  </si>
  <si>
    <t>Melting_Curves/meltCurve_Q15043_2_SLC39A14.pdf</t>
  </si>
  <si>
    <t>Melting_Curves/meltCurve_Q15046_KARS.pdf</t>
  </si>
  <si>
    <t>Melting_Curves/meltCurve_Q15047_3_SETDB1.pdf</t>
  </si>
  <si>
    <t>Melting_Curves/meltCurve_Q15048_LRRC14.pdf</t>
  </si>
  <si>
    <t>Melting_Curves/meltCurve_Q15056_EIF4H.pdf</t>
  </si>
  <si>
    <t>Melting_Curves/meltCurve_Q15056_2_EIF4H.pdf</t>
  </si>
  <si>
    <t>Melting_Curves/meltCurve_Q15057_ACAP2.pdf</t>
  </si>
  <si>
    <t>Melting_Curves/meltCurve_Q15058_KIF14.pdf</t>
  </si>
  <si>
    <t>Melting_Curves/meltCurve_Q15059_BRD3.pdf</t>
  </si>
  <si>
    <t>Melting_Curves/meltCurve_Q15061_WDR43.pdf</t>
  </si>
  <si>
    <t>Melting_Curves/meltCurve_Q15067_2_ACOX1.pdf</t>
  </si>
  <si>
    <t>Melting_Curves/meltCurve_Q15075_EEA1.pdf</t>
  </si>
  <si>
    <t>Melting_Curves/meltCurve_Q15102_PAFAH1B3.pdf</t>
  </si>
  <si>
    <t>Melting_Curves/meltCurve_Q15111_PLCL1.pdf</t>
  </si>
  <si>
    <t>Melting_Curves/meltCurve_Q15118_PDK1.pdf</t>
  </si>
  <si>
    <t>Melting_Curves/meltCurve_Q15121_PEA15.pdf</t>
  </si>
  <si>
    <t>Melting_Curves/meltCurve_Q15126_PMVK.pdf</t>
  </si>
  <si>
    <t>Melting_Curves/meltCurve_Q15131_CDK10.pdf</t>
  </si>
  <si>
    <t>Melting_Curves/meltCurve_Q15149_4_PLEC.pdf</t>
  </si>
  <si>
    <t>Melting_Curves/meltCurve_Q15155_NOMO1.pdf</t>
  </si>
  <si>
    <t>Melting_Curves/meltCurve_Q15172_PPP2R5A.pdf</t>
  </si>
  <si>
    <t>Melting_Curves/meltCurve_Q15173_2_PPP2R5B.pdf</t>
  </si>
  <si>
    <t>Melting_Curves/meltCurve_Q15181_PPA1.pdf</t>
  </si>
  <si>
    <t>Melting_Curves/meltCurve_Q15208_STK38.pdf</t>
  </si>
  <si>
    <t>Melting_Curves/meltCurve_Q15233_NONO.pdf</t>
  </si>
  <si>
    <t>Melting_Curves/meltCurve_Q15269_PWP2.pdf</t>
  </si>
  <si>
    <t>Melting_Curves/meltCurve_Q15274_QPRT.pdf</t>
  </si>
  <si>
    <t>Melting_Curves/meltCurve_Q15276_RABEP1.pdf</t>
  </si>
  <si>
    <t>Melting_Curves/meltCurve_Q15286_RAB35.pdf</t>
  </si>
  <si>
    <t>Melting_Curves/meltCurve_Q15291_RBBP5.pdf</t>
  </si>
  <si>
    <t>Melting_Curves/meltCurve_Q15293_RCN1.pdf</t>
  </si>
  <si>
    <t>Melting_Curves/meltCurve_Q15311_RALBP1.pdf</t>
  </si>
  <si>
    <t>Melting_Curves/meltCurve_Q15334_LLGL1.pdf</t>
  </si>
  <si>
    <t>Melting_Curves/meltCurve_Q15345_3_LRRC41.pdf</t>
  </si>
  <si>
    <t>Melting_Curves/meltCurve_Q15363_TMED2.pdf</t>
  </si>
  <si>
    <t>Melting_Curves/meltCurve_Q15365_PCBP1.pdf</t>
  </si>
  <si>
    <t>Melting_Curves/meltCurve_Q15366_3_PCBP2.pdf</t>
  </si>
  <si>
    <t>Melting_Curves/meltCurve_Q15366_6_PCBP2.pdf</t>
  </si>
  <si>
    <t>Melting_Curves/meltCurve_Q15370_TCEB2.pdf</t>
  </si>
  <si>
    <t>Melting_Curves/meltCurve_Q15382_RHEB.pdf</t>
  </si>
  <si>
    <t>Melting_Curves/meltCurve_Q15386_UBE3C.pdf</t>
  </si>
  <si>
    <t>Melting_Curves/meltCurve_Q15393_SF3B3.pdf</t>
  </si>
  <si>
    <t>Melting_Curves/meltCurve_Q15398_3_DLGAP5.pdf</t>
  </si>
  <si>
    <t>Melting_Curves/meltCurve_Q15404_RSU1.pdf</t>
  </si>
  <si>
    <t>Melting_Curves/meltCurve_Q15424_2_SAFB.pdf</t>
  </si>
  <si>
    <t>Melting_Curves/meltCurve_Q15428_SF3A2.pdf</t>
  </si>
  <si>
    <t>Melting_Curves/meltCurve_Q15435_PPP1R7.pdf</t>
  </si>
  <si>
    <t>Melting_Curves/meltCurve_Q15437_SEC23B.pdf</t>
  </si>
  <si>
    <t>Melting_Curves/meltCurve_Q15459_SF3A1.pdf</t>
  </si>
  <si>
    <t>Melting_Curves/meltCurve_Q15464_2_SHB.pdf</t>
  </si>
  <si>
    <t>Melting_Curves/meltCurve_Q15506_SPA17.pdf</t>
  </si>
  <si>
    <t>Melting_Curves/meltCurve_Q15526_2_SURF1.pdf</t>
  </si>
  <si>
    <t>Melting_Curves/meltCurve_Q15527_SURF2.pdf</t>
  </si>
  <si>
    <t>Melting_Curves/meltCurve_Q15542_2_TAF5.pdf</t>
  </si>
  <si>
    <t>Melting_Curves/meltCurve_Q15543_TAF13.pdf</t>
  </si>
  <si>
    <t>Melting_Curves/meltCurve_Q15544_2_TAF11.pdf</t>
  </si>
  <si>
    <t>Melting_Curves/meltCurve_Q15545_TAF7.pdf</t>
  </si>
  <si>
    <t>Melting_Curves/meltCurve_Q15554_3_TERF2.pdf</t>
  </si>
  <si>
    <t>Melting_Curves/meltCurve_Q15555_MAPRE2.pdf</t>
  </si>
  <si>
    <t>Melting_Curves/meltCurve_Q15596_NCOA2.pdf</t>
  </si>
  <si>
    <t>Melting_Curves/meltCurve_Q15599_2_SLC9A3R2.pdf</t>
  </si>
  <si>
    <t>Melting_Curves/meltCurve_Q15628_TRADD.pdf</t>
  </si>
  <si>
    <t>Melting_Curves/meltCurve_Q15637_5_SF1.pdf</t>
  </si>
  <si>
    <t>Melting_Curves/meltCurve_Q15637_6_SF1.pdf</t>
  </si>
  <si>
    <t>Melting_Curves/meltCurve_Q15642_TRIP10.pdf</t>
  </si>
  <si>
    <t>Melting_Curves/meltCurve_Q15642_2_TRIP10.pdf</t>
  </si>
  <si>
    <t>Melting_Curves/meltCurve_Q15643_TRIP11.pdf</t>
  </si>
  <si>
    <t>Melting_Curves/meltCurve_Q15645_TRIP13.pdf</t>
  </si>
  <si>
    <t>Melting_Curves/meltCurve_Q15648_MED1.pdf</t>
  </si>
  <si>
    <t>Melting_Curves/meltCurve_Q15649_ZNHIT3.pdf</t>
  </si>
  <si>
    <t>Melting_Curves/meltCurve_Q15650_TRIP4.pdf</t>
  </si>
  <si>
    <t>Melting_Curves/meltCurve_Q15651_HMGN3.pdf</t>
  </si>
  <si>
    <t>Melting_Curves/meltCurve_Q15652_3_JMJD1C.pdf</t>
  </si>
  <si>
    <t>Melting_Curves/meltCurve_Q15653_NFKBIB.pdf</t>
  </si>
  <si>
    <t>Melting_Curves/meltCurve_Q15654_TRIP6.pdf</t>
  </si>
  <si>
    <t>Melting_Curves/meltCurve_Q15691_MAPRE1.pdf</t>
  </si>
  <si>
    <t>Melting_Curves/meltCurve_Q15714_2_TSC22D1.pdf</t>
  </si>
  <si>
    <t>Melting_Curves/meltCurve_Q15717_ELAVL1.pdf</t>
  </si>
  <si>
    <t>Melting_Curves/meltCurve_Q15738_NSDHL.pdf</t>
  </si>
  <si>
    <t>Melting_Curves/meltCurve_Q15742_3_NAB2.pdf</t>
  </si>
  <si>
    <t>Melting_Curves/meltCurve_Q15743_GPR68.pdf</t>
  </si>
  <si>
    <t>Melting_Curves/meltCurve_Q15746_4_MYLK.pdf</t>
  </si>
  <si>
    <t>Melting_Curves/meltCurve_Q15750_TAB1.pdf</t>
  </si>
  <si>
    <t>Melting_Curves/meltCurve_Q15751_HERC1.pdf</t>
  </si>
  <si>
    <t>Melting_Curves/meltCurve_Q15758_SLC1A5.pdf</t>
  </si>
  <si>
    <t>Melting_Curves/meltCurve_Q15759_MAPK11.pdf</t>
  </si>
  <si>
    <t>Melting_Curves/meltCurve_Q15773_MLF2.pdf</t>
  </si>
  <si>
    <t>Melting_Curves/meltCurve_Q15785_TOMM34.pdf</t>
  </si>
  <si>
    <t>Melting_Curves/meltCurve_Q15796_2_SMAD2.pdf</t>
  </si>
  <si>
    <t>Melting_Curves/meltCurve_Q15800_2_MSMO1.pdf</t>
  </si>
  <si>
    <t>Melting_Curves/meltCurve_Q15814_TBCC.pdf</t>
  </si>
  <si>
    <t>Melting_Curves/meltCurve_Q15819_UBE2V2.pdf</t>
  </si>
  <si>
    <t>Melting_Curves/meltCurve_Q15831_STK11.pdf</t>
  </si>
  <si>
    <t>Melting_Curves/meltCurve_Q15833_STXBP2.pdf</t>
  </si>
  <si>
    <t>Melting_Curves/meltCurve_Q15836_VAMP3.pdf</t>
  </si>
  <si>
    <t>Melting_Curves/meltCurve_Q15904_ATP6AP1.pdf</t>
  </si>
  <si>
    <t>Melting_Curves/meltCurve_Q15906_VPS72.pdf</t>
  </si>
  <si>
    <t>Melting_Curves/meltCurve_Q15907_RAB11B.pdf</t>
  </si>
  <si>
    <t>Melting_Curves/meltCurve_Q15910_3_EZH2.pdf</t>
  </si>
  <si>
    <t>Melting_Curves/meltCurve_Q15942_ZYX.pdf</t>
  </si>
  <si>
    <t>Melting_Curves/meltCurve_Q16134_ETFDH.pdf</t>
  </si>
  <si>
    <t>Melting_Curves/meltCurve_Q16181_SEPT7.pdf</t>
  </si>
  <si>
    <t>Melting_Curves/meltCurve_Q16186_ADRM1.pdf</t>
  </si>
  <si>
    <t>Melting_Curves/meltCurve_Q16204_CCDC6.pdf</t>
  </si>
  <si>
    <t>Melting_Curves/meltCurve_Q16222_2_UAP1.pdf</t>
  </si>
  <si>
    <t>Melting_Curves/meltCurve_Q16384_SSX1.pdf</t>
  </si>
  <si>
    <t>Melting_Curves/meltCurve_Q16401_2_PSMD5.pdf</t>
  </si>
  <si>
    <t>Melting_Curves/meltCurve_Q16512_PKN1.pdf</t>
  </si>
  <si>
    <t>Melting_Curves/meltCurve_Q16513_2_PKN2.pdf</t>
  </si>
  <si>
    <t>Melting_Curves/meltCurve_Q16514_2_TAF12.pdf</t>
  </si>
  <si>
    <t>Melting_Curves/meltCurve_Q16531_DDB1.pdf</t>
  </si>
  <si>
    <t>Melting_Curves/meltCurve_Q16539_MAPK14.pdf</t>
  </si>
  <si>
    <t>Melting_Curves/meltCurve_Q16539_2_MAPK14.pdf</t>
  </si>
  <si>
    <t>Melting_Curves/meltCurve_Q16543_CDC37.pdf</t>
  </si>
  <si>
    <t>Melting_Curves/meltCurve_Q16555_2_DPYSL2.pdf</t>
  </si>
  <si>
    <t>Melting_Curves/meltCurve_Q16576_RBBP7.pdf</t>
  </si>
  <si>
    <t>Melting_Curves/meltCurve_Q16587_5_ZNF74.pdf</t>
  </si>
  <si>
    <t>Melting_Curves/meltCurve_Q16594_TAF9.pdf</t>
  </si>
  <si>
    <t>Melting_Curves/meltCurve_Q16600_ZNF239.pdf</t>
  </si>
  <si>
    <t>Melting_Curves/meltCurve_Q16610_ECM1.pdf</t>
  </si>
  <si>
    <t>Melting_Curves/meltCurve_Q16626_MEA1.pdf</t>
  </si>
  <si>
    <t>Melting_Curves/meltCurve_Q16630_CPSF6.pdf</t>
  </si>
  <si>
    <t>Melting_Curves/meltCurve_Q16643_2_DBN1.pdf</t>
  </si>
  <si>
    <t>Melting_Curves/meltCurve_Q16644_MAPKAPK3.pdf</t>
  </si>
  <si>
    <t>Melting_Curves/meltCurve_Q16656_2_NRF1.pdf</t>
  </si>
  <si>
    <t>Melting_Curves/meltCurve_Q16658_FSCN1.pdf</t>
  </si>
  <si>
    <t>Melting_Curves/meltCurve_Q16706_MAN2A1.pdf</t>
  </si>
  <si>
    <t>Melting_Curves/meltCurve_Q16718_NDUFA5.pdf</t>
  </si>
  <si>
    <t>Melting_Curves/meltCurve_Q16720_8_ATP2B3.pdf</t>
  </si>
  <si>
    <t>Melting_Curves/meltCurve_Q16739_UGCG.pdf</t>
  </si>
  <si>
    <t>Melting_Curves/meltCurve_Q16740_CLPP.pdf</t>
  </si>
  <si>
    <t>Melting_Curves/meltCurve_Q16762_TST.pdf</t>
  </si>
  <si>
    <t>Melting_Curves/meltCurve_Q16763_UBE2S.pdf</t>
  </si>
  <si>
    <t>Melting_Curves/meltCurve_Q16778_HIST2H2BE.pdf</t>
  </si>
  <si>
    <t>Melting_Curves/meltCurve_Q16795_NDUFA9.pdf</t>
  </si>
  <si>
    <t>Melting_Curves/meltCurve_Q16822_PCK2.pdf</t>
  </si>
  <si>
    <t>Melting_Curves/meltCurve_Q16850_CYP51A1.pdf</t>
  </si>
  <si>
    <t>Melting_Curves/meltCurve_Q16854_DGUOK.pdf</t>
  </si>
  <si>
    <t>Melting_Curves/meltCurve_Q16864_ATP6V1F.pdf</t>
  </si>
  <si>
    <t>Melting_Curves/meltCurve_Q16880_UGT8.pdf</t>
  </si>
  <si>
    <t>Melting_Curves/meltCurve_Q16891_2_IMMT.pdf</t>
  </si>
  <si>
    <t>Melting_Curves/meltCurve_Q17RU2_REL.pdf</t>
  </si>
  <si>
    <t>Melting_Curves/meltCurve_Q1ED39_KNOP1.pdf</t>
  </si>
  <si>
    <t>Melting_Curves/meltCurve_Q1KMD3_HNRNPUL2.pdf</t>
  </si>
  <si>
    <t>Melting_Curves/meltCurve_Q1L5Z9_LONRF2.pdf</t>
  </si>
  <si>
    <t>Melting_Curves/meltCurve_Q1MSJ5_1_CSPP1.pdf</t>
  </si>
  <si>
    <t>Melting_Curves/meltCurve_Q27J81_2_INF2.pdf</t>
  </si>
  <si>
    <t>Melting_Curves/meltCurve_Q29980_MICB.pdf</t>
  </si>
  <si>
    <t>Melting_Curves/meltCurve_Q29RF7_PDS5A.pdf</t>
  </si>
  <si>
    <t>Melting_Curves/meltCurve_Q2KHR3_2_QSER1.pdf</t>
  </si>
  <si>
    <t>Melting_Curves/meltCurve_Q2KHT3_CLEC16A.pdf</t>
  </si>
  <si>
    <t>Melting_Curves/meltCurve_Q2M2I8_2_AAK1.pdf</t>
  </si>
  <si>
    <t>Melting_Curves/meltCurve_Q2M389_KIAA1033.pdf</t>
  </si>
  <si>
    <t>Melting_Curves/meltCurve_Q2NKX8_ERCC6L.pdf</t>
  </si>
  <si>
    <t>Melting_Curves/meltCurve_Q2NKX9_3_C2orf68.pdf</t>
  </si>
  <si>
    <t>Melting_Curves/meltCurve_Q2NL82_TSR1.pdf</t>
  </si>
  <si>
    <t>Melting_Curves/meltCurve_Q2TAA5_ALG11.pdf</t>
  </si>
  <si>
    <t>Melting_Curves/meltCurve_Q2TAL8_QRICH1.pdf</t>
  </si>
  <si>
    <t>Melting_Curves/meltCurve_Q2TAM5_RELA.pdf</t>
  </si>
  <si>
    <t>Melting_Curves/meltCurve_Q2TAY7_SMU1.pdf</t>
  </si>
  <si>
    <t>Melting_Curves/meltCurve_Q2TBE0_CWF19L2.pdf</t>
  </si>
  <si>
    <t>Melting_Curves/meltCurve_Q32MZ4_2_LRRFIP1.pdf</t>
  </si>
  <si>
    <t>Melting_Curves/meltCurve_Q32MZ4_3_LRRFIP1.pdf</t>
  </si>
  <si>
    <t>Melting_Curves/meltCurve_Q32N00_POLD3.pdf</t>
  </si>
  <si>
    <t>Melting_Curves/meltCurve_Q32NB8_PGS1.pdf</t>
  </si>
  <si>
    <t>Melting_Curves/meltCurve_Q32P28_LEPRE1.pdf</t>
  </si>
  <si>
    <t>Melting_Curves/meltCurve_Q32P41_TRMT5.pdf</t>
  </si>
  <si>
    <t>Melting_Curves/meltCurve_Q32Q12_NME1_NME2.pdf</t>
  </si>
  <si>
    <t>Melting_Curves/meltCurve_Q3B726_TWISTNB.pdf</t>
  </si>
  <si>
    <t>Melting_Curves/meltCurve_Q3B7T1_5_EDRF1.pdf</t>
  </si>
  <si>
    <t>Melting_Curves/meltCurve_Q3BDU3_PMS1.pdf</t>
  </si>
  <si>
    <t>Melting_Curves/meltCurve_Q3KQU3_2_MAP7D1.pdf</t>
  </si>
  <si>
    <t>Melting_Curves/meltCurve_Q3KQV9_UAP1L1.pdf</t>
  </si>
  <si>
    <t>Melting_Curves/meltCurve_Q3KRA9_ALKBH6.pdf</t>
  </si>
  <si>
    <t>Melting_Curves/meltCurve_Q3LXA3_DAK.pdf</t>
  </si>
  <si>
    <t>Melting_Curves/meltCurve_Q3MHD2_LSM12.pdf</t>
  </si>
  <si>
    <t>Melting_Curves/meltCurve_Q3MIT2_PUS10.pdf</t>
  </si>
  <si>
    <t>Melting_Curves/meltCurve_Q3SXM5_HSDL1.pdf</t>
  </si>
  <si>
    <t>Melting_Curves/meltCurve_Q3SY56_SP6.pdf</t>
  </si>
  <si>
    <t>Melting_Curves/meltCurve_Q3V6T2_2_CCDC88A.pdf</t>
  </si>
  <si>
    <t>Melting_Curves/meltCurve_Q3V6T2_5_CCDC88A.pdf</t>
  </si>
  <si>
    <t>Melting_Curves/meltCurve_Q3YEC7_RABL6.pdf</t>
  </si>
  <si>
    <t>Melting_Curves/meltCurve_Q3ZAQ7_VMA21.pdf</t>
  </si>
  <si>
    <t>Melting_Curves/meltCurve_Q3ZCM7_TUBB8.pdf</t>
  </si>
  <si>
    <t>Melting_Curves/meltCurve_Q3ZCQ8_TIMM50.pdf</t>
  </si>
  <si>
    <t>Melting_Curves/meltCurve_Q49AN0_CRY2.pdf</t>
  </si>
  <si>
    <t>Melting_Curves/meltCurve_Q49AR2_C5orf22.pdf</t>
  </si>
  <si>
    <t>Melting_Curves/meltCurve_Q49B96_COX19.pdf</t>
  </si>
  <si>
    <t>Melting_Curves/meltCurve_Q4G0F5_VPS26B.pdf</t>
  </si>
  <si>
    <t>Melting_Curves/meltCurve_Q4G0I0_CCSMST1.pdf</t>
  </si>
  <si>
    <t>Melting_Curves/meltCurve_Q4G0J3_LARP7.pdf</t>
  </si>
  <si>
    <t>Melting_Curves/meltCurve_Q4G0N4_NADKD1.pdf</t>
  </si>
  <si>
    <t>Melting_Curves/meltCurve_Q4G148_2_GXYLT1.pdf</t>
  </si>
  <si>
    <t>Melting_Curves/meltCurve_Q4G176_ACSF3.pdf</t>
  </si>
  <si>
    <t>Melting_Curves/meltCurve_Q4J6C6_4_PREPL.pdf</t>
  </si>
  <si>
    <t>Melting_Curves/meltCurve_Q4KMP7_TBC1D10B.pdf</t>
  </si>
  <si>
    <t>Melting_Curves/meltCurve_Q4KMQ2_3_ANO6.pdf</t>
  </si>
  <si>
    <t>Melting_Curves/meltCurve_Q4KWH8_3_PLCH1.pdf</t>
  </si>
  <si>
    <t>Melting_Curves/meltCurve_Q4LDG9_DNAL1.pdf</t>
  </si>
  <si>
    <t>Melting_Curves/meltCurve_Q4LE39_2_ARID4B.pdf</t>
  </si>
  <si>
    <t>Melting_Curves/meltCurve_Q4V328_GRIPAP1.pdf</t>
  </si>
  <si>
    <t>Melting_Curves/meltCurve_Q4VAR0_CYP11B1.pdf</t>
  </si>
  <si>
    <t>Melting_Curves/meltCurve_Q4VC05_2_BCL7A.pdf</t>
  </si>
  <si>
    <t>Melting_Curves/meltCurve_Q4VXZ8_DECR2.pdf</t>
  </si>
  <si>
    <t>Melting_Curves/meltCurve_Q4ZIN3_2_TMEM259.pdf</t>
  </si>
  <si>
    <t>Melting_Curves/meltCurve_Q504Q3_2_PAN2.pdf</t>
  </si>
  <si>
    <t>Melting_Curves/meltCurve_Q52LJ0_2_FAM98B.pdf</t>
  </si>
  <si>
    <t>Melting_Curves/meltCurve_Q53EL6_2_PDCD4.pdf</t>
  </si>
  <si>
    <t>Melting_Curves/meltCurve_Q53EP0_2_FNDC3B.pdf</t>
  </si>
  <si>
    <t>Melting_Curves/meltCurve_Q53EU6_AGPAT9.pdf</t>
  </si>
  <si>
    <t>Melting_Curves/meltCurve_Q53EZ4_2_CEP55.pdf</t>
  </si>
  <si>
    <t>Melting_Curves/meltCurve_Q53FA7_TP53I3.pdf</t>
  </si>
  <si>
    <t>Melting_Curves/meltCurve_Q53FT3_C11orf73.pdf</t>
  </si>
  <si>
    <t>Melting_Curves/meltCurve_Q53FZ2_ACSM3.pdf</t>
  </si>
  <si>
    <t>Melting_Curves/meltCurve_Q53GQ0_HSD17B12.pdf</t>
  </si>
  <si>
    <t>Melting_Curves/meltCurve_Q53H47_SETMAR.pdf</t>
  </si>
  <si>
    <t>Melting_Curves/meltCurve_Q53H54_TRMT12.pdf</t>
  </si>
  <si>
    <t>Melting_Curves/meltCurve_Q53H82_LACTB2.pdf</t>
  </si>
  <si>
    <t>Melting_Curves/meltCurve_Q53H96_PYCRL.pdf</t>
  </si>
  <si>
    <t>Melting_Curves/meltCurve_Q53R41_FASTKD1.pdf</t>
  </si>
  <si>
    <t>Melting_Curves/meltCurve_Q53RE8_ANKRD39.pdf</t>
  </si>
  <si>
    <t>Melting_Curves/meltCurve_Q53S33_BOLA3.pdf</t>
  </si>
  <si>
    <t>Melting_Curves/meltCurve_Q53T59_HS1BP3.pdf</t>
  </si>
  <si>
    <t>Melting_Curves/meltCurve_Q53TN4_3_CYBRD1.pdf</t>
  </si>
  <si>
    <t>Melting_Curves/meltCurve_Q562F6_2_SGOL2.pdf</t>
  </si>
  <si>
    <t>Melting_Curves/meltCurve_Q567V2_2_MPV17L2.pdf</t>
  </si>
  <si>
    <t>Melting_Curves/meltCurve_Q587I9_SFT2D3.pdf</t>
  </si>
  <si>
    <t>Melting_Curves/meltCurve_Q58A45_PAN3.pdf</t>
  </si>
  <si>
    <t>Melting_Curves/meltCurve_Q58FF7_HSP90AB3P.pdf</t>
  </si>
  <si>
    <t>Melting_Curves/meltCurve_Q58FF8_HSP90AB2P.pdf</t>
  </si>
  <si>
    <t>Melting_Curves/meltCurve_Q58FG1_HSP90AA4P.pdf</t>
  </si>
  <si>
    <t>Melting_Curves/meltCurve_Q58WW2_DCAF6.pdf</t>
  </si>
  <si>
    <t>Melting_Curves/meltCurve_Q59GN2_RPL39P5.pdf</t>
  </si>
  <si>
    <t>Melting_Curves/meltCurve_Q5BKU9_OXLD1.pdf</t>
  </si>
  <si>
    <t>Melting_Curves/meltCurve_Q5BKX5_3_C19orf54.pdf</t>
  </si>
  <si>
    <t>Melting_Curves/meltCurve_Q5BKX6_2_SLC45A4.pdf</t>
  </si>
  <si>
    <t>Melting_Curves/meltCurve_Q5DTB0_CD80.pdf</t>
  </si>
  <si>
    <t>Melting_Curves/meltCurve_Q5EBL4_RILPL1.pdf</t>
  </si>
  <si>
    <t>Melting_Curves/meltCurve_Q5EBL8_PDZD11.pdf</t>
  </si>
  <si>
    <t>Melting_Curves/meltCurve_Q5EBM0_CMPK2.pdf</t>
  </si>
  <si>
    <t>Melting_Curves/meltCurve_Q5F1R6_DNAJC21.pdf</t>
  </si>
  <si>
    <t>Melting_Curves/meltCurve_Q5GLZ8_3_HERC4.pdf</t>
  </si>
  <si>
    <t>Melting_Curves/meltCurve_Q5H8X8_UTS2.pdf</t>
  </si>
  <si>
    <t>Melting_Curves/meltCurve_Q5H937_PKIG.pdf</t>
  </si>
  <si>
    <t>Melting_Curves/meltCurve_Q5H9A7_TIMP1.pdf</t>
  </si>
  <si>
    <t>Melting_Curves/meltCurve_Q5HY40_DNASE1L1.pdf</t>
  </si>
  <si>
    <t>Melting_Curves/meltCurve_Q5HYI8_RABL3.pdf</t>
  </si>
  <si>
    <t>Melting_Curves/meltCurve_Q5HYZ1_WDR46.pdf</t>
  </si>
  <si>
    <t>Melting_Curves/meltCurve_Q5J1K9_ART3.pdf</t>
  </si>
  <si>
    <t>Melting_Curves/meltCurve_Q5JP01_RBBP7.pdf</t>
  </si>
  <si>
    <t>Melting_Curves/meltCurve_Q5JP53_TUBB.pdf</t>
  </si>
  <si>
    <t>Melting_Curves/meltCurve_Q5JPE7_2_NOMO2.pdf</t>
  </si>
  <si>
    <t>Melting_Curves/meltCurve_Q5JPH6_EARS2.pdf</t>
  </si>
  <si>
    <t>Melting_Curves/meltCurve_Q5JR08_RHOC.pdf</t>
  </si>
  <si>
    <t>Melting_Curves/meltCurve_Q5JRA6_MIA3.pdf</t>
  </si>
  <si>
    <t>Melting_Curves/meltCurve_Q5JRG1_NUPL1.pdf</t>
  </si>
  <si>
    <t>Melting_Curves/meltCurve_Q5JRI1_SRSF10.pdf</t>
  </si>
  <si>
    <t>Melting_Curves/meltCurve_Q5JRL0_PAGE2B.pdf</t>
  </si>
  <si>
    <t>Melting_Curves/meltCurve_Q5JRX3_PITRM1.pdf</t>
  </si>
  <si>
    <t>Melting_Curves/meltCurve_Q5JS54_PSMG4.pdf</t>
  </si>
  <si>
    <t>Melting_Curves/meltCurve_Q5JSH3_2_WDR44.pdf</t>
  </si>
  <si>
    <t>Melting_Curves/meltCurve_Q5JSK7_HMGN5.pdf</t>
  </si>
  <si>
    <t>Melting_Curves/meltCurve_Q5JSZ5_PRRC2B.pdf</t>
  </si>
  <si>
    <t>Melting_Curves/meltCurve_Q5JTC4_LAMC3.pdf</t>
  </si>
  <si>
    <t>Melting_Curves/meltCurve_Q5JTD0_2_TJAP1.pdf</t>
  </si>
  <si>
    <t>Melting_Curves/meltCurve_Q5JTH9_2_RRP12.pdf</t>
  </si>
  <si>
    <t>Melting_Curves/meltCurve_Q5JTJ3_3_COA6.pdf</t>
  </si>
  <si>
    <t>Melting_Curves/meltCurve_Q5JTP4_LAMA5.pdf</t>
  </si>
  <si>
    <t>Melting_Curves/meltCurve_Q5JTV1_GMEB2.pdf</t>
  </si>
  <si>
    <t>Melting_Curves/meltCurve_Q5JTV8_TOR1AIP1.pdf</t>
  </si>
  <si>
    <t>Melting_Curves/meltCurve_Q5JTZ9_AARS2.pdf</t>
  </si>
  <si>
    <t>Melting_Curves/meltCurve_Q5JU69_TOR2A.pdf</t>
  </si>
  <si>
    <t>Melting_Curves/meltCurve_Q5JU85_3_IQSEC2.pdf</t>
  </si>
  <si>
    <t>Melting_Curves/meltCurve_Q5JUE6_RAPGEF1.pdf</t>
  </si>
  <si>
    <t>Melting_Curves/meltCurve_Q5JUQ0_FAM78A.pdf</t>
  </si>
  <si>
    <t>Melting_Curves/meltCurve_Q5JUR7_TEX30.pdf</t>
  </si>
  <si>
    <t>Melting_Curves/meltCurve_Q5JUW8_DLG3.pdf</t>
  </si>
  <si>
    <t>Melting_Curves/meltCurve_Q5JVF3_3_PCID2.pdf</t>
  </si>
  <si>
    <t>Melting_Curves/meltCurve_Q5JVZ5_ELMO2.pdf</t>
  </si>
  <si>
    <t>Melting_Curves/meltCurve_Q5JW30_STAU1.pdf</t>
  </si>
  <si>
    <t>Melting_Curves/meltCurve_Q5JWB9_TMEM230.pdf</t>
  </si>
  <si>
    <t>Melting_Curves/meltCurve_Q5JWM4_TASP1.pdf</t>
  </si>
  <si>
    <t>Melting_Curves/meltCurve_Q5JWT2_MED23.pdf</t>
  </si>
  <si>
    <t>Melting_Curves/meltCurve_Q5JXC2_MIIP.pdf</t>
  </si>
  <si>
    <t>Melting_Curves/meltCurve_Q5JXX2_MORF4L2.pdf</t>
  </si>
  <si>
    <t>Melting_Curves/meltCurve_Q5JY65_CRNKL1.pdf</t>
  </si>
  <si>
    <t>Melting_Curves/meltCurve_Q5LJA5_UCHL5.pdf</t>
  </si>
  <si>
    <t>Melting_Curves/meltCurve_Q5M775_SPECC1.pdf</t>
  </si>
  <si>
    <t>Melting_Curves/meltCurve_Q5MIZ7_3_SMEK2.pdf</t>
  </si>
  <si>
    <t>Melting_Curves/meltCurve_Q5MNZ6_WDR45B.pdf</t>
  </si>
  <si>
    <t>Melting_Curves/meltCurve_Q5NDL2_EOGT.pdf</t>
  </si>
  <si>
    <t>Melting_Curves/meltCurve_Q5QJE6_DNTTIP2.pdf</t>
  </si>
  <si>
    <t>Melting_Curves/meltCurve_Q5QNY5_PEX19.pdf</t>
  </si>
  <si>
    <t>Melting_Curves/meltCurve_Q5QNZ2_ATP5F1.pdf</t>
  </si>
  <si>
    <t>Melting_Curves/meltCurve_Q5QP56_BCL2L1.pdf</t>
  </si>
  <si>
    <t>Melting_Curves/meltCurve_Q5QP82_2_DCAF10.pdf</t>
  </si>
  <si>
    <t>Melting_Curves/meltCurve_Q5QPA5_MRPS18A.pdf</t>
  </si>
  <si>
    <t>Melting_Curves/meltCurve_Q5QPC2_TTPAL.pdf</t>
  </si>
  <si>
    <t>Melting_Curves/meltCurve_Q5QPK2_DPM1.pdf</t>
  </si>
  <si>
    <t>Melting_Curves/meltCurve_Q5R372_4_RABGAP1L.pdf</t>
  </si>
  <si>
    <t>Melting_Curves/meltCurve_Q5R3B4_MPC2.pdf</t>
  </si>
  <si>
    <t>Melting_Curves/meltCurve_Q5R3I4_TTC38.pdf</t>
  </si>
  <si>
    <t>Melting_Curves/meltCurve_Q5RI15_COX20.pdf</t>
  </si>
  <si>
    <t>Melting_Curves/meltCurve_Q5RKV6_EXOSC6.pdf</t>
  </si>
  <si>
    <t>Melting_Curves/meltCurve_Q5SNW6_MTHFR.pdf</t>
  </si>
  <si>
    <t>Melting_Curves/meltCurve_Q5SR50_PIK3CD.pdf</t>
  </si>
  <si>
    <t>Melting_Curves/meltCurve_Q5SR54_CLSTN1.pdf</t>
  </si>
  <si>
    <t>Melting_Curves/meltCurve_Q5SR56_HIATL1.pdf</t>
  </si>
  <si>
    <t>Melting_Curves/meltCurve_Q5SRE5_NUP188.pdf</t>
  </si>
  <si>
    <t>Melting_Curves/meltCurve_Q5SRN1_CDC40.pdf</t>
  </si>
  <si>
    <t>Melting_Curves/meltCurve_Q5SRQ6_CSNK2B.pdf</t>
  </si>
  <si>
    <t>Melting_Curves/meltCurve_Q5SSJ5_HP1BP3.pdf</t>
  </si>
  <si>
    <t>Melting_Curves/meltCurve_Q5ST30_VARS2.pdf</t>
  </si>
  <si>
    <t>Melting_Curves/meltCurve_Q5SVK8_DNMBP.pdf</t>
  </si>
  <si>
    <t>Melting_Curves/meltCurve_Q5SW79_CEP170.pdf</t>
  </si>
  <si>
    <t>Melting_Curves/meltCurve_Q5SWX8_2_ODR4.pdf</t>
  </si>
  <si>
    <t>Melting_Curves/meltCurve_Q5SX86_GDI2.pdf</t>
  </si>
  <si>
    <t>Melting_Curves/meltCurve_Q5SXM8_DNLZ.pdf</t>
  </si>
  <si>
    <t>Melting_Curves/meltCurve_Q5SY16_NOL9.pdf</t>
  </si>
  <si>
    <t>Melting_Curves/meltCurve_Q5SZ64_SF3B4.pdf</t>
  </si>
  <si>
    <t>Melting_Curves/meltCurve_Q5SZE3_CERS2.pdf</t>
  </si>
  <si>
    <t>Melting_Curves/meltCurve_Q5SZR4_TDRKH.pdf</t>
  </si>
  <si>
    <t>Melting_Curves/meltCurve_Q5T0D9_2_TPRG1L.pdf</t>
  </si>
  <si>
    <t>Melting_Curves/meltCurve_Q5T0Z6_PKIB.pdf</t>
  </si>
  <si>
    <t>Melting_Curves/meltCurve_Q5T114_C9orf156.pdf</t>
  </si>
  <si>
    <t>Melting_Curves/meltCurve_Q5T123_SH3BGRL3.pdf</t>
  </si>
  <si>
    <t>Melting_Curves/meltCurve_Q5T160_RARS2.pdf</t>
  </si>
  <si>
    <t>Melting_Curves/meltCurve_Q5T171_PYGO2.pdf</t>
  </si>
  <si>
    <t>Melting_Curves/meltCurve_Q5T179_CKS1B.pdf</t>
  </si>
  <si>
    <t>Melting_Curves/meltCurve_Q5T1C6_THEM4.pdf</t>
  </si>
  <si>
    <t>Melting_Curves/meltCurve_Q5T1M5_FKBP15.pdf</t>
  </si>
  <si>
    <t>Melting_Curves/meltCurve_Q5T1V6_DDX59.pdf</t>
  </si>
  <si>
    <t>Melting_Curves/meltCurve_Q5T1Z0_LHPP.pdf</t>
  </si>
  <si>
    <t>Melting_Curves/meltCurve_Q5T1Z4_PUM1.pdf</t>
  </si>
  <si>
    <t>Melting_Curves/meltCurve_Q5T200_ZC3H13.pdf</t>
  </si>
  <si>
    <t>Melting_Curves/meltCurve_Q5T280_C9orf114.pdf</t>
  </si>
  <si>
    <t>Melting_Curves/meltCurve_Q5T2D3_OTUD3.pdf</t>
  </si>
  <si>
    <t>Melting_Curves/meltCurve_Q5T2J3_BCKDHB.pdf</t>
  </si>
  <si>
    <t>Melting_Curves/meltCurve_Q5T2R2_3_PDSS1.pdf</t>
  </si>
  <si>
    <t>Melting_Curves/meltCurve_Q5T3J3_2_LRIF1.pdf</t>
  </si>
  <si>
    <t>Melting_Curves/meltCurve_Q5T3N1_ANXA1.pdf</t>
  </si>
  <si>
    <t>Melting_Curves/meltCurve_Q5T3Q7_HEATR1.pdf</t>
  </si>
  <si>
    <t>Melting_Curves/meltCurve_Q5T3U5_2_ABCC10.pdf</t>
  </si>
  <si>
    <t>Melting_Curves/meltCurve_Q5T418_MUTYH.pdf</t>
  </si>
  <si>
    <t>Melting_Curves/meltCurve_Q5T440_IBA57.pdf</t>
  </si>
  <si>
    <t>Melting_Curves/meltCurve_Q5T447_HECTD3.pdf</t>
  </si>
  <si>
    <t>Melting_Curves/meltCurve_Q5T4B9_COQ4.pdf</t>
  </si>
  <si>
    <t>Melting_Curves/meltCurve_Q5T4D3_2_TMTC4.pdf</t>
  </si>
  <si>
    <t>Melting_Curves/meltCurve_Q5T4S7_3_UBR4.pdf</t>
  </si>
  <si>
    <t>Melting_Curves/meltCurve_Q5T4U5_ACADM.pdf</t>
  </si>
  <si>
    <t>Melting_Curves/meltCurve_Q5T4U8_RABGGTB.pdf</t>
  </si>
  <si>
    <t>Melting_Curves/meltCurve_Q5T5C0_3_STXBP5.pdf</t>
  </si>
  <si>
    <t>Melting_Curves/meltCurve_Q5T5C7_SARS.pdf</t>
  </si>
  <si>
    <t>Melting_Curves/meltCurve_Q5T5U3_ARHGAP21.pdf</t>
  </si>
  <si>
    <t>Melting_Curves/meltCurve_Q5T5X7_BEND3.pdf</t>
  </si>
  <si>
    <t>Melting_Curves/meltCurve_Q5T5Y3_CAMSAP1.pdf</t>
  </si>
  <si>
    <t>Melting_Curves/meltCurve_Q5T6F0_DCAF12.pdf</t>
  </si>
  <si>
    <t>Melting_Curves/meltCurve_Q5T6F2_UBAP2.pdf</t>
  </si>
  <si>
    <t>Melting_Curves/meltCurve_Q5T6S3_PHF19.pdf</t>
  </si>
  <si>
    <t>Melting_Curves/meltCurve_Q5T6S3_2_PHF19.pdf</t>
  </si>
  <si>
    <t>Melting_Curves/meltCurve_Q5T6V5_C9orf64.pdf</t>
  </si>
  <si>
    <t>Melting_Curves/meltCurve_Q5T6Z8_TMEM59.pdf</t>
  </si>
  <si>
    <t>Melting_Curves/meltCurve_Q5T7A4_ADCK3.pdf</t>
  </si>
  <si>
    <t>Melting_Curves/meltCurve_Q5T7V8_GORAB.pdf</t>
  </si>
  <si>
    <t>Melting_Curves/meltCurve_Q5T8D3_4_ACBD5.pdf</t>
  </si>
  <si>
    <t>Melting_Curves/meltCurve_Q5T8I0_COX6A1P2.pdf</t>
  </si>
  <si>
    <t>Melting_Curves/meltCurve_Q5T8I3_2_FAM102B.pdf</t>
  </si>
  <si>
    <t>Melting_Curves/meltCurve_Q5T8P6_2_RBM26.pdf</t>
  </si>
  <si>
    <t>Melting_Curves/meltCurve_Q5T8U5_SURF4.pdf</t>
  </si>
  <si>
    <t>Melting_Curves/meltCurve_Q5T9A4_ATAD3B.pdf</t>
  </si>
  <si>
    <t>Melting_Curves/meltCurve_Q5T9B7_AK1.pdf</t>
  </si>
  <si>
    <t>Melting_Curves/meltCurve_Q5T9U4_MEF2D.pdf</t>
  </si>
  <si>
    <t>Melting_Curves/meltCurve_Q5T9W8_HSP90AB1.pdf</t>
  </si>
  <si>
    <t>Melting_Curves/meltCurve_Q5TA02_GSTO1.pdf</t>
  </si>
  <si>
    <t>Melting_Curves/meltCurve_Q5TA31_RNF187.pdf</t>
  </si>
  <si>
    <t>Melting_Curves/meltCurve_Q5TA45_2_CPSF3L.pdf</t>
  </si>
  <si>
    <t>Melting_Curves/meltCurve_Q5TA50_GLTPD1.pdf</t>
  </si>
  <si>
    <t>Melting_Curves/meltCurve_Q5TA58_AGO1.pdf</t>
  </si>
  <si>
    <t>Melting_Curves/meltCurve_Q5TAA8_HPS1.pdf</t>
  </si>
  <si>
    <t>Melting_Curves/meltCurve_Q5TAW7_CAB39L.pdf</t>
  </si>
  <si>
    <t>Melting_Curves/meltCurve_Q5TAX3_ZCCHC11.pdf</t>
  </si>
  <si>
    <t>Melting_Curves/meltCurve_Q5TBB1_RNASEH2B.pdf</t>
  </si>
  <si>
    <t>Melting_Curves/meltCurve_Q5TBP5_TAF4.pdf</t>
  </si>
  <si>
    <t>Melting_Curves/meltCurve_Q5TBP9_LSM14B.pdf</t>
  </si>
  <si>
    <t>Melting_Curves/meltCurve_Q5TC82_2_RC3H1.pdf</t>
  </si>
  <si>
    <t>Melting_Curves/meltCurve_Q5TD07_NQO2.pdf</t>
  </si>
  <si>
    <t>Melting_Curves/meltCurve_Q5TDG9_DNAJC16.pdf</t>
  </si>
  <si>
    <t>Melting_Curves/meltCurve_Q5TDH0_DDI2.pdf</t>
  </si>
  <si>
    <t>Melting_Curves/meltCurve_Q5TEU4_NDUFAF5.pdf</t>
  </si>
  <si>
    <t>Melting_Curves/meltCurve_Q5TFA5_GINM1.pdf</t>
  </si>
  <si>
    <t>Melting_Curves/meltCurve_Q5TFE4_NT5DC1.pdf</t>
  </si>
  <si>
    <t>Melting_Curves/meltCurve_Q5TGE1_TMEM189.pdf</t>
  </si>
  <si>
    <t>Melting_Curves/meltCurve_Q5TH30_NDRG3.pdf</t>
  </si>
  <si>
    <t>Melting_Curves/meltCurve_Q5THJ4_2_VPS13D.pdf</t>
  </si>
  <si>
    <t>Melting_Curves/meltCurve_Q5THK1_3_PRR14L.pdf</t>
  </si>
  <si>
    <t>Melting_Curves/meltCurve_Q5TI78_METTL18.pdf</t>
  </si>
  <si>
    <t>Melting_Curves/meltCurve_Q5TIE1_SLC19A2.pdf</t>
  </si>
  <si>
    <t>Melting_Curves/meltCurve_Q5TIH2_SFT2D2.pdf</t>
  </si>
  <si>
    <t>Melting_Curves/meltCurve_Q5U5X0_LYRM7.pdf</t>
  </si>
  <si>
    <t>Melting_Curves/meltCurve_Q5UIP0_RIF1.pdf</t>
  </si>
  <si>
    <t>Melting_Curves/meltCurve_Q5VIR6_4_VPS53.pdf</t>
  </si>
  <si>
    <t>Melting_Curves/meltCurve_Q5VSL9_STRIP1.pdf</t>
  </si>
  <si>
    <t>Melting_Curves/meltCurve_Q5VT52_RPRD2.pdf</t>
  </si>
  <si>
    <t>Melting_Curves/meltCurve_Q5VT94_GHITM.pdf</t>
  </si>
  <si>
    <t>Melting_Curves/meltCurve_Q5VTD9_2_GFI1B.pdf</t>
  </si>
  <si>
    <t>Melting_Curves/meltCurve_Q5VTL8_PRPF38B.pdf</t>
  </si>
  <si>
    <t>Melting_Curves/meltCurve_Q5VTR2_RNF20.pdf</t>
  </si>
  <si>
    <t>Melting_Curves/meltCurve_Q5VTU3_DYNLT1.pdf</t>
  </si>
  <si>
    <t>Melting_Curves/meltCurve_Q5VU58_TPM3.pdf</t>
  </si>
  <si>
    <t>Melting_Curves/meltCurve_Q5VUA4_ZNF318.pdf</t>
  </si>
  <si>
    <t>Melting_Curves/meltCurve_Q5VV42_CDKAL1.pdf</t>
  </si>
  <si>
    <t>Melting_Curves/meltCurve_Q5VV50_ZNF691.pdf</t>
  </si>
  <si>
    <t>Melting_Curves/meltCurve_Q5VV87_MGST3.pdf</t>
  </si>
  <si>
    <t>Melting_Curves/meltCurve_Q5VVD7_PLEKHM2.pdf</t>
  </si>
  <si>
    <t>Melting_Curves/meltCurve_Q5VVJ2_2_MYSM1.pdf</t>
  </si>
  <si>
    <t>Melting_Curves/meltCurve_Q5VVQ6_YOD1.pdf</t>
  </si>
  <si>
    <t>Melting_Curves/meltCurve_Q5VW32_BROX.pdf</t>
  </si>
  <si>
    <t>Melting_Curves/meltCurve_Q5VW52_GPAM.pdf</t>
  </si>
  <si>
    <t>Melting_Curves/meltCurve_Q5VWC4_PSMD4.pdf</t>
  </si>
  <si>
    <t>Melting_Curves/meltCurve_Q5VWJ9_SNX30.pdf</t>
  </si>
  <si>
    <t>Melting_Curves/meltCurve_Q5VWP2_FAM46C.pdf</t>
  </si>
  <si>
    <t>Melting_Curves/meltCurve_Q5VWQ0_RSBN1.pdf</t>
  </si>
  <si>
    <t>Melting_Curves/meltCurve_Q5VWV2_PARD3.pdf</t>
  </si>
  <si>
    <t>Melting_Curves/meltCurve_Q5VWZ2_LYPLAL1.pdf</t>
  </si>
  <si>
    <t>Melting_Curves/meltCurve_Q5VY93_ARHGEF2.pdf</t>
  </si>
  <si>
    <t>Melting_Curves/meltCurve_Q5VZ66_2_JAKMIP3.pdf</t>
  </si>
  <si>
    <t>Melting_Curves/meltCurve_Q5VZE5_NAA35.pdf</t>
  </si>
  <si>
    <t>Melting_Curves/meltCurve_Q5VZI3_2_C9orf91.pdf</t>
  </si>
  <si>
    <t>Melting_Curves/meltCurve_Q5VZL5_4_ZMYM4.pdf</t>
  </si>
  <si>
    <t>Melting_Curves/meltCurve_Q5VZR0_GLIPR2.pdf</t>
  </si>
  <si>
    <t>Melting_Curves/meltCurve_Q5VZU9_TPP2.pdf</t>
  </si>
  <si>
    <t>Melting_Curves/meltCurve_Q5VZZ6_CELF2.pdf</t>
  </si>
  <si>
    <t>Melting_Curves/meltCurve_Q5W0A2_ITM2B.pdf</t>
  </si>
  <si>
    <t>Melting_Curves/meltCurve_Q5W0V3_FAM160B1.pdf</t>
  </si>
  <si>
    <t>Melting_Curves/meltCurve_Q5W111_2_SPRYD7.pdf</t>
  </si>
  <si>
    <t>Melting_Curves/meltCurve_Q5W145_NDUFB8.pdf</t>
  </si>
  <si>
    <t>Melting_Curves/meltCurve_Q5XKP0_QIL1.pdf</t>
  </si>
  <si>
    <t>Melting_Curves/meltCurve_Q5XPI4_RNF123.pdf</t>
  </si>
  <si>
    <t>Melting_Curves/meltCurve_Q5XUX1_3_FBXW9.pdf</t>
  </si>
  <si>
    <t>Melting_Curves/meltCurve_Q63HN8_RNF213.pdf</t>
  </si>
  <si>
    <t>Melting_Curves/meltCurve_Q643R3_LPCAT4.pdf</t>
  </si>
  <si>
    <t>Melting_Curves/meltCurve_Q658P3_3_STEAP3.pdf</t>
  </si>
  <si>
    <t>Melting_Curves/meltCurve_Q66GS9_CEP135.pdf</t>
  </si>
  <si>
    <t>Melting_Curves/meltCurve_Q66K14_2_TBC1D9B.pdf</t>
  </si>
  <si>
    <t>Melting_Curves/meltCurve_Q66K64_DCAF15.pdf</t>
  </si>
  <si>
    <t>Melting_Curves/meltCurve_Q66LE6_PPP2R2D.pdf</t>
  </si>
  <si>
    <t>Melting_Curves/meltCurve_Q66PJ3_ARL6IP4.pdf</t>
  </si>
  <si>
    <t>Melting_Curves/meltCurve_Q66S35_PFKFB4.pdf</t>
  </si>
  <si>
    <t>Melting_Curves/meltCurve_Q674X7_3_KAZN.pdf</t>
  </si>
  <si>
    <t>Melting_Curves/meltCurve_Q68CQ4_DIEXF.pdf</t>
  </si>
  <si>
    <t>Melting_Curves/meltCurve_Q68D10_2_SPTY2D1.pdf</t>
  </si>
  <si>
    <t>Melting_Curves/meltCurve_Q68D85_NCR3LG1.pdf</t>
  </si>
  <si>
    <t>Melting_Curves/meltCurve_Q68D91_MBLAC2.pdf</t>
  </si>
  <si>
    <t>Melting_Curves/meltCurve_Q68DH5_LMBRD2.pdf</t>
  </si>
  <si>
    <t>Melting_Curves/meltCurve_Q68E01_2_INTS3.pdf</t>
  </si>
  <si>
    <t>Melting_Curves/meltCurve_Q68EM7_6_ARHGAP17.pdf</t>
  </si>
  <si>
    <t>Melting_Curves/meltCurve_Q69YH5_CDCA2.pdf</t>
  </si>
  <si>
    <t>Melting_Curves/meltCurve_Q69YL0_.pdf</t>
  </si>
  <si>
    <t>Melting_Curves/meltCurve_Q69YM1_DKFZp762C0813.pdf</t>
  </si>
  <si>
    <t>Melting_Curves/meltCurve_Q69YN2_CWF19L1.pdf</t>
  </si>
  <si>
    <t>Melting_Curves/meltCurve_Q69YN4_3_KIAA1429.pdf</t>
  </si>
  <si>
    <t>Melting_Curves/meltCurve_Q69YQ0_2_SPECC1L.pdf</t>
  </si>
  <si>
    <t>Melting_Curves/meltCurve_Q69YU5_C12orf73.pdf</t>
  </si>
  <si>
    <t>Melting_Curves/meltCurve_Q6AI08_HEATR6.pdf</t>
  </si>
  <si>
    <t>Melting_Curves/meltCurve_Q6AI12_ANKRD40.pdf</t>
  </si>
  <si>
    <t>Melting_Curves/meltCurve_Q6BCY4_2_CYB5R2.pdf</t>
  </si>
  <si>
    <t>Melting_Curves/meltCurve_Q6BDS2_UHRF1BP1.pdf</t>
  </si>
  <si>
    <t>Melting_Curves/meltCurve_Q6DCA0_AMMECR1L.pdf</t>
  </si>
  <si>
    <t>Melting_Curves/meltCurve_Q6DD87_ZNF787.pdf</t>
  </si>
  <si>
    <t>Melting_Curves/meltCurve_Q6DD88_ATL3.pdf</t>
  </si>
  <si>
    <t>Melting_Curves/meltCurve_Q6DHV7_ADAL.pdf</t>
  </si>
  <si>
    <t>Melting_Curves/meltCurve_Q6DT37_CDC42BPG.pdf</t>
  </si>
  <si>
    <t>Melting_Curves/meltCurve_Q6EEV4_2_POLR2M.pdf</t>
  </si>
  <si>
    <t>Melting_Curves/meltCurve_Q6EMK4_VASN.pdf</t>
  </si>
  <si>
    <t>Melting_Curves/meltCurve_Q6FI81_CIAPIN1.pdf</t>
  </si>
  <si>
    <t>Melting_Curves/meltCurve_Q6FIF0_2_ZFAND6.pdf</t>
  </si>
  <si>
    <t>Melting_Curves/meltCurve_Q6GMV2_SMYD5.pdf</t>
  </si>
  <si>
    <t>Melting_Curves/meltCurve_Q6GMV3_PTRHD1.pdf</t>
  </si>
  <si>
    <t>Melting_Curves/meltCurve_Q6GQQ9_OTUD7B.pdf</t>
  </si>
  <si>
    <t>Melting_Curves/meltCurve_Q6I9Y2_THOC7.pdf</t>
  </si>
  <si>
    <t>Melting_Curves/meltCurve_Q6IA69_NADSYN1.pdf</t>
  </si>
  <si>
    <t>Melting_Curves/meltCurve_Q6IA86_3_ELP2.pdf</t>
  </si>
  <si>
    <t>Melting_Curves/meltCurve_Q6IAA8_LAMTOR1.pdf</t>
  </si>
  <si>
    <t>Melting_Curves/meltCurve_Q6IAN0_DHRS7B.pdf</t>
  </si>
  <si>
    <t>Melting_Curves/meltCurve_Q6IBS0_TWF2.pdf</t>
  </si>
  <si>
    <t>Melting_Curves/meltCurve_Q6IBW4_2_NCAPH2.pdf</t>
  </si>
  <si>
    <t>Melting_Curves/meltCurve_Q6IC98_GRAMD4.pdf</t>
  </si>
  <si>
    <t>Melting_Curves/meltCurve_Q6IN84_MRM1.pdf</t>
  </si>
  <si>
    <t>Melting_Curves/meltCurve_Q6IN85_SMEK1.pdf</t>
  </si>
  <si>
    <t>Melting_Curves/meltCurve_Q6IPR1_LYRM5.pdf</t>
  </si>
  <si>
    <t>Melting_Curves/meltCurve_Q6IPR3_TYW3.pdf</t>
  </si>
  <si>
    <t>Melting_Curves/meltCurve_Q6IPU0_CENPP.pdf</t>
  </si>
  <si>
    <t>Melting_Curves/meltCurve_Q6IQ22_RAB12.pdf</t>
  </si>
  <si>
    <t>Melting_Curves/meltCurve_Q6IQ49_2_SDE2.pdf</t>
  </si>
  <si>
    <t>Melting_Curves/meltCurve_Q6J164_GRM5.pdf</t>
  </si>
  <si>
    <t>Melting_Curves/meltCurve_Q6JHV3_USP3.pdf</t>
  </si>
  <si>
    <t>Melting_Curves/meltCurve_Q6KC79_2_NIPBL.pdf</t>
  </si>
  <si>
    <t>Melting_Curves/meltCurve_Q6KCM7_SLC25A25.pdf</t>
  </si>
  <si>
    <t>Melting_Curves/meltCurve_Q6MZP7_2_LIN54.pdf</t>
  </si>
  <si>
    <t>Melting_Curves/meltCurve_Q6N063_OGFOD2.pdf</t>
  </si>
  <si>
    <t>Melting_Curves/meltCurve_Q6N069_NAA16.pdf</t>
  </si>
  <si>
    <t>Melting_Curves/meltCurve_Q6NSH3_CT45A5.pdf</t>
  </si>
  <si>
    <t>Melting_Curves/meltCurve_Q6NSJ5_LRRC8E.pdf</t>
  </si>
  <si>
    <t>Melting_Curves/meltCurve_Q6NT16_SLC18B1.pdf</t>
  </si>
  <si>
    <t>Melting_Curves/meltCurve_Q6NTE8_C5orf45.pdf</t>
  </si>
  <si>
    <t>Melting_Curves/meltCurve_Q6NUK1_SLC25A24.pdf</t>
  </si>
  <si>
    <t>Melting_Curves/meltCurve_Q6NUK4_2_REEP3.pdf</t>
  </si>
  <si>
    <t>Melting_Curves/meltCurve_Q6NUM9_RETSAT.pdf</t>
  </si>
  <si>
    <t>Melting_Curves/meltCurve_Q6NUQ1_RINT1.pdf</t>
  </si>
  <si>
    <t>Melting_Curves/meltCurve_Q6NUQ4_2_TMEM214.pdf</t>
  </si>
  <si>
    <t>Melting_Curves/meltCurve_Q6NVY1_HIBCH.pdf</t>
  </si>
  <si>
    <t>Melting_Curves/meltCurve_Q6NXE6_2_ARMC6.pdf</t>
  </si>
  <si>
    <t>Melting_Curves/meltCurve_Q6NXT1_ANKRD54.pdf</t>
  </si>
  <si>
    <t>Melting_Curves/meltCurve_Q6NXT6_TAPT1.pdf</t>
  </si>
  <si>
    <t>Melting_Curves/meltCurve_Q6NYC8_PPP1R18.pdf</t>
  </si>
  <si>
    <t>Melting_Curves/meltCurve_Q6NZI2_PTRF.pdf</t>
  </si>
  <si>
    <t>Melting_Curves/meltCurve_Q6NZY4_ZCCHC8.pdf</t>
  </si>
  <si>
    <t>Melting_Curves/meltCurve_Q6P161_MRPL54.pdf</t>
  </si>
  <si>
    <t>Melting_Curves/meltCurve_Q6P1J9_CDC73.pdf</t>
  </si>
  <si>
    <t>Melting_Curves/meltCurve_Q6P1K2_4_PMF1.pdf</t>
  </si>
  <si>
    <t>Melting_Curves/meltCurve_Q6P1K8_GTF2H2C.pdf</t>
  </si>
  <si>
    <t>Melting_Curves/meltCurve_Q6P1L5_2_FAM117B.pdf</t>
  </si>
  <si>
    <t>Melting_Curves/meltCurve_Q6P1L8_MRPL14.pdf</t>
  </si>
  <si>
    <t>Melting_Curves/meltCurve_Q6P1M0_SLC27A4.pdf</t>
  </si>
  <si>
    <t>Melting_Curves/meltCurve_Q6P1N0_2_CC2D1A.pdf</t>
  </si>
  <si>
    <t>Melting_Curves/meltCurve_Q6P1Q9_METTL2B.pdf</t>
  </si>
  <si>
    <t>Melting_Curves/meltCurve_Q6P1R4_DUS1L.pdf</t>
  </si>
  <si>
    <t>Melting_Curves/meltCurve_Q6P1X5_TAF2.pdf</t>
  </si>
  <si>
    <t>Melting_Curves/meltCurve_Q6P2C8_2_MED27.pdf</t>
  </si>
  <si>
    <t>Melting_Curves/meltCurve_Q6P2E9_EDC4.pdf</t>
  </si>
  <si>
    <t>Melting_Curves/meltCurve_Q6P2H3_2_CEP85.pdf</t>
  </si>
  <si>
    <t>Melting_Curves/meltCurve_Q6P2P2_PRMT10.pdf</t>
  </si>
  <si>
    <t>Melting_Curves/meltCurve_Q6P2Q9_PRPF8.pdf</t>
  </si>
  <si>
    <t>Melting_Curves/meltCurve_Q6P3S1_5_DENND1B.pdf</t>
  </si>
  <si>
    <t>Melting_Curves/meltCurve_Q6P3S6_FBXO42.pdf</t>
  </si>
  <si>
    <t>Melting_Curves/meltCurve_Q6P3W7_SCYL2.pdf</t>
  </si>
  <si>
    <t>Melting_Curves/meltCurve_Q6P3X3_TTC27.pdf</t>
  </si>
  <si>
    <t>Melting_Curves/meltCurve_Q6P444_MTFR2.pdf</t>
  </si>
  <si>
    <t>Melting_Curves/meltCurve_Q6P499_2_NIPAL3.pdf</t>
  </si>
  <si>
    <t>Melting_Curves/meltCurve_Q6P4A7_SFXN4.pdf</t>
  </si>
  <si>
    <t>Melting_Curves/meltCurve_Q6P4A8_PLBD1.pdf</t>
  </si>
  <si>
    <t>Melting_Curves/meltCurve_Q6P4E1_CASC4.pdf</t>
  </si>
  <si>
    <t>Melting_Curves/meltCurve_Q6P4F2_FDX1L.pdf</t>
  </si>
  <si>
    <t>Melting_Curves/meltCurve_Q6P4I2_WDR73.pdf</t>
  </si>
  <si>
    <t>Melting_Curves/meltCurve_Q6P582_MZT2A.pdf</t>
  </si>
  <si>
    <t>Melting_Curves/meltCurve_Q6P587_FAHD1.pdf</t>
  </si>
  <si>
    <t>Melting_Curves/meltCurve_Q6P5X5_C22orf39.pdf</t>
  </si>
  <si>
    <t>Melting_Curves/meltCurve_Q6P5Z2_PKN3.pdf</t>
  </si>
  <si>
    <t>Melting_Curves/meltCurve_Q6P6B7_2_ANKRD16.pdf</t>
  </si>
  <si>
    <t>Melting_Curves/meltCurve_Q6P6C2_3_ALKBH5.pdf</t>
  </si>
  <si>
    <t>Melting_Curves/meltCurve_Q6P9B6_KIAA1609.pdf</t>
  </si>
  <si>
    <t>Melting_Curves/meltCurve_Q6P9F7_LRRC8B.pdf</t>
  </si>
  <si>
    <t>Melting_Curves/meltCurve_Q6PCB5_RSBN1L.pdf</t>
  </si>
  <si>
    <t>Melting_Curves/meltCurve_Q6PCE3_PGM2L1.pdf</t>
  </si>
  <si>
    <t>Melting_Curves/meltCurve_Q6PD62_CTR9.pdf</t>
  </si>
  <si>
    <t>Melting_Curves/meltCurve_Q6PD74_AAGAB.pdf</t>
  </si>
  <si>
    <t>Melting_Curves/meltCurve_Q6PGN9_2_PSRC1.pdf</t>
  </si>
  <si>
    <t>Melting_Curves/meltCurve_Q6PH81_C16orf87.pdf</t>
  </si>
  <si>
    <t>Melting_Curves/meltCurve_Q6PI48_DARS2.pdf</t>
  </si>
  <si>
    <t>Melting_Curves/meltCurve_Q6PID6_TTC33.pdf</t>
  </si>
  <si>
    <t>Melting_Curves/meltCurve_Q6PII3_CCDC174.pdf</t>
  </si>
  <si>
    <t>Melting_Curves/meltCurve_Q6PII5_2_HAGHL.pdf</t>
  </si>
  <si>
    <t>Melting_Curves/meltCurve_Q6PIJ6_2_FBXO38.pdf</t>
  </si>
  <si>
    <t>Melting_Curves/meltCurve_Q6PIR0_CENPC1.pdf</t>
  </si>
  <si>
    <t>Melting_Curves/meltCurve_Q6PIW4_2_FIGNL1.pdf</t>
  </si>
  <si>
    <t>Melting_Curves/meltCurve_Q6PJ61_FBXO46.pdf</t>
  </si>
  <si>
    <t>Melting_Curves/meltCurve_Q6PJ69_TRIM65.pdf</t>
  </si>
  <si>
    <t>Melting_Curves/meltCurve_Q6PJG6_BRAT1.pdf</t>
  </si>
  <si>
    <t>Melting_Curves/meltCurve_Q6PJT7_5_ZC3H14.pdf</t>
  </si>
  <si>
    <t>Melting_Curves/meltCurve_Q6PJW8_CNST.pdf</t>
  </si>
  <si>
    <t>Melting_Curves/meltCurve_Q6PK18_OGFOD3.pdf</t>
  </si>
  <si>
    <t>Melting_Curves/meltCurve_Q6PK81_2_ZNF773.pdf</t>
  </si>
  <si>
    <t>Melting_Curves/meltCurve_Q6PKC3_2_TXNDC11.pdf</t>
  </si>
  <si>
    <t>Melting_Curves/meltCurve_Q6PKG0_LARP1.pdf</t>
  </si>
  <si>
    <t>Melting_Curves/meltCurve_Q6PL24_TMED8.pdf</t>
  </si>
  <si>
    <t>Melting_Curves/meltCurve_Q6PML9_SLC30A9.pdf</t>
  </si>
  <si>
    <t>Melting_Curves/meltCurve_Q6PUV4_CPLX2.pdf</t>
  </si>
  <si>
    <t>Melting_Curves/meltCurve_Q6QNY0_BLOC1S3.pdf</t>
  </si>
  <si>
    <t>Melting_Curves/meltCurve_Q6QNY1_BLOC1S2.pdf</t>
  </si>
  <si>
    <t>Melting_Curves/meltCurve_Q6R327_RICTOR.pdf</t>
  </si>
  <si>
    <t>Melting_Curves/meltCurve_Q6RFH5_2_WDR74.pdf</t>
  </si>
  <si>
    <t>Melting_Curves/meltCurve_Q6RW13_AGTRAP.pdf</t>
  </si>
  <si>
    <t>Melting_Curves/meltCurve_Q6S8J3_POTEE.pdf</t>
  </si>
  <si>
    <t>Melting_Curves/meltCurve_Q6SPF0_SAMD1.pdf</t>
  </si>
  <si>
    <t>Melting_Curves/meltCurve_Q6STE5_2_SMARCD3.pdf</t>
  </si>
  <si>
    <t>Melting_Curves/meltCurve_Q6T4P5_LPPR3.pdf</t>
  </si>
  <si>
    <t>Melting_Curves/meltCurve_Q6UB35_MTHFD1L.pdf</t>
  </si>
  <si>
    <t>Melting_Curves/meltCurve_Q6UB99_ANKRD11.pdf</t>
  </si>
  <si>
    <t>Melting_Curves/meltCurve_Q6ULP2_5_AFTPH.pdf</t>
  </si>
  <si>
    <t>Melting_Curves/meltCurve_Q6UN15_5_FIP1L1.pdf</t>
  </si>
  <si>
    <t>Melting_Curves/meltCurve_Q6UUV7_3_CRTC3.pdf</t>
  </si>
  <si>
    <t>Melting_Curves/meltCurve_Q6UUV9_3_CRTC1.pdf</t>
  </si>
  <si>
    <t>Melting_Curves/meltCurve_Q6UW63_KDELC1.pdf</t>
  </si>
  <si>
    <t>Melting_Curves/meltCurve_Q6UW78_C11orf83.pdf</t>
  </si>
  <si>
    <t>Melting_Curves/meltCurve_Q6UWB1_IL27RA.pdf</t>
  </si>
  <si>
    <t>Melting_Curves/meltCurve_Q6UWE0_LRSAM1.pdf</t>
  </si>
  <si>
    <t>Melting_Curves/meltCurve_Q6UWP2_DHRS11.pdf</t>
  </si>
  <si>
    <t>Melting_Curves/meltCurve_Q6UWP7_3_LCLAT1.pdf</t>
  </si>
  <si>
    <t>Melting_Curves/meltCurve_Q6UWS5_PET117.pdf</t>
  </si>
  <si>
    <t>Melting_Curves/meltCurve_Q6UWU4_C6orf89.pdf</t>
  </si>
  <si>
    <t>Melting_Curves/meltCurve_Q6UX04_CWC27.pdf</t>
  </si>
  <si>
    <t>Melting_Curves/meltCurve_Q6UX07_DHRS13.pdf</t>
  </si>
  <si>
    <t>Melting_Curves/meltCurve_Q6UXH1_4_CRELD2.pdf</t>
  </si>
  <si>
    <t>Melting_Curves/meltCurve_Q6UXN9_WDR82.pdf</t>
  </si>
  <si>
    <t>Melting_Curves/meltCurve_Q6UXV4_APOOL.pdf</t>
  </si>
  <si>
    <t>Melting_Curves/meltCurve_Q6UY14_2_ADAMTSL4.pdf</t>
  </si>
  <si>
    <t>Melting_Curves/meltCurve_Q6VMQ6_2_ATF7IP.pdf</t>
  </si>
  <si>
    <t>Melting_Curves/meltCurve_Q6VY07_PACS1.pdf</t>
  </si>
  <si>
    <t>Melting_Curves/meltCurve_Q6W2J9_4_BCOR.pdf</t>
  </si>
  <si>
    <t>Melting_Curves/meltCurve_Q6WKZ4_RAB11FIP1.pdf</t>
  </si>
  <si>
    <t>Melting_Curves/meltCurve_Q6XQN6_NAPRT1.pdf</t>
  </si>
  <si>
    <t>Melting_Curves/meltCurve_Q6XR72_SLC30A10.pdf</t>
  </si>
  <si>
    <t>Melting_Curves/meltCurve_Q6Y1H2_PTPLB.pdf</t>
  </si>
  <si>
    <t>Melting_Curves/meltCurve_Q6Y7W6_4_GIGYF2.pdf</t>
  </si>
  <si>
    <t>Melting_Curves/meltCurve_Q6YHU6_3_THADA.pdf</t>
  </si>
  <si>
    <t>Melting_Curves/meltCurve_Q6YN16_HSDL2.pdf</t>
  </si>
  <si>
    <t>Melting_Curves/meltCurve_Q6YP21_3_CCBL2.pdf</t>
  </si>
  <si>
    <t>Melting_Curves/meltCurve_Q6ZMI0_PPP1R21.pdf</t>
  </si>
  <si>
    <t>Melting_Curves/meltCurve_Q6ZN04_MEX3B.pdf</t>
  </si>
  <si>
    <t>Melting_Curves/meltCurve_Q6ZN17_LIN28B.pdf</t>
  </si>
  <si>
    <t>Melting_Curves/meltCurve_Q6ZN54_4_DEF8.pdf</t>
  </si>
  <si>
    <t>Melting_Curves/meltCurve_Q6ZNA5_FRRS1.pdf</t>
  </si>
  <si>
    <t>Melting_Curves/meltCurve_Q6ZNB6_NFXL1.pdf</t>
  </si>
  <si>
    <t>Melting_Curves/meltCurve_Q6ZNJ1_2_NBEAL2.pdf</t>
  </si>
  <si>
    <t>Melting_Curves/meltCurve_Q6ZNW5_GDPGP1.pdf</t>
  </si>
  <si>
    <t>Melting_Curves/meltCurve_Q6ZPD9_DPY19L3.pdf</t>
  </si>
  <si>
    <t>Melting_Curves/meltCurve_Q6ZRP7_QSOX2.pdf</t>
  </si>
  <si>
    <t>Melting_Curves/meltCurve_Q6ZRS2_3_SRCAP.pdf</t>
  </si>
  <si>
    <t>Melting_Curves/meltCurve_Q6ZS17_2_FAM65A.pdf</t>
  </si>
  <si>
    <t>Melting_Curves/meltCurve_Q6ZSJ8_C1orf122.pdf</t>
  </si>
  <si>
    <t>Melting_Curves/meltCurve_Q6ZT12_UBR3.pdf</t>
  </si>
  <si>
    <t>Melting_Curves/meltCurve_Q6ZT62_SH3BP1.pdf</t>
  </si>
  <si>
    <t>Melting_Curves/meltCurve_Q6ZUT1_3_C11orf57.pdf</t>
  </si>
  <si>
    <t>Melting_Curves/meltCurve_Q6ZW49_4_PAXIP1.pdf</t>
  </si>
  <si>
    <t>Melting_Curves/meltCurve_Q6ZXV5_2_TMTC3.pdf</t>
  </si>
  <si>
    <t>Melting_Curves/meltCurve_Q6ZYL4_GTF2H5.pdf</t>
  </si>
  <si>
    <t>Melting_Curves/meltCurve_Q709C8_3_VPS13C.pdf</t>
  </si>
  <si>
    <t>Melting_Curves/meltCurve_Q70CQ2_USP34.pdf</t>
  </si>
  <si>
    <t>Melting_Curves/meltCurve_Q70IA6_MOB2.pdf</t>
  </si>
  <si>
    <t>Melting_Curves/meltCurve_Q70J99_UNC13D.pdf</t>
  </si>
  <si>
    <t>Melting_Curves/meltCurve_Q70UQ0_IKBIP.pdf</t>
  </si>
  <si>
    <t>Melting_Curves/meltCurve_Q70UQ0_4_IKBIP.pdf</t>
  </si>
  <si>
    <t>Melting_Curves/meltCurve_Q70Z53_2_FRA10AC1.pdf</t>
  </si>
  <si>
    <t>Melting_Curves/meltCurve_Q712K3_UBE2R2.pdf</t>
  </si>
  <si>
    <t>Melting_Curves/meltCurve_Q71RC2_5_LARP4.pdf</t>
  </si>
  <si>
    <t>Melting_Curves/meltCurve_Q71SY5_5_MED25.pdf</t>
  </si>
  <si>
    <t>Melting_Curves/meltCurve_Q71TU5_CSNK1A1.pdf</t>
  </si>
  <si>
    <t>Melting_Curves/meltCurve_Q71UI9_H2AFV.pdf</t>
  </si>
  <si>
    <t>Melting_Curves/meltCurve_Q765P7_MTSS1L.pdf</t>
  </si>
  <si>
    <t>Melting_Curves/meltCurve_Q7KYR7_5_BTN2A1.pdf</t>
  </si>
  <si>
    <t>Melting_Curves/meltCurve_Q7KZ85_SUPT6H.pdf</t>
  </si>
  <si>
    <t>Melting_Curves/meltCurve_Q7KZ85_2_SUPT6H.pdf</t>
  </si>
  <si>
    <t>Melting_Curves/meltCurve_Q7KZF4_SND1.pdf</t>
  </si>
  <si>
    <t>Melting_Curves/meltCurve_Q7KZN9_2_COX15.pdf</t>
  </si>
  <si>
    <t>Melting_Curves/meltCurve_Q7L014_DDX46.pdf</t>
  </si>
  <si>
    <t>Melting_Curves/meltCurve_Q7L099_2_RUFY3.pdf</t>
  </si>
  <si>
    <t>Melting_Curves/meltCurve_Q7L099_4_RUFY3.pdf</t>
  </si>
  <si>
    <t>Melting_Curves/meltCurve_Q7L0Y3_TRMT10C.pdf</t>
  </si>
  <si>
    <t>Melting_Curves/meltCurve_Q7L1Q6_BZW1.pdf</t>
  </si>
  <si>
    <t>Melting_Curves/meltCurve_Q7L1T6_CYB5R4.pdf</t>
  </si>
  <si>
    <t>Melting_Curves/meltCurve_Q7L1W4_LRRC8D.pdf</t>
  </si>
  <si>
    <t>Melting_Curves/meltCurve_Q7L211_ABHD13.pdf</t>
  </si>
  <si>
    <t>Melting_Curves/meltCurve_Q7L266_ASRGL1.pdf</t>
  </si>
  <si>
    <t>Melting_Curves/meltCurve_Q7L273_KCTD9.pdf</t>
  </si>
  <si>
    <t>Melting_Curves/meltCurve_Q7L2H7_EIF3M.pdf</t>
  </si>
  <si>
    <t>Melting_Curves/meltCurve_Q7L2J0_MEPCE.pdf</t>
  </si>
  <si>
    <t>Melting_Curves/meltCurve_Q7L3T8_PARS2.pdf</t>
  </si>
  <si>
    <t>Melting_Curves/meltCurve_Q7L4E1_3_FAM73B.pdf</t>
  </si>
  <si>
    <t>Melting_Curves/meltCurve_Q7L4I2_RSRC2.pdf</t>
  </si>
  <si>
    <t>Melting_Curves/meltCurve_Q7L523_RRAGA.pdf</t>
  </si>
  <si>
    <t>Melting_Curves/meltCurve_Q7L576_CYFIP1.pdf</t>
  </si>
  <si>
    <t>Melting_Curves/meltCurve_Q7L592_NDUFAF7.pdf</t>
  </si>
  <si>
    <t>Melting_Curves/meltCurve_Q7L5D6_GET4.pdf</t>
  </si>
  <si>
    <t>Melting_Curves/meltCurve_Q7L5Y1_ENOSF1.pdf</t>
  </si>
  <si>
    <t>Melting_Curves/meltCurve_Q7L5Y9_MAEA.pdf</t>
  </si>
  <si>
    <t>Melting_Curves/meltCurve_Q7L775_EPM2AIP1.pdf</t>
  </si>
  <si>
    <t>Melting_Curves/meltCurve_Q7L7X3_TAOK1.pdf</t>
  </si>
  <si>
    <t>Melting_Curves/meltCurve_Q7L8J4_SH3BP5L.pdf</t>
  </si>
  <si>
    <t>Melting_Curves/meltCurve_Q7L8L6_FASTKD5.pdf</t>
  </si>
  <si>
    <t>Melting_Curves/meltCurve_Q7L8W6_ATPBD4.pdf</t>
  </si>
  <si>
    <t>Melting_Curves/meltCurve_Q7LBC6_KDM3B.pdf</t>
  </si>
  <si>
    <t>Melting_Curves/meltCurve_Q7LBR1_CHMP1B.pdf</t>
  </si>
  <si>
    <t>Melting_Curves/meltCurve_Q7LDG7_RASGRP2.pdf</t>
  </si>
  <si>
    <t>Melting_Curves/meltCurve_Q7LG56_RRM2B.pdf</t>
  </si>
  <si>
    <t>Melting_Curves/meltCurve_Q7LGA3_HS2ST1.pdf</t>
  </si>
  <si>
    <t>Melting_Curves/meltCurve_Q7RTN6_6_STRADA.pdf</t>
  </si>
  <si>
    <t>Melting_Curves/meltCurve_Q7RTP0_NIPA1.pdf</t>
  </si>
  <si>
    <t>Melting_Curves/meltCurve_Q7RTP6_MICAL3.pdf</t>
  </si>
  <si>
    <t>Melting_Curves/meltCurve_Q7RTV0_PHF5A.pdf</t>
  </si>
  <si>
    <t>Melting_Curves/meltCurve_Q7Z2E3_3_APTX.pdf</t>
  </si>
  <si>
    <t>Melting_Curves/meltCurve_Q7Z2K8_GPRIN1.pdf</t>
  </si>
  <si>
    <t>Melting_Curves/meltCurve_Q7Z2T5_TRMT1L.pdf</t>
  </si>
  <si>
    <t>Melting_Curves/meltCurve_Q7Z2W4_ZC3HAV1.pdf</t>
  </si>
  <si>
    <t>Melting_Curves/meltCurve_Q7Z2Z2_EFTUD1.pdf</t>
  </si>
  <si>
    <t>Melting_Curves/meltCurve_Q7Z309_5_FAM122B.pdf</t>
  </si>
  <si>
    <t>Melting_Curves/meltCurve_Q7Z333_3_SETX.pdf</t>
  </si>
  <si>
    <t>Melting_Curves/meltCurve_Q7Z372_DKFZp686N07218.pdf</t>
  </si>
  <si>
    <t>Melting_Curves/meltCurve_Q7Z392_4_TRAPPC11.pdf</t>
  </si>
  <si>
    <t>Melting_Curves/meltCurve_Q7Z3B3_KANSL1.pdf</t>
  </si>
  <si>
    <t>Melting_Curves/meltCurve_Q7Z3C6_2_ATG9A.pdf</t>
  </si>
  <si>
    <t>Melting_Curves/meltCurve_Q7Z3D4_LYSMD3.pdf</t>
  </si>
  <si>
    <t>Melting_Curves/meltCurve_Q7Z3E2_C10orf118.pdf</t>
  </si>
  <si>
    <t>Melting_Curves/meltCurve_Q7Z3K3_5_POGZ.pdf</t>
  </si>
  <si>
    <t>Melting_Curves/meltCurve_Q7Z3T8_ZFYVE16.pdf</t>
  </si>
  <si>
    <t>Melting_Curves/meltCurve_Q7Z3V4_UBE3B.pdf</t>
  </si>
  <si>
    <t>Melting_Curves/meltCurve_Q7Z401_DENND4A.pdf</t>
  </si>
  <si>
    <t>Melting_Curves/meltCurve_Q7Z417_NUFIP2.pdf</t>
  </si>
  <si>
    <t>Melting_Curves/meltCurve_Q7Z422_2_SZRD1.pdf</t>
  </si>
  <si>
    <t>Melting_Curves/meltCurve_Q7Z434_MAVS.pdf</t>
  </si>
  <si>
    <t>Melting_Curves/meltCurve_Q7Z451_AP2B1.pdf</t>
  </si>
  <si>
    <t>Melting_Curves/meltCurve_Q7Z460_CLASP1.pdf</t>
  </si>
  <si>
    <t>Melting_Curves/meltCurve_Q7Z478_DHX29.pdf</t>
  </si>
  <si>
    <t>Melting_Curves/meltCurve_Q7Z4F1_LRP10.pdf</t>
  </si>
  <si>
    <t>Melting_Curves/meltCurve_Q7Z4G1_COMMD6.pdf</t>
  </si>
  <si>
    <t>Melting_Curves/meltCurve_Q7Z4H3_HDDC2.pdf</t>
  </si>
  <si>
    <t>Melting_Curves/meltCurve_Q7Z4H7_3_HAUS6.pdf</t>
  </si>
  <si>
    <t>Melting_Curves/meltCurve_Q7Z4H8_KDELC2.pdf</t>
  </si>
  <si>
    <t>Melting_Curves/meltCurve_Q7Z4L5_TTC21B.pdf</t>
  </si>
  <si>
    <t>Melting_Curves/meltCurve_Q7Z4Q2_HEATR3.pdf</t>
  </si>
  <si>
    <t>Melting_Curves/meltCurve_Q7Z4V5_HDGFRP2.pdf</t>
  </si>
  <si>
    <t>Melting_Curves/meltCurve_Q7Z4W1_DCXR.pdf</t>
  </si>
  <si>
    <t>Melting_Curves/meltCurve_Q7Z5G4_GOLGA7.pdf</t>
  </si>
  <si>
    <t>Melting_Curves/meltCurve_Q7Z5H3_3_ARHGAP22.pdf</t>
  </si>
  <si>
    <t>Melting_Curves/meltCurve_Q7Z5K2_WAPAL.pdf</t>
  </si>
  <si>
    <t>Melting_Curves/meltCurve_Q7Z5L9_2_IRF2BP2.pdf</t>
  </si>
  <si>
    <t>Melting_Curves/meltCurve_Q7Z5U6_WDR53.pdf</t>
  </si>
  <si>
    <t>Melting_Curves/meltCurve_Q7Z650_MTHFD2.pdf</t>
  </si>
  <si>
    <t>Melting_Curves/meltCurve_Q7Z6B0_2_CCDC91.pdf</t>
  </si>
  <si>
    <t>Melting_Curves/meltCurve_Q7Z6E9_RBBP6.pdf</t>
  </si>
  <si>
    <t>Melting_Curves/meltCurve_Q7Z6I8_C5orf24.pdf</t>
  </si>
  <si>
    <t>Melting_Curves/meltCurve_Q7Z6J8_UBE3D.pdf</t>
  </si>
  <si>
    <t>Melting_Curves/meltCurve_Q7Z6J9_TSEN54.pdf</t>
  </si>
  <si>
    <t>Melting_Curves/meltCurve_Q7Z6K3_PTAR1.pdf</t>
  </si>
  <si>
    <t>Melting_Curves/meltCurve_Q7Z6L1_TECPR1.pdf</t>
  </si>
  <si>
    <t>Melting_Curves/meltCurve_Q7Z6M1_RABEPK.pdf</t>
  </si>
  <si>
    <t>Melting_Curves/meltCurve_Q7Z6M4_MTERFD2.pdf</t>
  </si>
  <si>
    <t>Melting_Curves/meltCurve_Q7Z6U0_TBPL1.pdf</t>
  </si>
  <si>
    <t>Melting_Curves/meltCurve_Q7Z6V5_2_ADAT2.pdf</t>
  </si>
  <si>
    <t>Melting_Curves/meltCurve_Q7Z6Z7_2_HUWE1.pdf</t>
  </si>
  <si>
    <t>Melting_Curves/meltCurve_Q7Z7A1_5_CNTRL.pdf</t>
  </si>
  <si>
    <t>Melting_Curves/meltCurve_Q7Z7A3_CTU1.pdf</t>
  </si>
  <si>
    <t>Melting_Curves/meltCurve_Q7Z7C8_TAF8.pdf</t>
  </si>
  <si>
    <t>Melting_Curves/meltCurve_Q7Z7E8_UBE2Q1.pdf</t>
  </si>
  <si>
    <t>Melting_Curves/meltCurve_Q7Z7F0_2_KIAA0907.pdf</t>
  </si>
  <si>
    <t>Melting_Curves/meltCurve_Q7Z7F7_MRPL55.pdf</t>
  </si>
  <si>
    <t>Melting_Curves/meltCurve_Q7Z7G8_2_VPS13B.pdf</t>
  </si>
  <si>
    <t>Melting_Curves/meltCurve_Q7Z7H5_3_TMED4.pdf</t>
  </si>
  <si>
    <t>Melting_Curves/meltCurve_Q7Z7H8_MRPL10.pdf</t>
  </si>
  <si>
    <t>Melting_Curves/meltCurve_Q7Z7K0_CMC1.pdf</t>
  </si>
  <si>
    <t>Melting_Curves/meltCurve_Q7Z7K6_3_CENPV.pdf</t>
  </si>
  <si>
    <t>Melting_Curves/meltCurve_Q7Z7M9_GALNT5.pdf</t>
  </si>
  <si>
    <t>Melting_Curves/meltCurve_Q7Z7N9_TMEM179B.pdf</t>
  </si>
  <si>
    <t>Melting_Curves/meltCurve_Q86SF2_GALNT7.pdf</t>
  </si>
  <si>
    <t>Melting_Curves/meltCurve_Q86SQ9_3_DHDDS.pdf</t>
  </si>
  <si>
    <t>Melting_Curves/meltCurve_Q86SX6_GLRX5.pdf</t>
  </si>
  <si>
    <t>Melting_Curves/meltCurve_Q86SZ2_2_TRAPPC6B.pdf</t>
  </si>
  <si>
    <t>Melting_Curves/meltCurve_Q86T03_TMEM55B.pdf</t>
  </si>
  <si>
    <t>Melting_Curves/meltCurve_Q86TA1_MOB3B.pdf</t>
  </si>
  <si>
    <t>Melting_Curves/meltCurve_Q86TB9_4_PATL1.pdf</t>
  </si>
  <si>
    <t>Melting_Curves/meltCurve_Q86TI2_DPP9.pdf</t>
  </si>
  <si>
    <t>Melting_Curves/meltCurve_Q86TM6_2_SYVN1.pdf</t>
  </si>
  <si>
    <t>Melting_Curves/meltCurve_Q86TN4_TRPT1.pdf</t>
  </si>
  <si>
    <t>Melting_Curves/meltCurve_Q86TP1_PRUNE.pdf</t>
  </si>
  <si>
    <t>Melting_Curves/meltCurve_Q86TU7_SETD3.pdf</t>
  </si>
  <si>
    <t>Melting_Curves/meltCurve_Q86TV6_TTC7B.pdf</t>
  </si>
  <si>
    <t>Melting_Curves/meltCurve_Q86U06_4_RBM23.pdf</t>
  </si>
  <si>
    <t>Melting_Curves/meltCurve_Q86U28_ISCA2.pdf</t>
  </si>
  <si>
    <t>Melting_Curves/meltCurve_Q86U38_NOP9.pdf</t>
  </si>
  <si>
    <t>Melting_Curves/meltCurve_Q86U44_METTL3.pdf</t>
  </si>
  <si>
    <t>Melting_Curves/meltCurve_Q86U70_3_LDB1.pdf</t>
  </si>
  <si>
    <t>Melting_Curves/meltCurve_Q86U90_YRDC.pdf</t>
  </si>
  <si>
    <t>Melting_Curves/meltCurve_Q86UA1_PRPF39.pdf</t>
  </si>
  <si>
    <t>Melting_Curves/meltCurve_Q86UD0_SAPCD2.pdf</t>
  </si>
  <si>
    <t>Melting_Curves/meltCurve_Q86UE4_MTDH.pdf</t>
  </si>
  <si>
    <t>Melting_Curves/meltCurve_Q86UE8_2_TLK2.pdf</t>
  </si>
  <si>
    <t>Melting_Curves/meltCurve_Q86UK7_2_ZNF598.pdf</t>
  </si>
  <si>
    <t>Melting_Curves/meltCurve_Q86UL3_AGPAT6.pdf</t>
  </si>
  <si>
    <t>Melting_Curves/meltCurve_Q86UP2_KTN1.pdf</t>
  </si>
  <si>
    <t>Melting_Curves/meltCurve_Q86US8_SMG6.pdf</t>
  </si>
  <si>
    <t>Melting_Curves/meltCurve_Q86UU0_3_BCL9L.pdf</t>
  </si>
  <si>
    <t>Melting_Curves/meltCurve_Q86UU1_2_PHLDB1.pdf</t>
  </si>
  <si>
    <t>Melting_Curves/meltCurve_Q86UV5_USP48.pdf</t>
  </si>
  <si>
    <t>Melting_Curves/meltCurve_Q86UX3_ABCC5.pdf</t>
  </si>
  <si>
    <t>Melting_Curves/meltCurve_Q86UX7_2_FERMT3.pdf</t>
  </si>
  <si>
    <t>Melting_Curves/meltCurve_Q86UY0_TXNDC5.pdf</t>
  </si>
  <si>
    <t>Melting_Curves/meltCurve_Q86UY5_FAM83A.pdf</t>
  </si>
  <si>
    <t>Melting_Curves/meltCurve_Q86UY6_NAA40.pdf</t>
  </si>
  <si>
    <t>Melting_Curves/meltCurve_Q86UY8_2_NT5DC3.pdf</t>
  </si>
  <si>
    <t>Melting_Curves/meltCurve_Q86V21_AACS.pdf</t>
  </si>
  <si>
    <t>Melting_Curves/meltCurve_Q86V48_LUZP1.pdf</t>
  </si>
  <si>
    <t>Melting_Curves/meltCurve_Q86V59_2_PNMAL1.pdf</t>
  </si>
  <si>
    <t>Melting_Curves/meltCurve_Q86V85_GPR180.pdf</t>
  </si>
  <si>
    <t>Melting_Curves/meltCurve_Q86VI3_IQGAP3.pdf</t>
  </si>
  <si>
    <t>Melting_Curves/meltCurve_Q86VN1_2_VPS36.pdf</t>
  </si>
  <si>
    <t>Melting_Curves/meltCurve_Q86VP6_CAND1.pdf</t>
  </si>
  <si>
    <t>Melting_Curves/meltCurve_Q86VQ1_GLCCI1.pdf</t>
  </si>
  <si>
    <t>Melting_Curves/meltCurve_Q86VQ3_2_TXNDC2.pdf</t>
  </si>
  <si>
    <t>Melting_Curves/meltCurve_Q86VR2_FAM134C.pdf</t>
  </si>
  <si>
    <t>Melting_Curves/meltCurve_Q86VS8_HOOK3.pdf</t>
  </si>
  <si>
    <t>Melting_Curves/meltCurve_Q86VU5_COMTD1.pdf</t>
  </si>
  <si>
    <t>Melting_Curves/meltCurve_Q86VX2_2_COMMD7.pdf</t>
  </si>
  <si>
    <t>Melting_Curves/meltCurve_Q86VX9_MON1A.pdf</t>
  </si>
  <si>
    <t>Melting_Curves/meltCurve_Q86W42_THOC6.pdf</t>
  </si>
  <si>
    <t>Melting_Curves/meltCurve_Q86W50_METTL16.pdf</t>
  </si>
  <si>
    <t>Melting_Curves/meltCurve_Q86W56_PARG.pdf</t>
  </si>
  <si>
    <t>Melting_Curves/meltCurve_Q86WA6_2_BPHL.pdf</t>
  </si>
  <si>
    <t>Melting_Curves/meltCurve_Q86WA8_LONP2.pdf</t>
  </si>
  <si>
    <t>Melting_Curves/meltCurve_Q86WC4_OSTM1.pdf</t>
  </si>
  <si>
    <t>Melting_Curves/meltCurve_Q86WH2_RASSF3.pdf</t>
  </si>
  <si>
    <t>Melting_Curves/meltCurve_Q86WJ1_CHD1L.pdf</t>
  </si>
  <si>
    <t>Melting_Curves/meltCurve_Q86WQ0_NR2C2AP.pdf</t>
  </si>
  <si>
    <t>Melting_Curves/meltCurve_Q86WR0_CCDC25.pdf</t>
  </si>
  <si>
    <t>Melting_Curves/meltCurve_Q86WR7_PROSER2.pdf</t>
  </si>
  <si>
    <t>Melting_Curves/meltCurve_Q86WV6_TMEM173.pdf</t>
  </si>
  <si>
    <t>Melting_Curves/meltCurve_Q86WV7_CCDC43.pdf</t>
  </si>
  <si>
    <t>Melting_Curves/meltCurve_Q86WX3_RPS19BP1.pdf</t>
  </si>
  <si>
    <t>Melting_Curves/meltCurve_Q86X02_CDR2L.pdf</t>
  </si>
  <si>
    <t>Melting_Curves/meltCurve_Q86X27_2_RALGPS2.pdf</t>
  </si>
  <si>
    <t>Melting_Curves/meltCurve_Q86X29_3_LSR.pdf</t>
  </si>
  <si>
    <t>Melting_Curves/meltCurve_Q86X53_ERICH1.pdf</t>
  </si>
  <si>
    <t>Melting_Curves/meltCurve_Q86X55_1_CARM1.pdf</t>
  </si>
  <si>
    <t>Melting_Curves/meltCurve_Q86X76_2_NIT1.pdf</t>
  </si>
  <si>
    <t>Melting_Curves/meltCurve_Q86X83_COMMD2.pdf</t>
  </si>
  <si>
    <t>Melting_Curves/meltCurve_Q86X95_2_CIR1.pdf</t>
  </si>
  <si>
    <t>Melting_Curves/meltCurve_Q86XK3_3_SFR1.pdf</t>
  </si>
  <si>
    <t>Melting_Curves/meltCurve_Q86XP3_DDX42.pdf</t>
  </si>
  <si>
    <t>Melting_Curves/meltCurve_Q86XZ4_SPATS2.pdf</t>
  </si>
  <si>
    <t>Melting_Curves/meltCurve_Q86Y07_VRK2.pdf</t>
  </si>
  <si>
    <t>Melting_Curves/meltCurve_Q86Y37_4_CACUL1.pdf</t>
  </si>
  <si>
    <t>Melting_Curves/meltCurve_Q86Y56_HEATR2.pdf</t>
  </si>
  <si>
    <t>Melting_Curves/meltCurve_Q86Y79_PTRH1.pdf</t>
  </si>
  <si>
    <t>Melting_Curves/meltCurve_Q86Y82_STX12.pdf</t>
  </si>
  <si>
    <t>Melting_Curves/meltCurve_Q86YH6_PDSS2.pdf</t>
  </si>
  <si>
    <t>Melting_Curves/meltCurve_Q86YM7_HOMER1.pdf</t>
  </si>
  <si>
    <t>Melting_Curves/meltCurve_Q86YN1_2_DOLPP1.pdf</t>
  </si>
  <si>
    <t>Melting_Curves/meltCurve_Q86YP4_GATAD2A.pdf</t>
  </si>
  <si>
    <t>Melting_Curves/meltCurve_Q86YQ8_CPNE8.pdf</t>
  </si>
  <si>
    <t>Melting_Curves/meltCurve_Q86YR5_4_GPSM1.pdf</t>
  </si>
  <si>
    <t>Melting_Curves/meltCurve_Q86YS3_RAB11FIP4.pdf</t>
  </si>
  <si>
    <t>Melting_Curves/meltCurve_Q86YS7_C2CD5.pdf</t>
  </si>
  <si>
    <t>Melting_Curves/meltCurve_Q86YT6_MIB1.pdf</t>
  </si>
  <si>
    <t>Melting_Curves/meltCurve_Q86YV9_HPS6.pdf</t>
  </si>
  <si>
    <t>Melting_Curves/meltCurve_Q8IU81_IRF2BP1.pdf</t>
  </si>
  <si>
    <t>Melting_Curves/meltCurve_Q8IUD2_2_ERC1.pdf</t>
  </si>
  <si>
    <t>Melting_Curves/meltCurve_Q8IUF8_MINA.pdf</t>
  </si>
  <si>
    <t>Melting_Curves/meltCurve_Q8IUH3_3_RBM45.pdf</t>
  </si>
  <si>
    <t>Melting_Curves/meltCurve_Q8IUH4_ZDHHC13.pdf</t>
  </si>
  <si>
    <t>Melting_Curves/meltCurve_Q8IUI8_CRLF3.pdf</t>
  </si>
  <si>
    <t>Melting_Curves/meltCurve_Q8IUR0_TRAPPC5.pdf</t>
  </si>
  <si>
    <t>Melting_Curves/meltCurve_Q8IUX1_4_TMEM126B.pdf</t>
  </si>
  <si>
    <t>Melting_Curves/meltCurve_Q8IV08_PLD3.pdf</t>
  </si>
  <si>
    <t>Melting_Curves/meltCurve_Q8IV38_ANKMY2.pdf</t>
  </si>
  <si>
    <t>Melting_Curves/meltCurve_Q8IV48_ERI1.pdf</t>
  </si>
  <si>
    <t>Melting_Curves/meltCurve_Q8IV50_LYSMD2.pdf</t>
  </si>
  <si>
    <t>Melting_Curves/meltCurve_Q8IV63_3_VRK3.pdf</t>
  </si>
  <si>
    <t>Melting_Curves/meltCurve_Q8IVB5_LIX1L.pdf</t>
  </si>
  <si>
    <t>Melting_Curves/meltCurve_Q8IVD9_NUDCD3.pdf</t>
  </si>
  <si>
    <t>Melting_Curves/meltCurve_Q8IVM0_CCDC50.pdf</t>
  </si>
  <si>
    <t>Melting_Curves/meltCurve_Q8IVM0_2_CCDC50.pdf</t>
  </si>
  <si>
    <t>Melting_Curves/meltCurve_Q8IVS2_MCAT.pdf</t>
  </si>
  <si>
    <t>Melting_Curves/meltCurve_Q8IVW6_4_ARID3B.pdf</t>
  </si>
  <si>
    <t>Melting_Curves/meltCurve_Q8IW45_CARKD.pdf</t>
  </si>
  <si>
    <t>Melting_Curves/meltCurve_Q8IWA0_WDR75.pdf</t>
  </si>
  <si>
    <t>Melting_Curves/meltCurve_Q8IWB1_ITPRIP.pdf</t>
  </si>
  <si>
    <t>Melting_Curves/meltCurve_Q8IWB7_WDFY1.pdf</t>
  </si>
  <si>
    <t>Melting_Curves/meltCurve_Q8IWB9_TEX2.pdf</t>
  </si>
  <si>
    <t>Melting_Curves/meltCurve_Q8IWC1_2_MAP7D3.pdf</t>
  </si>
  <si>
    <t>Melting_Curves/meltCurve_Q8IWD4_CCDC117.pdf</t>
  </si>
  <si>
    <t>Melting_Curves/meltCurve_Q8IWE4_DCUN1D3.pdf</t>
  </si>
  <si>
    <t>Melting_Curves/meltCurve_Q8IWF6_DENND6A.pdf</t>
  </si>
  <si>
    <t>Melting_Curves/meltCurve_Q8IWJ2_GCC2.pdf</t>
  </si>
  <si>
    <t>Melting_Curves/meltCurve_Q8IWL3_HSCB.pdf</t>
  </si>
  <si>
    <t>Melting_Curves/meltCurve_Q8IWR0_ZC3H7A.pdf</t>
  </si>
  <si>
    <t>Melting_Curves/meltCurve_Q8IWS0_PHF6.pdf</t>
  </si>
  <si>
    <t>Melting_Curves/meltCurve_Q8IWT6_LRRC8A.pdf</t>
  </si>
  <si>
    <t>Melting_Curves/meltCurve_Q8IWU2_LMTK2.pdf</t>
  </si>
  <si>
    <t>Melting_Curves/meltCurve_Q8IWV7_UBR1.pdf</t>
  </si>
  <si>
    <t>Melting_Curves/meltCurve_Q8IWV8_4_UBR2.pdf</t>
  </si>
  <si>
    <t>Melting_Curves/meltCurve_Q8IWY8_3_ZSCAN29.pdf</t>
  </si>
  <si>
    <t>Melting_Curves/meltCurve_Q8IWY9_1_CDAN1.pdf</t>
  </si>
  <si>
    <t>Melting_Curves/meltCurve_Q8IWZ3_ANKHD1.pdf</t>
  </si>
  <si>
    <t>Melting_Curves/meltCurve_Q8IWZ8_SUGP1.pdf</t>
  </si>
  <si>
    <t>Melting_Curves/meltCurve_Q8IX07_ZFPM1.pdf</t>
  </si>
  <si>
    <t>Melting_Curves/meltCurve_Q8IX12_2_CCAR1.pdf</t>
  </si>
  <si>
    <t>Melting_Curves/meltCurve_Q8IX18_3_DHX40.pdf</t>
  </si>
  <si>
    <t>Melting_Curves/meltCurve_Q8IX90_SKA3.pdf</t>
  </si>
  <si>
    <t>Melting_Curves/meltCurve_Q8IXB1_DNAJC10.pdf</t>
  </si>
  <si>
    <t>Melting_Curves/meltCurve_Q8IXI1_RHOT2.pdf</t>
  </si>
  <si>
    <t>Melting_Curves/meltCurve_Q8IXI2_2_RHOT1.pdf</t>
  </si>
  <si>
    <t>Melting_Curves/meltCurve_Q8IXJ6_2_SIRT2.pdf</t>
  </si>
  <si>
    <t>Melting_Curves/meltCurve_Q8IXJ9_2_ASXL1.pdf</t>
  </si>
  <si>
    <t>Melting_Curves/meltCurve_Q8IXK2_GALNT12.pdf</t>
  </si>
  <si>
    <t>Melting_Curves/meltCurve_Q8IXM6_2_NRM.pdf</t>
  </si>
  <si>
    <t>Melting_Curves/meltCurve_Q8IXQ3_C9orf40.pdf</t>
  </si>
  <si>
    <t>Melting_Curves/meltCurve_Q8IXQ4_KIAA1704.pdf</t>
  </si>
  <si>
    <t>Melting_Curves/meltCurve_Q8IXS8_FAM126B.pdf</t>
  </si>
  <si>
    <t>Melting_Curves/meltCurve_Q8IY17_3_PNPLA6.pdf</t>
  </si>
  <si>
    <t>Melting_Curves/meltCurve_Q8IY18_SMC5.pdf</t>
  </si>
  <si>
    <t>Melting_Curves/meltCurve_Q8IY22_3_CMIP.pdf</t>
  </si>
  <si>
    <t>Melting_Curves/meltCurve_Q8IY26_PPAPDC2.pdf</t>
  </si>
  <si>
    <t>Melting_Curves/meltCurve_Q8IY33_MICALL2.pdf</t>
  </si>
  <si>
    <t>Melting_Curves/meltCurve_Q8IY37_DHX37.pdf</t>
  </si>
  <si>
    <t>Melting_Curves/meltCurve_Q8IY47_KBTBD2.pdf</t>
  </si>
  <si>
    <t>Melting_Curves/meltCurve_Q8IY63_2_AMOTL1.pdf</t>
  </si>
  <si>
    <t>Melting_Curves/meltCurve_Q8IY95_2_TMEM192.pdf</t>
  </si>
  <si>
    <t>Melting_Curves/meltCurve_Q8IYB5_3_SMAP1.pdf</t>
  </si>
  <si>
    <t>Melting_Curves/meltCurve_Q8IYB7_DIS3L2.pdf</t>
  </si>
  <si>
    <t>Melting_Curves/meltCurve_Q8IYB8_SUPV3L1.pdf</t>
  </si>
  <si>
    <t>Melting_Curves/meltCurve_Q8IYB9_ZNF595.pdf</t>
  </si>
  <si>
    <t>Melting_Curves/meltCurve_Q8IYD1_GSPT2.pdf</t>
  </si>
  <si>
    <t>Melting_Curves/meltCurve_Q8IYH5_4_ZZZ3.pdf</t>
  </si>
  <si>
    <t>Melting_Curves/meltCurve_Q8IYI6_EXOC8.pdf</t>
  </si>
  <si>
    <t>Melting_Curves/meltCurve_Q8IYK4_COLGALT2.pdf</t>
  </si>
  <si>
    <t>Melting_Curves/meltCurve_Q8IYL3_C1orf174.pdf</t>
  </si>
  <si>
    <t>Melting_Curves/meltCurve_Q8IYN2_TCEAL8.pdf</t>
  </si>
  <si>
    <t>Melting_Curves/meltCurve_Q8IYQ7_THNSL1.pdf</t>
  </si>
  <si>
    <t>Melting_Curves/meltCurve_Q8IYS1_PM20D2.pdf</t>
  </si>
  <si>
    <t>Melting_Curves/meltCurve_Q8IYS2_KIAA2013.pdf</t>
  </si>
  <si>
    <t>Melting_Curves/meltCurve_Q8IYT2_FTSJD1.pdf</t>
  </si>
  <si>
    <t>Melting_Curves/meltCurve_Q8IYU8_MICU2.pdf</t>
  </si>
  <si>
    <t>Melting_Curves/meltCurve_Q8IYW5_RNF168.pdf</t>
  </si>
  <si>
    <t>Melting_Curves/meltCurve_Q8IZ07_ANKRD13A.pdf</t>
  </si>
  <si>
    <t>Melting_Curves/meltCurve_Q8IZ21_3_PHACTR4.pdf</t>
  </si>
  <si>
    <t>Melting_Curves/meltCurve_Q8IZ52_CHPF.pdf</t>
  </si>
  <si>
    <t>Melting_Curves/meltCurve_Q8IZ68_MTX2.pdf</t>
  </si>
  <si>
    <t>Melting_Curves/meltCurve_Q8IZ73_RPUSD2.pdf</t>
  </si>
  <si>
    <t>Melting_Curves/meltCurve_Q8IZ83_ALDH16A1.pdf</t>
  </si>
  <si>
    <t>Melting_Curves/meltCurve_Q8IZH2_2_XRN1.pdf</t>
  </si>
  <si>
    <t>Melting_Curves/meltCurve_Q8IZQ5_SELH.pdf</t>
  </si>
  <si>
    <t>Melting_Curves/meltCurve_Q8IZR5_3_CMTM4.pdf</t>
  </si>
  <si>
    <t>Melting_Curves/meltCurve_Q8IZV5_RDH10.pdf</t>
  </si>
  <si>
    <t>Melting_Curves/meltCurve_Q8N0T1_C8orf59.pdf</t>
  </si>
  <si>
    <t>Melting_Curves/meltCurve_Q8N0U8_VKORC1L1.pdf</t>
  </si>
  <si>
    <t>Melting_Curves/meltCurve_Q8N0W3_FUK.pdf</t>
  </si>
  <si>
    <t>Melting_Curves/meltCurve_Q8N0W7_FMR1NB.pdf</t>
  </si>
  <si>
    <t>Melting_Curves/meltCurve_Q8N0X7_SPG20.pdf</t>
  </si>
  <si>
    <t>Melting_Curves/meltCurve_Q8N108_17_MIER1.pdf</t>
  </si>
  <si>
    <t>Melting_Curves/meltCurve_Q8N129_CNPY4.pdf</t>
  </si>
  <si>
    <t>Melting_Curves/meltCurve_Q8N137_4_CNTROB.pdf</t>
  </si>
  <si>
    <t>Melting_Curves/meltCurve_Q8N142_ADSSL1.pdf</t>
  </si>
  <si>
    <t>Melting_Curves/meltCurve_Q8N157_2_AHI1.pdf</t>
  </si>
  <si>
    <t>Melting_Curves/meltCurve_Q8N163_KIAA1967.pdf</t>
  </si>
  <si>
    <t>Melting_Curves/meltCurve_Q8N183_NDUFAF2.pdf</t>
  </si>
  <si>
    <t>Melting_Curves/meltCurve_Q8N1A6_C4orf33.pdf</t>
  </si>
  <si>
    <t>Melting_Curves/meltCurve_Q8N1B4_VPS52.pdf</t>
  </si>
  <si>
    <t>Melting_Curves/meltCurve_Q8N1F7_NUP93.pdf</t>
  </si>
  <si>
    <t>Melting_Curves/meltCurve_Q8N1G0_ZNF687.pdf</t>
  </si>
  <si>
    <t>Melting_Curves/meltCurve_Q8N1G1_REXO1.pdf</t>
  </si>
  <si>
    <t>Melting_Curves/meltCurve_Q8N1G2_FTSJD2.pdf</t>
  </si>
  <si>
    <t>Melting_Curves/meltCurve_Q8N1G4_LRRC47.pdf</t>
  </si>
  <si>
    <t>Melting_Curves/meltCurve_Q8N1Q1_CA13.pdf</t>
  </si>
  <si>
    <t>Melting_Curves/meltCurve_Q8N2A8_PLD6.pdf</t>
  </si>
  <si>
    <t>Melting_Curves/meltCurve_Q8N2F6_3_ARMC10.pdf</t>
  </si>
  <si>
    <t>Melting_Curves/meltCurve_Q8N2G8_3_GHDC.pdf</t>
  </si>
  <si>
    <t>Melting_Curves/meltCurve_Q8N2I9_3_STK40.pdf</t>
  </si>
  <si>
    <t>Melting_Curves/meltCurve_Q8N2K0_ABHD12.pdf</t>
  </si>
  <si>
    <t>Melting_Curves/meltCurve_Q8N2W9_PIAS4.pdf</t>
  </si>
  <si>
    <t>Melting_Curves/meltCurve_Q8N2Z9_APITD1.pdf</t>
  </si>
  <si>
    <t>Melting_Curves/meltCurve_Q8N300_CCDC23.pdf</t>
  </si>
  <si>
    <t>Melting_Curves/meltCurve_Q8N335_GPD1L.pdf</t>
  </si>
  <si>
    <t>Melting_Curves/meltCurve_Q8N350_DOS.pdf</t>
  </si>
  <si>
    <t>Melting_Curves/meltCurve_Q8N371_KDM8.pdf</t>
  </si>
  <si>
    <t>Melting_Curves/meltCurve_Q8N392_ARHGAP18.pdf</t>
  </si>
  <si>
    <t>Melting_Curves/meltCurve_Q8N3C0_ASCC3.pdf</t>
  </si>
  <si>
    <t>Melting_Curves/meltCurve_Q8N3D4_EHBP1L1.pdf</t>
  </si>
  <si>
    <t>Melting_Curves/meltCurve_Q8N3F8_MICALL1.pdf</t>
  </si>
  <si>
    <t>Melting_Curves/meltCurve_Q8N3X1_FNBP4.pdf</t>
  </si>
  <si>
    <t>Melting_Curves/meltCurve_Q8N442_GUF1.pdf</t>
  </si>
  <si>
    <t>Melting_Curves/meltCurve_Q8N465_D2HGDH.pdf</t>
  </si>
  <si>
    <t>Melting_Curves/meltCurve_Q8N488_RYBP.pdf</t>
  </si>
  <si>
    <t>Melting_Curves/meltCurve_Q8N490_2_PNKD.pdf</t>
  </si>
  <si>
    <t>Melting_Curves/meltCurve_Q8N490_4_PNKD.pdf</t>
  </si>
  <si>
    <t>Melting_Curves/meltCurve_Q8N4B1_2_FAM109A.pdf</t>
  </si>
  <si>
    <t>Melting_Curves/meltCurve_Q8N4C8_5_MINK1.pdf</t>
  </si>
  <si>
    <t>Melting_Curves/meltCurve_Q8N4H5_TOMM5.pdf</t>
  </si>
  <si>
    <t>Melting_Curves/meltCurve_Q8N4N3_2_KLHL36.pdf</t>
  </si>
  <si>
    <t>Melting_Curves/meltCurve_Q8N4P3_HDDC3.pdf</t>
  </si>
  <si>
    <t>Melting_Curves/meltCurve_Q8N4Q0_ZADH2.pdf</t>
  </si>
  <si>
    <t>Melting_Curves/meltCurve_Q8N4Q1_CHCHD4.pdf</t>
  </si>
  <si>
    <t>Melting_Curves/meltCurve_Q8N4V1_MMGT1.pdf</t>
  </si>
  <si>
    <t>Melting_Curves/meltCurve_Q8N567_ZCCHC9.pdf</t>
  </si>
  <si>
    <t>Melting_Curves/meltCurve_Q8N573_2_OXR1.pdf</t>
  </si>
  <si>
    <t>Melting_Curves/meltCurve_Q8N573_8_OXR1.pdf</t>
  </si>
  <si>
    <t>Melting_Curves/meltCurve_Q8N5A5_3_ZGPAT.pdf</t>
  </si>
  <si>
    <t>Melting_Curves/meltCurve_Q8N5C6_SRBD1.pdf</t>
  </si>
  <si>
    <t>Melting_Curves/meltCurve_Q8N5C7_DTWD1.pdf</t>
  </si>
  <si>
    <t>Melting_Curves/meltCurve_Q8N5D0_4_WDTC1.pdf</t>
  </si>
  <si>
    <t>Melting_Curves/meltCurve_Q8N5F7_NKAP.pdf</t>
  </si>
  <si>
    <t>Melting_Curves/meltCurve_Q8N5G0_2_SMIM20.pdf</t>
  </si>
  <si>
    <t>Melting_Curves/meltCurve_Q8N5G2_TMEM57.pdf</t>
  </si>
  <si>
    <t>Melting_Curves/meltCurve_Q8N5I2_ARRDC1.pdf</t>
  </si>
  <si>
    <t>Melting_Curves/meltCurve_Q8N5I9_C12orf45.pdf</t>
  </si>
  <si>
    <t>Melting_Curves/meltCurve_Q8N5J2_2_FAM63A.pdf</t>
  </si>
  <si>
    <t>Melting_Curves/meltCurve_Q8N5K1_CISD2.pdf</t>
  </si>
  <si>
    <t>Melting_Curves/meltCurve_Q8N5L8_RPP25L.pdf</t>
  </si>
  <si>
    <t>Melting_Curves/meltCurve_Q8N5M1_ATPAF2.pdf</t>
  </si>
  <si>
    <t>Melting_Curves/meltCurve_Q8N5M9_JAGN1.pdf</t>
  </si>
  <si>
    <t>Melting_Curves/meltCurve_Q8N5N7_MRPL50.pdf</t>
  </si>
  <si>
    <t>Melting_Curves/meltCurve_Q8N5P1_ZC3H8.pdf</t>
  </si>
  <si>
    <t>Melting_Curves/meltCurve_Q8N684_2_CPSF7.pdf</t>
  </si>
  <si>
    <t>Melting_Curves/meltCurve_Q8N697_SLC15A4.pdf</t>
  </si>
  <si>
    <t>Melting_Curves/meltCurve_Q8N6H7_ARFGAP2.pdf</t>
  </si>
  <si>
    <t>Melting_Curves/meltCurve_Q8N6M0_OTUD6B.pdf</t>
  </si>
  <si>
    <t>Melting_Curves/meltCurve_Q8N6N3_C1orf52.pdf</t>
  </si>
  <si>
    <t>Melting_Curves/meltCurve_Q8N6N7_ACBD7.pdf</t>
  </si>
  <si>
    <t>Melting_Curves/meltCurve_Q8N6T3_ARFGAP1.pdf</t>
  </si>
  <si>
    <t>Melting_Curves/meltCurve_Q8N766_3_EMC1.pdf</t>
  </si>
  <si>
    <t>Melting_Curves/meltCurve_Q8N806_UBR7.pdf</t>
  </si>
  <si>
    <t>Melting_Curves/meltCurve_Q8N8J7_C4orf32.pdf</t>
  </si>
  <si>
    <t>Melting_Curves/meltCurve_Q8N8N7_PTGR2.pdf</t>
  </si>
  <si>
    <t>Melting_Curves/meltCurve_Q8N8R5_C2orf69.pdf</t>
  </si>
  <si>
    <t>Melting_Curves/meltCurve_Q8N8R7_ARL14EP.pdf</t>
  </si>
  <si>
    <t>Melting_Curves/meltCurve_Q8N954_GPATCH11.pdf</t>
  </si>
  <si>
    <t>Melting_Curves/meltCurve_Q8N999_3_C12orf29.pdf</t>
  </si>
  <si>
    <t>Melting_Curves/meltCurve_Q8N9F7_GDPD1.pdf</t>
  </si>
  <si>
    <t>Melting_Curves/meltCurve_Q8N9M1_3_C19orf47.pdf</t>
  </si>
  <si>
    <t>Melting_Curves/meltCurve_Q8N9N7_LRRC57.pdf</t>
  </si>
  <si>
    <t>Melting_Curves/meltCurve_Q8N9Q2_SREK1IP1.pdf</t>
  </si>
  <si>
    <t>Melting_Curves/meltCurve_Q8N9V3_2_WDSUB1.pdf</t>
  </si>
  <si>
    <t>Melting_Curves/meltCurve_Q8N9Z2_CCDC71L.pdf</t>
  </si>
  <si>
    <t>Melting_Curves/meltCurve_Q8NAF0_ZNF579.pdf</t>
  </si>
  <si>
    <t>Melting_Curves/meltCurve_Q8NAT1_GTDC2.pdf</t>
  </si>
  <si>
    <t>Melting_Curves/meltCurve_Q8NAV1_PRPF38A.pdf</t>
  </si>
  <si>
    <t>Melting_Curves/meltCurve_Q8NB15_2_ZNF511.pdf</t>
  </si>
  <si>
    <t>Melting_Curves/meltCurve_Q8NB37_PDDC1.pdf</t>
  </si>
  <si>
    <t>Melting_Curves/meltCurve_Q8NB46_ANKRD52.pdf</t>
  </si>
  <si>
    <t>Melting_Curves/meltCurve_Q8NB49_3_ATP11C.pdf</t>
  </si>
  <si>
    <t>Melting_Curves/meltCurve_Q8NB90_SPATA5.pdf</t>
  </si>
  <si>
    <t>Melting_Curves/meltCurve_Q8NBA8_DTWD2.pdf</t>
  </si>
  <si>
    <t>Melting_Curves/meltCurve_Q8NBF2_NHLRC2.pdf</t>
  </si>
  <si>
    <t>Melting_Curves/meltCurve_Q8NBF6_AVL9.pdf</t>
  </si>
  <si>
    <t>Melting_Curves/meltCurve_Q8NBI5_SLC43A3.pdf</t>
  </si>
  <si>
    <t>Melting_Curves/meltCurve_Q8NBI6_XXYLT1.pdf</t>
  </si>
  <si>
    <t>Melting_Curves/meltCurve_Q8NBJ5_COLGALT1.pdf</t>
  </si>
  <si>
    <t>Melting_Curves/meltCurve_Q8NBK3_4_SUMF1.pdf</t>
  </si>
  <si>
    <t>Melting_Curves/meltCurve_Q8NBL1_POGLUT1.pdf</t>
  </si>
  <si>
    <t>Melting_Curves/meltCurve_Q8NBM4_4_UBAC2.pdf</t>
  </si>
  <si>
    <t>Melting_Curves/meltCurve_Q8NBM8_PCYOX1L.pdf</t>
  </si>
  <si>
    <t>Melting_Curves/meltCurve_Q8NBN3_TMEM87A.pdf</t>
  </si>
  <si>
    <t>Melting_Curves/meltCurve_Q8NBN7_RDH13.pdf</t>
  </si>
  <si>
    <t>Melting_Curves/meltCurve_Q8NBU5_ATAD1.pdf</t>
  </si>
  <si>
    <t>Melting_Curves/meltCurve_Q8NBX0_SCCPDH.pdf</t>
  </si>
  <si>
    <t>Melting_Curves/meltCurve_Q8NBY1_MST4.pdf</t>
  </si>
  <si>
    <t>Melting_Curves/meltCurve_Q8NC51_2_SERBP1.pdf</t>
  </si>
  <si>
    <t>Melting_Curves/meltCurve_Q8NC56_LEMD2.pdf</t>
  </si>
  <si>
    <t>Melting_Curves/meltCurve_Q8NC60_NOA1.pdf</t>
  </si>
  <si>
    <t>Melting_Curves/meltCurve_Q8NC96_NECAP1.pdf</t>
  </si>
  <si>
    <t>Melting_Curves/meltCurve_Q8NCA5_2_FAM98A.pdf</t>
  </si>
  <si>
    <t>Melting_Curves/meltCurve_Q8NCC3_PLA2G15.pdf</t>
  </si>
  <si>
    <t>Melting_Curves/meltCurve_Q8NCE2_3_MTMR14.pdf</t>
  </si>
  <si>
    <t>Melting_Curves/meltCurve_Q8NCF5_NFATC2IP.pdf</t>
  </si>
  <si>
    <t>Melting_Curves/meltCurve_Q8NCH0_CHST14.pdf</t>
  </si>
  <si>
    <t>Melting_Curves/meltCurve_Q8NCL4_GALNT6.pdf</t>
  </si>
  <si>
    <t>Melting_Curves/meltCurve_Q8NCN4_RNF169.pdf</t>
  </si>
  <si>
    <t>Melting_Curves/meltCurve_Q8NCW5_APOA1BP.pdf</t>
  </si>
  <si>
    <t>Melting_Curves/meltCurve_Q8ND04_SMG8.pdf</t>
  </si>
  <si>
    <t>Melting_Curves/meltCurve_Q8ND24_RNF214.pdf</t>
  </si>
  <si>
    <t>Melting_Curves/meltCurve_Q8ND56_2_LSM14A.pdf</t>
  </si>
  <si>
    <t>Melting_Curves/meltCurve_Q8ND76_CCNY.pdf</t>
  </si>
  <si>
    <t>Melting_Curves/meltCurve_Q8ND90_PNMA1.pdf</t>
  </si>
  <si>
    <t>Melting_Curves/meltCurve_Q8NDC0_MAPK1IP1L.pdf</t>
  </si>
  <si>
    <t>Melting_Curves/meltCurve_Q8NDD1_2_C1orf131.pdf</t>
  </si>
  <si>
    <t>Melting_Curves/meltCurve_Q8NDI1_3_EHBP1.pdf</t>
  </si>
  <si>
    <t>Melting_Curves/meltCurve_Q8NDZ4_C3orf58.pdf</t>
  </si>
  <si>
    <t>Melting_Curves/meltCurve_Q8NE01_2_CNNM3.pdf</t>
  </si>
  <si>
    <t>Melting_Curves/meltCurve_Q8NE71_ABCF1.pdf</t>
  </si>
  <si>
    <t>Melting_Curves/meltCurve_Q8NE86_3_MCU.pdf</t>
  </si>
  <si>
    <t>Melting_Curves/meltCurve_Q8NEB9_PIK3C3.pdf</t>
  </si>
  <si>
    <t>Melting_Curves/meltCurve_Q8NEC7_GSTCD.pdf</t>
  </si>
  <si>
    <t>Melting_Curves/meltCurve_Q8NEJ9_2_NGDN.pdf</t>
  </si>
  <si>
    <t>Melting_Curves/meltCurve_Q8NEM2_SHCBP1.pdf</t>
  </si>
  <si>
    <t>Melting_Curves/meltCurve_Q8NEN9_PDZD8.pdf</t>
  </si>
  <si>
    <t>Melting_Curves/meltCurve_Q8NEY1_7_NAV1.pdf</t>
  </si>
  <si>
    <t>Melting_Curves/meltCurve_Q8NEY8_3_PPHLN1.pdf</t>
  </si>
  <si>
    <t>Melting_Curves/meltCurve_Q8NEZ2_2_VPS37A.pdf</t>
  </si>
  <si>
    <t>Melting_Curves/meltCurve_Q8NEZ4_MLL3.pdf</t>
  </si>
  <si>
    <t>Melting_Curves/meltCurve_Q8NEZ5_FBXO22.pdf</t>
  </si>
  <si>
    <t>Melting_Curves/meltCurve_Q8NF37_LPCAT1.pdf</t>
  </si>
  <si>
    <t>Melting_Curves/meltCurve_Q8NF50_4_DOCK8.pdf</t>
  </si>
  <si>
    <t>Melting_Curves/meltCurve_Q8NFA0_USP32.pdf</t>
  </si>
  <si>
    <t>Melting_Curves/meltCurve_Q8NFC6_BOD1L1.pdf</t>
  </si>
  <si>
    <t>Melting_Curves/meltCurve_Q8NFF5_2_FLAD1.pdf</t>
  </si>
  <si>
    <t>Melting_Curves/meltCurve_Q8NFG4_FLCN.pdf</t>
  </si>
  <si>
    <t>Melting_Curves/meltCurve_Q8NFH3_NUP43.pdf</t>
  </si>
  <si>
    <t>Melting_Curves/meltCurve_Q8NFH4_NUP37.pdf</t>
  </si>
  <si>
    <t>Melting_Curves/meltCurve_Q8NFI3_ENGASE.pdf</t>
  </si>
  <si>
    <t>Melting_Curves/meltCurve_Q8NFQ8_TOR1AIP2.pdf</t>
  </si>
  <si>
    <t>Melting_Curves/meltCurve_Q8NFU5_IPMK.pdf</t>
  </si>
  <si>
    <t>Melting_Curves/meltCurve_Q8NFV4_ABHD11.pdf</t>
  </si>
  <si>
    <t>Melting_Curves/meltCurve_Q8NFW8_CMAS.pdf</t>
  </si>
  <si>
    <t>Melting_Curves/meltCurve_Q8NFY9_KBTBD8.pdf</t>
  </si>
  <si>
    <t>Melting_Curves/meltCurve_Q8NFZ0_FBXO18.pdf</t>
  </si>
  <si>
    <t>Melting_Curves/meltCurve_Q8NG06_TRIM58.pdf</t>
  </si>
  <si>
    <t>Melting_Curves/meltCurve_Q8NG08_HELB.pdf</t>
  </si>
  <si>
    <t>Melting_Curves/meltCurve_Q8NG11_2_TSPAN14.pdf</t>
  </si>
  <si>
    <t>Melting_Curves/meltCurve_Q8NG31_3_CASC5.pdf</t>
  </si>
  <si>
    <t>Melting_Curves/meltCurve_Q8NG68_TTL.pdf</t>
  </si>
  <si>
    <t>Melting_Curves/meltCurve_Q8NHG7_SVIP.pdf</t>
  </si>
  <si>
    <t>Melting_Curves/meltCurve_Q8NHG8_ZNRF2.pdf</t>
  </si>
  <si>
    <t>Melting_Curves/meltCurve_Q8NHH9_ATL2.pdf</t>
  </si>
  <si>
    <t>Melting_Curves/meltCurve_Q8NHM4_TRY6.pdf</t>
  </si>
  <si>
    <t>Melting_Curves/meltCurve_Q8NHM5_4_KDM2B.pdf</t>
  </si>
  <si>
    <t>Melting_Curves/meltCurve_Q8NHP8_PLBD2.pdf</t>
  </si>
  <si>
    <t>Melting_Curves/meltCurve_Q8NHU6_2_TDRD7.pdf</t>
  </si>
  <si>
    <t>Melting_Curves/meltCurve_Q8NHV4_2_NEDD1.pdf</t>
  </si>
  <si>
    <t>Melting_Curves/meltCurve_Q8NI08_2_NCOA7.pdf</t>
  </si>
  <si>
    <t>Melting_Curves/meltCurve_Q8NI22_2_MCFD2.pdf</t>
  </si>
  <si>
    <t>Melting_Curves/meltCurve_Q8NI27_THOC2.pdf</t>
  </si>
  <si>
    <t>Melting_Curves/meltCurve_Q8NI36_WDR36.pdf</t>
  </si>
  <si>
    <t>Melting_Curves/meltCurve_Q8TA86_RP9.pdf</t>
  </si>
  <si>
    <t>Melting_Curves/meltCurve_Q8TAA5_GRPEL2.pdf</t>
  </si>
  <si>
    <t>Melting_Curves/meltCurve_Q8TAA9_2_VANGL1.pdf</t>
  </si>
  <si>
    <t>Melting_Curves/meltCurve_Q8TAC1_RFESD.pdf</t>
  </si>
  <si>
    <t>Melting_Curves/meltCurve_Q8TAD8_SNIP1.pdf</t>
  </si>
  <si>
    <t>Melting_Curves/meltCurve_Q8TAE8_GADD45GIP1.pdf</t>
  </si>
  <si>
    <t>Melting_Curves/meltCurve_Q8TAF3_WDR48.pdf</t>
  </si>
  <si>
    <t>Melting_Curves/meltCurve_Q8TAG9_EXOC6.pdf</t>
  </si>
  <si>
    <t>Melting_Curves/meltCurve_Q8TAP6_2_CEP76.pdf</t>
  </si>
  <si>
    <t>Melting_Curves/meltCurve_Q8TAP8_PPP1R35.pdf</t>
  </si>
  <si>
    <t>Melting_Curves/meltCurve_Q8TAP9_MPLKIP.pdf</t>
  </si>
  <si>
    <t>Melting_Curves/meltCurve_Q8TAQ2_SMARCC2.pdf</t>
  </si>
  <si>
    <t>Melting_Curves/meltCurve_Q8TAT6_NPLOC4.pdf</t>
  </si>
  <si>
    <t>Melting_Curves/meltCurve_Q8TAV0_FAM76A.pdf</t>
  </si>
  <si>
    <t>Melting_Curves/meltCurve_Q8TB03_CXorf38.pdf</t>
  </si>
  <si>
    <t>Melting_Curves/meltCurve_Q8TB36_2_GDAP1.pdf</t>
  </si>
  <si>
    <t>Melting_Curves/meltCurve_Q8TB37_NUBPL.pdf</t>
  </si>
  <si>
    <t>Melting_Curves/meltCurve_Q8TB52_FBXO30.pdf</t>
  </si>
  <si>
    <t>Melting_Curves/meltCurve_Q8TB61_3_SLC35B2.pdf</t>
  </si>
  <si>
    <t>Melting_Curves/meltCurve_Q8TB70_TXNDC9.pdf</t>
  </si>
  <si>
    <t>Melting_Curves/meltCurve_Q8TB72_2_PUM2.pdf</t>
  </si>
  <si>
    <t>Melting_Curves/meltCurve_Q8TBA6_2_GOLGA5.pdf</t>
  </si>
  <si>
    <t>Melting_Curves/meltCurve_Q8TBB5_3_KLHDC4.pdf</t>
  </si>
  <si>
    <t>Melting_Curves/meltCurve_Q8TBC4_UBA3.pdf</t>
  </si>
  <si>
    <t>Melting_Curves/meltCurve_Q8TBE0_3_BAHD1.pdf</t>
  </si>
  <si>
    <t>Melting_Curves/meltCurve_Q8TBE9_NANP.pdf</t>
  </si>
  <si>
    <t>Melting_Curves/meltCurve_Q8TBM8_2_DNAJB14.pdf</t>
  </si>
  <si>
    <t>Melting_Curves/meltCurve_Q8TBN0_RAB3IL1.pdf</t>
  </si>
  <si>
    <t>Melting_Curves/meltCurve_Q8TBN0_2_RAB3IL1.pdf</t>
  </si>
  <si>
    <t>Melting_Curves/meltCurve_Q8TBP6_SLC25A40.pdf</t>
  </si>
  <si>
    <t>Melting_Curves/meltCurve_Q8TBX8_PIP4K2C.pdf</t>
  </si>
  <si>
    <t>Melting_Curves/meltCurve_Q8TBZ3_WDR20.pdf</t>
  </si>
  <si>
    <t>Melting_Curves/meltCurve_Q8TBZ6_TRMT10A.pdf</t>
  </si>
  <si>
    <t>Melting_Curves/meltCurve_Q8TC07_2_TBC1D15.pdf</t>
  </si>
  <si>
    <t>Melting_Curves/meltCurve_Q8TC12_RDH11.pdf</t>
  </si>
  <si>
    <t>Melting_Curves/meltCurve_Q8TCA0_LRRC20.pdf</t>
  </si>
  <si>
    <t>Melting_Curves/meltCurve_Q8TCB7_METTL6.pdf</t>
  </si>
  <si>
    <t>Melting_Curves/meltCurve_Q8TCD1_C18orf32.pdf</t>
  </si>
  <si>
    <t>Melting_Curves/meltCurve_Q8TCD5_NT5C.pdf</t>
  </si>
  <si>
    <t>Melting_Curves/meltCurve_Q8TCG1_KIAA1524.pdf</t>
  </si>
  <si>
    <t>Melting_Curves/meltCurve_Q8TCG2_PI4K2B.pdf</t>
  </si>
  <si>
    <t>Melting_Curves/meltCurve_Q8TCJ2_STT3B.pdf</t>
  </si>
  <si>
    <t>Melting_Curves/meltCurve_Q8TCS8_PNPT1.pdf</t>
  </si>
  <si>
    <t>Melting_Curves/meltCurve_Q8TCT8_SPPL2A.pdf</t>
  </si>
  <si>
    <t>Melting_Curves/meltCurve_Q8TCT9_5_HM13.pdf</t>
  </si>
  <si>
    <t>Melting_Curves/meltCurve_Q8TCX1_DYNC2LI1.pdf</t>
  </si>
  <si>
    <t>Melting_Curves/meltCurve_Q8TCY9_URGCP.pdf</t>
  </si>
  <si>
    <t>Melting_Curves/meltCurve_Q8TCZ2_6_CD99L2.pdf</t>
  </si>
  <si>
    <t>Melting_Curves/meltCurve_Q8TD08_2_MAPK15.pdf</t>
  </si>
  <si>
    <t>Melting_Curves/meltCurve_Q8TD16_BICD2.pdf</t>
  </si>
  <si>
    <t>Melting_Curves/meltCurve_Q8TD19_NEK9.pdf</t>
  </si>
  <si>
    <t>Melting_Curves/meltCurve_Q8TD30_GPT2.pdf</t>
  </si>
  <si>
    <t>Melting_Curves/meltCurve_Q8TDD1_DDX54.pdf</t>
  </si>
  <si>
    <t>Melting_Curves/meltCurve_Q8TDH9_BLOC1S5.pdf</t>
  </si>
  <si>
    <t>Melting_Curves/meltCurve_Q8TDN6_BRIX1.pdf</t>
  </si>
  <si>
    <t>Melting_Curves/meltCurve_Q8TDQ7_3_GNPDA2.pdf</t>
  </si>
  <si>
    <t>Melting_Curves/meltCurve_Q8TDW0_LRRC8C.pdf</t>
  </si>
  <si>
    <t>Melting_Curves/meltCurve_Q8TDX7_NEK7.pdf</t>
  </si>
  <si>
    <t>Melting_Curves/meltCurve_Q8TDY2_2_RB1CC1.pdf</t>
  </si>
  <si>
    <t>Melting_Curves/meltCurve_Q8TDY4_3_ASAP3.pdf</t>
  </si>
  <si>
    <t>Melting_Curves/meltCurve_Q8TDZ2_MICAL1.pdf</t>
  </si>
  <si>
    <t>Melting_Curves/meltCurve_Q8TEA1_NSUN6.pdf</t>
  </si>
  <si>
    <t>Melting_Curves/meltCurve_Q8TEA7_3_TBCK.pdf</t>
  </si>
  <si>
    <t>Melting_Curves/meltCurve_Q8TEA8_DTD1.pdf</t>
  </si>
  <si>
    <t>Melting_Curves/meltCurve_Q8TEB1_2_DCAF11.pdf</t>
  </si>
  <si>
    <t>Melting_Curves/meltCurve_Q8TEH3_DENND1A.pdf</t>
  </si>
  <si>
    <t>Melting_Curves/meltCurve_Q8TEM1_NUP210.pdf</t>
  </si>
  <si>
    <t>Melting_Curves/meltCurve_Q8TEQ6_GEMIN5.pdf</t>
  </si>
  <si>
    <t>Melting_Curves/meltCurve_Q8TEX9_IPO4.pdf</t>
  </si>
  <si>
    <t>Melting_Curves/meltCurve_Q8TEY7_3_USP33.pdf</t>
  </si>
  <si>
    <t>Melting_Curves/meltCurve_Q8TF01_PNISR.pdf</t>
  </si>
  <si>
    <t>Melting_Curves/meltCurve_Q8TF05_2_PPP4R1.pdf</t>
  </si>
  <si>
    <t>Melting_Curves/meltCurve_Q8TF46_2_DIS3L.pdf</t>
  </si>
  <si>
    <t>Melting_Curves/meltCurve_Q8TF64_GIPC3.pdf</t>
  </si>
  <si>
    <t>Melting_Curves/meltCurve_Q8TF74_WIPF2.pdf</t>
  </si>
  <si>
    <t>Melting_Curves/meltCurve_Q8WTS1_ABHD5.pdf</t>
  </si>
  <si>
    <t>Melting_Curves/meltCurve_Q8WTW3_COG1.pdf</t>
  </si>
  <si>
    <t>Melting_Curves/meltCurve_Q8WU40_CAMK2G.pdf</t>
  </si>
  <si>
    <t>Melting_Curves/meltCurve_Q8WU76_2_SCFD2.pdf</t>
  </si>
  <si>
    <t>Melting_Curves/meltCurve_Q8WU79_SMAP2.pdf</t>
  </si>
  <si>
    <t>Melting_Curves/meltCurve_Q8WU90_ZC3H15.pdf</t>
  </si>
  <si>
    <t>Melting_Curves/meltCurve_Q8WUA2_PPIL4.pdf</t>
  </si>
  <si>
    <t>Melting_Curves/meltCurve_Q8WUA4_2_GTF3C2.pdf</t>
  </si>
  <si>
    <t>Melting_Curves/meltCurve_Q8WUB8_3_PHF10.pdf</t>
  </si>
  <si>
    <t>Melting_Curves/meltCurve_Q8WUD1_RAB2B.pdf</t>
  </si>
  <si>
    <t>Melting_Curves/meltCurve_Q8WUE5_CXorf48.pdf</t>
  </si>
  <si>
    <t>Melting_Curves/meltCurve_Q8WUF5_PPP1R13L.pdf</t>
  </si>
  <si>
    <t>Melting_Curves/meltCurve_Q8WUH1_CHURC1.pdf</t>
  </si>
  <si>
    <t>Melting_Curves/meltCurve_Q8WUH2_TGFBRAP1.pdf</t>
  </si>
  <si>
    <t>Melting_Curves/meltCurve_Q8WUH6_C12orf23.pdf</t>
  </si>
  <si>
    <t>Melting_Curves/meltCurve_Q8WUI4_3_HDAC7.pdf</t>
  </si>
  <si>
    <t>Melting_Curves/meltCurve_Q8WUJ0_STYX.pdf</t>
  </si>
  <si>
    <t>Melting_Curves/meltCurve_Q8WUK0_2_PTPMT1.pdf</t>
  </si>
  <si>
    <t>Melting_Curves/meltCurve_Q8WUM4_PDCD6IP.pdf</t>
  </si>
  <si>
    <t>Melting_Curves/meltCurve_Q8WUM9_SLC20A1.pdf</t>
  </si>
  <si>
    <t>Melting_Curves/meltCurve_Q8WUR7_C15orf40.pdf</t>
  </si>
  <si>
    <t>Melting_Curves/meltCurve_Q8WUX1_SLC38A5.pdf</t>
  </si>
  <si>
    <t>Melting_Curves/meltCurve_Q8WUX2_CHAC2.pdf</t>
  </si>
  <si>
    <t>Melting_Curves/meltCurve_Q8WUX9_CHMP7.pdf</t>
  </si>
  <si>
    <t>Melting_Curves/meltCurve_Q8WUY1_THEM6.pdf</t>
  </si>
  <si>
    <t>Melting_Curves/meltCurve_Q8WUY8_NAT14.pdf</t>
  </si>
  <si>
    <t>Melting_Curves/meltCurve_Q8WV22_NSMCE1.pdf</t>
  </si>
  <si>
    <t>Melting_Curves/meltCurve_Q8WV41_SNX33.pdf</t>
  </si>
  <si>
    <t>Melting_Curves/meltCurve_Q8WV60_PTCD2.pdf</t>
  </si>
  <si>
    <t>Melting_Curves/meltCurve_Q8WV92_MITD1.pdf</t>
  </si>
  <si>
    <t>Melting_Curves/meltCurve_Q8WV93_LACE1.pdf</t>
  </si>
  <si>
    <t>Melting_Curves/meltCurve_Q8WVB6_CHTF18.pdf</t>
  </si>
  <si>
    <t>Melting_Curves/meltCurve_Q8WVC0_LEO1.pdf</t>
  </si>
  <si>
    <t>Melting_Curves/meltCurve_Q8WVC2_RPS21.pdf</t>
  </si>
  <si>
    <t>Melting_Curves/meltCurve_Q8WVD3_RNF138.pdf</t>
  </si>
  <si>
    <t>Melting_Curves/meltCurve_Q8WVJ2_NUDCD2.pdf</t>
  </si>
  <si>
    <t>Melting_Curves/meltCurve_Q8WVK2_SNRNP27.pdf</t>
  </si>
  <si>
    <t>Melting_Curves/meltCurve_Q8WVK7_SKA2.pdf</t>
  </si>
  <si>
    <t>Melting_Curves/meltCurve_Q8WVL7_ANKRD49.pdf</t>
  </si>
  <si>
    <t>Melting_Curves/meltCurve_Q8WVM0_TFB1M.pdf</t>
  </si>
  <si>
    <t>Melting_Curves/meltCurve_Q8WVM8_SCFD1.pdf</t>
  </si>
  <si>
    <t>Melting_Curves/meltCurve_Q8WVQ1_CANT1.pdf</t>
  </si>
  <si>
    <t>Melting_Curves/meltCurve_Q8WVT3_TRAPPC12.pdf</t>
  </si>
  <si>
    <t>Melting_Curves/meltCurve_Q8WVX9_FAR1.pdf</t>
  </si>
  <si>
    <t>Melting_Curves/meltCurve_Q8WVY7_UBLCP1.pdf</t>
  </si>
  <si>
    <t>Melting_Curves/meltCurve_Q8WW01_TSEN15.pdf</t>
  </si>
  <si>
    <t>Melting_Curves/meltCurve_Q8WW12_PCNP.pdf</t>
  </si>
  <si>
    <t>Melting_Curves/meltCurve_Q8WW59_SPRYD4.pdf</t>
  </si>
  <si>
    <t>Melting_Curves/meltCurve_Q8WWB7_2_C1orf85.pdf</t>
  </si>
  <si>
    <t>Melting_Curves/meltCurve_Q8WWC4_C2orf47.pdf</t>
  </si>
  <si>
    <t>Melting_Curves/meltCurve_Q8WWH5_TRUB1.pdf</t>
  </si>
  <si>
    <t>Melting_Curves/meltCurve_Q8WWM7_ATXN2L.pdf</t>
  </si>
  <si>
    <t>Melting_Curves/meltCurve_Q8WWV3_RTN4IP1.pdf</t>
  </si>
  <si>
    <t>Melting_Curves/meltCurve_Q8WWW0_3_RASSF5.pdf</t>
  </si>
  <si>
    <t>Melting_Curves/meltCurve_Q8WWX9_SELM.pdf</t>
  </si>
  <si>
    <t>Melting_Curves/meltCurve_Q8WWY3_PRPF31.pdf</t>
  </si>
  <si>
    <t>Melting_Curves/meltCurve_Q8WX92_NELFB.pdf</t>
  </si>
  <si>
    <t>Melting_Curves/meltCurve_Q8WXA9_2_SREK1.pdf</t>
  </si>
  <si>
    <t>Melting_Curves/meltCurve_Q8WXD2_SCG3.pdf</t>
  </si>
  <si>
    <t>Melting_Curves/meltCurve_Q8WXD5_GEMIN6.pdf</t>
  </si>
  <si>
    <t>Melting_Curves/meltCurve_Q8WXE1_5_ATRIP.pdf</t>
  </si>
  <si>
    <t>Melting_Curves/meltCurve_Q8WXF1_PSPC1.pdf</t>
  </si>
  <si>
    <t>Melting_Curves/meltCurve_Q8WXG6_7_MADD.pdf</t>
  </si>
  <si>
    <t>Melting_Curves/meltCurve_Q8WXI9_GATAD2B.pdf</t>
  </si>
  <si>
    <t>Melting_Curves/meltCurve_Q8WXW3_PIBF1.pdf</t>
  </si>
  <si>
    <t>Melting_Curves/meltCurve_Q8WXX5_DNAJC9.pdf</t>
  </si>
  <si>
    <t>Melting_Curves/meltCurve_Q8WY22_BRI3BP.pdf</t>
  </si>
  <si>
    <t>Melting_Curves/meltCurve_Q8WY54_2_PPM1E.pdf</t>
  </si>
  <si>
    <t>Melting_Curves/meltCurve_Q8WY91_THAP4.pdf</t>
  </si>
  <si>
    <t>Melting_Curves/meltCurve_Q8WYP5_AHCTF1.pdf</t>
  </si>
  <si>
    <t>Melting_Curves/meltCurve_Q8WYQ5_3_DGCR8.pdf</t>
  </si>
  <si>
    <t>Melting_Curves/meltCurve_Q8WZ42_11_TTN.pdf</t>
  </si>
  <si>
    <t>Melting_Curves/meltCurve_Q8WZ82_OVCA2.pdf</t>
  </si>
  <si>
    <t>Melting_Curves/meltCurve_Q8WZA0_LZIC.pdf</t>
  </si>
  <si>
    <t>Melting_Curves/meltCurve_Q8WZA9_IRGQ.pdf</t>
  </si>
  <si>
    <t>Melting_Curves/meltCurve_Q92466_2_DDB2.pdf</t>
  </si>
  <si>
    <t>Melting_Curves/meltCurve_Q92499_DDX1.pdf</t>
  </si>
  <si>
    <t>Melting_Curves/meltCurve_Q92504_SLC39A7.pdf</t>
  </si>
  <si>
    <t>Melting_Curves/meltCurve_Q92506_HSD17B8.pdf</t>
  </si>
  <si>
    <t>Melting_Curves/meltCurve_Q92508_PIEZO1.pdf</t>
  </si>
  <si>
    <t>Melting_Curves/meltCurve_Q92520_FAM3C.pdf</t>
  </si>
  <si>
    <t>Melting_Curves/meltCurve_Q92526_CCT6B.pdf</t>
  </si>
  <si>
    <t>Melting_Curves/meltCurve_Q92536_SLC7A6.pdf</t>
  </si>
  <si>
    <t>Melting_Curves/meltCurve_Q92538_GBF1.pdf</t>
  </si>
  <si>
    <t>Melting_Curves/meltCurve_Q92541_RTF1.pdf</t>
  </si>
  <si>
    <t>Melting_Curves/meltCurve_Q92544_TM9SF4.pdf</t>
  </si>
  <si>
    <t>Melting_Curves/meltCurve_Q92547_TOPBP1.pdf</t>
  </si>
  <si>
    <t>Melting_Curves/meltCurve_Q92551_IP6K1.pdf</t>
  </si>
  <si>
    <t>Melting_Curves/meltCurve_Q92552_MRPS27.pdf</t>
  </si>
  <si>
    <t>Melting_Curves/meltCurve_Q92556_ELMO1.pdf</t>
  </si>
  <si>
    <t>Melting_Curves/meltCurve_Q92558_WASF1.pdf</t>
  </si>
  <si>
    <t>Melting_Curves/meltCurve_Q92572_AP3S1.pdf</t>
  </si>
  <si>
    <t>Melting_Curves/meltCurve_Q92575_UBXN4.pdf</t>
  </si>
  <si>
    <t>Melting_Curves/meltCurve_Q92576_2_PHF3.pdf</t>
  </si>
  <si>
    <t>Melting_Curves/meltCurve_Q92581_3_SLC9A6.pdf</t>
  </si>
  <si>
    <t>Melting_Curves/meltCurve_Q92598_2_HSPH1.pdf</t>
  </si>
  <si>
    <t>Melting_Curves/meltCurve_Q92600_RQCD1.pdf</t>
  </si>
  <si>
    <t>Melting_Curves/meltCurve_Q92609_TBC1D5.pdf</t>
  </si>
  <si>
    <t>Melting_Curves/meltCurve_Q92610_ZNF592.pdf</t>
  </si>
  <si>
    <t>Melting_Curves/meltCurve_Q92615_LARP4B.pdf</t>
  </si>
  <si>
    <t>Melting_Curves/meltCurve_Q92616_GCN1L1.pdf</t>
  </si>
  <si>
    <t>Melting_Curves/meltCurve_Q92619_HMHA1.pdf</t>
  </si>
  <si>
    <t>Melting_Curves/meltCurve_Q92620_DHX38.pdf</t>
  </si>
  <si>
    <t>Melting_Curves/meltCurve_Q92621_NUP205.pdf</t>
  </si>
  <si>
    <t>Melting_Curves/meltCurve_Q92625_ANKS1A.pdf</t>
  </si>
  <si>
    <t>Melting_Curves/meltCurve_Q92636_NSMAF.pdf</t>
  </si>
  <si>
    <t>Melting_Curves/meltCurve_Q92664_2_GTF3A.pdf</t>
  </si>
  <si>
    <t>Melting_Curves/meltCurve_Q92665_MRPS31.pdf</t>
  </si>
  <si>
    <t>Melting_Curves/meltCurve_Q92667_AKAP1.pdf</t>
  </si>
  <si>
    <t>Melting_Curves/meltCurve_Q92686_NRGN.pdf</t>
  </si>
  <si>
    <t>Melting_Curves/meltCurve_Q92688_2_ANP32B.pdf</t>
  </si>
  <si>
    <t>Melting_Curves/meltCurve_Q92692_PVRL2.pdf</t>
  </si>
  <si>
    <t>Melting_Curves/meltCurve_Q92692_2_PVRL2.pdf</t>
  </si>
  <si>
    <t>Melting_Curves/meltCurve_Q92696_RABGGTA.pdf</t>
  </si>
  <si>
    <t>Melting_Curves/meltCurve_Q92698_RAD54L.pdf</t>
  </si>
  <si>
    <t>Melting_Curves/meltCurve_Q92734_2_TFG.pdf</t>
  </si>
  <si>
    <t>Melting_Curves/meltCurve_Q92747_ARPC1A.pdf</t>
  </si>
  <si>
    <t>Melting_Curves/meltCurve_Q92759_GTF2H4.pdf</t>
  </si>
  <si>
    <t>Melting_Curves/meltCurve_Q92766_RREB1.pdf</t>
  </si>
  <si>
    <t>Melting_Curves/meltCurve_Q92783_2_STAM.pdf</t>
  </si>
  <si>
    <t>Melting_Curves/meltCurve_Q92793_2_CREBBP.pdf</t>
  </si>
  <si>
    <t>Melting_Curves/meltCurve_Q92797_SYMPK.pdf</t>
  </si>
  <si>
    <t>Melting_Curves/meltCurve_Q92804_2_TAF15.pdf</t>
  </si>
  <si>
    <t>Melting_Curves/meltCurve_Q92805_GOLGA1.pdf</t>
  </si>
  <si>
    <t>Melting_Curves/meltCurve_Q92820_GGH.pdf</t>
  </si>
  <si>
    <t>Melting_Curves/meltCurve_Q92828_CORO2A.pdf</t>
  </si>
  <si>
    <t>Melting_Curves/meltCurve_Q92843_2_BCL2L2.pdf</t>
  </si>
  <si>
    <t>Melting_Curves/meltCurve_Q92844_TANK.pdf</t>
  </si>
  <si>
    <t>Melting_Curves/meltCurve_Q92845_2_KIFAP3.pdf</t>
  </si>
  <si>
    <t>Melting_Curves/meltCurve_Q92851_2_CASP10.pdf</t>
  </si>
  <si>
    <t>Melting_Curves/meltCurve_Q92871_PMM1.pdf</t>
  </si>
  <si>
    <t>Melting_Curves/meltCurve_Q92878_RAD50.pdf</t>
  </si>
  <si>
    <t>Melting_Curves/meltCurve_Q92882_OSTF1.pdf</t>
  </si>
  <si>
    <t>Melting_Curves/meltCurve_Q92889_ERCC4.pdf</t>
  </si>
  <si>
    <t>Melting_Curves/meltCurve_Q92890_UFD1L.pdf</t>
  </si>
  <si>
    <t>Melting_Curves/meltCurve_Q92896_GLG1.pdf</t>
  </si>
  <si>
    <t>Melting_Curves/meltCurve_Q92900_UPF1.pdf</t>
  </si>
  <si>
    <t>Melting_Curves/meltCurve_Q92905_COPS5.pdf</t>
  </si>
  <si>
    <t>Melting_Curves/meltCurve_Q92917_GPKOW.pdf</t>
  </si>
  <si>
    <t>Melting_Curves/meltCurve_Q92922_SMARCC1.pdf</t>
  </si>
  <si>
    <t>Melting_Curves/meltCurve_Q92930_RAB8B.pdf</t>
  </si>
  <si>
    <t>Melting_Curves/meltCurve_Q92934_BAD.pdf</t>
  </si>
  <si>
    <t>Melting_Curves/meltCurve_Q92945_KHSRP.pdf</t>
  </si>
  <si>
    <t>Melting_Curves/meltCurve_Q92947_GCDH.pdf</t>
  </si>
  <si>
    <t>Melting_Curves/meltCurve_Q92968_PEX13.pdf</t>
  </si>
  <si>
    <t>Melting_Curves/meltCurve_Q92973_2_TNPO1.pdf</t>
  </si>
  <si>
    <t>Melting_Curves/meltCurve_Q92979_EMG1.pdf</t>
  </si>
  <si>
    <t>Melting_Curves/meltCurve_Q92990_GLMN.pdf</t>
  </si>
  <si>
    <t>Melting_Curves/meltCurve_Q93008_USP9X.pdf</t>
  </si>
  <si>
    <t>Melting_Curves/meltCurve_Q93015_NAT6.pdf</t>
  </si>
  <si>
    <t>Melting_Curves/meltCurve_Q93034_CUL5.pdf</t>
  </si>
  <si>
    <t>Melting_Curves/meltCurve_Q93063_EXT2.pdf</t>
  </si>
  <si>
    <t>Melting_Curves/meltCurve_Q93074_3_MED12.pdf</t>
  </si>
  <si>
    <t>Melting_Curves/meltCurve_Q93077_HIST1H2AC.pdf</t>
  </si>
  <si>
    <t>Melting_Curves/meltCurve_Q93084_4_ATP2A3.pdf</t>
  </si>
  <si>
    <t>Melting_Curves/meltCurve_Q93100_4_PHKB.pdf</t>
  </si>
  <si>
    <t>Melting_Curves/meltCurve_Q969E2_2_SCAMP4.pdf</t>
  </si>
  <si>
    <t>Melting_Curves/meltCurve_Q969E8_TSR2.pdf</t>
  </si>
  <si>
    <t>Melting_Curves/meltCurve_Q969F8_KISS1R.pdf</t>
  </si>
  <si>
    <t>Melting_Curves/meltCurve_Q969G6_RFK.pdf</t>
  </si>
  <si>
    <t>Melting_Curves/meltCurve_Q969H6_2_POP5.pdf</t>
  </si>
  <si>
    <t>Melting_Curves/meltCurve_Q969H8_C19orf10.pdf</t>
  </si>
  <si>
    <t>Melting_Curves/meltCurve_Q969K3_RNF34.pdf</t>
  </si>
  <si>
    <t>Melting_Curves/meltCurve_Q969M3_YIPF5.pdf</t>
  </si>
  <si>
    <t>Melting_Curves/meltCurve_Q969N2_4_PIGT.pdf</t>
  </si>
  <si>
    <t>Melting_Curves/meltCurve_Q969P0_3_IGSF8.pdf</t>
  </si>
  <si>
    <t>Melting_Curves/meltCurve_Q969R8_ITFG2.pdf</t>
  </si>
  <si>
    <t>Melting_Curves/meltCurve_Q969S3_ZNF622.pdf</t>
  </si>
  <si>
    <t>Melting_Curves/meltCurve_Q969S9_2_GFM2.pdf</t>
  </si>
  <si>
    <t>Melting_Curves/meltCurve_Q969T7_2_NT5C3B.pdf</t>
  </si>
  <si>
    <t>Melting_Curves/meltCurve_Q969U7_PSMG2.pdf</t>
  </si>
  <si>
    <t>Melting_Curves/meltCurve_Q969V3_2_NCLN.pdf</t>
  </si>
  <si>
    <t>Melting_Curves/meltCurve_Q969V5_MUL1.pdf</t>
  </si>
  <si>
    <t>Melting_Curves/meltCurve_Q969X0_RILPL2.pdf</t>
  </si>
  <si>
    <t>Melting_Curves/meltCurve_Q969X5_2_ERGIC1.pdf</t>
  </si>
  <si>
    <t>Melting_Curves/meltCurve_Q969Y2_3_GTPBP3.pdf</t>
  </si>
  <si>
    <t>Melting_Curves/meltCurve_Q969Z0_TBRG4.pdf</t>
  </si>
  <si>
    <t>Melting_Curves/meltCurve_Q96A00_PPP1R14A.pdf</t>
  </si>
  <si>
    <t>Melting_Curves/meltCurve_Q96A19_CCDC102A.pdf</t>
  </si>
  <si>
    <t>Melting_Curves/meltCurve_Q96A33_CCDC47.pdf</t>
  </si>
  <si>
    <t>Melting_Curves/meltCurve_Q96A46_SLC25A28.pdf</t>
  </si>
  <si>
    <t>Melting_Curves/meltCurve_Q96A47_ISL2.pdf</t>
  </si>
  <si>
    <t>Melting_Curves/meltCurve_Q96A49_SYAP1.pdf</t>
  </si>
  <si>
    <t>Melting_Curves/meltCurve_Q96A65_EXOC4.pdf</t>
  </si>
  <si>
    <t>Melting_Curves/meltCurve_Q96A73_2_KIAA1191.pdf</t>
  </si>
  <si>
    <t>Melting_Curves/meltCurve_Q96AB3_ISOC2.pdf</t>
  </si>
  <si>
    <t>Melting_Curves/meltCurve_Q96AD5_PNPLA2.pdf</t>
  </si>
  <si>
    <t>Melting_Curves/meltCurve_Q96AE4_FUBP1.pdf</t>
  </si>
  <si>
    <t>Melting_Curves/meltCurve_Q96AE4_2_FUBP1.pdf</t>
  </si>
  <si>
    <t>Melting_Curves/meltCurve_Q96AG4_LRRC59.pdf</t>
  </si>
  <si>
    <t>Melting_Curves/meltCurve_Q96AJ9_1_VTI1A.pdf</t>
  </si>
  <si>
    <t>Melting_Curves/meltCurve_Q96AP7_ESAM.pdf</t>
  </si>
  <si>
    <t>Melting_Curves/meltCurve_Q96AQ8_MCUR1.pdf</t>
  </si>
  <si>
    <t>Melting_Curves/meltCurve_Q96AT1_KIAA1143.pdf</t>
  </si>
  <si>
    <t>Melting_Curves/meltCurve_Q96AT9_RPE.pdf</t>
  </si>
  <si>
    <t>Melting_Curves/meltCurve_Q96AX1_VPS33A.pdf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</si>
  <si>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</si>
  <si>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</si>
  <si>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</si>
  <si>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</si>
  <si>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Melting_Curves/meltCurve_Q96B49_TOMM6.pdf</t>
  </si>
  <si>
    <t>Melting_Curves/meltCurve_Q96BD8_SKA1.pdf</t>
  </si>
  <si>
    <t>Melting_Curves/meltCurve_Q96BH1_RNF25.pdf</t>
  </si>
  <si>
    <t>Melting_Curves/meltCurve_Q96BK5_PINX1.pdf</t>
  </si>
  <si>
    <t>Melting_Curves/meltCurve_Q96BM9_ARL8A.pdf</t>
  </si>
  <si>
    <t>Melting_Curves/meltCurve_Q96BN8_FAM105B.pdf</t>
  </si>
  <si>
    <t>Melting_Curves/meltCurve_Q96BP3_PPWD1.pdf</t>
  </si>
  <si>
    <t>Melting_Curves/meltCurve_Q96BQ5_CCDC127.pdf</t>
  </si>
  <si>
    <t>Melting_Curves/meltCurve_Q96BR5_SELRC1.pdf</t>
  </si>
  <si>
    <t>Melting_Curves/meltCurve_Q96BT7_ALKBH8.pdf</t>
  </si>
  <si>
    <t>Melting_Curves/meltCurve_Q96BW1_3_UPRT.pdf</t>
  </si>
  <si>
    <t>Melting_Curves/meltCurve_Q96BW5_2_PTER.pdf</t>
  </si>
  <si>
    <t>Melting_Curves/meltCurve_Q96BX8_MOB3A.pdf</t>
  </si>
  <si>
    <t>Melting_Curves/meltCurve_Q96BY7_ATG2B.pdf</t>
  </si>
  <si>
    <t>Melting_Curves/meltCurve_Q96BZ8_LENG1.pdf</t>
  </si>
  <si>
    <t>Melting_Curves/meltCurve_Q96BZ9_TBC1D20.pdf</t>
  </si>
  <si>
    <t>Melting_Curves/meltCurve_Q96C01_FAM136A.pdf</t>
  </si>
  <si>
    <t>Melting_Curves/meltCurve_Q96C19_EFHD2.pdf</t>
  </si>
  <si>
    <t>Melting_Curves/meltCurve_Q96C23_GALM.pdf</t>
  </si>
  <si>
    <t>Melting_Curves/meltCurve_Q96C36_PYCR2.pdf</t>
  </si>
  <si>
    <t>Melting_Curves/meltCurve_Q96C57_C12orf43.pdf</t>
  </si>
  <si>
    <t>Melting_Curves/meltCurve_Q96C86_DCPS.pdf</t>
  </si>
  <si>
    <t>Melting_Curves/meltCurve_Q96C90_PPP1R14B.pdf</t>
  </si>
  <si>
    <t>Melting_Curves/meltCurve_Q96CB9_4_NSUN4.pdf</t>
  </si>
  <si>
    <t>Melting_Curves/meltCurve_Q96CF2_CHMP4C.pdf</t>
  </si>
  <si>
    <t>Melting_Curves/meltCurve_Q96CM3_2_RPUSD4.pdf</t>
  </si>
  <si>
    <t>Melting_Curves/meltCurve_Q96CN7_ISOC1.pdf</t>
  </si>
  <si>
    <t>Melting_Curves/meltCurve_Q96CN9_GCC1.pdf</t>
  </si>
  <si>
    <t>Melting_Curves/meltCurve_Q96CP2_FLYWCH2.pdf</t>
  </si>
  <si>
    <t>Melting_Curves/meltCurve_Q96CQ1_SLC25A36.pdf</t>
  </si>
  <si>
    <t>Melting_Curves/meltCurve_Q96CS2_HAUS1.pdf</t>
  </si>
  <si>
    <t>Melting_Curves/meltCurve_Q96CS3_FAF2.pdf</t>
  </si>
  <si>
    <t>Melting_Curves/meltCurve_Q96CT7_CCDC124.pdf</t>
  </si>
  <si>
    <t>Melting_Curves/meltCurve_Q96CU9_FOXRED1.pdf</t>
  </si>
  <si>
    <t>Melting_Curves/meltCurve_Q96CW1_2_AP2M1.pdf</t>
  </si>
  <si>
    <t>Melting_Curves/meltCurve_Q96CW5_3_TUBGCP3.pdf</t>
  </si>
  <si>
    <t>Melting_Curves/meltCurve_Q96CW6_SLC7A6OS.pdf</t>
  </si>
  <si>
    <t>Melting_Curves/meltCurve_Q96CX6_LRRC58.pdf</t>
  </si>
  <si>
    <t>Melting_Curves/meltCurve_Q96D05_C10orf35.pdf</t>
  </si>
  <si>
    <t>Melting_Curves/meltCurve_Q96D15_RCN3.pdf</t>
  </si>
  <si>
    <t>Melting_Curves/meltCurve_Q96D31_2_ORAI1.pdf</t>
  </si>
  <si>
    <t>Melting_Curves/meltCurve_Q96D71_3_REPS1.pdf</t>
  </si>
  <si>
    <t>Melting_Curves/meltCurve_Q96DA6_2_DNAJC19.pdf</t>
  </si>
  <si>
    <t>Melting_Curves/meltCurve_Q96DB5_RMDN1.pdf</t>
  </si>
  <si>
    <t>Melting_Curves/meltCurve_Q96DE0_NUDT16.pdf</t>
  </si>
  <si>
    <t>Melting_Curves/meltCurve_Q96DE5_ANAPC16.pdf</t>
  </si>
  <si>
    <t>Melting_Curves/meltCurve_Q96DF8_DGCR14.pdf</t>
  </si>
  <si>
    <t>Melting_Curves/meltCurve_Q96DG6_CMBL.pdf</t>
  </si>
  <si>
    <t>Melting_Curves/meltCurve_Q96DI7_SNRNP40.pdf</t>
  </si>
  <si>
    <t>Melting_Curves/meltCurve_Q96DT6_ATG4C.pdf</t>
  </si>
  <si>
    <t>Melting_Curves/meltCurve_Q96DU7_ITPKC.pdf</t>
  </si>
  <si>
    <t>Melting_Curves/meltCurve_Q96DV4_MRPL38.pdf</t>
  </si>
  <si>
    <t>Melting_Curves/meltCurve_Q96DX4_RSPRY1.pdf</t>
  </si>
  <si>
    <t>Melting_Curves/meltCurve_Q96DX7_TRIM44.pdf</t>
  </si>
  <si>
    <t>Melting_Curves/meltCurve_Q96DY2_IQCD.pdf</t>
  </si>
  <si>
    <t>Melting_Curves/meltCurve_Q96DZ1_2_ERLEC1.pdf</t>
  </si>
  <si>
    <t>Melting_Curves/meltCurve_Q96E09_FAM122A.pdf</t>
  </si>
  <si>
    <t>Melting_Curves/meltCurve_Q96E11_3_MRRF.pdf</t>
  </si>
  <si>
    <t>Melting_Curves/meltCurve_Q96E22_NUS1.pdf</t>
  </si>
  <si>
    <t>Melting_Curves/meltCurve_Q96E52_OMA1.pdf</t>
  </si>
  <si>
    <t>Melting_Curves/meltCurve_Q96EA4_SPDL1.pdf</t>
  </si>
  <si>
    <t>Melting_Curves/meltCurve_Q96EB1_ELP4.pdf</t>
  </si>
  <si>
    <t>Melting_Curves/meltCurve_Q96EB6_SIRT1.pdf</t>
  </si>
  <si>
    <t>Melting_Curves/meltCurve_Q96EC8_YIPF6.pdf</t>
  </si>
  <si>
    <t>Melting_Curves/meltCurve_Q96ED9_2_HOOK2.pdf</t>
  </si>
  <si>
    <t>Melting_Curves/meltCurve_Q96EE3_SEH1L.pdf</t>
  </si>
  <si>
    <t>Melting_Curves/meltCurve_Q96EF9_ZHX1_C8orf76.pdf</t>
  </si>
  <si>
    <t>Melting_Curves/meltCurve_Q96EH3_MALSU1.pdf</t>
  </si>
  <si>
    <t>Melting_Curves/meltCurve_Q96EK5_KIAA1279.pdf</t>
  </si>
  <si>
    <t>Melting_Curves/meltCurve_Q96EK6_GNPNAT1.pdf</t>
  </si>
  <si>
    <t>Melting_Curves/meltCurve_Q96EK9_KTI12.pdf</t>
  </si>
  <si>
    <t>Melting_Curves/meltCurve_Q96EL3_MRPL53.pdf</t>
  </si>
  <si>
    <t>Melting_Curves/meltCurve_Q96EM0_L3HYPDH.pdf</t>
  </si>
  <si>
    <t>Melting_Curves/meltCurve_Q96EN8_MOCOS.pdf</t>
  </si>
  <si>
    <t>Melting_Curves/meltCurve_Q96EP1_5_CHFR.pdf</t>
  </si>
  <si>
    <t>Melting_Curves/meltCurve_Q96EP5_DAZAP1.pdf</t>
  </si>
  <si>
    <t>Melting_Curves/meltCurve_Q96EP9_SLC10A4.pdf</t>
  </si>
  <si>
    <t>Melting_Curves/meltCurve_Q96EQ0_SGTB.pdf</t>
  </si>
  <si>
    <t>Melting_Curves/meltCurve_Q96ER3_SAAL1.pdf</t>
  </si>
  <si>
    <t>Melting_Curves/meltCurve_Q96ER9_CCDC51.pdf</t>
  </si>
  <si>
    <t>Melting_Curves/meltCurve_Q96ES7_CCDC101.pdf</t>
  </si>
  <si>
    <t>Melting_Curves/meltCurve_Q96EU6_2_RRP36.pdf</t>
  </si>
  <si>
    <t>Melting_Curves/meltCurve_Q96EV2_RBM33.pdf</t>
  </si>
  <si>
    <t>Melting_Curves/meltCurve_Q96EV8_DTNBP1.pdf</t>
  </si>
  <si>
    <t>Melting_Curves/meltCurve_Q96EX1_SMIM12.pdf</t>
  </si>
  <si>
    <t>Melting_Curves/meltCurve_Q96EX3_WDR34.pdf</t>
  </si>
  <si>
    <t>Melting_Curves/meltCurve_Q96EY1_DNAJA3.pdf</t>
  </si>
  <si>
    <t>Melting_Curves/meltCurve_Q96EY5_MVB12A.pdf</t>
  </si>
  <si>
    <t>Melting_Curves/meltCurve_Q96EY7_PTCD3.pdf</t>
  </si>
  <si>
    <t>Melting_Curves/meltCurve_Q96EY8_MMAB.pdf</t>
  </si>
  <si>
    <t>Melting_Curves/meltCurve_Q96EY9_ADAT3.pdf</t>
  </si>
  <si>
    <t>Melting_Curves/meltCurve_Q96F24_2_NRBF2.pdf</t>
  </si>
  <si>
    <t>Melting_Curves/meltCurve_Q96F44_3_TRIM11.pdf</t>
  </si>
  <si>
    <t>Melting_Curves/meltCurve_Q96F46_IL17RA.pdf</t>
  </si>
  <si>
    <t>Melting_Curves/meltCurve_Q96F63_CCDC97.pdf</t>
  </si>
  <si>
    <t>Melting_Curves/meltCurve_Q96F86_EDC3.pdf</t>
  </si>
  <si>
    <t>Melting_Curves/meltCurve_Q96FC9_4_DDX11.pdf</t>
  </si>
  <si>
    <t>Melting_Curves/meltCurve_Q96FH0_2_MEF2BNB.pdf</t>
  </si>
  <si>
    <t>Melting_Curves/meltCurve_Q96FJ2_DYNLL2.pdf</t>
  </si>
  <si>
    <t>Melting_Curves/meltCurve_Q96FK6_WDR89.pdf</t>
  </si>
  <si>
    <t>Melting_Curves/meltCurve_Q96FS4_SIPA1.pdf</t>
  </si>
  <si>
    <t>Melting_Curves/meltCurve_Q96FV9_THOC1.pdf</t>
  </si>
  <si>
    <t>Melting_Curves/meltCurve_Q96FX2_DPH3.pdf</t>
  </si>
  <si>
    <t>Melting_Curves/meltCurve_Q96FX7_TRMT61A.pdf</t>
  </si>
  <si>
    <t>Melting_Curves/meltCurve_Q96FZ2_C3orf37.pdf</t>
  </si>
  <si>
    <t>Melting_Curves/meltCurve_Q96FZ7_CHMP6.pdf</t>
  </si>
  <si>
    <t>Melting_Curves/meltCurve_Q96G03_PGM2.pdf</t>
  </si>
  <si>
    <t>Melting_Curves/meltCurve_Q96G25_MED8.pdf</t>
  </si>
  <si>
    <t>Melting_Curves/meltCurve_Q96G28_CCDC104.pdf</t>
  </si>
  <si>
    <t>Melting_Curves/meltCurve_Q96G46_DUS3L.pdf</t>
  </si>
  <si>
    <t>Melting_Curves/meltCurve_Q96G74_3_OTUD5.pdf</t>
  </si>
  <si>
    <t>Melting_Curves/meltCurve_Q96GA3_LTV1.pdf</t>
  </si>
  <si>
    <t>Melting_Curves/meltCurve_Q96GA7_SDSL.pdf</t>
  </si>
  <si>
    <t>Melting_Curves/meltCurve_Q96GD0_PDXP.pdf</t>
  </si>
  <si>
    <t>Melting_Curves/meltCurve_Q96GF1_RNF185.pdf</t>
  </si>
  <si>
    <t>Melting_Curves/meltCurve_Q96GG9_DCUN1D1.pdf</t>
  </si>
  <si>
    <t>Melting_Curves/meltCurve_Q96GK7_FAHD2A.pdf</t>
  </si>
  <si>
    <t>Melting_Curves/meltCurve_Q96GM5_SMARCD1.pdf</t>
  </si>
  <si>
    <t>Melting_Curves/meltCurve_Q96GM8_TOE1.pdf</t>
  </si>
  <si>
    <t>Melting_Curves/meltCurve_Q96GQ7_DDX27.pdf</t>
  </si>
  <si>
    <t>Melting_Curves/meltCurve_Q96GS4_C17orf59.pdf</t>
  </si>
  <si>
    <t>Melting_Curves/meltCurve_Q96GS6_ABHD17A.pdf</t>
  </si>
  <si>
    <t>Melting_Curves/meltCurve_Q96GU1_2_PAGE5.pdf</t>
  </si>
  <si>
    <t>Melting_Curves/meltCurve_Q96GV9_C5orf30.pdf</t>
  </si>
  <si>
    <t>Melting_Curves/meltCurve_Q96GW9_MARS2.pdf</t>
  </si>
  <si>
    <t>Melting_Curves/meltCurve_Q96GX2_ATXN7L3B.pdf</t>
  </si>
  <si>
    <t>Melting_Curves/meltCurve_Q96GX5_2_MASTL.pdf</t>
  </si>
  <si>
    <t>Melting_Curves/meltCurve_Q96H20_SNF8.pdf</t>
  </si>
  <si>
    <t>Melting_Curves/meltCurve_Q96H55_2_MYO19.pdf</t>
  </si>
  <si>
    <t>Melting_Curves/meltCurve_Q96HA1_2_POM121.pdf</t>
  </si>
  <si>
    <t>Melting_Curves/meltCurve_Q96HA4_4_C1orf159.pdf</t>
  </si>
  <si>
    <t>Melting_Curves/meltCurve_Q96HA7_2_TONSL.pdf</t>
  </si>
  <si>
    <t>Melting_Curves/meltCurve_Q96HC4_PDLIM5.pdf</t>
  </si>
  <si>
    <t>Melting_Curves/meltCurve_Q96HD1_CRELD1.pdf</t>
  </si>
  <si>
    <t>Melting_Curves/meltCurve_Q96HE7_ERO1L.pdf</t>
  </si>
  <si>
    <t>Melting_Curves/meltCurve_Q96HJ9_C7orf55.pdf</t>
  </si>
  <si>
    <t>Melting_Curves/meltCurve_Q96HQ2_2_CDKN2AIPNL.pdf</t>
  </si>
  <si>
    <t>Melting_Curves/meltCurve_Q96HR9_REEP6.pdf</t>
  </si>
  <si>
    <t>Melting_Curves/meltCurve_Q96HS1_PGAM5.pdf</t>
  </si>
  <si>
    <t>Melting_Curves/meltCurve_Q96HW7_INTS4.pdf</t>
  </si>
  <si>
    <t>Melting_Curves/meltCurve_Q96HY6_DDRGK1.pdf</t>
  </si>
  <si>
    <t>Melting_Curves/meltCurve_Q96I15_SCLY.pdf</t>
  </si>
  <si>
    <t>Melting_Curves/meltCurve_Q96I24_FUBP3.pdf</t>
  </si>
  <si>
    <t>Melting_Curves/meltCurve_Q96I25_RBM17.pdf</t>
  </si>
  <si>
    <t>Melting_Curves/meltCurve_Q96I34_PPP1R16A.pdf</t>
  </si>
  <si>
    <t>Melting_Curves/meltCurve_Q96I36_COX14.pdf</t>
  </si>
  <si>
    <t>Melting_Curves/meltCurve_Q96I51_WBSCR16.pdf</t>
  </si>
  <si>
    <t>Melting_Curves/meltCurve_Q96I59_NARS2.pdf</t>
  </si>
  <si>
    <t>Melting_Curves/meltCurve_Q96I99_SUCLG2.pdf</t>
  </si>
  <si>
    <t>Melting_Curves/meltCurve_Q96IJ6_GMPPA.pdf</t>
  </si>
  <si>
    <t>Melting_Curves/meltCurve_Q96IQ9_ZNF414.pdf</t>
  </si>
  <si>
    <t>Melting_Curves/meltCurve_Q96IR2_ZNF845.pdf</t>
  </si>
  <si>
    <t>Melting_Curves/meltCurve_Q96IU4_ABHD14B.pdf</t>
  </si>
  <si>
    <t>Melting_Curves/meltCurve_Q96IV0_NGLY1.pdf</t>
  </si>
  <si>
    <t>Melting_Curves/meltCurve_Q96IX5_USMG5.pdf</t>
  </si>
  <si>
    <t>Melting_Curves/meltCurve_Q96IY1_NSL1.pdf</t>
  </si>
  <si>
    <t>Melting_Curves/meltCurve_Q96IZ7_2_RSRC1.pdf</t>
  </si>
  <si>
    <t>Melting_Curves/meltCurve_Q96J01_THOC3.pdf</t>
  </si>
  <si>
    <t>Melting_Curves/meltCurve_Q96J02_2_ITCH.pdf</t>
  </si>
  <si>
    <t>Melting_Curves/meltCurve_Q96JA1_LRIG1.pdf</t>
  </si>
  <si>
    <t>Melting_Curves/meltCurve_Q96JB2_COG3.pdf</t>
  </si>
  <si>
    <t>Melting_Curves/meltCurve_Q96JB3_2_HIC2.pdf</t>
  </si>
  <si>
    <t>Melting_Curves/meltCurve_Q96JB5_2_CDK5RAP3.pdf</t>
  </si>
  <si>
    <t>Melting_Curves/meltCurve_Q96JC1_2_VPS39.pdf</t>
  </si>
  <si>
    <t>Melting_Curves/meltCurve_Q96JC9_EAF1.pdf</t>
  </si>
  <si>
    <t>Melting_Curves/meltCurve_Q96JG6_CCDC132.pdf</t>
  </si>
  <si>
    <t>Melting_Curves/meltCurve_Q96JH7_VCPIP1.pdf</t>
  </si>
  <si>
    <t>Melting_Curves/meltCurve_Q96JJ7_TMX3.pdf</t>
  </si>
  <si>
    <t>Melting_Curves/meltCurve_Q96JM3_CHAMP1.pdf</t>
  </si>
  <si>
    <t>Melting_Curves/meltCurve_Q96JP5_2_ZFP91.pdf</t>
  </si>
  <si>
    <t>Melting_Curves/meltCurve_Q96K17_BTF3L4.pdf</t>
  </si>
  <si>
    <t>Melting_Curves/meltCurve_Q96K19_2_RNF170.pdf</t>
  </si>
  <si>
    <t>Melting_Curves/meltCurve_Q96KA5_2_CLPTM1L.pdf</t>
  </si>
  <si>
    <t>Melting_Curves/meltCurve_Q96KB5_PBK.pdf</t>
  </si>
  <si>
    <t>Melting_Curves/meltCurve_Q96KC2_ARL5B.pdf</t>
  </si>
  <si>
    <t>Melting_Curves/meltCurve_Q96KC8_DNAJC1.pdf</t>
  </si>
  <si>
    <t>Melting_Curves/meltCurve_Q96KF7_SMIM8.pdf</t>
  </si>
  <si>
    <t>Melting_Curves/meltCurve_Q96KM6_ZNF512B.pdf</t>
  </si>
  <si>
    <t>Melting_Curves/meltCurve_Q96KP1_EXOC2.pdf</t>
  </si>
  <si>
    <t>Melting_Curves/meltCurve_Q96KP4_CNDP2.pdf</t>
  </si>
  <si>
    <t>Melting_Curves/meltCurve_Q96KR1_ZFR.pdf</t>
  </si>
  <si>
    <t>Melting_Curves/meltCurve_Q96L91_3_EP400.pdf</t>
  </si>
  <si>
    <t>Melting_Curves/meltCurve_Q96L92_3_SNX27.pdf</t>
  </si>
  <si>
    <t>Melting_Curves/meltCurve_Q96L93_6_KIF16B.pdf</t>
  </si>
  <si>
    <t>Melting_Curves/meltCurve_Q96LA8_2_PRMT6.pdf</t>
  </si>
  <si>
    <t>Melting_Curves/meltCurve_Q96LB3_IFT74.pdf</t>
  </si>
  <si>
    <t>Melting_Curves/meltCurve_Q96LD4_TRIM47.pdf</t>
  </si>
  <si>
    <t>Melting_Curves/meltCurve_Q96LJ7_DHRS1.pdf</t>
  </si>
  <si>
    <t>Melting_Curves/meltCurve_Q96LJ8_UBXN10.pdf</t>
  </si>
  <si>
    <t>Melting_Curves/meltCurve_Q96M20_2_CNBD2.pdf</t>
  </si>
  <si>
    <t>Melting_Curves/meltCurve_Q96M27_PRRC1.pdf</t>
  </si>
  <si>
    <t>Melting_Curves/meltCurve_Q96MB7_HARBI1.pdf</t>
  </si>
  <si>
    <t>Melting_Curves/meltCurve_Q96ME1_4_FBXL18.pdf</t>
  </si>
  <si>
    <t>Melting_Curves/meltCurve_Q96MG7_NDNL2.pdf</t>
  </si>
  <si>
    <t>Melting_Curves/meltCurve_Q96MH2_HEXIM2.pdf</t>
  </si>
  <si>
    <t>Melting_Curves/meltCurve_Q96MH6_2_TMEM68.pdf</t>
  </si>
  <si>
    <t>Melting_Curves/meltCurve_Q96MN5_TCEANC2.pdf</t>
  </si>
  <si>
    <t>Melting_Curves/meltCurve_Q96MW5_COG8.pdf</t>
  </si>
  <si>
    <t>Melting_Curves/meltCurve_Q96MX6_WDR92.pdf</t>
  </si>
  <si>
    <t>Melting_Curves/meltCurve_Q96MY1_2_C20orf112.pdf</t>
  </si>
  <si>
    <t>Melting_Curves/meltCurve_Q96N21_2_ENTHD2.pdf</t>
  </si>
  <si>
    <t>Melting_Curves/meltCurve_Q96N46_TTC14.pdf</t>
  </si>
  <si>
    <t>Melting_Curves/meltCurve_Q96N66_2_MBOAT7.pdf</t>
  </si>
  <si>
    <t>Melting_Curves/meltCurve_Q96N67_4_DOCK7.pdf</t>
  </si>
  <si>
    <t>Melting_Curves/meltCurve_Q96NA2_RILP.pdf</t>
  </si>
  <si>
    <t>Melting_Curves/meltCurve_Q96NB1_FOPNL.pdf</t>
  </si>
  <si>
    <t>Melting_Curves/meltCurve_Q96NB2_SFXN2.pdf</t>
  </si>
  <si>
    <t>Melting_Curves/meltCurve_Q96NB3_ZNF830.pdf</t>
  </si>
  <si>
    <t>Melting_Curves/meltCurve_Q96NC0_ZMAT2.pdf</t>
  </si>
  <si>
    <t>Melting_Curves/meltCurve_Q96NL6_SCLT1.pdf</t>
  </si>
  <si>
    <t>Melting_Curves/meltCurve_Q96NL8_C8orf37.pdf</t>
  </si>
  <si>
    <t>Melting_Curves/meltCurve_Q96NT0_CCDC115.pdf</t>
  </si>
  <si>
    <t>Melting_Curves/meltCurve_Q96NT1_NAP1L5.pdf</t>
  </si>
  <si>
    <t>Melting_Curves/meltCurve_Q96NW4_ANKRD27.pdf</t>
  </si>
  <si>
    <t>Melting_Curves/meltCurve_Q96P11_2_NSUN5.pdf</t>
  </si>
  <si>
    <t>Melting_Curves/meltCurve_Q96P47_AGAP3.pdf</t>
  </si>
  <si>
    <t>Melting_Curves/meltCurve_Q96P48_3_ARAP1.pdf</t>
  </si>
  <si>
    <t>Melting_Curves/meltCurve_Q96P70_IPO9.pdf</t>
  </si>
  <si>
    <t>Melting_Curves/meltCurve_Q96PE7_MCEE.pdf</t>
  </si>
  <si>
    <t>Melting_Curves/meltCurve_Q96PG8_1_BBC3.pdf</t>
  </si>
  <si>
    <t>Melting_Curves/meltCurve_Q96PK6_RBM14.pdf</t>
  </si>
  <si>
    <t>Melting_Curves/meltCurve_Q96PL5_ERMAP.pdf</t>
  </si>
  <si>
    <t>Melting_Curves/meltCurve_Q96PM5_RCHY1.pdf</t>
  </si>
  <si>
    <t>Melting_Curves/meltCurve_Q96PU5_2_NEDD4L.pdf</t>
  </si>
  <si>
    <t>Melting_Curves/meltCurve_Q96PU8_9_QKI.pdf</t>
  </si>
  <si>
    <t>Melting_Curves/meltCurve_Q96PZ0_PUS7.pdf</t>
  </si>
  <si>
    <t>Melting_Curves/meltCurve_Q96Q11_2_TRNT1.pdf</t>
  </si>
  <si>
    <t>Melting_Curves/meltCurve_Q96Q45_2_TMEM237.pdf</t>
  </si>
  <si>
    <t>Melting_Curves/meltCurve_Q96Q83_ALKBH3.pdf</t>
  </si>
  <si>
    <t>Melting_Curves/meltCurve_Q96QC0_PPP1R10.pdf</t>
  </si>
  <si>
    <t>Melting_Curves/meltCurve_Q96QC4_MICA.pdf</t>
  </si>
  <si>
    <t>Melting_Curves/meltCurve_Q96QG7_MTMR9.pdf</t>
  </si>
  <si>
    <t>Melting_Curves/meltCurve_Q96QK1_VPS35.pdf</t>
  </si>
  <si>
    <t>Melting_Curves/meltCurve_Q96QR8_PURB.pdf</t>
  </si>
  <si>
    <t>Melting_Curves/meltCurve_Q96QU8_XPO6.pdf</t>
  </si>
  <si>
    <t>Melting_Curves/meltCurve_Q96QZ7_6_MAGI1.pdf</t>
  </si>
  <si>
    <t>Melting_Curves/meltCurve_Q96R06_SPAG5.pdf</t>
  </si>
  <si>
    <t>Melting_Curves/meltCurve_Q96RE7_NACC1.pdf</t>
  </si>
  <si>
    <t>Melting_Curves/meltCurve_Q96RF0_3_SNX18.pdf</t>
  </si>
  <si>
    <t>Melting_Curves/meltCurve_Q96RG2_PASK.pdf</t>
  </si>
  <si>
    <t>Melting_Curves/meltCurve_Q96RL1_UIMC1.pdf</t>
  </si>
  <si>
    <t>Melting_Curves/meltCurve_Q96RL7_4_VPS13A.pdf</t>
  </si>
  <si>
    <t>Melting_Curves/meltCurve_Q96RN5_3_MED15.pdf</t>
  </si>
  <si>
    <t>Melting_Curves/meltCurve_Q96RP9_GFM1.pdf</t>
  </si>
  <si>
    <t>Melting_Curves/meltCurve_Q96RR1_PEO1.pdf</t>
  </si>
  <si>
    <t>Melting_Curves/meltCurve_Q96RR4_6_CAMKK2.pdf</t>
  </si>
  <si>
    <t>Melting_Curves/meltCurve_Q96RS0_TGS1.pdf</t>
  </si>
  <si>
    <t>Melting_Curves/meltCurve_Q96RS6_NUDCD1.pdf</t>
  </si>
  <si>
    <t>Melting_Curves/meltCurve_Q96RT1_9_ERBB2IP.pdf</t>
  </si>
  <si>
    <t>Melting_Curves/meltCurve_Q96RU3_4_FNBP1.pdf</t>
  </si>
  <si>
    <t>Melting_Curves/meltCurve_Q96S19_3_C16orf13.pdf</t>
  </si>
  <si>
    <t>Melting_Curves/meltCurve_Q96S38_RPS6KC1.pdf</t>
  </si>
  <si>
    <t>Melting_Curves/meltCurve_Q96S44_TP53RK.pdf</t>
  </si>
  <si>
    <t>Melting_Curves/meltCurve_Q96S52_PIGS.pdf</t>
  </si>
  <si>
    <t>Melting_Curves/meltCurve_Q96S55_2_WRNIP1.pdf</t>
  </si>
  <si>
    <t>Melting_Curves/meltCurve_Q96S59_RANBP9.pdf</t>
  </si>
  <si>
    <t>Melting_Curves/meltCurve_Q96S66_CLCC1.pdf</t>
  </si>
  <si>
    <t>Melting_Curves/meltCurve_Q96S82_UBL7.pdf</t>
  </si>
  <si>
    <t>Melting_Curves/meltCurve_Q96S94_CCNL2.pdf</t>
  </si>
  <si>
    <t>Melting_Curves/meltCurve_Q96S99_PLEKHF1.pdf</t>
  </si>
  <si>
    <t>Melting_Curves/meltCurve_Q96SB8_SMC6.pdf</t>
  </si>
  <si>
    <t>Melting_Curves/meltCurve_Q96SI1_KCTD15.pdf</t>
  </si>
  <si>
    <t>Melting_Curves/meltCurve_Q96SK2_2_TMEM209.pdf</t>
  </si>
  <si>
    <t>Melting_Curves/meltCurve_Q96SQ9_CYP2S1.pdf</t>
  </si>
  <si>
    <t>Melting_Curves/meltCurve_Q96ST2_3_IWS1.pdf</t>
  </si>
  <si>
    <t>Melting_Curves/meltCurve_Q96ST3_SIN3A.pdf</t>
  </si>
  <si>
    <t>Melting_Curves/meltCurve_Q96SZ5_ADO.pdf</t>
  </si>
  <si>
    <t>Melting_Curves/meltCurve_Q96SZ6_2_CDK5RAP1.pdf</t>
  </si>
  <si>
    <t>Melting_Curves/meltCurve_Q96T37_2_RBM15.pdf</t>
  </si>
  <si>
    <t>Melting_Curves/meltCurve_Q96T51_RUFY1.pdf</t>
  </si>
  <si>
    <t>Melting_Curves/meltCurve_Q96T58_SPEN.pdf</t>
  </si>
  <si>
    <t>Melting_Curves/meltCurve_Q96T60_PNKP.pdf</t>
  </si>
  <si>
    <t>Melting_Curves/meltCurve_Q96T76_MMS19.pdf</t>
  </si>
  <si>
    <t>Melting_Curves/meltCurve_Q96T88_UHRF1.pdf</t>
  </si>
  <si>
    <t>Melting_Curves/meltCurve_Q96TA1_2_FAM129B.pdf</t>
  </si>
  <si>
    <t>Melting_Curves/meltCurve_Q96TA2_3_YME1L1.pdf</t>
  </si>
  <si>
    <t>Melting_Curves/meltCurve_Q96TC7_RMDN3.pdf</t>
  </si>
  <si>
    <t>Melting_Curves/meltCurve_Q99081_TCF12.pdf</t>
  </si>
  <si>
    <t>Melting_Curves/meltCurve_Q99417_MYCBP.pdf</t>
  </si>
  <si>
    <t>Melting_Curves/meltCurve_Q99426_TBCB.pdf</t>
  </si>
  <si>
    <t>Melting_Curves/meltCurve_Q99436_PSMB7.pdf</t>
  </si>
  <si>
    <t>Melting_Curves/meltCurve_Q99447_PCYT2.pdf</t>
  </si>
  <si>
    <t>Melting_Curves/meltCurve_Q99459_CDC5L.pdf</t>
  </si>
  <si>
    <t>Melting_Curves/meltCurve_Q99460_PSMD1.pdf</t>
  </si>
  <si>
    <t>Melting_Curves/meltCurve_Q99470_SDF2.pdf</t>
  </si>
  <si>
    <t>Melting_Curves/meltCurve_Q99471_PFDN5.pdf</t>
  </si>
  <si>
    <t>Melting_Curves/meltCurve_Q99487_PAFAH2.pdf</t>
  </si>
  <si>
    <t>Melting_Curves/meltCurve_Q99496_RNF2.pdf</t>
  </si>
  <si>
    <t>Melting_Curves/meltCurve_Q99497_PARK7.pdf</t>
  </si>
  <si>
    <t>Melting_Curves/meltCurve_Q99501_GAS2L1.pdf</t>
  </si>
  <si>
    <t>Melting_Curves/meltCurve_Q99504_2_EYA3.pdf</t>
  </si>
  <si>
    <t>Melting_Curves/meltCurve_Q99519_NEU1.pdf</t>
  </si>
  <si>
    <t>Melting_Curves/meltCurve_Q99523_SORT1.pdf</t>
  </si>
  <si>
    <t>Melting_Curves/meltCurve_Q99536_VAT1.pdf</t>
  </si>
  <si>
    <t>Melting_Curves/meltCurve_Q99541_PLIN2.pdf</t>
  </si>
  <si>
    <t>Melting_Curves/meltCurve_Q99543_DNAJC2.pdf</t>
  </si>
  <si>
    <t>Melting_Curves/meltCurve_Q99543_2_DNAJC2.pdf</t>
  </si>
  <si>
    <t>Melting_Curves/meltCurve_Q99549_MPHOSPH8.pdf</t>
  </si>
  <si>
    <t>Melting_Curves/meltCurve_Q99567_NUP88.pdf</t>
  </si>
  <si>
    <t>Melting_Curves/meltCurve_Q99569_2_PKP4.pdf</t>
  </si>
  <si>
    <t>Melting_Curves/meltCurve_Q99570_PIK3R4.pdf</t>
  </si>
  <si>
    <t>Melting_Curves/meltCurve_Q99575_POP1.pdf</t>
  </si>
  <si>
    <t>Melting_Curves/meltCurve_Q99583_MNT.pdf</t>
  </si>
  <si>
    <t>Melting_Curves/meltCurve_Q99584_S100A13.pdf</t>
  </si>
  <si>
    <t>Melting_Curves/meltCurve_Q99595_TIMM17A.pdf</t>
  </si>
  <si>
    <t>Melting_Curves/meltCurve_Q99598_TSNAX.pdf</t>
  </si>
  <si>
    <t>Melting_Curves/meltCurve_Q99614_TTC1.pdf</t>
  </si>
  <si>
    <t>Melting_Curves/meltCurve_Q99615_DNAJC7.pdf</t>
  </si>
  <si>
    <t>Melting_Curves/meltCurve_Q99618_CDCA3.pdf</t>
  </si>
  <si>
    <t>Melting_Curves/meltCurve_Q99622_C12orf57.pdf</t>
  </si>
  <si>
    <t>Melting_Curves/meltCurve_Q99633_PRPF18.pdf</t>
  </si>
  <si>
    <t>Melting_Curves/meltCurve_Q99640_4_PKMYT1.pdf</t>
  </si>
  <si>
    <t>Melting_Curves/meltCurve_Q99653_CHP1.pdf</t>
  </si>
  <si>
    <t>Melting_Curves/meltCurve_Q99661_KIF2C.pdf</t>
  </si>
  <si>
    <t>Melting_Curves/meltCurve_Q99700_4_ATXN2.pdf</t>
  </si>
  <si>
    <t>Melting_Curves/meltCurve_Q99704_DOK1.pdf</t>
  </si>
  <si>
    <t>Melting_Curves/meltCurve_Q99707_MTR.pdf</t>
  </si>
  <si>
    <t>Melting_Curves/meltCurve_Q99714_HSD17B10.pdf</t>
  </si>
  <si>
    <t>Melting_Curves/meltCurve_Q99720_4_SIGMAR1.pdf</t>
  </si>
  <si>
    <t>Melting_Curves/meltCurve_Q99733_NAP1L4.pdf</t>
  </si>
  <si>
    <t>Melting_Curves/meltCurve_Q99735_2_MGST2.pdf</t>
  </si>
  <si>
    <t>Melting_Curves/meltCurve_Q99747_NAPG.pdf</t>
  </si>
  <si>
    <t>Melting_Curves/meltCurve_Q99757_TXN2.pdf</t>
  </si>
  <si>
    <t>Melting_Curves/meltCurve_Q99766_ATP5S.pdf</t>
  </si>
  <si>
    <t>Melting_Curves/meltCurve_Q99767_2_APBA2.pdf</t>
  </si>
  <si>
    <t>Melting_Curves/meltCurve_Q99797_MIPEP.pdf</t>
  </si>
  <si>
    <t>Melting_Curves/meltCurve_Q99805_TM9SF2.pdf</t>
  </si>
  <si>
    <t>Melting_Curves/meltCurve_Q99808_SLC29A1.pdf</t>
  </si>
  <si>
    <t>Melting_Curves/meltCurve_Q99828_CIB1.pdf</t>
  </si>
  <si>
    <t>Melting_Curves/meltCurve_Q99832_CCT7.pdf</t>
  </si>
  <si>
    <t>Melting_Curves/meltCurve_Q99856_ARID3A.pdf</t>
  </si>
  <si>
    <t>Melting_Curves/meltCurve_Q99871_3_HAUS7.pdf</t>
  </si>
  <si>
    <t>Melting_Curves/meltCurve_Q99878_HIST1H2AJ.pdf</t>
  </si>
  <si>
    <t>Melting_Curves/meltCurve_Q99909_2_SSX3.pdf</t>
  </si>
  <si>
    <t>Melting_Curves/meltCurve_Q99956_DUSP9.pdf</t>
  </si>
  <si>
    <t>Melting_Curves/meltCurve_Q99961_SH3GL1.pdf</t>
  </si>
  <si>
    <t>Melting_Curves/meltCurve_Q99963_4_SH3GL3.pdf</t>
  </si>
  <si>
    <t>Melting_Curves/meltCurve_Q99986_VRK1.pdf</t>
  </si>
  <si>
    <t>Melting_Curves/meltCurve_Q99988_GDF15.pdf</t>
  </si>
  <si>
    <t>Melting_Curves/meltCurve_Q99996_4_AKAP9.pdf</t>
  </si>
  <si>
    <t>Melting_Curves/meltCurve_Q9BPW8_NIPSNAP1.pdf</t>
  </si>
  <si>
    <t>Melting_Curves/meltCurve_Q9BPX3_NCAPG.pdf</t>
  </si>
  <si>
    <t>Melting_Curves/meltCurve_Q9BPX5_ARPC5L.pdf</t>
  </si>
  <si>
    <t>Melting_Curves/meltCurve_Q9BPZ3_PAIP2.pdf</t>
  </si>
  <si>
    <t>Melting_Curves/meltCurve_Q9BQ39_DDX50.pdf</t>
  </si>
  <si>
    <t>Melting_Curves/meltCurve_Q9BQ52_ELAC2.pdf</t>
  </si>
  <si>
    <t>Melting_Curves/meltCurve_Q9BQ61_C19orf43.pdf</t>
  </si>
  <si>
    <t>Melting_Curves/meltCurve_Q9BQ67_GRWD1.pdf</t>
  </si>
  <si>
    <t>Melting_Curves/meltCurve_Q9BQ69_MACROD1.pdf</t>
  </si>
  <si>
    <t>Melting_Curves/meltCurve_Q9BQ70_TCF25.pdf</t>
  </si>
  <si>
    <t>Melting_Curves/meltCurve_Q9BQ90_KLHDC3.pdf</t>
  </si>
  <si>
    <t>Melting_Curves/meltCurve_Q9BQ95_ECSIT.pdf</t>
  </si>
  <si>
    <t>Melting_Curves/meltCurve_Q9BQA1_WDR77.pdf</t>
  </si>
  <si>
    <t>Melting_Curves/meltCurve_Q9BQA9_2_C17orf62.pdf</t>
  </si>
  <si>
    <t>Melting_Curves/meltCurve_Q9BQC3_DPH2.pdf</t>
  </si>
  <si>
    <t>Melting_Curves/meltCurve_Q9BQG2_NUDT12.pdf</t>
  </si>
  <si>
    <t>Melting_Curves/meltCurve_Q9BQI3_2_EIF2AK1.pdf</t>
  </si>
  <si>
    <t>Melting_Curves/meltCurve_Q9BQP7_MGME1.pdf</t>
  </si>
  <si>
    <t>Melting_Curves/meltCurve_Q9BQQ3_GORASP1.pdf</t>
  </si>
  <si>
    <t>Melting_Curves/meltCurve_Q9BQS7_2_HEPH.pdf</t>
  </si>
  <si>
    <t>Melting_Curves/meltCurve_Q9BQS8_FYCO1.pdf</t>
  </si>
  <si>
    <t>Melting_Curves/meltCurve_Q9BQT8_2_SLC25A21.pdf</t>
  </si>
  <si>
    <t>Melting_Curves/meltCurve_Q9BQY4_RHOXF2.pdf</t>
  </si>
  <si>
    <t>Melting_Curves/meltCurve_Q9BR61_ACBD6.pdf</t>
  </si>
  <si>
    <t>Melting_Curves/meltCurve_Q9BR76_CORO1B.pdf</t>
  </si>
  <si>
    <t>Melting_Curves/meltCurve_Q9BRA2_TXNDC17.pdf</t>
  </si>
  <si>
    <t>Melting_Curves/meltCurve_Q9BRD0_BUD13.pdf</t>
  </si>
  <si>
    <t>Melting_Curves/meltCurve_Q9BRF8_CPPED1.pdf</t>
  </si>
  <si>
    <t>Melting_Curves/meltCurve_Q9BRG1_VPS25.pdf</t>
  </si>
  <si>
    <t>Melting_Curves/meltCurve_Q9BRJ2_MRPL45.pdf</t>
  </si>
  <si>
    <t>Melting_Curves/meltCurve_Q9BRK5_SDF4.pdf</t>
  </si>
  <si>
    <t>Melting_Curves/meltCurve_Q9BRP1_PDCD2L.pdf</t>
  </si>
  <si>
    <t>Melting_Curves/meltCurve_Q9BRP4_PAAF1.pdf</t>
  </si>
  <si>
    <t>Melting_Curves/meltCurve_Q9BRP8_2_WIBG.pdf</t>
  </si>
  <si>
    <t>Melting_Curves/meltCurve_Q9BRQ8_AIFM2.pdf</t>
  </si>
  <si>
    <t>Melting_Curves/meltCurve_Q9BRR0_ZKSCAN3.pdf</t>
  </si>
  <si>
    <t>Melting_Curves/meltCurve_Q9BRR6_2_ADPGK.pdf</t>
  </si>
  <si>
    <t>Melting_Curves/meltCurve_Q9BRR8_GPATCH1.pdf</t>
  </si>
  <si>
    <t>Melting_Curves/meltCurve_Q9BRS2_RIOK1.pdf</t>
  </si>
  <si>
    <t>Melting_Curves/meltCurve_Q9BRT2_MNF1.pdf</t>
  </si>
  <si>
    <t>Melting_Curves/meltCurve_Q9BRT9_GINS4.pdf</t>
  </si>
  <si>
    <t>Melting_Curves/meltCurve_Q9BRV8_SIKE1.pdf</t>
  </si>
  <si>
    <t>Melting_Curves/meltCurve_Q9BRX2_PELO.pdf</t>
  </si>
  <si>
    <t>Melting_Curves/meltCurve_Q9BRX5_GINS3.pdf</t>
  </si>
  <si>
    <t>Melting_Curves/meltCurve_Q9BRZ2_TRIM56.pdf</t>
  </si>
  <si>
    <t>Melting_Curves/meltCurve_Q9BS18_ANAPC13.pdf</t>
  </si>
  <si>
    <t>Melting_Curves/meltCurve_Q9BS26_ERP44.pdf</t>
  </si>
  <si>
    <t>Melting_Curves/meltCurve_Q9BSB4_ATG101.pdf</t>
  </si>
  <si>
    <t>Melting_Curves/meltCurve_Q9BSD7_NTPCR.pdf</t>
  </si>
  <si>
    <t>Melting_Curves/meltCurve_Q9BSF4_C19orf52.pdf</t>
  </si>
  <si>
    <t>Melting_Curves/meltCurve_Q9BSG0_PRADC1.pdf</t>
  </si>
  <si>
    <t>Melting_Curves/meltCurve_Q9BSH4_TACO1.pdf</t>
  </si>
  <si>
    <t>Melting_Curves/meltCurve_Q9BSH5_HDHD3.pdf</t>
  </si>
  <si>
    <t>Melting_Curves/meltCurve_Q9BSJ2_TUBGCP2.pdf</t>
  </si>
  <si>
    <t>Melting_Curves/meltCurve_Q9BSJ5_C17orf80.pdf</t>
  </si>
  <si>
    <t>Melting_Curves/meltCurve_Q9BSJ8_2_ESYT1.pdf</t>
  </si>
  <si>
    <t>Melting_Curves/meltCurve_Q9BSK2_SLC25A33.pdf</t>
  </si>
  <si>
    <t>Melting_Curves/meltCurve_Q9BSL1_UBAC1.pdf</t>
  </si>
  <si>
    <t>Melting_Curves/meltCurve_Q9BSR8_YIPF4.pdf</t>
  </si>
  <si>
    <t>Melting_Curves/meltCurve_Q9BSU3_NAA11.pdf</t>
  </si>
  <si>
    <t>Melting_Curves/meltCurve_Q9BSV6_TSEN34.pdf</t>
  </si>
  <si>
    <t>Melting_Curves/meltCurve_Q9BSW2_2_EFCAB4B.pdf</t>
  </si>
  <si>
    <t>Melting_Curves/meltCurve_Q9BSY4_CHCHD5.pdf</t>
  </si>
  <si>
    <t>Melting_Curves/meltCurve_Q9BT09_CNPY3.pdf</t>
  </si>
  <si>
    <t>Melting_Curves/meltCurve_Q9BT22_ALG1.pdf</t>
  </si>
  <si>
    <t>Melting_Curves/meltCurve_Q9BT23_LIMD2.pdf</t>
  </si>
  <si>
    <t>Melting_Curves/meltCurve_Q9BT25_2_HAUS8.pdf</t>
  </si>
  <si>
    <t>Melting_Curves/meltCurve_Q9BT30_ALKBH7.pdf</t>
  </si>
  <si>
    <t>Melting_Curves/meltCurve_Q9BT73_PSMG3.pdf</t>
  </si>
  <si>
    <t>Melting_Curves/meltCurve_Q9BT78_COPS4.pdf</t>
  </si>
  <si>
    <t>Melting_Curves/meltCurve_Q9BTA9_2_WAC.pdf</t>
  </si>
  <si>
    <t>Melting_Curves/meltCurve_Q9BTC0_DIDO1.pdf</t>
  </si>
  <si>
    <t>Melting_Curves/meltCurve_Q9BTE3_2_MCMBP.pdf</t>
  </si>
  <si>
    <t>Melting_Curves/meltCurve_Q9BTE7_DCUN1D5.pdf</t>
  </si>
  <si>
    <t>Melting_Curves/meltCurve_Q9BTL3_FAM103A1.pdf</t>
  </si>
  <si>
    <t>Melting_Curves/meltCurve_Q9BTT0_ANP32E.pdf</t>
  </si>
  <si>
    <t>Melting_Curves/meltCurve_Q9BTT4_MED10.pdf</t>
  </si>
  <si>
    <t>Melting_Curves/meltCurve_Q9BTU6_PI4K2A.pdf</t>
  </si>
  <si>
    <t>Melting_Curves/meltCurve_Q9BTV4_TMEM43.pdf</t>
  </si>
  <si>
    <t>Melting_Curves/meltCurve_Q9BTV6_WDR85.pdf</t>
  </si>
  <si>
    <t>Melting_Curves/meltCurve_Q9BTV7_CABLES2.pdf</t>
  </si>
  <si>
    <t>Melting_Curves/meltCurve_Q9BTY2_FUCA2.pdf</t>
  </si>
  <si>
    <t>Melting_Curves/meltCurve_Q9BTY7_FAM203A.pdf</t>
  </si>
  <si>
    <t>Melting_Curves/meltCurve_Q9BTZ2_8_DHRS4.pdf</t>
  </si>
  <si>
    <t>Melting_Curves/meltCurve_Q9BU23_3_LMF2.pdf</t>
  </si>
  <si>
    <t>Melting_Curves/meltCurve_Q9BU61_NDUFAF3.pdf</t>
  </si>
  <si>
    <t>Melting_Curves/meltCurve_Q9BU76_4_MMTAG2.pdf</t>
  </si>
  <si>
    <t>Melting_Curves/meltCurve_Q9BU89_DOHH.pdf</t>
  </si>
  <si>
    <t>Melting_Curves/meltCurve_Q9BUA3_C11orf84.pdf</t>
  </si>
  <si>
    <t>Melting_Curves/meltCurve_Q9BUB5_2_MKNK1.pdf</t>
  </si>
  <si>
    <t>Melting_Curves/meltCurve_Q9BUB7_TMEM70.pdf</t>
  </si>
  <si>
    <t>Melting_Curves/meltCurve_Q9BUE0_MED18.pdf</t>
  </si>
  <si>
    <t>Melting_Curves/meltCurve_Q9BUE6_ISCA1.pdf</t>
  </si>
  <si>
    <t>Melting_Curves/meltCurve_Q9BUF5_TUBB6.pdf</t>
  </si>
  <si>
    <t>Melting_Curves/meltCurve_Q9BUH6_C9orf142.pdf</t>
  </si>
  <si>
    <t>Melting_Curves/meltCurve_Q9BUI4_POLR3C.pdf</t>
  </si>
  <si>
    <t>Melting_Curves/meltCurve_Q9BUJ2_2_HNRNPUL1.pdf</t>
  </si>
  <si>
    <t>Melting_Curves/meltCurve_Q9BUK6_3_MSTO1.pdf</t>
  </si>
  <si>
    <t>Melting_Curves/meltCurve_Q9BUL9_RPP25.pdf</t>
  </si>
  <si>
    <t>Melting_Curves/meltCurve_Q9BUP3_3_HTATIP2.pdf</t>
  </si>
  <si>
    <t>Melting_Curves/meltCurve_Q9BUQ8_DDX23.pdf</t>
  </si>
  <si>
    <t>Melting_Curves/meltCurve_Q9BUR4_WRAP53.pdf</t>
  </si>
  <si>
    <t>Melting_Curves/meltCurve_Q9BUT1_BDH2.pdf</t>
  </si>
  <si>
    <t>Melting_Curves/meltCurve_Q9BUT9_FAM195A.pdf</t>
  </si>
  <si>
    <t>Melting_Curves/meltCurve_Q9BUW7_C9orf16.pdf</t>
  </si>
  <si>
    <t>Melting_Curves/meltCurve_Q9BUZ4_TRAF4.pdf</t>
  </si>
  <si>
    <t>Melting_Curves/meltCurve_Q9BV19_C1orf50.pdf</t>
  </si>
  <si>
    <t>Melting_Curves/meltCurve_Q9BV20_MRI1.pdf</t>
  </si>
  <si>
    <t>Melting_Curves/meltCurve_Q9BV23_ABHD6.pdf</t>
  </si>
  <si>
    <t>Melting_Curves/meltCurve_Q9BV38_WDR18.pdf</t>
  </si>
  <si>
    <t>Melting_Curves/meltCurve_Q9BV40_VAMP8.pdf</t>
  </si>
  <si>
    <t>Melting_Curves/meltCurve_Q9BV44_THUMPD3.pdf</t>
  </si>
  <si>
    <t>Melting_Curves/meltCurve_Q9BV57_ADI1.pdf</t>
  </si>
  <si>
    <t>Melting_Curves/meltCurve_Q9BV68_2_RNF126.pdf</t>
  </si>
  <si>
    <t>Melting_Curves/meltCurve_Q9BV73_2_CEP250.pdf</t>
  </si>
  <si>
    <t>Melting_Curves/meltCurve_Q9BV79_MECR.pdf</t>
  </si>
  <si>
    <t>Melting_Curves/meltCurve_Q9BV81_EMC6.pdf</t>
  </si>
  <si>
    <t>Melting_Curves/meltCurve_Q9BV86_NTMT1.pdf</t>
  </si>
  <si>
    <t>Melting_Curves/meltCurve_Q9BVA0_KATNB1.pdf</t>
  </si>
  <si>
    <t>Melting_Curves/meltCurve_Q9BVA1_TUBB2B.pdf</t>
  </si>
  <si>
    <t>Melting_Curves/meltCurve_Q9BVC3_DSCC1.pdf</t>
  </si>
  <si>
    <t>Melting_Curves/meltCurve_Q9BVC5_C2orf49.pdf</t>
  </si>
  <si>
    <t>Melting_Curves/meltCurve_Q9BVC6_TMEM109.pdf</t>
  </si>
  <si>
    <t>Melting_Curves/meltCurve_Q9BVG4_PBDC1.pdf</t>
  </si>
  <si>
    <t>Melting_Curves/meltCurve_Q9BVG9_PTDSS2.pdf</t>
  </si>
  <si>
    <t>Melting_Curves/meltCurve_Q9BVI4_NOC4L.pdf</t>
  </si>
  <si>
    <t>Melting_Curves/meltCurve_Q9BVJ6_3_UTP14A.pdf</t>
  </si>
  <si>
    <t>Melting_Curves/meltCurve_Q9BVJ7_DUSP23.pdf</t>
  </si>
  <si>
    <t>Melting_Curves/meltCurve_Q9BVK6_TMED9.pdf</t>
  </si>
  <si>
    <t>Melting_Curves/meltCurve_Q9BVL4_SELO.pdf</t>
  </si>
  <si>
    <t>Melting_Curves/meltCurve_Q9BVQ7_SPATA5L1.pdf</t>
  </si>
  <si>
    <t>Melting_Curves/meltCurve_Q9BVS4_RIOK2.pdf</t>
  </si>
  <si>
    <t>Melting_Curves/meltCurve_Q9BVS5_TRMT61B.pdf</t>
  </si>
  <si>
    <t>Melting_Curves/meltCurve_Q9BVV7_TIMM21.pdf</t>
  </si>
  <si>
    <t>Melting_Curves/meltCurve_Q9BW04_SARG.pdf</t>
  </si>
  <si>
    <t>Melting_Curves/meltCurve_Q9BW19_KIFC1.pdf</t>
  </si>
  <si>
    <t>Melting_Curves/meltCurve_Q9BW27_NUP85.pdf</t>
  </si>
  <si>
    <t>Melting_Curves/meltCurve_Q9BW60_ELOVL1.pdf</t>
  </si>
  <si>
    <t>Melting_Curves/meltCurve_Q9BW61_DDA1.pdf</t>
  </si>
  <si>
    <t>Melting_Curves/meltCurve_Q9BW71_2_HIRIP3.pdf</t>
  </si>
  <si>
    <t>Melting_Curves/meltCurve_Q9BW85_CCDC94.pdf</t>
  </si>
  <si>
    <t>Melting_Curves/meltCurve_Q9BW91_2_NUDT9.pdf</t>
  </si>
  <si>
    <t>Melting_Curves/meltCurve_Q9BW92_TARS2.pdf</t>
  </si>
  <si>
    <t>Melting_Curves/meltCurve_Q9BWD1_ACAT2.pdf</t>
  </si>
  <si>
    <t>Melting_Curves/meltCurve_Q9BWE0_REPIN1.pdf</t>
  </si>
  <si>
    <t>Melting_Curves/meltCurve_Q9BWF3_RBM4.pdf</t>
  </si>
  <si>
    <t>Melting_Curves/meltCurve_Q9BWG6_SCNM1.pdf</t>
  </si>
  <si>
    <t>Melting_Curves/meltCurve_Q9BWH2_FUNDC2.pdf</t>
  </si>
  <si>
    <t>Melting_Curves/meltCurve_Q9BWH6_RPAP1.pdf</t>
  </si>
  <si>
    <t>Melting_Curves/meltCurve_Q9BWJ5_SF3B5.pdf</t>
  </si>
  <si>
    <t>Melting_Curves/meltCurve_Q9BWM7_SFXN3.pdf</t>
  </si>
  <si>
    <t>Melting_Curves/meltCurve_Q9BWT3_PAPOLG.pdf</t>
  </si>
  <si>
    <t>Melting_Curves/meltCurve_Q9BWT6_MND1.pdf</t>
  </si>
  <si>
    <t>Melting_Curves/meltCurve_Q9BWU0_SLC4A1AP.pdf</t>
  </si>
  <si>
    <t>Melting_Curves/meltCurve_Q9BWW4_2_SSBP3.pdf</t>
  </si>
  <si>
    <t>Melting_Curves/meltCurve_Q9BWW5_SSDP4.pdf</t>
  </si>
  <si>
    <t>Melting_Curves/meltCurve_Q9BX10_2_GTPBP2.pdf</t>
  </si>
  <si>
    <t>Melting_Curves/meltCurve_Q9BX40_LSM14B.pdf</t>
  </si>
  <si>
    <t>Melting_Curves/meltCurve_Q9BX63_BRIP1.pdf</t>
  </si>
  <si>
    <t>Melting_Curves/meltCurve_Q9BX66_9_SORBS1.pdf</t>
  </si>
  <si>
    <t>Melting_Curves/meltCurve_Q9BX68_HINT2.pdf</t>
  </si>
  <si>
    <t>Melting_Curves/meltCurve_Q9BX69_CARD6.pdf</t>
  </si>
  <si>
    <t>Melting_Curves/meltCurve_Q9BX95_SGPP1.pdf</t>
  </si>
  <si>
    <t>Melting_Curves/meltCurve_Q9BXB4_OSBPL11.pdf</t>
  </si>
  <si>
    <t>Melting_Curves/meltCurve_Q9BXH1_BBC3.pdf</t>
  </si>
  <si>
    <t>Melting_Curves/meltCurve_Q9BXJ9_NAA15.pdf</t>
  </si>
  <si>
    <t>Melting_Curves/meltCurve_Q9BXK1_KLF16.pdf</t>
  </si>
  <si>
    <t>Melting_Curves/meltCurve_Q9BXK5_BCL2L13.pdf</t>
  </si>
  <si>
    <t>Melting_Curves/meltCurve_Q9BXL5_HEMGN.pdf</t>
  </si>
  <si>
    <t>Melting_Curves/meltCurve_Q9BXL7_CARD11.pdf</t>
  </si>
  <si>
    <t>Melting_Curves/meltCurve_Q9BXP2_SLC12A9.pdf</t>
  </si>
  <si>
    <t>Melting_Curves/meltCurve_Q9BXP5_4_SRRT.pdf</t>
  </si>
  <si>
    <t>Melting_Curves/meltCurve_Q9BXR0_QTRT1.pdf</t>
  </si>
  <si>
    <t>Melting_Curves/meltCurve_Q9BXS6_2_NUSAP1.pdf</t>
  </si>
  <si>
    <t>Melting_Curves/meltCurve_Q9BXV9_C14orf142.pdf</t>
  </si>
  <si>
    <t>Melting_Curves/meltCurve_Q9BXW7_2_CECR5.pdf</t>
  </si>
  <si>
    <t>Melting_Curves/meltCurve_Q9BXW9_2_FANCD2.pdf</t>
  </si>
  <si>
    <t>Melting_Curves/meltCurve_Q9BY27_DGCR6L.pdf</t>
  </si>
  <si>
    <t>Melting_Curves/meltCurve_Q9BY32_ITPA.pdf</t>
  </si>
  <si>
    <t>Melting_Curves/meltCurve_Q9BY42_RTFDC1.pdf</t>
  </si>
  <si>
    <t>Melting_Curves/meltCurve_Q9BY44_EIF2A.pdf</t>
  </si>
  <si>
    <t>Melting_Curves/meltCurve_Q9BY77_POLDIP3.pdf</t>
  </si>
  <si>
    <t>Melting_Curves/meltCurve_Q9BYB4_GNB1L.pdf</t>
  </si>
  <si>
    <t>Melting_Curves/meltCurve_Q9BYC5_2_FUT8.pdf</t>
  </si>
  <si>
    <t>Melting_Curves/meltCurve_Q9BYC8_MRPL32.pdf</t>
  </si>
  <si>
    <t>Melting_Curves/meltCurve_Q9BYD6_MRPL1.pdf</t>
  </si>
  <si>
    <t>Melting_Curves/meltCurve_Q9BYG5_PARD6B.pdf</t>
  </si>
  <si>
    <t>Melting_Curves/meltCurve_Q9BYI3_FAM126A.pdf</t>
  </si>
  <si>
    <t>Melting_Curves/meltCurve_Q9BYT8_NLN.pdf</t>
  </si>
  <si>
    <t>Melting_Curves/meltCurve_Q9BYV8_CEP41.pdf</t>
  </si>
  <si>
    <t>Melting_Curves/meltCurve_Q9BYW2_SETD2.pdf</t>
  </si>
  <si>
    <t>Melting_Curves/meltCurve_Q9BYX2_4_TBC1D2.pdf</t>
  </si>
  <si>
    <t>Melting_Curves/meltCurve_Q9BZ23_3_PANK2.pdf</t>
  </si>
  <si>
    <t>Melting_Curves/meltCurve_Q9BZ29_3_DOCK9.pdf</t>
  </si>
  <si>
    <t>Melting_Curves/meltCurve_Q9BZ95_4_WHSC1L1.pdf</t>
  </si>
  <si>
    <t>Melting_Curves/meltCurve_Q9BZD3_GCOM2.pdf</t>
  </si>
  <si>
    <t>Melting_Curves/meltCurve_Q9BZD4_NUF2.pdf</t>
  </si>
  <si>
    <t>Melting_Curves/meltCurve_Q9BZE1_MRPL37.pdf</t>
  </si>
  <si>
    <t>Melting_Curves/meltCurve_Q9BZE2_PUS3.pdf</t>
  </si>
  <si>
    <t>Melting_Curves/meltCurve_Q9BZE9_ASPSCR1.pdf</t>
  </si>
  <si>
    <t>Melting_Curves/meltCurve_Q9BZF1_3_OSBPL8.pdf</t>
  </si>
  <si>
    <t>Melting_Curves/meltCurve_Q9BZF3_4_OSBPL6.pdf</t>
  </si>
  <si>
    <t>Melting_Curves/meltCurve_Q9BZH6_WDR11.pdf</t>
  </si>
  <si>
    <t>Melting_Curves/meltCurve_Q9BZI7_2_UPF3B.pdf</t>
  </si>
  <si>
    <t>Melting_Curves/meltCurve_Q9BZK7_TBL1XR1.pdf</t>
  </si>
  <si>
    <t>Melting_Curves/meltCurve_Q9BZL1_UBL5.pdf</t>
  </si>
  <si>
    <t>Melting_Curves/meltCurve_Q9BZM1_PLA2G12A.pdf</t>
  </si>
  <si>
    <t>Melting_Curves/meltCurve_Q9BZM6_ULBP1.pdf</t>
  </si>
  <si>
    <t>Melting_Curves/meltCurve_Q9BZQ8_FAM129A.pdf</t>
  </si>
  <si>
    <t>Melting_Curves/meltCurve_Q9BZX2_UCK2.pdf</t>
  </si>
  <si>
    <t>Melting_Curves/meltCurve_Q9BZZ5_API5.pdf</t>
  </si>
  <si>
    <t>Melting_Curves/meltCurve_Q9BZZ5_2_API5.pdf</t>
  </si>
  <si>
    <t>Melting_Curves/meltCurve_Q9C004_SPRY4.pdf</t>
  </si>
  <si>
    <t>Melting_Curves/meltCurve_Q9C005_DPY30.pdf</t>
  </si>
  <si>
    <t>Melting_Curves/meltCurve_Q9C037_2_TRIM4.pdf</t>
  </si>
  <si>
    <t>Melting_Curves/meltCurve_Q9C073_FAM117A.pdf</t>
  </si>
  <si>
    <t>Melting_Curves/meltCurve_Q9C0B0_UNK.pdf</t>
  </si>
  <si>
    <t>Melting_Curves/meltCurve_Q9C0B1_FTO.pdf</t>
  </si>
  <si>
    <t>Melting_Curves/meltCurve_Q9C0B5_2_ZDHHC5.pdf</t>
  </si>
  <si>
    <t>Melting_Curves/meltCurve_Q9C0B7_TANGO6.pdf</t>
  </si>
  <si>
    <t>Melting_Curves/meltCurve_Q9C0C2_TNKS1BP1.pdf</t>
  </si>
  <si>
    <t>Melting_Curves/meltCurve_Q9C0C4_SEMA4C.pdf</t>
  </si>
  <si>
    <t>Melting_Curves/meltCurve_Q9C0C7_4_AMBRA1.pdf</t>
  </si>
  <si>
    <t>Melting_Curves/meltCurve_Q9C0C9_UBE2O.pdf</t>
  </si>
  <si>
    <t>Melting_Curves/meltCurve_Q9C0D3_ZYG11B.pdf</t>
  </si>
  <si>
    <t>Melting_Curves/meltCurve_Q9C0F1_CEP44.pdf</t>
  </si>
  <si>
    <t>Melting_Curves/meltCurve_Q9C0I1_MTMR12.pdf</t>
  </si>
  <si>
    <t>Melting_Curves/meltCurve_Q9C0J8_WDR33.pdf</t>
  </si>
  <si>
    <t>Melting_Curves/meltCurve_Q9GZL7_WDR12.pdf</t>
  </si>
  <si>
    <t>Melting_Curves/meltCurve_Q9GZN1_ACTR6.pdf</t>
  </si>
  <si>
    <t>Melting_Curves/meltCurve_Q9GZN8_C20orf27.pdf</t>
  </si>
  <si>
    <t>Melting_Curves/meltCurve_Q9GZP1_NRSN2.pdf</t>
  </si>
  <si>
    <t>Melting_Curves/meltCurve_Q9GZP4_PITHD1.pdf</t>
  </si>
  <si>
    <t>Melting_Curves/meltCurve_Q9GZP9_DERL2.pdf</t>
  </si>
  <si>
    <t>Melting_Curves/meltCurve_Q9GZQ3_COMMD5.pdf</t>
  </si>
  <si>
    <t>Melting_Curves/meltCurve_Q9GZS1_2_POLR1E.pdf</t>
  </si>
  <si>
    <t>Melting_Curves/meltCurve_Q9GZS3_WDR61.pdf</t>
  </si>
  <si>
    <t>Melting_Curves/meltCurve_Q9GZT3_2_SLIRP.pdf</t>
  </si>
  <si>
    <t>Melting_Curves/meltCurve_Q9GZT4_SRR.pdf</t>
  </si>
  <si>
    <t>Melting_Curves/meltCurve_Q9GZT6_2_CCDC90B.pdf</t>
  </si>
  <si>
    <t>Melting_Curves/meltCurve_Q9GZT8_2_NIF3L1.pdf</t>
  </si>
  <si>
    <t>Melting_Curves/meltCurve_Q9GZT9_EGLN1.pdf</t>
  </si>
  <si>
    <t>Melting_Curves/meltCurve_Q9GZU8_FAM192A.pdf</t>
  </si>
  <si>
    <t>Melting_Curves/meltCurve_Q9GZX9_TWSG1.pdf</t>
  </si>
  <si>
    <t>Melting_Curves/meltCurve_Q9GZY4_COA1.pdf</t>
  </si>
  <si>
    <t>Melting_Curves/meltCurve_Q9GZY8_2_MFF.pdf</t>
  </si>
  <si>
    <t>Melting_Curves/meltCurve_Q9GZZ9_UBA5.pdf</t>
  </si>
  <si>
    <t>Melting_Curves/meltCurve_Q9H019_3_MTFR1L.pdf</t>
  </si>
  <si>
    <t>Melting_Curves/meltCurve_Q9H061_TMEM126A.pdf</t>
  </si>
  <si>
    <t>Melting_Curves/meltCurve_Q9H074_PAIP1.pdf</t>
  </si>
  <si>
    <t>Melting_Curves/meltCurve_Q9H078_2_CLPB.pdf</t>
  </si>
  <si>
    <t>Melting_Curves/meltCurve_Q9H081_MIS12.pdf</t>
  </si>
  <si>
    <t>Melting_Curves/meltCurve_Q9H082_RAB33B.pdf</t>
  </si>
  <si>
    <t>Melting_Curves/meltCurve_Q9H089_LSG1.pdf</t>
  </si>
  <si>
    <t>Melting_Curves/meltCurve_Q9H0B6_KLC2.pdf</t>
  </si>
  <si>
    <t>Melting_Curves/meltCurve_Q9H0C8_ILKAP.pdf</t>
  </si>
  <si>
    <t>Melting_Curves/meltCurve_Q9H0D6_XRN2.pdf</t>
  </si>
  <si>
    <t>Melting_Curves/meltCurve_Q9H0E2_TOLLIP.pdf</t>
  </si>
  <si>
    <t>Melting_Curves/meltCurve_Q9H0E9_2_BRD8.pdf</t>
  </si>
  <si>
    <t>Melting_Curves/meltCurve_Q9H0F6_2_SHARPIN.pdf</t>
  </si>
  <si>
    <t>Melting_Curves/meltCurve_Q9H0G5_NSRP1.pdf</t>
  </si>
  <si>
    <t>Melting_Curves/meltCurve_Q9H0H5_RACGAP1.pdf</t>
  </si>
  <si>
    <t>Melting_Curves/meltCurve_Q9H0J9_PARP12.pdf</t>
  </si>
  <si>
    <t>Melting_Curves/meltCurve_Q9H0K6_PUS7L.pdf</t>
  </si>
  <si>
    <t>Melting_Curves/meltCurve_Q9H0L4_CSTF2T.pdf</t>
  </si>
  <si>
    <t>Melting_Curves/meltCurve_Q9H0P0_NT5C3A.pdf</t>
  </si>
  <si>
    <t>Melting_Curves/meltCurve_Q9H0R4_HDHD2.pdf</t>
  </si>
  <si>
    <t>Melting_Curves/meltCurve_Q9H0R6_QRSL1.pdf</t>
  </si>
  <si>
    <t>Melting_Curves/meltCurve_Q9H0S4_2_DDX47.pdf</t>
  </si>
  <si>
    <t>Melting_Curves/meltCurve_Q9H0U3_MAGT1.pdf</t>
  </si>
  <si>
    <t>Melting_Curves/meltCurve_Q9H0U4_RAB1B.pdf</t>
  </si>
  <si>
    <t>Melting_Curves/meltCurve_Q9H0U6_MRPL18.pdf</t>
  </si>
  <si>
    <t>Melting_Curves/meltCurve_Q9H0U9_TSPYL1.pdf</t>
  </si>
  <si>
    <t>Melting_Curves/meltCurve_Q9H0V1_TMEM168.pdf</t>
  </si>
  <si>
    <t>Melting_Curves/meltCurve_Q9H0V9_LMAN2L.pdf</t>
  </si>
  <si>
    <t>Melting_Curves/meltCurve_Q9H0W8_2_SMG9.pdf</t>
  </si>
  <si>
    <t>Melting_Curves/meltCurve_Q9H0W9_C11orf54.pdf</t>
  </si>
  <si>
    <t>Melting_Curves/meltCurve_Q9H0X4_ITFG3.pdf</t>
  </si>
  <si>
    <t>Melting_Curves/meltCurve_Q9H160_ING2.pdf</t>
  </si>
  <si>
    <t>Melting_Curves/meltCurve_Q9H173_SIL1.pdf</t>
  </si>
  <si>
    <t>Melting_Curves/meltCurve_Q9H1A3_2_METTL9.pdf</t>
  </si>
  <si>
    <t>Melting_Curves/meltCurve_Q9H1A4_ANAPC1.pdf</t>
  </si>
  <si>
    <t>Melting_Curves/meltCurve_Q9H1B7_IRF2BPL.pdf</t>
  </si>
  <si>
    <t>Melting_Curves/meltCurve_Q9H1D9_POLR3F.pdf</t>
  </si>
  <si>
    <t>Melting_Curves/meltCurve_Q9H1E3_NUCKS1.pdf</t>
  </si>
  <si>
    <t>Melting_Curves/meltCurve_Q9H1H9_3_KIF13A.pdf</t>
  </si>
  <si>
    <t>Melting_Curves/meltCurve_Q9H1J1_2_UPF3A.pdf</t>
  </si>
  <si>
    <t>Melting_Curves/meltCurve_Q9H1K0_ZFYVE20.pdf</t>
  </si>
  <si>
    <t>Melting_Curves/meltCurve_Q9H1K1_ISCU.pdf</t>
  </si>
  <si>
    <t>Melting_Curves/meltCurve_Q9H1K6_MESDC1.pdf</t>
  </si>
  <si>
    <t>Melting_Curves/meltCurve_Q9H1P3_2_OSBPL2.pdf</t>
  </si>
  <si>
    <t>Melting_Curves/meltCurve_Q9H1Y0_ATG5.pdf</t>
  </si>
  <si>
    <t>Melting_Curves/meltCurve_Q9H1Z4_WDR13.pdf</t>
  </si>
  <si>
    <t>Melting_Curves/meltCurve_Q9H211_CDT1.pdf</t>
  </si>
  <si>
    <t>Melting_Curves/meltCurve_Q9H223_EHD4.pdf</t>
  </si>
  <si>
    <t>Melting_Curves/meltCurve_Q9H257_2_CARD9.pdf</t>
  </si>
  <si>
    <t>Melting_Curves/meltCurve_Q9H267_VPS33B.pdf</t>
  </si>
  <si>
    <t>Melting_Curves/meltCurve_Q9H269_VPS16.pdf</t>
  </si>
  <si>
    <t>Melting_Curves/meltCurve_Q9H270_VPS11.pdf</t>
  </si>
  <si>
    <t>Melting_Curves/meltCurve_Q9H2C0_GAN.pdf</t>
  </si>
  <si>
    <t>Melting_Curves/meltCurve_Q9H2D1_SLC25A32.pdf</t>
  </si>
  <si>
    <t>Melting_Curves/meltCurve_Q9H2G2_2_SLK.pdf</t>
  </si>
  <si>
    <t>Melting_Curves/meltCurve_Q9H2G9_BLZF1.pdf</t>
  </si>
  <si>
    <t>Melting_Curves/meltCurve_Q9H2J4_PDCL3.pdf</t>
  </si>
  <si>
    <t>Melting_Curves/meltCurve_Q9H2K0_MTIF3.pdf</t>
  </si>
  <si>
    <t>Melting_Curves/meltCurve_Q9H2K8_TAOK3.pdf</t>
  </si>
  <si>
    <t>Melting_Curves/meltCurve_Q9H2M9_RAB3GAP2.pdf</t>
  </si>
  <si>
    <t>Melting_Curves/meltCurve_Q9H2P0_ADNP.pdf</t>
  </si>
  <si>
    <t>Melting_Curves/meltCurve_Q9H2P9_3_DPH5.pdf</t>
  </si>
  <si>
    <t>Melting_Curves/meltCurve_Q9H2U2_PPA2.pdf</t>
  </si>
  <si>
    <t>Melting_Curves/meltCurve_Q9H2W6_MRPL46.pdf</t>
  </si>
  <si>
    <t>Melting_Curves/meltCurve_Q9H300_PARL.pdf</t>
  </si>
  <si>
    <t>Melting_Curves/meltCurve_Q9H307_PNN.pdf</t>
  </si>
  <si>
    <t>Melting_Curves/meltCurve_Q9H330_2_TMEM245.pdf</t>
  </si>
  <si>
    <t>Melting_Curves/meltCurve_Q9H3C7_GGNBP2.pdf</t>
  </si>
  <si>
    <t>Melting_Curves/meltCurve_Q9H3H1_4_TRIT1.pdf</t>
  </si>
  <si>
    <t>Melting_Curves/meltCurve_Q9H3H3_2_C11orf68.pdf</t>
  </si>
  <si>
    <t>Melting_Curves/meltCurve_Q9H3H5_2_DPAGT1.pdf</t>
  </si>
  <si>
    <t>Melting_Curves/meltCurve_Q9H3J6_C12orf65.pdf</t>
  </si>
  <si>
    <t>Melting_Curves/meltCurve_Q9H3K6_BOLA2.pdf</t>
  </si>
  <si>
    <t>Melting_Curves/meltCurve_Q9H3M7_TXNIP.pdf</t>
  </si>
  <si>
    <t>Melting_Curves/meltCurve_Q9H3N1_TMX1.pdf</t>
  </si>
  <si>
    <t>Melting_Curves/meltCurve_Q9H3P2_NELFA.pdf</t>
  </si>
  <si>
    <t>Melting_Curves/meltCurve_Q9H3P7_ACBD3.pdf</t>
  </si>
  <si>
    <t>Melting_Curves/meltCurve_Q9H3Q1_CDC42EP4.pdf</t>
  </si>
  <si>
    <t>Melting_Curves/meltCurve_Q9H3R5_CENPH.pdf</t>
  </si>
  <si>
    <t>Melting_Curves/meltCurve_Q9H3S7_PTPN23.pdf</t>
  </si>
  <si>
    <t>Melting_Curves/meltCurve_Q9H3U1_UNC45A.pdf</t>
  </si>
  <si>
    <t>Melting_Curves/meltCurve_Q9H3U5_3_MFSD1.pdf</t>
  </si>
  <si>
    <t>Melting_Curves/meltCurve_Q9H3Y8_PPDPF.pdf</t>
  </si>
  <si>
    <t>Melting_Curves/meltCurve_Q9H3Z4_2_DNAJC5.pdf</t>
  </si>
  <si>
    <t>Melting_Curves/meltCurve_Q9H410_DSN1.pdf</t>
  </si>
  <si>
    <t>Melting_Curves/meltCurve_Q9H425_C1orf198.pdf</t>
  </si>
  <si>
    <t>Melting_Curves/meltCurve_Q9H444_CHMP4B.pdf</t>
  </si>
  <si>
    <t>Melting_Curves/meltCurve_Q9H467_CUEDC2.pdf</t>
  </si>
  <si>
    <t>Melting_Curves/meltCurve_Q9H469_FBXL15.pdf</t>
  </si>
  <si>
    <t>Melting_Curves/meltCurve_Q9H479_FN3K.pdf</t>
  </si>
  <si>
    <t>Melting_Curves/meltCurve_Q9H488_POFUT1.pdf</t>
  </si>
  <si>
    <t>Melting_Curves/meltCurve_Q9H490_2_PIGU.pdf</t>
  </si>
  <si>
    <t>Melting_Curves/meltCurve_Q9H496_IFRG15.pdf</t>
  </si>
  <si>
    <t>Melting_Curves/meltCurve_Q9H497_TOR3A.pdf</t>
  </si>
  <si>
    <t>Melting_Curves/meltCurve_Q9H4A4_RNPEP.pdf</t>
  </si>
  <si>
    <t>Melting_Curves/meltCurve_Q9H4A5_GOLPH3L.pdf</t>
  </si>
  <si>
    <t>Melting_Curves/meltCurve_Q9H4A6_GOLPH3.pdf</t>
  </si>
  <si>
    <t>Melting_Curves/meltCurve_Q9H4E7_DEF6.pdf</t>
  </si>
  <si>
    <t>Melting_Curves/meltCurve_Q9H4H8_FAM83D.pdf</t>
  </si>
  <si>
    <t>Melting_Curves/meltCurve_Q9H4L5_OSBPL3.pdf</t>
  </si>
  <si>
    <t>Melting_Curves/meltCurve_Q9H4L7_SMARCAD1.pdf</t>
  </si>
  <si>
    <t>Melting_Curves/meltCurve_Q9H4M9_EHD1.pdf</t>
  </si>
  <si>
    <t>Melting_Curves/meltCurve_Q9H4P4_2_RNF41.pdf</t>
  </si>
  <si>
    <t>Melting_Curves/meltCurve_Q9H4Z3_PCIF1.pdf</t>
  </si>
  <si>
    <t>Melting_Curves/meltCurve_Q9H501_ESF1.pdf</t>
  </si>
  <si>
    <t>Melting_Curves/meltCurve_Q9H553_ALG2.pdf</t>
  </si>
  <si>
    <t>Melting_Curves/meltCurve_Q9H5K3_SGK196.pdf</t>
  </si>
  <si>
    <t>Melting_Curves/meltCurve_Q9H5N1_RABEP2.pdf</t>
  </si>
  <si>
    <t>Melting_Curves/meltCurve_Q9H5Q4_TFB2M.pdf</t>
  </si>
  <si>
    <t>Melting_Curves/meltCurve_Q9H5V8_CDCP1.pdf</t>
  </si>
  <si>
    <t>Melting_Curves/meltCurve_Q9H5V9_3_CXorf56.pdf</t>
  </si>
  <si>
    <t>Melting_Curves/meltCurve_Q9H5X1_FAM96A.pdf</t>
  </si>
  <si>
    <t>Melting_Curves/meltCurve_Q9H6D7_HAUS4.pdf</t>
  </si>
  <si>
    <t>Melting_Curves/meltCurve_Q9H6E4_CCDC134.pdf</t>
  </si>
  <si>
    <t>Melting_Curves/meltCurve_Q9H6F5_CCDC86.pdf</t>
  </si>
  <si>
    <t>Melting_Curves/meltCurve_Q9H6H4_REEP4.pdf</t>
  </si>
  <si>
    <t>Melting_Curves/meltCurve_Q9H6K1_C6orf106.pdf</t>
  </si>
  <si>
    <t>Melting_Curves/meltCurve_Q9H6K4_OPA3.pdf</t>
  </si>
  <si>
    <t>Melting_Curves/meltCurve_Q9H6Q4_NARFL.pdf</t>
  </si>
  <si>
    <t>Melting_Curves/meltCurve_Q9H6R6_2_ZDHHC6.pdf</t>
  </si>
  <si>
    <t>Melting_Curves/meltCurve_Q9H6R7_2_C2orf44.pdf</t>
  </si>
  <si>
    <t>Melting_Curves/meltCurve_Q9H6S0_YTHDC2.pdf</t>
  </si>
  <si>
    <t>Melting_Curves/meltCurve_Q9H6S1_AZI2.pdf</t>
  </si>
  <si>
    <t>Melting_Curves/meltCurve_Q9H6S3_EPS8L2.pdf</t>
  </si>
  <si>
    <t>Melting_Curves/meltCurve_Q9H6T3_RPAP3.pdf</t>
  </si>
  <si>
    <t>Melting_Curves/meltCurve_Q9H6U8_ALG9.pdf</t>
  </si>
  <si>
    <t>Melting_Curves/meltCurve_Q9H6Y2_WDR55.pdf</t>
  </si>
  <si>
    <t>Melting_Curves/meltCurve_Q9H773_DCTPP1.pdf</t>
  </si>
  <si>
    <t>Melting_Curves/meltCurve_Q9H7B4_SMYD3.pdf</t>
  </si>
  <si>
    <t>Melting_Curves/meltCurve_Q9H7D7_2_WDR26.pdf</t>
  </si>
  <si>
    <t>Melting_Curves/meltCurve_Q9H7E2_3_TDRD3.pdf</t>
  </si>
  <si>
    <t>Melting_Curves/meltCurve_Q9H7E9_C8orf33.pdf</t>
  </si>
  <si>
    <t>Melting_Curves/meltCurve_Q9H7F0_ATP13A3.pdf</t>
  </si>
  <si>
    <t>Melting_Curves/meltCurve_Q9H7L9_SUDS3.pdf</t>
  </si>
  <si>
    <t>Melting_Curves/meltCurve_Q9H7N4_SCAF1.pdf</t>
  </si>
  <si>
    <t>Melting_Curves/meltCurve_Q9H7Z6_KAT8.pdf</t>
  </si>
  <si>
    <t>Melting_Curves/meltCurve_Q9H7Z7_PTGES2.pdf</t>
  </si>
  <si>
    <t>Melting_Curves/meltCurve_Q9H813_TMEM206.pdf</t>
  </si>
  <si>
    <t>Melting_Curves/meltCurve_Q9H814_PHAX.pdf</t>
  </si>
  <si>
    <t>Melting_Curves/meltCurve_Q9H832_UBE2Z.pdf</t>
  </si>
  <si>
    <t>Melting_Curves/meltCurve_Q9H840_GEMIN7.pdf</t>
  </si>
  <si>
    <t>Melting_Curves/meltCurve_Q9H845_ACAD9.pdf</t>
  </si>
  <si>
    <t>Melting_Curves/meltCurve_Q9H871_RMND5A.pdf</t>
  </si>
  <si>
    <t>Melting_Curves/meltCurve_Q9H875_PRKRIP1.pdf</t>
  </si>
  <si>
    <t>Melting_Curves/meltCurve_Q9H8G2_CAAP1.pdf</t>
  </si>
  <si>
    <t>Melting_Curves/meltCurve_Q9H8H0_NOL11.pdf</t>
  </si>
  <si>
    <t>Melting_Curves/meltCurve_Q9H8M7_FAM188A.pdf</t>
  </si>
  <si>
    <t>Melting_Curves/meltCurve_Q9H8S9_MOB1A.pdf</t>
  </si>
  <si>
    <t>Melting_Curves/meltCurve_Q9H8U3_ZFAND3.pdf</t>
  </si>
  <si>
    <t>Melting_Curves/meltCurve_Q9H8W4_PLEKHF2.pdf</t>
  </si>
  <si>
    <t>Melting_Curves/meltCurve_Q9H8X2_IPPK.pdf</t>
  </si>
  <si>
    <t>Melting_Curves/meltCurve_Q9H8Y5_ANKZF1.pdf</t>
  </si>
  <si>
    <t>Melting_Curves/meltCurve_Q9H8Y8_GORASP2.pdf</t>
  </si>
  <si>
    <t>Melting_Curves/meltCurve_Q9H900_ZWILCH.pdf</t>
  </si>
  <si>
    <t>Melting_Curves/meltCurve_Q9H910_2_HN1L.pdf</t>
  </si>
  <si>
    <t>Melting_Curves/meltCurve_Q9H936_SLC25A22.pdf</t>
  </si>
  <si>
    <t>Melting_Curves/meltCurve_Q9H939_PSTPIP2.pdf</t>
  </si>
  <si>
    <t>Melting_Curves/meltCurve_Q9H944_MED20.pdf</t>
  </si>
  <si>
    <t>Melting_Curves/meltCurve_Q9H974_QTRTD1.pdf</t>
  </si>
  <si>
    <t>Melting_Curves/meltCurve_Q9H981_ACTR8.pdf</t>
  </si>
  <si>
    <t>Melting_Curves/meltCurve_Q9H993_C6orf211.pdf</t>
  </si>
  <si>
    <t>Melting_Curves/meltCurve_Q9H999_PANK3.pdf</t>
  </si>
  <si>
    <t>Melting_Curves/meltCurve_Q9H9A5_2_CNOT10.pdf</t>
  </si>
  <si>
    <t>Melting_Curves/meltCurve_Q9H9A6_LRRC40.pdf</t>
  </si>
  <si>
    <t>Melting_Curves/meltCurve_Q9H9A7_RMI1.pdf</t>
  </si>
  <si>
    <t>Melting_Curves/meltCurve_Q9H9B1_EHMT1.pdf</t>
  </si>
  <si>
    <t>Melting_Curves/meltCurve_Q9H9B4_SFXN1.pdf</t>
  </si>
  <si>
    <t>Melting_Curves/meltCurve_Q9H9F9_ACTR5.pdf</t>
  </si>
  <si>
    <t>Melting_Curves/meltCurve_Q9H9H4_VPS37B.pdf</t>
  </si>
  <si>
    <t>Melting_Curves/meltCurve_Q9H9P8_L2HGDH.pdf</t>
  </si>
  <si>
    <t>Melting_Curves/meltCurve_Q9H9S5_FKRP.pdf</t>
  </si>
  <si>
    <t>Melting_Curves/meltCurve_Q9H9T3_2_ELP3.pdf</t>
  </si>
  <si>
    <t>Melting_Curves/meltCurve_Q9H9V9_2_JMJD4.pdf</t>
  </si>
  <si>
    <t>Melting_Curves/meltCurve_Q9H9Y4_GPN2.pdf</t>
  </si>
  <si>
    <t>Melting_Curves/meltCurve_Q9H9Y6_POLR1B.pdf</t>
  </si>
  <si>
    <t>Melting_Curves/meltCurve_Q9HA47_3_UCK1.pdf</t>
  </si>
  <si>
    <t>Melting_Curves/meltCurve_Q9HA64_FN3KRP.pdf</t>
  </si>
  <si>
    <t>Melting_Curves/meltCurve_Q9HA65_TBC1D17.pdf</t>
  </si>
  <si>
    <t>Melting_Curves/meltCurve_Q9HA77_CARS2.pdf</t>
  </si>
  <si>
    <t>Melting_Curves/meltCurve_Q9HAB8_PPCS.pdf</t>
  </si>
  <si>
    <t>Melting_Curves/meltCurve_Q9HAF1_2_MEAF6.pdf</t>
  </si>
  <si>
    <t>Melting_Curves/meltCurve_Q9HAJ7_SAP30L.pdf</t>
  </si>
  <si>
    <t>Melting_Curves/meltCurve_Q9HAN9_NMNAT1.pdf</t>
  </si>
  <si>
    <t>Melting_Curves/meltCurve_Q9HAP6_LIN7B.pdf</t>
  </si>
  <si>
    <t>Melting_Curves/meltCurve_Q9HAT2_2_SIAE.pdf</t>
  </si>
  <si>
    <t>Melting_Curves/meltCurve_Q9HAU0_PLEKHA5.pdf</t>
  </si>
  <si>
    <t>Melting_Curves/meltCurve_Q9HAU5_UPF2.pdf</t>
  </si>
  <si>
    <t>Melting_Curves/meltCurve_Q9HAV0_GNB4.pdf</t>
  </si>
  <si>
    <t>Melting_Curves/meltCurve_Q9HAV4_XPO5.pdf</t>
  </si>
  <si>
    <t>Melting_Curves/meltCurve_Q9HAV7_GRPEL1.pdf</t>
  </si>
  <si>
    <t>Melting_Curves/meltCurve_Q9HAW4_CLSPN.pdf</t>
  </si>
  <si>
    <t>Melting_Curves/meltCurve_Q9HB09_BCL2L12.pdf</t>
  </si>
  <si>
    <t>Melting_Curves/meltCurve_Q9HB19_PLEKHA2.pdf</t>
  </si>
  <si>
    <t>Melting_Curves/meltCurve_Q9HB40_SCPEP1.pdf</t>
  </si>
  <si>
    <t>Melting_Curves/meltCurve_Q9HB71_CACYBP.pdf</t>
  </si>
  <si>
    <t>Melting_Curves/meltCurve_Q9HB90_RRAGC.pdf</t>
  </si>
  <si>
    <t>Melting_Curves/meltCurve_Q9HBD4_SMARCA4.pdf</t>
  </si>
  <si>
    <t>Melting_Curves/meltCurve_Q9HBH1_PDF.pdf</t>
  </si>
  <si>
    <t>Melting_Curves/meltCurve_Q9HBH5_RDH14.pdf</t>
  </si>
  <si>
    <t>Melting_Curves/meltCurve_Q9HBI1_PARVB.pdf</t>
  </si>
  <si>
    <t>Melting_Curves/meltCurve_Q9HBL7_PLGRKT.pdf</t>
  </si>
  <si>
    <t>Melting_Curves/meltCurve_Q9HBL8_NMRAL1.pdf</t>
  </si>
  <si>
    <t>Melting_Curves/meltCurve_Q9HBM1_SPC25.pdf</t>
  </si>
  <si>
    <t>Melting_Curves/meltCurve_Q9HBM6_TAF9B.pdf</t>
  </si>
  <si>
    <t>Melting_Curves/meltCurve_Q9HBM8_AGPAT1.pdf</t>
  </si>
  <si>
    <t>Melting_Curves/meltCurve_Q9HBR0_3_SLC38A10.pdf</t>
  </si>
  <si>
    <t>Melting_Curves/meltCurve_Q9HC35_EML4.pdf</t>
  </si>
  <si>
    <t>Melting_Curves/meltCurve_Q9HC36_RNMTL1.pdf</t>
  </si>
  <si>
    <t>Melting_Curves/meltCurve_Q9HC38_2_GLOD4.pdf</t>
  </si>
  <si>
    <t>Melting_Curves/meltCurve_Q9HC44_GPBP1L1.pdf</t>
  </si>
  <si>
    <t>Melting_Curves/meltCurve_Q9HC52_CBX8.pdf</t>
  </si>
  <si>
    <t>Melting_Curves/meltCurve_Q9HCC0_MCCC2.pdf</t>
  </si>
  <si>
    <t>Melting_Curves/meltCurve_Q9HCC9_5_ZFYVE28.pdf</t>
  </si>
  <si>
    <t>Melting_Curves/meltCurve_Q9HCD5_NCOA5.pdf</t>
  </si>
  <si>
    <t>Melting_Curves/meltCurve_Q9HCE1_MOV10.pdf</t>
  </si>
  <si>
    <t>Melting_Curves/meltCurve_Q9HCE5_METTL14.pdf</t>
  </si>
  <si>
    <t>Melting_Curves/meltCurve_Q9HCK8_2_CHD8.pdf</t>
  </si>
  <si>
    <t>Melting_Curves/meltCurve_Q9HCN3_TMEM8A.pdf</t>
  </si>
  <si>
    <t>Melting_Curves/meltCurve_Q9HCN4_4_GPN1.pdf</t>
  </si>
  <si>
    <t>Melting_Curves/meltCurve_Q9HCN8_SDF2L1.pdf</t>
  </si>
  <si>
    <t>Melting_Curves/meltCurve_Q9HCP0_2_CSNK1G1.pdf</t>
  </si>
  <si>
    <t>Melting_Curves/meltCurve_Q9HCU5_PREB.pdf</t>
  </si>
  <si>
    <t>Melting_Curves/meltCurve_Q9HCU8_POLD4.pdf</t>
  </si>
  <si>
    <t>Melting_Curves/meltCurve_Q9HD15_SRA1.pdf</t>
  </si>
  <si>
    <t>Melting_Curves/meltCurve_Q9HD20_2_ATP13A1.pdf</t>
  </si>
  <si>
    <t>Melting_Curves/meltCurve_Q9HD23_MRS2.pdf</t>
  </si>
  <si>
    <t>Melting_Curves/meltCurve_Q9HD26_GOPC.pdf</t>
  </si>
  <si>
    <t>Melting_Curves/meltCurve_Q9HD40_3_SEPSECS.pdf</t>
  </si>
  <si>
    <t>Melting_Curves/meltCurve_Q9HD42_CHMP1A.pdf</t>
  </si>
  <si>
    <t>Melting_Curves/meltCurve_Q9HD45_TM9SF3.pdf</t>
  </si>
  <si>
    <t>Melting_Curves/meltCurve_Q9HD47_2_RANGRF.pdf</t>
  </si>
  <si>
    <t>Melting_Curves/meltCurve_Q9HD64_XAGE1A.pdf</t>
  </si>
  <si>
    <t>Melting_Curves/meltCurve_Q9HDC5_JPH1.pdf</t>
  </si>
  <si>
    <t>Melting_Curves/meltCurve_Q9HDC9_APMAP.pdf</t>
  </si>
  <si>
    <t>Melting_Curves/meltCurve_Q9NNW5_WDR6.pdf</t>
  </si>
  <si>
    <t>Melting_Curves/meltCurve_Q9NP31_3_SH2D2A.pdf</t>
  </si>
  <si>
    <t>Melting_Curves/meltCurve_Q9NP58_4_ABCB6.pdf</t>
  </si>
  <si>
    <t>Melting_Curves/meltCurve_Q9NP59_SLC40A1.pdf</t>
  </si>
  <si>
    <t>Melting_Curves/meltCurve_Q9NP66_HMG20A.pdf</t>
  </si>
  <si>
    <t>Melting_Curves/meltCurve_Q9NP72_RAB18.pdf</t>
  </si>
  <si>
    <t>Melting_Curves/meltCurve_Q9NP73_2_ALG13.pdf</t>
  </si>
  <si>
    <t>Melting_Curves/meltCurve_Q9NP74_3_PALMD.pdf</t>
  </si>
  <si>
    <t>Melting_Curves/meltCurve_Q9NP77_SSU72.pdf</t>
  </si>
  <si>
    <t>Melting_Curves/meltCurve_Q9NP79_VTA1.pdf</t>
  </si>
  <si>
    <t>Melting_Curves/meltCurve_Q9NP80_3_PNPLA8.pdf</t>
  </si>
  <si>
    <t>Melting_Curves/meltCurve_Q9NP92_MRPS30.pdf</t>
  </si>
  <si>
    <t>Melting_Curves/meltCurve_Q9NPA0_EMC7.pdf</t>
  </si>
  <si>
    <t>Melting_Curves/meltCurve_Q9NPA3_MID1IP1.pdf</t>
  </si>
  <si>
    <t>Melting_Curves/meltCurve_Q9NPA8_2_ENY2.pdf</t>
  </si>
  <si>
    <t>Melting_Curves/meltCurve_Q9NPB8_GPCPD1.pdf</t>
  </si>
  <si>
    <t>Melting_Curves/meltCurve_Q9NPD3_EXOSC4.pdf</t>
  </si>
  <si>
    <t>Melting_Curves/meltCurve_Q9NPD8_UBE2T.pdf</t>
  </si>
  <si>
    <t>Melting_Curves/meltCurve_Q9NPE2_NGRN.pdf</t>
  </si>
  <si>
    <t>Melting_Curves/meltCurve_Q9NPE3_NOP10.pdf</t>
  </si>
  <si>
    <t>Melting_Curves/meltCurve_Q9NPF0_CD320.pdf</t>
  </si>
  <si>
    <t>Melting_Curves/meltCurve_Q9NPF4_OSGEP.pdf</t>
  </si>
  <si>
    <t>Melting_Curves/meltCurve_Q9NPF5_DMAP1.pdf</t>
  </si>
  <si>
    <t>Melting_Curves/meltCurve_Q9NPH2_ISYNA1.pdf</t>
  </si>
  <si>
    <t>Melting_Curves/meltCurve_Q9NPI1_BRD7.pdf</t>
  </si>
  <si>
    <t>Melting_Curves/meltCurve_Q9NPJ3_ACOT13.pdf</t>
  </si>
  <si>
    <t>Melting_Curves/meltCurve_Q9NPJ6_MED4.pdf</t>
  </si>
  <si>
    <t>Melting_Curves/meltCurve_Q9NPL8_TIMMDC1.pdf</t>
  </si>
  <si>
    <t>Melting_Curves/meltCurve_Q9NPQ8_4_RIC8A.pdf</t>
  </si>
  <si>
    <t>Melting_Curves/meltCurve_Q9NPR9_GPR108.pdf</t>
  </si>
  <si>
    <t>Melting_Curves/meltCurve_Q9NQ11_3_ATP13A2.pdf</t>
  </si>
  <si>
    <t>Melting_Curves/meltCurve_Q9NQ29_LUC7L.pdf</t>
  </si>
  <si>
    <t>Melting_Curves/meltCurve_Q9NQ75_CASS4.pdf</t>
  </si>
  <si>
    <t>Melting_Curves/meltCurve_Q9NQ88_TIGAR.pdf</t>
  </si>
  <si>
    <t>Melting_Curves/meltCurve_Q9NQC3_RTN4.pdf</t>
  </si>
  <si>
    <t>Melting_Curves/meltCurve_Q9NQE9_HINT3.pdf</t>
  </si>
  <si>
    <t>Melting_Curves/meltCurve_Q9NQG5_RPRD1B.pdf</t>
  </si>
  <si>
    <t>Melting_Curves/meltCurve_Q9NQG7_3_HPS4.pdf</t>
  </si>
  <si>
    <t>Melting_Curves/meltCurve_Q9NQH7_2_XPNPEP3.pdf</t>
  </si>
  <si>
    <t>Melting_Curves/meltCurve_Q9NQP4_PFDN4.pdf</t>
  </si>
  <si>
    <t>Melting_Curves/meltCurve_Q9NQR4_NIT2.pdf</t>
  </si>
  <si>
    <t>Melting_Curves/meltCurve_Q9NQS1_AVEN.pdf</t>
  </si>
  <si>
    <t>Melting_Curves/meltCurve_Q9NQT4_EXOSC5.pdf</t>
  </si>
  <si>
    <t>Melting_Curves/meltCurve_Q9NQT5_EXOSC3.pdf</t>
  </si>
  <si>
    <t>Melting_Curves/meltCurve_Q9NQT8_KIF13B.pdf</t>
  </si>
  <si>
    <t>Melting_Curves/meltCurve_Q9NQW6_ANLN.pdf</t>
  </si>
  <si>
    <t>Melting_Curves/meltCurve_Q9NQW7_3_XPNPEP1.pdf</t>
  </si>
  <si>
    <t>Melting_Curves/meltCurve_Q9NQY0_BIN3.pdf</t>
  </si>
  <si>
    <t>Melting_Curves/meltCurve_Q9NQZ2_UTP3.pdf</t>
  </si>
  <si>
    <t>Melting_Curves/meltCurve_Q9NQZ5_STARD7.pdf</t>
  </si>
  <si>
    <t>Melting_Curves/meltCurve_Q9NR09_BIRC6.pdf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</si>
  <si>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</si>
  <si>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</si>
  <si>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</si>
  <si>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</si>
  <si>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</si>
  <si>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</si>
  <si>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</si>
  <si>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Melting_Curves/meltCurve_Q9NR50_EIF2B3.pdf</t>
  </si>
  <si>
    <t>Melting_Curves/meltCurve_Q9NRD5_PICK1.pdf</t>
  </si>
  <si>
    <t>Melting_Curves/meltCurve_Q9NRF2_3_SH2B1.pdf</t>
  </si>
  <si>
    <t>Melting_Curves/meltCurve_Q9NRF8_CTPS2.pdf</t>
  </si>
  <si>
    <t>Melting_Curves/meltCurve_Q9NRF9_POLE3.pdf</t>
  </si>
  <si>
    <t>Melting_Curves/meltCurve_Q9NRG0_CHRAC1.pdf</t>
  </si>
  <si>
    <t>Melting_Curves/meltCurve_Q9NRG1_PRTFDC1.pdf</t>
  </si>
  <si>
    <t>Melting_Curves/meltCurve_Q9NRG4_SMYD2.pdf</t>
  </si>
  <si>
    <t>Melting_Curves/meltCurve_Q9NRH1_YAE1D1.pdf</t>
  </si>
  <si>
    <t>Melting_Curves/meltCurve_Q9NRK6_ABCB10.pdf</t>
  </si>
  <si>
    <t>Melting_Curves/meltCurve_Q9NRL2_2_BAZ1A.pdf</t>
  </si>
  <si>
    <t>Melting_Curves/meltCurve_Q9NRL3_STRN4.pdf</t>
  </si>
  <si>
    <t>Melting_Curves/meltCurve_Q9NRN7_AASDHPPT.pdf</t>
  </si>
  <si>
    <t>Melting_Curves/meltCurve_Q9NRN9_METTL5.pdf</t>
  </si>
  <si>
    <t>Melting_Curves/meltCurve_Q9NRP2_CMC2.pdf</t>
  </si>
  <si>
    <t>Melting_Curves/meltCurve_Q9NRP4_ACN9.pdf</t>
  </si>
  <si>
    <t>Melting_Curves/meltCurve_Q9NRR5_UBQLN4.pdf</t>
  </si>
  <si>
    <t>Melting_Curves/meltCurve_Q9NRR8_CDC42SE1.pdf</t>
  </si>
  <si>
    <t>Melting_Curves/meltCurve_Q9NRS6_2_SNX15.pdf</t>
  </si>
  <si>
    <t>Melting_Curves/meltCurve_Q9NRV9_HEBP1.pdf</t>
  </si>
  <si>
    <t>Melting_Curves/meltCurve_Q9NRW1_RAB6B.pdf</t>
  </si>
  <si>
    <t>Melting_Curves/meltCurve_Q9NRW3_APOBEC3C.pdf</t>
  </si>
  <si>
    <t>Melting_Curves/meltCurve_Q9NRW4_DUSP22.pdf</t>
  </si>
  <si>
    <t>Melting_Curves/meltCurve_Q9NRW7_VPS45.pdf</t>
  </si>
  <si>
    <t>Melting_Curves/meltCurve_Q9NRX1_PNO1.pdf</t>
  </si>
  <si>
    <t>Melting_Curves/meltCurve_Q9NRX4_PHPT1.pdf</t>
  </si>
  <si>
    <t>Melting_Curves/meltCurve_Q9NRX5_SERINC1.pdf</t>
  </si>
  <si>
    <t>Melting_Curves/meltCurve_Q9NRY2_INIP.pdf</t>
  </si>
  <si>
    <t>Melting_Curves/meltCurve_Q9NRY4_ARHGAP35.pdf</t>
  </si>
  <si>
    <t>Melting_Curves/meltCurve_Q9NRY5_FAM114A2.pdf</t>
  </si>
  <si>
    <t>Melting_Curves/meltCurve_Q9NRZ7_2_AGPAT3.pdf</t>
  </si>
  <si>
    <t>Melting_Curves/meltCurve_Q9NRZ9_4_HELLS.pdf</t>
  </si>
  <si>
    <t>Melting_Curves/meltCurve_Q9NS18_GLRX2.pdf</t>
  </si>
  <si>
    <t>Melting_Curves/meltCurve_Q9NS23_4_RASSF1.pdf</t>
  </si>
  <si>
    <t>Melting_Curves/meltCurve_Q9NS69_TOMM22.pdf</t>
  </si>
  <si>
    <t>Melting_Curves/meltCurve_Q9NS86_LANCL2.pdf</t>
  </si>
  <si>
    <t>Melting_Curves/meltCurve_Q9NS87_KIF15.pdf</t>
  </si>
  <si>
    <t>Melting_Curves/meltCurve_Q9NS91_RAD18.pdf</t>
  </si>
  <si>
    <t>Melting_Curves/meltCurve_Q9NS93_TM7SF3.pdf</t>
  </si>
  <si>
    <t>Melting_Curves/meltCurve_Q9NSA3_CTNNBIP1.pdf</t>
  </si>
  <si>
    <t>Melting_Curves/meltCurve_Q9NSD9_FARSB.pdf</t>
  </si>
  <si>
    <t>Melting_Curves/meltCurve_Q9NSE4_IARS2.pdf</t>
  </si>
  <si>
    <t>Melting_Curves/meltCurve_Q9NSG2_3_C1orf112.pdf</t>
  </si>
  <si>
    <t>Melting_Curves/meltCurve_Q9NSI2_2_FAM207A.pdf</t>
  </si>
  <si>
    <t>Melting_Curves/meltCurve_Q9NSI8_SAMSN1.pdf</t>
  </si>
  <si>
    <t>Melting_Curves/meltCurve_Q9NSK0_KLC4.pdf</t>
  </si>
  <si>
    <t>Melting_Curves/meltCurve_Q9NSY1_BMP2K.pdf</t>
  </si>
  <si>
    <t>Melting_Curves/meltCurve_Q9NT62_ATG3.pdf</t>
  </si>
  <si>
    <t>Melting_Curves/meltCurve_Q9NTG7_SIRT3.pdf</t>
  </si>
  <si>
    <t>Melting_Curves/meltCurve_Q9NTI5_2_PDS5B.pdf</t>
  </si>
  <si>
    <t>Melting_Curves/meltCurve_Q9NTJ3_SMC4.pdf</t>
  </si>
  <si>
    <t>Melting_Curves/meltCurve_Q9NTJ4_3_MAN2C1.pdf</t>
  </si>
  <si>
    <t>Melting_Curves/meltCurve_Q9NTJ5_SACM1L.pdf</t>
  </si>
  <si>
    <t>Melting_Curves/meltCurve_Q9NTM9_CUTC.pdf</t>
  </si>
  <si>
    <t>Melting_Curves/meltCurve_Q9NTX5_2_ECHDC1.pdf</t>
  </si>
  <si>
    <t>Melting_Curves/meltCurve_Q9NTX7_2_RNF146.pdf</t>
  </si>
  <si>
    <t>Melting_Curves/meltCurve_Q9NTZ6_RBM12.pdf</t>
  </si>
  <si>
    <t>Melting_Curves/meltCurve_Q9NU19_TBC1D22B.pdf</t>
  </si>
  <si>
    <t>Melting_Curves/meltCurve_Q9NU22_MDN1.pdf</t>
  </si>
  <si>
    <t>Melting_Curves/meltCurve_Q9NU23_LYRM2.pdf</t>
  </si>
  <si>
    <t>Melting_Curves/meltCurve_Q9NUD5_ZCCHC3.pdf</t>
  </si>
  <si>
    <t>Melting_Curves/meltCurve_Q9NUE0_ZDHHC18.pdf</t>
  </si>
  <si>
    <t>Melting_Curves/meltCurve_Q9NUG6_PDRG1.pdf</t>
  </si>
  <si>
    <t>Melting_Curves/meltCurve_Q9NUJ1_ABHD10.pdf</t>
  </si>
  <si>
    <t>Melting_Curves/meltCurve_Q9NUM4_TMEM106B.pdf</t>
  </si>
  <si>
    <t>Melting_Curves/meltCurve_Q9NUN5_3_LMBRD1.pdf</t>
  </si>
  <si>
    <t>Melting_Curves/meltCurve_Q9NUP1_BLOC1S4.pdf</t>
  </si>
  <si>
    <t>Melting_Curves/meltCurve_Q9NUP7_TRMT13.pdf</t>
  </si>
  <si>
    <t>Melting_Curves/meltCurve_Q9NUP9_LIN7C.pdf</t>
  </si>
  <si>
    <t>Melting_Curves/meltCurve_Q9NUQ2_AGPAT5.pdf</t>
  </si>
  <si>
    <t>Melting_Curves/meltCurve_Q9NUQ3_TXLNG.pdf</t>
  </si>
  <si>
    <t>Melting_Curves/meltCurve_Q9NUQ7_UFSP2.pdf</t>
  </si>
  <si>
    <t>Melting_Curves/meltCurve_Q9NUQ8_ABCF3.pdf</t>
  </si>
  <si>
    <t>Melting_Curves/meltCurve_Q9NUQ9_FAM49B.pdf</t>
  </si>
  <si>
    <t>Melting_Curves/meltCurve_Q9NUS5_AP5S1.pdf</t>
  </si>
  <si>
    <t>Melting_Curves/meltCurve_Q9NUU7_DDX19A.pdf</t>
  </si>
  <si>
    <t>Melting_Curves/meltCurve_Q9NUW8_TDP1.pdf</t>
  </si>
  <si>
    <t>Melting_Curves/meltCurve_Q9NUY8_TBC1D23.pdf</t>
  </si>
  <si>
    <t>Melting_Curves/meltCurve_Q9NV06_DCAF13.pdf</t>
  </si>
  <si>
    <t>Melting_Curves/meltCurve_Q9NV31_IMP3.pdf</t>
  </si>
  <si>
    <t>Melting_Curves/meltCurve_Q9NV35_NUDT15.pdf</t>
  </si>
  <si>
    <t>Melting_Curves/meltCurve_Q9NV56_MRGBP.pdf</t>
  </si>
  <si>
    <t>Melting_Curves/meltCurve_Q9NV66_TYW1.pdf</t>
  </si>
  <si>
    <t>Melting_Curves/meltCurve_Q9NV70_2_EXOC1.pdf</t>
  </si>
  <si>
    <t>Melting_Curves/meltCurve_Q9NV96_2_TMEM30A.pdf</t>
  </si>
  <si>
    <t>Melting_Curves/meltCurve_Q9NVA1_2_UQCC.pdf</t>
  </si>
  <si>
    <t>Melting_Curves/meltCurve_Q9NVC6_MED17.pdf</t>
  </si>
  <si>
    <t>Melting_Curves/meltCurve_Q9NVE7_PANK4.pdf</t>
  </si>
  <si>
    <t>Melting_Curves/meltCurve_Q9NVF7_FBXO28.pdf</t>
  </si>
  <si>
    <t>Melting_Curves/meltCurve_Q9NVG8_TBC1D13.pdf</t>
  </si>
  <si>
    <t>Melting_Curves/meltCurve_Q9NVH0_2_EXD2.pdf</t>
  </si>
  <si>
    <t>Melting_Curves/meltCurve_Q9NVH1_3_DNAJC11.pdf</t>
  </si>
  <si>
    <t>Melting_Curves/meltCurve_Q9NVH2_4_INTS7.pdf</t>
  </si>
  <si>
    <t>Melting_Curves/meltCurve_Q9NVH6_4_TMLHE.pdf</t>
  </si>
  <si>
    <t>Melting_Curves/meltCurve_Q9NVI1_FANCI.pdf</t>
  </si>
  <si>
    <t>Melting_Curves/meltCurve_Q9NVI7_2_ATAD3A.pdf</t>
  </si>
  <si>
    <t>Melting_Curves/meltCurve_Q9NVJ2_ARL8B.pdf</t>
  </si>
  <si>
    <t>Melting_Curves/meltCurve_Q9NVK5_FGFR1OP2.pdf</t>
  </si>
  <si>
    <t>Melting_Curves/meltCurve_Q9NVM1_EVA1B.pdf</t>
  </si>
  <si>
    <t>Melting_Curves/meltCurve_Q9NVM4_3_PRMT7.pdf</t>
  </si>
  <si>
    <t>Melting_Curves/meltCurve_Q9NVM6_DNAJC17.pdf</t>
  </si>
  <si>
    <t>Melting_Curves/meltCurve_Q9NVM9_ASUN.pdf</t>
  </si>
  <si>
    <t>Melting_Curves/meltCurve_Q9NVN8_GNL3L.pdf</t>
  </si>
  <si>
    <t>Melting_Curves/meltCurve_Q9NVP1_DDX18.pdf</t>
  </si>
  <si>
    <t>Melting_Curves/meltCurve_Q9NVP2_ASF1B.pdf</t>
  </si>
  <si>
    <t>Melting_Curves/meltCurve_Q9NVR0_KLHL11.pdf</t>
  </si>
  <si>
    <t>Melting_Curves/meltCurve_Q9NVR2_INTS10.pdf</t>
  </si>
  <si>
    <t>Melting_Curves/meltCurve_Q9NVR5_DNAAF2.pdf</t>
  </si>
  <si>
    <t>Melting_Curves/meltCurve_Q9NVU0_5_POLR3E.pdf</t>
  </si>
  <si>
    <t>Melting_Curves/meltCurve_Q9NVV0_TMEM38B.pdf</t>
  </si>
  <si>
    <t>Melting_Curves/meltCurve_Q9NVV4_MTPAP.pdf</t>
  </si>
  <si>
    <t>Melting_Curves/meltCurve_Q9NVW2_RLIM.pdf</t>
  </si>
  <si>
    <t>Melting_Curves/meltCurve_Q9NVX0_3_HAUS2.pdf</t>
  </si>
  <si>
    <t>Melting_Curves/meltCurve_Q9NVX2_NLE1.pdf</t>
  </si>
  <si>
    <t>Melting_Curves/meltCurve_Q9NVX7_KBTBD4.pdf</t>
  </si>
  <si>
    <t>Melting_Curves/meltCurve_Q9NVZ3_NECAP2.pdf</t>
  </si>
  <si>
    <t>Melting_Curves/meltCurve_Q9NW08_2_POLR3B.pdf</t>
  </si>
  <si>
    <t>Melting_Curves/meltCurve_Q9NW13_RBM28.pdf</t>
  </si>
  <si>
    <t>Melting_Curves/meltCurve_Q9NW15_ANO10.pdf</t>
  </si>
  <si>
    <t>Melting_Curves/meltCurve_Q9NW64_RBM22.pdf</t>
  </si>
  <si>
    <t>Melting_Curves/meltCurve_Q9NW82_WDR70.pdf</t>
  </si>
  <si>
    <t>Melting_Curves/meltCurve_Q9NWB6_ARGLU1.pdf</t>
  </si>
  <si>
    <t>Melting_Curves/meltCurve_Q9NWD8_TMEM248.pdf</t>
  </si>
  <si>
    <t>Melting_Curves/meltCurve_Q9NWD9_BEX4.pdf</t>
  </si>
  <si>
    <t>Melting_Curves/meltCurve_Q9NWH2_TMEM242.pdf</t>
  </si>
  <si>
    <t>Melting_Curves/meltCurve_Q9NWH9_SLTM.pdf</t>
  </si>
  <si>
    <t>Melting_Curves/meltCurve_Q9NWK9_ZNHIT6.pdf</t>
  </si>
  <si>
    <t>Melting_Curves/meltCurve_Q9NWM8_FKBP14.pdf</t>
  </si>
  <si>
    <t>Melting_Curves/meltCurve_Q9NWQ9_C14orf119.pdf</t>
  </si>
  <si>
    <t>Melting_Curves/meltCurve_Q9NWS0_PIH1D1.pdf</t>
  </si>
  <si>
    <t>Melting_Curves/meltCurve_Q9NWS6_FAM118A.pdf</t>
  </si>
  <si>
    <t>Melting_Curves/meltCurve_Q9NWS8_RMND1.pdf</t>
  </si>
  <si>
    <t>Melting_Curves/meltCurve_Q9NWT1_PAK1IP1.pdf</t>
  </si>
  <si>
    <t>Melting_Curves/meltCurve_Q9NWT6_HIF1AN.pdf</t>
  </si>
  <si>
    <t>Melting_Curves/meltCurve_Q9NWT8_AURKAIP1.pdf</t>
  </si>
  <si>
    <t>Melting_Curves/meltCurve_Q9NWU1_OXSM.pdf</t>
  </si>
  <si>
    <t>Melting_Curves/meltCurve_Q9NWU2_GID8.pdf</t>
  </si>
  <si>
    <t>Melting_Curves/meltCurve_Q9NWV4_C1orf123.pdf</t>
  </si>
  <si>
    <t>Melting_Curves/meltCurve_Q9NWX6_THG1L.pdf</t>
  </si>
  <si>
    <t>Melting_Curves/meltCurve_Q9NWY4_C4orf27.pdf</t>
  </si>
  <si>
    <t>Melting_Curves/meltCurve_Q9NWZ3_IRAK4.pdf</t>
  </si>
  <si>
    <t>Melting_Curves/meltCurve_Q9NX01_TXNL4B.pdf</t>
  </si>
  <si>
    <t>Melting_Curves/meltCurve_Q9NX02_5_NLRP2.pdf</t>
  </si>
  <si>
    <t>Melting_Curves/meltCurve_Q9NX04_C1orf109.pdf</t>
  </si>
  <si>
    <t>Melting_Curves/meltCurve_Q9NX07_2_TRNAU1AP.pdf</t>
  </si>
  <si>
    <t>Melting_Curves/meltCurve_Q9NX08_COMMD8.pdf</t>
  </si>
  <si>
    <t>Melting_Curves/meltCurve_Q9NX09_DDIT4.pdf</t>
  </si>
  <si>
    <t>Melting_Curves/meltCurve_Q9NX14_NDUFB11.pdf</t>
  </si>
  <si>
    <t>Melting_Curves/meltCurve_Q9NX20_MRPL16.pdf</t>
  </si>
  <si>
    <t>Melting_Curves/meltCurve_Q9NX24_NHP2.pdf</t>
  </si>
  <si>
    <t>Melting_Curves/meltCurve_Q9NX38_FAM206A.pdf</t>
  </si>
  <si>
    <t>Melting_Curves/meltCurve_Q9NX40_OCIAD1.pdf</t>
  </si>
  <si>
    <t>Melting_Curves/meltCurve_Q9NX46_ADPRHL2.pdf</t>
  </si>
  <si>
    <t>Melting_Curves/meltCurve_Q9NX47_MARCH5.pdf</t>
  </si>
  <si>
    <t>Melting_Curves/meltCurve_Q9NX55_HYPK.pdf</t>
  </si>
  <si>
    <t>Melting_Curves/meltCurve_Q9NX58_LYAR.pdf</t>
  </si>
  <si>
    <t>Melting_Curves/meltCurve_Q9NX62_IMPAD1.pdf</t>
  </si>
  <si>
    <t>Melting_Curves/meltCurve_Q9NX70_MED29.pdf</t>
  </si>
  <si>
    <t>Melting_Curves/meltCurve_Q9NX74_DUS2L.pdf</t>
  </si>
  <si>
    <t>Melting_Curves/meltCurve_Q9NX94_WBP1L.pdf</t>
  </si>
  <si>
    <t>Melting_Curves/meltCurve_Q9NXA8_4_SIRT5.pdf</t>
  </si>
  <si>
    <t>Melting_Curves/meltCurve_Q9NXC5_MIOS.pdf</t>
  </si>
  <si>
    <t>Melting_Curves/meltCurve_Q9NXE8_CWC25.pdf</t>
  </si>
  <si>
    <t>Melting_Curves/meltCurve_Q9NXF1_2_TEX10.pdf</t>
  </si>
  <si>
    <t>Melting_Curves/meltCurve_Q9NXF7_DCAF16.pdf</t>
  </si>
  <si>
    <t>Melting_Curves/meltCurve_Q9NXF8_ZDHHC7.pdf</t>
  </si>
  <si>
    <t>Melting_Curves/meltCurve_Q9NXH8_TOR4A.pdf</t>
  </si>
  <si>
    <t>Melting_Curves/meltCurve_Q9NXH9_TRMT1.pdf</t>
  </si>
  <si>
    <t>Melting_Curves/meltCurve_Q9NXK8_2_FBXL12.pdf</t>
  </si>
  <si>
    <t>Melting_Curves/meltCurve_Q9NXN4_2_GDAP2.pdf</t>
  </si>
  <si>
    <t>Melting_Curves/meltCurve_Q9NXR1_2_NDE1.pdf</t>
  </si>
  <si>
    <t>Melting_Curves/meltCurve_Q9NXR7_BRE.pdf</t>
  </si>
  <si>
    <t>Melting_Curves/meltCurve_Q9NXS2_QPCTL.pdf</t>
  </si>
  <si>
    <t>Melting_Curves/meltCurve_Q9NXU5_ARL15.pdf</t>
  </si>
  <si>
    <t>Melting_Curves/meltCurve_Q9NXV2_KCTD5.pdf</t>
  </si>
  <si>
    <t>Melting_Curves/meltCurve_Q9NXV6_CDKN2AIP.pdf</t>
  </si>
  <si>
    <t>Melting_Curves/meltCurve_Q9NXW9_ALKBH4.pdf</t>
  </si>
  <si>
    <t>Melting_Curves/meltCurve_Q9NXX6_NSMCE4A.pdf</t>
  </si>
  <si>
    <t>Melting_Curves/meltCurve_Q9NY27_PPP4R2.pdf</t>
  </si>
  <si>
    <t>Melting_Curves/meltCurve_Q9NY97_2_B3GNT2.pdf</t>
  </si>
  <si>
    <t>Melting_Curves/meltCurve_Q9NYA1_2_SPHK1.pdf</t>
  </si>
  <si>
    <t>Melting_Curves/meltCurve_Q9NYB0_TERF2IP.pdf</t>
  </si>
  <si>
    <t>Melting_Curves/meltCurve_Q9NYH9_UTP6.pdf</t>
  </si>
  <si>
    <t>Melting_Curves/meltCurve_Q9NYJ1_COA4.pdf</t>
  </si>
  <si>
    <t>Melting_Curves/meltCurve_Q9NYJ8_TAB2.pdf</t>
  </si>
  <si>
    <t>Melting_Curves/meltCurve_Q9NYK5_MRPL39.pdf</t>
  </si>
  <si>
    <t>Melting_Curves/meltCurve_Q9NYL2_MLTK.pdf</t>
  </si>
  <si>
    <t>Melting_Curves/meltCurve_Q9NYL2_2_MLTK.pdf</t>
  </si>
  <si>
    <t>Melting_Curves/meltCurve_Q9NYL9_TMOD3.pdf</t>
  </si>
  <si>
    <t>Melting_Curves/meltCurve_Q9NYP9_MIS18A.pdf</t>
  </si>
  <si>
    <t>Melting_Curves/meltCurve_Q9NYU2_2_UGGT1.pdf</t>
  </si>
  <si>
    <t>Melting_Curves/meltCurve_Q9NYV4_2_CDK12.pdf</t>
  </si>
  <si>
    <t>Melting_Curves/meltCurve_Q9NYY8_FASTKD2.pdf</t>
  </si>
  <si>
    <t>Melting_Curves/meltCurve_Q9NYZ2_4_SLC25A37.pdf</t>
  </si>
  <si>
    <t>Melting_Curves/meltCurve_Q9NYZ3_GTSE1.pdf</t>
  </si>
  <si>
    <t>Melting_Curves/meltCurve_Q9NZ01_TECR.pdf</t>
  </si>
  <si>
    <t>Melting_Curves/meltCurve_Q9NZ08_ERAP1.pdf</t>
  </si>
  <si>
    <t>Melting_Curves/meltCurve_Q9NZ09_2_UBAP1.pdf</t>
  </si>
  <si>
    <t>Melting_Curves/meltCurve_Q9NZ32_ACTR10.pdf</t>
  </si>
  <si>
    <t>Melting_Curves/meltCurve_Q9NZ43_USE1.pdf</t>
  </si>
  <si>
    <t>Melting_Curves/meltCurve_Q9NZ45_CISD1.pdf</t>
  </si>
  <si>
    <t>Melting_Curves/meltCurve_Q9NZ53_PODXL2.pdf</t>
  </si>
  <si>
    <t>Melting_Curves/meltCurve_Q9NZ63_C9orf78.pdf</t>
  </si>
  <si>
    <t>Melting_Curves/meltCurve_Q9NZA1_3_CLIC5.pdf</t>
  </si>
  <si>
    <t>Melting_Curves/meltCurve_Q9NZC3_GDE1.pdf</t>
  </si>
  <si>
    <t>Melting_Curves/meltCurve_Q9NZC7_5_WWOX.pdf</t>
  </si>
  <si>
    <t>Melting_Curves/meltCurve_Q9NZC9_SMARCAL1.pdf</t>
  </si>
  <si>
    <t>Melting_Curves/meltCurve_Q9NZD8_2_SPG21.pdf</t>
  </si>
  <si>
    <t>Melting_Curves/meltCurve_Q9NZI7_4_UBP1.pdf</t>
  </si>
  <si>
    <t>Melting_Curves/meltCurve_Q9NZI8_IGF2BP1.pdf</t>
  </si>
  <si>
    <t>Melting_Curves/meltCurve_Q9NZJ4_SACS.pdf</t>
  </si>
  <si>
    <t>Melting_Curves/meltCurve_Q9NZJ6_COQ3.pdf</t>
  </si>
  <si>
    <t>Melting_Curves/meltCurve_Q9NZJ7_2_MTCH1.pdf</t>
  </si>
  <si>
    <t>Melting_Curves/meltCurve_Q9NZJ9_NUDT4.pdf</t>
  </si>
  <si>
    <t>Melting_Curves/meltCurve_Q9NZL4_HSPBP1.pdf</t>
  </si>
  <si>
    <t>Melting_Curves/meltCurve_Q9NZL9_MAT2B.pdf</t>
  </si>
  <si>
    <t>Melting_Curves/meltCurve_Q9NZL9_2_MAT2B.pdf</t>
  </si>
  <si>
    <t>Melting_Curves/meltCurve_Q9NZM3_4_ITSN2.pdf</t>
  </si>
  <si>
    <t>Melting_Curves/meltCurve_Q9NZM4_2_GLTSCR1.pdf</t>
  </si>
  <si>
    <t>Melting_Curves/meltCurve_Q9NZN4_EHD2.pdf</t>
  </si>
  <si>
    <t>Melting_Curves/meltCurve_Q9NZN5_2_ARHGEF12.pdf</t>
  </si>
  <si>
    <t>Melting_Curves/meltCurve_Q9NZQ3_3_NCKIPSD.pdf</t>
  </si>
  <si>
    <t>Melting_Curves/meltCurve_Q9NZT2_2_OGFR.pdf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</si>
  <si>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</si>
  <si>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</si>
  <si>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</si>
  <si>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</si>
  <si>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</si>
  <si>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Melting_Curves/meltCurve_Q9P021_CRIPT.pdf</t>
  </si>
  <si>
    <t>Melting_Curves/meltCurve_Q9P031_CCDC59.pdf</t>
  </si>
  <si>
    <t>Melting_Curves/meltCurve_Q9P032_NDUFAF4.pdf</t>
  </si>
  <si>
    <t>Melting_Curves/meltCurve_Q9P035_PTPLAD1.pdf</t>
  </si>
  <si>
    <t>Melting_Curves/meltCurve_Q9P0B6_CCDC167.pdf</t>
  </si>
  <si>
    <t>Melting_Curves/meltCurve_Q9P0I2_EMC3.pdf</t>
  </si>
  <si>
    <t>Melting_Curves/meltCurve_Q9P0J7_KCMF1.pdf</t>
  </si>
  <si>
    <t>Melting_Curves/meltCurve_Q9P0L0_VAPA.pdf</t>
  </si>
  <si>
    <t>Melting_Curves/meltCurve_Q9P0N9_3_TBC1D7.pdf</t>
  </si>
  <si>
    <t>Melting_Curves/meltCurve_Q9P0P0_RNF181.pdf</t>
  </si>
  <si>
    <t>Melting_Curves/meltCurve_Q9P0R6_GSKIP.pdf</t>
  </si>
  <si>
    <t>Melting_Curves/meltCurve_Q9P0U4_CXXC1.pdf</t>
  </si>
  <si>
    <t>Melting_Curves/meltCurve_Q9P0W2_HMG20B.pdf</t>
  </si>
  <si>
    <t>Melting_Curves/meltCurve_Q9P1U0_ZNRD1.pdf</t>
  </si>
  <si>
    <t>Melting_Curves/meltCurve_Q9P1U1_ACTR3B.pdf</t>
  </si>
  <si>
    <t>Melting_Curves/meltCurve_Q9P1W9_PIM2.pdf</t>
  </si>
  <si>
    <t>Melting_Curves/meltCurve_Q9P1Z2_2_CALCOCO1.pdf</t>
  </si>
  <si>
    <t>Melting_Curves/meltCurve_Q9P206_2_KIAA1522.pdf</t>
  </si>
  <si>
    <t>Melting_Curves/meltCurve_Q9P209_CEP72.pdf</t>
  </si>
  <si>
    <t>Melting_Curves/meltCurve_Q9P215_POGK.pdf</t>
  </si>
  <si>
    <t>Melting_Curves/meltCurve_Q9P253_VPS18.pdf</t>
  </si>
  <si>
    <t>Melting_Curves/meltCurve_Q9P258_RCC2.pdf</t>
  </si>
  <si>
    <t>Melting_Curves/meltCurve_Q9P260_KIAA1468.pdf</t>
  </si>
  <si>
    <t>Melting_Curves/meltCurve_Q9P265_DIP2B.pdf</t>
  </si>
  <si>
    <t>Melting_Curves/meltCurve_Q9P270_SLAIN2.pdf</t>
  </si>
  <si>
    <t>Melting_Curves/meltCurve_Q9P287_BCCIP.pdf</t>
  </si>
  <si>
    <t>Melting_Curves/meltCurve_Q9P287_2_BCCIP.pdf</t>
  </si>
  <si>
    <t>Melting_Curves/meltCurve_Q9P2B2_PTGFRN.pdf</t>
  </si>
  <si>
    <t>Melting_Curves/meltCurve_Q9P2D1_CHD7.pdf</t>
  </si>
  <si>
    <t>Melting_Curves/meltCurve_Q9P2D3_3_HEATR5B.pdf</t>
  </si>
  <si>
    <t>Melting_Curves/meltCurve_Q9P2D7_5_DNAH1.pdf</t>
  </si>
  <si>
    <t>Melting_Curves/meltCurve_Q9P2E3_ZNFX1.pdf</t>
  </si>
  <si>
    <t>Melting_Curves/meltCurve_Q9P2E9_RRBP1.pdf</t>
  </si>
  <si>
    <t>Melting_Curves/meltCurve_Q9P2I0_CPSF2.pdf</t>
  </si>
  <si>
    <t>Melting_Curves/meltCurve_Q9P2J8_ZNF624.pdf</t>
  </si>
  <si>
    <t>Melting_Curves/meltCurve_Q9P2J9_PDP2.pdf</t>
  </si>
  <si>
    <t>Melting_Curves/meltCurve_Q9P2K8_2_EIF2AK4.pdf</t>
  </si>
  <si>
    <t>Melting_Curves/meltCurve_Q9P2M4_TBC1D14.pdf</t>
  </si>
  <si>
    <t>Melting_Curves/meltCurve_Q9P2N5_RBM27.pdf</t>
  </si>
  <si>
    <t>Melting_Curves/meltCurve_Q9P2R3_ANKFY1.pdf</t>
  </si>
  <si>
    <t>Melting_Curves/meltCurve_Q9P2R6_RERE.pdf</t>
  </si>
  <si>
    <t>Melting_Curves/meltCurve_Q9P2W1_PSMC3IP.pdf</t>
  </si>
  <si>
    <t>Melting_Curves/meltCurve_Q9P2X0_DPM3.pdf</t>
  </si>
  <si>
    <t>Melting_Curves/meltCurve_Q9P2Y5_UVRAG.pdf</t>
  </si>
  <si>
    <t>Melting_Curves/meltCurve_Q9UBB4_ATXN10.pdf</t>
  </si>
  <si>
    <t>Melting_Curves/meltCurve_Q9UBB5_MBD2.pdf</t>
  </si>
  <si>
    <t>Melting_Curves/meltCurve_Q9UBB6_NCDN.pdf</t>
  </si>
  <si>
    <t>Melting_Curves/meltCurve_Q9UBB9_TFIP11.pdf</t>
  </si>
  <si>
    <t>Melting_Curves/meltCurve_Q9UBC2_2_EPS15L1.pdf</t>
  </si>
  <si>
    <t>Melting_Curves/meltCurve_Q9UBC3_4_DNMT3B.pdf</t>
  </si>
  <si>
    <t>Melting_Curves/meltCurve_Q9UBD5_ORC3.pdf</t>
  </si>
  <si>
    <t>Melting_Curves/meltCurve_Q9UBE0_SAE1.pdf</t>
  </si>
  <si>
    <t>Melting_Curves/meltCurve_Q9UBF1_MAGEC2.pdf</t>
  </si>
  <si>
    <t>Melting_Curves/meltCurve_Q9UBF2_COPG2.pdf</t>
  </si>
  <si>
    <t>Melting_Curves/meltCurve_Q9UBF6_RNF7.pdf</t>
  </si>
  <si>
    <t>Melting_Curves/meltCurve_Q9UBF8_2_PI4KB.pdf</t>
  </si>
  <si>
    <t>Melting_Curves/meltCurve_Q9UBH6_2_XPR1.pdf</t>
  </si>
  <si>
    <t>Melting_Curves/meltCurve_Q9UBI1_COMMD3.pdf</t>
  </si>
  <si>
    <t>Melting_Curves/meltCurve_Q9UBI6_GNG12.pdf</t>
  </si>
  <si>
    <t>Melting_Curves/meltCurve_Q9UBK8_2_MTRR.pdf</t>
  </si>
  <si>
    <t>Melting_Curves/meltCurve_Q9UBK9_UXT.pdf</t>
  </si>
  <si>
    <t>Melting_Curves/meltCurve_Q9UBL3_3_ASH2L.pdf</t>
  </si>
  <si>
    <t>Melting_Curves/meltCurve_Q9UBM7_DHCR7.pdf</t>
  </si>
  <si>
    <t>Melting_Curves/meltCurve_Q9UBP0_3_SPAST.pdf</t>
  </si>
  <si>
    <t>Melting_Curves/meltCurve_Q9UBP6_METTL1.pdf</t>
  </si>
  <si>
    <t>Melting_Curves/meltCurve_Q9UBP9_GULP1.pdf</t>
  </si>
  <si>
    <t>Melting_Curves/meltCurve_Q9UBQ7_GRHPR.pdf</t>
  </si>
  <si>
    <t>Melting_Curves/meltCurve_Q9UBR2_CTSZ.pdf</t>
  </si>
  <si>
    <t>Melting_Curves/meltCurve_Q9UBS0_RPS6KB2.pdf</t>
  </si>
  <si>
    <t>Melting_Curves/meltCurve_Q9UBS4_DNAJB11.pdf</t>
  </si>
  <si>
    <t>Melting_Curves/meltCurve_Q9UBS8_RNF14.pdf</t>
  </si>
  <si>
    <t>Melting_Curves/meltCurve_Q9UBT2_UBA2.pdf</t>
  </si>
  <si>
    <t>Melting_Curves/meltCurve_Q9UBU6_FAM8A1.pdf</t>
  </si>
  <si>
    <t>Melting_Curves/meltCurve_Q9UBU9_NXF1.pdf</t>
  </si>
  <si>
    <t>Melting_Curves/meltCurve_Q9UBV2_SEL1L.pdf</t>
  </si>
  <si>
    <t>Melting_Curves/meltCurve_Q9UBV7_B4GALT7.pdf</t>
  </si>
  <si>
    <t>Melting_Curves/meltCurve_Q9UBV8_PEF1.pdf</t>
  </si>
  <si>
    <t>Melting_Curves/meltCurve_Q9UBW7_ZMYM2.pdf</t>
  </si>
  <si>
    <t>Melting_Curves/meltCurve_Q9UBW8_COPS7A.pdf</t>
  </si>
  <si>
    <t>Melting_Curves/meltCurve_Q9UBX3_SLC25A10.pdf</t>
  </si>
  <si>
    <t>Melting_Curves/meltCurve_Q9UBY8_CLN8.pdf</t>
  </si>
  <si>
    <t>Melting_Curves/meltCurve_Q9UDX5_MTFP1.pdf</t>
  </si>
  <si>
    <t>Melting_Curves/meltCurve_Q9UDY2_TJP2.pdf</t>
  </si>
  <si>
    <t>Melting_Curves/meltCurve_Q9UDY4_DNAJB4.pdf</t>
  </si>
  <si>
    <t>Melting_Curves/meltCurve_Q9UEE9_CFDP1.pdf</t>
  </si>
  <si>
    <t>Melting_Curves/meltCurve_Q9UEG4_ZNF629.pdf</t>
  </si>
  <si>
    <t>Melting_Curves/meltCurve_Q9UEL6_MPZL1.pdf</t>
  </si>
  <si>
    <t>Melting_Curves/meltCurve_Q9UER7_2_DAXX.pdf</t>
  </si>
  <si>
    <t>Melting_Curves/meltCurve_Q9UET6_2_FTSJ1.pdf</t>
  </si>
  <si>
    <t>Melting_Curves/meltCurve_Q9UEU0_VTI1B.pdf</t>
  </si>
  <si>
    <t>Melting_Curves/meltCurve_Q9UEU5_GAGE2D.pdf</t>
  </si>
  <si>
    <t>Melting_Curves/meltCurve_Q9UEY8_2_ADD3.pdf</t>
  </si>
  <si>
    <t>Melting_Curves/meltCurve_Q9UFC0_LRWD1.pdf</t>
  </si>
  <si>
    <t>Melting_Curves/meltCurve_Q9UFG5_C19orf25.pdf</t>
  </si>
  <si>
    <t>Melting_Curves/meltCurve_Q9UFN0_NIPSNAP3A.pdf</t>
  </si>
  <si>
    <t>Melting_Curves/meltCurve_Q9UFW8_CGGBP1.pdf</t>
  </si>
  <si>
    <t>Melting_Curves/meltCurve_Q9UG52_DKFZp564L232.pdf</t>
  </si>
  <si>
    <t>Melting_Curves/meltCurve_Q9UG63_ABCF2.pdf</t>
  </si>
  <si>
    <t>Melting_Curves/meltCurve_Q9UGC7_4_MTRF1L.pdf</t>
  </si>
  <si>
    <t>Melting_Curves/meltCurve_Q9UGI8_TES.pdf</t>
  </si>
  <si>
    <t>Melting_Curves/meltCurve_Q9UGJ1_2_TUBGCP4.pdf</t>
  </si>
  <si>
    <t>Melting_Curves/meltCurve_Q9UGM6_WARS2.pdf</t>
  </si>
  <si>
    <t>Melting_Curves/meltCurve_Q9UGP4_LIMD1.pdf</t>
  </si>
  <si>
    <t>Melting_Curves/meltCurve_Q9UGP8_SEC63.pdf</t>
  </si>
  <si>
    <t>Melting_Curves/meltCurve_Q9UGR2_2_ZC3H7B.pdf</t>
  </si>
  <si>
    <t>Melting_Curves/meltCurve_Q9UH62_ARMCX3.pdf</t>
  </si>
  <si>
    <t>Melting_Curves/meltCurve_Q9UH65_SWAP70.pdf</t>
  </si>
  <si>
    <t>Melting_Curves/meltCurve_Q9UH99_SUN2.pdf</t>
  </si>
  <si>
    <t>Melting_Curves/meltCurve_Q9UHA2_SS18L2.pdf</t>
  </si>
  <si>
    <t>Melting_Curves/meltCurve_Q9UHA4_LAMTOR3.pdf</t>
  </si>
  <si>
    <t>Melting_Curves/meltCurve_Q9UHB7_AFF4.pdf</t>
  </si>
  <si>
    <t>Melting_Curves/meltCurve_Q9UHB9_4_SRP68.pdf</t>
  </si>
  <si>
    <t>Melting_Curves/meltCurve_Q9UHD1_CHORDC1.pdf</t>
  </si>
  <si>
    <t>Melting_Curves/meltCurve_Q9UHD2_TBK1.pdf</t>
  </si>
  <si>
    <t>Melting_Curves/meltCurve_Q9UHD8_7_SEPT9.pdf</t>
  </si>
  <si>
    <t>Melting_Curves/meltCurve_Q9UHD9_UBQLN2.pdf</t>
  </si>
  <si>
    <t>Melting_Curves/meltCurve_Q9UHF1_EGFL7.pdf</t>
  </si>
  <si>
    <t>Melting_Curves/meltCurve_Q9UHG3_PCYOX1.pdf</t>
  </si>
  <si>
    <t>Melting_Curves/meltCurve_Q9UHI6_DDX20.pdf</t>
  </si>
  <si>
    <t>Melting_Curves/meltCurve_Q9UHJ6_SHPK.pdf</t>
  </si>
  <si>
    <t>Melting_Curves/meltCurve_Q9UHK0_NUFIP1.pdf</t>
  </si>
  <si>
    <t>Melting_Curves/meltCurve_Q9UHL4_DPP7.pdf</t>
  </si>
  <si>
    <t>Melting_Curves/meltCurve_Q9UHN1_POLG2.pdf</t>
  </si>
  <si>
    <t>Melting_Curves/meltCurve_Q9UHN6_2_TMEM2.pdf</t>
  </si>
  <si>
    <t>Melting_Curves/meltCurve_Q9UHP3_USP25.pdf</t>
  </si>
  <si>
    <t>Melting_Curves/meltCurve_Q9UHQ1_NARF.pdf</t>
  </si>
  <si>
    <t>Melting_Curves/meltCurve_Q9UHQ4_BCAP29.pdf</t>
  </si>
  <si>
    <t>Melting_Curves/meltCurve_Q9UHQ9_CYB5R1.pdf</t>
  </si>
  <si>
    <t>Melting_Curves/meltCurve_Q9UHR4_BAIAP2L1.pdf</t>
  </si>
  <si>
    <t>Melting_Curves/meltCurve_Q9UHR6_ZNHIT2.pdf</t>
  </si>
  <si>
    <t>Melting_Curves/meltCurve_Q9UHV9_PFDN2.pdf</t>
  </si>
  <si>
    <t>Melting_Curves/meltCurve_Q9UHW5_GPN3.pdf</t>
  </si>
  <si>
    <t>Melting_Curves/meltCurve_Q9UHX1_4_PUF60.pdf</t>
  </si>
  <si>
    <t>Melting_Curves/meltCurve_Q9UHX3_5_EMR2.pdf</t>
  </si>
  <si>
    <t>Melting_Curves/meltCurve_Q9UHY1_NRBP1.pdf</t>
  </si>
  <si>
    <t>Melting_Curves/meltCurve_Q9UHY7_ENOPH1.pdf</t>
  </si>
  <si>
    <t>Melting_Curves/meltCurve_Q9UHY8_FEZ2.pdf</t>
  </si>
  <si>
    <t>Melting_Curves/meltCurve_Q9UI09_NDUFA12.pdf</t>
  </si>
  <si>
    <t>Melting_Curves/meltCurve_Q9UI10_EIF2B4.pdf</t>
  </si>
  <si>
    <t>Melting_Curves/meltCurve_Q9UI10_3_EIF2B4.pdf</t>
  </si>
  <si>
    <t>Melting_Curves/meltCurve_Q9UI12_2_ATP6V1H.pdf</t>
  </si>
  <si>
    <t>Melting_Curves/meltCurve_Q9UI26_IPO11.pdf</t>
  </si>
  <si>
    <t>Melting_Curves/meltCurve_Q9UI30_TRMT112.pdf</t>
  </si>
  <si>
    <t>Melting_Curves/meltCurve_Q9UI43_FTSJ2.pdf</t>
  </si>
  <si>
    <t>Melting_Curves/meltCurve_Q9UIC8_LCMT1.pdf</t>
  </si>
  <si>
    <t>Melting_Curves/meltCurve_Q9UID3_VPS51.pdf</t>
  </si>
  <si>
    <t>Melting_Curves/meltCurve_Q9UIG0_2_BAZ1B.pdf</t>
  </si>
  <si>
    <t>Melting_Curves/meltCurve_Q9UII2_ATPIF1.pdf</t>
  </si>
  <si>
    <t>Melting_Curves/meltCurve_Q9UIJ7_AK3.pdf</t>
  </si>
  <si>
    <t>Melting_Curves/meltCurve_Q9UIL1_3_SCOC.pdf</t>
  </si>
  <si>
    <t>Melting_Curves/meltCurve_Q9UIM3_FKBPL.pdf</t>
  </si>
  <si>
    <t>Melting_Curves/meltCurve_Q9UIQ6_3_LNPEP.pdf</t>
  </si>
  <si>
    <t>Melting_Curves/meltCurve_Q9UIV1_2_CNOT7.pdf</t>
  </si>
  <si>
    <t>Melting_Curves/meltCurve_Q9UJ14_5_GGT7.pdf</t>
  </si>
  <si>
    <t>Melting_Curves/meltCurve_Q9UJA2_2_CRLS1.pdf</t>
  </si>
  <si>
    <t>Melting_Curves/meltCurve_Q9UJA5_TRMT6.pdf</t>
  </si>
  <si>
    <t>Melting_Curves/meltCurve_Q9UJJ9_GNPTG.pdf</t>
  </si>
  <si>
    <t>Melting_Curves/meltCurve_Q9UJK0_TSR3.pdf</t>
  </si>
  <si>
    <t>Melting_Curves/meltCurve_Q9UJN7_ZNF391.pdf</t>
  </si>
  <si>
    <t>Melting_Curves/meltCurve_Q9UJS0_SLC25A13.pdf</t>
  </si>
  <si>
    <t>Melting_Curves/meltCurve_Q9UJT0_TUBE1.pdf</t>
  </si>
  <si>
    <t>Melting_Curves/meltCurve_Q9UJU6_DBNL.pdf</t>
  </si>
  <si>
    <t>Melting_Curves/meltCurve_Q9UJU6_2_DBNL.pdf</t>
  </si>
  <si>
    <t>Melting_Curves/meltCurve_Q9UJW0_2_DCTN4.pdf</t>
  </si>
  <si>
    <t>Melting_Curves/meltCurve_Q9UJX2_CDC23.pdf</t>
  </si>
  <si>
    <t>Melting_Curves/meltCurve_Q9UJX3_2_ANAPC7.pdf</t>
  </si>
  <si>
    <t>Melting_Curves/meltCurve_Q9UJX5_ANAPC4.pdf</t>
  </si>
  <si>
    <t>Melting_Curves/meltCurve_Q9UJX6_2_ANAPC2.pdf</t>
  </si>
  <si>
    <t>Melting_Curves/meltCurve_Q9UJY4_GGA2.pdf</t>
  </si>
  <si>
    <t>Melting_Curves/meltCurve_Q9UJY5_4_GGA1.pdf</t>
  </si>
  <si>
    <t>Melting_Curves/meltCurve_Q9UJZ1_STOML2.pdf</t>
  </si>
  <si>
    <t>Melting_Curves/meltCurve_Q9UK23_2_NAGPA.pdf</t>
  </si>
  <si>
    <t>Melting_Curves/meltCurve_Q9UK41_VPS28.pdf</t>
  </si>
  <si>
    <t>Melting_Curves/meltCurve_Q9UK45_LSM7.pdf</t>
  </si>
  <si>
    <t>Melting_Curves/meltCurve_Q9UK53_3_ING1.pdf</t>
  </si>
  <si>
    <t>Melting_Curves/meltCurve_Q9UK59_DBR1.pdf</t>
  </si>
  <si>
    <t>Melting_Curves/meltCurve_Q9UK61_2_FAM208A.pdf</t>
  </si>
  <si>
    <t>Melting_Curves/meltCurve_Q9UK73_FEM1B.pdf</t>
  </si>
  <si>
    <t>Melting_Curves/meltCurve_Q9UK97_3_FBXO9.pdf</t>
  </si>
  <si>
    <t>Melting_Curves/meltCurve_Q9UKA4_AKAP11.pdf</t>
  </si>
  <si>
    <t>Melting_Curves/meltCurve_Q9UKB3_2_DNAJC12.pdf</t>
  </si>
  <si>
    <t>Melting_Curves/meltCurve_Q9UKD2_MRTO4.pdf</t>
  </si>
  <si>
    <t>Melting_Curves/meltCurve_Q9UKE5_2_TNIK.pdf</t>
  </si>
  <si>
    <t>Melting_Curves/meltCurve_Q9UKE5_6_TNIK.pdf</t>
  </si>
  <si>
    <t>Melting_Curves/meltCurve_Q9UKF6_CPSF3.pdf</t>
  </si>
  <si>
    <t>Melting_Curves/meltCurve_Q9UKG1_APPL1.pdf</t>
  </si>
  <si>
    <t>Melting_Curves/meltCurve_Q9UKI8_TLK1.pdf</t>
  </si>
  <si>
    <t>Melting_Curves/meltCurve_Q9UKJ3_2_GPATCH8.pdf</t>
  </si>
  <si>
    <t>Melting_Curves/meltCurve_Q9UKL0_RCOR1.pdf</t>
  </si>
  <si>
    <t>Melting_Curves/meltCurve_Q9UKN8_GTF3C4.pdf</t>
  </si>
  <si>
    <t>Melting_Curves/meltCurve_Q9UKS6_PACSIN3.pdf</t>
  </si>
  <si>
    <t>Melting_Curves/meltCurve_Q9UKT4_2_FBXO5.pdf</t>
  </si>
  <si>
    <t>Melting_Curves/meltCurve_Q9UKT5_FBXO4.pdf</t>
  </si>
  <si>
    <t>Melting_Curves/meltCurve_Q9UKU7_ACAD8.pdf</t>
  </si>
  <si>
    <t>Melting_Curves/meltCurve_Q9UKV5_AMFR.pdf</t>
  </si>
  <si>
    <t>Melting_Curves/meltCurve_Q9UKV8_AGO2.pdf</t>
  </si>
  <si>
    <t>Melting_Curves/meltCurve_Q9UKX7_2_NUP50.pdf</t>
  </si>
  <si>
    <t>Melting_Curves/meltCurve_Q9UKY1_ZHX1.pdf</t>
  </si>
  <si>
    <t>Melting_Curves/meltCurve_Q9UKY7_CDV3.pdf</t>
  </si>
  <si>
    <t>Melting_Curves/meltCurve_Q9UKZ1_CNOT11.pdf</t>
  </si>
  <si>
    <t>Melting_Curves/meltCurve_Q9UL15_BAG5.pdf</t>
  </si>
  <si>
    <t>Melting_Curves/meltCurve_Q9UL25_RAB21.pdf</t>
  </si>
  <si>
    <t>Melting_Curves/meltCurve_Q9UL26_RAB22A.pdf</t>
  </si>
  <si>
    <t>Melting_Curves/meltCurve_Q9UL33_2_TRAPPC2L.pdf</t>
  </si>
  <si>
    <t>Melting_Curves/meltCurve_Q9UL46_PSME2.pdf</t>
  </si>
  <si>
    <t>Melting_Curves/meltCurve_Q9UL54_2_TAOK2.pdf</t>
  </si>
  <si>
    <t>Melting_Curves/meltCurve_Q9ULC3_RAB23.pdf</t>
  </si>
  <si>
    <t>Melting_Curves/meltCurve_Q9ULC4_MCTS1.pdf</t>
  </si>
  <si>
    <t>Melting_Curves/meltCurve_Q9ULE0_WWC3.pdf</t>
  </si>
  <si>
    <t>Melting_Curves/meltCurve_Q9ULF5_SLC39A10.pdf</t>
  </si>
  <si>
    <t>Melting_Curves/meltCurve_Q9ULG6_4_CCPG1.pdf</t>
  </si>
  <si>
    <t>Melting_Curves/meltCurve_Q9ULH0_4_KIDINS220.pdf</t>
  </si>
  <si>
    <t>Melting_Curves/meltCurve_Q9ULH1_ASAP1.pdf</t>
  </si>
  <si>
    <t>Melting_Curves/meltCurve_Q9ULI2_2_RIMKLB.pdf</t>
  </si>
  <si>
    <t>Melting_Curves/meltCurve_Q9ULJ3_2_ZBTB21.pdf</t>
  </si>
  <si>
    <t>Melting_Curves/meltCurve_Q9ULJ6_ZMIZ1.pdf</t>
  </si>
  <si>
    <t>Melting_Curves/meltCurve_Q9ULJ7_ANKRD50.pdf</t>
  </si>
  <si>
    <t>Melting_Curves/meltCurve_Q9ULM6_CNOT6.pdf</t>
  </si>
  <si>
    <t>Melting_Curves/meltCurve_Q9ULP9_2_TBC1D24.pdf</t>
  </si>
  <si>
    <t>Melting_Curves/meltCurve_Q9ULR0_ISY1.pdf</t>
  </si>
  <si>
    <t>Melting_Curves/meltCurve_Q9ULR3_PPM1H.pdf</t>
  </si>
  <si>
    <t>Melting_Curves/meltCurve_Q9ULT8_HECTD1.pdf</t>
  </si>
  <si>
    <t>Melting_Curves/meltCurve_Q9ULU4_9_ZMYND8.pdf</t>
  </si>
  <si>
    <t>Melting_Curves/meltCurve_Q9ULV4_CORO1C.pdf</t>
  </si>
  <si>
    <t>Melting_Curves/meltCurve_Q9ULW0_TPX2.pdf</t>
  </si>
  <si>
    <t>Melting_Curves/meltCurve_Q9ULX3_NOB1.pdf</t>
  </si>
  <si>
    <t>Melting_Curves/meltCurve_Q9ULX6_2_AKAP8L.pdf</t>
  </si>
  <si>
    <t>Melting_Curves/meltCurve_Q9ULZ3_2_PYCARD.pdf</t>
  </si>
  <si>
    <t>Melting_Curves/meltCurve_Q9UM13_ANAPC10.pdf</t>
  </si>
  <si>
    <t>Melting_Curves/meltCurve_Q9UMF0_ICAM5.pdf</t>
  </si>
  <si>
    <t>Melting_Curves/meltCurve_Q9UMS0_3_NFU1.pdf</t>
  </si>
  <si>
    <t>Melting_Curves/meltCurve_Q9UMS4_PRPF19.pdf</t>
  </si>
  <si>
    <t>Melting_Curves/meltCurve_Q9UMX0_UBQLN1.pdf</t>
  </si>
  <si>
    <t>Melting_Curves/meltCurve_Q9UMX1_2_SUFU.pdf</t>
  </si>
  <si>
    <t>Melting_Curves/meltCurve_Q9UMX5_NENF.pdf</t>
  </si>
  <si>
    <t>Melting_Curves/meltCurve_Q9UMY4_2_SNX12.pdf</t>
  </si>
  <si>
    <t>Melting_Curves/meltCurve_Q9UMZ2_6_SYNRG.pdf</t>
  </si>
  <si>
    <t>Melting_Curves/meltCurve_Q9UN36_2_NDRG2.pdf</t>
  </si>
  <si>
    <t>Melting_Curves/meltCurve_Q9UN37_VPS4A.pdf</t>
  </si>
  <si>
    <t>Melting_Curves/meltCurve_Q9UN86_2_G3BP2.pdf</t>
  </si>
  <si>
    <t>Melting_Curves/meltCurve_Q9UNE7_STUB1.pdf</t>
  </si>
  <si>
    <t>Melting_Curves/meltCurve_Q9UNF0_2_PACSIN2.pdf</t>
  </si>
  <si>
    <t>Melting_Curves/meltCurve_Q9UNF1_MAGED2.pdf</t>
  </si>
  <si>
    <t>Melting_Curves/meltCurve_Q9UNH7_SNX6.pdf</t>
  </si>
  <si>
    <t>Melting_Curves/meltCurve_Q9UNI6_DUSP12.pdf</t>
  </si>
  <si>
    <t>Melting_Curves/meltCurve_Q9UNK0_STX8.pdf</t>
  </si>
  <si>
    <t>Melting_Curves/meltCurve_Q9UNM6_PSMD13.pdf</t>
  </si>
  <si>
    <t>Melting_Curves/meltCurve_Q9UNN5_FAF1.pdf</t>
  </si>
  <si>
    <t>Melting_Curves/meltCurve_Q9UNN8_PROCR.pdf</t>
  </si>
  <si>
    <t>Melting_Curves/meltCurve_Q9UNP9_PPIE.pdf</t>
  </si>
  <si>
    <t>Melting_Curves/meltCurve_Q9UNQ2_DIMT1.pdf</t>
  </si>
  <si>
    <t>Melting_Curves/meltCurve_Q9UNS1_2_TIMELESS.pdf</t>
  </si>
  <si>
    <t>Melting_Curves/meltCurve_Q9UNS2_COPS3.pdf</t>
  </si>
  <si>
    <t>Melting_Curves/meltCurve_Q9UNW1_MINPP1.pdf</t>
  </si>
  <si>
    <t>Melting_Curves/meltCurve_Q9UNX4_WDR3.pdf</t>
  </si>
  <si>
    <t>Melting_Curves/meltCurve_Q9UNY4_TTF2.pdf</t>
  </si>
  <si>
    <t>Melting_Curves/meltCurve_Q9UNZ2_NSFL1C.pdf</t>
  </si>
  <si>
    <t>Melting_Curves/meltCurve_Q9UNZ5_C19orf53.pdf</t>
  </si>
  <si>
    <t>Melting_Curves/meltCurve_Q9UP52_3_TFR2.pdf</t>
  </si>
  <si>
    <t>Melting_Curves/meltCurve_Q9UP83_COG5.pdf</t>
  </si>
  <si>
    <t>Melting_Curves/meltCurve_Q9UP95_3_SLC12A4.pdf</t>
  </si>
  <si>
    <t>Melting_Curves/meltCurve_Q9UPM8_2_AP4E1.pdf</t>
  </si>
  <si>
    <t>Melting_Curves/meltCurve_Q9UPN3_MACF1.pdf</t>
  </si>
  <si>
    <t>Melting_Curves/meltCurve_Q9UPN6_SCAF8.pdf</t>
  </si>
  <si>
    <t>Melting_Curves/meltCurve_Q9UPN7_PPP6R1.pdf</t>
  </si>
  <si>
    <t>Melting_Curves/meltCurve_Q9UPN9_TRIM33.pdf</t>
  </si>
  <si>
    <t>Melting_Curves/meltCurve_Q9UPN9_2_TRIM33.pdf</t>
  </si>
  <si>
    <t>Melting_Curves/meltCurve_Q9UPR3_SMG5.pdf</t>
  </si>
  <si>
    <t>Melting_Curves/meltCurve_Q9UPT5_2_EXOC7.pdf</t>
  </si>
  <si>
    <t>Melting_Curves/meltCurve_Q9UPT9_2_USP22.pdf</t>
  </si>
  <si>
    <t>Melting_Curves/meltCurve_Q9UPU5_USP24.pdf</t>
  </si>
  <si>
    <t>Melting_Curves/meltCurve_Q9UPY8_MAPRE3.pdf</t>
  </si>
  <si>
    <t>Melting_Curves/meltCurve_Q9UPY8_2_MAPRE3.pdf</t>
  </si>
  <si>
    <t>Melting_Curves/meltCurve_Q9UPZ3_2_HPS5.pdf</t>
  </si>
  <si>
    <t>Melting_Curves/meltCurve_Q9UQ13_2_SHOC2.pdf</t>
  </si>
  <si>
    <t>Melting_Curves/meltCurve_Q9UQ35_SRRM2.pdf</t>
  </si>
  <si>
    <t>Melting_Curves/meltCurve_Q9UQ53_2_MGAT4B.pdf</t>
  </si>
  <si>
    <t>Melting_Curves/meltCurve_Q9UQ80_PA2G4.pdf</t>
  </si>
  <si>
    <t>Melting_Curves/meltCurve_Q9UQ88_4_CDK11A.pdf</t>
  </si>
  <si>
    <t>Melting_Curves/meltCurve_Q9UQ90_SPG7.pdf</t>
  </si>
  <si>
    <t>Melting_Curves/meltCurve_Q9UQB8_3_BAIAP2.pdf</t>
  </si>
  <si>
    <t>Melting_Curves/meltCurve_Q9UQC2_2_GAB2.pdf</t>
  </si>
  <si>
    <t>Melting_Curves/meltCurve_Q9UQE7_SMC3.pdf</t>
  </si>
  <si>
    <t>Melting_Curves/meltCurve_Q9UQL0_UBE2D4.pdf</t>
  </si>
  <si>
    <t>Melting_Curves/meltCurve_Q9UQQ2_SH2B3.pdf</t>
  </si>
  <si>
    <t>Melting_Curves/meltCurve_Q9UQR0_SCML2.pdf</t>
  </si>
  <si>
    <t>Melting_Curves/meltCurve_Q9UQR1_ZNF148.pdf</t>
  </si>
  <si>
    <t>Melting_Curves/meltCurve_Q9Y217_MTMR6.pdf</t>
  </si>
  <si>
    <t>Melting_Curves/meltCurve_Q9Y219_JAG2.pdf</t>
  </si>
  <si>
    <t>Melting_Curves/meltCurve_Q9Y223_GNE.pdf</t>
  </si>
  <si>
    <t>Melting_Curves/meltCurve_Q9Y224_C14orf166.pdf</t>
  </si>
  <si>
    <t>Melting_Curves/meltCurve_Q9Y225_RNF24.pdf</t>
  </si>
  <si>
    <t>Melting_Curves/meltCurve_Q9Y230_RUVBL2.pdf</t>
  </si>
  <si>
    <t>Melting_Curves/meltCurve_Q9Y232_2_CDYL.pdf</t>
  </si>
  <si>
    <t>Melting_Curves/meltCurve_Q9Y237_PIN4.pdf</t>
  </si>
  <si>
    <t>Melting_Curves/meltCurve_Q9Y240_CLEC11A.pdf</t>
  </si>
  <si>
    <t>Melting_Curves/meltCurve_Q9Y241_HIGD1A.pdf</t>
  </si>
  <si>
    <t>Melting_Curves/meltCurve_Q9Y244_POMP.pdf</t>
  </si>
  <si>
    <t>Melting_Curves/meltCurve_Q9Y248_GINS2.pdf</t>
  </si>
  <si>
    <t>Melting_Curves/meltCurve_Q9Y250_5_LZTS1.pdf</t>
  </si>
  <si>
    <t>Melting_Curves/meltCurve_Q9Y263_PLAA.pdf</t>
  </si>
  <si>
    <t>Melting_Curves/meltCurve_Q9Y265_RUVBL1.pdf</t>
  </si>
  <si>
    <t>Melting_Curves/meltCurve_Q9Y266_NUDC.pdf</t>
  </si>
  <si>
    <t>Melting_Curves/meltCurve_Q9Y276_BCS1L.pdf</t>
  </si>
  <si>
    <t>Melting_Curves/meltCurve_Q9Y277_VDAC3.pdf</t>
  </si>
  <si>
    <t>Melting_Curves/meltCurve_Q9Y281_CFL2.pdf</t>
  </si>
  <si>
    <t>Melting_Curves/meltCurve_Q9Y289_SLC5A6.pdf</t>
  </si>
  <si>
    <t>Melting_Curves/meltCurve_Q9Y294_ASF1A.pdf</t>
  </si>
  <si>
    <t>Melting_Curves/meltCurve_Q9Y295_DRG1.pdf</t>
  </si>
  <si>
    <t>Melting_Curves/meltCurve_Q9Y2A7_NCKAP1.pdf</t>
  </si>
  <si>
    <t>Melting_Curves/meltCurve_Q9Y2B0_CNPY2.pdf</t>
  </si>
  <si>
    <t>Melting_Curves/meltCurve_Q9Y2D8_2_SSX2IP.pdf</t>
  </si>
  <si>
    <t>Melting_Curves/meltCurve_Q9Y2G2_4_CARD8.pdf</t>
  </si>
  <si>
    <t>Melting_Curves/meltCurve_Q9Y2G3_ATP11B.pdf</t>
  </si>
  <si>
    <t>Melting_Curves/meltCurve_Q9Y2G5_POFUT2.pdf</t>
  </si>
  <si>
    <t>Melting_Curves/meltCurve_Q9Y2H0_3_DLGAP4.pdf</t>
  </si>
  <si>
    <t>Melting_Curves/meltCurve_Q9Y2H6_2_FNDC3A.pdf</t>
  </si>
  <si>
    <t>Melting_Curves/meltCurve_Q9Y2I1_NISCH.pdf</t>
  </si>
  <si>
    <t>Melting_Curves/meltCurve_Q9Y2I7_PIKFYVE.pdf</t>
  </si>
  <si>
    <t>Melting_Curves/meltCurve_Q9Y2I8_WDR37.pdf</t>
  </si>
  <si>
    <t>Melting_Curves/meltCurve_Q9Y2K6_USP20.pdf</t>
  </si>
  <si>
    <t>Melting_Curves/meltCurve_Q9Y2K7_KDM2A.pdf</t>
  </si>
  <si>
    <t>Melting_Curves/meltCurve_Q9Y2L1_DIS3.pdf</t>
  </si>
  <si>
    <t>Melting_Curves/meltCurve_Q9Y2Q3_GSTK1.pdf</t>
  </si>
  <si>
    <t>Melting_Curves/meltCurve_Q9Y2Q5_LAMTOR2.pdf</t>
  </si>
  <si>
    <t>Melting_Curves/meltCurve_Q9Y2Q9_MRPS28.pdf</t>
  </si>
  <si>
    <t>Melting_Curves/meltCurve_Q9Y2R0_COA3.pdf</t>
  </si>
  <si>
    <t>Melting_Curves/meltCurve_Q9Y2S0_POLR1D.pdf</t>
  </si>
  <si>
    <t>Melting_Curves/meltCurve_Q9Y2S6_TMA7.pdf</t>
  </si>
  <si>
    <t>Melting_Curves/meltCurve_Q9Y2S7_POLDIP2.pdf</t>
  </si>
  <si>
    <t>Melting_Curves/meltCurve_Q9Y2T2_AP3M1.pdf</t>
  </si>
  <si>
    <t>Melting_Curves/meltCurve_Q9Y2U5_MAP3K2.pdf</t>
  </si>
  <si>
    <t>Melting_Curves/meltCurve_Q9Y2U8_LEMD3.pdf</t>
  </si>
  <si>
    <t>Melting_Curves/meltCurve_Q9Y2V2_CARHSP1.pdf</t>
  </si>
  <si>
    <t>Melting_Curves/meltCurve_Q9Y2V7_2_COG6.pdf</t>
  </si>
  <si>
    <t>Melting_Curves/meltCurve_Q9Y2W1_THRAP3.pdf</t>
  </si>
  <si>
    <t>Melting_Curves/meltCurve_Q9Y2X3_NOP58.pdf</t>
  </si>
  <si>
    <t>Melting_Curves/meltCurve_Q9Y2Y1_POLR3K.pdf</t>
  </si>
  <si>
    <t>Melting_Curves/meltCurve_Q9Y2Z0_SUGT1.pdf</t>
  </si>
  <si>
    <t>Melting_Curves/meltCurve_Q9Y2Z0_2_SUGT1.pdf</t>
  </si>
  <si>
    <t>Melting_Curves/meltCurve_Q9Y2Z2_5_MTO1.pdf</t>
  </si>
  <si>
    <t>Melting_Curves/meltCurve_Q9Y2Z4_YARS2.pdf</t>
  </si>
  <si>
    <t>Melting_Curves/meltCurve_Q9Y2Z9_3_COQ6.pdf</t>
  </si>
  <si>
    <t>Melting_Curves/meltCurve_Q9Y303_AMDHD2.pdf</t>
  </si>
  <si>
    <t>Melting_Curves/meltCurve_Q9Y303_2_AMDHD2.pdf</t>
  </si>
  <si>
    <t>Melting_Curves/meltCurve_Q9Y305_ACOT9.pdf</t>
  </si>
  <si>
    <t>Melting_Curves/meltCurve_Q9Y314_NOSIP.pdf</t>
  </si>
  <si>
    <t>Melting_Curves/meltCurve_Q9Y316_MEMO1.pdf</t>
  </si>
  <si>
    <t>Melting_Curves/meltCurve_Q9Y320_2_TMX2.pdf</t>
  </si>
  <si>
    <t>Melting_Curves/meltCurve_Q9Y333_LSM2.pdf</t>
  </si>
  <si>
    <t>Melting_Curves/meltCurve_Q9Y371_SH3GLB1.pdf</t>
  </si>
  <si>
    <t>Melting_Curves/meltCurve_Q9Y375_NDUFAF1.pdf</t>
  </si>
  <si>
    <t>Melting_Curves/meltCurve_Q9Y376_CAB39.pdf</t>
  </si>
  <si>
    <t>Melting_Curves/meltCurve_Q9Y383_LUC7L2.pdf</t>
  </si>
  <si>
    <t>Melting_Curves/meltCurve_Q9Y385_UBE2J1.pdf</t>
  </si>
  <si>
    <t>Melting_Curves/meltCurve_Q9Y388_RBMX2.pdf</t>
  </si>
  <si>
    <t>Melting_Curves/meltCurve_Q9Y394_2_DHRS7.pdf</t>
  </si>
  <si>
    <t>Melting_Curves/meltCurve_Q9Y399_MRPS2.pdf</t>
  </si>
  <si>
    <t>Melting_Curves/meltCurve_Q9Y3A3_MOB4.pdf</t>
  </si>
  <si>
    <t>Melting_Curves/meltCurve_Q9Y3A5_SBDS.pdf</t>
  </si>
  <si>
    <t>Melting_Curves/meltCurve_Q9Y3A6_TMED5.pdf</t>
  </si>
  <si>
    <t>Melting_Curves/meltCurve_Q9Y3B3_TMED7.pdf</t>
  </si>
  <si>
    <t>Melting_Curves/meltCurve_Q9Y3B4_SF3B14.pdf</t>
  </si>
  <si>
    <t>Melting_Curves/meltCurve_Q9Y3B7_MRPL11.pdf</t>
  </si>
  <si>
    <t>Melting_Curves/meltCurve_Q9Y3B9_RRP15.pdf</t>
  </si>
  <si>
    <t>Melting_Curves/meltCurve_Q9Y3C1_NOP16.pdf</t>
  </si>
  <si>
    <t>Melting_Curves/meltCurve_Q9Y3C4_2_TPRKB.pdf</t>
  </si>
  <si>
    <t>Melting_Curves/meltCurve_Q9Y3C5_RNF11.pdf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</si>
  <si>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</si>
  <si>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</si>
  <si>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</si>
  <si>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</si>
  <si>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Melting_Curves/meltCurve_Q9Y3D6_FIS1.pdf</t>
  </si>
  <si>
    <t>Melting_Curves/meltCurve_Q9Y3D8_2_TAF9.pdf</t>
  </si>
  <si>
    <t>Melting_Curves/meltCurve_Q9Y3D9_MRPS23.pdf</t>
  </si>
  <si>
    <t>Melting_Curves/meltCurve_Q9Y3E1_HDGFRP3.pdf</t>
  </si>
  <si>
    <t>Melting_Curves/meltCurve_Q9Y3E7_4_CHMP3.pdf</t>
  </si>
  <si>
    <t>Melting_Curves/meltCurve_Q9Y3F4_STRAP.pdf</t>
  </si>
  <si>
    <t>Melting_Curves/meltCurve_Q9Y3I0_C22orf28.pdf</t>
  </si>
  <si>
    <t>Melting_Curves/meltCurve_Q9Y3I1_FBXO7.pdf</t>
  </si>
  <si>
    <t>Melting_Curves/meltCurve_Q9Y3L3_SH3BP1.pdf</t>
  </si>
  <si>
    <t>Melting_Curves/meltCurve_Q9Y3L5_RAP2C.pdf</t>
  </si>
  <si>
    <t>Melting_Curves/meltCurve_Q9Y3P9_RABGAP1.pdf</t>
  </si>
  <si>
    <t>Melting_Curves/meltCurve_Q9Y3Q3_TMED3.pdf</t>
  </si>
  <si>
    <t>Melting_Curves/meltCurve_Q9Y3Q8_TSC22D4.pdf</t>
  </si>
  <si>
    <t>Melting_Curves/meltCurve_Q9Y3S2_ZNF330.pdf</t>
  </si>
  <si>
    <t>Melting_Curves/meltCurve_Q9Y3T6_R3HCC1.pdf</t>
  </si>
  <si>
    <t>Melting_Curves/meltCurve_Q9Y3T9_NOC2L.pdf</t>
  </si>
  <si>
    <t>Melting_Curves/meltCurve_Q9Y3U8_RPL36.pdf</t>
  </si>
  <si>
    <t>Melting_Curves/meltCurve_Q9Y3X0_CCDC9.pdf</t>
  </si>
  <si>
    <t>Melting_Curves/meltCurve_Q9Y3Y2_4_CHTOP.pdf</t>
  </si>
  <si>
    <t>Melting_Curves/meltCurve_Q9Y3Z3_SAMHD1.pdf</t>
  </si>
  <si>
    <t>Melting_Curves/meltCurve_Q9Y426_2_C2CD2.pdf</t>
  </si>
  <si>
    <t>Melting_Curves/meltCurve_Q9Y446_PKP3.pdf</t>
  </si>
  <si>
    <t>Melting_Curves/meltCurve_Q9Y448_KNSTRN.pdf</t>
  </si>
  <si>
    <t>Melting_Curves/meltCurve_Q9Y450_4_HBS1L.pdf</t>
  </si>
  <si>
    <t>Melting_Curves/meltCurve_Q9Y467_SALL2.pdf</t>
  </si>
  <si>
    <t>Melting_Curves/meltCurve_Q9Y478_PRKAB1.pdf</t>
  </si>
  <si>
    <t>Melting_Curves/meltCurve_Q9Y483_2_MTF2.pdf</t>
  </si>
  <si>
    <t>Melting_Curves/meltCurve_Q9Y487_ATP6V0A2.pdf</t>
  </si>
  <si>
    <t>Melting_Curves/meltCurve_Q9Y490_TLN1.pdf</t>
  </si>
  <si>
    <t>Melting_Curves/meltCurve_Q9Y4B6_3_VPRBP.pdf</t>
  </si>
  <si>
    <t>Melting_Curves/meltCurve_Q9Y4C2_2_FAM115A.pdf</t>
  </si>
  <si>
    <t>Melting_Curves/meltCurve_Q9Y4D7_2_PLXND1.pdf</t>
  </si>
  <si>
    <t>Melting_Curves/meltCurve_Q9Y4E8_USP15.pdf</t>
  </si>
  <si>
    <t>Melting_Curves/meltCurve_Q9Y4G6_TLN2.pdf</t>
  </si>
  <si>
    <t>Melting_Curves/meltCurve_Q9Y4G8_RAPGEF2.pdf</t>
  </si>
  <si>
    <t>Melting_Curves/meltCurve_Q9Y4K3_TRAF6.pdf</t>
  </si>
  <si>
    <t>Melting_Curves/meltCurve_Q9Y4K4_MAP4K5.pdf</t>
  </si>
  <si>
    <t>Melting_Curves/meltCurve_Q9Y4P1_6_ATG4B.pdf</t>
  </si>
  <si>
    <t>Melting_Curves/meltCurve_Q9Y4P8_3_WIPI2.pdf</t>
  </si>
  <si>
    <t>Melting_Curves/meltCurve_Q9Y4P8_4_WIPI2.pdf</t>
  </si>
  <si>
    <t>Melting_Curves/meltCurve_Q9Y4R8_TELO2.pdf</t>
  </si>
  <si>
    <t>Melting_Curves/meltCurve_Q9Y4U1_MMACHC.pdf</t>
  </si>
  <si>
    <t>Melting_Curves/meltCurve_Q9Y4W2_2_LAS1L.pdf</t>
  </si>
  <si>
    <t>Melting_Curves/meltCurve_Q9Y4W6_AFG3L2.pdf</t>
  </si>
  <si>
    <t>Melting_Curves/meltCurve_Q9Y4X0_AMMECR1.pdf</t>
  </si>
  <si>
    <t>Melting_Curves/meltCurve_Q9Y4X5_ARIH1.pdf</t>
  </si>
  <si>
    <t>Melting_Curves/meltCurve_Q9Y4Z0_LSM4.pdf</t>
  </si>
  <si>
    <t>Melting_Curves/meltCurve_Q9Y508_RNF114.pdf</t>
  </si>
  <si>
    <t>Melting_Curves/meltCurve_Q9Y512_SAMM50.pdf</t>
  </si>
  <si>
    <t>Melting_Curves/meltCurve_Q9Y546_LRRC42.pdf</t>
  </si>
  <si>
    <t>Melting_Curves/meltCurve_Q9Y570_PPME1.pdf</t>
  </si>
  <si>
    <t>Melting_Curves/meltCurve_Q9Y584_TIMM22.pdf</t>
  </si>
  <si>
    <t>Melting_Curves/meltCurve_Q9Y597_2_KCTD3.pdf</t>
  </si>
  <si>
    <t>Melting_Curves/meltCurve_Q9Y5A9_YTHDF2.pdf</t>
  </si>
  <si>
    <t>Melting_Curves/meltCurve_Q9Y5B0_CTDP1.pdf</t>
  </si>
  <si>
    <t>Melting_Curves/meltCurve_Q9Y5B6_PAXBP1.pdf</t>
  </si>
  <si>
    <t>Melting_Curves/meltCurve_Q9Y5B8_2_NME7.pdf</t>
  </si>
  <si>
    <t>Melting_Curves/meltCurve_Q9Y5B9_SUPT16H.pdf</t>
  </si>
  <si>
    <t>Melting_Curves/meltCurve_Q9Y5J6_TIMM10B.pdf</t>
  </si>
  <si>
    <t>Melting_Curves/meltCurve_Q9Y5J7_TIMM9.pdf</t>
  </si>
  <si>
    <t>Melting_Curves/meltCurve_Q9Y5K6_CD2AP.pdf</t>
  </si>
  <si>
    <t>Melting_Curves/meltCurve_Q9Y5K8_ATP6V1D.pdf</t>
  </si>
  <si>
    <t>Melting_Curves/meltCurve_Q9Y5L0_TNPO3.pdf</t>
  </si>
  <si>
    <t>Melting_Curves/meltCurve_Q9Y5L4_TIMM13.pdf</t>
  </si>
  <si>
    <t>Melting_Curves/meltCurve_Q9Y5M8_SRPRB.pdf</t>
  </si>
  <si>
    <t>Melting_Curves/meltCurve_Q9Y5N5_N6AMT1.pdf</t>
  </si>
  <si>
    <t>Melting_Curves/meltCurve_Q9Y5N6_ORC6.pdf</t>
  </si>
  <si>
    <t>Melting_Curves/meltCurve_Q9Y5P4_2_COL4A3BP.pdf</t>
  </si>
  <si>
    <t>Melting_Curves/meltCurve_Q9Y5P6_GMPPB.pdf</t>
  </si>
  <si>
    <t>Melting_Curves/meltCurve_Q9Y5Q8_GTF3C5.pdf</t>
  </si>
  <si>
    <t>Melting_Curves/meltCurve_Q9Y5Q9_GTF3C3.pdf</t>
  </si>
  <si>
    <t>Melting_Curves/meltCurve_Q9Y5R8_TRAPPC1.pdf</t>
  </si>
  <si>
    <t>Melting_Curves/meltCurve_Q9Y5S1_TRPV2.pdf</t>
  </si>
  <si>
    <t>Melting_Curves/meltCurve_Q9Y5S2_CDC42BPB.pdf</t>
  </si>
  <si>
    <t>Melting_Curves/meltCurve_Q9Y5S9_RBM8A.pdf</t>
  </si>
  <si>
    <t>Melting_Curves/meltCurve_Q9Y5T5_2_USP16.pdf</t>
  </si>
  <si>
    <t>Melting_Curves/meltCurve_Q9Y5U2_2_TSSC4.pdf</t>
  </si>
  <si>
    <t>Melting_Curves/meltCurve_Q9Y5U9_IER3IP1.pdf</t>
  </si>
  <si>
    <t>Melting_Curves/meltCurve_Q9Y5V0_ZNF706.pdf</t>
  </si>
  <si>
    <t>Melting_Curves/meltCurve_Q9Y5X1_SNX9.pdf</t>
  </si>
  <si>
    <t>Melting_Curves/meltCurve_Q9Y5X2_SNX8.pdf</t>
  </si>
  <si>
    <t>Melting_Curves/meltCurve_Q9Y5X3_SNX5.pdf</t>
  </si>
  <si>
    <t>Melting_Curves/meltCurve_Q9Y5Y0_FLVCR1.pdf</t>
  </si>
  <si>
    <t>Melting_Curves/meltCurve_Q9Y5Y2_NUBP2.pdf</t>
  </si>
  <si>
    <t>Melting_Curves/meltCurve_Q9Y5Z4_HEBP2.pdf</t>
  </si>
  <si>
    <t>Melting_Curves/meltCurve_Q9Y5Z9_2_UBIAD1.pdf</t>
  </si>
  <si>
    <t>Melting_Curves/meltCurve_Q9Y605_MRFAP1.pdf</t>
  </si>
  <si>
    <t>Melting_Curves/meltCurve_Q9Y608_4_LRRFIP2.pdf</t>
  </si>
  <si>
    <t>Melting_Curves/meltCurve_Q9Y613_FHOD1.pdf</t>
  </si>
  <si>
    <t>Melting_Curves/meltCurve_Q9Y617_PSAT1.pdf</t>
  </si>
  <si>
    <t>Melting_Curves/meltCurve_Q9Y619_SLC25A15.pdf</t>
  </si>
  <si>
    <t>Melting_Curves/meltCurve_Q9Y620_RAD54B.pdf</t>
  </si>
  <si>
    <t>Melting_Curves/meltCurve_Q9Y639_1_NPTN.pdf</t>
  </si>
  <si>
    <t>Melting_Curves/meltCurve_Q9Y646_CPQ.pdf</t>
  </si>
  <si>
    <t>Melting_Curves/meltCurve_Q9Y657_SPIN1.pdf</t>
  </si>
  <si>
    <t>Melting_Curves/meltCurve_Q9Y673_ALG5.pdf</t>
  </si>
  <si>
    <t>Melting_Curves/meltCurve_Q9Y676_MRPS18B.pdf</t>
  </si>
  <si>
    <t>Melting_Curves/meltCurve_Q9Y678_COPG1.pdf</t>
  </si>
  <si>
    <t>Melting_Curves/meltCurve_Q9Y679_2_AUP1.pdf</t>
  </si>
  <si>
    <t>Melting_Curves/meltCurve_Q9Y680_3_FKBP7.pdf</t>
  </si>
  <si>
    <t>Melting_Curves/meltCurve_Q9Y689_2_ARL5A.pdf</t>
  </si>
  <si>
    <t>Melting_Curves/meltCurve_Q9Y692_2_GMEB1.pdf</t>
  </si>
  <si>
    <t>Melting_Curves/meltCurve_Q9Y696_CLIC4.pdf</t>
  </si>
  <si>
    <t>Melting_Curves/meltCurve_Q9Y697_2_NFS1.pdf</t>
  </si>
  <si>
    <t>Melting_Curves/meltCurve_Q9Y6A4_C16orf80.pdf</t>
  </si>
  <si>
    <t>Melting_Curves/meltCurve_Q9Y6A5_TACC3.pdf</t>
  </si>
  <si>
    <t>Melting_Curves/meltCurve_Q9Y6B6_SAR1B.pdf</t>
  </si>
  <si>
    <t>Melting_Curves/meltCurve_Q9Y6B7_AP4B1.pdf</t>
  </si>
  <si>
    <t>Melting_Curves/meltCurve_Q9Y6C9_MTCH2.pdf</t>
  </si>
  <si>
    <t>Melting_Curves/meltCurve_Q9Y6D5_ARFGEF2.pdf</t>
  </si>
  <si>
    <t>Melting_Curves/meltCurve_Q9Y6D6_ARFGEF1.pdf</t>
  </si>
  <si>
    <t>Melting_Curves/meltCurve_Q9Y6D9_MAD1L1.pdf</t>
  </si>
  <si>
    <t>Melting_Curves/meltCurve_Q9Y6G9_DYNC1LI1.pdf</t>
  </si>
  <si>
    <t>Melting_Curves/meltCurve_Q9Y6H1_CHCHD2.pdf</t>
  </si>
  <si>
    <t>Melting_Curves/meltCurve_Q9Y6H3_XRCC6BP1.pdf</t>
  </si>
  <si>
    <t>Melting_Curves/meltCurve_Q9Y6I3_3_EPN1.pdf</t>
  </si>
  <si>
    <t>Melting_Curves/meltCurve_Q9Y6I9_TEX264.pdf</t>
  </si>
  <si>
    <t>Melting_Curves/meltCurve_Q9Y6J9_TAF6L.pdf</t>
  </si>
  <si>
    <t>Melting_Curves/meltCurve_Q9Y6K0_CEPT1.pdf</t>
  </si>
  <si>
    <t>Melting_Curves/meltCurve_Q9Y6K9_IKBKG.pdf</t>
  </si>
  <si>
    <t>Melting_Curves/meltCurve_Q9Y6M0_2_PRSS21.pdf</t>
  </si>
  <si>
    <t>Melting_Curves/meltCurve_Q9Y6M4_3_CSNK1G3.pdf</t>
  </si>
  <si>
    <t>Melting_Curves/meltCurve_Q9Y6M5_SLC30A1.pdf</t>
  </si>
  <si>
    <t>Melting_Curves/meltCurve_Q9Y6P5_3_SESN1.pdf</t>
  </si>
  <si>
    <t>Melting_Curves/meltCurve_Q9Y6Q9_2_NCOA3.pdf</t>
  </si>
  <si>
    <t>Melting_Curves/meltCurve_Q9Y6R0_NUMBL.pdf</t>
  </si>
  <si>
    <t>Melting_Curves/meltCurve_Q9Y6V7_DDX49.pdf</t>
  </si>
  <si>
    <t>Melting_Curves/meltCurve_Q9Y6W3_CAPN7.pdf</t>
  </si>
  <si>
    <t>Melting_Curves/meltCurve_Q9Y6W5_WASF2.pdf</t>
  </si>
  <si>
    <t>Melting_Curves/meltCurve_Q9Y6X9_MORC2.pdf</t>
  </si>
  <si>
    <t>Melting_Curves/meltCurve_Q9Y6Y0_IVNS1ABP.pdf</t>
  </si>
  <si>
    <t>Melting_Curves/meltCurve_R4GMN1_MOSPD2.pdf</t>
  </si>
  <si>
    <t>Melting_Curves/meltCurve_R4GMR5_PSMD8.pdf</t>
  </si>
  <si>
    <t>Melting_Curves/meltCurve_R4GMX3_BMI1.pdf</t>
  </si>
  <si>
    <t>Melting_Curves/meltCurve_R4GN33_MAPKAPK5.pdf</t>
  </si>
  <si>
    <t>Melting_Curves/meltCurve_R4GN55_YTHDF3.pdf</t>
  </si>
  <si>
    <t>Melting_Curves/meltCurve_R4GNB1_AASDH.pdf</t>
  </si>
  <si>
    <t>Melting_Curves/meltCurve_R4GNB2_DENND4C.pdf</t>
  </si>
  <si>
    <t>Melting_Curves/meltCurve_R4GND1_UBE2E3.pdf</t>
  </si>
  <si>
    <t>Melting_Curves/meltCurve_R4GNF5_TCP11L1.pdf</t>
  </si>
  <si>
    <t>Melting_Curves/meltCurve_R4GNH3_PSMC3.pdf</t>
  </si>
  <si>
    <t>Melting_Curves/meltCurve_R4GNJ5_ACD.pdf</t>
  </si>
  <si>
    <t>Yes</t>
  </si>
  <si>
    <t>No</t>
  </si>
  <si>
    <t>Ubiquitin-like modifier-activating enzyme 6</t>
  </si>
  <si>
    <t>Isoform 2 of Extended synaptotagmin-2</t>
  </si>
  <si>
    <t>UHRF1-binding protein 1-like</t>
  </si>
  <si>
    <t>Shootin-1</t>
  </si>
  <si>
    <t>Transmembrane protein 223</t>
  </si>
  <si>
    <t>KIAA0999 protein</t>
  </si>
  <si>
    <t>Acetolactate synthase-like protein</t>
  </si>
  <si>
    <t>Aconitate hydratase, mitochondrial</t>
  </si>
  <si>
    <t>Ral GTPase-activating protein subunit beta (Fragment)</t>
  </si>
  <si>
    <t>Dolichyl pyrophosphate Man9GlcNAc2 alpha-1,3-glucosyltransferase</t>
  </si>
  <si>
    <t>Protein AAR2 homolog</t>
  </si>
  <si>
    <t>Major prion protein (Fragment)</t>
  </si>
  <si>
    <t>Putative PIP5K1A and PSMD4-like protein</t>
  </si>
  <si>
    <t>Neuroblastoma-amplified sequence</t>
  </si>
  <si>
    <t>Isoform 2 of Fucose mutarotase</t>
  </si>
  <si>
    <t>Isoform 3 of Protein strawberry notch homolog 1</t>
  </si>
  <si>
    <t>Isoprenoid synthase domain-containing protein</t>
  </si>
  <si>
    <t>GTP-binding protein 10</t>
  </si>
  <si>
    <t>DKFZP586J0619 protein</t>
  </si>
  <si>
    <t>Metallo-beta-lactamase domain-containing protein 1</t>
  </si>
  <si>
    <t>Isoform 2 of Xin actin-binding repeat-containing protein 2</t>
  </si>
  <si>
    <t>CCR4-NOT transcription complex subunit 1</t>
  </si>
  <si>
    <t>Serologically defined colon cancer antigen 8</t>
  </si>
  <si>
    <t>28S ribosomal protein S16, mitochondrial</t>
  </si>
  <si>
    <t>Isoform 2 of Protein FAM83G</t>
  </si>
  <si>
    <t>Paralemmin-3</t>
  </si>
  <si>
    <t>Phosphoglycolate phosphatase</t>
  </si>
  <si>
    <t>Putative Rab-43-like protein ENSP00000330714</t>
  </si>
  <si>
    <t>UPF0600 protein C5orf51</t>
  </si>
  <si>
    <t>RCC1 domain-containing protein 1</t>
  </si>
  <si>
    <t>HCF N-terminal chain 5</t>
  </si>
  <si>
    <t>GPI-anchor transamidase</t>
  </si>
  <si>
    <t>Oral-facial-digital syndrome 1 protein</t>
  </si>
  <si>
    <t>Zinc finger protein 281</t>
  </si>
  <si>
    <t>3(2),5-bisphosphate nucleotidase 1</t>
  </si>
  <si>
    <t>Zinc finger protein 316</t>
  </si>
  <si>
    <t>Isoform 3 of Protein FAM115C</t>
  </si>
  <si>
    <t>ADP-sugar pyrophosphatase</t>
  </si>
  <si>
    <t>Charged multivesicular body protein 1a</t>
  </si>
  <si>
    <t>Spectrin alpha chain, non-erythrocytic 1</t>
  </si>
  <si>
    <t>Proline-rich protein PRCC</t>
  </si>
  <si>
    <t>WAS/WASL-interacting protein family member 3</t>
  </si>
  <si>
    <t>Coiled-coil domain-containing protein 160</t>
  </si>
  <si>
    <t>Hematological and neurological-expressed 1-like protein</t>
  </si>
  <si>
    <t>Putative gamma-glutamyltranspeptidase 3</t>
  </si>
  <si>
    <t>Isoform 2 of Tubulin alpha chain-like 3</t>
  </si>
  <si>
    <t>Zinc finger MYM-type protein 3</t>
  </si>
  <si>
    <t>rRNA/tRNA 2-O-methyltransferase fibrillarin-like protein 1</t>
  </si>
  <si>
    <t>Structural maintenance of chromosomes flexible hinge domain-containing protein 1</t>
  </si>
  <si>
    <t>Protein unc-119 homolog B</t>
  </si>
  <si>
    <t>Dedicator of cytokinesis protein 11</t>
  </si>
  <si>
    <t>Nuclear distribution protein nudE-like 1</t>
  </si>
  <si>
    <t>Probable methyltransferase-like protein 15</t>
  </si>
  <si>
    <t>Coiled-coil-helix-coiled-coil-helix domain-containing protein 1</t>
  </si>
  <si>
    <t>Dual-specificity mitogen-activated protein kinase kinase 5</t>
  </si>
  <si>
    <t>Cyclin-dependent kinase inhibitor 1C</t>
  </si>
  <si>
    <t>Coiled-coil domain-containing protein 85C</t>
  </si>
  <si>
    <t>Putative Golgi pH regulator C</t>
  </si>
  <si>
    <t>N-acylglucosamine 2-epimerase</t>
  </si>
  <si>
    <t>Protein cornichon homolog 4</t>
  </si>
  <si>
    <t>Septin-8</t>
  </si>
  <si>
    <t>DNA polymerase</t>
  </si>
  <si>
    <t>Protein Shroom1</t>
  </si>
  <si>
    <t>Serine/threonine-protein phosphatase 2A activator</t>
  </si>
  <si>
    <t>Phosphatidylinositol 4-phosphate 5-kinase type-1 alpha (Fragment)</t>
  </si>
  <si>
    <t>Protein TRIM39-RPP21 (Fragment)</t>
  </si>
  <si>
    <t>Protein FAM127A</t>
  </si>
  <si>
    <t>Protein archease</t>
  </si>
  <si>
    <t>Selenoprotein K</t>
  </si>
  <si>
    <t>Putative ATP-dependent RNA helicase DDX11-like protein 8</t>
  </si>
  <si>
    <t>UPF0249 protein ydjC homolog</t>
  </si>
  <si>
    <t>Protein S100-B</t>
  </si>
  <si>
    <t>Pyruvate dehydrogenase phosphatase regulatory subunit, mitochondrial</t>
  </si>
  <si>
    <t>POT1 protection of telomeres 1 homolog (S. pombe), isoform CRA_a</t>
  </si>
  <si>
    <t>TRAF3-interacting protein 1</t>
  </si>
  <si>
    <t>Probable ATP-dependent RNA helicase DDX52</t>
  </si>
  <si>
    <t>TCF3 fusion partner</t>
  </si>
  <si>
    <t>Down syndrome critical region protein 3</t>
  </si>
  <si>
    <t>S100P-binding protein</t>
  </si>
  <si>
    <t>SMT3 suppressor of mif two 3 homolog 3 (Yeast), isoform CRA_d</t>
  </si>
  <si>
    <t>Tubulin alpha-4A chain</t>
  </si>
  <si>
    <t>Hemoglobin subunit epsilon (Fragment)</t>
  </si>
  <si>
    <t>Protein TSSC1</t>
  </si>
  <si>
    <t>Nitrogen permease regulator 3-like protein</t>
  </si>
  <si>
    <t>Diacylglycerol kinase zeta</t>
  </si>
  <si>
    <t>BICD1 protein</t>
  </si>
  <si>
    <t>Pleiotropic regulator 1</t>
  </si>
  <si>
    <t>UPF0577 protein KIAA1324-like</t>
  </si>
  <si>
    <t>Sulfatase-modifying factor 2</t>
  </si>
  <si>
    <t>Retinoic acid-induced protein 1 (Fragment)</t>
  </si>
  <si>
    <t>Matrin-3</t>
  </si>
  <si>
    <t>Pituitary tumor-transforming gene 1 protein-interacting protein</t>
  </si>
  <si>
    <t>Nucleoside diphosphate-linked moiety X motif 19, mitochondrial</t>
  </si>
  <si>
    <t>MIF4G domain-containing protein</t>
  </si>
  <si>
    <t>Serine/arginine repetitive matrix protein 1</t>
  </si>
  <si>
    <t>6-phosphofructo-2-kinase/fructose-2, 6-bisphosphatase 2 transcript variant 3</t>
  </si>
  <si>
    <t>HMG domain-containing protein 4 (Fragment)</t>
  </si>
  <si>
    <t>Eukaryotic translation initiation factor 3 subunit L</t>
  </si>
  <si>
    <t>Mitochondrial dynamic protein MID51</t>
  </si>
  <si>
    <t>TBC1 domain family member 22A</t>
  </si>
  <si>
    <t>RNA-binding protein EWS</t>
  </si>
  <si>
    <t>Peroxisomal membrane protein PMP34</t>
  </si>
  <si>
    <t>Coiled-coil alpha-helical rod protein 1</t>
  </si>
  <si>
    <t>HLA-B associated transcript 3, isoform CRA_a</t>
  </si>
  <si>
    <t>Abhydrolase domain-containing protein 16A</t>
  </si>
  <si>
    <t>Histone-lysine N-methyltransferase EHMT2</t>
  </si>
  <si>
    <t>Apolipoprotein C-III</t>
  </si>
  <si>
    <t>Putative peripheral benzodiazepine receptor-related protein (Fragment)</t>
  </si>
  <si>
    <t>NHP2-like protein 1</t>
  </si>
  <si>
    <t>26S proteasome non-ATPase regulatory subunit 10</t>
  </si>
  <si>
    <t>3-hydroxymethyl-3-methylglutaryl-Coenzyme A lyase (Hydroxymethylglutaricaciduria), isoform CRA_b</t>
  </si>
  <si>
    <t>Rootletin (Fragment)</t>
  </si>
  <si>
    <t>Nardilysin</t>
  </si>
  <si>
    <t>Oxysterol-binding protein</t>
  </si>
  <si>
    <t>Eukaryotic translation initiation factor 4E transporter</t>
  </si>
  <si>
    <t>Hsp90 co-chaperone Cdc37-like 1</t>
  </si>
  <si>
    <t>Transmembrane protein 9</t>
  </si>
  <si>
    <t>Ubiquitin-conjugating enzyme E2 J2 (Fragment)</t>
  </si>
  <si>
    <t>Septin 6, isoform CRA_b</t>
  </si>
  <si>
    <t>Exosome complex component CSL4 (Fragment)</t>
  </si>
  <si>
    <t>CD58 antigen, (Lymphocyte function-associated antigen 3), isoform CRA_c</t>
  </si>
  <si>
    <t>Trypsin-3 (Fragment)</t>
  </si>
  <si>
    <t>Guanylate kinase (Fragment)</t>
  </si>
  <si>
    <t>Sterol O-acyltransferase 1 (Fragment)</t>
  </si>
  <si>
    <t>Ubiquitin conjugation factor E4 B</t>
  </si>
  <si>
    <t>Upstream stimulatory factor 1</t>
  </si>
  <si>
    <t>Mucin-1 subunit alpha</t>
  </si>
  <si>
    <t>Fibroblast growth factor 13 (Fragment)</t>
  </si>
  <si>
    <t>Bifunctional arginine demethylase and lysyl-hydroxylase JMJD6</t>
  </si>
  <si>
    <t>Polyhomeotic-like protein 2</t>
  </si>
  <si>
    <t>Proteasome activator complex subunit 3</t>
  </si>
  <si>
    <t>Endoplasmic reticulum mannosyl-oligosaccharide 1,2-alpha-mannosidase</t>
  </si>
  <si>
    <t>Eukaryotic translation initiation factor 3 subunit H</t>
  </si>
  <si>
    <t>Eukaryotic translation initiation factor 3 subunit F</t>
  </si>
  <si>
    <t>Leucine zipper transcription factor-like 1, isoform CRA_b</t>
  </si>
  <si>
    <t>Matrix-remodeling-associated protein 8</t>
  </si>
  <si>
    <t>Superoxide dismutase</t>
  </si>
  <si>
    <t>PHD finger protein 23</t>
  </si>
  <si>
    <t>Pyridine nucleotide-disulfide oxidoreductase domain-containing protein 1</t>
  </si>
  <si>
    <t>Solute carrier family 12 member 6</t>
  </si>
  <si>
    <t>Retinoic acid receptor RXR-alpha</t>
  </si>
  <si>
    <t>ADP-ribosylation factor-like protein 6-interacting protein 4</t>
  </si>
  <si>
    <t>Calponin-2</t>
  </si>
  <si>
    <t>Mediator of RNA polymerase II transcription subunit 24</t>
  </si>
  <si>
    <t>Histidyl-tRNA synthetase-like, isoform CRA_a</t>
  </si>
  <si>
    <t>UDP-galactose translocator</t>
  </si>
  <si>
    <t>Beta-catenin-like protein 1</t>
  </si>
  <si>
    <t>Ornithine aminotransferase-like 1, isoform CRA_b</t>
  </si>
  <si>
    <t>ERI1 exoribonuclease 3</t>
  </si>
  <si>
    <t>NADH dehydrogenase [ubiquinone] 1 alpha subcomplex subunit 13</t>
  </si>
  <si>
    <t>HAUS augmin-like complex subunit 3</t>
  </si>
  <si>
    <t>Sialin</t>
  </si>
  <si>
    <t>Checkpoint protein HUS1</t>
  </si>
  <si>
    <t>COMM domain-containing protein 1</t>
  </si>
  <si>
    <t>Dynein light chain roadblock-type 1</t>
  </si>
  <si>
    <t>SWI/SNF-related matrix-associated actin-dependent regulator of chromatin subfamily E member 1</t>
  </si>
  <si>
    <t>Catenin beta-1</t>
  </si>
  <si>
    <t>Phosphatidylinositol 5-phosphate 4-kinase type-2 alpha</t>
  </si>
  <si>
    <t>DCN1-like protein 4</t>
  </si>
  <si>
    <t>MAP1S light chain</t>
  </si>
  <si>
    <t>F-box/WD repeat-containing protein 11</t>
  </si>
  <si>
    <t>Transmembrane protein 165</t>
  </si>
  <si>
    <t>Cytosolic carboxypeptidase 1</t>
  </si>
  <si>
    <t>Phosphatidylinositol 4-phosphate 5-kinase type-1 beta</t>
  </si>
  <si>
    <t>Ras-related protein Rab-5A</t>
  </si>
  <si>
    <t>Small nuclear ribonucleoprotein Sm D3</t>
  </si>
  <si>
    <t>Citrate synthase</t>
  </si>
  <si>
    <t>DNA topoisomerase</t>
  </si>
  <si>
    <t>Endothelin-converting enzyme 1</t>
  </si>
  <si>
    <t>Zinc finger protein 286A</t>
  </si>
  <si>
    <t>Lipolysis-stimulated lipoprotein receptor</t>
  </si>
  <si>
    <t>Protein CHURC1-FNTB</t>
  </si>
  <si>
    <t>Kinesin-like protein KIF20A</t>
  </si>
  <si>
    <t>Chromosome 2 open reading frame 18, isoform CRA_c</t>
  </si>
  <si>
    <t>Mitochondrial dicarboxylate carrier</t>
  </si>
  <si>
    <t>NAD(P)H dehydrogenase [quinone] 1</t>
  </si>
  <si>
    <t>Ribosomal protein S6 kinase beta-1</t>
  </si>
  <si>
    <t>E3 ubiquitin-protein ligase RNF220</t>
  </si>
  <si>
    <t>Protein FAM45A</t>
  </si>
  <si>
    <t>3-ketodihydrosphingosine reductase</t>
  </si>
  <si>
    <t>39S ribosomal protein L48, mitochondrial</t>
  </si>
  <si>
    <t>Zinc finger protein 460</t>
  </si>
  <si>
    <t>Prostaglandin E synthase 3</t>
  </si>
  <si>
    <t>Sorting nexin-11</t>
  </si>
  <si>
    <t>TOX high mobility group box family member 4</t>
  </si>
  <si>
    <t>6-phosphogluconate dehydrogenase, decarboxylating</t>
  </si>
  <si>
    <t>Histone H2B</t>
  </si>
  <si>
    <t>Protein transport protein Sec61 subunit alpha isoform 1</t>
  </si>
  <si>
    <t>Serine/threonine-protein kinase 24 12 kDa subunit</t>
  </si>
  <si>
    <t>Ankyrin repeat and SOCS box protein 6</t>
  </si>
  <si>
    <t>Rab proteins geranylgeranyltransferase component A 1</t>
  </si>
  <si>
    <t>SH2 domain-containing protein 3A</t>
  </si>
  <si>
    <t>UPF0586 protein C9orf41</t>
  </si>
  <si>
    <t>1-acyl-sn-glycerol-3-phosphate acyltransferase delta</t>
  </si>
  <si>
    <t>Uncharacterized protein KIAA0513</t>
  </si>
  <si>
    <t>Polypyrimidine tract-binding protein 2</t>
  </si>
  <si>
    <t>WD repeat-containing protein 41</t>
  </si>
  <si>
    <t>Annexin</t>
  </si>
  <si>
    <t>Solute carrier family 25 member 46</t>
  </si>
  <si>
    <t>DNA ligase</t>
  </si>
  <si>
    <t>Serine incorporator 3</t>
  </si>
  <si>
    <t>cDNA FLJ50705</t>
  </si>
  <si>
    <t>Eukaryotic translation initiation factor 3 subunit D</t>
  </si>
  <si>
    <t>Forkhead box protein O3</t>
  </si>
  <si>
    <t>2-hydroxyacyl-CoA lyase 1</t>
  </si>
  <si>
    <t>Protein DBF4 homolog A</t>
  </si>
  <si>
    <t>Fragile X mental retardation syndrome-related protein 1</t>
  </si>
  <si>
    <t>Nucleolar GTP-binding protein 1</t>
  </si>
  <si>
    <t>TGF-beta receptor type-1</t>
  </si>
  <si>
    <t>Nucleoporin NUP53</t>
  </si>
  <si>
    <t>ADP-ribosylation factor-like protein 1</t>
  </si>
  <si>
    <t>Histone deacetylase 6</t>
  </si>
  <si>
    <t>Transmembrane protein 134</t>
  </si>
  <si>
    <t>Peroxisomal targeting signal 1 receptor</t>
  </si>
  <si>
    <t>Leucine-rich repeat and calponin homology domain-containing protein 3</t>
  </si>
  <si>
    <t>Pyridoxine-5-phosphate oxidase</t>
  </si>
  <si>
    <t>Arginyl-tRNA--protein transferase 1</t>
  </si>
  <si>
    <t>Pre-B-cell leukemia transcription factor-interacting protein 1</t>
  </si>
  <si>
    <t>Myb/SANT-like DNA-binding domain-containing protein 2</t>
  </si>
  <si>
    <t>Serine/threonine-protein kinase RIO3</t>
  </si>
  <si>
    <t>Serine/arginine-rich-splicing factor 3</t>
  </si>
  <si>
    <t>Pumilio homolog 2</t>
  </si>
  <si>
    <t>Erythrocyte band 7 integral membrane protein</t>
  </si>
  <si>
    <t>3-ketoacyl-CoA thiolase</t>
  </si>
  <si>
    <t>Methyltransferase-like protein 13</t>
  </si>
  <si>
    <t>Coiled-coil-helix-coiled-coil-helix domain-containing protein 10, mitochondrial</t>
  </si>
  <si>
    <t>Sororin</t>
  </si>
  <si>
    <t>Uncharacterized protein C6orf1</t>
  </si>
  <si>
    <t>Epithelial cell adhesion molecule</t>
  </si>
  <si>
    <t>Pescadillo homolog</t>
  </si>
  <si>
    <t>Nuclear receptor coactivator 1</t>
  </si>
  <si>
    <t>Sterol regulatory element-binding protein 1</t>
  </si>
  <si>
    <t>Protein RFT1 homolog</t>
  </si>
  <si>
    <t>GTP-binding nuclear protein Ran</t>
  </si>
  <si>
    <t>UPF0554 protein C2orf43</t>
  </si>
  <si>
    <t>Methyltransferase-like protein 8 (Fragment)</t>
  </si>
  <si>
    <t>Erythroid transcription factor</t>
  </si>
  <si>
    <t>Pre-mRNA-splicing factor CWC22 homolog</t>
  </si>
  <si>
    <t>Echinoderm microtubule associated protein like 3, isoform CRA_e</t>
  </si>
  <si>
    <t>Heterogeneous nuclear ribonucleoprotein L-like</t>
  </si>
  <si>
    <t>Synembryn-B</t>
  </si>
  <si>
    <t>Protein disulfide-isomerase A6</t>
  </si>
  <si>
    <t>Major facilitator superfamily domain-containing protein 8</t>
  </si>
  <si>
    <t>Ribosomal protein S6 kinase</t>
  </si>
  <si>
    <t>Delta-aminolevulinic acid dehydratase</t>
  </si>
  <si>
    <t>Tubulin-specific chaperone E</t>
  </si>
  <si>
    <t>Two pore calcium channel protein 1</t>
  </si>
  <si>
    <t>Deoxyribonuclease-2-alpha</t>
  </si>
  <si>
    <t>ETS domain-containing transcription factor ERF</t>
  </si>
  <si>
    <t>Cysteine conjugate-beta lyase cytoplasmic (Glutamine transaminase K, kyneurenine aminotransferase), isoform CRA_b</t>
  </si>
  <si>
    <t>Transporter</t>
  </si>
  <si>
    <t>Stathmin</t>
  </si>
  <si>
    <t>Junctional adhesion molecule A</t>
  </si>
  <si>
    <t>Armadillo repeat containing 8, isoform CRA_g</t>
  </si>
  <si>
    <t>2,4-dienoyl-CoA reductase, mitochondrial</t>
  </si>
  <si>
    <t>Ran-binding protein 3</t>
  </si>
  <si>
    <t>Protein AMN1 homolog</t>
  </si>
  <si>
    <t>Ubiquitin carboxyl-terminal hydrolase</t>
  </si>
  <si>
    <t>Delta(24)-sterol reductase</t>
  </si>
  <si>
    <t>cDNA FLJ52038, highly similar to DNA (cytosine-5)-methyltransferase-like protein 2</t>
  </si>
  <si>
    <t>SH3 and PX domain-containing protein 2A</t>
  </si>
  <si>
    <t>Renin receptor</t>
  </si>
  <si>
    <t>Endophilin-B2</t>
  </si>
  <si>
    <t>PPP2R5E protein</t>
  </si>
  <si>
    <t>SCARB1 protein</t>
  </si>
  <si>
    <t>CapZ-interacting protein</t>
  </si>
  <si>
    <t>COX18 protein</t>
  </si>
  <si>
    <t>Probable threonine--tRNA ligase 2, cytoplasmic</t>
  </si>
  <si>
    <t>ER degradation-enhancing alpha-mannosidase-like protein 3</t>
  </si>
  <si>
    <t>CARMIL2b</t>
  </si>
  <si>
    <t>Tax1-binding protein 1</t>
  </si>
  <si>
    <t>Small ubiquitin-related modifier 1</t>
  </si>
  <si>
    <t>Thymosin alpha-1</t>
  </si>
  <si>
    <t>Sorting nexin 13, isoform CRA_g</t>
  </si>
  <si>
    <t>Cyclic AMP-dependent transcription factor ATF-2</t>
  </si>
  <si>
    <t>Arf-GAP domain and FG repeat-containing protein 1</t>
  </si>
  <si>
    <t>U4/U6.U5 tri-snRNP-associated protein 2</t>
  </si>
  <si>
    <t>Rhomboid-related protein 4</t>
  </si>
  <si>
    <t>Islet cell autoantigen 1 (Fragment)</t>
  </si>
  <si>
    <t>BAK1 protein</t>
  </si>
  <si>
    <t>Putative WAS protein family homolog 3</t>
  </si>
  <si>
    <t>Spatacsin</t>
  </si>
  <si>
    <t>Mediator of RNA polymerase II transcription subunit 30</t>
  </si>
  <si>
    <t>39S ribosomal protein L37, mitochondrial</t>
  </si>
  <si>
    <t>Asparagine synthetase domain-containing protein 1 (Fragment)</t>
  </si>
  <si>
    <t>Charged multivesicular body protein 2b</t>
  </si>
  <si>
    <t>Nuclear-interacting partner of ALK</t>
  </si>
  <si>
    <t>Sorcin</t>
  </si>
  <si>
    <t>Uncharacterized protein</t>
  </si>
  <si>
    <t>Activated CDC42 kinase 1</t>
  </si>
  <si>
    <t>NEDD8-conjugating enzyme UBE2F</t>
  </si>
  <si>
    <t>Ubiquitin-conjugating enzyme E2 E1 (Fragment)</t>
  </si>
  <si>
    <t>E3 ubiquitin-protein ligase Hakai (Fragment)</t>
  </si>
  <si>
    <t>Chromosome 3 open reading frame 31, isoform CRA_f</t>
  </si>
  <si>
    <t>NF-kappa-B essential modulator (Fragment)</t>
  </si>
  <si>
    <t>DNA-directed RNA polymerase</t>
  </si>
  <si>
    <t>Motile sperm domain-containing protein 3 (Fragment)</t>
  </si>
  <si>
    <t>Mitochondrial inner membrane protein</t>
  </si>
  <si>
    <t>Condensin complex subunit 2 (Fragment)</t>
  </si>
  <si>
    <t>Probable E3 ubiquitin-protein ligase makorin-2</t>
  </si>
  <si>
    <t>Protein downstream neighbor of Son</t>
  </si>
  <si>
    <t>Solute carrier family 22 member 23</t>
  </si>
  <si>
    <t>60S ribosomal protein L37a</t>
  </si>
  <si>
    <t>Programmed cell death protein 10 (Fragment)</t>
  </si>
  <si>
    <t>Protein lin-9 homolog</t>
  </si>
  <si>
    <t>Protein PTGES3L-AARSD1</t>
  </si>
  <si>
    <t>Insulin-like growth factor 1 receptor</t>
  </si>
  <si>
    <t>Kinesin-like protein KIF20B</t>
  </si>
  <si>
    <t>3-beta-hydroxysteroid-Delta(8),Delta(7)-isomerase (Fragment)</t>
  </si>
  <si>
    <t>Muskelin</t>
  </si>
  <si>
    <t>L-lactate dehydrogenase B chain (Fragment)</t>
  </si>
  <si>
    <t>Phospholipid scramblase 1</t>
  </si>
  <si>
    <t>tRNA-splicing endonuclease subunit Sen2 (Fragment)</t>
  </si>
  <si>
    <t>Apolipoprotein B receptor</t>
  </si>
  <si>
    <t>Histone deacetylase 10</t>
  </si>
  <si>
    <t>Succinate-semialdehyde dehydrogenase, mitochondrial</t>
  </si>
  <si>
    <t>Protein Jade-2 (Fragment)</t>
  </si>
  <si>
    <t>40S ribosomal protein SA (Fragment)</t>
  </si>
  <si>
    <t>60S ribosomal export protein NMD3</t>
  </si>
  <si>
    <t>Translocon-associated protein subunit gamma</t>
  </si>
  <si>
    <t>Serine/arginine-rich-splicing factor 7</t>
  </si>
  <si>
    <t>Cytoplasmic protein NCK1 (Fragment)</t>
  </si>
  <si>
    <t>Frataxin, mitochondrial</t>
  </si>
  <si>
    <t>BSD domain-containing protein 1</t>
  </si>
  <si>
    <t>Tissue factor pathway inhibitor (Fragment)</t>
  </si>
  <si>
    <t>SID1 transmembrane family member 2</t>
  </si>
  <si>
    <t>Signal peptidase complex subunit 1</t>
  </si>
  <si>
    <t>Transport and Golgi organization 2 homolog</t>
  </si>
  <si>
    <t>Dr1-associated corepressor</t>
  </si>
  <si>
    <t>Protein diaphanous homolog 3</t>
  </si>
  <si>
    <t>Transmembrane and ubiquitin-like domain-containing protein 1 (Fragment)</t>
  </si>
  <si>
    <t>Nuclear receptor corepressor 2</t>
  </si>
  <si>
    <t>Eukaryotic translation initiation factor 4E type 2 (Fragment)</t>
  </si>
  <si>
    <t>Protein YIPF1 (Fragment)</t>
  </si>
  <si>
    <t>COP9 signalosome complex subunit 1</t>
  </si>
  <si>
    <t>Cytochrome c (Fragment)</t>
  </si>
  <si>
    <t>Integral membrane protein 2C (Fragment)</t>
  </si>
  <si>
    <t>Sprouty-related, EVH1 domain-containing protein 2 (Fragment)</t>
  </si>
  <si>
    <t>Angio-associated migratory cell protein</t>
  </si>
  <si>
    <t>Polypeptide N-acetylgalactosaminyltransferase 10</t>
  </si>
  <si>
    <t>Acylamino-acid-releasing enzyme</t>
  </si>
  <si>
    <t>Pulmonary surfactant-associated protein A2</t>
  </si>
  <si>
    <t>Vacuolar protein sorting-associated protein 8 homolog</t>
  </si>
  <si>
    <t>Myeloid-associated differentiation marker (Fragment)</t>
  </si>
  <si>
    <t>Modulator of retrovirus infection homolog</t>
  </si>
  <si>
    <t>NADH dehydrogenase [ubiquinone] 1 beta subcomplex subunit 3 (Fragment)</t>
  </si>
  <si>
    <t>Phosphoribosylformylglycinamidine cyclo-ligase (Fragment)</t>
  </si>
  <si>
    <t>DNA-directed RNA polymerases I, II, and III subunit RPABC3 (Fragment)</t>
  </si>
  <si>
    <t>Apoptotic protease-activating factor 1</t>
  </si>
  <si>
    <t>O-acetyl-ADP-ribose deacetylase 1 (Fragment)</t>
  </si>
  <si>
    <t>Muscleblind-like protein 1</t>
  </si>
  <si>
    <t>Cartilage-associated protein</t>
  </si>
  <si>
    <t>DNA replication licensing factor MCM2</t>
  </si>
  <si>
    <t>NF-kappa-B inhibitor-interacting Ras-like protein 2</t>
  </si>
  <si>
    <t>Coiled-coil domain-containing protein 58</t>
  </si>
  <si>
    <t>Nucleoside diphosphate kinase</t>
  </si>
  <si>
    <t>Serine/threonine-protein kinase 11-interacting protein</t>
  </si>
  <si>
    <t>DNA-binding protein SATB2</t>
  </si>
  <si>
    <t>Vesicle-trafficking protein SEC22a (Fragment)</t>
  </si>
  <si>
    <t>Coiled-coil-helix-coiled-coil-helix domain-containing protein 3, mitochondrial</t>
  </si>
  <si>
    <t>Dipeptidyl peptidase 8</t>
  </si>
  <si>
    <t>Actin, cytoplasmic 2 (Fragment)</t>
  </si>
  <si>
    <t>Transitional endoplasmic reticulum ATPase (Fragment)</t>
  </si>
  <si>
    <t>Interferon alpha/beta receptor 1</t>
  </si>
  <si>
    <t>Tetratricopeptide repeat protein 32 (Fragment)</t>
  </si>
  <si>
    <t>Forkhead box J3, isoform CRA_b (Fragment)</t>
  </si>
  <si>
    <t>Proline-rich protein 24</t>
  </si>
  <si>
    <t>Ragulator complex protein LAMTOR4</t>
  </si>
  <si>
    <t>60S ribosomal protein L24</t>
  </si>
  <si>
    <t>Nucleoside diphosphate-linked moiety X motif 22</t>
  </si>
  <si>
    <t>Polycomb group RING finger protein 3 (Fragment)</t>
  </si>
  <si>
    <t>BAG family molecular chaperone regulator 1 (Fragment)</t>
  </si>
  <si>
    <t>Synaptophysin-like protein 1</t>
  </si>
  <si>
    <t>Inositol polyphosphate 5-phosphatase K (Fragment)</t>
  </si>
  <si>
    <t>ADP-ribosylation factor GTPase-activating protein 3</t>
  </si>
  <si>
    <t>Ubiquitin-conjugating enzyme E2 H (Fragment)</t>
  </si>
  <si>
    <t>Snurportin-1</t>
  </si>
  <si>
    <t>Syndecan</t>
  </si>
  <si>
    <t>Suppressor of Ty 4 homolog 1 (S. cerevisiae), isoform CRA_b</t>
  </si>
  <si>
    <t>Phosphatidylcholine:ceramide cholinephosphotransferase 1</t>
  </si>
  <si>
    <t>60S ribosomal protein L32 (Fragment)</t>
  </si>
  <si>
    <t>Interleukin-1 receptor-associated kinase 1</t>
  </si>
  <si>
    <t>NADPH-dependent diflavin oxidoreductase 1</t>
  </si>
  <si>
    <t>Tapasin</t>
  </si>
  <si>
    <t>Heterogeneous nuclear ribonucleoprotein A/B</t>
  </si>
  <si>
    <t>DNA-directed RNA polymerase III subunit RPC7 (Fragment)</t>
  </si>
  <si>
    <t>Cytochrome c oxidase subunit 7C, mitochondrial</t>
  </si>
  <si>
    <t>Docking protein 3</t>
  </si>
  <si>
    <t>Transmembrane protein 161B</t>
  </si>
  <si>
    <t>Neuromedin U, isoform CRA_a</t>
  </si>
  <si>
    <t>ELMO domain-containing protein 2 (Fragment)</t>
  </si>
  <si>
    <t>Eukaryotic translation initiation factor 4E</t>
  </si>
  <si>
    <t>Estradiol 17-beta-dehydrogenase 11</t>
  </si>
  <si>
    <t>Eukaryotic translation elongation factor 1 epsilon-1 (Fragment)</t>
  </si>
  <si>
    <t>Phosphoacetylglucosamine mutase (Fragment)</t>
  </si>
  <si>
    <t>PRELI domain-containing protein 1, mitochondrial</t>
  </si>
  <si>
    <t>Cytokine receptor common subunit gamma (Fragment)</t>
  </si>
  <si>
    <t>Glutamyl-tRNA(Gln) amidotransferase subunit B, mitochondrial</t>
  </si>
  <si>
    <t>E3 ubiquitin-protein ligase TRIM41 (Fragment)</t>
  </si>
  <si>
    <t>CDC42 small effector protein 2</t>
  </si>
  <si>
    <t>BRCA1-A complex subunit Abraxas</t>
  </si>
  <si>
    <t>Casein kinase I isoform alpha</t>
  </si>
  <si>
    <t>Protein transport protein Sec31A</t>
  </si>
  <si>
    <t>Centrosomal protein of 120 kDa (Fragment)</t>
  </si>
  <si>
    <t>Syntaxin-18</t>
  </si>
  <si>
    <t>Deoxycytidine kinase</t>
  </si>
  <si>
    <t>Cytochrome b5 type B</t>
  </si>
  <si>
    <t>Septin 11, isoform CRA_b</t>
  </si>
  <si>
    <t>Mitochondrial sodium/hydrogen exchanger 9B2 (Fragment)</t>
  </si>
  <si>
    <t>CCR4-NOT transcription complex subunit 6-like (Fragment)</t>
  </si>
  <si>
    <t>Centromere protein K</t>
  </si>
  <si>
    <t>Cyclin-H</t>
  </si>
  <si>
    <t>Ribonuclease T2 (Fragment)</t>
  </si>
  <si>
    <t>Cytochrome c oxidase subunit 7A2, mitochondrial</t>
  </si>
  <si>
    <t>Claudin domain-containing protein 1 (Fragment)</t>
  </si>
  <si>
    <t>Major facilitator superfamily domain-containing protein 10</t>
  </si>
  <si>
    <t>Zinc finger protein 346</t>
  </si>
  <si>
    <t>COMM domain containing 10, isoform CRA_b</t>
  </si>
  <si>
    <t>von Willebrand factor A domain-containing protein 8</t>
  </si>
  <si>
    <t>Geminin (Fragment)</t>
  </si>
  <si>
    <t>E3 SUMO-protein ligase NSE2</t>
  </si>
  <si>
    <t>Inositol monophosphatase 1 (Fragment)</t>
  </si>
  <si>
    <t>Putative deoxyribonuclease TATDN1 (Fragment)</t>
  </si>
  <si>
    <t>RWD domain-containing protein 1 (Fragment)</t>
  </si>
  <si>
    <t>FCH and double SH3 domains protein 1</t>
  </si>
  <si>
    <t>Derlin-1</t>
  </si>
  <si>
    <t>Indoleamine 2,3-dioxygenase 1 (Fragment)</t>
  </si>
  <si>
    <t>Serine/threonine-protein phosphatase (Fragment)</t>
  </si>
  <si>
    <t>Transcription elongation factor B polypeptide 1 (Fragment)</t>
  </si>
  <si>
    <t>Cytochrome b-c1 complex subunit 7</t>
  </si>
  <si>
    <t>Presenilin-2 CTF subunit (Fragment)</t>
  </si>
  <si>
    <t>Ankyrin repeat domain-containing protein 46 (Fragment)</t>
  </si>
  <si>
    <t>Store-operated calcium entry-associated regulatory factor (Fragment)</t>
  </si>
  <si>
    <t>60S ribosomal protein L30 (Fragment)</t>
  </si>
  <si>
    <t>Vinexin (Fragment)</t>
  </si>
  <si>
    <t>TELO2-interacting protein 2</t>
  </si>
  <si>
    <t>DNA polymerase beta</t>
  </si>
  <si>
    <t>Transmembrane protein 55A</t>
  </si>
  <si>
    <t>Coiled-coil-helix-coiled-coil-helix domain-containing protein 7 (Fragment)</t>
  </si>
  <si>
    <t>Armadillo repeat-containing protein 1 (Fragment)</t>
  </si>
  <si>
    <t>AN1-type zinc finger protein 1</t>
  </si>
  <si>
    <t>39S ribosomal protein L13, mitochondrial (Fragment)</t>
  </si>
  <si>
    <t>S-phase kinase-associated protein 1</t>
  </si>
  <si>
    <t>Protein NDRG1</t>
  </si>
  <si>
    <t>Centrin-3</t>
  </si>
  <si>
    <t>GPI ethanolamine phosphate transferase 2</t>
  </si>
  <si>
    <t>COP9 signalosome complex subunit 6</t>
  </si>
  <si>
    <t>E3 ubiquitin-protein ligase RNF5</t>
  </si>
  <si>
    <t>Acid trehalase-like protein 1</t>
  </si>
  <si>
    <t>Aspartyl aminopeptidase</t>
  </si>
  <si>
    <t>A-kinase anchor protein 10, mitochondrial (Fragment)</t>
  </si>
  <si>
    <t>Acid ceramidase</t>
  </si>
  <si>
    <t>Ankycorbin</t>
  </si>
  <si>
    <t>Menin</t>
  </si>
  <si>
    <t>Dyslexia-associated protein KIAA0319-like protein (Fragment)</t>
  </si>
  <si>
    <t>Zinc finger protein 143</t>
  </si>
  <si>
    <t>Nicastrin</t>
  </si>
  <si>
    <t>Calcium-binding and coiled-coil domain-containing protein 2</t>
  </si>
  <si>
    <t>Nesprin-1</t>
  </si>
  <si>
    <t>Double-stranded RNA-specific adenosine deaminase</t>
  </si>
  <si>
    <t>60S ribosomal protein L14</t>
  </si>
  <si>
    <t>Target of Myb protein 1</t>
  </si>
  <si>
    <t>Nucleolar protein of 40 kDa</t>
  </si>
  <si>
    <t>Pyridoxal-dependent decarboxylase domain-containing protein 1</t>
  </si>
  <si>
    <t>Protein PRRC2C</t>
  </si>
  <si>
    <t>Syntaxin-binding protein 4</t>
  </si>
  <si>
    <t>NADH dehydrogenase [ubiquinone] flavoprotein 2, mitochondrial</t>
  </si>
  <si>
    <t>Alpha-synuclein</t>
  </si>
  <si>
    <t>Suppressor of tumorigenicity 7 protein</t>
  </si>
  <si>
    <t>TNFAIP3-interacting protein 1</t>
  </si>
  <si>
    <t>Beta-galactosidase</t>
  </si>
  <si>
    <t>N-alpha-acetyltransferase 50</t>
  </si>
  <si>
    <t>WASH complex subunit strumpellin</t>
  </si>
  <si>
    <t>Sentrin-specific protease 6</t>
  </si>
  <si>
    <t>Protein YIPF3</t>
  </si>
  <si>
    <t>Dystrophin</t>
  </si>
  <si>
    <t>Apoptotic chromatin condensation inducer in the nucleus</t>
  </si>
  <si>
    <t>Ribosomal protein L15 (Fragment)</t>
  </si>
  <si>
    <t>Protein FAM91A1</t>
  </si>
  <si>
    <t>Endoplasmic reticulum metallopeptidase 1</t>
  </si>
  <si>
    <t>GEM-interacting protein</t>
  </si>
  <si>
    <t>Calcium-transporting ATPase type 2C member 1</t>
  </si>
  <si>
    <t>Microtubule-associated serine/threonine-protein kinase 2</t>
  </si>
  <si>
    <t>Zinc finger CCCH domain-containing protein 18</t>
  </si>
  <si>
    <t>Transcription cofactor vestigial-like protein 4 (Fragment)</t>
  </si>
  <si>
    <t>Heat shock 70 kDa protein 4L</t>
  </si>
  <si>
    <t>Presenilin-1</t>
  </si>
  <si>
    <t>Exportin-7</t>
  </si>
  <si>
    <t>WASH complex subunit FAM21A</t>
  </si>
  <si>
    <t>N-acetyltransferase 10</t>
  </si>
  <si>
    <t>C-terminal-binding protein 1 (Fragment)</t>
  </si>
  <si>
    <t>NADH dehydrogenase [ubiquinone] 1 alpha subcomplex subunit 10, mitochondrial</t>
  </si>
  <si>
    <t>U2 snRNP-associated SURP motif-containing protein</t>
  </si>
  <si>
    <t>Sn1-specific diacylglycerol lipase beta</t>
  </si>
  <si>
    <t>WND/140 kDa</t>
  </si>
  <si>
    <t>40S ribosomal protein S24</t>
  </si>
  <si>
    <t>Serine/threonine-protein kinase MARK2</t>
  </si>
  <si>
    <t>Basic leucine zipper and W2 domain-containing protein 2 (Fragment)</t>
  </si>
  <si>
    <t>Helicase ARIP4</t>
  </si>
  <si>
    <t>Rab GDP dissociation inhibitor beta</t>
  </si>
  <si>
    <t>Protein CBFA2T3</t>
  </si>
  <si>
    <t>Casein kinase II subunit alpha</t>
  </si>
  <si>
    <t>UTP--glucose-1-phosphate uridylyltransferase</t>
  </si>
  <si>
    <t>Condensin-2 complex subunit G2</t>
  </si>
  <si>
    <t>Sperm-specific antigen 2</t>
  </si>
  <si>
    <t>Nucleoporin p54</t>
  </si>
  <si>
    <t>Arf-GAP with GTPase, ANK repeat and PH domain-containing protein 1</t>
  </si>
  <si>
    <t>Propionyl-CoA carboxylase beta chain, mitochondrial</t>
  </si>
  <si>
    <t>Single-stranded DNA-binding protein, mitochondrial (Fragment)</t>
  </si>
  <si>
    <t>RWD domain-containing protein 4</t>
  </si>
  <si>
    <t>PiggyBac transposable element-derived protein 3</t>
  </si>
  <si>
    <t>Methyl-CpG-binding domain protein 1</t>
  </si>
  <si>
    <t>Alpha-adducin</t>
  </si>
  <si>
    <t>Microtubule-associated protein</t>
  </si>
  <si>
    <t>Autophagy-related protein 16-1</t>
  </si>
  <si>
    <t>Pseudouridine-5-monophosphatase (Fragment)</t>
  </si>
  <si>
    <t>Bifunctional heparan sulfate N-deacetylase/N-sulfotransferase 1</t>
  </si>
  <si>
    <t>Mitochondrial GTPase 1</t>
  </si>
  <si>
    <t>T-cell acute lymphocytic leukemia protein 1</t>
  </si>
  <si>
    <t>14-3-3 protein zeta/delta (Fragment)</t>
  </si>
  <si>
    <t>Protein SDA1 homolog</t>
  </si>
  <si>
    <t>Unconventional myosin-VI</t>
  </si>
  <si>
    <t>Vacuolar fusion protein MON1 homolog B</t>
  </si>
  <si>
    <t>Zinc finger MIZ domain-containing protein 2</t>
  </si>
  <si>
    <t>NADH dehydrogenase [ubiquinone] 1 beta subcomplex subunit 5, mitochondrial</t>
  </si>
  <si>
    <t>Microtubule-associated serine/threonine-protein kinase 4</t>
  </si>
  <si>
    <t>Eukaryotic translation initiation factor 4B</t>
  </si>
  <si>
    <t>Eukaryotic translation initiation factor 4 gamma 1</t>
  </si>
  <si>
    <t>Dynactin subunit 1</t>
  </si>
  <si>
    <t>DENN domain-containing protein 4B (Fragment)</t>
  </si>
  <si>
    <t>5-nucleotidase domain-containing protein 2</t>
  </si>
  <si>
    <t>Ribonucleoprotein PTB-binding 1</t>
  </si>
  <si>
    <t>Pyruvate dehydrogenase protein X component, mitochondrial</t>
  </si>
  <si>
    <t>THO complex subunit 4</t>
  </si>
  <si>
    <t>Acylglycerol kinase, mitochondrial</t>
  </si>
  <si>
    <t>Mitotic checkpoint serine/threonine-protein kinase BUB1</t>
  </si>
  <si>
    <t>Receptor-type tyrosine-protein phosphatase C</t>
  </si>
  <si>
    <t>Histone-binding protein RBBP7</t>
  </si>
  <si>
    <t>Translation initiation factor eIF-2B subunit epsilon</t>
  </si>
  <si>
    <t>Folliculin-interacting protein 1</t>
  </si>
  <si>
    <t>Metastasis-associated protein MTA3</t>
  </si>
  <si>
    <t>Golgi SNAP receptor complex member 1</t>
  </si>
  <si>
    <t>Heterogeneous nuclear ribonucleoprotein H</t>
  </si>
  <si>
    <t>Protein SMG7</t>
  </si>
  <si>
    <t>PX domain-containing protein kinase-like protein</t>
  </si>
  <si>
    <t>Cytoskeleton-associated protein 2</t>
  </si>
  <si>
    <t>DNA-directed RNA polymerase I subunit RPA34</t>
  </si>
  <si>
    <t>Putative E3 ubiquitin-protein ligase UNKL</t>
  </si>
  <si>
    <t>Rho guanine nucleotide exchange factor 7</t>
  </si>
  <si>
    <t>Nucleosome-remodeling factor subunit BPTF (Fragment)</t>
  </si>
  <si>
    <t>Proton myo-inositol cotransporter</t>
  </si>
  <si>
    <t>Integrin beta</t>
  </si>
  <si>
    <t>Disco-interacting protein 2 homolog A</t>
  </si>
  <si>
    <t>3-phosphoinositide-dependent protein kinase 1</t>
  </si>
  <si>
    <t>Protein diaphanous homolog 1</t>
  </si>
  <si>
    <t>Nuclear pore complex protein Nup155</t>
  </si>
  <si>
    <t>Hydroxyacyl-coenzyme A dehydrogenase, mitochondrial</t>
  </si>
  <si>
    <t>Transducin beta-like protein 2</t>
  </si>
  <si>
    <t>Mitochondrial thiamine pyrophosphate carrier</t>
  </si>
  <si>
    <t>C-Jun-amino-terminal kinase-interacting protein 3</t>
  </si>
  <si>
    <t>Rab5 GDP/GTP exchange factor</t>
  </si>
  <si>
    <t>Serine/threonine-protein phosphatase 2A 56 kDa regulatory subunit delta isoform</t>
  </si>
  <si>
    <t>Uncharacterized protein C3orf38</t>
  </si>
  <si>
    <t>Centrosomal protein of 97 kDa</t>
  </si>
  <si>
    <t>Sodium bicarbonate cotransporter 3</t>
  </si>
  <si>
    <t>Solute carrier family 25 member 44</t>
  </si>
  <si>
    <t>Translin</t>
  </si>
  <si>
    <t>COP9 signalosome complex subunit 8</t>
  </si>
  <si>
    <t>Mediator of RNA polymerase II transcription subunit 22 (Fragment)</t>
  </si>
  <si>
    <t>Thioredoxin-dependent peroxide reductase, mitochondrial</t>
  </si>
  <si>
    <t>NADH dehydrogenase [ubiquinone] 1 beta subcomplex subunit 9</t>
  </si>
  <si>
    <t>Zinc finger protein 451</t>
  </si>
  <si>
    <t>Methylcrotonoyl-CoA carboxylase subunit alpha, mitochondrial</t>
  </si>
  <si>
    <t>Cytochrome P450 20A1</t>
  </si>
  <si>
    <t>Probable leucine--tRNA ligase, mitochondrial</t>
  </si>
  <si>
    <t>Bromodomain and PHD finger-containing protein 3</t>
  </si>
  <si>
    <t>Zinc finger protein GLI1 (Fragment)</t>
  </si>
  <si>
    <t>Mitochondrial carrier homolog 2 (Fragment)</t>
  </si>
  <si>
    <t>Thioredoxin reductase 1, cytoplasmic</t>
  </si>
  <si>
    <t>Myomegalin</t>
  </si>
  <si>
    <t>UBX domain-containing protein 1 (Fragment)</t>
  </si>
  <si>
    <t>Selenoprotein S</t>
  </si>
  <si>
    <t>Cysteine and histidine-rich protein 1</t>
  </si>
  <si>
    <t>Breast cancer metastasis-suppressor 1 (Fragment)</t>
  </si>
  <si>
    <t>MAP kinase-interacting serine/threonine-protein kinase 1 (Fragment)</t>
  </si>
  <si>
    <t>CD81 antigen</t>
  </si>
  <si>
    <t>F-box only protein 3</t>
  </si>
  <si>
    <t>Elongation factor 1-delta (Fragment)</t>
  </si>
  <si>
    <t>Bcl-2-associated transcription factor 1</t>
  </si>
  <si>
    <t>CAAX prenyl protease 2</t>
  </si>
  <si>
    <t>RING finger protein 121</t>
  </si>
  <si>
    <t>Protein arginine N-methyltransferase 1</t>
  </si>
  <si>
    <t>Nucleolar transcription factor 1</t>
  </si>
  <si>
    <t>Porimin</t>
  </si>
  <si>
    <t>39S ribosomal protein L17, mitochondrial (Fragment)</t>
  </si>
  <si>
    <t>Tetratricopeptide repeat protein 9C (Fragment)</t>
  </si>
  <si>
    <t>60S ribosomal protein L8 (Fragment)</t>
  </si>
  <si>
    <t>Signal peptidase complex subunit 2</t>
  </si>
  <si>
    <t>Collectin-12</t>
  </si>
  <si>
    <t>Hypoxia up-regulated protein 1</t>
  </si>
  <si>
    <t>Etoposide-induced protein 2.4 homolog (Fragment)</t>
  </si>
  <si>
    <t>Protein NEDD8-MDP1 (Fragment)</t>
  </si>
  <si>
    <t>Ribonucleoside-diphosphate reductase large subunit</t>
  </si>
  <si>
    <t>Acidic mammalian chitinase (Fragment)</t>
  </si>
  <si>
    <t>Puromycin-sensitive aminopeptidase</t>
  </si>
  <si>
    <t>60S ribosomal protein L27a</t>
  </si>
  <si>
    <t>RING finger protein 141 (Fragment)</t>
  </si>
  <si>
    <t>Microtubule-actin cross-linking factor 1, isoforms 1/2/3/5 (Fragment)</t>
  </si>
  <si>
    <t>Tyrosine-protein kinase</t>
  </si>
  <si>
    <t>Small acidic protein (Fragment)</t>
  </si>
  <si>
    <t>Protein FAM118B (Fragment)</t>
  </si>
  <si>
    <t>Heat shock factor protein 1</t>
  </si>
  <si>
    <t>CD151 antigen</t>
  </si>
  <si>
    <t>Peroxisomal membrane protein PEX16</t>
  </si>
  <si>
    <t>Interferon-related developmental regulator 1 (Fragment)</t>
  </si>
  <si>
    <t>Heat shock cognate 71 kDa protein (Fragment)</t>
  </si>
  <si>
    <t>Receptor-binding cancer antigen-expressed on SiSo cells</t>
  </si>
  <si>
    <t>Tumor protein D53</t>
  </si>
  <si>
    <t>6-pyruvoyl tetrahydrobiopterin synthase</t>
  </si>
  <si>
    <t>Mth938 domain-containing protein</t>
  </si>
  <si>
    <t>Rho GTPase-activating protein 27</t>
  </si>
  <si>
    <t>CD59 glycoprotein</t>
  </si>
  <si>
    <t>Midkine (Fragment)</t>
  </si>
  <si>
    <t>Putative deoxyribose-phosphate aldolase</t>
  </si>
  <si>
    <t>Glycosylphosphatidylinositol anchor attachment 1 protein (Fragment)</t>
  </si>
  <si>
    <t>Nuclear factor-related to kappa-B-binding protein (Fragment)</t>
  </si>
  <si>
    <t>von Willebrand factor A domain-containing protein 5B1 (Fragment)</t>
  </si>
  <si>
    <t>Serine/threonine-protein phosphatase 2A 56 kDa regulatory subunit beta isoform (Fragment)</t>
  </si>
  <si>
    <t>Lysosomal acid phosphatase</t>
  </si>
  <si>
    <t>Sialidase-3</t>
  </si>
  <si>
    <t>40S ribosomal protein S30</t>
  </si>
  <si>
    <t>Repressor of RNA polymerase III transcription MAF1 homolog (Fragment)</t>
  </si>
  <si>
    <t>Putative deoxyribonuclease TATDN3 (Fragment)</t>
  </si>
  <si>
    <t>Probable RNA-binding protein EIF1AD</t>
  </si>
  <si>
    <t>Elongation factor 1-delta</t>
  </si>
  <si>
    <t>Fatty acid desaturase 3</t>
  </si>
  <si>
    <t>N-terminal kinase-like protein</t>
  </si>
  <si>
    <t>Protein NEDD8-MDP1</t>
  </si>
  <si>
    <t>Transmembrane 9 superfamily member 1</t>
  </si>
  <si>
    <t>6-phosphofructo-2-kinase</t>
  </si>
  <si>
    <t>tRNA (guanine(10)-N2)-methyltransferase homolog</t>
  </si>
  <si>
    <t>Myosin-14</t>
  </si>
  <si>
    <t>Copine-1 (Fragment)</t>
  </si>
  <si>
    <t>tRNA (uracil-5-)-methyltransferase homolog A</t>
  </si>
  <si>
    <t>Exportin-4</t>
  </si>
  <si>
    <t>General transcription factor IIH subunit 3 (Fragment)</t>
  </si>
  <si>
    <t>Adenosine deaminase</t>
  </si>
  <si>
    <t>WASH complex subunit CCDC53</t>
  </si>
  <si>
    <t>Junction plakoglobin</t>
  </si>
  <si>
    <t>Serine/threonine-protein kinase WNK1</t>
  </si>
  <si>
    <t>Mothers against decapentaplegic homolog 5</t>
  </si>
  <si>
    <t>Chromodomain-helicase-DNA-binding protein 4</t>
  </si>
  <si>
    <t>Protein FAM76B</t>
  </si>
  <si>
    <t>Cytosine-specific methyltransferase</t>
  </si>
  <si>
    <t>Protein furry homolog-like</t>
  </si>
  <si>
    <t>Tripartite motif-containing protein 3</t>
  </si>
  <si>
    <t>Trafficking protein particle complex subunit 13</t>
  </si>
  <si>
    <t>Succinyl-CoA ligase [ADP-forming] subunit beta, mitochondrial</t>
  </si>
  <si>
    <t>AF4/FMR2 family member 1</t>
  </si>
  <si>
    <t>DnaJ homolog subfamily B member 11</t>
  </si>
  <si>
    <t>Dolichyl-diphosphooligosaccharide--protein glycosyltransferase subunit DAD1</t>
  </si>
  <si>
    <t>Spindle assembly abnormal protein 6 homolog</t>
  </si>
  <si>
    <t>Vasculin</t>
  </si>
  <si>
    <t>Polypeptide N-acetylgalactosaminyltransferase 1 soluble form</t>
  </si>
  <si>
    <t>ATP-binding cassette sub-family D member 3</t>
  </si>
  <si>
    <t>MAP7 domain-containing protein 2</t>
  </si>
  <si>
    <t>Ubiquitin thioesterase OTUB1</t>
  </si>
  <si>
    <t>V-type proton ATPase subunit d 1</t>
  </si>
  <si>
    <t>Homeobox protein Meis1</t>
  </si>
  <si>
    <t>Denticleless protein homolog</t>
  </si>
  <si>
    <t>Ras-related protein Rap-1b (Fragment)</t>
  </si>
  <si>
    <t>Tripartite motif-containing protein 59</t>
  </si>
  <si>
    <t>Probable ATP-dependent RNA helicase DHX36</t>
  </si>
  <si>
    <t>4F2 cell-surface antigen heavy chain</t>
  </si>
  <si>
    <t>Rho GTPase-activating protein 4</t>
  </si>
  <si>
    <t>Constitutive coactivator of peroxisome proliferator-activated receptor gamma</t>
  </si>
  <si>
    <t>Alpha-ketoglutarate-dependent dioxygenase alkB homolog 2 (Fragment)</t>
  </si>
  <si>
    <t>E3 ubiquitin-protein ligase TRIM21</t>
  </si>
  <si>
    <t>Lysine-specific demethylase 3A</t>
  </si>
  <si>
    <t>Anaphase-promoting complex subunit 5</t>
  </si>
  <si>
    <t>Transcription factor SOX-5</t>
  </si>
  <si>
    <t>Kinase suppressor of Ras 1</t>
  </si>
  <si>
    <t>SEC23-interacting protein</t>
  </si>
  <si>
    <t>CLK4-associating serine/arginine-rich protein</t>
  </si>
  <si>
    <t>Speckle targeted PIP5K1A-regulated poly(A) polymerase</t>
  </si>
  <si>
    <t>Glycolipid transfer protein</t>
  </si>
  <si>
    <t>RNA polymerase I-specific transcription initiation factor RRN3</t>
  </si>
  <si>
    <t>Coiled-coil domain-containing protein 180</t>
  </si>
  <si>
    <t>Abl interactor 1</t>
  </si>
  <si>
    <t>Thioredoxin reductase 2, mitochondrial</t>
  </si>
  <si>
    <t>Lipopolysaccharide-responsive and beige-like anchor protein</t>
  </si>
  <si>
    <t>RAD51-associated protein 1</t>
  </si>
  <si>
    <t>Transmembrane protein 135</t>
  </si>
  <si>
    <t>Phosphatidylinositol 4-phosphate 3-kinase C2 domain-containing subunit alpha</t>
  </si>
  <si>
    <t>Ankyrin repeat and LEM domain-containing protein 2</t>
  </si>
  <si>
    <t>Vacuole membrane protein 1</t>
  </si>
  <si>
    <t>Protein lunapark</t>
  </si>
  <si>
    <t>Dynactin subunit 2</t>
  </si>
  <si>
    <t>Serine/threonine-protein kinase PRP4 homolog</t>
  </si>
  <si>
    <t>Cip1-interacting zinc finger protein</t>
  </si>
  <si>
    <t>Pre-mRNA-splicing factor SYF1</t>
  </si>
  <si>
    <t>Protein transport protein Sec23A</t>
  </si>
  <si>
    <t>Carbohydrate sulfotransferase 10</t>
  </si>
  <si>
    <t>TOM1-like protein 2</t>
  </si>
  <si>
    <t>Sal-like protein 2 (Fragment)</t>
  </si>
  <si>
    <t>Tumor susceptibility gene 101 protein</t>
  </si>
  <si>
    <t>Frizzled-10</t>
  </si>
  <si>
    <t>Cell cycle checkpoint control protein RAD9A</t>
  </si>
  <si>
    <t>Melanoma antigen preferentially-expressed in tumors</t>
  </si>
  <si>
    <t>Importin subunit alpha</t>
  </si>
  <si>
    <t>E3 ubiquitin-protein ligase RNF115</t>
  </si>
  <si>
    <t>Peroxisomal membrane protein 2</t>
  </si>
  <si>
    <t>Vacuolar protein sorting-associated protein 37C (Fragment)</t>
  </si>
  <si>
    <t>Ecotropic viral integration site 5 protein homolog</t>
  </si>
  <si>
    <t>Nuclear factor of-activated T-cells, cytoplasmic 1</t>
  </si>
  <si>
    <t>Programmed cell death protein 2</t>
  </si>
  <si>
    <t>Proteasome inhibitor PI31 subunit</t>
  </si>
  <si>
    <t>Kelch-like protein 42</t>
  </si>
  <si>
    <t>Eukaryotic translation initiation factor 4 gamma 3</t>
  </si>
  <si>
    <t>V-type proton ATPase 116 kDa subunit a isoform 1</t>
  </si>
  <si>
    <t>Protein BRICK1</t>
  </si>
  <si>
    <t>Nuclear pore complex protein Nup133</t>
  </si>
  <si>
    <t>Tubulin alpha-1C chain</t>
  </si>
  <si>
    <t>G-rich sequence factor 1</t>
  </si>
  <si>
    <t>Interferon gamma receptor 1</t>
  </si>
  <si>
    <t>Serine/threonine-protein kinase MRCK alpha</t>
  </si>
  <si>
    <t>NADH dehydrogenase [ubiquinone] iron-sulfur protein 7, mitochondrial</t>
  </si>
  <si>
    <t>2-oxoisovalerate dehydrogenase subunit alpha, mitochondrial</t>
  </si>
  <si>
    <t>Probable sodium-coupled neutral amino acid transporter 6</t>
  </si>
  <si>
    <t>ATP-dependent RNA helicase DDX55</t>
  </si>
  <si>
    <t>Lysine-specific demethylase 6A</t>
  </si>
  <si>
    <t>CLIP-associating protein 2</t>
  </si>
  <si>
    <t>Oxidoreductase NAD-binding domain-containing protein 1</t>
  </si>
  <si>
    <t>Antigen peptide transporter 1</t>
  </si>
  <si>
    <t>Leucine--tRNA ligase, cytoplasmic</t>
  </si>
  <si>
    <t>Protein FAM60A (Fragment)</t>
  </si>
  <si>
    <t>BTB/POZ domain-containing adapter for CUL3-mediated RhoA degradation protein 3 (Fragment)</t>
  </si>
  <si>
    <t>Axin interactor, dorsalization-associated protein</t>
  </si>
  <si>
    <t>WW domain-binding protein 11</t>
  </si>
  <si>
    <t>Coiled-coil domain-containing protein 82 (Fragment)</t>
  </si>
  <si>
    <t>Dual-specificity protein phosphatase CDC14A</t>
  </si>
  <si>
    <t>Microsomal glutathione S-transferase 1 (Fragment)</t>
  </si>
  <si>
    <t>GA-binding protein subunit beta-1</t>
  </si>
  <si>
    <t>Regulatory-associated protein of mTOR</t>
  </si>
  <si>
    <t>Maltase-glucoamylase, intestinal</t>
  </si>
  <si>
    <t>Lactadherin short form</t>
  </si>
  <si>
    <t>2-oxoglutarate dehydrogenase, mitochondrial</t>
  </si>
  <si>
    <t>Protein O-linked-mannose beta-1,2-N-acetylglucosaminyltransferase 1</t>
  </si>
  <si>
    <t>Type I inositol 3,4-bisphosphate 4-phosphatase</t>
  </si>
  <si>
    <t>Mediator of RNA polymerase II transcription subunit 21</t>
  </si>
  <si>
    <t>Heat shock protein 75 kDa, mitochondrial</t>
  </si>
  <si>
    <t>DNA repair protein XRCC1</t>
  </si>
  <si>
    <t>Mevalonate kinase</t>
  </si>
  <si>
    <t>Cleft lip and palate transmembrane protein 1</t>
  </si>
  <si>
    <t>Epsin-2 (Fragment)</t>
  </si>
  <si>
    <t>ELM2 and SANT domain-containing protein 1 (Fragment)</t>
  </si>
  <si>
    <t>TGF-beta-activated kinase 1 and MAP3K7-binding protein 3</t>
  </si>
  <si>
    <t>2,5-phosphodiesterase 12</t>
  </si>
  <si>
    <t>Large proline-rich protein BAG6 (Fragment)</t>
  </si>
  <si>
    <t>Calcineurin subunit B type 1</t>
  </si>
  <si>
    <t>Eukaryotic translation initiation factor 4B (Fragment)</t>
  </si>
  <si>
    <t>DNA fragmentation factor subunit beta</t>
  </si>
  <si>
    <t>Spliceosome RNA helicase DDX39B</t>
  </si>
  <si>
    <t>LIM domain and actin-binding protein 1</t>
  </si>
  <si>
    <t>Cysteine and glycine-rich protein 2</t>
  </si>
  <si>
    <t>Methyltransferase-like protein 7A (Fragment)</t>
  </si>
  <si>
    <t>Methionine aminopeptidase</t>
  </si>
  <si>
    <t>DNA replication ATP-dependent helicase/nuclease DNA2</t>
  </si>
  <si>
    <t>Transmembrane protein 19 (Fragment)</t>
  </si>
  <si>
    <t>Poly(rC)-binding protein 2 (Fragment)</t>
  </si>
  <si>
    <t>Nuclear transcription factor Y subunit beta (Fragment)</t>
  </si>
  <si>
    <t>Plexin-A1</t>
  </si>
  <si>
    <t>Protein POC1B-GALNT4</t>
  </si>
  <si>
    <t>Sodium-coupled neutral amino acid transporter 2</t>
  </si>
  <si>
    <t>CCR4-NOT transcription complex subunit 2 (Fragment)</t>
  </si>
  <si>
    <t>Nucleosome assembly protein 1-like 1</t>
  </si>
  <si>
    <t>Coatomer subunit zeta-1</t>
  </si>
  <si>
    <t>Transmembrane protein 106C</t>
  </si>
  <si>
    <t>2-methoxy-6-polyprenyl-1,4-benzoquinol methylase, mitochondrial (Fragment)</t>
  </si>
  <si>
    <t>Tetraspanin-31 (Fragment)</t>
  </si>
  <si>
    <t>Protein MON2 homolog</t>
  </si>
  <si>
    <t>Putative Dol-P-Glc:Glc(2)Man(9)GlcNAc(2)-PP-Dol alpha-1,2-glucosyltransferase</t>
  </si>
  <si>
    <t>Sodium-coupled neutral amino acid transporter 1</t>
  </si>
  <si>
    <t>Protein SCAF11</t>
  </si>
  <si>
    <t>ARF GTPase-activating protein GIT2</t>
  </si>
  <si>
    <t>Vacuolar protein sorting-associated protein 29</t>
  </si>
  <si>
    <t>Nucleosome assembly protein 1-like 1 (Fragment)</t>
  </si>
  <si>
    <t>Serine/threonine-protein phosphatase</t>
  </si>
  <si>
    <t>Aladin</t>
  </si>
  <si>
    <t>Protein unc-13 homolog A</t>
  </si>
  <si>
    <t>Nascent polypeptide-associated complex subunit alpha</t>
  </si>
  <si>
    <t>Periphilin-1</t>
  </si>
  <si>
    <t>Endoplasmic reticulum-Golgi intermediate compartment protein 2 (Fragment)</t>
  </si>
  <si>
    <t>Carboxy-terminal domain RNA polymerase II polypeptide A small phosphatase 2</t>
  </si>
  <si>
    <t>Transcription factor NF-E2 45 kDa subunit (Fragment)</t>
  </si>
  <si>
    <t>DNA-binding protein RFX5 (Fragment)</t>
  </si>
  <si>
    <t>Heterogeneous nuclear ribonucleoprotein A1</t>
  </si>
  <si>
    <t>Membrane-associated guanylate kinase, WW and PDZ domain-containing protein 1</t>
  </si>
  <si>
    <t>Tripartite motif-containing protein 5</t>
  </si>
  <si>
    <t>Zinc finger protein 384</t>
  </si>
  <si>
    <t>GMP synthase [glutamine-hydrolyzing]</t>
  </si>
  <si>
    <t>Adiponectin receptor protein 1</t>
  </si>
  <si>
    <t>Coiled-coil domain-containing protein 178</t>
  </si>
  <si>
    <t>Molybdopterin molybdenumtransferase</t>
  </si>
  <si>
    <t>Ugl-Y3</t>
  </si>
  <si>
    <t>Protein FAM162A</t>
  </si>
  <si>
    <t>KAT8 regulatory NSL complex subunit 3</t>
  </si>
  <si>
    <t>Vezatin (Fragment)</t>
  </si>
  <si>
    <t>Histone RNA hairpin-binding protein</t>
  </si>
  <si>
    <t>Ras-related protein Rab-24</t>
  </si>
  <si>
    <t>Nucleolysin TIA-1 isoform p40</t>
  </si>
  <si>
    <t>Insulin-like growth factor 2 mRNA-binding protein 2</t>
  </si>
  <si>
    <t>Inositol hexakisphosphate and diphosphoinositol-pentakisphosphate kinase 1</t>
  </si>
  <si>
    <t>Synaptotagmin-like protein 4</t>
  </si>
  <si>
    <t>Leukocyte receptor cluster member 8</t>
  </si>
  <si>
    <t>Coiled-coil domain-containing protein 93</t>
  </si>
  <si>
    <t>Myotubularin-related protein 1</t>
  </si>
  <si>
    <t>Uridine kinase</t>
  </si>
  <si>
    <t>Cohesin subunit SA-2</t>
  </si>
  <si>
    <t>39S ribosomal protein L40, mitochondrial</t>
  </si>
  <si>
    <t>PIN2/TERF1-interacting telomerase inhibitor 1</t>
  </si>
  <si>
    <t>GTP-binding protein 8</t>
  </si>
  <si>
    <t>Decapping and exoribonuclease protein</t>
  </si>
  <si>
    <t>E3 ubiquitin-protein ligase RNF149</t>
  </si>
  <si>
    <t>Kinesin-like protein KIF21A</t>
  </si>
  <si>
    <t>Probable ATP-dependent RNA helicase DDX56</t>
  </si>
  <si>
    <t>DNA-directed RNA polymerase III subunit RPC8</t>
  </si>
  <si>
    <t>Nuclease EXOG, mitochondrial</t>
  </si>
  <si>
    <t>DNA (cytosine-5)-methyltransferase 3A</t>
  </si>
  <si>
    <t>Methylmalonic aciduria and homocystinuria type D protein, mitochondrial</t>
  </si>
  <si>
    <t>AN1-type zinc finger protein 2B</t>
  </si>
  <si>
    <t>Interferon-inducible double stranded RNA-dependent protein kinase activator A</t>
  </si>
  <si>
    <t>Translocation protein SEC62</t>
  </si>
  <si>
    <t>Dol-P-Man:Man(5)GlcNAc(2)-PP-Dol alpha-1,3-mannosyltransferase</t>
  </si>
  <si>
    <t>NADH dehydrogenase (Ubiquinone) flavoprotein 1, 51kDa, isoform CRA_c</t>
  </si>
  <si>
    <t>OTU domain containing 4, isoform CRA_f</t>
  </si>
  <si>
    <t>Poly (ADP-ribose) polymerase family, member 2, isoform CRA_a</t>
  </si>
  <si>
    <t>Apoptosis inhibitor 5</t>
  </si>
  <si>
    <t>Dipeptidyl peptidase 3</t>
  </si>
  <si>
    <t>Paraoxonase 2, isoform CRA_a</t>
  </si>
  <si>
    <t>Tight junction protein 1 (Zona occludens 1), isoform CRA_a</t>
  </si>
  <si>
    <t>HCG1745306, isoform CRA_a</t>
  </si>
  <si>
    <t>Ubiquitin carboxyl-terminal hydrolase 28</t>
  </si>
  <si>
    <t>Loss of heterozygosity 12 chromosomal region 1 protein</t>
  </si>
  <si>
    <t>Leprecan-like 2, isoform CRA_c</t>
  </si>
  <si>
    <t>Septin 7, isoform CRA_a</t>
  </si>
  <si>
    <t>Polyamine modulated factor 1 binding protein 1, isoform CRA_b</t>
  </si>
  <si>
    <t>Transcription factor 8 (Represses interleukin 2 expression), isoform CRA_b</t>
  </si>
  <si>
    <t>Golgi transport 1 homolog B (S. cerevisiae), isoform CRA_c</t>
  </si>
  <si>
    <t>Zinc finger CCHC-type and RNA binding motif 1, isoform CRA_b</t>
  </si>
  <si>
    <t>Family with sequence similarity 112, member B, isoform CRA_b</t>
  </si>
  <si>
    <t>60S ribosomal protein L18</t>
  </si>
  <si>
    <t>Methyltransferase-like protein 10</t>
  </si>
  <si>
    <t>Protein NDRG2 (Fragment)</t>
  </si>
  <si>
    <t>C-1-tetrahydrofolate synthase, cytoplasmic</t>
  </si>
  <si>
    <t>HCG2044781</t>
  </si>
  <si>
    <t>Acylphosphatase</t>
  </si>
  <si>
    <t>Pentatricopeptide repeat-containing protein 1, mitochondrial</t>
  </si>
  <si>
    <t>Fermitin family homolog 2</t>
  </si>
  <si>
    <t>SKI family transcriptional corepressor 1</t>
  </si>
  <si>
    <t>DDB1- and CUL4-associated factor 8</t>
  </si>
  <si>
    <t>A-kinase anchor protein 6</t>
  </si>
  <si>
    <t>NF-kappa-B inhibitor alpha</t>
  </si>
  <si>
    <t>DNA repair protein XRCC3</t>
  </si>
  <si>
    <t>Ataxin-3 (Fragment)</t>
  </si>
  <si>
    <t>39S ribosomal protein L52, mitochondrial</t>
  </si>
  <si>
    <t>Mediator of RNA polymerase II transcription subunit 6</t>
  </si>
  <si>
    <t>Ectonucleoside triphosphate diphosphohydrolase 5</t>
  </si>
  <si>
    <t>Spermatogenesis-defective protein 39 homolog</t>
  </si>
  <si>
    <t>AP-4 complex subunit sigma-1 (Fragment)</t>
  </si>
  <si>
    <t>Heterogeneous nuclear ribonucleoproteins C1/C2 (Fragment)</t>
  </si>
  <si>
    <t>Protein FAM177A1 (Fragment)</t>
  </si>
  <si>
    <t>Acylphosphatase-1</t>
  </si>
  <si>
    <t>cTAGE family member 5</t>
  </si>
  <si>
    <t>Thiamine triphosphatase (Fragment)</t>
  </si>
  <si>
    <t>Zinc finger FYVE domain-containing protein 1</t>
  </si>
  <si>
    <t>Maleylacetoacetate isomerase</t>
  </si>
  <si>
    <t>Cyclin-dependent kinase 2</t>
  </si>
  <si>
    <t>T1-TrpRS (Fragment)</t>
  </si>
  <si>
    <t>Proteasome subunit alpha type</t>
  </si>
  <si>
    <t>Nucleoporin NDC1</t>
  </si>
  <si>
    <t>AT rich interactive domain 1B (SWI1-like), isoform CRA_a</t>
  </si>
  <si>
    <t>Tetratricopeptide repeat domain 17, isoform CRA_c</t>
  </si>
  <si>
    <t>Solute carrier family 26 member 6</t>
  </si>
  <si>
    <t>DNA excision repair protein ERCC-8</t>
  </si>
  <si>
    <t>HCG2002594, isoform CRA_c</t>
  </si>
  <si>
    <t>Laminin subunit beta-1</t>
  </si>
  <si>
    <t>Mitochondrial import inner membrane translocase subunit Tim8 B</t>
  </si>
  <si>
    <t>ATP-binding cassette sub-family B member 8, mitochondrial</t>
  </si>
  <si>
    <t>Myotubularin-related protein 5</t>
  </si>
  <si>
    <t>Mitogen-activated protein kinase kinase kinase kinase 4</t>
  </si>
  <si>
    <t>Myotubularin related protein 3, isoform CRA_e</t>
  </si>
  <si>
    <t>SWI/SNF related, matrix associated, actin dependent regulator of chromatin, subfamily b, member 1, isoform CRA_c</t>
  </si>
  <si>
    <t>ATG4 autophagy related 4 homolog A (S. cerevisiae), isoform CRA_e</t>
  </si>
  <si>
    <t>G protein-coupled receptor 107, isoform CRA_c</t>
  </si>
  <si>
    <t>Son of sevenless homolog 1</t>
  </si>
  <si>
    <t>Epithelial cell transforming sequence 2 oncogene, isoform CRA_b</t>
  </si>
  <si>
    <t>Ectonucleoside triphosphate diphosphohydrolase 3</t>
  </si>
  <si>
    <t>Inositol 1,4,5-triphosphate receptor, type 1, isoform CRA_d</t>
  </si>
  <si>
    <t>Golgi SNAP receptor complex member 1 (Fragment)</t>
  </si>
  <si>
    <t>Chondroitin sulfate glucuronyltransferase</t>
  </si>
  <si>
    <t>28S ribosomal protein S22, mitochondrial</t>
  </si>
  <si>
    <t>Syndecan binding protein (Syntenin), isoform CRA_a</t>
  </si>
  <si>
    <t>CUG triplet repeat, RNA binding protein 1, isoform CRA_c</t>
  </si>
  <si>
    <t>Protein disulfide isomerase family A, member 3, isoform CRA_b</t>
  </si>
  <si>
    <t>Apolipoprotein L1</t>
  </si>
  <si>
    <t>Myosin light polypeptide 6</t>
  </si>
  <si>
    <t>tRNA pseudouridine synthase (Fragment)</t>
  </si>
  <si>
    <t>ELKS/Rab6-interacting/CAST family member 1</t>
  </si>
  <si>
    <t>TIMELESS-interacting protein</t>
  </si>
  <si>
    <t>WD repeat domain phosphoinositide-interacting protein 4</t>
  </si>
  <si>
    <t>Transforming acidic coiled-coil-containing protein 1</t>
  </si>
  <si>
    <t>Nucleolar protein 6</t>
  </si>
  <si>
    <t>Lysosomal thioesterase PPT2 (Fragment)</t>
  </si>
  <si>
    <t>Transcription initiation factor TFIID subunit 6</t>
  </si>
  <si>
    <t>Meiosis arrest female protein 1</t>
  </si>
  <si>
    <t>Negative elongation factor C/D</t>
  </si>
  <si>
    <t>Uncharacterized protein (Fragment)</t>
  </si>
  <si>
    <t>AMP deaminase 2 (Fragment)</t>
  </si>
  <si>
    <t>Zinc transporter 7 (Fragment)</t>
  </si>
  <si>
    <t>Outer dense fiber protein 2 (Fragment)</t>
  </si>
  <si>
    <t>Disabled homolog 2-interacting protein (Fragment)</t>
  </si>
  <si>
    <t>Eukaryotic translation initiation factor 4 gamma 2</t>
  </si>
  <si>
    <t>Myeloid differentiation primary response protein MyD88 (Fragment)</t>
  </si>
  <si>
    <t>Inosine-5-monophosphate dehydrogenase 2 (Fragment)</t>
  </si>
  <si>
    <t>RanBP-type and C3HC4-type zinc finger-containing protein 1 (Fragment)</t>
  </si>
  <si>
    <t>Transformation/transcription domain-associated protein (Fragment)</t>
  </si>
  <si>
    <t>Probable phospholipid-transporting ATPase IH (Fragment)</t>
  </si>
  <si>
    <t>Prolyl endopeptidase (Fragment)</t>
  </si>
  <si>
    <t>Ubiquitin-fold modifier 1 (Fragment)</t>
  </si>
  <si>
    <t>Sushi domain-containing protein 1 (Fragment)</t>
  </si>
  <si>
    <t>Zinc fingers and homeoboxes protein 3 (Fragment)</t>
  </si>
  <si>
    <t>Bromodomain-containing protein 2 (Fragment)</t>
  </si>
  <si>
    <t>Transcription factor Sp3</t>
  </si>
  <si>
    <t>SUN domain-containing protein 1 (Fragment)</t>
  </si>
  <si>
    <t>39S ribosomal protein L43, mitochondrial (Fragment)</t>
  </si>
  <si>
    <t>Trinucleotide repeat-containing gene 6B protein (Fragment)</t>
  </si>
  <si>
    <t>Immunoglobulin superfamily member 23 (Fragment)</t>
  </si>
  <si>
    <t>Calmodulin (Fragment)</t>
  </si>
  <si>
    <t>ATP-binding cassette sub-family D member 1 (Fragment)</t>
  </si>
  <si>
    <t>Phosphatidylserine decarboxylase alpha chain (Fragment)</t>
  </si>
  <si>
    <t>Plasma membrane calcium-transporting ATPase 4 (Fragment)</t>
  </si>
  <si>
    <t>Transmembrane protein 222 (Fragment)</t>
  </si>
  <si>
    <t>Transforming acidic coiled-coil-containing protein 3 (Fragment)</t>
  </si>
  <si>
    <t>U3 small nucleolar RNA-associated protein 15 homolog (Fragment)</t>
  </si>
  <si>
    <t>Regulator of G-protein-signaling 14 (Fragment)</t>
  </si>
  <si>
    <t>2-deoxynucleoside 5-phosphate N-hydrolase 1 (Fragment)</t>
  </si>
  <si>
    <t>39S ribosomal protein L3, mitochondrial (Fragment)</t>
  </si>
  <si>
    <t>Histone-lysine N-methyltransferase NSD2 (Fragment)</t>
  </si>
  <si>
    <t>Inositol hexakisphosphate and diphosphoinositol-pentakisphosphate kinase 2 (Fragment)</t>
  </si>
  <si>
    <t>m7GpppN-mRNA hydrolase (Fragment)</t>
  </si>
  <si>
    <t>Translation machinery-associated protein 16 (Fragment)</t>
  </si>
  <si>
    <t>Pterin-4-alpha-carbinolamine dehydratase 2 (Fragment)</t>
  </si>
  <si>
    <t>RNA-binding protein 24 (Fragment)</t>
  </si>
  <si>
    <t>Ubiquitin-conjugating enzyme E2 B (Fragment)</t>
  </si>
  <si>
    <t>Mitochondrial peptide methionine sulfoxide reductase (Fragment)</t>
  </si>
  <si>
    <t>Polyadenylate-binding protein 1 (Fragment)</t>
  </si>
  <si>
    <t>Probable palmitoyltransferase ZDHHC14 (Fragment)</t>
  </si>
  <si>
    <t>Steroidogenic acute regulatory protein, mitochondrial (Fragment)</t>
  </si>
  <si>
    <t>Focal adhesion kinase 1 (Fragment)</t>
  </si>
  <si>
    <t>Trafficking protein particle complex subunit 9 (Fragment)</t>
  </si>
  <si>
    <t>Integrator complex subunit 8 (Fragment)</t>
  </si>
  <si>
    <t>Homeobox-containing protein 1</t>
  </si>
  <si>
    <t>Activating signal cointegrator 1 complex subunit 1 (Fragment)</t>
  </si>
  <si>
    <t>Beta-galactosidase-1-like protein 2 (Fragment)</t>
  </si>
  <si>
    <t>CD44 antigen (Fragment)</t>
  </si>
  <si>
    <t>Serine/threonine-protein kinase NLK (Fragment)</t>
  </si>
  <si>
    <t>Dihydrolipoyllysine-residue acetyltransferase component of pyruvate dehydrogenase complex, mitochondrial (Fragment)</t>
  </si>
  <si>
    <t>Probable dolichyl pyrophosphate Glc1Man9GlcNAc2 alpha-1,3-glucosyltransferase (Fragment)</t>
  </si>
  <si>
    <t>Single Ig IL-1-related receptor (Fragment)</t>
  </si>
  <si>
    <t>Sjoegren syndrome/scleroderma autoantigen 1 (Fragment)</t>
  </si>
  <si>
    <t>Ribonuclease H2 subunit C (Fragment)</t>
  </si>
  <si>
    <t>Synembryn-A (Fragment)</t>
  </si>
  <si>
    <t>Remodeling and spacing factor 1 (Fragment)</t>
  </si>
  <si>
    <t>REST corepressor 3 (Fragment)</t>
  </si>
  <si>
    <t>UPF0598 protein C8orf82 (Fragment)</t>
  </si>
  <si>
    <t>Protein RIC1 homolog (Fragment)</t>
  </si>
  <si>
    <t>Oligoribonuclease, mitochondrial (Fragment)</t>
  </si>
  <si>
    <t>Ethanolamine kinase 1 (Fragment)</t>
  </si>
  <si>
    <t>WD repeat domain-containing protein 83 (Fragment)</t>
  </si>
  <si>
    <t>KAT8 regulatory NSL complex subunit 2 (Fragment)</t>
  </si>
  <si>
    <t>LETM1 domain-containing protein 1 (Fragment)</t>
  </si>
  <si>
    <t>Centrosomal protein of 128 kDa (Fragment)</t>
  </si>
  <si>
    <t>Ena/VASP-like protein (Fragment)</t>
  </si>
  <si>
    <t>Tropomyosin alpha-1 chain</t>
  </si>
  <si>
    <t>ER membrane protein complex subunit 4</t>
  </si>
  <si>
    <t>Tetraspanin-3</t>
  </si>
  <si>
    <t>TNF receptor-associated factor 3 (Fragment)</t>
  </si>
  <si>
    <t>Annexin (Fragment)</t>
  </si>
  <si>
    <t>Transducin-like enhancer protein 3</t>
  </si>
  <si>
    <t>POU domain, class 2, transcription factor 1</t>
  </si>
  <si>
    <t>Alpha-mannosidase 2x (Fragment)</t>
  </si>
  <si>
    <t>Beta-2-microglobulin form pI 5.3 (Fragment)</t>
  </si>
  <si>
    <t>AP-3 complex subunit sigma-2</t>
  </si>
  <si>
    <t>Transient receptor potential cation channel subfamily M member 7</t>
  </si>
  <si>
    <t>Protein FAM63B (Fragment)</t>
  </si>
  <si>
    <t>DNA-binding protein RFX7</t>
  </si>
  <si>
    <t>Phosphatidylinositol N-acetylglucosaminyltransferase subunit H</t>
  </si>
  <si>
    <t>Protein CASP</t>
  </si>
  <si>
    <t>GMP reductase 2</t>
  </si>
  <si>
    <t>60S ribosomal protein L28</t>
  </si>
  <si>
    <t>Mortality factor 4-like protein 1 (Fragment)</t>
  </si>
  <si>
    <t>Homeobox protein PKNOX1 (Fragment)</t>
  </si>
  <si>
    <t>Uncharacterized protein C15orf57 (Fragment)</t>
  </si>
  <si>
    <t>Proteasome activator complex subunit 1</t>
  </si>
  <si>
    <t>Signal peptidase complex catalytic subunit SEC11A</t>
  </si>
  <si>
    <t>ER membrane protein complex subunit 9</t>
  </si>
  <si>
    <t>Serine/threonine-protein phosphatase 2A 56 kDa regulatory subunit gamma isoform</t>
  </si>
  <si>
    <t>GTP cyclohydrolase 1 feedback regulatory protein</t>
  </si>
  <si>
    <t>Aflatoxin B1 aldehyde reductase member 2 (Fragment)</t>
  </si>
  <si>
    <t>Complement decay-accelerating factor (Fragment)</t>
  </si>
  <si>
    <t>SRSF protein kinase 1 (Fragment)</t>
  </si>
  <si>
    <t>Dysbindin domain-containing protein 1</t>
  </si>
  <si>
    <t>Probable ATP-dependent RNA helicase DDX17</t>
  </si>
  <si>
    <t>NEDD8 ultimate buster 1</t>
  </si>
  <si>
    <t>COMM domain-containing protein 4 (Fragment)</t>
  </si>
  <si>
    <t>cAMP-regulated phosphoprotein 19</t>
  </si>
  <si>
    <t>Protein spinster homolog 1</t>
  </si>
  <si>
    <t>Tuberin</t>
  </si>
  <si>
    <t>Cleavage and polyadenylation-specificity factor subunit 5 (Fragment)</t>
  </si>
  <si>
    <t>LYR motif-containing protein 1</t>
  </si>
  <si>
    <t>INO80 complex subunit E</t>
  </si>
  <si>
    <t>Ras-related protein Rab-40C (Fragment)</t>
  </si>
  <si>
    <t>Beta-hexosaminidase</t>
  </si>
  <si>
    <t>Ubiquinone biosynthesis protein COQ7 homolog</t>
  </si>
  <si>
    <t>Mannose-6-phosphate isomerase</t>
  </si>
  <si>
    <t>SUMO-conjugating enzyme UBC9 (Fragment)</t>
  </si>
  <si>
    <t>Endonuclease III-like protein 1 (Fragment)</t>
  </si>
  <si>
    <t>Microtubule-actin cross-linking factor 1, isoforms 1/2/3/5</t>
  </si>
  <si>
    <t>Transcription factor 4</t>
  </si>
  <si>
    <t>Hydroxyacylglutathione hydrolase, mitochondrial (Fragment)</t>
  </si>
  <si>
    <t>Battenin (Fragment)</t>
  </si>
  <si>
    <t>Fructose-bisphosphate aldolase A (Fragment)</t>
  </si>
  <si>
    <t>Obscurin</t>
  </si>
  <si>
    <t>snRNA-activating protein complex subunit 5</t>
  </si>
  <si>
    <t>UPF0420 protein C16orf58</t>
  </si>
  <si>
    <t>Dynactin subunit 5</t>
  </si>
  <si>
    <t>Zinc finger FYVE domain-containing protein 19</t>
  </si>
  <si>
    <t>Ubiquitin domain-containing protein UBFD1</t>
  </si>
  <si>
    <t>Phosphopantothenoylcysteine decarboxylase</t>
  </si>
  <si>
    <t>Nuclear factor of-activated T-cells, cytoplasmic 3 (Fragment)</t>
  </si>
  <si>
    <t>Protein FAM219B (Fragment)</t>
  </si>
  <si>
    <t>Eukaryotic translation initiation factor 3 subunit C</t>
  </si>
  <si>
    <t>Uncharacterized protein C15orf41</t>
  </si>
  <si>
    <t>Small integral membrane protein 1</t>
  </si>
  <si>
    <t>Zinc finger protein 106 (Fragment)</t>
  </si>
  <si>
    <t>Cirhin (Fragment)</t>
  </si>
  <si>
    <t>Fanconi anemia group A protein</t>
  </si>
  <si>
    <t>Cytoplasmic tRNA 2-thiolation protein 2</t>
  </si>
  <si>
    <t>Target of rapamycin complex subunit LST8 (Fragment)</t>
  </si>
  <si>
    <t>Sentrin-specific protease 8 (Fragment)</t>
  </si>
  <si>
    <t>Microtubule-associated protein 1 light chain 3 beta, isoform CRA_f</t>
  </si>
  <si>
    <t>Pyruvate kinase (Fragment)</t>
  </si>
  <si>
    <t>RING finger protein 166</t>
  </si>
  <si>
    <t>ADP-ribosylation factor-like protein 2-binding protein</t>
  </si>
  <si>
    <t>2-oxoglutarate and iron-dependent oxygenase domain-containing protein 1</t>
  </si>
  <si>
    <t>RNA-binding protein with serine-rich domain 1</t>
  </si>
  <si>
    <t>F-box/LRR-repeat protein 19</t>
  </si>
  <si>
    <t>Kunitz-type protease inhibitor 1 (Fragment)</t>
  </si>
  <si>
    <t>Sphingomyelin phosphodiesterase 4</t>
  </si>
  <si>
    <t>Histone deacetylase complex subunit SAP130</t>
  </si>
  <si>
    <t>Serine/threonine-protein phosphatase 6 regulatory subunit 3</t>
  </si>
  <si>
    <t>Protein-lysine methyltransferase METTL21A</t>
  </si>
  <si>
    <t>Extended synaptotagmin-2 (Fragment)</t>
  </si>
  <si>
    <t>Endoplasmic reticulum-Golgi intermediate compartment protein 3</t>
  </si>
  <si>
    <t>Transmembrane protein 41A</t>
  </si>
  <si>
    <t>Taperin</t>
  </si>
  <si>
    <t>BET1-like protein</t>
  </si>
  <si>
    <t>Mitochondrial pyruvate carrier 1</t>
  </si>
  <si>
    <t>Putative ATP-dependent RNA helicase DHX30</t>
  </si>
  <si>
    <t>Protein-L-isoaspartate O-methyltransferase</t>
  </si>
  <si>
    <t>Tail-anchored protein insertion receptor WRB (Fragment)</t>
  </si>
  <si>
    <t>Integrator complex subunit 9</t>
  </si>
  <si>
    <t>Interferon-induced transmembrane protein 2 (Fragment)</t>
  </si>
  <si>
    <t>Tropomyosin 1 (Alpha), isoform CRA_m</t>
  </si>
  <si>
    <t>Peptidyl-prolyl cis-trans isomerase (Fragment)</t>
  </si>
  <si>
    <t>Uncharacterized protein C2orf80 (Fragment)</t>
  </si>
  <si>
    <t>AP-1 complex subunit sigma-2 (Fragment)</t>
  </si>
  <si>
    <t>Thioredoxin (Fragment)</t>
  </si>
  <si>
    <t>Ubiquitin carboxyl-terminal hydrolase 46</t>
  </si>
  <si>
    <t>Non-homologous end-joining factor 1 (Fragment)</t>
  </si>
  <si>
    <t>Steroidogenic factor 1 (Fragment)</t>
  </si>
  <si>
    <t>Cyclin-dependent kinase inhibitor 3</t>
  </si>
  <si>
    <t>Constitutive coactivator of PPAR-gamma-like protein 1 (Fragment)</t>
  </si>
  <si>
    <t>IQ motif and SEC7 domain-containing protein 1 (Fragment)</t>
  </si>
  <si>
    <t>Protein THEMIS2 (Fragment)</t>
  </si>
  <si>
    <t>Ran-specific GTPase-activating protein (Fragment)</t>
  </si>
  <si>
    <t>RAF proto-oncogene serine/threonine-protein kinase (Fragment)</t>
  </si>
  <si>
    <t>Mitotic-spindle organizing protein 2B (Fragment)</t>
  </si>
  <si>
    <t>Deoxynucleotidyltransferase terminal-interacting protein 1 (Fragment)</t>
  </si>
  <si>
    <t>BET1 homolog (Fragment)</t>
  </si>
  <si>
    <t>Coiled-coil and C2 domain-containing protein 1B (Fragment)</t>
  </si>
  <si>
    <t>Apolipoprotein O (Fragment)</t>
  </si>
  <si>
    <t>Putative deoxyribonuclease TATDN2 (Fragment)</t>
  </si>
  <si>
    <t>Protein piccolo (Fragment)</t>
  </si>
  <si>
    <t>Carboxy-terminal domain RNA polymerase II polypeptide A small phosphatase 1 (Fragment)</t>
  </si>
  <si>
    <t>Nucleolar protein 7 (Fragment)</t>
  </si>
  <si>
    <t>EBNA1 binding protein 2, isoform CRA_d</t>
  </si>
  <si>
    <t>Probable protein phosphatase 1N (Fragment)</t>
  </si>
  <si>
    <t>Protein FAM134A (Fragment)</t>
  </si>
  <si>
    <t>N-acetyl-D-glucosamine kinase (Fragment)</t>
  </si>
  <si>
    <t>Glucosamine (N-acetyl)-6-sulfatase (Sanfilippo disease IIID), isoform CRA_b</t>
  </si>
  <si>
    <t>Autophagy-related protein 2 homolog A (Fragment)</t>
  </si>
  <si>
    <t>Suppressor of SWI4 1 homolog (Fragment)</t>
  </si>
  <si>
    <t>Protein ARV1 (Fragment)</t>
  </si>
  <si>
    <t>Serine/threonine-protein kinase 19 (Fragment)</t>
  </si>
  <si>
    <t>Rho GTPase-activating protein 25 (Fragment)</t>
  </si>
  <si>
    <t>Stromal interaction molecule 2</t>
  </si>
  <si>
    <t>NEDD4 family-interacting protein 2 (Fragment)</t>
  </si>
  <si>
    <t>Mitofusin-1 (Fragment)</t>
  </si>
  <si>
    <t>Putative glycerol kinase 5 (Fragment)</t>
  </si>
  <si>
    <t>Poly [ADP-ribose] polymerase 14 (Fragment)</t>
  </si>
  <si>
    <t>HEAT repeat-containing protein 5A (Fragment)</t>
  </si>
  <si>
    <t>Protein EFR3 homolog A</t>
  </si>
  <si>
    <t>Calcium uptake protein 1, mitochondrial</t>
  </si>
  <si>
    <t>GA binding protein transcription factor beta subunit 1 transcript variant gamma-2</t>
  </si>
  <si>
    <t>Solute carrier family 25 member 52</t>
  </si>
  <si>
    <t>Serine/threonine-protein kinase SMG1</t>
  </si>
  <si>
    <t>28S ribosomal protein S17, mitochondrial</t>
  </si>
  <si>
    <t>C-terminal 80 kDa form</t>
  </si>
  <si>
    <t>Golgi SNAP receptor complex member 2 (Fragment)</t>
  </si>
  <si>
    <t>E3 ubiquitin-protein ligase RNF167</t>
  </si>
  <si>
    <t>Vesicle-fusing ATPase</t>
  </si>
  <si>
    <t>Diphthamide biosynthesis protein 1 (Fragment)</t>
  </si>
  <si>
    <t>Myb-binding protein 1A (Fragment)</t>
  </si>
  <si>
    <t>Mitochondrial 2-oxoglutarate/malate carrier protein (Fragment)</t>
  </si>
  <si>
    <t>B-cell CLL/lymphoma 7 protein family member C (Fragment)</t>
  </si>
  <si>
    <t>Elongator complex protein 5 (Fragment)</t>
  </si>
  <si>
    <t>Clustered mitochondria protein homolog</t>
  </si>
  <si>
    <t>Protein capicua homolog</t>
  </si>
  <si>
    <t>Protein FAM195B</t>
  </si>
  <si>
    <t>Phosphatidylcholine transfer protein</t>
  </si>
  <si>
    <t>TOM1-like protein 1 (Fragment)</t>
  </si>
  <si>
    <t>Proline-, glutamic acid- and leucine-rich protein 1</t>
  </si>
  <si>
    <t>40S ribosomal protein S15a</t>
  </si>
  <si>
    <t>G1/S-specific cyclin-E1 (Fragment)</t>
  </si>
  <si>
    <t>ATP synthase mitochondrial F1 complex assembly factor 1</t>
  </si>
  <si>
    <t>NAD-dependent protein deacetylase sirtuin-7 (Fragment)</t>
  </si>
  <si>
    <t>Pigment epithelium-derived factor (Fragment)</t>
  </si>
  <si>
    <t>Multidrug resistance-associated protein 1 (Fragment)</t>
  </si>
  <si>
    <t>G protein pathway suppressor 2 (Fragment)</t>
  </si>
  <si>
    <t>Phospholipid scramblase 3 (Fragment)</t>
  </si>
  <si>
    <t>DNA endonuclease RBBP8</t>
  </si>
  <si>
    <t>E3 ubiquitin-protein ligase UBR5</t>
  </si>
  <si>
    <t>Cactin</t>
  </si>
  <si>
    <t>SWI/SNF-related matrix-associated actin-dependent regulator of chromatin subfamily D member 2</t>
  </si>
  <si>
    <t>Epididymal secretory protein E1</t>
  </si>
  <si>
    <t>Integrator complex subunit 2</t>
  </si>
  <si>
    <t>Zinc finger protein ubi-d4</t>
  </si>
  <si>
    <t>Low-density lipoprotein receptor (Fragment)</t>
  </si>
  <si>
    <t>Afadin</t>
  </si>
  <si>
    <t>Phosphatidylinositol 4-kinase alpha</t>
  </si>
  <si>
    <t>Proteasome-associated protein ECM29 homolog</t>
  </si>
  <si>
    <t>Fibrosin-1-like protein</t>
  </si>
  <si>
    <t>26S proteasome non-ATPase regulatory subunit 9</t>
  </si>
  <si>
    <t>Obscurin-like protein 1</t>
  </si>
  <si>
    <t>BCL2/adenovirus E1B 19 kDa protein-interacting protein 2</t>
  </si>
  <si>
    <t>Arylacetamide deacetylase-like 1</t>
  </si>
  <si>
    <t>Methylthioribulose-1-phosphate dehydratase</t>
  </si>
  <si>
    <t>Mitochondrial inner membrane protein OXA1L</t>
  </si>
  <si>
    <t>Mitogen-activated protein kinase kinase kinase 4</t>
  </si>
  <si>
    <t>Bifunctional heparan sulfate N-deacetylase/N-sulfotransferase 2</t>
  </si>
  <si>
    <t>Protein SAAL1</t>
  </si>
  <si>
    <t>RanBP2-like and GRIP domain-containing protein 3</t>
  </si>
  <si>
    <t>Copper chaperone for superoxide dismutase</t>
  </si>
  <si>
    <t>Centrosomal protein of 290 kDa</t>
  </si>
  <si>
    <t>Conserved oligomeric Golgi complex subunit 4</t>
  </si>
  <si>
    <t>Chitinase domain-containing protein 1</t>
  </si>
  <si>
    <t>Protein transport protein Sec16A</t>
  </si>
  <si>
    <t>Probable ATP-dependent RNA helicase DDX41 (Fragment)</t>
  </si>
  <si>
    <t>BRCA1-associated protein</t>
  </si>
  <si>
    <t>Semaphorin-4B</t>
  </si>
  <si>
    <t>MAP/microtubule affinity-regulating kinase 3</t>
  </si>
  <si>
    <t>Phosphatidylserine synthase 1</t>
  </si>
  <si>
    <t>Zinc finger protein 385, isoform CRA_a</t>
  </si>
  <si>
    <t>Methylmalonate-semialdehyde dehydrogenase [acylating], mitochondrial</t>
  </si>
  <si>
    <t>FCH domain only protein 2</t>
  </si>
  <si>
    <t>Four and a half LIM domains protein 2</t>
  </si>
  <si>
    <t>Coiled-coil domain-containing protein 41</t>
  </si>
  <si>
    <t>Unconventional myosin-XVIIIa</t>
  </si>
  <si>
    <t>RanBP2-like and GRIP domain-containing protein 4</t>
  </si>
  <si>
    <t>Probable fibrosin-1</t>
  </si>
  <si>
    <t>Serine/arginine-rich-splicing factor 2 (Fragment)</t>
  </si>
  <si>
    <t>Tyrosine-protein kinase receptor</t>
  </si>
  <si>
    <t>Receptor-type tyrosine-protein phosphatase alpha</t>
  </si>
  <si>
    <t>Trafficking protein particle complex subunit 4</t>
  </si>
  <si>
    <t>WASH complex subunit FAM21C</t>
  </si>
  <si>
    <t>Phosphatase and actin regulator 2</t>
  </si>
  <si>
    <t>RAP1, GTPase activating protein 1, isoform CRA_e</t>
  </si>
  <si>
    <t>RNA binding motif protein 7, isoform CRA_c</t>
  </si>
  <si>
    <t>Probable E3 ubiquitin-protein ligase HECTD4</t>
  </si>
  <si>
    <t>Kinesin-like protein KIF3A</t>
  </si>
  <si>
    <t>Calcium/calmodulin-dependent protein kinase kinase 1</t>
  </si>
  <si>
    <t>Synaptojanin-1</t>
  </si>
  <si>
    <t>Lysine-specific histone demethylase 1B</t>
  </si>
  <si>
    <t>Calcineurin B homologous protein 3</t>
  </si>
  <si>
    <t>Beta-arrestin-1</t>
  </si>
  <si>
    <t>DnaJ (Hsp40) homolog, subfamily B, member 12, isoform CRA_c</t>
  </si>
  <si>
    <t>TraB domain-containing protein</t>
  </si>
  <si>
    <t>Sulfurtransferase</t>
  </si>
  <si>
    <t>Histone deacetylase 2</t>
  </si>
  <si>
    <t>Prohibitin-2</t>
  </si>
  <si>
    <t>MAP1 light chain LC2</t>
  </si>
  <si>
    <t>Anthrax toxin receptor 2</t>
  </si>
  <si>
    <t>DNA-binding protein RFXANK</t>
  </si>
  <si>
    <t>Obg-like ATPase 1</t>
  </si>
  <si>
    <t>COP9 signalosome complex subunit 7b</t>
  </si>
  <si>
    <t>Trans-Golgi network integral membrane protein 2</t>
  </si>
  <si>
    <t>Peptidyl-tRNA hydrolase 2, mitochondrial</t>
  </si>
  <si>
    <t>F-box only protein 6 (Fragment)</t>
  </si>
  <si>
    <t>Peptidyl-prolyl cis-trans isomerase FKBP8</t>
  </si>
  <si>
    <t>Uncharacterized protein C6orf203</t>
  </si>
  <si>
    <t>UPF0669 protein C6orf120</t>
  </si>
  <si>
    <t>THUMP domain-containing protein 1</t>
  </si>
  <si>
    <t>Glucosylceramidase</t>
  </si>
  <si>
    <t>von Willebrand factor D and EGF domain-containing protein</t>
  </si>
  <si>
    <t>Apolipoprotein L2</t>
  </si>
  <si>
    <t>Cell division cycle 7-related protein kinase</t>
  </si>
  <si>
    <t>BRISC and BRCA1-A complex member 1</t>
  </si>
  <si>
    <t>Ephrin type-B receptor 6</t>
  </si>
  <si>
    <t>AP-1 complex subunit gamma-1</t>
  </si>
  <si>
    <t>RANBP2-like and GRIP domain-containing protein 1</t>
  </si>
  <si>
    <t>Coiled-coil domain containing 12, isoform CRA_a</t>
  </si>
  <si>
    <t>Tyrosine-protein phosphatase non-receptor type 7 (Fragment)</t>
  </si>
  <si>
    <t>Selenide, water dikinase 2</t>
  </si>
  <si>
    <t>Tubulin-specific chaperone D</t>
  </si>
  <si>
    <t>Uncharacterized protein C16orf55 (Fragment)</t>
  </si>
  <si>
    <t>Mitogen-activated protein kinase kinase kinase 3</t>
  </si>
  <si>
    <t>Protein SSXT</t>
  </si>
  <si>
    <t>N-acetylglucosaminyl-phosphatidylinositol de-N-acetylase (Fragment)</t>
  </si>
  <si>
    <t>Transmembrane protein 199</t>
  </si>
  <si>
    <t>Probable ATP-dependent RNA helicase DDX5 (Fragment)</t>
  </si>
  <si>
    <t>Chromobox protein homolog 1 (Fragment)</t>
  </si>
  <si>
    <t>Archaemetzincin-2 (Fragment)</t>
  </si>
  <si>
    <t>ADP-ribosylation factor-binding protein GGA3</t>
  </si>
  <si>
    <t>Myosin phosphatase Rho-interacting protein (Fragment)</t>
  </si>
  <si>
    <t>5(3)-deoxyribonucleotidase, cytosolic type</t>
  </si>
  <si>
    <t>Hematological and neurological-expressed 1 protein</t>
  </si>
  <si>
    <t>Transmembrane protein 97</t>
  </si>
  <si>
    <t>F-box and leucine-rich repeat protein 20, isoform CRA_a</t>
  </si>
  <si>
    <t>Mediator of RNA polymerase II transcription subunit 9</t>
  </si>
  <si>
    <t>Serine/arginine-rich-splicing factor 1</t>
  </si>
  <si>
    <t>Calcium homeostasis endoplasmic reticulum protein</t>
  </si>
  <si>
    <t>Proteasome subunit beta type-3 (Fragment)</t>
  </si>
  <si>
    <t>Intercellular adhesion molecule 2</t>
  </si>
  <si>
    <t>Protein SCO1 homolog, mitochondrial</t>
  </si>
  <si>
    <t>Secernin-2</t>
  </si>
  <si>
    <t>Zinc transporter ZIP11 (Fragment)</t>
  </si>
  <si>
    <t>Flotillin-2</t>
  </si>
  <si>
    <t>Protein UBBP4</t>
  </si>
  <si>
    <t>28S ribosomal protein S7, mitochondrial</t>
  </si>
  <si>
    <t>SAP30-binding protein (Fragment)</t>
  </si>
  <si>
    <t>Trafficking protein particle complex subunit 8</t>
  </si>
  <si>
    <t>60S ribosomal protein L17 (Fragment)</t>
  </si>
  <si>
    <t>Polycomb protein SUZ12</t>
  </si>
  <si>
    <t>NADPH:adrenodoxin oxidoreductase, mitochondrial</t>
  </si>
  <si>
    <t>Male-specific lethal 1 homolog</t>
  </si>
  <si>
    <t>Ribosomal protein L19</t>
  </si>
  <si>
    <t>Cyclin-dependent kinase 11B</t>
  </si>
  <si>
    <t>Centromere protein X (Fragment)</t>
  </si>
  <si>
    <t>Myotubularin-related protein 4</t>
  </si>
  <si>
    <t>ORM1-like protein 3 (Fragment)</t>
  </si>
  <si>
    <t>Myosin regulatory light chain 12A</t>
  </si>
  <si>
    <t>Zinc finger protein 207</t>
  </si>
  <si>
    <t>Tyrosine-protein kinase Yes</t>
  </si>
  <si>
    <t>Vesicle-associated membrane protein 2</t>
  </si>
  <si>
    <t>ARF GTPase-activating protein GIT1</t>
  </si>
  <si>
    <t>Lethal(2) giant larvae protein homolog 2</t>
  </si>
  <si>
    <t>Coordinator of PRMT5 and differentiation stimulator (Fragment)</t>
  </si>
  <si>
    <t>Probable helicase with zinc finger domain</t>
  </si>
  <si>
    <t>Ribosomal L1 domain-containing protein 1 (Fragment)</t>
  </si>
  <si>
    <t>Huntingtin-interacting protein K</t>
  </si>
  <si>
    <t>Protein cereblon (Fragment)</t>
  </si>
  <si>
    <t>Protein Njmu-R1</t>
  </si>
  <si>
    <t>Lamin B2, isoform CRA_a</t>
  </si>
  <si>
    <t>Transmembrane and coiled-coil domain-containing protein 1</t>
  </si>
  <si>
    <t>RWD domain containing 4A</t>
  </si>
  <si>
    <t>E3 ubiquitin-protein ligase SHPRH</t>
  </si>
  <si>
    <t>Protein YIPF2 (Fragment)</t>
  </si>
  <si>
    <t>Mothers against decapentaplegic homolog 4</t>
  </si>
  <si>
    <t>Protein FAM32A</t>
  </si>
  <si>
    <t>SEC14-like protein 1 (Fragment)</t>
  </si>
  <si>
    <t>40S ribosomal protein S15 (Fragment)</t>
  </si>
  <si>
    <t>Calreticulin (Fragment)</t>
  </si>
  <si>
    <t>Kinetochore protein Spc24 (Fragment)</t>
  </si>
  <si>
    <t>AP-1 complex subunit mu-1</t>
  </si>
  <si>
    <t>Signal peptidase complex catalytic subunit SEC11C</t>
  </si>
  <si>
    <t>Protein FAM210A (Fragment)</t>
  </si>
  <si>
    <t>Histone H3 (Fragment)</t>
  </si>
  <si>
    <t>Signal transducer and activator of transcription 5A</t>
  </si>
  <si>
    <t>Protein lin-37 homolog</t>
  </si>
  <si>
    <t>Lon protease homolog, mitochondrial</t>
  </si>
  <si>
    <t>Ataxin-7-like protein 3 (Fragment)</t>
  </si>
  <si>
    <t>39S ribosomal protein L4, mitochondrial</t>
  </si>
  <si>
    <t>Transmembrane and ubiquitin-like domain-containing protein 2 (Fragment)</t>
  </si>
  <si>
    <t>Protein LINC00493</t>
  </si>
  <si>
    <t>Hsp90 co-chaperone Cdc37 (Fragment)</t>
  </si>
  <si>
    <t>Protein phosphatase 1 regulatory subunit 12C (Fragment)</t>
  </si>
  <si>
    <t>Amino-terminal enhancer of split (Fragment)</t>
  </si>
  <si>
    <t>R3H domain-containing protein 4</t>
  </si>
  <si>
    <t>Glucosidase 2 subunit beta</t>
  </si>
  <si>
    <t>Dynein heavy chain 17, axonemal (Fragment)</t>
  </si>
  <si>
    <t>Epidermal growth factor receptor kinase substrate 8-like protein 1</t>
  </si>
  <si>
    <t>Polypyrimidine tract-binding protein 1 (Fragment)</t>
  </si>
  <si>
    <t>Syntaxin-10 (Fragment)</t>
  </si>
  <si>
    <t>Katanin p60 ATPase-containing subunit A-like 2 (Fragment)</t>
  </si>
  <si>
    <t>Transmembrane protein 205 (Fragment)</t>
  </si>
  <si>
    <t>UPF0515 protein C19orf66 (Fragment)</t>
  </si>
  <si>
    <t>Solute carrier family 25 member 39</t>
  </si>
  <si>
    <t>Transcription elongation factor 1 homolog</t>
  </si>
  <si>
    <t>HCG2039718, isoform CRA_g</t>
  </si>
  <si>
    <t>Asparagine--tRNA ligase, cytoplasmic</t>
  </si>
  <si>
    <t>Proteasome activator complex subunit 3 (Fragment)</t>
  </si>
  <si>
    <t>Uncharacterized protein C18orf8</t>
  </si>
  <si>
    <t>ATP synthase subunit s-like protein</t>
  </si>
  <si>
    <t>UBX domain-containing protein 6 (Fragment)</t>
  </si>
  <si>
    <t>E3 ubiquitin-protein ligase MGRN1 (Fragment)</t>
  </si>
  <si>
    <t>Transmembrane protein 161A (Fragment)</t>
  </si>
  <si>
    <t>Protein unc-13 homolog D (Fragment)</t>
  </si>
  <si>
    <t>NADH dehydrogenase [ubiquinone] 1 alpha subcomplex subunit 11</t>
  </si>
  <si>
    <t>Leucine-rich repeats and immunoglobulin-like domains protein 3 (Fragment)</t>
  </si>
  <si>
    <t>Protein FAM98C (Fragment)</t>
  </si>
  <si>
    <t>Fizzy-related protein homolog</t>
  </si>
  <si>
    <t>Ribonuclease P protein subunit p29 (Fragment)</t>
  </si>
  <si>
    <t>Tropomyosin alpha-4 chain (Fragment)</t>
  </si>
  <si>
    <t>Matrix-remodeling-associated protein 7</t>
  </si>
  <si>
    <t>Phenylalanine--tRNA ligase alpha subunit</t>
  </si>
  <si>
    <t>DNA excision repair protein ERCC-1 (Fragment)</t>
  </si>
  <si>
    <t>Eukaryotic translation initiation factor 3 subunit K</t>
  </si>
  <si>
    <t>NACHT, LRR and PYD domains-containing protein 7</t>
  </si>
  <si>
    <t>Pleckstrin homology domain-containing family J member 1</t>
  </si>
  <si>
    <t>Truncated apolipoprotein C-I (Fragment)</t>
  </si>
  <si>
    <t>Protein YIF1B (Fragment)</t>
  </si>
  <si>
    <t>Thymidine kinase</t>
  </si>
  <si>
    <t>Bleomycin hydrolase (Fragment)</t>
  </si>
  <si>
    <t>Ubiquitin-conjugating enzyme E2 O (Fragment)</t>
  </si>
  <si>
    <t>Protein FAM86A</t>
  </si>
  <si>
    <t>UV excision repair protein RAD23 homolog A</t>
  </si>
  <si>
    <t>Dephospho-CoA kinase domain-containing protein (Fragment)</t>
  </si>
  <si>
    <t>Serine--tRNA ligase, mitochondrial</t>
  </si>
  <si>
    <t>Paf1, RNA polymerase II associated factor, homolog (S. cerevisiae), isoform CRA_c</t>
  </si>
  <si>
    <t>Protein Wiz</t>
  </si>
  <si>
    <t>Coatomer protein complex, subunit epsilon, isoform CRA_g</t>
  </si>
  <si>
    <t>Glia maturation factor gamma</t>
  </si>
  <si>
    <t>Mucolipin-1 (Fragment)</t>
  </si>
  <si>
    <t>rRNA 2-O-methyltransferase fibrillarin (Fragment)</t>
  </si>
  <si>
    <t>Upstream stimulatory factor 2</t>
  </si>
  <si>
    <t>Zinc finger protein 428 (Fragment)</t>
  </si>
  <si>
    <t>Epidermal growth factor receptor substrate 15-like 1 (Fragment)</t>
  </si>
  <si>
    <t>Zinc finger CCCH domain-containing protein 4 (Fragment)</t>
  </si>
  <si>
    <t>Uncharacterized protein C19orf60 (Fragment)</t>
  </si>
  <si>
    <t>Tubulin beta-4A chain (Fragment)</t>
  </si>
  <si>
    <t>60S ribosomal protein L13a (Fragment)</t>
  </si>
  <si>
    <t>NAD-dependent protein deacetylase sirtuin-6 (Fragment)</t>
  </si>
  <si>
    <t>GRAM domain-containing protein 1A</t>
  </si>
  <si>
    <t>Protein Smaug homolog 2</t>
  </si>
  <si>
    <t>Sarcoplasmic reticulum histidine-rich calcium-binding protein</t>
  </si>
  <si>
    <t>FCH domain only protein 1</t>
  </si>
  <si>
    <t>Heterogeneous nuclear ribonucleoprotein M (Fragment)</t>
  </si>
  <si>
    <t>Sphingosine kinase 2 (Fragment)</t>
  </si>
  <si>
    <t>Rho guanine nucleotide exchange factor 1</t>
  </si>
  <si>
    <t>Serine/threonine-protein kinase D</t>
  </si>
  <si>
    <t>KxDL motif-containing protein 1 (Fragment)</t>
  </si>
  <si>
    <t>40S ribosomal protein S5 (Fragment)</t>
  </si>
  <si>
    <t>AP-2 complex subunit sigma</t>
  </si>
  <si>
    <t>Pleckstrin homology domain-containing family A member 4 (Fragment)</t>
  </si>
  <si>
    <t>Intermediate conductance calcium-activated potassium channel protein 4 (Fragment)</t>
  </si>
  <si>
    <t>ER membrane protein complex subunit 10</t>
  </si>
  <si>
    <t>Lipolysis-stimulated lipoprotein receptor (Fragment)</t>
  </si>
  <si>
    <t>Unconventional myosin-IXb (Fragment)</t>
  </si>
  <si>
    <t>Prenylated Rab acceptor protein 1</t>
  </si>
  <si>
    <t>Alkyldihydroxyacetonephosphate synthase, peroxisomal</t>
  </si>
  <si>
    <t>Isoform 3 of UBX domain-containing protein 8</t>
  </si>
  <si>
    <t>Isoform 1 of Kinesin-like protein KIF2A</t>
  </si>
  <si>
    <t>Isoform 2 of Kinesin-like protein KIF2A</t>
  </si>
  <si>
    <t>ATP-dependent RNA helicase DDX39A</t>
  </si>
  <si>
    <t>PDZ and LIM domain protein 1</t>
  </si>
  <si>
    <t>Isoform 4 of Cytosolic acyl coenzyme A thioester hydrolase</t>
  </si>
  <si>
    <t>Unconventional myosin-Ic</t>
  </si>
  <si>
    <t>Synaptosomal-associated protein 23</t>
  </si>
  <si>
    <t>Isoform 5 of HCLS1-associated protein X-1</t>
  </si>
  <si>
    <t>AH receptor-interacting protein</t>
  </si>
  <si>
    <t>GTP-binding protein 1</t>
  </si>
  <si>
    <t>Potassium channel subfamily K member 1</t>
  </si>
  <si>
    <t>Syntaxin-binding protein 3</t>
  </si>
  <si>
    <t>AP-3 complex subunit beta-1</t>
  </si>
  <si>
    <t>Isoform 2 of Galectin-8</t>
  </si>
  <si>
    <t>NADH dehydrogenase [ubiquinone] iron-sulfur protein 8, mitochondrial</t>
  </si>
  <si>
    <t>Tumor necrosis factor receptor superfamily member 10A</t>
  </si>
  <si>
    <t>NF-kappa-B inhibitor epsilon</t>
  </si>
  <si>
    <t>26S proteasome non-ATPase regulatory subunit 11</t>
  </si>
  <si>
    <t>26S proteasome non-ATPase regulatory subunit 12</t>
  </si>
  <si>
    <t>Copper transport protein ATOX1</t>
  </si>
  <si>
    <t>Membrane-associated progesterone receptor component 1</t>
  </si>
  <si>
    <t>Isoform 2 of Transcription elongation factor SPT5</t>
  </si>
  <si>
    <t>DNA fragmentation factor subunit alpha</t>
  </si>
  <si>
    <t>Isoform DFF35 of DNA fragmentation factor subunit alpha</t>
  </si>
  <si>
    <t>Regulatory factor X-associated protein</t>
  </si>
  <si>
    <t>Huntingtin-interacting protein 1</t>
  </si>
  <si>
    <t>Chloride intracellular channel protein 1</t>
  </si>
  <si>
    <t>NEDD4-like E3 ubiquitin-protein ligase WWP2</t>
  </si>
  <si>
    <t>Prostaglandin E receptor 3 (Subtype EP3), isoform CRA_g</t>
  </si>
  <si>
    <t>Dynactin subunit 6</t>
  </si>
  <si>
    <t>Acetyl-coenzyme A transporter 1</t>
  </si>
  <si>
    <t>Neural Wiskott-Aldrich syndrome protein</t>
  </si>
  <si>
    <t>Importin-5</t>
  </si>
  <si>
    <t>Eukaryotic elongation factor 2 kinase</t>
  </si>
  <si>
    <t>Histone deacetylase complex subunit SAP18</t>
  </si>
  <si>
    <t>Insulin-like growth factor 2 mRNA-binding protein 3</t>
  </si>
  <si>
    <t>Isoform 2 of Dynamin-1-like protein</t>
  </si>
  <si>
    <t>Isoform 3 of Dynamin-1-like protein</t>
  </si>
  <si>
    <t>RNA 3-terminal phosphate cyclase</t>
  </si>
  <si>
    <t>Phosphatidylinositol 3-kinase regulatory subunit beta</t>
  </si>
  <si>
    <t>Golgi integral membrane protein 4</t>
  </si>
  <si>
    <t>Beta-mannosidase</t>
  </si>
  <si>
    <t>Isoform 2 of Agrin</t>
  </si>
  <si>
    <t>Exocyst complex component 5</t>
  </si>
  <si>
    <t>High mobility group nucleosome-binding domain-containing protein 4</t>
  </si>
  <si>
    <t>NADH dehydrogenase [ubiquinone] 1 alpha subcomplex subunit 4</t>
  </si>
  <si>
    <t>26S proteasome non-ATPase regulatory subunit 14</t>
  </si>
  <si>
    <t>Zinc finger protein 593</t>
  </si>
  <si>
    <t>Importin subunit alpha-3</t>
  </si>
  <si>
    <t>Serine/threonine-protein kinase 25</t>
  </si>
  <si>
    <t>B-cell CLL/lymphoma 9 protein</t>
  </si>
  <si>
    <t>Krev interaction trapped protein 1</t>
  </si>
  <si>
    <t>Syntenin-1</t>
  </si>
  <si>
    <t>Isoform 2 of Membrane-associated phosphatidylinositol transfer protein 1</t>
  </si>
  <si>
    <t>U3 small nucleolar ribonucleoprotein protein MPP10</t>
  </si>
  <si>
    <t>Nucleolar protein 56</t>
  </si>
  <si>
    <t>ATP-dependent RNA helicase DDX3X</t>
  </si>
  <si>
    <t>Pirin</t>
  </si>
  <si>
    <t>Importin subunit alpha-4</t>
  </si>
  <si>
    <t>Tripartite motif-containing protein 38</t>
  </si>
  <si>
    <t>Serine/threonine-protein phosphatase 6 catalytic subunit</t>
  </si>
  <si>
    <t>Cocaine esterase</t>
  </si>
  <si>
    <t>Isoform 2 of Lysosomal alpha-mannosidase</t>
  </si>
  <si>
    <t>Pyridoxal kinase</t>
  </si>
  <si>
    <t>Isoform 3 of Pyridoxal kinase</t>
  </si>
  <si>
    <t>Acyl-CoA desaturase</t>
  </si>
  <si>
    <t>AT-rich interactive domain-containing protein 1A</t>
  </si>
  <si>
    <t>Class E basic helix-loop-helix protein 40</t>
  </si>
  <si>
    <t>Suppressor of cytokine signaling 2</t>
  </si>
  <si>
    <t>Isoform 2 of Cyclin-dependent kinase 2-associated protein 1</t>
  </si>
  <si>
    <t>C2 domain-containing protein 2-like</t>
  </si>
  <si>
    <t>Isoform 2 of Transmembrane protein 194A</t>
  </si>
  <si>
    <t>TRAF-type zinc finger domain-containing protein 1</t>
  </si>
  <si>
    <t>Cytochrome c oxidase subunit 7A-related protein, mitochondrial</t>
  </si>
  <si>
    <t>Acyl carrier protein, mitochondrial</t>
  </si>
  <si>
    <t>Citron Rho-interacting kinase</t>
  </si>
  <si>
    <t>Cdc42 effector protein 2</t>
  </si>
  <si>
    <t>AP-3 complex subunit delta-1</t>
  </si>
  <si>
    <t>Isoform 2 of Chromodomain-helicase-DNA-binding protein 1</t>
  </si>
  <si>
    <t>Torsin-1A</t>
  </si>
  <si>
    <t>Torsin-1B</t>
  </si>
  <si>
    <t>Isoform A of Syntaxin-16</t>
  </si>
  <si>
    <t>Disintegrin and metalloproteinase domain-containing protein 10</t>
  </si>
  <si>
    <t>Histone-lysine N-methyltransferase MLL2</t>
  </si>
  <si>
    <t>Isoform 3 of Dual specificity mitogen-activated protein kinase kinase 7</t>
  </si>
  <si>
    <t>Acyl-coenzyme A thioesterase 8</t>
  </si>
  <si>
    <t>Programmed cell death protein 5</t>
  </si>
  <si>
    <t>Protein arginine N-methyltransferase 5</t>
  </si>
  <si>
    <t>Na(+)/H(+) exchange regulatory cofactor NHE-RF1</t>
  </si>
  <si>
    <t>Serine/threonine-protein kinase Chk1</t>
  </si>
  <si>
    <t>Isoform Short of Tumor necrosis factor receptor superfamily member 10B</t>
  </si>
  <si>
    <t>Isoform 5 of Fucose-1-phosphate guanylyltransferase</t>
  </si>
  <si>
    <t>Tripeptidyl-peptidase 1</t>
  </si>
  <si>
    <t>Isoform 2 of Transcription elongation regulator 1</t>
  </si>
  <si>
    <t>Kinetochore protein NDC80 homolog</t>
  </si>
  <si>
    <t>Isoform 2 of Transportin-2</t>
  </si>
  <si>
    <t>DNA-directed RNA polymerase III subunit RPC1</t>
  </si>
  <si>
    <t>Proteasome subunit alpha type-7</t>
  </si>
  <si>
    <t>Secretory carrier-associated membrane protein 3</t>
  </si>
  <si>
    <t>5-oxoprolinase</t>
  </si>
  <si>
    <t>Transcription regulator protein BACH1</t>
  </si>
  <si>
    <t>Isoform 2 of Gem-associated protein 2</t>
  </si>
  <si>
    <t>PDZ domain-containing protein GIPC1</t>
  </si>
  <si>
    <t>Inhibitor of nuclear factor kappa-B kinase subunit beta</t>
  </si>
  <si>
    <t>Mitochondrial import inner membrane translocase subunit Tim23</t>
  </si>
  <si>
    <t>Histone acetyltransferase type B catalytic subunit</t>
  </si>
  <si>
    <t>Ubiquitin/ISG15-conjugating enzyme E2 L6</t>
  </si>
  <si>
    <t>Cytochrome b-c1 complex subunit 8</t>
  </si>
  <si>
    <t>Hepatocyte growth factor-regulated tyrosine kinase substrate</t>
  </si>
  <si>
    <t>Aurora kinase A</t>
  </si>
  <si>
    <t>Isoform 4 of Protein phosphatase 1 regulatory subunit 12A</t>
  </si>
  <si>
    <t>Isoform 2 of Very long-chain acyl-CoA synthetase</t>
  </si>
  <si>
    <t>Cyclin-G-associated kinase</t>
  </si>
  <si>
    <t>Isoform 3 of Heterogeneous nuclear ribonucleoprotein D-like</t>
  </si>
  <si>
    <t>Exportin-1</t>
  </si>
  <si>
    <t>TATA-binding protein-associated factor 172</t>
  </si>
  <si>
    <t>Zinc finger protein 609</t>
  </si>
  <si>
    <t>Isoform 2 of Spectrin beta chain, non-erythrocytic 2</t>
  </si>
  <si>
    <t>Plexin-B2</t>
  </si>
  <si>
    <t>Protein KHNYN</t>
  </si>
  <si>
    <t>Histone-lysine N-methyltransferase SETD1A</t>
  </si>
  <si>
    <t>Synaptojanin-2</t>
  </si>
  <si>
    <t>Kinesin-like protein KIF3B</t>
  </si>
  <si>
    <t>Phosphoribosylformylglycinamidine synthase</t>
  </si>
  <si>
    <t>Serine/threonine-protein phosphatase 6 regulatory ankyrin repeat subunit A</t>
  </si>
  <si>
    <t>Rho guanine nucleotide exchange factor 11</t>
  </si>
  <si>
    <t>Isoform 4 of Mitochondrial ribonuclease P protein 3</t>
  </si>
  <si>
    <t>Inhibitor of nuclear factor kappa-B kinase subunit alpha</t>
  </si>
  <si>
    <t>U6 snRNA-associated Sm-like protein LSm1</t>
  </si>
  <si>
    <t>Niemann-Pick C1 protein</t>
  </si>
  <si>
    <t>1-acyl-sn-glycerol-3-phosphate acyltransferase beta</t>
  </si>
  <si>
    <t>Sphingolipid delta(4)-desaturase DES1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</si>
  <si>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</si>
  <si>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</si>
  <si>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</si>
  <si>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</si>
  <si>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</si>
  <si>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Zinc finger and BTB domain-containing protein 7B</t>
  </si>
  <si>
    <t>DNA-directed RNA polymerases I and III subunit RPAC1</t>
  </si>
  <si>
    <t>Isoform Short of Transcription intermediary factor 1-alpha</t>
  </si>
  <si>
    <t>Isoform 2 of Axin-1</t>
  </si>
  <si>
    <t>Membrane-associated progesterone receptor component 2</t>
  </si>
  <si>
    <t>Prefoldin subunit 6</t>
  </si>
  <si>
    <t>NF-kappa-B-repressing factor</t>
  </si>
  <si>
    <t>Dihydroxyacetone phosphate acyltransferase</t>
  </si>
  <si>
    <t>Protein CASC3</t>
  </si>
  <si>
    <t>28S ribosomal protein S12, mitochondrial</t>
  </si>
  <si>
    <t>Neurosecretory protein VGF</t>
  </si>
  <si>
    <t>Chloride intracellular channel protein 2</t>
  </si>
  <si>
    <t>Protein RER1</t>
  </si>
  <si>
    <t>Serine palmitoyltransferase 1</t>
  </si>
  <si>
    <t>Serine palmitoyltransferase 2</t>
  </si>
  <si>
    <t>Isoform 1 of UDP-N-acetylglucosamine--peptide N-acetylglucosaminyltransferase 110 kDa subunit</t>
  </si>
  <si>
    <t>Phosphomannomutase 2</t>
  </si>
  <si>
    <t>High mobility group protein B3</t>
  </si>
  <si>
    <t>Protein phosphatase 1G</t>
  </si>
  <si>
    <t>Phosphatidylinositol 3,4,5-trisphosphate 5-phosphatase 2</t>
  </si>
  <si>
    <t>Histone deacetylase 3</t>
  </si>
  <si>
    <t>Isoform 2 of Nuclear valosin-containing protein-like</t>
  </si>
  <si>
    <t>Branched-chain-amino-acid aminotransferase, mitochondrial</t>
  </si>
  <si>
    <t>Transcription factor YY2</t>
  </si>
  <si>
    <t>Importin-8</t>
  </si>
  <si>
    <t>Isoform 2 of Syntaxin-7</t>
  </si>
  <si>
    <t>Isoform 2 of Multidrug resistance-associated protein 4</t>
  </si>
  <si>
    <t>Next to BRCA1 gene 2 protein</t>
  </si>
  <si>
    <t>Isoform IIa of Prolyl 4-hydroxylase subunit alpha-2</t>
  </si>
  <si>
    <t>Melanoma-associated antigen B2</t>
  </si>
  <si>
    <t>Synaptobrevin homolog YKT6</t>
  </si>
  <si>
    <t>Actin-related protein 2/3 complex subunit 5</t>
  </si>
  <si>
    <t>DNA-directed RNA polymerase II subunit RPB4</t>
  </si>
  <si>
    <t>RING finger protein 113A</t>
  </si>
  <si>
    <t>Putative pre-mRNA-splicing factor ATP-dependent RNA helicase DHX15</t>
  </si>
  <si>
    <t>mRNA cap guanine-N7 methyltransferase</t>
  </si>
  <si>
    <t>Zinc finger ZZ-type and EF-hand domain-containing protein 1</t>
  </si>
  <si>
    <t>TELO2-interacting protein 1 homolog</t>
  </si>
  <si>
    <t>Isoform 2 of E3 ubiquitin-protein ligase Praja-2</t>
  </si>
  <si>
    <t>Isoform 2 of U4/U6 small nuclear ribonucleoprotein Prp4</t>
  </si>
  <si>
    <t>D-3-phosphoglycerate dehydrogenase</t>
  </si>
  <si>
    <t>NADH dehydrogenase [ubiquinone] iron-sulfur protein 4, mitochondrial</t>
  </si>
  <si>
    <t>Isoform 4 of Rho GTPase-activating protein 6</t>
  </si>
  <si>
    <t>Cytoplasmic dynein 1 light intermediate chain 2</t>
  </si>
  <si>
    <t>26S proteasome non-ATPase regulatory subunit 3</t>
  </si>
  <si>
    <t>Bifunctional 3-phosphoadenosine 5-phosphosulfate synthase 1</t>
  </si>
  <si>
    <t>Zinc finger HIT domain-containing protein 1</t>
  </si>
  <si>
    <t>Centromere/kinetochore protein zw10 homolog</t>
  </si>
  <si>
    <t>U4/U6.U5 tri-snRNP-associated protein 1</t>
  </si>
  <si>
    <t>Death-associated protein kinase 3</t>
  </si>
  <si>
    <t>AP-5 complex subunit zeta-1</t>
  </si>
  <si>
    <t>CBP80/20-dependent translation initiation factor</t>
  </si>
  <si>
    <t>Isoform 2 of Inositol hexakisphosphate and diphosphoinositol-pentakisphosphate kinase 2</t>
  </si>
  <si>
    <t>Mitogen-activated protein kinase kinase kinase 7</t>
  </si>
  <si>
    <t>Receptor-interacting serine/threonine-protein kinase 2</t>
  </si>
  <si>
    <t>WD repeat-containing protein 62</t>
  </si>
  <si>
    <t>Heterogeneous nuclear ribonucleoprotein R</t>
  </si>
  <si>
    <t>U4/U6 small nuclear ribonucleoprotein Prp3</t>
  </si>
  <si>
    <t>Thioredoxin-like protein 1</t>
  </si>
  <si>
    <t>Tumor protein D54</t>
  </si>
  <si>
    <t>ER membrane protein complex subunit 8</t>
  </si>
  <si>
    <t>52 kDa repressor of the inhibitor of the protein kinase</t>
  </si>
  <si>
    <t>Isoform C of T-box transcription factor TBX1</t>
  </si>
  <si>
    <t>Peptidyl-prolyl cis-trans isomerase H</t>
  </si>
  <si>
    <t>Isoform 3 of Serine protease HTRA2, mitochondrial</t>
  </si>
  <si>
    <t>Protein Mis18-beta</t>
  </si>
  <si>
    <t>Band 4.1-like protein 2</t>
  </si>
  <si>
    <t>DNA repair protein RAD51 homolog 3</t>
  </si>
  <si>
    <t>Ragulator complex protein LAMTOR5</t>
  </si>
  <si>
    <t>Mediator of RNA polymerase II transcription subunit 7</t>
  </si>
  <si>
    <t>WAS/WASL-interacting protein family member 1</t>
  </si>
  <si>
    <t>Isoform Bim-alpha3 of Bcl-2-like protein 11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</si>
  <si>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</si>
  <si>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</si>
  <si>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</si>
  <si>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</si>
  <si>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</si>
  <si>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Charged multivesicular body protein 2a</t>
  </si>
  <si>
    <t>Cytoplasmic protein NCK2</t>
  </si>
  <si>
    <t>Protein regulator of cytokinesis 1</t>
  </si>
  <si>
    <t>Isoform 2 of Regulator of G-protein signaling 10</t>
  </si>
  <si>
    <t>NADH dehydrogenase [ubiquinone] 1 subunit C1, mitochondrial</t>
  </si>
  <si>
    <t>NADH dehydrogenase [ubiquinone] 1 alpha subcomplex subunit 2</t>
  </si>
  <si>
    <t>ATPase ASNA1</t>
  </si>
  <si>
    <t>Mitotic checkpoint protein BUB3</t>
  </si>
  <si>
    <t>Alpha-actinin-4</t>
  </si>
  <si>
    <t>Uncharacterized methyltransferase WBSCR22</t>
  </si>
  <si>
    <t>TP53-regulated inhibitor of apoptosis 1</t>
  </si>
  <si>
    <t>HIV Tat-specific factor 1</t>
  </si>
  <si>
    <t>Isoform 5 of Adapter protein CIKS</t>
  </si>
  <si>
    <t>Isoform 2 of Integral membrane protein 2A</t>
  </si>
  <si>
    <t>Syntaxin-6</t>
  </si>
  <si>
    <t>Synaptogyrin-2</t>
  </si>
  <si>
    <t>Small glutamine-rich tetratricopeptide repeat-containing protein alpha</t>
  </si>
  <si>
    <t>Isoform 2 of Lipoyl synthase, mitochondrial</t>
  </si>
  <si>
    <t>Isoform 2 of Alpha-endosulfine</t>
  </si>
  <si>
    <t>Mitochondrial carnitine/acylcarnitine carrier protein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</si>
  <si>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</si>
  <si>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</si>
  <si>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</si>
  <si>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</si>
  <si>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</si>
  <si>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Protein SCO2 homolog, mitochondrial</t>
  </si>
  <si>
    <t>Isoform 4 of Hyaluronidase-3</t>
  </si>
  <si>
    <t>A-kinase anchor protein 8</t>
  </si>
  <si>
    <t>Putative GTP-binding protein 6</t>
  </si>
  <si>
    <t>Glucose-6-phosphate translocase</t>
  </si>
  <si>
    <t>Zinc finger and BTB domain-containing protein 14</t>
  </si>
  <si>
    <t>Isocitrate dehydrogenase [NAD] subunit beta, mitochondrial</t>
  </si>
  <si>
    <t>Calumenin</t>
  </si>
  <si>
    <t>Putative adenosylhomocysteinase 2</t>
  </si>
  <si>
    <t>Kinesin-like protein KIF1C</t>
  </si>
  <si>
    <t>Origin recognition complex subunit 5</t>
  </si>
  <si>
    <t>NADH dehydrogenase [ubiquinone] iron-sulfur protein 5</t>
  </si>
  <si>
    <t>Retinal rod rhodopsin-sensitive cGMP 3,5-cyclic phosphodiesterase subunit delta</t>
  </si>
  <si>
    <t>Putative serine/threonine-protein kinase PRKY</t>
  </si>
  <si>
    <t>Peroxisome biogenesis factor 1</t>
  </si>
  <si>
    <t>Double-strand-break repair protein rad21 homolog</t>
  </si>
  <si>
    <t>Mitochondrial import inner membrane translocase subunit Tim8 A</t>
  </si>
  <si>
    <t>Putative pre-mRNA-splicing factor ATP-dependent RNA helicase DHX16</t>
  </si>
  <si>
    <t>SH3 domain-binding protein 5</t>
  </si>
  <si>
    <t>Mediator of RNA polymerase II transcription subunit 14</t>
  </si>
  <si>
    <t>Phosphoribosyl pyrophosphate synthase-associated protein 2</t>
  </si>
  <si>
    <t>SWI/SNF-related matrix-associated actin-dependent regulator of chromatin subfamily A member 5</t>
  </si>
  <si>
    <t>Isoform 4 of C-Jun-amino-terminal kinase-interacting protein 4</t>
  </si>
  <si>
    <t>Isoform 2 of Zinc finger C3H1 domain-containing protein</t>
  </si>
  <si>
    <t>Leucine carboxyl methyltransferase 2</t>
  </si>
  <si>
    <t>Intron-binding protein aquarius</t>
  </si>
  <si>
    <t>Microtubule-associated serine/threonine-protein kinase 3</t>
  </si>
  <si>
    <t>Isoform 2 of Dynamin-like 120 kDa protein, mitochondrial</t>
  </si>
  <si>
    <t>Isoform 2 of Zinc finger E-box-binding homeobox 2</t>
  </si>
  <si>
    <t>Isoform 2 of Kinesin-like protein KIF1B</t>
  </si>
  <si>
    <t>Isoform 2 of E3 ubiquitin-protein ligase MARCH6</t>
  </si>
  <si>
    <t>Lysine-specific histone demethylase 1A</t>
  </si>
  <si>
    <t>Isoform 2 of TBC1 domain family member 4</t>
  </si>
  <si>
    <t>Isoform D of Endothelin-converting enzyme 2</t>
  </si>
  <si>
    <t>Fatty acid desaturase 1</t>
  </si>
  <si>
    <t>Mannosyl-oligosaccharide 1,2-alpha-mannosidase IB</t>
  </si>
  <si>
    <t>Isoform Short of Long-chain-fatty-acid--CoA ligase 4</t>
  </si>
  <si>
    <t>Sorting nexin-3</t>
  </si>
  <si>
    <t>Bifunctional protein NCOAT</t>
  </si>
  <si>
    <t>Isoform 3 of Heterogeneous nuclear ribonucleoprotein Q</t>
  </si>
  <si>
    <t>Beta-1,4-galactosyltransferase 3</t>
  </si>
  <si>
    <t>Ran-binding protein 6</t>
  </si>
  <si>
    <t>Isoform 4 of Nuclear export mediator factor NEMF</t>
  </si>
  <si>
    <t>Isoform 2 of GDP-mannose 4,6 dehydratase</t>
  </si>
  <si>
    <t>Cyclin-T1</t>
  </si>
  <si>
    <t>Mitotic checkpoint serine/threonine-protein kinase BUB1 beta</t>
  </si>
  <si>
    <t>Procollagen-lysine,2-oxoglutarate 5-dioxygenase 3</t>
  </si>
  <si>
    <t>Isoform 2 of Cyclin-T2</t>
  </si>
  <si>
    <t>15 kDa selenoprotein</t>
  </si>
  <si>
    <t>Isoform 3 of Exocyst complex component 3</t>
  </si>
  <si>
    <t>Perilipin-3</t>
  </si>
  <si>
    <t>Cell cycle checkpoint protein RAD1</t>
  </si>
  <si>
    <t>Protein arginine N-methyltransferase 3</t>
  </si>
  <si>
    <t>UDP-glucose 6-dehydrogenase</t>
  </si>
  <si>
    <t>Protein-tyrosine sulfotransferase 2</t>
  </si>
  <si>
    <t>Isoform 1A of Catenin delta-1</t>
  </si>
  <si>
    <t>Melanoma-associated antigen C1</t>
  </si>
  <si>
    <t>Eukaryotic translation initiation factor 1b</t>
  </si>
  <si>
    <t>Sorting nexin-2</t>
  </si>
  <si>
    <t>General vesicular transport factor p115</t>
  </si>
  <si>
    <t>Coiled-coil domain-containing protein 22</t>
  </si>
  <si>
    <t>Polyglutamine-binding protein 1</t>
  </si>
  <si>
    <t>P antigen family member 4</t>
  </si>
  <si>
    <t>Mitochondrial import inner membrane translocase subunit Tim17-B</t>
  </si>
  <si>
    <t>H/ACA ribonucleoprotein complex subunit 4</t>
  </si>
  <si>
    <t>Eukaryotic translation initiation factor 5B</t>
  </si>
  <si>
    <t>Endothelial differentiation-related factor 1</t>
  </si>
  <si>
    <t>DNA/RNA-binding protein KIN17</t>
  </si>
  <si>
    <t>DnaJ homolog subfamily A member 2</t>
  </si>
  <si>
    <t>Bromodomain-containing protein 4</t>
  </si>
  <si>
    <t>Isoform C of Protein CutA</t>
  </si>
  <si>
    <t>Sphingomyelin phosphodiesterase 2</t>
  </si>
  <si>
    <t>Isoform 2 of F-box-like/WD repeat-containing protein TBL1X</t>
  </si>
  <si>
    <t>Cathepsin L2</t>
  </si>
  <si>
    <t>Prefoldin subunit 1</t>
  </si>
  <si>
    <t>Protein phosphatase 1 regulatory subunit 11</t>
  </si>
  <si>
    <t>Ribonuclease H1</t>
  </si>
  <si>
    <t>Nibrin</t>
  </si>
  <si>
    <t>mRNA-capping enzyme</t>
  </si>
  <si>
    <t>ATP-binding cassette sub-family B member 7, mitochondrial</t>
  </si>
  <si>
    <t>SLIT-ROBO Rho GTPase-activating protein 2</t>
  </si>
  <si>
    <t>Immunoglobulin superfamily member 3</t>
  </si>
  <si>
    <t>Isoform 4 of Putative tyrosine-protein phosphatase auxilin</t>
  </si>
  <si>
    <t>Glycosaminoglycan xylosylkinase</t>
  </si>
  <si>
    <t>WD repeat-containing protein 1</t>
  </si>
  <si>
    <t>NEDD4-binding protein 1</t>
  </si>
  <si>
    <t>Rho-associated protein kinase 2</t>
  </si>
  <si>
    <t>Copine-3</t>
  </si>
  <si>
    <t>Isoform 3 of Autophagy-related protein 13</t>
  </si>
  <si>
    <t>Isoform 2 of Liprin-alpha-3</t>
  </si>
  <si>
    <t>Huntingtin-interacting protein 1-related protein</t>
  </si>
  <si>
    <t>E3 ubiquitin-protein ligase BRE1B</t>
  </si>
  <si>
    <t>Zinc finger CCCH domain-containing protein 11A</t>
  </si>
  <si>
    <t>Cullin-associated NEDD8-dissociated protein 2</t>
  </si>
  <si>
    <t>Isoform 2 of TSC22 domain family protein 2</t>
  </si>
  <si>
    <t>DnaJ homolog subfamily C member 13</t>
  </si>
  <si>
    <t>Isoform 2 of Serine/threonine-protein phosphatase 6 regulatory subunit 2</t>
  </si>
  <si>
    <t>CCR4-NOT transcription complex subunit 3</t>
  </si>
  <si>
    <t>Isoform 2 of Ankyrin repeat domain-containing protein 17</t>
  </si>
  <si>
    <t>Xylulose kinase</t>
  </si>
  <si>
    <t>Ubiquinone biosynthesis protein COQ9, mitochondrial</t>
  </si>
  <si>
    <t>Gamma-glutamylcyclotransferase</t>
  </si>
  <si>
    <t>NADH dehydrogenase [ubiquinone] iron-sulfur protein 2, mitochondrial</t>
  </si>
  <si>
    <t>Zinc finger protein ZPR1</t>
  </si>
  <si>
    <t>Protein NipSnap homolog 2</t>
  </si>
  <si>
    <t>Isoform 2 of Hyaluronan mediated motility receptor</t>
  </si>
  <si>
    <t>Programmed cell death protein 6</t>
  </si>
  <si>
    <t>Tubulin-specific chaperone A</t>
  </si>
  <si>
    <t>V-type proton ATPase subunit G 1</t>
  </si>
  <si>
    <t>Vacuolar protein sorting-associated protein 4B</t>
  </si>
  <si>
    <t>Zinc finger protein 217</t>
  </si>
  <si>
    <t>Isoform 2 of Protein tyrosine phosphatase type IVA 3</t>
  </si>
  <si>
    <t>SH3 domain-binding glutamic acid-rich-like protein</t>
  </si>
  <si>
    <t>Isoform 8 of Filamin-B</t>
  </si>
  <si>
    <t>Nuclear receptor corepressor 1</t>
  </si>
  <si>
    <t>Vesicle-associated membrane protein 4</t>
  </si>
  <si>
    <t>NADH dehydrogenase [ubiquinone] iron-sulfur protein 6, mitochondrial</t>
  </si>
  <si>
    <t>Isoform 2 of Peroxisomal membrane protein PEX14</t>
  </si>
  <si>
    <t>Tubby-related protein 3</t>
  </si>
  <si>
    <t>Large neutral amino acids transporter small subunit 3</t>
  </si>
  <si>
    <t>Sperm-associated antigen 7</t>
  </si>
  <si>
    <t>Vesicle-trafficking protein SEC22b</t>
  </si>
  <si>
    <t>Pre-mRNA-processing factor 40 homolog A</t>
  </si>
  <si>
    <t>Isoform 2 of Cell division control protein 45 homolog</t>
  </si>
  <si>
    <t>PERQ amino acid-rich with GYF domain-containing protein 1</t>
  </si>
  <si>
    <t>Leucine-rich repeat and calponin homology domain-containing protein 4</t>
  </si>
  <si>
    <t>Vacuolar protein sorting-associated protein 26A</t>
  </si>
  <si>
    <t>NADH dehydrogenase [ubiquinone] 1 beta subcomplex subunit 1</t>
  </si>
  <si>
    <t>Mitochondrial-processing peptidase subunit beta</t>
  </si>
  <si>
    <t>Histone deacetylase complex subunit SAP30</t>
  </si>
  <si>
    <t>Katanin p60 ATPase-containing subunit A1</t>
  </si>
  <si>
    <t>Retinol dehydrogenase 16</t>
  </si>
  <si>
    <t>P antigen family member 1</t>
  </si>
  <si>
    <t>PC4 and SFRS1-interacting protein</t>
  </si>
  <si>
    <t>Erlin-1</t>
  </si>
  <si>
    <t>NADH dehydrogenase [ubiquinone] iron-sulfur protein 3, mitochondrial</t>
  </si>
  <si>
    <t>Ceroid-lipofuscinosis neuronal protein 5</t>
  </si>
  <si>
    <t>Heat shock factor-binding protein 1</t>
  </si>
  <si>
    <t>Isoform 2 of Enoyl-CoA delta isomerase 2, mitochondrial</t>
  </si>
  <si>
    <t>Transcriptional adapter 3</t>
  </si>
  <si>
    <t>Isoform 3 of Polycomb protein EED</t>
  </si>
  <si>
    <t>Barrier-to-autointegration factor</t>
  </si>
  <si>
    <t>Splicing factor 3B subunit 1</t>
  </si>
  <si>
    <t>Cold shock domain-containing protein E1</t>
  </si>
  <si>
    <t>WW domain-binding protein 4</t>
  </si>
  <si>
    <t>Peptide chain release factor 1, mitochondrial</t>
  </si>
  <si>
    <t>2-amino-3-ketobutyrate coenzyme A ligase, mitochondrial</t>
  </si>
  <si>
    <t>Nucleoplasmin-3</t>
  </si>
  <si>
    <t>Isoform 2 of Acyl-protein thioesterase 1</t>
  </si>
  <si>
    <t>GTPase Era, mitochondrial</t>
  </si>
  <si>
    <t>Protein CREG1</t>
  </si>
  <si>
    <t>Isoform 2 of Serpin B7</t>
  </si>
  <si>
    <t>U5 small nuclear ribonucleoprotein 200 kDa helicase</t>
  </si>
  <si>
    <t>Mitochondrial tRNA-specific 2-thiouridylase 1</t>
  </si>
  <si>
    <t>TIP41-like protein</t>
  </si>
  <si>
    <t>Protein phosphatase 1B</t>
  </si>
  <si>
    <t>Small subunit processome component 20 homolog</t>
  </si>
  <si>
    <t>Protein XRP2</t>
  </si>
  <si>
    <t>WD repeat and HMG-box DNA-binding protein 1</t>
  </si>
  <si>
    <t>Calcium-binding mitochondrial carrier protein Aralar1</t>
  </si>
  <si>
    <t>Paralemmin-1</t>
  </si>
  <si>
    <t>GRB2-related adapter protein 2</t>
  </si>
  <si>
    <t>Ribonuclease H2 subunit A</t>
  </si>
  <si>
    <t>Cell division cycle protein 123 homolog</t>
  </si>
  <si>
    <t>Isoform 2 of Ribonuclease P protein subunit p40</t>
  </si>
  <si>
    <t>Eukaryotic translation initiation factor 3 subunit G</t>
  </si>
  <si>
    <t>Eukaryotic translation initiation factor 3 subunit J</t>
  </si>
  <si>
    <t>Carbonyl reductase [NADPH] 3</t>
  </si>
  <si>
    <t>CAAX prenyl protease 1 homolog</t>
  </si>
  <si>
    <t>Isocitrate dehydrogenase [NADP] cytoplasmic</t>
  </si>
  <si>
    <t>Isoform 3 of Attractin</t>
  </si>
  <si>
    <t>Signal transducing adapter molecule 2</t>
  </si>
  <si>
    <t>Tumor suppressor candidate 2</t>
  </si>
  <si>
    <t>Cyclin-K</t>
  </si>
  <si>
    <t>Short-chain dehydrogenase/reductase 3</t>
  </si>
  <si>
    <t>PRA1 family protein 3</t>
  </si>
  <si>
    <t>Isoform 15 of Dysferlin</t>
  </si>
  <si>
    <t>Isoform PIAS2-alpha of E3 SUMO-protein ligase PIAS2</t>
  </si>
  <si>
    <t>Pre-mRNA-splicing factor SPF27</t>
  </si>
  <si>
    <t>Isoform 3 of Dynactin subunit 3</t>
  </si>
  <si>
    <t>DnaJ homolog subfamily C member 8</t>
  </si>
  <si>
    <t>Survival of motor neuron-related-splicing factor 30</t>
  </si>
  <si>
    <t>Isoform 4 of Cell cycle checkpoint protein RAD17</t>
  </si>
  <si>
    <t>ATP synthase subunit d, mitochondrial</t>
  </si>
  <si>
    <t>Flotillin-1</t>
  </si>
  <si>
    <t>ATP synthase subunit g, mitochondrial</t>
  </si>
  <si>
    <t>Carboxypeptidase D</t>
  </si>
  <si>
    <t>Glutaredoxin-3</t>
  </si>
  <si>
    <t>ATP-dependent Clp protease ATP-binding subunit clpX-like, mitochondrial</t>
  </si>
  <si>
    <t>Isoform 2 of Nebulette</t>
  </si>
  <si>
    <t>Gamma-synuclein</t>
  </si>
  <si>
    <t>Probable cytosolic iron-sulfur protein assembly protein CIAO1</t>
  </si>
  <si>
    <t>Isoform Beta of DNA fragmentation factor subunit beta</t>
  </si>
  <si>
    <t>AN1-type zinc finger protein 5</t>
  </si>
  <si>
    <t>Signal recognition particle subunit SRP72</t>
  </si>
  <si>
    <t>Isoform 2 of Protein JTB</t>
  </si>
  <si>
    <t>ATP-dependent DNA helicase Q4</t>
  </si>
  <si>
    <t>ATP-dependent DNA helicase Q5</t>
  </si>
  <si>
    <t>Unconventional prefoldin RPB5 interactor 1</t>
  </si>
  <si>
    <t>Galactosylgalactosylxylosylprotein 3-beta-glucuronosyltransferase 3</t>
  </si>
  <si>
    <t>Metastasis-associated protein MTA2</t>
  </si>
  <si>
    <t>Ubiquitin carboxyl-terminal hydrolase 1</t>
  </si>
  <si>
    <t>Retinal dehydrogenase 2</t>
  </si>
  <si>
    <t>Serine/threonine-protein kinase 10</t>
  </si>
  <si>
    <t>E3 ubiquitin-protein ligase listerin</t>
  </si>
  <si>
    <t>Mitochondrial import receptor subunit TOM70</t>
  </si>
  <si>
    <t>Importin-13</t>
  </si>
  <si>
    <t>Phospholipase DDHD2</t>
  </si>
  <si>
    <t>Unconventional myosin-Id</t>
  </si>
  <si>
    <t>Isoform 5 of Protein-methionine sulfoxide oxidase MICAL2</t>
  </si>
  <si>
    <t>Isoform 2 of Uncharacterized protein KIAA0754</t>
  </si>
  <si>
    <t>Protein transport protein Sec24D</t>
  </si>
  <si>
    <t>Isoform 2 of STAGA complex 65 subunit gamma</t>
  </si>
  <si>
    <t>E3 UFM1-protein ligase 1</t>
  </si>
  <si>
    <t>PHD finger protein 14</t>
  </si>
  <si>
    <t>SAM and SH3 domain-containing protein 1</t>
  </si>
  <si>
    <t>Transmembrane protein 63A</t>
  </si>
  <si>
    <t>UBX domain-containing protein 7</t>
  </si>
  <si>
    <t>Kelch-like protein 18</t>
  </si>
  <si>
    <t>Leucine-rich repeats and immunoglobulin-like domains protein 2</t>
  </si>
  <si>
    <t>Proline synthase co-transcribed bacterial homolog protein</t>
  </si>
  <si>
    <t>Erlin-2</t>
  </si>
  <si>
    <t>Isoform 2 of Pre-mRNA-processing factor 6</t>
  </si>
  <si>
    <t>Pre-mRNA cleavage complex 2 protein Pcf11</t>
  </si>
  <si>
    <t>Nuclear factor of activated T-cells 5</t>
  </si>
  <si>
    <t>Endonuclease domain-containing 1 protein</t>
  </si>
  <si>
    <t>Isoform 3 of Glutaminase kidney isoform, mitochondrial</t>
  </si>
  <si>
    <t>HAUS augmin-like complex subunit 5</t>
  </si>
  <si>
    <t>Isoform 2 of RING finger protein 37</t>
  </si>
  <si>
    <t>Isoform 7 of Ubiquitin carboxyl-terminal hydrolase 19</t>
  </si>
  <si>
    <t>AP-2 complex subunit alpha-2</t>
  </si>
  <si>
    <t>Protein HEXIM1</t>
  </si>
  <si>
    <t>Ribonuclease P protein subunit p14</t>
  </si>
  <si>
    <t>G2/mitotic-specific cyclin-B2</t>
  </si>
  <si>
    <t>Arf-GAP domain and FG repeat-containing protein 2</t>
  </si>
  <si>
    <t>Isoform 3 of Splicing factor, arginine/serine-rich 15</t>
  </si>
  <si>
    <t>NADH dehydrogenase [ubiquinone] 1 beta subcomplex subunit 6</t>
  </si>
  <si>
    <t>Mitofusin-2</t>
  </si>
  <si>
    <t>Isoform 2 of Ubiquitin conjugation factor E4 B</t>
  </si>
  <si>
    <t>Zinc finger protein-like 1</t>
  </si>
  <si>
    <t>Elongator complex protein 1</t>
  </si>
  <si>
    <t>NADH dehydrogenase [ubiquinone] 1 alpha subcomplex subunit 3</t>
  </si>
  <si>
    <t>NADH dehydrogenase [ubiquinone] 1 beta subcomplex subunit 4</t>
  </si>
  <si>
    <t>NADH dehydrogenase [ubiquinone] 1 alpha subcomplex subunit 7</t>
  </si>
  <si>
    <t>Isoform 2 of Reticulon-3</t>
  </si>
  <si>
    <t>LETM1 and EF-hand domain-containing protein 1, mitochondrial</t>
  </si>
  <si>
    <t>Isoform 2 of Zinc finger Ran-binding domain-containing protein 2</t>
  </si>
  <si>
    <t>Sorting nexin-4</t>
  </si>
  <si>
    <t>ZW10 interactor</t>
  </si>
  <si>
    <t>Homeobox protein VENTX</t>
  </si>
  <si>
    <t>Luc7-like protein 3</t>
  </si>
  <si>
    <t>Chromosome-associated kinesin KIF4A</t>
  </si>
  <si>
    <t>Isoform 2 of Histone acetyltransferase KAT7</t>
  </si>
  <si>
    <t>Cyclin-D1-binding protein 1</t>
  </si>
  <si>
    <t>Vesicle-associated membrane protein-associated protein B/C</t>
  </si>
  <si>
    <t>SNARE-associated protein Snapin</t>
  </si>
  <si>
    <t>Isoform 2 of Myelin protein zero-like protein 1</t>
  </si>
  <si>
    <t>Isoform 4 of NADH dehydrogenase [ubiquinone] 1 subunit C2</t>
  </si>
  <si>
    <t>Peptidyl-prolyl cis-trans isomerase FKBP9</t>
  </si>
  <si>
    <t>6-phosphogluconolactonase</t>
  </si>
  <si>
    <t>Structural maintenance of chromosomes protein 2</t>
  </si>
  <si>
    <t>Ubiquitin-like modifier-activating enzyme ATG7</t>
  </si>
  <si>
    <t>Phenylalanine--tRNA ligase, mitochondrial</t>
  </si>
  <si>
    <t>Zinc finger and BTB domain-containing protein 7A</t>
  </si>
  <si>
    <t>Acyl-protein thioesterase 2</t>
  </si>
  <si>
    <t>Importin-7</t>
  </si>
  <si>
    <t>E3 ubiquitin-protein ligase ARIH2</t>
  </si>
  <si>
    <t>Pre-mRNA-splicing factor SLU7</t>
  </si>
  <si>
    <t>Phosphoacetylglucosamine mutase</t>
  </si>
  <si>
    <t>Adenylyltransferase and sulfurtransferase MOCS3</t>
  </si>
  <si>
    <t>CD2 antigen cytoplasmic tail-binding protein 2</t>
  </si>
  <si>
    <t>Mediator of RNA polymerase II transcription subunit 26</t>
  </si>
  <si>
    <t>Isoform 2 of Zinc finger FYVE domain-containing protein 9</t>
  </si>
  <si>
    <t>Isoform 2 of BAG family molecular chaperone regulator 4</t>
  </si>
  <si>
    <t>Activator of 90 kDa heat shock protein ATPase homolog 1</t>
  </si>
  <si>
    <t>Isoform 2 of Poly(A)-specific ribonuclease PARN</t>
  </si>
  <si>
    <t>dTDP-D-glucose 4,6-dehydratase</t>
  </si>
  <si>
    <t>Isoform 2 of Proteasome assembly chaperone 1</t>
  </si>
  <si>
    <t>Isoform 2 of Formin-like protein 1</t>
  </si>
  <si>
    <t>Sphingosine-1-phosphate lyase 1</t>
  </si>
  <si>
    <t>Protein transport protein Sec24A</t>
  </si>
  <si>
    <t>Isoform 2 of Protein transport protein Sec24B</t>
  </si>
  <si>
    <t>NAD kinase</t>
  </si>
  <si>
    <t>Tyrosyl-DNA phosphodiesterase 2</t>
  </si>
  <si>
    <t>Protein ETHE1, mitochondrial</t>
  </si>
  <si>
    <t>Long-chain-fatty-acid--CoA ligase 3</t>
  </si>
  <si>
    <t>DNA-directed RNA polymerase I subunit RPA1</t>
  </si>
  <si>
    <t>Isoform 2 of Pericentrin</t>
  </si>
  <si>
    <t>YEATS domain-containing protein 4</t>
  </si>
  <si>
    <t>tRNA-dihydrouridine(20a/20b) synthase [NAD(P)+]-like</t>
  </si>
  <si>
    <t>Isoform 3 of CCR4-NOT transcription complex subunit 4</t>
  </si>
  <si>
    <t>STAM-binding protein</t>
  </si>
  <si>
    <t>Isoform 3 of Cleavage and polyadenylation specificity factor subunit 4</t>
  </si>
  <si>
    <t>Isoform 2 of N-acetylserotonin O-methyltransferase-like protein</t>
  </si>
  <si>
    <t>FGFR1 oncogene partner</t>
  </si>
  <si>
    <t>Protein phosphatase 1 regulatory subunit 3D</t>
  </si>
  <si>
    <t>Ras-related protein Rab-3D</t>
  </si>
  <si>
    <t>Synaptosomal-associated protein 29</t>
  </si>
  <si>
    <t>Serine/threonine-protein kinase OSR1</t>
  </si>
  <si>
    <t>Geranylgeranyl pyrophosphate synthase</t>
  </si>
  <si>
    <t>Isoform 1 of Polypyrimidine tract-binding protein 3</t>
  </si>
  <si>
    <t>N-alpha-acetyltransferase 38, NatC auxiliary subunit</t>
  </si>
  <si>
    <t>Isoform B of AP-2 complex subunit alpha-1</t>
  </si>
  <si>
    <t>Tetratricopeptide repeat protein 4</t>
  </si>
  <si>
    <t>Transmembrane protein 50A</t>
  </si>
  <si>
    <t>Serum deprivation-response protein</t>
  </si>
  <si>
    <t>BAG family molecular chaperone regulator 2</t>
  </si>
  <si>
    <t>BAG family molecular chaperone regulator 3</t>
  </si>
  <si>
    <t>Quinone oxidoreductase-like protein 1</t>
  </si>
  <si>
    <t>Isoform 3 of Apoptosis-inducing factor 1, mitochondrial</t>
  </si>
  <si>
    <t>Echinoderm microtubule-associated protein-like 2</t>
  </si>
  <si>
    <t>Serine/threonine-protein kinase LATS1</t>
  </si>
  <si>
    <t>Uridine diphosphate glucose pyrophosphatase</t>
  </si>
  <si>
    <t>Tetraspanin-13</t>
  </si>
  <si>
    <t>N(G),N(G)-dimethylarginine dimethylaminohydrolase 2</t>
  </si>
  <si>
    <t>Uncharacterized protein C6orf47</t>
  </si>
  <si>
    <t>Thioredoxin domain-containing protein 12</t>
  </si>
  <si>
    <t>Protein SGT1</t>
  </si>
  <si>
    <t>Pre-mRNA-splicing factor SYF2</t>
  </si>
  <si>
    <t>Isoform 2 of Methyl-CpG-binding domain protein 3</t>
  </si>
  <si>
    <t>DNA topoisomerase 3-beta-1</t>
  </si>
  <si>
    <t>Diphosphoinositol polyphosphate phosphohydrolase 1</t>
  </si>
  <si>
    <t>Securin</t>
  </si>
  <si>
    <t>B-cell lymphoma/leukemia 10</t>
  </si>
  <si>
    <t>NADH dehydrogenase [ubiquinone] 1 beta subcomplex subunit 10</t>
  </si>
  <si>
    <t>Molybdopterin synthase catalytic subunit</t>
  </si>
  <si>
    <t>Mitochondrial import receptor subunit TOM40 homolog</t>
  </si>
  <si>
    <t>Isoform 2 of Peroxisomal membrane protein 11B</t>
  </si>
  <si>
    <t>Serine/threonine-protein kinase PAK 4</t>
  </si>
  <si>
    <t>Serine/threonine-protein kinase Chk2</t>
  </si>
  <si>
    <t>Actin-like protein 6A</t>
  </si>
  <si>
    <t>Molybdopterin synthase sulfur carrier subunit</t>
  </si>
  <si>
    <t>Isoform 2 of Cytochrome b5</t>
  </si>
  <si>
    <t>L-lactate dehydrogenase A chain</t>
  </si>
  <si>
    <t>Retinal dehydrogenase 1</t>
  </si>
  <si>
    <t>Glutamate dehydrogenase 1, mitochondrial</t>
  </si>
  <si>
    <t>Dihydrofolate reductase</t>
  </si>
  <si>
    <t>Isoform 2 of NADH-cytochrome b5 reductase 3</t>
  </si>
  <si>
    <t>Isoform 4 of 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</si>
  <si>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</si>
  <si>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</si>
  <si>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</si>
  <si>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</si>
  <si>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</si>
  <si>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</si>
  <si>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Phosphoglycerate kinase 1</t>
  </si>
  <si>
    <t>Cystatin-C</t>
  </si>
  <si>
    <t>GTPase NRas</t>
  </si>
  <si>
    <t>GTPase HRas</t>
  </si>
  <si>
    <t>Isoform 2B of GTPase KRas</t>
  </si>
  <si>
    <t>Transforming growth factor beta-1</t>
  </si>
  <si>
    <t>Hemoglobin subunit zeta</t>
  </si>
  <si>
    <t>Hemoglobin subunit delta</t>
  </si>
  <si>
    <t>Hemoglobin subunit epsilon</t>
  </si>
  <si>
    <t>Prelamin-A/C</t>
  </si>
  <si>
    <t>Isoform C of Prelamin-A/C</t>
  </si>
  <si>
    <t>Spectrin alpha chain, erythrocytic 1</t>
  </si>
  <si>
    <t>Apolipoprotein E</t>
  </si>
  <si>
    <t>Band 3 anion transport protein</t>
  </si>
  <si>
    <t>Transferrin receptor protein 1</t>
  </si>
  <si>
    <t>Ferritin light chain</t>
  </si>
  <si>
    <t>Ferritin heavy chain</t>
  </si>
  <si>
    <t>ATP synthase protein 8</t>
  </si>
  <si>
    <t>3-hydroxy-3-methylglutaryl-coenzyme A reductase</t>
  </si>
  <si>
    <t>Catalase</t>
  </si>
  <si>
    <t>Tissue alpha-L-fucosidase</t>
  </si>
  <si>
    <t>Fructose-bisphosphate aldolase A</t>
  </si>
  <si>
    <t>Cystatin-B</t>
  </si>
  <si>
    <t>Annexin A1</t>
  </si>
  <si>
    <t>Apolipoprotein B-100</t>
  </si>
  <si>
    <t>Isoform GR-A beta of Glucocorticoid receptor</t>
  </si>
  <si>
    <t>Ornithine aminotransferase, mitochondrial</t>
  </si>
  <si>
    <t>Thymidine kinase, cytosolic</t>
  </si>
  <si>
    <t>Tubulin beta-4A chain</t>
  </si>
  <si>
    <t>Glyceraldehyde-3-phosphate dehydrogenase</t>
  </si>
  <si>
    <t>Isoform 2 of Glyceraldehyde-3-phosphate dehydrogenase</t>
  </si>
  <si>
    <t>Isoform 2 of Argininosuccinate lyase</t>
  </si>
  <si>
    <t>Calpain small subunit 1</t>
  </si>
  <si>
    <t>Heat shock protein beta-1</t>
  </si>
  <si>
    <t>Thymidylate synthase</t>
  </si>
  <si>
    <t>Dolichyl-diphosphooligosaccharide--protein glycosyltransferase subunit 1</t>
  </si>
  <si>
    <t>Isoform 2 of Dolichyl-diphosphooligosaccharide--protein glycosyltransferase subunit 2</t>
  </si>
  <si>
    <t>Guanine nucleotide-binding protein G(i) subunit alpha-2</t>
  </si>
  <si>
    <t>Isoform B1 of Anion exchange protein 2</t>
  </si>
  <si>
    <t>Isoform Glycophorin-D of Glycophorin-C</t>
  </si>
  <si>
    <t>Isoform 4 of Sodium/potassium-transporting ATPase subunit alpha-1</t>
  </si>
  <si>
    <t>Aldehyde dehydrogenase, mitochondrial</t>
  </si>
  <si>
    <t>Non-histone chromosomal protein HMG-14</t>
  </si>
  <si>
    <t>ADP/ATP translocase 2</t>
  </si>
  <si>
    <t>Ubiquitin-like protein ISG15</t>
  </si>
  <si>
    <t>Isoform 3 of Propionyl-CoA carboxylase alpha chain, mitochondrial</t>
  </si>
  <si>
    <t>Eukaryotic translation initiation factor 2 subunit 1</t>
  </si>
  <si>
    <t>Non-histone chromosomal protein HMG-17</t>
  </si>
  <si>
    <t>Intercellular adhesion molecule 1</t>
  </si>
  <si>
    <t>60S acidic ribosomal protein P1</t>
  </si>
  <si>
    <t>60S acidic ribosomal protein P2</t>
  </si>
  <si>
    <t>60S acidic ribosomal protein P0</t>
  </si>
  <si>
    <t>Transcription factor AP-1</t>
  </si>
  <si>
    <t>DNA-directed RNA polymerase III subunit RPC4</t>
  </si>
  <si>
    <t>Lupus La protein</t>
  </si>
  <si>
    <t>Integrin beta-1</t>
  </si>
  <si>
    <t>Isoform Beta-II of Protein kinase C beta type</t>
  </si>
  <si>
    <t>Keratin, type I cytoskeletal 18</t>
  </si>
  <si>
    <t>Calbindin</t>
  </si>
  <si>
    <t>Uroporphyrinogen decarboxylase</t>
  </si>
  <si>
    <t>Alpha-galactosidase A</t>
  </si>
  <si>
    <t>Retinoblastoma-associated protein</t>
  </si>
  <si>
    <t>Cyclin-dependent kinase 1</t>
  </si>
  <si>
    <t>ATP synthase subunit beta, mitochondrial</t>
  </si>
  <si>
    <t>Alpha-enolase</t>
  </si>
  <si>
    <t>Isoform MBP-1 of Alpha-enolase</t>
  </si>
  <si>
    <t>Glucose-6-phosphate isomerase</t>
  </si>
  <si>
    <t>Nucleophosmin</t>
  </si>
  <si>
    <t>Isoform 2 of Tropomyosin alpha-3 chain</t>
  </si>
  <si>
    <t>Isoform 3 of Tropomyosin alpha-3 chain</t>
  </si>
  <si>
    <t>Isoform 3 of Integrin alpha-V</t>
  </si>
  <si>
    <t>Epoxide hydrolase 1</t>
  </si>
  <si>
    <t>Acyl-CoA-binding protein</t>
  </si>
  <si>
    <t>L-lactate dehydrogenase B chain</t>
  </si>
  <si>
    <t>Vitamin K-dependent protein S</t>
  </si>
  <si>
    <t>Protein disulfide-isomerase</t>
  </si>
  <si>
    <t>Cathepsin D</t>
  </si>
  <si>
    <t>Annexin A2</t>
  </si>
  <si>
    <t>Calpain-1 catalytic subunit</t>
  </si>
  <si>
    <t>Beta-hexosaminidase subunit beta</t>
  </si>
  <si>
    <t>Cathepsin L1</t>
  </si>
  <si>
    <t>Profilin-1</t>
  </si>
  <si>
    <t>Bisphosphoglycerate mutase</t>
  </si>
  <si>
    <t>Adenine phosphoribosyltransferase</t>
  </si>
  <si>
    <t>Bifunctional glutamate/proline--tRNA ligase</t>
  </si>
  <si>
    <t>Cathepsin B</t>
  </si>
  <si>
    <t>Heat shock protein HSP 90-alpha</t>
  </si>
  <si>
    <t>Galactose-1-phosphate uridylyltransferase</t>
  </si>
  <si>
    <t>Cytochrome b-c1 complex subunit 6, mitochondrial</t>
  </si>
  <si>
    <t>Tyrosine-protein kinase Lyn</t>
  </si>
  <si>
    <t>Isoform 2 of Tyrosine-protein kinase Lyn</t>
  </si>
  <si>
    <t>Isoform Cytoplasmic of Fumarate hydratase, mitochondrial</t>
  </si>
  <si>
    <t>Transcription factor Sp1</t>
  </si>
  <si>
    <t>Heat shock 70 kDa protein 1A/1B</t>
  </si>
  <si>
    <t>Collagen alpha-2(I) chain</t>
  </si>
  <si>
    <t>Isoform 2 of Annexin A6</t>
  </si>
  <si>
    <t>6-phosphofructokinase, muscle type</t>
  </si>
  <si>
    <t>Heat shock protein HSP 90-beta</t>
  </si>
  <si>
    <t>Signal recognition particle receptor subunit alpha</t>
  </si>
  <si>
    <t>Isoform 2 of Asparagine synthetase [glutamine-hydrolyzing]</t>
  </si>
  <si>
    <t>Isoform 2 of Porphobilinogen deaminase</t>
  </si>
  <si>
    <t>Isoform 3 of Pyruvate dehydrogenase E1 component subunit alpha, somatic form, mitochondrial</t>
  </si>
  <si>
    <t>Cytochrome c1, heme protein, mitochondrial</t>
  </si>
  <si>
    <t>U2 small nuclear ribonucleoprotein B</t>
  </si>
  <si>
    <t>Myosin light chain 3</t>
  </si>
  <si>
    <t>Complement factor H</t>
  </si>
  <si>
    <t>U1 small nuclear ribonucleoprotein 70 kDa</t>
  </si>
  <si>
    <t>Integrin alpha-5</t>
  </si>
  <si>
    <t>Isoform 3 of Nuclear factor 1 C-type</t>
  </si>
  <si>
    <t>Vimentin</t>
  </si>
  <si>
    <t>Guanine nucleotide-binding protein G(k) subunit alpha</t>
  </si>
  <si>
    <t>Annexin A5</t>
  </si>
  <si>
    <t>U1 small nuclear ribonucleoprotein A</t>
  </si>
  <si>
    <t>Isoform 3 of Fibroblast growth factor 2</t>
  </si>
  <si>
    <t>Gamma-enolase</t>
  </si>
  <si>
    <t>Hemoglobin subunit theta-1</t>
  </si>
  <si>
    <t>3-ketoacyl-CoA thiolase, peroxisomal</t>
  </si>
  <si>
    <t>Signal recognition particle 19 kDa protein</t>
  </si>
  <si>
    <t>Glutathione S-transferase P</t>
  </si>
  <si>
    <t>U1 small nuclear ribonucleoprotein C</t>
  </si>
  <si>
    <t>Galectin-1</t>
  </si>
  <si>
    <t>Dihydropteridine reductase</t>
  </si>
  <si>
    <t>High mobility group protein B1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</si>
  <si>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</si>
  <si>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</si>
  <si>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</si>
  <si>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</si>
  <si>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Dihydrolipoyl dehydrogenase, mitochondrial</t>
  </si>
  <si>
    <t>U2 small nuclear ribonucleoprotein A</t>
  </si>
  <si>
    <t>Pro-cathepsin H</t>
  </si>
  <si>
    <t>Cytochrome c oxidase subunit 6C</t>
  </si>
  <si>
    <t>Poly [ADP-ribose] polymerase 1</t>
  </si>
  <si>
    <t>Leukotriene A-4 hydrolase</t>
  </si>
  <si>
    <t>Fructose-bisphosphate aldolase C</t>
  </si>
  <si>
    <t>F-box/SPRY domain-containing protein 1</t>
  </si>
  <si>
    <t>CDGSH iron-sulfur domain-containing protein 3, mitochondrial</t>
  </si>
  <si>
    <t>Putative cytochrome b-c1 complex subunit Rieske-like protein 1</t>
  </si>
  <si>
    <t>Ataxin-1-like</t>
  </si>
  <si>
    <t>Chromosome transmission fidelity protein 8 homolog isoform 2</t>
  </si>
  <si>
    <t>40S ribosomal protein S17-like</t>
  </si>
  <si>
    <t>Small integral membrane protein 13</t>
  </si>
  <si>
    <t>Adrenodoxin, mitochondrial</t>
  </si>
  <si>
    <t>Ras-related protein Rap-2a</t>
  </si>
  <si>
    <t>Serglycin</t>
  </si>
  <si>
    <t>60 kDa SS-A/Ro ribonucleoprotein</t>
  </si>
  <si>
    <t>Myb-related protein B</t>
  </si>
  <si>
    <t>Ras-related protein R-Ras</t>
  </si>
  <si>
    <t>Serine/threonine-protein kinase A-Raf</t>
  </si>
  <si>
    <t>Histone H1.4</t>
  </si>
  <si>
    <t>Isoform 2 of Receptor-type tyrosine-protein phosphatase F</t>
  </si>
  <si>
    <t>Nuclear receptor subfamily 2 group F member 6</t>
  </si>
  <si>
    <t>Thioredoxin</t>
  </si>
  <si>
    <t>Cytochrome c oxidase subunit 5B, mitochondrial</t>
  </si>
  <si>
    <t>Lysosomal protective protein</t>
  </si>
  <si>
    <t>cAMP-dependent protein kinase type I-alpha regulatory subunit</t>
  </si>
  <si>
    <t>Uroporphyrinogen-III synthase</t>
  </si>
  <si>
    <t>S-formylglutathione hydrolase</t>
  </si>
  <si>
    <t>60 kDa heat shock protein, mitochondrial</t>
  </si>
  <si>
    <t>78 kDa glucose-regulated protein</t>
  </si>
  <si>
    <t>Heat shock cognate 71 kDa protein</t>
  </si>
  <si>
    <t>Solute carrier family 2, facilitated glucose transporter member 1</t>
  </si>
  <si>
    <t>Solute carrier family 2, facilitated glucose transporter member 3</t>
  </si>
  <si>
    <t>Protein 4.1</t>
  </si>
  <si>
    <t>Isoform 4 of Protein 4.1</t>
  </si>
  <si>
    <t>Uridine 5-monophosphate synthase</t>
  </si>
  <si>
    <t>Isoform 3 of Pyruvate dehydrogenase E1 component subunit beta, mitochondrial</t>
  </si>
  <si>
    <t>Lipoamide acyltransferase component of branched-chain alpha-keto acid dehydrogenase complex, mitochondrial</t>
  </si>
  <si>
    <t>Ras-related protein Ral-A</t>
  </si>
  <si>
    <t>Ras-related protein Ral-B</t>
  </si>
  <si>
    <t>Isoform 2 of Breakpoint cluster region protein</t>
  </si>
  <si>
    <t>Isoform 3 of Spectrin beta chain, erythrocytic</t>
  </si>
  <si>
    <t>Lysosome-associated membrane glycoprotein 1</t>
  </si>
  <si>
    <t>DNA topoisomerase 1</t>
  </si>
  <si>
    <t>DNA topoisomerase 2-alpha</t>
  </si>
  <si>
    <t>Glucose-6-phosphate 1-dehydrogenase</t>
  </si>
  <si>
    <t>Ubiquitin-like protein 4A</t>
  </si>
  <si>
    <t>Isoform 2 of Steroid hormone receptor ERR1</t>
  </si>
  <si>
    <t>Pyruvate carboxylase, mitochondrial</t>
  </si>
  <si>
    <t>Cation-independent mannose-6-phosphate receptor</t>
  </si>
  <si>
    <t>Alcohol dehydrogenase class-3</t>
  </si>
  <si>
    <t>Cyclin-dependent kinase 4</t>
  </si>
  <si>
    <t>Ribose-phosphate pyrophosphokinase 2</t>
  </si>
  <si>
    <t>Polyadenylate-binding protein 1</t>
  </si>
  <si>
    <t>Proliferating cell nuclear antigen</t>
  </si>
  <si>
    <t>Histidine--tRNA ligase, cytoplasmic</t>
  </si>
  <si>
    <t>ADP/ATP translocase 1</t>
  </si>
  <si>
    <t>ADP/ATP translocase 3</t>
  </si>
  <si>
    <t>Nucleoprotein TPR</t>
  </si>
  <si>
    <t>Creatine kinase B-type</t>
  </si>
  <si>
    <t>Isoform 2 of Low affinity immunoglobulin gamma Fc region receptor II-a</t>
  </si>
  <si>
    <t>Annexin A3</t>
  </si>
  <si>
    <t>Creatine kinase U-type, mitochondrial</t>
  </si>
  <si>
    <t>Ski oncogene</t>
  </si>
  <si>
    <t>Isoform 2 of Alpha-actinin-1</t>
  </si>
  <si>
    <t>Myosin light chain 4</t>
  </si>
  <si>
    <t>Myosin-1</t>
  </si>
  <si>
    <t>Proto-oncogene tyrosine-protein kinase Src</t>
  </si>
  <si>
    <t>Isoform 3 of Xaa-Pro dipeptidase</t>
  </si>
  <si>
    <t>X-ray repair cross-complementing protein 6</t>
  </si>
  <si>
    <t>X-ray repair cross-complementing protein 5</t>
  </si>
  <si>
    <t>Nuclear receptor subfamily 2 group C member 1</t>
  </si>
  <si>
    <t>Cytochrome c oxidase subunit 4 isoform 1, mitochondrial</t>
  </si>
  <si>
    <t>5-aminolevulinate synthase, nonspecific, mitochondrial</t>
  </si>
  <si>
    <t>Platelet glycoprotein Ib beta chain</t>
  </si>
  <si>
    <t>Gamma-interferon-inducible lysosomal thiol reductase</t>
  </si>
  <si>
    <t>Isoform LAMP-2B of Lysosome-associated membrane glycoprotein 2</t>
  </si>
  <si>
    <t>Ribonuclease inhibitor</t>
  </si>
  <si>
    <t>Cytochrome b-245 light chain</t>
  </si>
  <si>
    <t>Elongation factor 2</t>
  </si>
  <si>
    <t>Protein disulfide-isomerase A4</t>
  </si>
  <si>
    <t>Isoform 2 of Prolyl 4-hydroxylase subunit alpha-1</t>
  </si>
  <si>
    <t>Translationally-controlled tumor protein</t>
  </si>
  <si>
    <t>Plastin-2</t>
  </si>
  <si>
    <t>Electron transfer flavoprotein subunit alpha, mitochondrial</t>
  </si>
  <si>
    <t>cAMP-dependent protein kinase type II-alpha regulatory subunit</t>
  </si>
  <si>
    <t>Isoform 2 of Beta-enolase</t>
  </si>
  <si>
    <t>General transcription factor IIF subunit 2</t>
  </si>
  <si>
    <t>Macrophage migration inhibitory factor</t>
  </si>
  <si>
    <t>Isoform 3 of CD99 antigen</t>
  </si>
  <si>
    <t>Isoform 2 of Interferon regulatory factor 2</t>
  </si>
  <si>
    <t>Hematopoietic lineage cell-specific protein</t>
  </si>
  <si>
    <t>Isoform 2 of Farnesyl pyrophosphate synthase</t>
  </si>
  <si>
    <t>Sodium/potassium-transporting ATPase subunit beta-2</t>
  </si>
  <si>
    <t>Alcohol dehydrogenase [NADP(+)]</t>
  </si>
  <si>
    <t>Pyruvate kinase isozymes M1/M2</t>
  </si>
  <si>
    <t>Isoform M1 of Pyruvate kinase isozymes M1/M2</t>
  </si>
  <si>
    <t>Endoplasmin</t>
  </si>
  <si>
    <t>G2/mitotic-specific cyclin-B1</t>
  </si>
  <si>
    <t>Myosin light chain 6B</t>
  </si>
  <si>
    <t>Isoform SM-B of Small nuclear ribonucleoprotein-associated proteins B and B</t>
  </si>
  <si>
    <t>Insulin-degrading enzyme</t>
  </si>
  <si>
    <t>Cytochrome c oxidase subunit 6B1</t>
  </si>
  <si>
    <t>Heterogeneous nuclear ribonucleoprotein L</t>
  </si>
  <si>
    <t>Aspartate--tRNA ligase, cytoplasmic</t>
  </si>
  <si>
    <t>Serine/threonine-protein kinase B-raf</t>
  </si>
  <si>
    <t>Glutamine synthetase</t>
  </si>
  <si>
    <t>Aldose reductase</t>
  </si>
  <si>
    <t>Isoform Gamma of Poliovirus receptor</t>
  </si>
  <si>
    <t>Ras-related C3 botulinum toxin substrate 2</t>
  </si>
  <si>
    <t>Isoform 2 of Eukaryotic peptide chain release factor GTP-binding subunit ERF3A</t>
  </si>
  <si>
    <t>Isoform 2 of Arylsulfatase A</t>
  </si>
  <si>
    <t>Isoform Short of Beta-1,4-galactosyltransferase 1</t>
  </si>
  <si>
    <t>Ezrin</t>
  </si>
  <si>
    <t>Ubiquitin carboxyl-terminal hydrolase isozyme L3</t>
  </si>
  <si>
    <t>Fos-related antigen 1</t>
  </si>
  <si>
    <t>Isoform K of Membrane cofactor protein</t>
  </si>
  <si>
    <t>Isoform 3 of Membrane cofactor protein</t>
  </si>
  <si>
    <t>Nucleoside diphosphate kinase A</t>
  </si>
  <si>
    <t>40S ribosomal protein S2</t>
  </si>
  <si>
    <t>Beta-galactoside alpha-2,6-sialyltransferase 1</t>
  </si>
  <si>
    <t>Transcription factor E2-alpha</t>
  </si>
  <si>
    <t>Isoform E47 of Transcription factor E2-alpha</t>
  </si>
  <si>
    <t>Replication protein A 32 kDa subunit</t>
  </si>
  <si>
    <t>Leukosialin</t>
  </si>
  <si>
    <t>Carbonyl reductase [NADPH] 1</t>
  </si>
  <si>
    <t>Isoform Er9 of Ankyrin-1</t>
  </si>
  <si>
    <t>Short-chain specific acyl-CoA dehydrogenase, mitochondrial</t>
  </si>
  <si>
    <t>Isoform Delta13 of Platelet endothelial cell adhesion molecule</t>
  </si>
  <si>
    <t>Serine/threonine-protein phosphatase 2B catalytic subunit beta isoform</t>
  </si>
  <si>
    <t>Cytoplasmic protein NCK1</t>
  </si>
  <si>
    <t>GC-rich sequence DNA-binding factor 2</t>
  </si>
  <si>
    <t>Histone H1.5</t>
  </si>
  <si>
    <t>NADPH--cytochrome P450 reductase</t>
  </si>
  <si>
    <t>Isoform 3 of Tyrosine-protein kinase Fer</t>
  </si>
  <si>
    <t>Sarcoplasmic/endoplasmic reticulum calcium ATPase 2</t>
  </si>
  <si>
    <t>Fumarylacetoacetase</t>
  </si>
  <si>
    <t>Y-box-binding protein 3</t>
  </si>
  <si>
    <t>Zinc finger protein 14</t>
  </si>
  <si>
    <t>Zinc finger protein 24</t>
  </si>
  <si>
    <t>Zinc finger protein 3</t>
  </si>
  <si>
    <t>Zinc finger protein 30</t>
  </si>
  <si>
    <t>Alpha-N-acetylgalactosaminidase</t>
  </si>
  <si>
    <t>Heat shock 70 kDa protein 6</t>
  </si>
  <si>
    <t>Isoform HMG-Y of High mobility group protein HMG-I/HMG-Y</t>
  </si>
  <si>
    <t>Transmembrane protein 11, mitochondrial</t>
  </si>
  <si>
    <t>Aspartate aminotransferase, cytoplasmic</t>
  </si>
  <si>
    <t>Protein kinase C alpha type</t>
  </si>
  <si>
    <t>Transcription factor jun-B</t>
  </si>
  <si>
    <t>Homeobox protein Hox-B9</t>
  </si>
  <si>
    <t>Transcription factor jun-D</t>
  </si>
  <si>
    <t>Isoform 4 of Cyclic AMP-dependent transcription factor ATF-7</t>
  </si>
  <si>
    <t>NADH dehydrogenase [ubiquinone] 1 beta subcomplex subunit 7</t>
  </si>
  <si>
    <t>cAMP-dependent protein kinase catalytic subunit alpha</t>
  </si>
  <si>
    <t>Calpain-2 catalytic subunit</t>
  </si>
  <si>
    <t>Desmin</t>
  </si>
  <si>
    <t>CCAAT/enhancer-binding protein beta</t>
  </si>
  <si>
    <t>Isoform PTPA of Tyrosine-protein phosphatase non-receptor type 2</t>
  </si>
  <si>
    <t>S-adenosylmethionine decarboxylase proenzyme</t>
  </si>
  <si>
    <t>CTP synthase 1</t>
  </si>
  <si>
    <t>Probable ATP-dependent RNA helicase DDX5</t>
  </si>
  <si>
    <t>6-phosphofructokinase, liver type</t>
  </si>
  <si>
    <t>T-complex protein 1 subunit alpha</t>
  </si>
  <si>
    <t>Tyrosine-protein phosphatase non-receptor type 1</t>
  </si>
  <si>
    <t>TFIIH basal transcription factor complex helicase XPD subunit</t>
  </si>
  <si>
    <t>Integrin beta-5</t>
  </si>
  <si>
    <t>ADP-ribosylation factor 4</t>
  </si>
  <si>
    <t>60S ribosomal protein L7</t>
  </si>
  <si>
    <t>Early growth response protein 1</t>
  </si>
  <si>
    <t>Isoform 1 of Vinculin</t>
  </si>
  <si>
    <t>Isoform E of Protein SON</t>
  </si>
  <si>
    <t>Negative elongation factor E</t>
  </si>
  <si>
    <t>Phosphoglycerate mutase 1</t>
  </si>
  <si>
    <t>Isoform 2 of Regulator of chromosome condensation</t>
  </si>
  <si>
    <t>Cyclic AMP-dependent transcription factor ATF-1</t>
  </si>
  <si>
    <t>ATP synthase-coupling factor 6, mitochondrial</t>
  </si>
  <si>
    <t>Isoform 2 of 1-phosphatidylinositol 4,5-bisphosphate phosphodiesterase gamma-1</t>
  </si>
  <si>
    <t>Nucleolin</t>
  </si>
  <si>
    <t>Isoform 2 of Hexokinase-1</t>
  </si>
  <si>
    <t>DNA-directed RNA polymerase II subunit RPB3</t>
  </si>
  <si>
    <t>DNA-directed RNA polymerases I, II, and III subunit RPABC1</t>
  </si>
  <si>
    <t>ETS domain-containing protein Elk-1</t>
  </si>
  <si>
    <t>TFIIH basal transcription factor complex helicase XPB subunit</t>
  </si>
  <si>
    <t>Isoform 2 of Interferon-induced, double-stranded RNA-activated protein kinase</t>
  </si>
  <si>
    <t>Transcription factor E3</t>
  </si>
  <si>
    <t>Spermidine synthase</t>
  </si>
  <si>
    <t>Nuclear factor NF-kappa-B p105 subunit</t>
  </si>
  <si>
    <t>Isoform K of Plasma membrane calcium-transporting ATPase 1</t>
  </si>
  <si>
    <t>Eukaryotic translation initiation factor 2 subunit 2</t>
  </si>
  <si>
    <t>Isoform 2 of Myeloid cell surface antigen CD33</t>
  </si>
  <si>
    <t>Cyclin-A2</t>
  </si>
  <si>
    <t>Transcription factor BTF3</t>
  </si>
  <si>
    <t>Isoform 2 of Transcription factor BTF3</t>
  </si>
  <si>
    <t>Tumor necrosis factor receptor superfamily member 1B</t>
  </si>
  <si>
    <t>Ras-related protein Rab-3A</t>
  </si>
  <si>
    <t>Ras-related protein Rab-4A</t>
  </si>
  <si>
    <t>Ras-related protein Rab-6A</t>
  </si>
  <si>
    <t>Isoform 2 of Ras-related protein Rab-6A</t>
  </si>
  <si>
    <t>DNA mismatch repair protein Msh3</t>
  </si>
  <si>
    <t>Proteasome subunit beta type-1</t>
  </si>
  <si>
    <t>Cation-dependent mannose-6-phosphate receptor</t>
  </si>
  <si>
    <t>Cytochrome c oxidase subunit 5A, mitochondrial</t>
  </si>
  <si>
    <t>Lamin-B1</t>
  </si>
  <si>
    <t>Parathymosin</t>
  </si>
  <si>
    <t>Isoform 8 of Cyclin-dependent kinase 11B</t>
  </si>
  <si>
    <t>V-type proton ATPase subunit B, brain isoform</t>
  </si>
  <si>
    <t>V-type proton ATPase subunit C 1</t>
  </si>
  <si>
    <t>Cysteine and glycine-rich protein 1</t>
  </si>
  <si>
    <t>Isoform 2 of Filamin-A</t>
  </si>
  <si>
    <t>Isoform 1 of Neurofibromin</t>
  </si>
  <si>
    <t>Cytoplasmic aconitate hydratase</t>
  </si>
  <si>
    <t>Tumor necrosis factor alpha-induced protein 3</t>
  </si>
  <si>
    <t>Isoform 2 of Glycerol-3-phosphate dehydrogenase [NAD(+)], cytoplasmic</t>
  </si>
  <si>
    <t>Thromboxane A2 receptor</t>
  </si>
  <si>
    <t>Voltage-dependent anion-selective channel protein 1</t>
  </si>
  <si>
    <t>Succinate dehydrogenase [ubiquinone] iron-sulfur subunit, mitochondrial</t>
  </si>
  <si>
    <t>Isoform Soluble of Catechol O-methyltransferase</t>
  </si>
  <si>
    <t>Protein-glutamine gamma-glutamyltransferase 2</t>
  </si>
  <si>
    <t>Methylmalonyl-CoA mutase, mitochondrial</t>
  </si>
  <si>
    <t>Oxysterol-binding protein 1</t>
  </si>
  <si>
    <t>Trifunctional purine biosynthetic protein adenosine-3</t>
  </si>
  <si>
    <t>Multifunctional protein ADE2</t>
  </si>
  <si>
    <t>Non-specific lipid-transfer protein</t>
  </si>
  <si>
    <t>Isoform SCP2 of Non-specific lipid-transfer protein</t>
  </si>
  <si>
    <t>Ubiquitin-like modifier-activating enzyme 1</t>
  </si>
  <si>
    <t>Galanin peptides</t>
  </si>
  <si>
    <t>Small proline-rich protein 2D</t>
  </si>
  <si>
    <t>Isoform A2 of Heterogeneous nuclear ribonucleoproteins A2/B1</t>
  </si>
  <si>
    <t>MHC class II regulatory factor RFX1</t>
  </si>
  <si>
    <t>E3 ubiquitin-protein ligase CBL</t>
  </si>
  <si>
    <t>Insulin-like growth factor-binding protein 4</t>
  </si>
  <si>
    <t>Cytochrome b-c1 complex subunit 2, mitochondrial</t>
  </si>
  <si>
    <t>Ferrochelatase, mitochondrial</t>
  </si>
  <si>
    <t>DNA repair protein complementing XP-A cells</t>
  </si>
  <si>
    <t>Transcription elongation factor A protein 1</t>
  </si>
  <si>
    <t>Splicing factor, proline- and glutamine-rich</t>
  </si>
  <si>
    <t>Tubulin gamma-1 chain</t>
  </si>
  <si>
    <t>Peptidyl-prolyl cis-trans isomerase B</t>
  </si>
  <si>
    <t>NAD-dependent malic enzyme, mitochondrial</t>
  </si>
  <si>
    <t>Tryptophan--tRNA ligase, cytoplasmic</t>
  </si>
  <si>
    <t>40S ribosomal protein S3</t>
  </si>
  <si>
    <t>Myogenic factor 6</t>
  </si>
  <si>
    <t>Glycine cleavage system H protein, mitochondrial</t>
  </si>
  <si>
    <t>Tyrosine-protein kinase JAK1</t>
  </si>
  <si>
    <t>Nuclear autoantigen Sp-100</t>
  </si>
  <si>
    <t>Isoform Short of Nuclear transcription factor Y subunit alpha</t>
  </si>
  <si>
    <t>Adenosylhomocysteinase</t>
  </si>
  <si>
    <t>Cofilin-1</t>
  </si>
  <si>
    <t>Isoform ZB of Plasma membrane calcium-transporting ATPase 4</t>
  </si>
  <si>
    <t>Inositol-trisphosphate 3-kinase A</t>
  </si>
  <si>
    <t>Diacylglycerol kinase alpha</t>
  </si>
  <si>
    <t>Carnitine O-palmitoyltransferase 2, mitochondrial</t>
  </si>
  <si>
    <t>Thymidylate kinase</t>
  </si>
  <si>
    <t>COUP transcription factor 2</t>
  </si>
  <si>
    <t>Elongation factor 1-beta</t>
  </si>
  <si>
    <t>Low molecular weight phosphotyrosine protein phosphatase</t>
  </si>
  <si>
    <t>Isoform 2 of Low molecular weight phosphotyrosine protein phosphatase</t>
  </si>
  <si>
    <t>Acetyl-CoA acetyltransferase, mitochondrial</t>
  </si>
  <si>
    <t>DNA-directed RNA polymerase II subunit RPB1</t>
  </si>
  <si>
    <t>Isoform Short of Adenomatous polyposis coli protein</t>
  </si>
  <si>
    <t>Beta-adrenergic receptor kinase 1</t>
  </si>
  <si>
    <t>Proteinase-activated receptor 1</t>
  </si>
  <si>
    <t>DNA replication licensing factor MCM3</t>
  </si>
  <si>
    <t>40S ribosomal protein S12</t>
  </si>
  <si>
    <t>Transcriptional repressor protein YY1</t>
  </si>
  <si>
    <t>DnaJ homolog subfamily B member 1</t>
  </si>
  <si>
    <t>ATP synthase subunit alpha, mitochondrial</t>
  </si>
  <si>
    <t>Isoform 2 of Cathepsin S</t>
  </si>
  <si>
    <t>Proteasome subunit alpha type-1</t>
  </si>
  <si>
    <t>Proteasome subunit alpha type-2</t>
  </si>
  <si>
    <t>Isoform 2 of Proteasome subunit alpha type-3</t>
  </si>
  <si>
    <t>Proteasome subunit alpha type-4</t>
  </si>
  <si>
    <t>Rhombotin-2</t>
  </si>
  <si>
    <t>Protein S100-P</t>
  </si>
  <si>
    <t>Moesin</t>
  </si>
  <si>
    <t>Probable ATP-dependent RNA helicase DDX6</t>
  </si>
  <si>
    <t>DNA (cytosine-5)-methyltransferase 1</t>
  </si>
  <si>
    <t>Isoform 2 of DNA (cytosine-5)-methyltransferase 1</t>
  </si>
  <si>
    <t>Isoform 2 of Splicing factor U2AF 65 kDa subunit</t>
  </si>
  <si>
    <t>60S ribosomal protein L13</t>
  </si>
  <si>
    <t>Rab proteins geranylgeranyltransferase component A 2</t>
  </si>
  <si>
    <t>Protein S100-A4</t>
  </si>
  <si>
    <t>Alpha-1,3-mannosyl-glycoprotein 2-beta-N-acetylglucosaminyltransferase</t>
  </si>
  <si>
    <t>High mobility group protein B2</t>
  </si>
  <si>
    <t>Polypyrimidine tract-binding protein 1</t>
  </si>
  <si>
    <t>Threonine--tRNA ligase, cytoplasmic</t>
  </si>
  <si>
    <t>Valine--tRNA ligase</t>
  </si>
  <si>
    <t>Elongation factor 1-gamma</t>
  </si>
  <si>
    <t>Peptidyl-prolyl cis-trans isomerase FKBP2</t>
  </si>
  <si>
    <t>GTP:AMP phosphotransferase AK4, mitochondrial</t>
  </si>
  <si>
    <t>14-3-3 protein theta</t>
  </si>
  <si>
    <t>Mitogen-activated protein kinase 3</t>
  </si>
  <si>
    <t>Isoform 2 of Aryl hydrocarbon receptor nuclear translocator</t>
  </si>
  <si>
    <t>60S ribosomal protein L10</t>
  </si>
  <si>
    <t>Replication protein A 70 kDa DNA-binding subunit</t>
  </si>
  <si>
    <t>DNA-(apurinic or apyrimidinic site) lyase</t>
  </si>
  <si>
    <t>Calreticulin</t>
  </si>
  <si>
    <t>Isoform 6 of cAMP-specific 3,5-cyclic phosphodiesterase 4A</t>
  </si>
  <si>
    <t>Calnexin</t>
  </si>
  <si>
    <t>Phosphatidylinositol 3-kinase regulatory subunit alpha</t>
  </si>
  <si>
    <t>Proteasome subunit beta type-9</t>
  </si>
  <si>
    <t>Proteasome subunit alpha type-5</t>
  </si>
  <si>
    <t>Proteasome subunit beta type-4</t>
  </si>
  <si>
    <t>Proteasome subunit beta type-6</t>
  </si>
  <si>
    <t>Proteasome subunit beta type-5</t>
  </si>
  <si>
    <t>Tropomodulin-1</t>
  </si>
  <si>
    <t>NADH-ubiquinone oxidoreductase 75 kDa subunit, mitochondrial</t>
  </si>
  <si>
    <t>Mitogen-activated protein kinase 1</t>
  </si>
  <si>
    <t>Retinoic acid receptor RXR-beta</t>
  </si>
  <si>
    <t>DNA repair protein complementing XP-G cells</t>
  </si>
  <si>
    <t>Granulins</t>
  </si>
  <si>
    <t>Isoform 2 of Cytosol aminopeptidase</t>
  </si>
  <si>
    <t>Tumor necrosis factor receptor superfamily member 8</t>
  </si>
  <si>
    <t>General transcription factor IIE subunit 1</t>
  </si>
  <si>
    <t>Transcription initiation factor IIE subunit beta</t>
  </si>
  <si>
    <t>Inositol monophosphatase 1</t>
  </si>
  <si>
    <t>Tyrosine-protein phosphatase non-receptor type 6</t>
  </si>
  <si>
    <t>Isoform 7 of SHC-transforming protein 1</t>
  </si>
  <si>
    <t>Isoform 4 of DNA-3-methyladenine glycosylase</t>
  </si>
  <si>
    <t>Transketolase</t>
  </si>
  <si>
    <t>Isoform PML-5 of Protein PML</t>
  </si>
  <si>
    <t>Isoform 3 of Elongation factor 1-delta</t>
  </si>
  <si>
    <t>Myristoylated alanine-rich C-kinase substrate</t>
  </si>
  <si>
    <t>Guanine nucleotide-binding protein subunit alpha-11</t>
  </si>
  <si>
    <t>Delta-1-pyrroline-5-carboxylate dehydrogenase, mitochondrial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</si>
  <si>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</si>
  <si>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</si>
  <si>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</si>
  <si>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</si>
  <si>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</si>
  <si>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</si>
  <si>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</si>
  <si>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</si>
  <si>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</si>
  <si>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</si>
  <si>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</si>
  <si>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</si>
  <si>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Serine/threonine-protein phosphatase 2A 65 kDa regulatory subunit A beta isoform</t>
  </si>
  <si>
    <t>Cell division cycle protein 27 homolog</t>
  </si>
  <si>
    <t>G1/S-specific cyclin-D3</t>
  </si>
  <si>
    <t>Wee1-like protein kinase</t>
  </si>
  <si>
    <t>M-phase inducer phosphatase 3</t>
  </si>
  <si>
    <t>Peptidyl-prolyl cis-trans isomerase F, mitochondrial</t>
  </si>
  <si>
    <t>Glycylpeptide N-tetradecanoyltransferase 1</t>
  </si>
  <si>
    <t>Heme oxygenase 2</t>
  </si>
  <si>
    <t>Adenylosuccinate synthetase isozyme 2</t>
  </si>
  <si>
    <t>Alpha-2-macroglobulin receptor-associated protein</t>
  </si>
  <si>
    <t>Adenylosuccinate lyase</t>
  </si>
  <si>
    <t>Pyruvate kinase isozymes R/L</t>
  </si>
  <si>
    <t>Isoform 2 of CAP-Gly domain-containing linker protein 1</t>
  </si>
  <si>
    <t>Glutathione S-transferase theta-1</t>
  </si>
  <si>
    <t>Leukocyte elastase inhibitor</t>
  </si>
  <si>
    <t>High affinity cationic amino acid transporter 1</t>
  </si>
  <si>
    <t>Aldehyde dehydrogenase X, mitochondrial</t>
  </si>
  <si>
    <t>Succinate dehydrogenase [ubiquinone] flavoprotein subunit, mitochondrial</t>
  </si>
  <si>
    <t>Coronin-1A</t>
  </si>
  <si>
    <t>Rab GDP dissociation inhibitor alpha</t>
  </si>
  <si>
    <t>S-adenosylmethionine synthase isoform type-2</t>
  </si>
  <si>
    <t>cAMP-dependent protein kinase type I-beta regulatory subunit</t>
  </si>
  <si>
    <t>cAMP-dependent protein kinase type II-beta regulatory subunit</t>
  </si>
  <si>
    <t>Ribonucleoside-diphosphate reductase subunit M2</t>
  </si>
  <si>
    <t>Sodium- and chloride-dependent taurine transporter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</si>
  <si>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</si>
  <si>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</si>
  <si>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</si>
  <si>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</si>
  <si>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</si>
  <si>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</si>
  <si>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</si>
  <si>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14-3-3 protein beta/alpha</t>
  </si>
  <si>
    <t>Isoform 2 of 14-3-3 protein sigma</t>
  </si>
  <si>
    <t>Stress-induced-phosphoprotein 1</t>
  </si>
  <si>
    <t>Protein S100-A11</t>
  </si>
  <si>
    <t>Isoform 2 of Type II inositol 1,4,5-trisphosphate 5-phosphatase</t>
  </si>
  <si>
    <t>Peroxiredoxin-2</t>
  </si>
  <si>
    <t>Isoform 5 of Beta-arrestin-2</t>
  </si>
  <si>
    <t>Isoform 1 of Glycerol kinase</t>
  </si>
  <si>
    <t>Deoxycytidylate deaminase</t>
  </si>
  <si>
    <t>Pyrroline-5-carboxylate reductase 1, mitochondrial</t>
  </si>
  <si>
    <t>Isoform 2 of ETS-related transcription factor Elf-1</t>
  </si>
  <si>
    <t>General transcription factor IIH subunit 1</t>
  </si>
  <si>
    <t>Isoform 2 of Syntaxin-2</t>
  </si>
  <si>
    <t>Cystathionine gamma-lyase</t>
  </si>
  <si>
    <t>60S ribosomal protein L9</t>
  </si>
  <si>
    <t>Isoform 2 of Long-chain-fatty-acid--CoA ligase 1</t>
  </si>
  <si>
    <t>Kinesin-1 heavy chain</t>
  </si>
  <si>
    <t>Isoform 2 of Cleavage stimulation factor subunit 2</t>
  </si>
  <si>
    <t>Deoxyuridine 5-triphosphate nucleotidohydrolase, mitochondrial</t>
  </si>
  <si>
    <t>Isoform 2 of Deoxyuridine 5-triphosphate nucleotidohydrolase, mitochondrial</t>
  </si>
  <si>
    <t>Cyclin-dependent kinases regulatory subunit 2</t>
  </si>
  <si>
    <t>Mannosyl-oligosaccharide 1,2-alpha-mannosidase IA</t>
  </si>
  <si>
    <t>Isoform 2 of Dual specificity protein kinase TTK</t>
  </si>
  <si>
    <t>DNA replication licensing factor MCM4</t>
  </si>
  <si>
    <t>DNA replication licensing factor MCM5</t>
  </si>
  <si>
    <t>DNA replication licensing factor MCM7</t>
  </si>
  <si>
    <t>N-acetylgalactosamine-6-sulfatase</t>
  </si>
  <si>
    <t>Isoform 2 of Serine hydroxymethyltransferase, cytosolic</t>
  </si>
  <si>
    <t>Isoform 3 of Serine hydroxymethyltransferase, mitochondrial</t>
  </si>
  <si>
    <t>Bifunctional epoxide hydrolase 2</t>
  </si>
  <si>
    <t>Heat shock 70 kDa protein 4</t>
  </si>
  <si>
    <t>Carbonic anhydrase-related protein</t>
  </si>
  <si>
    <t>Catenin alpha-1</t>
  </si>
  <si>
    <t>Prohibitin</t>
  </si>
  <si>
    <t>Serpin B6</t>
  </si>
  <si>
    <t>Isoform 4 of Merlin</t>
  </si>
  <si>
    <t>Radixin</t>
  </si>
  <si>
    <t>Replication protein A 14 kDa subunit</t>
  </si>
  <si>
    <t>Replication factor C subunit 4</t>
  </si>
  <si>
    <t>Replication factor C subunit 2</t>
  </si>
  <si>
    <t>Isoform 2 of Replication factor C subunit 1</t>
  </si>
  <si>
    <t>60S ribosomal protein L22</t>
  </si>
  <si>
    <t>General transcription factor IIF subunit 1</t>
  </si>
  <si>
    <t>Sepiapterin reductase</t>
  </si>
  <si>
    <t>Cystathionine beta-synthase</t>
  </si>
  <si>
    <t>Glycogen debranching enzyme</t>
  </si>
  <si>
    <t>Myosin-9</t>
  </si>
  <si>
    <t>Myosin-10</t>
  </si>
  <si>
    <t>Coatomer subunit beta</t>
  </si>
  <si>
    <t>Beta-adducin</t>
  </si>
  <si>
    <t>Isoform 2 of Basigin</t>
  </si>
  <si>
    <t>Beta-adrenergic receptor kinase 2</t>
  </si>
  <si>
    <t>Isoform Short of RNA-binding protein FUS</t>
  </si>
  <si>
    <t>Isoform 2 of Nuclear pore complex protein Nup214</t>
  </si>
  <si>
    <t>Protein DEK</t>
  </si>
  <si>
    <t>Isoform 4 of Myosin-11</t>
  </si>
  <si>
    <t>Glutaredoxin-1</t>
  </si>
  <si>
    <t>Isoform 2 of Choline kinase alpha</t>
  </si>
  <si>
    <t>Protein phosphatase 1A</t>
  </si>
  <si>
    <t>26S protease regulatory subunit 7</t>
  </si>
  <si>
    <t>ADP-ribosylation factor-like protein 2</t>
  </si>
  <si>
    <t>ADP-ribosylation factor-like protein 3</t>
  </si>
  <si>
    <t>Dual specificity mitogen-activated protein kinase kinase 2</t>
  </si>
  <si>
    <t>ATP synthase subunit gamma, mitochondrial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</si>
  <si>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</si>
  <si>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</si>
  <si>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</si>
  <si>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</si>
  <si>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Guanine nucleotide-binding protein-like 1</t>
  </si>
  <si>
    <t>DNA-directed RNA polymerase II subunit RPB9</t>
  </si>
  <si>
    <t>Dihydrolipoyllysine-residue succinyltransferase component of 2-oxoglutarate dehydrogenase complex, mitochondrial</t>
  </si>
  <si>
    <t>GMP reductase 1</t>
  </si>
  <si>
    <t>Isoform Cytoplasmic of Phospholipid hydroperoxide glutathione peroxidase, mitochondrial</t>
  </si>
  <si>
    <t>Signal recognition particle 14 kDa protein</t>
  </si>
  <si>
    <t>Nuclear pore glycoprotein p62</t>
  </si>
  <si>
    <t>Hippocalcin-like protein 1</t>
  </si>
  <si>
    <t>Squalene synthase</t>
  </si>
  <si>
    <t>Isoform 3 of Phosphatidylinositol N-acetylglucosaminyltransferase subunit A</t>
  </si>
  <si>
    <t>Transgelin-2</t>
  </si>
  <si>
    <t>Transaldolase</t>
  </si>
  <si>
    <t>Electron transfer flavoprotein subunit beta</t>
  </si>
  <si>
    <t>RNA-binding motif protein, X chromosome</t>
  </si>
  <si>
    <t>Coilin</t>
  </si>
  <si>
    <t>Vitamin K-dependent gamma-carboxylase</t>
  </si>
  <si>
    <t>V-type proton ATPase catalytic subunit A</t>
  </si>
  <si>
    <t>Stress-70 protein, mitochondrial</t>
  </si>
  <si>
    <t>Eukaryotic initiation factor 4A-III</t>
  </si>
  <si>
    <t>DNA-binding protein SMUBP-2</t>
  </si>
  <si>
    <t>40S ribosomal protein S19</t>
  </si>
  <si>
    <t>60S ribosomal protein L3</t>
  </si>
  <si>
    <t>Isoform 3 of Collagen alpha-1(XVIII) chain</t>
  </si>
  <si>
    <t>Dolichyl-diphosphooligosaccharide--protein glycosyltransferase 48 kDa subunit</t>
  </si>
  <si>
    <t>Acidic leucine-rich nuclear phosphoprotein 32 family member A</t>
  </si>
  <si>
    <t>Flap endonuclease 1</t>
  </si>
  <si>
    <t>Isoform 2 of Homeobox protein cut-like 1</t>
  </si>
  <si>
    <t>Macrophage-capping protein</t>
  </si>
  <si>
    <t>Alpha-taxilin</t>
  </si>
  <si>
    <t>T-complex protein 1 subunit zeta</t>
  </si>
  <si>
    <t>Nicotinamide N-methyltransferase</t>
  </si>
  <si>
    <t>Isoform 3 of Von Hippel-Lindau disease tumor suppressor</t>
  </si>
  <si>
    <t>Pre-B-cell leukemia transcription factor 2</t>
  </si>
  <si>
    <t>ADP-ribosylation factor-like protein 4A</t>
  </si>
  <si>
    <t>DNA mismatch repair protein Mlh1</t>
  </si>
  <si>
    <t>Signal transducer and activator of transcription 3</t>
  </si>
  <si>
    <t>Isoform Del-701 of Signal transducer and activator of transcription 3</t>
  </si>
  <si>
    <t>Ubiquitin carboxyl-terminal hydrolase 8</t>
  </si>
  <si>
    <t>Malate dehydrogenase, cytoplasmic</t>
  </si>
  <si>
    <t>Malate dehydrogenase, mitochondrial</t>
  </si>
  <si>
    <t>Replication factor C subunit 5</t>
  </si>
  <si>
    <t>Replication factor C subunit 3</t>
  </si>
  <si>
    <t>Trifunctional enzyme subunit alpha, mitochondrial</t>
  </si>
  <si>
    <t>Eukaryotic translation initiation factor 2 subunit 3</t>
  </si>
  <si>
    <t>Isoform ID-B of DNA-binding protein inhibitor ID-1</t>
  </si>
  <si>
    <t>Centrin-2</t>
  </si>
  <si>
    <t>Eukaryotic translation initiation factor 2D</t>
  </si>
  <si>
    <t>Protein BUD31 homolog</t>
  </si>
  <si>
    <t>N-alpha-acetyltransferase 10</t>
  </si>
  <si>
    <t>Isoform 2 of Lysine-specific demethylase 5C</t>
  </si>
  <si>
    <t>Protein phosphatase inhibitor 2</t>
  </si>
  <si>
    <t>Tyrosine-protein kinase CSK</t>
  </si>
  <si>
    <t>Patatin-like phospholipase domain-containing protein 4</t>
  </si>
  <si>
    <t>Glycine--tRNA ligase</t>
  </si>
  <si>
    <t>Isoleucine--tRNA ligase, cytoplasmic</t>
  </si>
  <si>
    <t>Folate transporter 1</t>
  </si>
  <si>
    <t>Eukaryotic translation initiation factor 1</t>
  </si>
  <si>
    <t>Protein kinase C iota type</t>
  </si>
  <si>
    <t>Beta-centractin</t>
  </si>
  <si>
    <t>Isoform 2 of Enoyl-CoA delta isomerase 1, mitochondrial</t>
  </si>
  <si>
    <t>Lamina-associated polypeptide 2, isoform alpha</t>
  </si>
  <si>
    <t>Lamina-associated polypeptide 2, isoforms beta/gamma</t>
  </si>
  <si>
    <t>Signal transducer and activator of transcription 1-alpha/beta</t>
  </si>
  <si>
    <t>Isoform 3 of Signal transducer and activator of transcription 6</t>
  </si>
  <si>
    <t>Superkiller viralicidic activity 2-like 2</t>
  </si>
  <si>
    <t>Aldo-keto reductase family 1 member C3</t>
  </si>
  <si>
    <t>Phosphatidylinositol 4,5-bisphosphate 3-kinase catalytic subunit alpha isoform</t>
  </si>
  <si>
    <t>Phosphatidylinositol 4,5-bisphosphate 3-kinase catalytic subunit beta isoform</t>
  </si>
  <si>
    <t>Serine/threonine-protein kinase mTOR</t>
  </si>
  <si>
    <t>Epidermal growth factor receptor substrate 15</t>
  </si>
  <si>
    <t>Caspase-3</t>
  </si>
  <si>
    <t>Caspase-2</t>
  </si>
  <si>
    <t>40S ribosomal protein S27</t>
  </si>
  <si>
    <t>Tyrosine-protein kinase Tec</t>
  </si>
  <si>
    <t>Isoform 6 of Abelson tyrosine-protein kinase 2</t>
  </si>
  <si>
    <t>Condensin-2 complex subunit D3</t>
  </si>
  <si>
    <t>Leucine-rich PPR motif-containing protein, mitochondrial</t>
  </si>
  <si>
    <t>3-ketoacyl-CoA thiolase, mitochondrial</t>
  </si>
  <si>
    <t>60S ribosomal protein L35</t>
  </si>
  <si>
    <t>Cyclin-dependent kinase 4 inhibitor C</t>
  </si>
  <si>
    <t>Lysosomal Pro-X carboxypeptidase</t>
  </si>
  <si>
    <t>Neutral amino acid transporter A</t>
  </si>
  <si>
    <t>Platelet-activating factor acetylhydrolase IB subunit alpha</t>
  </si>
  <si>
    <t>Cell surface glycoprotein MUC18</t>
  </si>
  <si>
    <t>Isoform 3 of Carnitine O-acetyltransferase</t>
  </si>
  <si>
    <t>DNA mismatch repair protein Msh2</t>
  </si>
  <si>
    <t>Isoform GRK6B of G protein-coupled receptor kinase 6</t>
  </si>
  <si>
    <t>Glycerol-3-phosphate dehydrogenase, mitochondrial</t>
  </si>
  <si>
    <t>Translocon-associated protein subunit alpha</t>
  </si>
  <si>
    <t>Melanoma-associated antigen 1</t>
  </si>
  <si>
    <t>Melanoma-associated antigen 3</t>
  </si>
  <si>
    <t>Melanoma-associated antigen B1</t>
  </si>
  <si>
    <t>Tyrosine-protein phosphatase non-receptor type 9</t>
  </si>
  <si>
    <t>Isoform Short of Tyrosine-protein kinase SYK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</si>
  <si>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</si>
  <si>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</si>
  <si>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</si>
  <si>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</si>
  <si>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Voltage-dependent anion-selective channel protein 2</t>
  </si>
  <si>
    <t>Isoform 2 of Voltage-dependent anion-selective channel protein 2</t>
  </si>
  <si>
    <t>Short/branched chain specific acyl-CoA dehydrogenase, mitochondrial</t>
  </si>
  <si>
    <t>Chromobox protein homolog 5</t>
  </si>
  <si>
    <t>Isoform Short of Ubiquitin carboxyl-terminal hydrolase 5</t>
  </si>
  <si>
    <t>Isoform 3 of Mitogen-activated protein kinase 8</t>
  </si>
  <si>
    <t>Isoform Beta-1 of Mitogen-activated protein kinase 9</t>
  </si>
  <si>
    <t>Dual specificity mitogen-activated protein kinase kinase 4</t>
  </si>
  <si>
    <t>Antigen KI-67</t>
  </si>
  <si>
    <t>Phosphorylase b kinase regulatory subunit alpha, liver isoform</t>
  </si>
  <si>
    <t>Ran GTPase-activating protein 1</t>
  </si>
  <si>
    <t>ATP-dependent DNA helicase Q1</t>
  </si>
  <si>
    <t>Isoform 2 of Putative ribosomal RNA methyltransferase NOP2</t>
  </si>
  <si>
    <t>Isoform 6 of Transcriptional regulator ATRX</t>
  </si>
  <si>
    <t>Adapter molecule crk</t>
  </si>
  <si>
    <t>Crk-like protein</t>
  </si>
  <si>
    <t>Translation initiation factor IF-2, mitochondrial</t>
  </si>
  <si>
    <t>Cyclin-dependent kinase inhibitor 1B</t>
  </si>
  <si>
    <t>Neurogenic locus notch homolog protein 1</t>
  </si>
  <si>
    <t>Dual specificity mitogen-activated protein kinase kinase 3</t>
  </si>
  <si>
    <t>Isoform 1 of Lys-63-specific deubiquitinase BRCC36</t>
  </si>
  <si>
    <t>60S ribosomal protein L5</t>
  </si>
  <si>
    <t>60S ribosomal protein L21</t>
  </si>
  <si>
    <t>40S ribosomal protein S9</t>
  </si>
  <si>
    <t>40S ribosomal protein S10</t>
  </si>
  <si>
    <t>Microtubule-associated protein 1B</t>
  </si>
  <si>
    <t>Glucosamine-6-phosphate isomerase 1</t>
  </si>
  <si>
    <t>Isoform 4 of E3 ubiquitin-protein ligase NEDD4</t>
  </si>
  <si>
    <t>Ras GTPase-activating-like protein IQGAP1</t>
  </si>
  <si>
    <t>Isoform GN-1 of Glycogenin-1</t>
  </si>
  <si>
    <t>Dolichyl-diphosphooligosaccharide--protein glycosyltransferase subunit STT3A</t>
  </si>
  <si>
    <t>Guanine nucleotide exchange factor MSS4</t>
  </si>
  <si>
    <t>F-actin-capping protein subunit alpha-2</t>
  </si>
  <si>
    <t>Isoform 2 of F-actin-capping protein subunit beta</t>
  </si>
  <si>
    <t>Eukaryotic translation initiation factor 1A, X-chromosomal</t>
  </si>
  <si>
    <t>Glutamine--tRNA ligase</t>
  </si>
  <si>
    <t>60S ribosomal protein L29</t>
  </si>
  <si>
    <t>Zinc finger protein 36, C3H1 type-like 2</t>
  </si>
  <si>
    <t>Cytochrome b-c1 complex subunit Rieske, mitochondrial</t>
  </si>
  <si>
    <t>Sodium- and chloride-dependent creatine transporter 1</t>
  </si>
  <si>
    <t>ATP synthase subunit O, mitochondrial</t>
  </si>
  <si>
    <t>Isoform 3 of LIM and senescent cell antigen-like-containing domain protein 1</t>
  </si>
  <si>
    <t>Prolyl endopeptidase</t>
  </si>
  <si>
    <t>NADP-dependent malic enzyme</t>
  </si>
  <si>
    <t>Iron-responsive element-binding protein 2</t>
  </si>
  <si>
    <t>Isoform A of Leptin receptor</t>
  </si>
  <si>
    <t>DNA-binding protein RFX2</t>
  </si>
  <si>
    <t>Coatomer subunit delta</t>
  </si>
  <si>
    <t>Lanosterol synthase</t>
  </si>
  <si>
    <t>Serine/threonine-protein phosphatase 2B catalytic subunit gamma isoform</t>
  </si>
  <si>
    <t>Glutamate--cysteine ligase catalytic subunit</t>
  </si>
  <si>
    <t>Glutamate--cysteine ligase regulatory subunit</t>
  </si>
  <si>
    <t>Protein PRRC2A</t>
  </si>
  <si>
    <t>Glutathione synthetase</t>
  </si>
  <si>
    <t>T-complex protein 1 subunit epsilon</t>
  </si>
  <si>
    <t>Nestin</t>
  </si>
  <si>
    <t>Heat shock 70 kDa protein 13</t>
  </si>
  <si>
    <t>Casein kinase I isoform delta</t>
  </si>
  <si>
    <t>Isocitrate dehydrogenase [NADP], mitochondrial</t>
  </si>
  <si>
    <t>Phosphatidylinositol 4,5-bisphosphate 3-kinase catalytic subunit gamma isoform</t>
  </si>
  <si>
    <t>Phosphatidylinositol transfer protein beta isoform</t>
  </si>
  <si>
    <t>Isoform 2 of CD97 antigen</t>
  </si>
  <si>
    <t>DNA polymerase delta subunit 2</t>
  </si>
  <si>
    <t>MARCKS-related protein</t>
  </si>
  <si>
    <t>Isoform Alpha of Paxillin</t>
  </si>
  <si>
    <t>Calcium signal-modulating cyclophilin ligand</t>
  </si>
  <si>
    <t>Nuclear receptor subfamily 2 group C member 2</t>
  </si>
  <si>
    <t>MAP kinase-activated protein kinase 2</t>
  </si>
  <si>
    <t>4-trimethylaminobutyraldehyde dehydrogenase</t>
  </si>
  <si>
    <t>60S ribosomal protein L34</t>
  </si>
  <si>
    <t>Ribose-5-phosphate isomerase</t>
  </si>
  <si>
    <t>Protein ERGIC-53</t>
  </si>
  <si>
    <t>Isoform 5 of Natural resistance-associated macrophage protein 2</t>
  </si>
  <si>
    <t>Nuclear autoantigenic sperm protein</t>
  </si>
  <si>
    <t>Fatty acid synthase</t>
  </si>
  <si>
    <t>Isoform 2 of Cyclin-dependent kinase 8</t>
  </si>
  <si>
    <t>Protein farnesyltransferase/geranylgeranyltransferase type-1 subunit alpha</t>
  </si>
  <si>
    <t>Deoxyhypusine synthase</t>
  </si>
  <si>
    <t>T-complex protein 1 subunit gamma</t>
  </si>
  <si>
    <t>39S ribosomal protein L19, mitochondrial</t>
  </si>
  <si>
    <t>Elongation factor Tu, mitochondrial</t>
  </si>
  <si>
    <t>Ubiquitin-conjugating enzyme E2 R1</t>
  </si>
  <si>
    <t>Inositol polyphosphate 1-phosphatase</t>
  </si>
  <si>
    <t>Glutamate dehydrogenase 2, mitochondrial</t>
  </si>
  <si>
    <t>Centromere protein F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</si>
  <si>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</si>
  <si>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</si>
  <si>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</si>
  <si>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</si>
  <si>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</si>
  <si>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Protein phosphatase 1F</t>
  </si>
  <si>
    <t>DNA primase small subunit</t>
  </si>
  <si>
    <t>DNA primase large subunit</t>
  </si>
  <si>
    <t>Casein kinase I isoform epsilon</t>
  </si>
  <si>
    <t>Transcriptional repressor CTCF</t>
  </si>
  <si>
    <t>Proteasome subunit beta type-2</t>
  </si>
  <si>
    <t>Isoform 2 of Very long-chain specific acyl-CoA dehydrogenase, mitochondrial</t>
  </si>
  <si>
    <t>YLP motif-containing protein 1</t>
  </si>
  <si>
    <t>Transmembrane emp24 domain-containing protein 10</t>
  </si>
  <si>
    <t>RNA-binding protein 25</t>
  </si>
  <si>
    <t>Isoform 4 of Protein numb homolog</t>
  </si>
  <si>
    <t>Isoform 1 of Dual specificity protein kinase CLK3</t>
  </si>
  <si>
    <t>Translation initiation factor eIF-2B subunit beta</t>
  </si>
  <si>
    <t>Histidine triad nucleotide-binding protein 1</t>
  </si>
  <si>
    <t>Nuclear pore complex protein Nup153</t>
  </si>
  <si>
    <t>E3 SUMO-protein ligase RanBP2</t>
  </si>
  <si>
    <t>Regulator of G-protein signaling 19</t>
  </si>
  <si>
    <t>Glycogen synthase kinase-3 alpha</t>
  </si>
  <si>
    <t>Glycogen synthase kinase-3 beta</t>
  </si>
  <si>
    <t>Cytosolic purine 5-nucleotidase</t>
  </si>
  <si>
    <t>Selenide, water dikinase 1</t>
  </si>
  <si>
    <t>Isoform 3 of Selenide, water dikinase 1</t>
  </si>
  <si>
    <t>5-formyltetrahydrofolate cyclo-ligase</t>
  </si>
  <si>
    <t>DNA ligase 3</t>
  </si>
  <si>
    <t>DNA ligase 4</t>
  </si>
  <si>
    <t>Double-strand break repair protein MRE11A</t>
  </si>
  <si>
    <t>Ketohexokinase</t>
  </si>
  <si>
    <t>Histamine N-methyltransferase</t>
  </si>
  <si>
    <t>Guanine nucleotide-binding protein G(q) subunit alpha</t>
  </si>
  <si>
    <t>Isocitrate dehydrogenase [NAD] subunit alpha, mitochondrial</t>
  </si>
  <si>
    <t>Sulfotransferase 1A3/1A4</t>
  </si>
  <si>
    <t>Sulfotransferase 1A1</t>
  </si>
  <si>
    <t>Protoporphyrinogen oxidase</t>
  </si>
  <si>
    <t>Emerin</t>
  </si>
  <si>
    <t>Carnitine O-palmitoyltransferase 1, liver isoform</t>
  </si>
  <si>
    <t>Serpin B9</t>
  </si>
  <si>
    <t>Serpin H1</t>
  </si>
  <si>
    <t>PDZ and LIM domain protein 4</t>
  </si>
  <si>
    <t>Hsc70-interacting protein</t>
  </si>
  <si>
    <t>Vasodilator-stimulated phosphoprotein</t>
  </si>
  <si>
    <t>Dynamin-2</t>
  </si>
  <si>
    <t>Methionine aminopeptidase 2</t>
  </si>
  <si>
    <t>Bis(5-nucleosyl)-tetraphosphatase [asymmetrical]</t>
  </si>
  <si>
    <t>Cyclin-dependent kinase 7</t>
  </si>
  <si>
    <t>Biotin--protein ligase</t>
  </si>
  <si>
    <t>Kinetochore-associated protein 1</t>
  </si>
  <si>
    <t>Cyclin-dependent kinase 9</t>
  </si>
  <si>
    <t>Palmitoyl-protein thioesterase 1</t>
  </si>
  <si>
    <t>T-complex protein 1 subunit theta</t>
  </si>
  <si>
    <t>T-complex protein 1 subunit delta</t>
  </si>
  <si>
    <t>Poly(A) polymerase alpha</t>
  </si>
  <si>
    <t>Fragile X mental retardation syndrome-related protein 2</t>
  </si>
  <si>
    <t>Ras-related protein Rab-5C</t>
  </si>
  <si>
    <t>Ras-related protein Rab-7a</t>
  </si>
  <si>
    <t>Ras-related protein Rab-9A</t>
  </si>
  <si>
    <t>Ras-related protein Rab-13</t>
  </si>
  <si>
    <t>Ras-related protein Rab-28</t>
  </si>
  <si>
    <t>Ras-related protein Rab-27A</t>
  </si>
  <si>
    <t>1-phosphatidylinositol 4,5-bisphosphate phosphodiesterase delta-1</t>
  </si>
  <si>
    <t>Death-associated protein 1</t>
  </si>
  <si>
    <t>Isoform 2 of 28S ribosomal protein S29, mitochondrial</t>
  </si>
  <si>
    <t>Dual specificity protein phosphatase 3</t>
  </si>
  <si>
    <t>Isoform Short of Probable global transcription activator SNF2L2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</si>
  <si>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</si>
  <si>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</si>
  <si>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</si>
  <si>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</si>
  <si>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Thiopurine S-methyltransferase</t>
  </si>
  <si>
    <t>Methyl-CpG-binding protein 2</t>
  </si>
  <si>
    <t>Isoform 2 of Host cell factor 1</t>
  </si>
  <si>
    <t>Peroxisomal multifunctional enzyme type 2</t>
  </si>
  <si>
    <t>26S proteasome non-ATPase regulatory subunit 7</t>
  </si>
  <si>
    <t>Sulfite oxidase, mitochondrial</t>
  </si>
  <si>
    <t>Signal transducer and activator of transcription 5B</t>
  </si>
  <si>
    <t>Isoform 3 of H(+)/Cl(-) exchange transporter 3</t>
  </si>
  <si>
    <t>H(+)/Cl(-) exchange transporter 5</t>
  </si>
  <si>
    <t>Chloride transport protein 6</t>
  </si>
  <si>
    <t>Isoform 2 of H(+)/Cl(-) exchange transporter 7</t>
  </si>
  <si>
    <t>Vesicle-associated membrane protein 7</t>
  </si>
  <si>
    <t>Membrane transport protein XK</t>
  </si>
  <si>
    <t>Ribosomal protein S6 kinase alpha-3</t>
  </si>
  <si>
    <t>Isoform 2 of 3-oxo-5-beta-steroid 4-dehydrogenase</t>
  </si>
  <si>
    <t>Hepatoma-derived growth factor</t>
  </si>
  <si>
    <t>Calponin-1</t>
  </si>
  <si>
    <t>CDK-activating kinase assembly factor MAT1</t>
  </si>
  <si>
    <t>NADH dehydrogenase [ubiquinone] 1 alpha subcomplex subunit 8</t>
  </si>
  <si>
    <t>Heterogeneous nuclear ribonucleoprotein A3</t>
  </si>
  <si>
    <t>Isoform 2 of Heterogeneous nuclear ribonucleoprotein M</t>
  </si>
  <si>
    <t>Importin subunit alpha-2</t>
  </si>
  <si>
    <t>Importin subunit alpha-1</t>
  </si>
  <si>
    <t>Nuclear cap-binding protein subunit 2</t>
  </si>
  <si>
    <t>Rap1 GTPase-GDP dissociation stimulator 1</t>
  </si>
  <si>
    <t>Rho GDP-dissociation inhibitor 1</t>
  </si>
  <si>
    <t>Rho GDP-dissociation inhibitor 2</t>
  </si>
  <si>
    <t>Heterogeneous nuclear ribonucleoprotein F</t>
  </si>
  <si>
    <t>Isoform 2 of Signal transducer and activator of transcription 2</t>
  </si>
  <si>
    <t>Transcription initiation factor IIA subunit 1</t>
  </si>
  <si>
    <t>Transcription initiation factor IIA subunit 2</t>
  </si>
  <si>
    <t>DNA mismatch repair protein Msh6</t>
  </si>
  <si>
    <t>Kinesin-like protein KIF11</t>
  </si>
  <si>
    <t>Ribonuclease UK114</t>
  </si>
  <si>
    <t>Spermine synthase</t>
  </si>
  <si>
    <t>Hexokinase-2</t>
  </si>
  <si>
    <t>39S ribosomal protein L12, mitochondrial</t>
  </si>
  <si>
    <t>Thimet oligopeptidase</t>
  </si>
  <si>
    <t>F-actin-capping protein subunit alpha-1</t>
  </si>
  <si>
    <t>Cysteine-rich protein 2</t>
  </si>
  <si>
    <t>Isoform 6 of Nuclear pore complex protein Nup98-Nup96</t>
  </si>
  <si>
    <t>Biliverdin reductase A</t>
  </si>
  <si>
    <t>Tricarboxylate transport protein, mitochondrial</t>
  </si>
  <si>
    <t>Serine/threonine-protein kinase PLK1</t>
  </si>
  <si>
    <t>Arfaptin-2</t>
  </si>
  <si>
    <t>Arfaptin-1</t>
  </si>
  <si>
    <t>Isoform A of Arfaptin-1</t>
  </si>
  <si>
    <t>Isoform 2 of Cytosolic Fe-S cluster assembly factor NUBP1</t>
  </si>
  <si>
    <t>ATP-citrate synthase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</si>
  <si>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</si>
  <si>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</si>
  <si>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</si>
  <si>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</si>
  <si>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Coatomer subunit alpha</t>
  </si>
  <si>
    <t>Dipeptidyl peptidase 1</t>
  </si>
  <si>
    <t>Cytochrome c-type heme lyase</t>
  </si>
  <si>
    <t>Mitogen-activated protein kinase 12</t>
  </si>
  <si>
    <t>Sodium/myo-inositol cotransporter</t>
  </si>
  <si>
    <t>DNA-directed RNA polymerases I, II, and III subunit RPABC4</t>
  </si>
  <si>
    <t>Isoform B2 of Smoothelin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</si>
  <si>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</si>
  <si>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</si>
  <si>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</si>
  <si>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</si>
  <si>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DNA polymerase subunit gamma-1</t>
  </si>
  <si>
    <t>Methylosome subunit pICln</t>
  </si>
  <si>
    <t>Arginine--tRNA ligase, cytoplasmic</t>
  </si>
  <si>
    <t>Atrophin-1</t>
  </si>
  <si>
    <t>Mismatch repair endonuclease PMS2</t>
  </si>
  <si>
    <t>Tyrosine--tRNA ligase, cytoplasmic</t>
  </si>
  <si>
    <t>Isoform 2 of Ubiquitin carboxyl-terminal hydrolase 14</t>
  </si>
  <si>
    <t>Isoform 2 of 5-AMP-activated protein kinase subunit gamma-1</t>
  </si>
  <si>
    <t>Branched-chain-amino-acid aminotransferase, cytosolic</t>
  </si>
  <si>
    <t>Potassium-transporting ATPase alpha chain 2</t>
  </si>
  <si>
    <t>Sodium/potassium-transporting ATPase subunit beta-3</t>
  </si>
  <si>
    <t>UV excision repair protein RAD23 homolog B</t>
  </si>
  <si>
    <t>Ephrin type-B receptor 4</t>
  </si>
  <si>
    <t>Alpha-N-acetylglucosaminidase</t>
  </si>
  <si>
    <t>Adenylate kinase 2, mitochondrial</t>
  </si>
  <si>
    <t>Isoform Short of Delta-1-pyrroline-5-carboxylate synthase</t>
  </si>
  <si>
    <t>Alpha-soluble NSF attachment protein</t>
  </si>
  <si>
    <t>[Protein ADP-ribosylarginine] hydrolase</t>
  </si>
  <si>
    <t>Eukaryotic translation initiation factor 5</t>
  </si>
  <si>
    <t>Isoform 2 of Solute carrier family 12 member 2</t>
  </si>
  <si>
    <t>26S proteasome non-ATPase regulatory subunit 4</t>
  </si>
  <si>
    <t>Developmentally-regulated GTP-binding protein 2</t>
  </si>
  <si>
    <t>Isoform 3 of Exportin-2</t>
  </si>
  <si>
    <t>Transitional endoplasmic reticulum ATPase</t>
  </si>
  <si>
    <t>Microfibrillar-associated protein 1</t>
  </si>
  <si>
    <t>Isoform 2 of Microfibril-associated glycoprotein 3</t>
  </si>
  <si>
    <t>Mesencephalic astrocyte-derived neurotrophic factor</t>
  </si>
  <si>
    <t>Isoform 3 of Afadin</t>
  </si>
  <si>
    <t>RNA polymerase II elongation factor ELL</t>
  </si>
  <si>
    <t>Isoform 4 of Peregrin</t>
  </si>
  <si>
    <t>Isoform 2 of Caspase-9</t>
  </si>
  <si>
    <t>Caspase-6</t>
  </si>
  <si>
    <t>Adenosine kinase</t>
  </si>
  <si>
    <t>Protein SEC13 homolog</t>
  </si>
  <si>
    <t>FAD-linked sulfhydryl oxidase ALR</t>
  </si>
  <si>
    <t>Heterogeneous nuclear ribonucleoprotein H2</t>
  </si>
  <si>
    <t>Succinyl-CoA:3-ketoacid coenzyme A transferase 1, mitochondrial</t>
  </si>
  <si>
    <t>Eukaryotic translation initiation factor 3 subunit B</t>
  </si>
  <si>
    <t>BH3-interacting domain death agonist</t>
  </si>
  <si>
    <t>Isoform 2 of NADH dehydrogenase [ubiquinone] flavoprotein 3, mitochondrial</t>
  </si>
  <si>
    <t>Ribosomal RNA processing protein 1 homolog A</t>
  </si>
  <si>
    <t>Methionine--tRNA ligase, cytoplasmic</t>
  </si>
  <si>
    <t>Isoform 2 of Myc-associated zinc finger protein</t>
  </si>
  <si>
    <t>Cx9C motif-containing protein 4</t>
  </si>
  <si>
    <t>Isoform 2 of DNA polymerase epsilon subunit 2</t>
  </si>
  <si>
    <t>AP-1 complex subunit sigma-2</t>
  </si>
  <si>
    <t>ATP synthase subunit epsilon, mitochondrial</t>
  </si>
  <si>
    <t>ATP synthase subunit e, mitochondrial</t>
  </si>
  <si>
    <t>Histone deacetylase 4</t>
  </si>
  <si>
    <t>Eukaryotic translation initiation factor 6</t>
  </si>
  <si>
    <t>NADH dehydrogenase [ubiquinone] 1 alpha subcomplex subunit 6</t>
  </si>
  <si>
    <t>Peroxisomal biogenesis factor 3</t>
  </si>
  <si>
    <t>Period circadian protein homolog 3</t>
  </si>
  <si>
    <t>Claudin-12</t>
  </si>
  <si>
    <t>Isoform 3 of 3-keto-steroid reductase</t>
  </si>
  <si>
    <t>Isoform 4 of Breast cancer anti-estrogen resistance protein 1</t>
  </si>
  <si>
    <t>Syntaxin-17</t>
  </si>
  <si>
    <t>Isoform C of Phosphatidylinositol N-acetylglucosaminyltransferase subunit P</t>
  </si>
  <si>
    <t>RWD domain-containing protein 2B</t>
  </si>
  <si>
    <t>Uncharacterized protein C21orf59</t>
  </si>
  <si>
    <t>Isoform 2 of tRNA (guanine-N(7)-)-methyltransferase subunit WDR4</t>
  </si>
  <si>
    <t>Transmembrane protein 33</t>
  </si>
  <si>
    <t>Synaptojanin-2-binding protein</t>
  </si>
  <si>
    <t>Krueppel-like factor 3</t>
  </si>
  <si>
    <t>Isoform 3 of Coronin-7</t>
  </si>
  <si>
    <t>Nuclear pore complex protein Nup107</t>
  </si>
  <si>
    <t>Sorting nexin-16</t>
  </si>
  <si>
    <t>Selenocysteine-specific elongation factor</t>
  </si>
  <si>
    <t>Sestrin-2</t>
  </si>
  <si>
    <t>Epiplakin</t>
  </si>
  <si>
    <t>Myotrophin</t>
  </si>
  <si>
    <t>Isoform D of Putative ribonuclease</t>
  </si>
  <si>
    <t>Zinc finger protein 445</t>
  </si>
  <si>
    <t>Actin-related protein 2/3 complex subunit 4</t>
  </si>
  <si>
    <t>Protein transport protein Sec61 subunit gamma</t>
  </si>
  <si>
    <t>Isoform 2 of Triosephosphate isomerase</t>
  </si>
  <si>
    <t>Eukaryotic translation initiation factor 3 subunit E</t>
  </si>
  <si>
    <t>Protein transport protein Sec61 subunit beta</t>
  </si>
  <si>
    <t>Serine/threonine-protein phosphatase 4 catalytic subunit</t>
  </si>
  <si>
    <t>Gamma-aminobutyric acid receptor-associated protein-like 2</t>
  </si>
  <si>
    <t>Reactive oxygen species modulator 1</t>
  </si>
  <si>
    <t>Isoform 2 of Ubiquitin-conjugating enzyme E2 G2</t>
  </si>
  <si>
    <t>Actin, cytoplasmic 1</t>
  </si>
  <si>
    <t>Ras-related C3 botulinum toxin substrate 3</t>
  </si>
  <si>
    <t>Eukaryotic initiation factor 4A-I</t>
  </si>
  <si>
    <t>40S ribosomal protein S20</t>
  </si>
  <si>
    <t>Ribose-phosphate pyrophosphokinase 1</t>
  </si>
  <si>
    <t>26S proteasome complex subunit DSS1</t>
  </si>
  <si>
    <t>Cell division control protein 42 homolog</t>
  </si>
  <si>
    <t>Destrin</t>
  </si>
  <si>
    <t>Glia maturation factor beta</t>
  </si>
  <si>
    <t>Ras-related protein Rab-8A</t>
  </si>
  <si>
    <t>Signal peptidase complex subunit 3</t>
  </si>
  <si>
    <t>Signal recognition particle 54 kDa protein</t>
  </si>
  <si>
    <t>Ras-related protein Rab-4B</t>
  </si>
  <si>
    <t>Ras-related protein Rab-2A</t>
  </si>
  <si>
    <t>Ras-related protein Rab-5B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</si>
  <si>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</si>
  <si>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</si>
  <si>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</si>
  <si>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</si>
  <si>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</si>
  <si>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</si>
  <si>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Zinc finger CCCH domain-containing protein 6</t>
  </si>
  <si>
    <t>Actin-related protein 3</t>
  </si>
  <si>
    <t>Actin-related protein 2</t>
  </si>
  <si>
    <t>Alpha-centractin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</si>
  <si>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</si>
  <si>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</si>
  <si>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</si>
  <si>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</si>
  <si>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</si>
  <si>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Isoform 2 of Protein max</t>
  </si>
  <si>
    <t>40S ribosomal protein S3a</t>
  </si>
  <si>
    <t>60S ribosomal protein L26</t>
  </si>
  <si>
    <t>Protein mago nashi homolog</t>
  </si>
  <si>
    <t>60S ribosomal protein L27</t>
  </si>
  <si>
    <t>Pterin-4-alpha-carbinolamine dehydratase</t>
  </si>
  <si>
    <t>Transforming protein RhoA</t>
  </si>
  <si>
    <t>N-alpha-acetyltransferase 20</t>
  </si>
  <si>
    <t>10 kDa heat shock protein, mitochondrial</t>
  </si>
  <si>
    <t>Prefoldin subunit 3</t>
  </si>
  <si>
    <t>Syntaxin-binding protein 1</t>
  </si>
  <si>
    <t>DDB1- and CUL4-associated factor 7</t>
  </si>
  <si>
    <t>WD repeat-containing protein 5</t>
  </si>
  <si>
    <t>AP-1 complex subunit sigma-1A</t>
  </si>
  <si>
    <t>Nuclear transport factor 2</t>
  </si>
  <si>
    <t>Isoform 2 of Heterogeneous nuclear ribonucleoprotein K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</si>
  <si>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</si>
  <si>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</si>
  <si>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</si>
  <si>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</si>
  <si>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</si>
  <si>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</si>
  <si>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</si>
  <si>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Neuronal calcium sensor 1</t>
  </si>
  <si>
    <t>26S protease regulatory subunit 4</t>
  </si>
  <si>
    <t>Isoform 2 of 26S protease regulatory subunit 8</t>
  </si>
  <si>
    <t>40S ribosomal protein S8</t>
  </si>
  <si>
    <t>40S ribosomal protein S16</t>
  </si>
  <si>
    <t>Ubiquitin-conjugating enzyme E2 G1</t>
  </si>
  <si>
    <t>14-3-3 protein epsilon</t>
  </si>
  <si>
    <t>40S ribosomal protein S14</t>
  </si>
  <si>
    <t>40S ribosomal protein S23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</si>
  <si>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</si>
  <si>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</si>
  <si>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</si>
  <si>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</si>
  <si>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</si>
  <si>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</si>
  <si>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</si>
  <si>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</si>
  <si>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</si>
  <si>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</si>
  <si>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</si>
  <si>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</si>
  <si>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</si>
  <si>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</si>
  <si>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60S ribosomal protein L7a</t>
  </si>
  <si>
    <t>DNA-directed RNA polymerase II subunit RPB7</t>
  </si>
  <si>
    <t>Eukaryotic peptide chain release factor subunit 1</t>
  </si>
  <si>
    <t>Isoform 2 of Cellular nucleic acid-binding protein</t>
  </si>
  <si>
    <t>Isoform 4 of Cellular nucleic acid-binding protein</t>
  </si>
  <si>
    <t>Isoform 5 of Cellular nucleic acid-binding protein</t>
  </si>
  <si>
    <t>Protein yippee-like 5</t>
  </si>
  <si>
    <t>40S ribosomal protein S4, X isoform</t>
  </si>
  <si>
    <t>Serine/threonine-protein phosphatase 2A catalytic subunit beta isoform</t>
  </si>
  <si>
    <t>60S ribosomal protein L23a</t>
  </si>
  <si>
    <t>40S ribosomal protein S6</t>
  </si>
  <si>
    <t>Histone H4</t>
  </si>
  <si>
    <t>Ras-related protein Rab-1A</t>
  </si>
  <si>
    <t>60S ribosomal protein L23</t>
  </si>
  <si>
    <t>Ras-related protein Rap-1A</t>
  </si>
  <si>
    <t>Ubiquitin-conjugating enzyme E2 D2</t>
  </si>
  <si>
    <t>40S ribosomal protein S25</t>
  </si>
  <si>
    <t>40S ribosomal protein S26</t>
  </si>
  <si>
    <t>40S ribosomal protein S28</t>
  </si>
  <si>
    <t>Guanine nucleotide-binding protein G(I)/G(S)/G(T) subunit beta-1</t>
  </si>
  <si>
    <t>DNA-directed RNA polymerases I, II, and III subunit RPABC5</t>
  </si>
  <si>
    <t>E3 ubiquitin-protein ligase RBX1</t>
  </si>
  <si>
    <t>Guanine nucleotide-binding protein G(I)/G(S)/G(T) subunit beta-2</t>
  </si>
  <si>
    <t>60S ribosomal protein L31</t>
  </si>
  <si>
    <t>60S ribosomal protein L10a</t>
  </si>
  <si>
    <t>Isoform 2 of 60S ribosomal protein L11</t>
  </si>
  <si>
    <t>Peptidyl-prolyl cis-trans isomerase A</t>
  </si>
  <si>
    <t>Peptidyl-prolyl cis-trans isomerase FKBP1A</t>
  </si>
  <si>
    <t>Ubiquitin-40S ribosomal protein S27a</t>
  </si>
  <si>
    <t>Growth factor receptor-bound protein 2</t>
  </si>
  <si>
    <t>Isoform 3 of Transformer-2 protein homolog beta</t>
  </si>
  <si>
    <t>Ras-related C3 botulinum toxin substrate 1</t>
  </si>
  <si>
    <t>AP-2 complex subunit beta</t>
  </si>
  <si>
    <t>Guanine nucleotide-binding protein G(s) subunit alpha isoforms short</t>
  </si>
  <si>
    <t>14-3-3 protein zeta/delta</t>
  </si>
  <si>
    <t>HERV-K_19q12 provirus ancestral Pro protein</t>
  </si>
  <si>
    <t>Serine/threonine-protein phosphatase 2A 55 kDa regulatory subunit B alpha isoform</t>
  </si>
  <si>
    <t>Dynein light chain 1, cytoplasmic</t>
  </si>
  <si>
    <t>60S ribosomal protein L38</t>
  </si>
  <si>
    <t>Guanine nucleotide-binding protein G(I)/G(S)/G(O) subunit gamma-5</t>
  </si>
  <si>
    <t>Eukaryotic translation initiation factor 5A-1</t>
  </si>
  <si>
    <t>Guanine nucleotide-binding protein subunit beta-2-like 1</t>
  </si>
  <si>
    <t>Serine/threonine-protein phosphatase 2A catalytic subunit alpha isoform</t>
  </si>
  <si>
    <t>Nuclease-sensitive element-binding protein 1</t>
  </si>
  <si>
    <t>Tropomyosin alpha-4 chain</t>
  </si>
  <si>
    <t>Ubiquitin-conjugating enzyme E2 L3</t>
  </si>
  <si>
    <t>Elongation factor 1-alpha 1</t>
  </si>
  <si>
    <t>Actin, alpha skeletal muscle</t>
  </si>
  <si>
    <t>Tubulin alpha-1B chain</t>
  </si>
  <si>
    <t>Tubulin beta-4B chain</t>
  </si>
  <si>
    <t>Platelet-activating factor acetylhydrolase IB subunit beta</t>
  </si>
  <si>
    <t>Hemoglobin subunit gamma-1</t>
  </si>
  <si>
    <t>Hemoglobin subunit gamma-2</t>
  </si>
  <si>
    <t>Hemoglobin subunit alpha</t>
  </si>
  <si>
    <t>Nucleolar protein 14</t>
  </si>
  <si>
    <t>Immunoglobulin-binding protein 1</t>
  </si>
  <si>
    <t>Phosphoserine phosphatase</t>
  </si>
  <si>
    <t>RNA-binding protein 6</t>
  </si>
  <si>
    <t>Ribonuclease P protein subunit p38</t>
  </si>
  <si>
    <t>Ribonuclease P protein subunit p30</t>
  </si>
  <si>
    <t>Isoform 2 of General transcription factor II-I</t>
  </si>
  <si>
    <t>Phosphatidylinositol 5-phosphate 4-kinase type-2 beta</t>
  </si>
  <si>
    <t>SRSF protein kinase 2</t>
  </si>
  <si>
    <t>T-complex protein 1 subunit beta</t>
  </si>
  <si>
    <t>mRNA export factor</t>
  </si>
  <si>
    <t>Glutathione S-transferase omega-1</t>
  </si>
  <si>
    <t>DNA-dependent protein kinase catalytic subunit</t>
  </si>
  <si>
    <t>Disintegrin and metalloproteinase domain-containing protein 17</t>
  </si>
  <si>
    <t>Biogenesis of lysosome-related organelles complex 1 subunit 1</t>
  </si>
  <si>
    <t>Arginase-2, mitochondrial</t>
  </si>
  <si>
    <t>Death domain-containing protein CRADD</t>
  </si>
  <si>
    <t>Interferon-induced 35 kDa protein</t>
  </si>
  <si>
    <t>Nucleobindin-2</t>
  </si>
  <si>
    <t>Isoform 4 of Single-stranded DNA-binding protein 2</t>
  </si>
  <si>
    <t>TATA element modulatory factor</t>
  </si>
  <si>
    <t>28S ribosomal protein S35, mitochondrial</t>
  </si>
  <si>
    <t>28S ribosomal protein S5, mitochondrial</t>
  </si>
  <si>
    <t>28S ribosomal protein S36, mitochondrial</t>
  </si>
  <si>
    <t>Isoform 2 of 28S ribosomal protein S11, mitochondrial</t>
  </si>
  <si>
    <t>28S ribosomal protein S34, mitochondrial</t>
  </si>
  <si>
    <t>28S ribosomal protein S6, mitochondrial</t>
  </si>
  <si>
    <t>28S ribosomal protein S9, mitochondrial</t>
  </si>
  <si>
    <t>SAP domain-containing ribonucleoprotein</t>
  </si>
  <si>
    <t>Serine beta-lactamase-like protein LACTB, mitochondrial</t>
  </si>
  <si>
    <t>Conserved oligomeric Golgi complex subunit 7</t>
  </si>
  <si>
    <t>Mothers against decapentaplegic homolog 3</t>
  </si>
  <si>
    <t>ADP-ribosylation factor 1</t>
  </si>
  <si>
    <t>ADP-ribosylation factor 5</t>
  </si>
  <si>
    <t>Enhancer of rudimentary homolog</t>
  </si>
  <si>
    <t>Rho-related GTP-binding protein RhoG</t>
  </si>
  <si>
    <t>Isoform 4 of Small EDRK-rich factor 2</t>
  </si>
  <si>
    <t>Forkhead box protein K1</t>
  </si>
  <si>
    <t>Hydroxyacyl-thioester dehydratase type 2, mitochondrial</t>
  </si>
  <si>
    <t>Vacuolar fusion protein CCZ1 homolog</t>
  </si>
  <si>
    <t>Isoform 2 of Disabled homolog 2</t>
  </si>
  <si>
    <t>Isoform 2 of Integral membrane protein DGCR2/IDD</t>
  </si>
  <si>
    <t>Basement membrane-specific heparan sulfate proteoglycan core protein</t>
  </si>
  <si>
    <t>E3 ubiquitin-protein ligase XIAP</t>
  </si>
  <si>
    <t>Ephrin-B1</t>
  </si>
  <si>
    <t>Isoform 3 of Protein FAM3A</t>
  </si>
  <si>
    <t>Isoform 2 of RNA-binding protein 10</t>
  </si>
  <si>
    <t>Putative RNA-binding protein 3</t>
  </si>
  <si>
    <t>55 kDa erythrocyte membrane protein</t>
  </si>
  <si>
    <t>Transcription factor A, mitochondrial</t>
  </si>
  <si>
    <t>Phosphatidylinositol transfer protein alpha isoform</t>
  </si>
  <si>
    <t>Isoform B of Phosphate carrier protein, mitochondrial</t>
  </si>
  <si>
    <t>Vigilin</t>
  </si>
  <si>
    <t>Transcription initiation factor IIB</t>
  </si>
  <si>
    <t>Cyclin-dependent kinase 6</t>
  </si>
  <si>
    <t>Cyclin-dependent kinase 5</t>
  </si>
  <si>
    <t>Cyclin-dependent kinase 16</t>
  </si>
  <si>
    <t>Transcriptional activator protein Pur-alpha</t>
  </si>
  <si>
    <t>Isoform 2 of Cdc42 effector protein 1</t>
  </si>
  <si>
    <t>Isoform 2 of Clathrin heavy chain 1</t>
  </si>
  <si>
    <t>Isoform 4 of Nuclear factor NF-kappa-B p100 subunit</t>
  </si>
  <si>
    <t>Peptidyl-prolyl cis-trans isomerase FKBP3</t>
  </si>
  <si>
    <t>Receptor expression-enhancing protein 5</t>
  </si>
  <si>
    <t>Sorbitol dehydrogenase</t>
  </si>
  <si>
    <t>Isoform Short of Heterogeneous nuclear ribonucleoprotein U</t>
  </si>
  <si>
    <t>Beta-1,4 N-acetylgalactosaminyltransferase 1</t>
  </si>
  <si>
    <t>Splicing factor U2AF 35 kDa subunit</t>
  </si>
  <si>
    <t>Spectrin beta chain, non-erythrocytic 1</t>
  </si>
  <si>
    <t>Isoform 2 of Spectrin beta chain, non-erythrocytic 1</t>
  </si>
  <si>
    <t>Isoform 2 of Nucleolysin TIAR</t>
  </si>
  <si>
    <t>Isoform 2 of Protein SET</t>
  </si>
  <si>
    <t>Isoform 2 of Forkhead box protein K2</t>
  </si>
  <si>
    <t>N-acetylgalactosamine kinase</t>
  </si>
  <si>
    <t>AMP deaminase 3</t>
  </si>
  <si>
    <t>Di-N-acetylchitobiase</t>
  </si>
  <si>
    <t>Fatty acid-binding protein, epidermal</t>
  </si>
  <si>
    <t>Isoform 2 of Adenylyl cyclase-associated protein 1</t>
  </si>
  <si>
    <t>Hydroxymethylglutaryl-CoA synthase, cytoplasmic</t>
  </si>
  <si>
    <t>Large neutral amino acids transporter small subunit 1</t>
  </si>
  <si>
    <t>Protein Dr1</t>
  </si>
  <si>
    <t>Transcription factor AP-4</t>
  </si>
  <si>
    <t>Isoform 2 of Exosome component 10</t>
  </si>
  <si>
    <t>6-phosphofructokinase type C</t>
  </si>
  <si>
    <t>Inositol polyphosphate 5-phosphatase OCRL-1</t>
  </si>
  <si>
    <t>1-phosphatidylinositol 4,5-bisphosphate phosphodiesterase beta-3</t>
  </si>
  <si>
    <t>Tyrosine-protein kinase transmembrane receptor ROR2</t>
  </si>
  <si>
    <t>A-kinase anchor protein 17A</t>
  </si>
  <si>
    <t>Isoform 2 of Transcription factor Sp2</t>
  </si>
  <si>
    <t>Dihydroorotate dehydrogenase (quinone), mitochondrial</t>
  </si>
  <si>
    <t>Isoform 3 of Centromere-associated protein E</t>
  </si>
  <si>
    <t>Kinesin-like protein KIF23</t>
  </si>
  <si>
    <t>Transcription factor Sp4</t>
  </si>
  <si>
    <t>60S ribosomal protein L18a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</si>
  <si>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</si>
  <si>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</si>
  <si>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</si>
  <si>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</si>
  <si>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Isoform 3 of Ras association domain-containing protein 7</t>
  </si>
  <si>
    <t>60S ribosomal protein L6</t>
  </si>
  <si>
    <t>Isoform Beta-1 of DNA topoisomerase 2-beta</t>
  </si>
  <si>
    <t>Isoform 3 of A-kinase anchor protein 12</t>
  </si>
  <si>
    <t>Isoform 2 of Glutathione S-transferase Mu 4</t>
  </si>
  <si>
    <t>Hematopoietically-expressed homeobox protein HHEX</t>
  </si>
  <si>
    <t>Protein ENL</t>
  </si>
  <si>
    <t>Aminoacylase-1</t>
  </si>
  <si>
    <t>Isoform 2 of Transforming growth factor beta receptor type 3</t>
  </si>
  <si>
    <t>Tumor necrosis factor alpha-induced protein 2</t>
  </si>
  <si>
    <t>CCAAT/enhancer-binding protein zeta</t>
  </si>
  <si>
    <t>1,4-alpha-glucan-branching enzyme</t>
  </si>
  <si>
    <t>Isoform D of Eukaryotic translation initiation factor 4 gamma 1</t>
  </si>
  <si>
    <t>Isoform 5 of Copper-transporting ATPase 1</t>
  </si>
  <si>
    <t>Protein kinase C theta type</t>
  </si>
  <si>
    <t>Lactoylglutathione lyase</t>
  </si>
  <si>
    <t>Activin receptor type-1</t>
  </si>
  <si>
    <t>Aldo-keto reductase family 1 member C1</t>
  </si>
  <si>
    <t>Single-stranded DNA-binding protein, mitochondrial</t>
  </si>
  <si>
    <t>14-3-3 protein eta</t>
  </si>
  <si>
    <t>Proteolipid protein 2</t>
  </si>
  <si>
    <t>Cleavage stimulation factor subunit 1</t>
  </si>
  <si>
    <t>Isoform III of Ubiquitin-protein ligase E3A</t>
  </si>
  <si>
    <t>Isoform 5 of Dynamin-1</t>
  </si>
  <si>
    <t>Tyrosine-protein phosphatase non-receptor type 12</t>
  </si>
  <si>
    <t>Isoform 2 of Serine/arginine-rich splicing factor 11</t>
  </si>
  <si>
    <t>Elongation factor 1-alpha 2</t>
  </si>
  <si>
    <t>Protein kinase C delta type</t>
  </si>
  <si>
    <t>2-5A-dependent ribonuclease</t>
  </si>
  <si>
    <t>Isoform 3 of Folylpolyglutamate synthase, mitochondrial</t>
  </si>
  <si>
    <t>Tyrosine-protein phosphatase non-receptor type 11</t>
  </si>
  <si>
    <t>Tyrosine-protein kinase BTK</t>
  </si>
  <si>
    <t>Amidophosphoribosyltransferase</t>
  </si>
  <si>
    <t>Isoform 2 of Glutamine--fructose-6-phosphate aminotransferase [isomerizing] 1</t>
  </si>
  <si>
    <t>Exosome complex component RRP45</t>
  </si>
  <si>
    <t>Isoform 5 of Recombining binding protein suppressor of hairless</t>
  </si>
  <si>
    <t>Isoform 5 of Myocyte-specific enhancer factor 2C</t>
  </si>
  <si>
    <t>Isoform 6 of Myocyte-specific enhancer factor 2C</t>
  </si>
  <si>
    <t>Amyloid-like protein 2</t>
  </si>
  <si>
    <t>GA-binding protein alpha chain</t>
  </si>
  <si>
    <t>E3 ubiquitin-protein ligase RING1</t>
  </si>
  <si>
    <t>Isoform 3 of DNA repair protein RAD51 homolog 1</t>
  </si>
  <si>
    <t>Peroxiredoxin-1</t>
  </si>
  <si>
    <t>Complement component 1 Q subcomponent-binding protein, mitochondrial</t>
  </si>
  <si>
    <t>Early activation antigen CD69</t>
  </si>
  <si>
    <t>Trichohyalin</t>
  </si>
  <si>
    <t>KH domain-containing, RNA-binding, signal transduction-associated protein 1</t>
  </si>
  <si>
    <t>Isoform Epsilon of Apoptosis regulator BAX</t>
  </si>
  <si>
    <t>Induced myeloid leukemia cell differentiation protein Mcl-1</t>
  </si>
  <si>
    <t>DNA polymerase epsilon catalytic subunit A</t>
  </si>
  <si>
    <t>Isoform N of Kinesin light chain 1</t>
  </si>
  <si>
    <t>Rho GTPase-activating protein 1</t>
  </si>
  <si>
    <t>Serine/arginine-rich splicing factor 4</t>
  </si>
  <si>
    <t>Isoform 2 of Serine/threonine-protein phosphatase 2B catalytic subunit alpha isoform</t>
  </si>
  <si>
    <t>ATP-dependent RNA helicase A</t>
  </si>
  <si>
    <t>Quinone oxidoreductase</t>
  </si>
  <si>
    <t>Isoform 2 of Epithelial discoidin domain-containing receptor 1</t>
  </si>
  <si>
    <t>Sodium-dependent phosphate transporter 2</t>
  </si>
  <si>
    <t>Golgin subfamily A member 3</t>
  </si>
  <si>
    <t>Golgin subfamily A member 2</t>
  </si>
  <si>
    <t>Peroxisomal bifunctional enzyme</t>
  </si>
  <si>
    <t>Dematin</t>
  </si>
  <si>
    <t>Isoform Short of Dematin</t>
  </si>
  <si>
    <t>Leukocyte surface antigen CD47</t>
  </si>
  <si>
    <t>Peptidyl-prolyl cis-trans isomerase D</t>
  </si>
  <si>
    <t>FACT complex subunit SSRP1</t>
  </si>
  <si>
    <t>Mitotic-spindle organizing protein 1</t>
  </si>
  <si>
    <t>Protein VAC14 homolog</t>
  </si>
  <si>
    <t>KIAA0100 protein</t>
  </si>
  <si>
    <t>Protein ZNF365</t>
  </si>
  <si>
    <t>tRNA (cytosine(34)-C(5))-methyltransferase</t>
  </si>
  <si>
    <t>Isoform 3 of Histone-binding protein RBBP4</t>
  </si>
  <si>
    <t>Isoform 4 of Histone-binding protein RBBP4</t>
  </si>
  <si>
    <t>Nuclear cap-binding protein subunit 1</t>
  </si>
  <si>
    <t>Alpha-1,6-mannosylglycoprotein 6-beta-N-acetylglucosaminyltransferase A</t>
  </si>
  <si>
    <t>Histone acetyltransferase p300</t>
  </si>
  <si>
    <t>Neuroblast differentiation-associated protein AHNAK</t>
  </si>
  <si>
    <t>Elongator complex protein 6</t>
  </si>
  <si>
    <t>Heat shock 70 kDa protein 14</t>
  </si>
  <si>
    <t>Secernin-3</t>
  </si>
  <si>
    <t>Isoform 3 of Fanconi anemia-associated protein of 100 kDa</t>
  </si>
  <si>
    <t>Alpha-1,6-mannosyl-glycoprotein 2-beta-N-acetylglucosaminyltransferase</t>
  </si>
  <si>
    <t>Polypeptide N-acetylgalactosaminyltransferase 2</t>
  </si>
  <si>
    <t>Isoform B of AP-1 complex subunit beta-1</t>
  </si>
  <si>
    <t>Isoform C of AP-1 complex subunit beta-1</t>
  </si>
  <si>
    <t>Cleavage and polyadenylation specificity factor subunit 1</t>
  </si>
  <si>
    <t>Bone marrow stromal antigen 2</t>
  </si>
  <si>
    <t>Mitochondrial-processing peptidase subunit alpha</t>
  </si>
  <si>
    <t>Nuclear pore complex protein Nup160</t>
  </si>
  <si>
    <t>Sterol regulatory element-binding protein cleavage-activating protein</t>
  </si>
  <si>
    <t>Transducin beta-like protein 3</t>
  </si>
  <si>
    <t>Isoform 2 of General transcription factor 3C polypeptide 1</t>
  </si>
  <si>
    <t>Twinfilin-1</t>
  </si>
  <si>
    <t>Isoform 10 of Aspartyl/asparaginyl beta-hydroxylase</t>
  </si>
  <si>
    <t>Isoform 2 of Potassium voltage-gated channel subfamily H member 2</t>
  </si>
  <si>
    <t>Isoform 4 of Nucleosome-remodeling factor subunit BPTF</t>
  </si>
  <si>
    <t>Cell division cycle protein 20 homolog</t>
  </si>
  <si>
    <t>Kinesin heavy chain isoform 5A</t>
  </si>
  <si>
    <t>Syntaxin-4</t>
  </si>
  <si>
    <t>Splicing factor, suppressor of white-apricot homolog</t>
  </si>
  <si>
    <t>Splicing factor 3A subunit 3</t>
  </si>
  <si>
    <t>Tumor suppressor p53-binding protein 1</t>
  </si>
  <si>
    <t>Transmembrane protein 115</t>
  </si>
  <si>
    <t>Interferon-related developmental regulator 2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</si>
  <si>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</si>
  <si>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</si>
  <si>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</si>
  <si>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</si>
  <si>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Isoform 3 of TNF receptor-associated factor 2</t>
  </si>
  <si>
    <t>Ankyrin-3</t>
  </si>
  <si>
    <t>Isoform 5 of Disks large homolog 1</t>
  </si>
  <si>
    <t>Transcription initiation factor TFIID subunit 10</t>
  </si>
  <si>
    <t>Nuclear inhibitor of protein phosphatase 1</t>
  </si>
  <si>
    <t>Protein tyrosine phosphatase type IVA 2</t>
  </si>
  <si>
    <t>Vesicle transport protein SEC20</t>
  </si>
  <si>
    <t>Transcriptional repressor NF-X1</t>
  </si>
  <si>
    <t>Cleavage stimulation factor subunit 3</t>
  </si>
  <si>
    <t>Delta(3,5)-Delta(2,4)-dienoyl-CoA isomerase, mitochondrial</t>
  </si>
  <si>
    <t>Protein AF1q</t>
  </si>
  <si>
    <t>Isoform 2 of Rho GTPase-activating protein 5</t>
  </si>
  <si>
    <t>Isoform Alpha of Striatin-3</t>
  </si>
  <si>
    <t>Isoform 3 of Cell division cycle protein 16 homolog</t>
  </si>
  <si>
    <t>Serine/threonine-protein kinase 4</t>
  </si>
  <si>
    <t>Protein flightless-1 homolog</t>
  </si>
  <si>
    <t>Isoform 2 of Protein flightless-1 homolog</t>
  </si>
  <si>
    <t>E3 ubiquitin-protein ligase TRIM32</t>
  </si>
  <si>
    <t>Bifunctional coenzyme A synthase</t>
  </si>
  <si>
    <t>G antigen 4</t>
  </si>
  <si>
    <t>G antigen 6</t>
  </si>
  <si>
    <t>Isoform 3 of Acetyl-CoA carboxylase 1</t>
  </si>
  <si>
    <t>Lymphocyte cytosolic protein 2</t>
  </si>
  <si>
    <t>Isoform 2 of Ubiquitin carboxyl-terminal hydrolase 4</t>
  </si>
  <si>
    <t>Chromatin assembly factor 1 subunit A</t>
  </si>
  <si>
    <t>Chromatin assembly factor 1 subunit B</t>
  </si>
  <si>
    <t>Protein Red</t>
  </si>
  <si>
    <t>Zinc finger protein Rlf</t>
  </si>
  <si>
    <t>5-AMP-activated protein kinase catalytic subunit alpha-1</t>
  </si>
  <si>
    <t>Liprin-alpha-1</t>
  </si>
  <si>
    <t>TAR DNA-binding protein 43</t>
  </si>
  <si>
    <t>Heterogeneous nuclear ribonucleoprotein A0</t>
  </si>
  <si>
    <t>Aminoacyl tRNA synthase complex-interacting multifunctional protein 2</t>
  </si>
  <si>
    <t>Protein FADD</t>
  </si>
  <si>
    <t>Peroxiredoxin-4</t>
  </si>
  <si>
    <t>Mitogen-activated protein kinase 7</t>
  </si>
  <si>
    <t>Serine/threonine-protein kinase PAK 2</t>
  </si>
  <si>
    <t>Chromobox protein homolog 3</t>
  </si>
  <si>
    <t>Serine/threonine-protein kinase 3</t>
  </si>
  <si>
    <t>Isoform 3 of Syntaxin-5</t>
  </si>
  <si>
    <t>26S proteasome non-ATPase regulatory subunit 2</t>
  </si>
  <si>
    <t>Probable ATP-dependent RNA helicase DDX10</t>
  </si>
  <si>
    <t>DnaJ homolog subfamily C member 3</t>
  </si>
  <si>
    <t>Selenium-binding protein 1</t>
  </si>
  <si>
    <t>Nucleoside diphosphate kinase 3</t>
  </si>
  <si>
    <t>Mitogen-activated protein kinase kinase kinase 1</t>
  </si>
  <si>
    <t>Serine/arginine-rich splicing factor 9</t>
  </si>
  <si>
    <t>Serine/arginine-rich splicing factor 5</t>
  </si>
  <si>
    <t>Isoform SRP55-3 of Serine/arginine-rich splicing factor 6</t>
  </si>
  <si>
    <t>Mitotic spindle assembly checkpoint protein MAD2A</t>
  </si>
  <si>
    <t>Transcription intermediary factor 1-beta</t>
  </si>
  <si>
    <t>Isoform B of Syntaxin-3</t>
  </si>
  <si>
    <t>Ras GTPase-activating protein-binding protein 1</t>
  </si>
  <si>
    <t>N-myc-interactor</t>
  </si>
  <si>
    <t>Isoform 3 of Inactive tyrosine-protein kinase 7</t>
  </si>
  <si>
    <t>S-phase kinase-associated protein 2</t>
  </si>
  <si>
    <t>Isoform 3 of Polyadenylate-binding protein 4</t>
  </si>
  <si>
    <t>Serine-protein kinase ATM</t>
  </si>
  <si>
    <t>Isoform 1 of Growth factor receptor-bound protein 10</t>
  </si>
  <si>
    <t>Isoform 3 of Metastasis-associated protein MTA1</t>
  </si>
  <si>
    <t>Eukaryotic translation initiation factor 3 subunit I</t>
  </si>
  <si>
    <t>Peptidyl-prolyl cis-trans isomerase-like 2</t>
  </si>
  <si>
    <t>Isoform 4 of Serine/threonine-protein phosphatase 2A 56 kDa regulatory subunit gamma isoform</t>
  </si>
  <si>
    <t>Isoform 2 of C-terminal-binding protein 1</t>
  </si>
  <si>
    <t>Phosducin-like protein</t>
  </si>
  <si>
    <t>Isoform PLD1B of Phospholipase D1</t>
  </si>
  <si>
    <t>39S ribosomal protein L49, mitochondrial</t>
  </si>
  <si>
    <t>Isoform 2F of Cytoplasmic dynein 1 intermediate chain 2</t>
  </si>
  <si>
    <t>Origin recognition complex subunit 2</t>
  </si>
  <si>
    <t>Integrin-linked protein kinase</t>
  </si>
  <si>
    <t>Isoform Ik7 of DNA-binding protein Ikaros</t>
  </si>
  <si>
    <t>NAD(P) transhydrogenase, mitochondrial</t>
  </si>
  <si>
    <t>Alpha-1-syntrophin</t>
  </si>
  <si>
    <t>Beta-2-syntrophin</t>
  </si>
  <si>
    <t>DNA repair protein XRCC4</t>
  </si>
  <si>
    <t>Isoform 3 of DNA repair protein XRCC4</t>
  </si>
  <si>
    <t>Peptidyl-prolyl cis-trans isomerase G</t>
  </si>
  <si>
    <t>Isoform 3 of Treacle protein</t>
  </si>
  <si>
    <t>Isoform B of Protein unc-119 homolog A</t>
  </si>
  <si>
    <t>Splicing factor 3B subunit 2</t>
  </si>
  <si>
    <t>Isoform 4 of Protein OS-9</t>
  </si>
  <si>
    <t>Isoform 3 of Golgin subfamily A member 4</t>
  </si>
  <si>
    <t>28 kDa heat- and acid-stable phosphoprotein</t>
  </si>
  <si>
    <t>Disintegrin and metalloproteinase domain-containing protein 9</t>
  </si>
  <si>
    <t>Isoform 8 of Disintegrin and metalloproteinase domain-containing protein 15</t>
  </si>
  <si>
    <t>Transmembrane emp24 domain-containing protein 1</t>
  </si>
  <si>
    <t>Peptidyl-prolyl cis-trans isomerase FKBP5</t>
  </si>
  <si>
    <t>Rho-associated protein kinase 1</t>
  </si>
  <si>
    <t>Frizzled-5</t>
  </si>
  <si>
    <t>Isoform 3 of Nuclear factor of activated T-cells, cytoplasmic 2</t>
  </si>
  <si>
    <t>Isoform 2 of GRB2-associated-binding protein 1</t>
  </si>
  <si>
    <t>V-type proton ATPase 116 kDa subunit a isoform 3</t>
  </si>
  <si>
    <t>Isoform 3 of Phosphatidylinositol-binding clathrin assembly protein</t>
  </si>
  <si>
    <t>Myotubularin</t>
  </si>
  <si>
    <t>Sequestosome-1</t>
  </si>
  <si>
    <t>Isoform 3 of Metaxin-1</t>
  </si>
  <si>
    <t>NGFI-A-binding protein 1</t>
  </si>
  <si>
    <t>Tubulin beta-3 chain</t>
  </si>
  <si>
    <t>Peptidyl-prolyl cis-trans isomerase NIMA-interacting 1</t>
  </si>
  <si>
    <t>Serine/threonine-protein kinase ATR</t>
  </si>
  <si>
    <t>Eukaryotic translation initiation factor 4E-binding protein 1</t>
  </si>
  <si>
    <t>Eukaryotic translation initiation factor 4E-binding protein 2</t>
  </si>
  <si>
    <t>Receptor-interacting serine/threonine-protein kinase 1</t>
  </si>
  <si>
    <t>Histone deacetylase 1</t>
  </si>
  <si>
    <t>Isoform 2 of NEDD8-activating enzyme E1 regulatory subunit</t>
  </si>
  <si>
    <t>Inositol-tetrakisphosphate 1-kinase</t>
  </si>
  <si>
    <t>SNW domain-containing protein 1</t>
  </si>
  <si>
    <t>Ras GTPase-activating-like protein IQGAP2</t>
  </si>
  <si>
    <t>Stromal interaction molecule 1</t>
  </si>
  <si>
    <t>Sorting nexin-1</t>
  </si>
  <si>
    <t>Peroxisome assembly factor 2</t>
  </si>
  <si>
    <t>Myotubularin-related protein 2</t>
  </si>
  <si>
    <t>Cullin-1</t>
  </si>
  <si>
    <t>Cullin-2</t>
  </si>
  <si>
    <t>Cullin-3</t>
  </si>
  <si>
    <t>Cullin-4A</t>
  </si>
  <si>
    <t>Isoform 2 of Cullin-4B</t>
  </si>
  <si>
    <t>Isoform 2 of Apoptosis-stimulating of p53 protein 2</t>
  </si>
  <si>
    <t>Isoform 1 of Dual specificity tyrosine-phosphorylation-regulated kinase 1A</t>
  </si>
  <si>
    <t>GDP-L-fucose synthase</t>
  </si>
  <si>
    <t>Ras-related protein Rab-31</t>
  </si>
  <si>
    <t>Ras-related protein Rab-32</t>
  </si>
  <si>
    <t>Four and a half LIM domains protein 3</t>
  </si>
  <si>
    <t>Putative postmeiotic segregation increased 2-like protein 11</t>
  </si>
  <si>
    <t>Alkylated DNA repair protein alkB homolog 1</t>
  </si>
  <si>
    <t>Mannosyl-oligosaccharide glucosidase</t>
  </si>
  <si>
    <t>THO complex subunit 5 homolog</t>
  </si>
  <si>
    <t>ADP-ribosylation factor-related protein 1</t>
  </si>
  <si>
    <t>Exosome complex component RRP4</t>
  </si>
  <si>
    <t>Tubulin beta-2A chain</t>
  </si>
  <si>
    <t>Bystin</t>
  </si>
  <si>
    <t>Isopentenyl-diphosphate Delta-isomerase 1</t>
  </si>
  <si>
    <t>Isoform 2 of Core-binding factor subunit beta</t>
  </si>
  <si>
    <t>Isoform 2 of Nuclear transcription factor Y subunit gamma</t>
  </si>
  <si>
    <t>Isoform 2 of Cytoskeleton-associated protein 5</t>
  </si>
  <si>
    <t>Cold-inducible RNA-binding protein</t>
  </si>
  <si>
    <t>Coactosin-like protein</t>
  </si>
  <si>
    <t>Cytochrome c oxidase copper chaperone</t>
  </si>
  <si>
    <t>Isoform 3 of Heterogeneous nuclear ribonucleoprotein D0</t>
  </si>
  <si>
    <t>Lysosome membrane protein 2</t>
  </si>
  <si>
    <t>Isoform 4 of Low-density lipoprotein receptor-related protein 8</t>
  </si>
  <si>
    <t>Isoform 2 of Interleukin-18</t>
  </si>
  <si>
    <t>Dystroglycan</t>
  </si>
  <si>
    <t>Desmoglein-2</t>
  </si>
  <si>
    <t>Ribosome biogenesis protein BOP1</t>
  </si>
  <si>
    <t>Ubiquitin conjugation factor E4 A</t>
  </si>
  <si>
    <t>Isoform Beta of Tripartite motif-containing protein 14</t>
  </si>
  <si>
    <t>Kelch-like ECH-associated protein 1</t>
  </si>
  <si>
    <t>Probable ATP-dependent RNA helicase DHX34</t>
  </si>
  <si>
    <t>MORC family CW-type zinc finger protein 3</t>
  </si>
  <si>
    <t>Scaffold attachment factor B2</t>
  </si>
  <si>
    <t>Eukaryotic translation initiation factor 3 subunit A</t>
  </si>
  <si>
    <t>Ubiquitin-associated protein 2-like</t>
  </si>
  <si>
    <t>Isoform 2 of Ubiquitin-associated protein 2-like</t>
  </si>
  <si>
    <t>Protein scribble homolog</t>
  </si>
  <si>
    <t>Malectin</t>
  </si>
  <si>
    <t>Tubulin--tyrosine ligase-like protein 12</t>
  </si>
  <si>
    <t>DNA polymerase alpha subunit B</t>
  </si>
  <si>
    <t>Werner syndrome ATP-dependent helicase</t>
  </si>
  <si>
    <t>Cytoplasmic dynein 1 heavy chain 1</t>
  </si>
  <si>
    <t>Translation initiation factor eIF-2B subunit alpha</t>
  </si>
  <si>
    <t>Eukaryotic initiation factor 4A-II</t>
  </si>
  <si>
    <t>Transcription elongation factor B polypeptide 3</t>
  </si>
  <si>
    <t>Ensconsin</t>
  </si>
  <si>
    <t>Src substrate cortactin</t>
  </si>
  <si>
    <t>Isoform 3 of Src substrate cortactin</t>
  </si>
  <si>
    <t>Endonuclease G, mitochondrial</t>
  </si>
  <si>
    <t>Reticulocalbin-2</t>
  </si>
  <si>
    <t>E3 ubiquitin/ISG15 ligase TRIM25</t>
  </si>
  <si>
    <t>Isoform 2 of Protein-tyrosine kinase 2-beta</t>
  </si>
  <si>
    <t>Filamin-C</t>
  </si>
  <si>
    <t>Isoform 2 of Peptidyl-prolyl cis-trans isomerase FKBP8</t>
  </si>
  <si>
    <t>Protein FAM50A</t>
  </si>
  <si>
    <t>Protein FRG1</t>
  </si>
  <si>
    <t>Guanine nucleotide-binding protein subunit alpha-13</t>
  </si>
  <si>
    <t>Guanidinoacetate N-methyltransferase</t>
  </si>
  <si>
    <t>UDP-glucose 4-epimerase</t>
  </si>
  <si>
    <t>Isoform 2 of Caprin-1</t>
  </si>
  <si>
    <t>Beclin-1</t>
  </si>
  <si>
    <t>Transcription factor HES-1</t>
  </si>
  <si>
    <t>Isoform 2 of RNA-binding protein 39</t>
  </si>
  <si>
    <t>Protocadherin Fat 1</t>
  </si>
  <si>
    <t>Isoform 2 of Hyaluronan-binding protein 2</t>
  </si>
  <si>
    <t>Helicase-like transcription factor</t>
  </si>
  <si>
    <t>Squalene monooxygenase</t>
  </si>
  <si>
    <t>Protein disulfide-isomerase A5</t>
  </si>
  <si>
    <t>Phosphoribosyl pyrophosphate synthase-associated protein 1</t>
  </si>
  <si>
    <t>ATP-dependent RNA helicase DHX8</t>
  </si>
  <si>
    <t>DNA replication licensing factor MCM6</t>
  </si>
  <si>
    <t>Inositol 1,4,5-trisphosphate receptor type 3</t>
  </si>
  <si>
    <t>Ras GTPase-activating protein 3</t>
  </si>
  <si>
    <t>Plastin-1</t>
  </si>
  <si>
    <t>Interferon regulatory factor 3</t>
  </si>
  <si>
    <t>L antigen family member 3</t>
  </si>
  <si>
    <t>Isoform 3 of E3 ubiquitin-protein ligase TRIP12</t>
  </si>
  <si>
    <t>Pumilio homolog 1</t>
  </si>
  <si>
    <t>Separin</t>
  </si>
  <si>
    <t>Mediator of DNA damage checkpoint protein 1</t>
  </si>
  <si>
    <t>Clathrin interactor 1</t>
  </si>
  <si>
    <t>Isoform 3 of Maternal embryonic leucine zipper kinase</t>
  </si>
  <si>
    <t>BTB/POZ domain-containing protein KCTD2</t>
  </si>
  <si>
    <t>Structural maintenance of chromosomes protein 1A</t>
  </si>
  <si>
    <t>Isoform 2 of Ribosomal RNA processing protein 1 homolog B</t>
  </si>
  <si>
    <t>Nuclear receptor coactivator 6</t>
  </si>
  <si>
    <t>Isoform 2 of Genetic suppressor element 1</t>
  </si>
  <si>
    <t>Protein RRP5 homolog</t>
  </si>
  <si>
    <t>DNA replication complex GINS protein PSF1</t>
  </si>
  <si>
    <t>Ribosome biogenesis protein BMS1 homolog</t>
  </si>
  <si>
    <t>Ubiquitin carboxyl-terminal hydrolase 10</t>
  </si>
  <si>
    <t>LDLR chaperone MESD</t>
  </si>
  <si>
    <t>Neutral alpha-glucosidase AB</t>
  </si>
  <si>
    <t>Isoform 2 of Neutral alpha-glucosidase AB</t>
  </si>
  <si>
    <t>Lamin-B receptor</t>
  </si>
  <si>
    <t>Chromobox protein homolog 2</t>
  </si>
  <si>
    <t>Isoform 2 of Golgin subfamily B member 1</t>
  </si>
  <si>
    <t>Caspase-8</t>
  </si>
  <si>
    <t>N-alpha-acetyltransferase 30</t>
  </si>
  <si>
    <t>Kinesin-like protein KIF22</t>
  </si>
  <si>
    <t>LIM and SH3 domain protein 1</t>
  </si>
  <si>
    <t>Isoform 3 of Zinc finger protein 638</t>
  </si>
  <si>
    <t>Importin subunit beta-1</t>
  </si>
  <si>
    <t>Isoform Beta of Nucleolar and coiled-body phosphoprotein 1</t>
  </si>
  <si>
    <t>Nuclear mitotic apparatus protein 1</t>
  </si>
  <si>
    <t>Proteasome activator complex subunit 4</t>
  </si>
  <si>
    <t>Sarcolemmal membrane-associated protein</t>
  </si>
  <si>
    <t>Isoform 6 of GTPase-activating protein and VPS9 domain-containing protein 1</t>
  </si>
  <si>
    <t>N-alpha-acetyltransferase 25, NatB auxiliary subunit</t>
  </si>
  <si>
    <t>FAST kinase domain-containing protein 3</t>
  </si>
  <si>
    <t>Condensin complex subunit 2</t>
  </si>
  <si>
    <t>PCNA-associated factor</t>
  </si>
  <si>
    <t>ER membrane protein complex subunit 2</t>
  </si>
  <si>
    <t>Pre-mRNA-splicing regulator WTAP</t>
  </si>
  <si>
    <t>26S proteasome non-ATPase regulatory subunit 6</t>
  </si>
  <si>
    <t>Isoform 3 of Homocysteine-responsive endoplasmic reticulum-resident ubiquitin-like domain member 1 protein</t>
  </si>
  <si>
    <t>Lysosomal-associated transmembrane protein 4A</t>
  </si>
  <si>
    <t>MAD2L1-binding protein</t>
  </si>
  <si>
    <t>BRISC complex subunit Abro1</t>
  </si>
  <si>
    <t>Septin-2</t>
  </si>
  <si>
    <t>Squamous cell carcinoma antigen recognized by T-cells 3</t>
  </si>
  <si>
    <t>Condensin complex subunit 1</t>
  </si>
  <si>
    <t>Exosome complex component RRP42</t>
  </si>
  <si>
    <t>Isoform 2 of 116 kDa U5 small nuclear ribonucleoprotein component</t>
  </si>
  <si>
    <t>Isoform 2 of R3H domain-containing protein 1</t>
  </si>
  <si>
    <t>Isoform 2 of Sorting nexin-17</t>
  </si>
  <si>
    <t>Isoform 2 of DAZ-associated protein 2</t>
  </si>
  <si>
    <t>Rab3 GTPase-activating protein catalytic subunit</t>
  </si>
  <si>
    <t>Isoform 2 of Zinc transporter ZIP14</t>
  </si>
  <si>
    <t>Lysine--tRNA ligase</t>
  </si>
  <si>
    <t>Isoform 3 of Histone-lysine N-methyltransferase SETDB1</t>
  </si>
  <si>
    <t>Leucine-rich repeat-containing protein 14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</si>
  <si>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</si>
  <si>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</si>
  <si>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</si>
  <si>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Kinesin-like protein KIF14</t>
  </si>
  <si>
    <t>Bromodomain-containing protein 3</t>
  </si>
  <si>
    <t>WD repeat-containing protein 43</t>
  </si>
  <si>
    <t>Isoform 2 of Peroxisomal acyl-coenzyme A oxidase 1</t>
  </si>
  <si>
    <t>Early endosome antigen 1</t>
  </si>
  <si>
    <t>Platelet-activating factor acetylhydrolase IB subunit gamma</t>
  </si>
  <si>
    <t>Inactive phospholipase C-like protein 1</t>
  </si>
  <si>
    <t>[Pyruvate dehydrogenase [lipoamide]] kinase isozyme 1, mitochondrial</t>
  </si>
  <si>
    <t>Astrocytic phosphoprotein PEA-15</t>
  </si>
  <si>
    <t>Phosphomevalonate kinase</t>
  </si>
  <si>
    <t>Cyclin-dependent kinase 10</t>
  </si>
  <si>
    <t>Isoform 4 of Plectin</t>
  </si>
  <si>
    <t>Nodal modulator 1</t>
  </si>
  <si>
    <t>Serine/threonine-protein phosphatase 2A 56 kDa regulatory subunit alpha isoform</t>
  </si>
  <si>
    <t>Isoform Beta-2 of Serine/threonine-protein phosphatase 2A 56 kDa regulatory subunit beta isoform</t>
  </si>
  <si>
    <t>Inorganic pyrophosphatase</t>
  </si>
  <si>
    <t>Serine/threonine-protein kinase 38</t>
  </si>
  <si>
    <t>Non-POU domain-containing octamer-binding protein</t>
  </si>
  <si>
    <t>Periodic tryptophan protein 2 homolog</t>
  </si>
  <si>
    <t>Nicotinate-nucleotide pyrophosphorylase [carboxylating]</t>
  </si>
  <si>
    <t>Rab GTPase-binding effector protein 1</t>
  </si>
  <si>
    <t>Ras-related protein Rab-35</t>
  </si>
  <si>
    <t>Retinoblastoma-binding protein 5</t>
  </si>
  <si>
    <t>Reticulocalbin-1</t>
  </si>
  <si>
    <t>RalA-binding protein 1</t>
  </si>
  <si>
    <t>Lethal(2) giant larvae protein homolog 1</t>
  </si>
  <si>
    <t>Isoform 3 of Leucine-rich repeat-containing protein 41</t>
  </si>
  <si>
    <t>Transmembrane emp24 domain-containing protein 2</t>
  </si>
  <si>
    <t>Poly(rC)-binding protein 1</t>
  </si>
  <si>
    <t>Isoform 3 of Poly(rC)-binding protein 2</t>
  </si>
  <si>
    <t>Isoform 6 of Poly(rC)-binding protein 2</t>
  </si>
  <si>
    <t>Transcription elongation factor B polypeptide 2</t>
  </si>
  <si>
    <t>GTP-binding protein Rheb</t>
  </si>
  <si>
    <t>Ubiquitin-protein ligase E3C</t>
  </si>
  <si>
    <t>Splicing factor 3B subunit 3</t>
  </si>
  <si>
    <t>Isoform 3 of Disks large-associated protein 5</t>
  </si>
  <si>
    <t>Ras suppressor protein 1</t>
  </si>
  <si>
    <t>Isoform 2 of Scaffold attachment factor B1</t>
  </si>
  <si>
    <t>Splicing factor 3A subunit 2</t>
  </si>
  <si>
    <t>Protein phosphatase 1 regulatory subunit 7</t>
  </si>
  <si>
    <t>Protein transport protein Sec23B</t>
  </si>
  <si>
    <t>Splicing factor 3A subunit 1</t>
  </si>
  <si>
    <t>Isoform 2 of SH2 domain-containing adapter protein B</t>
  </si>
  <si>
    <t>Sperm surface protein Sp17</t>
  </si>
  <si>
    <t>Isoform 2 of Surfeit locus protein 1</t>
  </si>
  <si>
    <t>Surfeit locus protein 2</t>
  </si>
  <si>
    <t>Isoform Short of Transcription initiation factor TFIID subunit 5</t>
  </si>
  <si>
    <t>Transcription initiation factor TFIID subunit 13</t>
  </si>
  <si>
    <t>Isoform 2 of Transcription initiation factor TFIID subunit 11</t>
  </si>
  <si>
    <t>Transcription initiation factor TFIID subunit 7</t>
  </si>
  <si>
    <t>Isoform 3 of Telomeric repeat-binding factor 2</t>
  </si>
  <si>
    <t>Microtubule-associated protein RP/EB family member 2</t>
  </si>
  <si>
    <t>Nuclear receptor coactivator 2</t>
  </si>
  <si>
    <t>Isoform 2 of Na(+)/H(+) exchange regulatory cofactor NHE-RF2</t>
  </si>
  <si>
    <t>Tumor necrosis factor receptor type 1-associated DEATH domain protein</t>
  </si>
  <si>
    <t>Isoform 5 of Splicing factor 1</t>
  </si>
  <si>
    <t>Isoform 6 of Splicing factor 1</t>
  </si>
  <si>
    <t>Cdc42-interacting protein 4</t>
  </si>
  <si>
    <t>Isoform 2 of Cdc42-interacting protein 4</t>
  </si>
  <si>
    <t>Thyroid receptor-interacting protein 11</t>
  </si>
  <si>
    <t>Pachytene checkpoint protein 2 homolog</t>
  </si>
  <si>
    <t>Mediator of RNA polymerase II transcription subunit 1</t>
  </si>
  <si>
    <t>Zinc finger HIT domain-containing protein 3</t>
  </si>
  <si>
    <t>Activating signal cointegrator 1</t>
  </si>
  <si>
    <t>High mobility group nucleosome-binding domain-containing protein 3</t>
  </si>
  <si>
    <t>Isoform 3 of Probable JmjC domain-containing histone demethylation protein 2C</t>
  </si>
  <si>
    <t>NF-kappa-B inhibitor beta</t>
  </si>
  <si>
    <t>Thyroid receptor-interacting protein 6</t>
  </si>
  <si>
    <t>Microtubule-associated protein RP/EB family member 1</t>
  </si>
  <si>
    <t>Isoform 2 of TSC22 domain family protein 1</t>
  </si>
  <si>
    <t>ELAV-like protein 1</t>
  </si>
  <si>
    <t>Sterol-4-alpha-carboxylate 3-dehydrogenase, decarboxylating</t>
  </si>
  <si>
    <t>Isoform 3 of NGFI-A-binding protein 2</t>
  </si>
  <si>
    <t>Ovarian cancer G-protein coupled receptor 1</t>
  </si>
  <si>
    <t>Isoform 3B of Myosin light chain kinase, smooth muscle</t>
  </si>
  <si>
    <t>TGF-beta-activated kinase 1 and MAP3K7-binding protein 1</t>
  </si>
  <si>
    <t>Probable E3 ubiquitin-protein ligase HERC1</t>
  </si>
  <si>
    <t>Neutral amino acid transporter B(0)</t>
  </si>
  <si>
    <t>Mitogen-activated protein kinase 11</t>
  </si>
  <si>
    <t>Myeloid leukemia factor 2</t>
  </si>
  <si>
    <t>Mitochondrial import receptor subunit TOM34</t>
  </si>
  <si>
    <t>Isoform Short of Mothers against decapentaplegic homolog 2</t>
  </si>
  <si>
    <t>Isoform 2 of Methylsterol monooxygenase 1</t>
  </si>
  <si>
    <t>Tubulin-specific chaperone C</t>
  </si>
  <si>
    <t>Ubiquitin-conjugating enzyme E2 variant 2</t>
  </si>
  <si>
    <t>Serine/threonine-protein kinase STK11</t>
  </si>
  <si>
    <t>Syntaxin-binding protein 2</t>
  </si>
  <si>
    <t>Vesicle-associated membrane protein 3</t>
  </si>
  <si>
    <t>V-type proton ATPase subunit S1</t>
  </si>
  <si>
    <t>Vacuolar protein sorting-associated protein 72 homolog</t>
  </si>
  <si>
    <t>Ras-related protein Rab-11B</t>
  </si>
  <si>
    <t>Isoform 3 of Histone-lysine N-methyltransferase EZH2</t>
  </si>
  <si>
    <t>Zyxin</t>
  </si>
  <si>
    <t>Electron transfer flavoprotein-ubiquinone oxidoreductase, mitochondrial</t>
  </si>
  <si>
    <t>Septin-7</t>
  </si>
  <si>
    <t>Proteasomal ubiquitin receptor ADRM1</t>
  </si>
  <si>
    <t>Coiled-coil domain-containing protein 6</t>
  </si>
  <si>
    <t>Isoform AGX1 of UDP-N-acetylhexosamine pyrophosphorylase</t>
  </si>
  <si>
    <t>Protein SSX1</t>
  </si>
  <si>
    <t>Isoform 2 of 26S proteasome non-ATPase regulatory subunit 5</t>
  </si>
  <si>
    <t>Serine/threonine-protein kinase N1</t>
  </si>
  <si>
    <t>Isoform 2 of Serine/threonine-protein kinase N2</t>
  </si>
  <si>
    <t>Isoform TAFII15 of Transcription initiation factor TFIID subunit 12</t>
  </si>
  <si>
    <t>DNA damage-binding protein 1</t>
  </si>
  <si>
    <t>Mitogen-activated protein kinase 14</t>
  </si>
  <si>
    <t>Isoform CSBP1 of Mitogen-activated protein kinase 14</t>
  </si>
  <si>
    <t>Hsp90 co-chaperone Cdc37</t>
  </si>
  <si>
    <t>Isoform 2 of Dihydropyrimidinase-related protein 2</t>
  </si>
  <si>
    <t>Isoform 5 of Zinc finger protein 74</t>
  </si>
  <si>
    <t>Transcription initiation factor TFIID subunit 9</t>
  </si>
  <si>
    <t>Zinc finger protein 239</t>
  </si>
  <si>
    <t>Extracellular matrix protein 1</t>
  </si>
  <si>
    <t>Male-enhanced antigen 1</t>
  </si>
  <si>
    <t>Cleavage and polyadenylation specificity factor subunit 6</t>
  </si>
  <si>
    <t>Isoform 2 of Drebrin</t>
  </si>
  <si>
    <t>MAP kinase-activated protein kinase 3</t>
  </si>
  <si>
    <t>Isoform Short of Nuclear respiratory factor 1</t>
  </si>
  <si>
    <t>Fascin</t>
  </si>
  <si>
    <t>Alpha-mannosidase 2</t>
  </si>
  <si>
    <t>NADH dehydrogenase [ubiquinone] 1 alpha subcomplex subunit 5</t>
  </si>
  <si>
    <t>Isoform ZG of Plasma membrane calcium-transporting ATPase 3</t>
  </si>
  <si>
    <t>Ceramide glucosyltransferase</t>
  </si>
  <si>
    <t>Putative ATP-dependent Clp protease proteolytic subunit, mitochondrial</t>
  </si>
  <si>
    <t>Thiosulfate sulfurtransferase</t>
  </si>
  <si>
    <t>Ubiquitin-conjugating enzyme E2 S</t>
  </si>
  <si>
    <t>Histone H2B type 2-E</t>
  </si>
  <si>
    <t>NADH dehydrogenase [ubiquinone] 1 alpha subcomplex subunit 9, mitochondrial</t>
  </si>
  <si>
    <t>Phosphoenolpyruvate carboxykinase [GTP], mitochondrial</t>
  </si>
  <si>
    <t>Lanosterol 14-alpha demethylase</t>
  </si>
  <si>
    <t>Deoxyguanosine kinase, mitochondrial</t>
  </si>
  <si>
    <t>V-type proton ATPase subunit F</t>
  </si>
  <si>
    <t>2-hydroxyacylsphingosine 1-beta-galactosyltransferase</t>
  </si>
  <si>
    <t>Isoform 2 of Mitochondrial inner membrane protein</t>
  </si>
  <si>
    <t>Proto-oncogene c-Rel</t>
  </si>
  <si>
    <t>Lysine-rich nucleolar protein 1</t>
  </si>
  <si>
    <t>Heterogeneous nuclear ribonucleoprotein U-like protein 2</t>
  </si>
  <si>
    <t>LON peptidase N-terminal domain and RING finger protein 2</t>
  </si>
  <si>
    <t>Isoform 1 of Centrosome and spindle pole-associated protein 1</t>
  </si>
  <si>
    <t>Isoform 2 of Inverted formin-2</t>
  </si>
  <si>
    <t>MHC class I polypeptide-related sequence B</t>
  </si>
  <si>
    <t>Sister chromatid cohesion protein PDS5 homolog A</t>
  </si>
  <si>
    <t>Isoform 2 of Glutamine and serine-rich protein 1</t>
  </si>
  <si>
    <t>Protein CLEC16A</t>
  </si>
  <si>
    <t>Isoform 2 of AP2-associated protein kinase 1</t>
  </si>
  <si>
    <t>WASH complex subunit 7</t>
  </si>
  <si>
    <t>DNA excision repair protein ERCC-6-like</t>
  </si>
  <si>
    <t>Isoform 2 of UPF0561 protein C2orf68</t>
  </si>
  <si>
    <t>Pre-rRNA-processing protein TSR1 homolog</t>
  </si>
  <si>
    <t>GDP-Man:Man(3)GlcNAc(2)-PP-Dol alpha-1,2-mannosyltransferase</t>
  </si>
  <si>
    <t>Glutamine-rich protein 1</t>
  </si>
  <si>
    <t>RELA protein</t>
  </si>
  <si>
    <t>WD40 repeat-containing protein SMU1</t>
  </si>
  <si>
    <t>CWF19-like protein 2</t>
  </si>
  <si>
    <t>Isoform 2 of Leucine-rich repeat flightless-interacting protein 1</t>
  </si>
  <si>
    <t>Isoform 3 of Leucine-rich repeat flightless-interacting protein 1</t>
  </si>
  <si>
    <t>DNA polymerase delta subunit 3</t>
  </si>
  <si>
    <t>CDP-diacylglycerol--glycerol-3-phosphate 3-phosphatidyltransferase, mitochondrial</t>
  </si>
  <si>
    <t>Prolyl 3-hydroxylase 1</t>
  </si>
  <si>
    <t>tRNA (guanine(37)-N1)-methyltransferase</t>
  </si>
  <si>
    <t>DNA-directed RNA polymerase I subunit RPA43</t>
  </si>
  <si>
    <t>Isoform 4 of Erythroid differentiation-related factor 1</t>
  </si>
  <si>
    <t>PMS1 protein homolog 1</t>
  </si>
  <si>
    <t>Isoform 2 of MAP7 domain-containing protein 1</t>
  </si>
  <si>
    <t>UDP-N-acetylhexosamine pyrophosphorylase-like protein 1</t>
  </si>
  <si>
    <t>Alpha-ketoglutarate-dependent dioxygenase alkB homolog 6</t>
  </si>
  <si>
    <t>Bifunctional ATP-dependent dihydroxyacetone kinase/FAD-AMP lyase (cyclizing)</t>
  </si>
  <si>
    <t>Protein LSM12 homolog</t>
  </si>
  <si>
    <t>Putative tRNA pseudouridine synthase Pus10</t>
  </si>
  <si>
    <t>Inactive hydroxysteroid dehydrogenase-like protein 1</t>
  </si>
  <si>
    <t>Transcription factor Sp6</t>
  </si>
  <si>
    <t>Isoform 2 of Girdin</t>
  </si>
  <si>
    <t>Isoform 5 of Girdin</t>
  </si>
  <si>
    <t>Rab-like protein 6</t>
  </si>
  <si>
    <t>Vacuolar ATPase assembly integral membrane protein VMA21</t>
  </si>
  <si>
    <t>Tubulin beta-8 chain</t>
  </si>
  <si>
    <t>Mitochondrial import inner membrane translocase subunit TIM50</t>
  </si>
  <si>
    <t>Cryptochrome-2</t>
  </si>
  <si>
    <t>UPF0489 protein C5orf22</t>
  </si>
  <si>
    <t>Cytochrome c oxidase assembly protein COX19</t>
  </si>
  <si>
    <t>Vacuolar protein sorting-associated protein 26B</t>
  </si>
  <si>
    <t>Protein CCSMST1</t>
  </si>
  <si>
    <t>La-related protein 7</t>
  </si>
  <si>
    <t>NAD kinase domain-containing protein 1, mitochondrial</t>
  </si>
  <si>
    <t>Isoform 2 of Glucoside xylosyltransferase 1</t>
  </si>
  <si>
    <t>Acyl-CoA synthetase family member 3, mitochondrial</t>
  </si>
  <si>
    <t>Isoform 4 of Prolyl endopeptidase-like</t>
  </si>
  <si>
    <t>TBC1 domain family member 10B</t>
  </si>
  <si>
    <t>Isoform 3 of Anoctamin-6</t>
  </si>
  <si>
    <t>Isoform 3 of 1-phosphatidylinositol 4,5-bisphosphate phosphodiesterase eta-1</t>
  </si>
  <si>
    <t>Dynein light chain 1, axonemal</t>
  </si>
  <si>
    <t>Isoform 2 of AT-rich interactive domain-containing protein 4B</t>
  </si>
  <si>
    <t>GRIP1-associated protein 1</t>
  </si>
  <si>
    <t>CYP11B1 protein</t>
  </si>
  <si>
    <t>Isoform 2 of B-cell CLL/lymphoma 7 protein family member A</t>
  </si>
  <si>
    <t>Peroxisomal 2,4-dienoyl-CoA reductase</t>
  </si>
  <si>
    <t>Isoform 2 of Membralin</t>
  </si>
  <si>
    <t>Isoform 2 of PAB-dependent poly(A)-specific ribonuclease subunit 2</t>
  </si>
  <si>
    <t>Isoform 2 of Protein FAM98B</t>
  </si>
  <si>
    <t>Isoform 2 of Programmed cell death protein 4</t>
  </si>
  <si>
    <t>Isoform 2 of Fibronectin type III domain-containing protein 3B</t>
  </si>
  <si>
    <t>Glycerol-3-phosphate acyltransferase 3</t>
  </si>
  <si>
    <t>Isoform 2 of Centrosomal protein of 55 kDa</t>
  </si>
  <si>
    <t>Quinone oxidoreductase PIG3</t>
  </si>
  <si>
    <t>Protein Hikeshi</t>
  </si>
  <si>
    <t>Acyl-coenzyme A synthetase ACSM3, mitochondrial</t>
  </si>
  <si>
    <t>Estradiol 17-beta-dehydrogenase 12</t>
  </si>
  <si>
    <t>Histone-lysine N-methyltransferase SETMAR</t>
  </si>
  <si>
    <t>tRNA wybutosine-synthesizing protein 2 homolog</t>
  </si>
  <si>
    <t>Beta-lactamase-like protein 2</t>
  </si>
  <si>
    <t>Pyrroline-5-carboxylate reductase 3</t>
  </si>
  <si>
    <t>FAST kinase domain-containing protein 1</t>
  </si>
  <si>
    <t>Ankyrin repeat domain-containing protein 39</t>
  </si>
  <si>
    <t>BolA-like protein 3</t>
  </si>
  <si>
    <t>HCLS1-binding protein 3</t>
  </si>
  <si>
    <t>Isoform 3 of Cytochrome b reductase 1</t>
  </si>
  <si>
    <t>Isoform 2 of Shugoshin-like 2</t>
  </si>
  <si>
    <t>Isoform 2 of Mpv17-like protein 2</t>
  </si>
  <si>
    <t>Vesicle transport protein SFT2C</t>
  </si>
  <si>
    <t>PAB-dependent poly(A)-specific ribonuclease subunit 3</t>
  </si>
  <si>
    <t>Putative heat shock protein HSP 90-beta-3</t>
  </si>
  <si>
    <t>Putative heat shock protein HSP 90-beta 2</t>
  </si>
  <si>
    <t>Putative heat shock protein HSP 90-alpha A4</t>
  </si>
  <si>
    <t>DDB1- and CUL4-associated factor 6</t>
  </si>
  <si>
    <t>Putative 60S ribosomal protein L39-like 5</t>
  </si>
  <si>
    <t>Oxidoreductase-like domain-containing protein 1</t>
  </si>
  <si>
    <t>Isoform 3 of UPF0692 protein C19orf54</t>
  </si>
  <si>
    <t>Isoform 2 of Solute carrier family 45 member 4</t>
  </si>
  <si>
    <t>Costimulatory factor CD80 type 1</t>
  </si>
  <si>
    <t>RILP-like protein 1</t>
  </si>
  <si>
    <t>PDZ domain-containing protein 11</t>
  </si>
  <si>
    <t>UMP-CMP kinase 2, mitochondrial</t>
  </si>
  <si>
    <t>DnaJ homolog subfamily C member 21</t>
  </si>
  <si>
    <t>Isoform 3 of Probable E3 ubiquitin-protein ligase HERC4</t>
  </si>
  <si>
    <t>Urotensin-2</t>
  </si>
  <si>
    <t>cAMP-dependent protein kinase inhibitor gamma</t>
  </si>
  <si>
    <t>Metalloproteinase inhibitor 1</t>
  </si>
  <si>
    <t>Deoxyribonuclease-1-like 1 (Fragment)</t>
  </si>
  <si>
    <t>Rab-like protein 3</t>
  </si>
  <si>
    <t>WD repeat-containing protein 46 (Fragment)</t>
  </si>
  <si>
    <t>Ecto-ADP-ribosyltransferase 3 (Fragment)</t>
  </si>
  <si>
    <t>Histone-binding protein RBBP7 (Fragment)</t>
  </si>
  <si>
    <t>Tubulin beta chain</t>
  </si>
  <si>
    <t>Isoform 2 of Nodal modulator 2</t>
  </si>
  <si>
    <t>Probable glutamate--tRNA ligase, mitochondrial</t>
  </si>
  <si>
    <t>Rho-related GTP-binding protein RhoC (Fragment)</t>
  </si>
  <si>
    <t>Melanoma inhibitory activity protein 3</t>
  </si>
  <si>
    <t>Nucleoporin p58/p45 (Fragment)</t>
  </si>
  <si>
    <t>Serine/arginine-rich-splicing factor 10</t>
  </si>
  <si>
    <t>Putative G antigen family E member 3</t>
  </si>
  <si>
    <t>Presequence protease, mitochondrial</t>
  </si>
  <si>
    <t>Proteasome assembly chaperone 4</t>
  </si>
  <si>
    <t>Isoform 2 of WD repeat-containing protein 44</t>
  </si>
  <si>
    <t>High mobility group nucleosome-binding domain-containing protein 5 (Fragment)</t>
  </si>
  <si>
    <t>Protein PRRC2B</t>
  </si>
  <si>
    <t>Laminin subunit gamma-3</t>
  </si>
  <si>
    <t>Isoform 2 of Tight junction-associated protein 1</t>
  </si>
  <si>
    <t>Isoform 2 of RRP12-like protein</t>
  </si>
  <si>
    <t>Isoform 3 of Cytochrome c oxidase assembly factor 6 homolog</t>
  </si>
  <si>
    <t>Laminin subunit alpha-5</t>
  </si>
  <si>
    <t>Glucocorticoid modulatory element binding protein 2, isoform CRA_a</t>
  </si>
  <si>
    <t>Torsin-1A-interacting protein 1</t>
  </si>
  <si>
    <t>Alanine--tRNA ligase, mitochondrial</t>
  </si>
  <si>
    <t>Torsin-2A</t>
  </si>
  <si>
    <t>Isoform 3 of IQ motif and SEC7 domain-containing protein 2</t>
  </si>
  <si>
    <t>Rap guanine nucleotide exchange factor 1 (Fragment)</t>
  </si>
  <si>
    <t>Protein FAM78A</t>
  </si>
  <si>
    <t>Testis-expressed sequence 30 protein</t>
  </si>
  <si>
    <t>Discs, large homolog 3 (Neuroendocrine-dlg, Drosophila), isoform CRA_b</t>
  </si>
  <si>
    <t>Isoform 3 of PCI domain-containing protein 2</t>
  </si>
  <si>
    <t>Engulfment and cell motility protein 2</t>
  </si>
  <si>
    <t>Double-stranded RNA-binding protein Staufen homolog 1</t>
  </si>
  <si>
    <t>Transmembrane protein 230 (Fragment)</t>
  </si>
  <si>
    <t>Threonine aspartase subunit beta (Fragment)</t>
  </si>
  <si>
    <t>Mediator of RNA polymerase II transcription subunit 23</t>
  </si>
  <si>
    <t>Migration and invasion-inhibitory protein</t>
  </si>
  <si>
    <t>Mortality factor 4-like protein 2 (Fragment)</t>
  </si>
  <si>
    <t>Crooked neck-like protein 1</t>
  </si>
  <si>
    <t>Ubiquitin carboxyl-terminal hydrolase isozyme L5</t>
  </si>
  <si>
    <t>Cytospin-B</t>
  </si>
  <si>
    <t>Isoform 3 of Serine/threonine-protein phosphatase 4 regulatory subunit 3B</t>
  </si>
  <si>
    <t>WD repeat domain phosphoinositide-interacting protein 3</t>
  </si>
  <si>
    <t>EGF domain-specific O-linked N-acetylglucosamine transferase</t>
  </si>
  <si>
    <t>Deoxynucleotidyltransferase terminal-interacting protein 2</t>
  </si>
  <si>
    <t>Peroxisomal biogenesis factor 19 (Fragment)</t>
  </si>
  <si>
    <t>ATP synthase subunit b, mitochondrial</t>
  </si>
  <si>
    <t>Bcl-2-like protein 1 (Fragment)</t>
  </si>
  <si>
    <t>Isoform 2 of DDB1- and CUL4-associated factor 10</t>
  </si>
  <si>
    <t>28S ribosomal protein S18a, mitochondrial (Fragment)</t>
  </si>
  <si>
    <t>Alpha-tocopherol transfer protein-like (Fragment)</t>
  </si>
  <si>
    <t>Dolichol-phosphate mannosyltransferase</t>
  </si>
  <si>
    <t>Isoform 4 of Rab GTPase-activating protein 1-like</t>
  </si>
  <si>
    <t>Mitochondrial pyruvate carrier 2 (Fragment)</t>
  </si>
  <si>
    <t>Tetratricopeptide repeat protein 38</t>
  </si>
  <si>
    <t>Cytochrome c oxidase protein 20 homolog</t>
  </si>
  <si>
    <t>Exosome complex component MTR3</t>
  </si>
  <si>
    <t>Methylenetetrahydrofolate reductase</t>
  </si>
  <si>
    <t>Phosphatidylinositol 4,5-bisphosphate 3-kinase catalytic subunit delta isoform</t>
  </si>
  <si>
    <t>Calsyntenin-1 (Fragment)</t>
  </si>
  <si>
    <t>Hippocampus abundant transcript-like protein 1</t>
  </si>
  <si>
    <t>Nucleoporin NUP188 homolog</t>
  </si>
  <si>
    <t>Pre-mRNA-processing factor 17</t>
  </si>
  <si>
    <t>Casein kinase 2, beta polypeptide, isoform CRA_d</t>
  </si>
  <si>
    <t>Heterochromatin protein 1-binding protein 3</t>
  </si>
  <si>
    <t>Valine--tRNA ligase, mitochondrial</t>
  </si>
  <si>
    <t>Dynamin-binding protein</t>
  </si>
  <si>
    <t>Centrosomal protein of 170 kDa</t>
  </si>
  <si>
    <t>Isoform 2 of Protein odr-4 homolog</t>
  </si>
  <si>
    <t>Rab GDP dissociation inhibitor beta (Fragment)</t>
  </si>
  <si>
    <t>DNL-type zinc finger protein</t>
  </si>
  <si>
    <t>Polynucleotide 5-hydroxyl-kinase NOL9</t>
  </si>
  <si>
    <t>Splicing factor 3B subunit 4 (Fragment)</t>
  </si>
  <si>
    <t>Ceramide synthase 2 (Fragment)</t>
  </si>
  <si>
    <t>Tudor and KH domain containing, isoform CRA_a</t>
  </si>
  <si>
    <t>Isoform 2 of Tumor protein p63-regulated gene 1-like protein</t>
  </si>
  <si>
    <t>cAMP-dependent protein kinase inhibitor beta</t>
  </si>
  <si>
    <t>Chromosome 9 open reading frame 156, isoform CRA_b</t>
  </si>
  <si>
    <t>SH3 domain-binding glutamic acid-rich-like protein 3</t>
  </si>
  <si>
    <t>Probable arginine--tRNA ligase, mitochondrial</t>
  </si>
  <si>
    <t>Pygopus homolog 2</t>
  </si>
  <si>
    <t>Cyclin-dependent kinases regulatory subunit 1</t>
  </si>
  <si>
    <t>Acyl-coenzyme A thioesterase THEM4</t>
  </si>
  <si>
    <t>FK506-binding protein 15</t>
  </si>
  <si>
    <t>Probable ATP-dependent RNA helicase DDX59</t>
  </si>
  <si>
    <t>Phospholysine phosphohistidine inorganic pyrophosphate phosphatase</t>
  </si>
  <si>
    <t>Zinc finger CCCH domain-containing protein 13</t>
  </si>
  <si>
    <t>Uncharacterized protein C9orf114</t>
  </si>
  <si>
    <t>OTU domain-containing protein 3</t>
  </si>
  <si>
    <t>2-oxoisovalerate dehydrogenase subunit beta, mitochondrial</t>
  </si>
  <si>
    <t>Isoform 3 of Decaprenyl-diphosphate synthase subunit 1</t>
  </si>
  <si>
    <t>Isoform 2 of Ligand-dependent nuclear receptor-interacting factor 1</t>
  </si>
  <si>
    <t>Annexin A1 (Fragment)</t>
  </si>
  <si>
    <t>HEAT repeat-containing protein 1</t>
  </si>
  <si>
    <t>Isoform 2 of Multidrug resistance-associated protein 7</t>
  </si>
  <si>
    <t>A/G-specific adenine DNA glycosylase (Fragment)</t>
  </si>
  <si>
    <t>Putative transferase CAF17, mitochondrial</t>
  </si>
  <si>
    <t>E3 ubiquitin-protein ligase HECTD3</t>
  </si>
  <si>
    <t>Ubiquinone biosynthesis protein COQ4 homolog, mitochondrial</t>
  </si>
  <si>
    <t>Isoform 2 of Transmembrane and TPR repeat-containing protein 4</t>
  </si>
  <si>
    <t>Isoform 3 of E3 ubiquitin-protein ligase UBR4</t>
  </si>
  <si>
    <t>Acyl-Coenzyme A dehydrogenase, C-4 to C-12 straight chain, isoform CRA_a</t>
  </si>
  <si>
    <t>Geranylgeranyl transferase type-2 subunit beta</t>
  </si>
  <si>
    <t>Isoform 3 of Syntaxin-binding protein 5</t>
  </si>
  <si>
    <t>Serine--tRNA ligase, cytoplasmic</t>
  </si>
  <si>
    <t>Rho GTPase-activating protein 21</t>
  </si>
  <si>
    <t>BEN domain-containing protein 3</t>
  </si>
  <si>
    <t>Calmodulin-regulated spectrin-associated protein 1</t>
  </si>
  <si>
    <t>DDB1- and CUL4-associated factor 12</t>
  </si>
  <si>
    <t>Ubiquitin-associated protein 2</t>
  </si>
  <si>
    <t>PHD finger protein 19</t>
  </si>
  <si>
    <t>Isoform 2 of PHD finger protein 19</t>
  </si>
  <si>
    <t>UPF0553 protein C9orf64</t>
  </si>
  <si>
    <t>Transmembrane protein 59</t>
  </si>
  <si>
    <t>Chaperone activity of bc1 complex-like, mitochondrial</t>
  </si>
  <si>
    <t>RAB6-interacting golgin</t>
  </si>
  <si>
    <t>Isoform 4 of Acyl-CoA-binding domain-containing protein 5</t>
  </si>
  <si>
    <t>Protein COX6A1P2</t>
  </si>
  <si>
    <t>Isoform 2 of Protein FAM102B</t>
  </si>
  <si>
    <t>Isoform 2 of RNA-binding protein 26</t>
  </si>
  <si>
    <t>Surfeit 4</t>
  </si>
  <si>
    <t>ATPase family AAA domain-containing protein 3B</t>
  </si>
  <si>
    <t>Adenylate kinase isoenzyme 1</t>
  </si>
  <si>
    <t>Myocyte-specific enhancer factor 2D (Fragment)</t>
  </si>
  <si>
    <t>Heat shock protein HSP 90-beta (Fragment)</t>
  </si>
  <si>
    <t>Glutathione S-transferase omega-1 (Fragment)</t>
  </si>
  <si>
    <t>E3 ubiquitin-protein ligase RNF187</t>
  </si>
  <si>
    <t>Isoform 2 of Integrator complex subunit 11</t>
  </si>
  <si>
    <t>Glycolipid transfer protein domain-containing protein 1</t>
  </si>
  <si>
    <t>Protein argonaute-1</t>
  </si>
  <si>
    <t>Hermansky-Pudlak syndrome 1 protein (Fragment)</t>
  </si>
  <si>
    <t>Calcium-binding protein 39-like (Fragment)</t>
  </si>
  <si>
    <t>Terminal uridylyltransferase 4</t>
  </si>
  <si>
    <t>Ribonuclease H2 subunit B</t>
  </si>
  <si>
    <t>Transcription initiation factor TFIID subunit 4 (Fragment)</t>
  </si>
  <si>
    <t>Protein LSM14 homolog B (Fragment)</t>
  </si>
  <si>
    <t>Isoform 2 of Probable E3 ubiquitin-protein ligase Roquin</t>
  </si>
  <si>
    <t>Ribosyldihydronicotinamide dehydrogenase [quinone]</t>
  </si>
  <si>
    <t>DnaJ (Hsp40) homolog, subfamily C, member 16, isoform CRA_a</t>
  </si>
  <si>
    <t>Protein DDI1 homolog 2</t>
  </si>
  <si>
    <t>NADH dehydrogenase [ubiquinone] 1 alpha subcomplex assembly factor 5</t>
  </si>
  <si>
    <t>Glycoprotein integral membrane protein 1 (Fragment)</t>
  </si>
  <si>
    <t>5-nucleotidase domain-containing protein 1</t>
  </si>
  <si>
    <t>Transmembrane protein 189</t>
  </si>
  <si>
    <t>NDRG family member 3, isoform CRA_c</t>
  </si>
  <si>
    <t>Isoform 2 of Vacuolar protein sorting-associated protein 13D</t>
  </si>
  <si>
    <t>Isoform 3 of Protein PRR14L</t>
  </si>
  <si>
    <t>Histidine protein methyltransferase 1 homolog (Fragment)</t>
  </si>
  <si>
    <t>Thiamine transporter 1</t>
  </si>
  <si>
    <t>Vesicle transport protein SFT2B</t>
  </si>
  <si>
    <t>Complex III assembly factor LYRM7</t>
  </si>
  <si>
    <t>Telomere-associated protein RIF1</t>
  </si>
  <si>
    <t>Isoform 4 of Vacuolar protein sorting-associated protein 53 homolog</t>
  </si>
  <si>
    <t>Striatin-interacting protein 1</t>
  </si>
  <si>
    <t>Regulation of nuclear pre-mRNA domain-containing protein 2</t>
  </si>
  <si>
    <t>Growth hormone-inducible transmembrane protein</t>
  </si>
  <si>
    <t>Isoform 2 of Zinc finger protein Gfi-1b</t>
  </si>
  <si>
    <t>Pre-mRNA-splicing factor 38B</t>
  </si>
  <si>
    <t>E3 ubiquitin-protein ligase BRE1A</t>
  </si>
  <si>
    <t>Dynein light chain Tctex-type 1</t>
  </si>
  <si>
    <t>Tropomyosin 3, isoform CRA_b</t>
  </si>
  <si>
    <t>Zinc finger protein 318</t>
  </si>
  <si>
    <t>Threonylcarbamoyladenosine tRNA methylthiotransferase</t>
  </si>
  <si>
    <t>Zinc finger protein 691</t>
  </si>
  <si>
    <t>Microsomal glutathione S-transferase 3</t>
  </si>
  <si>
    <t>Pleckstrin homology domain-containing family M member 2</t>
  </si>
  <si>
    <t>Isoform 2 of Histone H2A deubiquitinase MYSM1</t>
  </si>
  <si>
    <t>Ubiquitin thioesterase OTU1</t>
  </si>
  <si>
    <t>BRO1 domain-containing protein BROX</t>
  </si>
  <si>
    <t>Glycerol-3-phosphate acyltransferase 1, mitochondrial</t>
  </si>
  <si>
    <t>Sorting nexin-30</t>
  </si>
  <si>
    <t>Protein FAM46C</t>
  </si>
  <si>
    <t>Round spermatid basic protein 1</t>
  </si>
  <si>
    <t>Partitioning defective 3 homolog</t>
  </si>
  <si>
    <t>Lysophospholipase-like protein 1</t>
  </si>
  <si>
    <t>Rho guanine nucleotide exchange factor 2</t>
  </si>
  <si>
    <t>Isoform 2 of Janus kinase and microtubule-interacting protein 3</t>
  </si>
  <si>
    <t>N-alpha-acetyltransferase 35, NatC auxiliary subunit</t>
  </si>
  <si>
    <t>Isoform 2 of Transmembrane protein C9orf91</t>
  </si>
  <si>
    <t>Isoform 4 of Zinc finger MYM-type protein 4</t>
  </si>
  <si>
    <t>Golgi-associated plant pathogenesis-related protein 1</t>
  </si>
  <si>
    <t>Tripeptidyl-peptidase 2</t>
  </si>
  <si>
    <t>CUGBP Elav-like family member 2</t>
  </si>
  <si>
    <t>BRI2, membrane form</t>
  </si>
  <si>
    <t>Protein FAM160B1</t>
  </si>
  <si>
    <t>Isoform 2 of SPRY domain-containing protein 7</t>
  </si>
  <si>
    <t>NADH dehydrogenase (Ubiquinone) 1 beta subcomplex, 8, 19kDa, isoform CRA_a</t>
  </si>
  <si>
    <t>Protein QIL1</t>
  </si>
  <si>
    <t>E3 ubiquitin-protein ligase RNF123</t>
  </si>
  <si>
    <t>Isoform 3 of F-box/WD repeat-containing protein 9</t>
  </si>
  <si>
    <t>E3 ubiquitin-protein ligase RNF213</t>
  </si>
  <si>
    <t>Lysophospholipid acyltransferase LPCAT4</t>
  </si>
  <si>
    <t>Isoform 3 of Metalloreductase STEAP3</t>
  </si>
  <si>
    <t>Centrosomal protein of 135 kDa</t>
  </si>
  <si>
    <t>Isoform 2 of TBC1 domain family member 9B</t>
  </si>
  <si>
    <t>DDB1- and CUL4-associated factor 15</t>
  </si>
  <si>
    <t>Serine/threonine-protein phosphatase 2A 55 kDa regulatory subunit B delta isoform</t>
  </si>
  <si>
    <t>6-phosphofructo-2-kinase/fructose-2, 6-biphosphatase 4 isoform 1</t>
  </si>
  <si>
    <t>Isoform 3 of Kazrin</t>
  </si>
  <si>
    <t>Digestive organ expansion factor homolog</t>
  </si>
  <si>
    <t>Isoform 2 of Protein SPT2 homolog</t>
  </si>
  <si>
    <t>Natural cytotoxicity triggering receptor 3 ligand 1</t>
  </si>
  <si>
    <t>Metallo-beta-lactamase domain-containing protein 2</t>
  </si>
  <si>
    <t>LMBR1 domain-containing protein 2</t>
  </si>
  <si>
    <t>Isoform 2 of Integrator complex subunit 3</t>
  </si>
  <si>
    <t>Isoform 6 of Rho GTPase-activating protein 17</t>
  </si>
  <si>
    <t>Cell division cycle-associated protein 2</t>
  </si>
  <si>
    <t>Uncharacterized protein DKFZp762I1415</t>
  </si>
  <si>
    <t>Putative uncharacterized protein DKFZp762C0813 (Fragment)</t>
  </si>
  <si>
    <t>CWF19-like protein 1</t>
  </si>
  <si>
    <t>Isoform 3 of Protein virilizer homolog</t>
  </si>
  <si>
    <t>Isoform 2 of Cytospin-A</t>
  </si>
  <si>
    <t>Uncharacterized protein C12orf73</t>
  </si>
  <si>
    <t>HEAT repeat-containing protein 6</t>
  </si>
  <si>
    <t>Ankyrin repeat domain-containing protein 40</t>
  </si>
  <si>
    <t>Isoform 2 of NADH-cytochrome b5 reductase 2</t>
  </si>
  <si>
    <t>UHRF1-binding protein 1</t>
  </si>
  <si>
    <t>AMMECR1-like protein</t>
  </si>
  <si>
    <t>Zinc finger protein 787</t>
  </si>
  <si>
    <t>Atlastin-3</t>
  </si>
  <si>
    <t>Adenosine deaminase-like protein</t>
  </si>
  <si>
    <t>Serine/threonine-protein kinase MRCK gamma</t>
  </si>
  <si>
    <t>Isoform 5 of DNA-directed RNA polymerase II subunit GRINL1A, isoforms 4/5</t>
  </si>
  <si>
    <t>Vasorin</t>
  </si>
  <si>
    <t>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</si>
  <si>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</si>
  <si>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</si>
  <si>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</si>
  <si>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</si>
  <si>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THO complex subunit 7 homolog</t>
  </si>
  <si>
    <t>Glutamine-dependent NAD(+) synthetase</t>
  </si>
  <si>
    <t>Isoform 3 of Elongator complex protein 2</t>
  </si>
  <si>
    <t>Ragulator complex protein LAMTOR1</t>
  </si>
  <si>
    <t>Dehydrogenase/reductase SDR family member 7B</t>
  </si>
  <si>
    <t>Twinfilin-2</t>
  </si>
  <si>
    <t>Isoform 2 of Condensin-2 complex subunit H2</t>
  </si>
  <si>
    <t>GRAM domain-containing protein 4</t>
  </si>
  <si>
    <t>rRNA methyltransferase 1, mitochondrial</t>
  </si>
  <si>
    <t>Serine/threonine-protein phosphatase 4 regulatory subunit 3A</t>
  </si>
  <si>
    <t>LYR motif-containing protein 5</t>
  </si>
  <si>
    <t>tRNA wybutosine-synthesizing protein 3 homolog</t>
  </si>
  <si>
    <t>Centromere protein P</t>
  </si>
  <si>
    <t>Ras-related protein Rab-12</t>
  </si>
  <si>
    <t>Isoform 2 of Protein SDE2 homolog</t>
  </si>
  <si>
    <t>Metabotropic glutamate receptor 5</t>
  </si>
  <si>
    <t>Isoform 2 of Nipped-B-like protein</t>
  </si>
  <si>
    <t>Calcium-binding mitochondrial carrier protein SCaMC-2</t>
  </si>
  <si>
    <t>Isoform 2 of Protein lin-54 homolog</t>
  </si>
  <si>
    <t>2-oxoglutarate and iron-dependent oxygenase domain-containing protein 2</t>
  </si>
  <si>
    <t>N-alpha-acetyltransferase 16, NatA auxiliary subunit</t>
  </si>
  <si>
    <t>Cancer/testis antigen family 45 member A5</t>
  </si>
  <si>
    <t>Leucine-rich repeat-containing protein 8E</t>
  </si>
  <si>
    <t>MFS-type transporter SLC18B1</t>
  </si>
  <si>
    <t>UPF0544 protein C5orf45</t>
  </si>
  <si>
    <t>Calcium-binding mitochondrial carrier protein SCaMC-1</t>
  </si>
  <si>
    <t>Isoform 2 of Receptor expression-enhancing protein 3</t>
  </si>
  <si>
    <t>All-trans-retinol 13,14-reductase</t>
  </si>
  <si>
    <t>RAD50-interacting protein 1</t>
  </si>
  <si>
    <t>Isoform 2 of Transmembrane protein 214</t>
  </si>
  <si>
    <t>3-hydroxyisobutyryl-CoA hydrolase, mitochondrial</t>
  </si>
  <si>
    <t>Isoform 2 of Armadillo repeat-containing protein 6</t>
  </si>
  <si>
    <t>Ankyrin repeat domain-containing protein 54</t>
  </si>
  <si>
    <t>Transmembrane anterior posterior transformation protein 1 homolog</t>
  </si>
  <si>
    <t>Phostensin</t>
  </si>
  <si>
    <t>Polymerase I and transcript release factor</t>
  </si>
  <si>
    <t>Zinc finger CCHC domain-containing protein 8</t>
  </si>
  <si>
    <t>39S ribosomal protein L54, mitochondrial</t>
  </si>
  <si>
    <t>Parafibromin</t>
  </si>
  <si>
    <t>Isoform 4 of Polyamine-modulated factor 1</t>
  </si>
  <si>
    <t>General transcription factor IIH subunit 2-like protein</t>
  </si>
  <si>
    <t>Isoform 2 of Protein FAM117B</t>
  </si>
  <si>
    <t>39S ribosomal protein L14, mitochondrial</t>
  </si>
  <si>
    <t>Long-chain fatty acid transport protein 4</t>
  </si>
  <si>
    <t>Isoform 2 of Coiled-coil and C2 domain-containing protein 1A</t>
  </si>
  <si>
    <t>Methyltransferase-like protein 2B</t>
  </si>
  <si>
    <t>tRNA-dihydrouridine(16/17) synthase [NAD(P)(+)]-like</t>
  </si>
  <si>
    <t>Transcription initiation factor TFIID subunit 2</t>
  </si>
  <si>
    <t>Isoform 2 of Mediator of RNA polymerase II transcription subunit 27</t>
  </si>
  <si>
    <t>Enhancer of mRNA-decapping protein 4</t>
  </si>
  <si>
    <t>Isoform 2 of Centrosomal protein of 85 kDa</t>
  </si>
  <si>
    <t>Putative protein arginine N-methyltransferase 10</t>
  </si>
  <si>
    <t>Pre-mRNA-processing-splicing factor 8</t>
  </si>
  <si>
    <t>Isoform 5 of DENN domain-containing protein 1B</t>
  </si>
  <si>
    <t>F-box only protein 42</t>
  </si>
  <si>
    <t>SCY1-like protein 2</t>
  </si>
  <si>
    <t>Tetratricopeptide repeat protein 27</t>
  </si>
  <si>
    <t>Mitochondrial fission regulator 2</t>
  </si>
  <si>
    <t>Isoform 2 of NIPA-like protein 3</t>
  </si>
  <si>
    <t>Sideroflexin-4</t>
  </si>
  <si>
    <t>Phospholipase B-like 1</t>
  </si>
  <si>
    <t>Protein CASC4</t>
  </si>
  <si>
    <t>Adrenodoxin-like protein, mitochondrial</t>
  </si>
  <si>
    <t>WD repeat-containing protein 73</t>
  </si>
  <si>
    <t>Mitotic-spindle organizing protein 2A</t>
  </si>
  <si>
    <t>Acylpyruvase FAHD1, mitochondrial</t>
  </si>
  <si>
    <t>UPF0545 protein C22orf39</t>
  </si>
  <si>
    <t>Serine/threonine-protein kinase N3</t>
  </si>
  <si>
    <t>Isoform 2 of Ankyrin repeat domain-containing protein 16</t>
  </si>
  <si>
    <t>Isoform 3 of RNA demethylase ALKBH5</t>
  </si>
  <si>
    <t>TLD domain-containing protein KIAA1609</t>
  </si>
  <si>
    <t>Leucine-rich repeat-containing protein 8B</t>
  </si>
  <si>
    <t>Round spermatid basic protein 1-like protein</t>
  </si>
  <si>
    <t>Glucose 1,6-bisphosphate synthase</t>
  </si>
  <si>
    <t>RNA polymerase-associated protein CTR9 homolog</t>
  </si>
  <si>
    <t>Alpha- and gamma-adaptin-binding protein p34</t>
  </si>
  <si>
    <t>Isoform A of Proline/serine-rich coiled-coil protein 1</t>
  </si>
  <si>
    <t>UPF0547 protein C16orf87</t>
  </si>
  <si>
    <t>Aspartate--tRNA ligase, mitochondrial</t>
  </si>
  <si>
    <t>Tetratricopeptide repeat protein 33</t>
  </si>
  <si>
    <t>Coiled-coil domain-containing protein 174</t>
  </si>
  <si>
    <t>Isoform 2 of Hydroxyacylglutathione hydrolase-like protein</t>
  </si>
  <si>
    <t>Isoform 2 of F-box only protein 38</t>
  </si>
  <si>
    <t>CENPC1 protein</t>
  </si>
  <si>
    <t>Isoform 2 of Fidgetin-like protein 1</t>
  </si>
  <si>
    <t>F-box only protein 46</t>
  </si>
  <si>
    <t>Tripartite motif-containing protein 65</t>
  </si>
  <si>
    <t>BRCA1-associated ATM activator 1</t>
  </si>
  <si>
    <t>Isoform 5 of Zinc finger CCCH domain-containing protein 14</t>
  </si>
  <si>
    <t>Consortin</t>
  </si>
  <si>
    <t>2-oxoglutarate and iron-dependent oxygenase domain-containing protein 3</t>
  </si>
  <si>
    <t>Isoform 2 of Zinc finger protein 773</t>
  </si>
  <si>
    <t>Isoform 2 of Thioredoxin domain-containing protein 11</t>
  </si>
  <si>
    <t>La-related protein 1</t>
  </si>
  <si>
    <t>Protein TMED8</t>
  </si>
  <si>
    <t>Zinc transporter 9</t>
  </si>
  <si>
    <t>Complexin-2</t>
  </si>
  <si>
    <t>Biogenesis of lysosome-related organelles complex 1 subunit 3</t>
  </si>
  <si>
    <t>Biogenesis of lysosome-related organelles complex 1 subunit 2</t>
  </si>
  <si>
    <t>Rapamycin-insensitive companion of mTOR</t>
  </si>
  <si>
    <t>Isoform 2 of WD repeat-containing protein 74</t>
  </si>
  <si>
    <t>Type-1 angiotensin II receptor-associated protein</t>
  </si>
  <si>
    <t>POTE ankyrin domain family member E</t>
  </si>
  <si>
    <t>Atherin</t>
  </si>
  <si>
    <t>Isoform 2 of SWI/SNF-related matrix-associated actin-dependent regulator of chromatin subfamily D member 3</t>
  </si>
  <si>
    <t>Lipid phosphate phosphatase-related protein type 3</t>
  </si>
  <si>
    <t>Monofunctional C1-tetrahydrofolate synthase, mitochondrial</t>
  </si>
  <si>
    <t>Ankyrin repeat domain-containing protein 11</t>
  </si>
  <si>
    <t>Isoform 5 of Aftiphilin</t>
  </si>
  <si>
    <t>Isoform 5 of Pre-mRNA 3-end-processing factor FIP1</t>
  </si>
  <si>
    <t>Isoform 3 of CREB-regulated transcription coactivator 3</t>
  </si>
  <si>
    <t>Isoform 3 of CREB-regulated transcription coactivator 1</t>
  </si>
  <si>
    <t>KDEL motif-containing protein 1</t>
  </si>
  <si>
    <t>UPF0723 protein C11orf83</t>
  </si>
  <si>
    <t>Interleukin-27 receptor subunit alpha</t>
  </si>
  <si>
    <t>E3 ubiquitin-protein ligase LRSAM1</t>
  </si>
  <si>
    <t>Dehydrogenase/reductase SDR family member 11</t>
  </si>
  <si>
    <t>Isoform 3 of Lysocardiolipin acyltransferase 1</t>
  </si>
  <si>
    <t>Protein PET117 homolog, mitochondrial</t>
  </si>
  <si>
    <t>Bombesin receptor-activated protein C6orf89</t>
  </si>
  <si>
    <t>Peptidyl-prolyl cis-trans isomerase CWC27 homolog</t>
  </si>
  <si>
    <t>Dehydrogenase/reductase SDR family member 13</t>
  </si>
  <si>
    <t>Isoform 4 of Cysteine-rich with EGF-like domain protein 2</t>
  </si>
  <si>
    <t>WD repeat-containing protein 82</t>
  </si>
  <si>
    <t>Apolipoprotein O-like</t>
  </si>
  <si>
    <t>Isoform 2 of ADAMTS-like protein 4</t>
  </si>
  <si>
    <t>Isoform 2 of Activating transcription factor 7-interacting protein 1</t>
  </si>
  <si>
    <t>Phosphofurin acidic cluster sorting protein 1</t>
  </si>
  <si>
    <t>Isoform 4 of BCL-6 corepressor</t>
  </si>
  <si>
    <t>Rab11 family-interacting protein 1</t>
  </si>
  <si>
    <t>Nicotinate phosphoribosyltransferase</t>
  </si>
  <si>
    <t>Zinc transporter 10</t>
  </si>
  <si>
    <t>Very-long-chain (3R)-3-hydroxyacyl-[acyl-carrier protein] dehydratase 2</t>
  </si>
  <si>
    <t>Isoform 3 of PERQ amino acid-rich with GYF domain-containing protein 2</t>
  </si>
  <si>
    <t>Isoform 3 of Thyroid adenoma-associated protein</t>
  </si>
  <si>
    <t>Hydroxysteroid dehydrogenase-like protein 2</t>
  </si>
  <si>
    <t>Isoform 3 of Kynurenine--oxoglutarate transaminase 3</t>
  </si>
  <si>
    <t>Protein phosphatase 1 regulatory subunit 21</t>
  </si>
  <si>
    <t>RNA-binding protein MEX3B</t>
  </si>
  <si>
    <t>Protein lin-28 homolog B</t>
  </si>
  <si>
    <t>Isoform 4 of Differentially expressed in FDCP 8 homolog</t>
  </si>
  <si>
    <t>Ferric-chelate reductase 1</t>
  </si>
  <si>
    <t>NF-X1-type zinc finger protein NFXL1</t>
  </si>
  <si>
    <t>Isoform 2 of Neurobeachin-like protein 2</t>
  </si>
  <si>
    <t>GDP-D-glucose phosphorylase 1</t>
  </si>
  <si>
    <t>Probable C-mannosyltransferase DPY19L3</t>
  </si>
  <si>
    <t>Sulfhydryl oxidase 2</t>
  </si>
  <si>
    <t>Isoform 3 of Helicase SRCAP</t>
  </si>
  <si>
    <t>Isoform 2 of Protein FAM65A</t>
  </si>
  <si>
    <t>Uncharacterized protein C1orf122</t>
  </si>
  <si>
    <t>E3 ubiquitin-protein ligase UBR3</t>
  </si>
  <si>
    <t>SH3 domain-binding protein 1</t>
  </si>
  <si>
    <t>Isoform 3 of Uncharacterized protein C11orf57</t>
  </si>
  <si>
    <t>Isoform 5 of PAX-interacting protein 1</t>
  </si>
  <si>
    <t>Isoform 2 of Transmembrane and TPR repeat-containing protein 3</t>
  </si>
  <si>
    <t>General transcription factor IIH subunit 5</t>
  </si>
  <si>
    <t>Isoform 3 of Vacuolar protein sorting-associated protein 13C</t>
  </si>
  <si>
    <t>Ubiquitin carboxyl-terminal hydrolase 34</t>
  </si>
  <si>
    <t>MOB kinase activator 2</t>
  </si>
  <si>
    <t>Protein unc-13 homolog D</t>
  </si>
  <si>
    <t>Inhibitor of nuclear factor kappa-B kinase-interacting protein</t>
  </si>
  <si>
    <t>Isoform 4 of Inhibitor of nuclear factor kappa-B kinase-interacting protein</t>
  </si>
  <si>
    <t>Isoform 2 of Protein FRA10AC1</t>
  </si>
  <si>
    <t>Ubiquitin-conjugating enzyme E2 R2</t>
  </si>
  <si>
    <t>Isoform 5 of La-related protein 4</t>
  </si>
  <si>
    <t>Isoform 5 of Mediator of RNA polymerase II transcription subunit 25</t>
  </si>
  <si>
    <t>Casein kinase 1, alpha 1, isoform CRA_g</t>
  </si>
  <si>
    <t>Histone H2A.V</t>
  </si>
  <si>
    <t>MTSS1-like protein</t>
  </si>
  <si>
    <t>Isoform 5 of Butyrophilin subfamily 2 member A1</t>
  </si>
  <si>
    <t>Transcription elongation factor SPT6</t>
  </si>
  <si>
    <t>Isoform 2 of Transcription elongation factor SPT6</t>
  </si>
  <si>
    <t>Staphylococcal nuclease domain-containing protein 1</t>
  </si>
  <si>
    <t>Isoform 2 of Cytochrome c oxidase assembly protein COX15 homolog</t>
  </si>
  <si>
    <t>Probable ATP-dependent RNA helicase DDX46</t>
  </si>
  <si>
    <t>Isoform 2 of Protein RUFY3</t>
  </si>
  <si>
    <t>Isoform 4 of Protein RUFY3</t>
  </si>
  <si>
    <t>Mitochondrial ribonuclease P protein 1</t>
  </si>
  <si>
    <t>Basic leucine zipper and W2 domain-containing protein 1</t>
  </si>
  <si>
    <t>Cytochrome b5 reductase 4</t>
  </si>
  <si>
    <t>Leucine-rich repeat-containing protein 8D</t>
  </si>
  <si>
    <t>Alpha/beta hydrolase domain-containing protein 13</t>
  </si>
  <si>
    <t>Isoaspartyl peptidase/L-asparaginase</t>
  </si>
  <si>
    <t>BTB/POZ domain-containing protein KCTD9</t>
  </si>
  <si>
    <t>Eukaryotic translation initiation factor 3 subunit M</t>
  </si>
  <si>
    <t>7SK snRNA methylphosphate capping enzyme</t>
  </si>
  <si>
    <t>Probable proline--tRNA ligase, mitochondrial</t>
  </si>
  <si>
    <t>Isoform 3 of Protein FAM73B</t>
  </si>
  <si>
    <t>Arginine/serine-rich coiled-coil protein 2</t>
  </si>
  <si>
    <t>Ras-related GTP-binding protein A</t>
  </si>
  <si>
    <t>Cytoplasmic FMR1-interacting protein 1</t>
  </si>
  <si>
    <t>NADH dehydrogenase [ubiquinone] complex I, assembly factor 7</t>
  </si>
  <si>
    <t>Golgi to ER traffic protein 4 homolog</t>
  </si>
  <si>
    <t>Mitochondrial enolase superfamily member 1</t>
  </si>
  <si>
    <t>Macrophage erythroblast attacher</t>
  </si>
  <si>
    <t>EPM2A-interacting protein 1</t>
  </si>
  <si>
    <t>Serine/threonine-protein kinase TAO1</t>
  </si>
  <si>
    <t>SH3 domain-binding protein 5-like</t>
  </si>
  <si>
    <t>FAST kinase domain-containing protein 5</t>
  </si>
  <si>
    <t>Diphthine--ammonia ligase</t>
  </si>
  <si>
    <t>Lysine-specific demethylase 3B</t>
  </si>
  <si>
    <t>Charged multivesicular body protein 1b</t>
  </si>
  <si>
    <t>RAS guanyl-releasing protein 2</t>
  </si>
  <si>
    <t>Ribonucleoside-diphosphate reductase subunit M2 B</t>
  </si>
  <si>
    <t>Heparan sulfate 2-O-sulfotransferase 1</t>
  </si>
  <si>
    <t>Isoform 6 of STE20-related kinase adapter protein alpha</t>
  </si>
  <si>
    <t>Magnesium transporter NIPA1</t>
  </si>
  <si>
    <t>Protein-methionine sulfoxide oxidase MICAL3</t>
  </si>
  <si>
    <t>PHD finger-like domain-containing protein 5A</t>
  </si>
  <si>
    <t>Isoform 3 of Aprataxin</t>
  </si>
  <si>
    <t>G protein-regulated inducer of neurite outgrowth 1</t>
  </si>
  <si>
    <t>TRMT1-like protein</t>
  </si>
  <si>
    <t>Zinc finger CCCH-type antiviral protein 1</t>
  </si>
  <si>
    <t>Elongation factor Tu GTP-binding domain-containing protein 1</t>
  </si>
  <si>
    <t>Isoform 5 of Protein FAM122B</t>
  </si>
  <si>
    <t>Isoform 3 of Probable helicase senataxin</t>
  </si>
  <si>
    <t>Microspherule protein 1</t>
  </si>
  <si>
    <t>Isoform 4 of Trafficking protein particle complex subunit 11</t>
  </si>
  <si>
    <t>KAT8 regulatory NSL complex subunit 1</t>
  </si>
  <si>
    <t>Isoform 2 of Autophagy-related protein 9A</t>
  </si>
  <si>
    <t>LysM and putative peptidoglycan-binding domain-containing protein 3</t>
  </si>
  <si>
    <t>Uncharacterized protein C10orf118</t>
  </si>
  <si>
    <t>Isoform 5 of Pogo transposable element with ZNF domain</t>
  </si>
  <si>
    <t>Zinc finger FYVE domain-containing protein 16</t>
  </si>
  <si>
    <t>Ubiquitin-protein ligase E3B</t>
  </si>
  <si>
    <t>C-myc promoter-binding protein</t>
  </si>
  <si>
    <t>Nuclear fragile X mental retardation-interacting protein 2</t>
  </si>
  <si>
    <t>Isoform 2 of SUZ domain-containing protein 1</t>
  </si>
  <si>
    <t>Mitochondrial antiviral-signaling protein</t>
  </si>
  <si>
    <t>CLIP-associating protein 1</t>
  </si>
  <si>
    <t>ATP-dependent RNA helicase DHX29</t>
  </si>
  <si>
    <t>Low-density lipoprotein receptor-related protein 10</t>
  </si>
  <si>
    <t>COMM domain-containing protein 6</t>
  </si>
  <si>
    <t>HD domain-containing protein 2</t>
  </si>
  <si>
    <t>Isoform 3 of HAUS augmin-like complex subunit 6</t>
  </si>
  <si>
    <t>KDEL motif-containing protein 2</t>
  </si>
  <si>
    <t>Tetratricopeptide repeat protein 21B</t>
  </si>
  <si>
    <t>HEAT repeat-containing protein 3</t>
  </si>
  <si>
    <t>Hepatoma-derived growth factor-related protein 2</t>
  </si>
  <si>
    <t>L-xylulose reductase</t>
  </si>
  <si>
    <t>Golgin subfamily A member 7</t>
  </si>
  <si>
    <t>Isoform 3 of Rho GTPase-activating protein 22</t>
  </si>
  <si>
    <t>Wings apart-like protein homolog</t>
  </si>
  <si>
    <t>Isoform 2 of Interferon regulatory factor 2-binding protein 2</t>
  </si>
  <si>
    <t>WD repeat-containing protein 53</t>
  </si>
  <si>
    <t>Bifunctional methylenetetrahydrofolate dehydrogenase/cyclohydrolase, mitochondrial</t>
  </si>
  <si>
    <t>Isoform 2 of Coiled-coil domain-containing protein 91</t>
  </si>
  <si>
    <t>E3 ubiquitin-protein ligase RBBP6</t>
  </si>
  <si>
    <t>UPF0461 protein C5orf24</t>
  </si>
  <si>
    <t>E3 ubiquitin-protein ligase E3D</t>
  </si>
  <si>
    <t>tRNA-splicing endonuclease subunit Sen54</t>
  </si>
  <si>
    <t>Protein prenyltransferase alpha subunit repeat-containing protein 1</t>
  </si>
  <si>
    <t>Tectonin beta-propeller repeat-containing protein 1</t>
  </si>
  <si>
    <t>Rab9 effector protein with kelch motifs</t>
  </si>
  <si>
    <t>mTERF domain-containing protein 2</t>
  </si>
  <si>
    <t>TATA box-binding protein-like protein 1 (Fragment)</t>
  </si>
  <si>
    <t>Isoform 2 of tRNA-specific adenosine deaminase 2</t>
  </si>
  <si>
    <t>Isoform 2 of E3 ubiquitin-protein ligase HUWE1</t>
  </si>
  <si>
    <t>Isoform 5 of Centriolin</t>
  </si>
  <si>
    <t>Cytoplasmic tRNA 2-thiolation protein 1</t>
  </si>
  <si>
    <t>Transcription initiation factor TFIID subunit 8</t>
  </si>
  <si>
    <t>Ubiquitin-conjugating enzyme E2 Q1</t>
  </si>
  <si>
    <t>Isoform 2 of UPF0469 protein KIAA0907</t>
  </si>
  <si>
    <t>39S ribosomal protein L55, mitochondrial</t>
  </si>
  <si>
    <t>Isoform 2 of Vacuolar protein sorting-associated protein 13B</t>
  </si>
  <si>
    <t>Isoform 3 of Transmembrane emp24 domain-containing protein 4</t>
  </si>
  <si>
    <t>39S ribosomal protein L10, mitochondrial</t>
  </si>
  <si>
    <t>COX assembly mitochondrial protein homolog</t>
  </si>
  <si>
    <t>Isoform 3 of Centromere protein V</t>
  </si>
  <si>
    <t>Polypeptide N-acetylgalactosaminyltransferase 5</t>
  </si>
  <si>
    <t>Transmembrane protein 179B</t>
  </si>
  <si>
    <t>N-acetylgalactosaminyltransferase 7</t>
  </si>
  <si>
    <t>Isoform 3 of Dehydrodolichyl diphosphate synthase</t>
  </si>
  <si>
    <t>Glutaredoxin-related protein 5, mitochondrial</t>
  </si>
  <si>
    <t>Isoform 2 of Trafficking protein particle complex subunit 6B</t>
  </si>
  <si>
    <t>Transmembrane protein 55B</t>
  </si>
  <si>
    <t>MOB kinase activator 3B</t>
  </si>
  <si>
    <t>Isoform 4 of Protein PAT1 homolog 1</t>
  </si>
  <si>
    <t>Dipeptidyl peptidase 9</t>
  </si>
  <si>
    <t>Isoform 2 of E3 ubiquitin-protein ligase synoviolin</t>
  </si>
  <si>
    <t>tRNA 2-phosphotransferase 1</t>
  </si>
  <si>
    <t>Protein prune homolog</t>
  </si>
  <si>
    <t>Histone-lysine N-methyltransferase setd3</t>
  </si>
  <si>
    <t>Tetratricopeptide repeat protein 7B</t>
  </si>
  <si>
    <t>Isoform 4 of Probable RNA-binding protein 23</t>
  </si>
  <si>
    <t>Iron-sulfur cluster assembly 2 homolog, mitochondrial</t>
  </si>
  <si>
    <t>Nucleolar protein 9</t>
  </si>
  <si>
    <t>N6-adenosine-methyltransferase 70 kDa subunit</t>
  </si>
  <si>
    <t>Isoform 2 of LIM domain-binding protein 1</t>
  </si>
  <si>
    <t>YrdC domain-containing protein, mitochondrial</t>
  </si>
  <si>
    <t>Pre-mRNA-processing factor 39</t>
  </si>
  <si>
    <t>Suppressor APC domain-containing protein 2</t>
  </si>
  <si>
    <t>Protein LYRIC</t>
  </si>
  <si>
    <t>Isoform 2 of Serine/threonine-protein kinase tousled-like 2</t>
  </si>
  <si>
    <t>Isoform 2 of Zinc finger protein 598</t>
  </si>
  <si>
    <t>Glycerol-3-phosphate acyltransferase 4</t>
  </si>
  <si>
    <t>Kinectin</t>
  </si>
  <si>
    <t>Telomerase-binding protein EST1A</t>
  </si>
  <si>
    <t>Isoform 3 of B-cell CLL/lymphoma 9-like protein</t>
  </si>
  <si>
    <t>Isoform 2 of Pleckstrin homology-like domain family B member 1</t>
  </si>
  <si>
    <t>Ubiquitin carboxyl-terminal hydrolase 48</t>
  </si>
  <si>
    <t>ATP-binding cassette C5 splicing variant A</t>
  </si>
  <si>
    <t>Isoform 2 of Fermitin family homolog 3</t>
  </si>
  <si>
    <t>TXNDC5 protein</t>
  </si>
  <si>
    <t>Protein FAM83A</t>
  </si>
  <si>
    <t>N-alpha-acetyltransferase 40</t>
  </si>
  <si>
    <t>Isoform 2 of 5-nucleotidase domain-containing protein 3</t>
  </si>
  <si>
    <t>Acetoacetyl-CoA synthetase</t>
  </si>
  <si>
    <t>Leucine zipper protein 1</t>
  </si>
  <si>
    <t>Isoform 2 of PNMA-like protein 1</t>
  </si>
  <si>
    <t>Integral membrane protein GPR180</t>
  </si>
  <si>
    <t>Ras GTPase-activating-like protein IQGAP3</t>
  </si>
  <si>
    <t>Isoform 2 of Vacuolar protein-sorting-associated protein 36</t>
  </si>
  <si>
    <t>Cullin-associated NEDD8-dissociated protein 1</t>
  </si>
  <si>
    <t>Glucocorticoid-induced transcript 1 protein</t>
  </si>
  <si>
    <t>Isoform 2 of Thioredoxin domain-containing protein 2</t>
  </si>
  <si>
    <t>Protein FAM134C</t>
  </si>
  <si>
    <t>Protein Hook homolog 3</t>
  </si>
  <si>
    <t>Catechol O-methyltransferase domain-containing protein 1</t>
  </si>
  <si>
    <t>Isoform 2 of COMM domain-containing protein 7</t>
  </si>
  <si>
    <t>Vacuolar fusion protein MON1 homolog A</t>
  </si>
  <si>
    <t>THO complex subunit 6 homolog</t>
  </si>
  <si>
    <t>Methyltransferase-like protein 16</t>
  </si>
  <si>
    <t>Poly(ADP-ribose) glycohydrolase</t>
  </si>
  <si>
    <t>Isoform 2 of Valacyclovir hydrolase</t>
  </si>
  <si>
    <t>Lon protease homolog 2, peroxisomal</t>
  </si>
  <si>
    <t>Osteopetrosis-associated transmembrane protein 1</t>
  </si>
  <si>
    <t>Ras association domain-containing protein 3</t>
  </si>
  <si>
    <t>Chromodomain-helicase-DNA-binding protein 1-like</t>
  </si>
  <si>
    <t>Nuclear receptor 2C2-associated protein</t>
  </si>
  <si>
    <t>Coiled-coil domain-containing protein 25</t>
  </si>
  <si>
    <t>Proline and serine-rich protein 2</t>
  </si>
  <si>
    <t>Stimulator of interferon genes protein</t>
  </si>
  <si>
    <t>CCDC43 protein</t>
  </si>
  <si>
    <t>Active regulator of SIRT1</t>
  </si>
  <si>
    <t>Cerebellar degeneration-related protein 2-like</t>
  </si>
  <si>
    <t>Isoform 2 of Ras-specific guanine nucleotide-releasing factor RalGPS2</t>
  </si>
  <si>
    <t>Isoform 3 of Lipolysis-stimulated lipoprotein receptor</t>
  </si>
  <si>
    <t>Glutamate-rich protein 1</t>
  </si>
  <si>
    <t>Isoform 1 of Histone-arginine methyltransferase CARM1</t>
  </si>
  <si>
    <t>Isoform 1 of Nitrilase homolog 1</t>
  </si>
  <si>
    <t>COMM domain-containing protein 2</t>
  </si>
  <si>
    <t>Isoform 2 of Corepressor interacting with RBPJ 1</t>
  </si>
  <si>
    <t>Isoform 3 of Swi5-dependent recombination DNA repair protein 1 homolog</t>
  </si>
  <si>
    <t>ATP-dependent RNA helicase DDX42</t>
  </si>
  <si>
    <t>Spermatogenesis-associated serine-rich protein 2</t>
  </si>
  <si>
    <t>Serine/threonine-protein kinase VRK2</t>
  </si>
  <si>
    <t>Isoform 4 of CDK2-associated and cullin domain-containing protein 1</t>
  </si>
  <si>
    <t>HEAT repeat-containing protein 2</t>
  </si>
  <si>
    <t>Probable peptidyl-tRNA hydrolase</t>
  </si>
  <si>
    <t>Syntaxin-12</t>
  </si>
  <si>
    <t>Decaprenyl-diphosphate synthase subunit 2</t>
  </si>
  <si>
    <t>Homer protein homolog 1</t>
  </si>
  <si>
    <t>Isoform 2 of Dolichyldiphosphatase 1</t>
  </si>
  <si>
    <t>Transcriptional repressor p66-alpha</t>
  </si>
  <si>
    <t>Copine-8</t>
  </si>
  <si>
    <t>Isoform 4 of G-protein-signaling modulator 1</t>
  </si>
  <si>
    <t>Rab11 family-interacting protein 4</t>
  </si>
  <si>
    <t>C2 domain-containing protein 5</t>
  </si>
  <si>
    <t>E3 ubiquitin-protein ligase MIB1</t>
  </si>
  <si>
    <t>Hermansky-Pudlak syndrome 6 protein</t>
  </si>
  <si>
    <t>Interferon regulatory factor 2-binding protein 1</t>
  </si>
  <si>
    <t>Isoform 2 of ELKS/Rab6-interacting/CAST family member 1</t>
  </si>
  <si>
    <t>Bifunctional lysine-specific demethylase and histidyl-hydroxylase MINA</t>
  </si>
  <si>
    <t>Isoform 3 of RNA-binding protein 45</t>
  </si>
  <si>
    <t>Palmitoyltransferase ZDHHC13</t>
  </si>
  <si>
    <t>Cytokine receptor-like factor 3</t>
  </si>
  <si>
    <t>Trafficking protein particle complex subunit 5</t>
  </si>
  <si>
    <t>Isoform 4 of Transmembrane protein 126B</t>
  </si>
  <si>
    <t>Phospholipase D3</t>
  </si>
  <si>
    <t>Ankyrin repeat and MYND domain-containing protein 2</t>
  </si>
  <si>
    <t>3-5 exoribonuclease 1</t>
  </si>
  <si>
    <t>LysM and putative peptidoglycan-binding domain-containing protein 2</t>
  </si>
  <si>
    <t>Isoform 3 of Inactive serine/threonine-protein kinase VRK3</t>
  </si>
  <si>
    <t>LIX1-like protein</t>
  </si>
  <si>
    <t>NudC domain-containing protein 3</t>
  </si>
  <si>
    <t>Coiled-coil domain-containing protein 50</t>
  </si>
  <si>
    <t>Isoform 2 of Coiled-coil domain-containing protein 50</t>
  </si>
  <si>
    <t>Malonyl-CoA-acyl carrier protein transacylase, mitochondrial</t>
  </si>
  <si>
    <t>Isoform 4 of AT-rich interactive domain-containing protein 3B</t>
  </si>
  <si>
    <t>ATP-dependent (S)-NAD(P)H-hydrate dehydratase</t>
  </si>
  <si>
    <t>WD repeat-containing protein 75</t>
  </si>
  <si>
    <t>Inositol 1,4,5-trisphosphate receptor-interacting protein</t>
  </si>
  <si>
    <t>WD repeat and FYVE domain-containing protein 1</t>
  </si>
  <si>
    <t>Testis-expressed sequence 2 protein</t>
  </si>
  <si>
    <t>Isoform 2 of MAP7 domain-containing protein 3</t>
  </si>
  <si>
    <t>Coiled-coil domain-containing protein 117</t>
  </si>
  <si>
    <t>DCN1-like protein 3</t>
  </si>
  <si>
    <t>Protein DENND6A</t>
  </si>
  <si>
    <t>GRIP and coiled-coil domain-containing protein 2</t>
  </si>
  <si>
    <t>Iron-sulfur cluster co-chaperone protein HscB, mitochondrial</t>
  </si>
  <si>
    <t>Zinc finger CCCH domain-containing protein 7A</t>
  </si>
  <si>
    <t>PHD finger protein 6</t>
  </si>
  <si>
    <t>Leucine-rich repeat-containing protein 8A</t>
  </si>
  <si>
    <t>Serine/threonine-protein kinase LMTK2</t>
  </si>
  <si>
    <t>E3 ubiquitin-protein ligase UBR1</t>
  </si>
  <si>
    <t>Isoform 4 of E3 ubiquitin-protein ligase UBR2</t>
  </si>
  <si>
    <t>Isoform 3 of Zinc finger and SCAN domain-containing protein 29</t>
  </si>
  <si>
    <t>Isoform 1 of Codanin-1</t>
  </si>
  <si>
    <t>Ankyrin repeat and KH domain-containing protein 1</t>
  </si>
  <si>
    <t>SURP and G-patch domain-containing protein 1</t>
  </si>
  <si>
    <t>Zinc finger protein ZFPM1</t>
  </si>
  <si>
    <t>Isoform 2 of Cell division cycle and apoptosis regulator protein 1</t>
  </si>
  <si>
    <t>Isoform 3 of Probable ATP-dependent RNA helicase DHX40</t>
  </si>
  <si>
    <t>Spindle and kinetochore-associated protein 3</t>
  </si>
  <si>
    <t>DnaJ homolog subfamily C member 10</t>
  </si>
  <si>
    <t>Mitochondrial Rho GTPase 2</t>
  </si>
  <si>
    <t>Isoform 2 of Mitochondrial Rho GTPase 1</t>
  </si>
  <si>
    <t>Isoform 2 of NAD-dependent protein deacetylase sirtuin-2</t>
  </si>
  <si>
    <t>Isoform 2 of Putative Polycomb group protein ASXL1</t>
  </si>
  <si>
    <t>Polypeptide N-acetylgalactosaminyltransferase 12</t>
  </si>
  <si>
    <t>Isoform 2 of Nurim</t>
  </si>
  <si>
    <t>Uncharacterized protein C9orf40</t>
  </si>
  <si>
    <t>Uncharacterized protein KIAA1704</t>
  </si>
  <si>
    <t>Protein FAM126B</t>
  </si>
  <si>
    <t>Isoform 3 of Neuropathy target esterase</t>
  </si>
  <si>
    <t>Structural maintenance of chromosomes protein 5</t>
  </si>
  <si>
    <t>Isoform 3 of C-Maf-inducing protein</t>
  </si>
  <si>
    <t>Presqualene diphosphate phosphatase</t>
  </si>
  <si>
    <t>MICAL-like protein 2</t>
  </si>
  <si>
    <t>Probable ATP-dependent RNA helicase DHX37</t>
  </si>
  <si>
    <t>Kelch repeat and BTB domain-containing protein 2</t>
  </si>
  <si>
    <t>Isoform 2 of Angiomotin-like protein 1</t>
  </si>
  <si>
    <t>Isoform 2 of Transmembrane protein 192</t>
  </si>
  <si>
    <t>Isoform 3 of Stromal membrane-associated protein 1</t>
  </si>
  <si>
    <t>DIS3-like exonuclease 2</t>
  </si>
  <si>
    <t>ATP-dependent RNA helicase SUPV3L1, mitochondrial</t>
  </si>
  <si>
    <t>Zinc finger protein 595</t>
  </si>
  <si>
    <t>Eukaryotic peptide chain release factor GTP-binding subunit ERF3B</t>
  </si>
  <si>
    <t>Isoform 4 of ZZ-type zinc finger-containing protein 3</t>
  </si>
  <si>
    <t>Exocyst complex component 8</t>
  </si>
  <si>
    <t>Procollagen galactosyltransferase 2</t>
  </si>
  <si>
    <t>UPF0688 protein C1orf174</t>
  </si>
  <si>
    <t>Transcription elongation factor A protein-like 8</t>
  </si>
  <si>
    <t>Threonine synthase-like 1</t>
  </si>
  <si>
    <t>Peptidase M20 domain-containing protein 2</t>
  </si>
  <si>
    <t>Uncharacterized protein KIAA2013</t>
  </si>
  <si>
    <t>FtsJ methyltransferase domain-containing protein 1</t>
  </si>
  <si>
    <t>Calcium uptake protein 2, mitochondrial</t>
  </si>
  <si>
    <t>E3 ubiquitin-protein ligase RNF168</t>
  </si>
  <si>
    <t>Ankyrin repeat domain-containing protein 13A</t>
  </si>
  <si>
    <t>Isoform 3 of Phosphatase and actin regulator 4</t>
  </si>
  <si>
    <t>Chondroitin sulfate synthase 2</t>
  </si>
  <si>
    <t>Metaxin 2</t>
  </si>
  <si>
    <t>RNA pseudouridylate synthase domain-containing protein 2</t>
  </si>
  <si>
    <t>Aldehyde dehydrogenase family 16 member A1</t>
  </si>
  <si>
    <t>Isoform 2 of 5-3 exoribonuclease 1</t>
  </si>
  <si>
    <t>Selenoprotein H</t>
  </si>
  <si>
    <t>Isoform 3 of CKLF-like MARVEL transmembrane domain-containing protein 4</t>
  </si>
  <si>
    <t>Retinol dehydrogenase 10</t>
  </si>
  <si>
    <t>Uncharacterized protein C8orf59</t>
  </si>
  <si>
    <t>Vitamin K epoxide reductase complex subunit 1-like protein 1</t>
  </si>
  <si>
    <t>L-fucose kinase</t>
  </si>
  <si>
    <t>Fragile X mental retardation 1 neighbor protein</t>
  </si>
  <si>
    <t>Spartin</t>
  </si>
  <si>
    <t>Isoform 7 of Mesoderm induction early response protein 1</t>
  </si>
  <si>
    <t>Protein canopy homolog 4</t>
  </si>
  <si>
    <t>Isoform 4 of Centrobin</t>
  </si>
  <si>
    <t>Adenylosuccinate synthetase isozyme 1</t>
  </si>
  <si>
    <t>Isoform 2 of Jouberin</t>
  </si>
  <si>
    <t>DBIRD complex subunit KIAA1967</t>
  </si>
  <si>
    <t>Mimitin, mitochondrial</t>
  </si>
  <si>
    <t>UPF0462 protein C4orf33</t>
  </si>
  <si>
    <t>Vacuolar protein sorting-associated protein 52 homolog</t>
  </si>
  <si>
    <t>Nuclear pore complex protein Nup93</t>
  </si>
  <si>
    <t>Zinc finger protein 687</t>
  </si>
  <si>
    <t>RNA exonuclease 1 homolog</t>
  </si>
  <si>
    <t>Cap-specific mRNA (nucleoside-2-O-)-methyltransferase 1</t>
  </si>
  <si>
    <t>Leucine-rich repeat-containing protein 47</t>
  </si>
  <si>
    <t>Carbonic anhydrase 13</t>
  </si>
  <si>
    <t>Mitochondrial cardiolipin hydrolase</t>
  </si>
  <si>
    <t>Isoform 3 of Armadillo repeat-containing protein 10</t>
  </si>
  <si>
    <t>Isoform 3 of GH3 domain-containing protein</t>
  </si>
  <si>
    <t>Isoform 3 of Serine/threonine-protein kinase 40</t>
  </si>
  <si>
    <t>Monoacylglycerol lipase ABHD12</t>
  </si>
  <si>
    <t>E3 SUMO-protein ligase PIAS4</t>
  </si>
  <si>
    <t>Centromere protein S</t>
  </si>
  <si>
    <t>Coiled-coil domain-containing protein 23</t>
  </si>
  <si>
    <t>Glycerol-3-phosphate dehydrogenase 1-like protein</t>
  </si>
  <si>
    <t>Protein Dos</t>
  </si>
  <si>
    <t>Lysine-specific demethylase 8</t>
  </si>
  <si>
    <t>Rho GTPase-activating protein 18</t>
  </si>
  <si>
    <t>Activating signal cointegrator 1 complex subunit 3</t>
  </si>
  <si>
    <t>EH domain-binding protein 1-like protein 1</t>
  </si>
  <si>
    <t>MICAL-like protein 1</t>
  </si>
  <si>
    <t>Formin-binding protein 4</t>
  </si>
  <si>
    <t>Translation factor GUF1, mitochondrial</t>
  </si>
  <si>
    <t>D-2-hydroxyglutarate dehydrogenase, mitochondrial</t>
  </si>
  <si>
    <t>RING1 and YY1-binding protein</t>
  </si>
  <si>
    <t>Isoform 2 of Probable hydrolase PNKD</t>
  </si>
  <si>
    <t>Isoform 4 of Probable hydrolase PNKD</t>
  </si>
  <si>
    <t>Isoform 2 of Sesquipedalian-1</t>
  </si>
  <si>
    <t>Isoform 5 of Misshapen-like kinase 1</t>
  </si>
  <si>
    <t>Mitochondrial import receptor subunit TOM5 homolog</t>
  </si>
  <si>
    <t>Isoform 2 of Kelch-like protein 36</t>
  </si>
  <si>
    <t>Guanosine-3,5-bis(diphosphate) 3-pyrophosphohydrolase MESH1</t>
  </si>
  <si>
    <t>Zinc-binding alcohol dehydrogenase domain-containing protein 2</t>
  </si>
  <si>
    <t>Mitochondrial intermembrane space import and assembly protein 40</t>
  </si>
  <si>
    <t>Membrane magnesium transporter 1</t>
  </si>
  <si>
    <t>Zinc finger CCHC domain-containing protein 9</t>
  </si>
  <si>
    <t>Isoform 2 of Oxidation resistance protein 1</t>
  </si>
  <si>
    <t>Isoform 8 of Oxidation resistance protein 1</t>
  </si>
  <si>
    <t>Isoform 3 of Zinc finger CCCH-type with G patch domain-containing protein</t>
  </si>
  <si>
    <t>S1 RNA-binding domain-containing protein 1</t>
  </si>
  <si>
    <t>DTW domain-containing protein 1</t>
  </si>
  <si>
    <t>Isoform 4 of WD and tetratricopeptide repeats protein 1</t>
  </si>
  <si>
    <t>NF-kappa-B-activating protein</t>
  </si>
  <si>
    <t>Isoform 2 of Small integral membrane protein 20</t>
  </si>
  <si>
    <t>Macoilin</t>
  </si>
  <si>
    <t>Arrestin domain-containing protein 1</t>
  </si>
  <si>
    <t>Uncharacterized protein C12orf45</t>
  </si>
  <si>
    <t>Isoform 2 of Protein FAM63A</t>
  </si>
  <si>
    <t>CDGSH iron-sulfur domain-containing protein 2</t>
  </si>
  <si>
    <t>Ribonuclease P protein subunit p25-like protein</t>
  </si>
  <si>
    <t>ATP synthase mitochondrial F1 complex assembly factor 2</t>
  </si>
  <si>
    <t>Protein jagunal homolog 1</t>
  </si>
  <si>
    <t>39S ribosomal protein L50, mitochondrial</t>
  </si>
  <si>
    <t>Zinc finger CCCH domain-containing protein 8</t>
  </si>
  <si>
    <t>Isoform 2 of Cleavage and polyadenylation specificity factor subunit 7</t>
  </si>
  <si>
    <t>Solute carrier family 15 member 4</t>
  </si>
  <si>
    <t>ADP-ribosylation factor GTPase-activating protein 2</t>
  </si>
  <si>
    <t>OTU domain-containing protein 6B</t>
  </si>
  <si>
    <t>UPF0690 protein C1orf52</t>
  </si>
  <si>
    <t>Acyl-CoA-binding domain-containing protein 7</t>
  </si>
  <si>
    <t>ADP-ribosylation factor GTPase-activating protein 1</t>
  </si>
  <si>
    <t>Isoform 3 of ER membrane protein complex subunit 1</t>
  </si>
  <si>
    <t>Putative E3 ubiquitin-protein ligase UBR7</t>
  </si>
  <si>
    <t>Uncharacterized protein C4orf32</t>
  </si>
  <si>
    <t>Prostaglandin reductase 2</t>
  </si>
  <si>
    <t>UPF0565 protein C2orf69</t>
  </si>
  <si>
    <t>ARL14 effector protein</t>
  </si>
  <si>
    <t>G patch domain-containing protein 11</t>
  </si>
  <si>
    <t>Isoform 3 of Uncharacterized protein C12orf29</t>
  </si>
  <si>
    <t>Glycerophosphodiester phosphodiesterase domain-containing protein 1</t>
  </si>
  <si>
    <t>Isoform 3 of Uncharacterized protein C19orf47</t>
  </si>
  <si>
    <t>Leucine-rich repeat-containing protein 57</t>
  </si>
  <si>
    <t>Protein SREK1IP1</t>
  </si>
  <si>
    <t>Isoform 2 of WD repeat, SAM and U-box domain-containing protein 1</t>
  </si>
  <si>
    <t>Coiled-coil domain-containing protein 71L</t>
  </si>
  <si>
    <t>Zinc finger protein 579</t>
  </si>
  <si>
    <t>Glycosyltransferase-like domain-containing protein 2</t>
  </si>
  <si>
    <t>Pre-mRNA-splicing factor 38A</t>
  </si>
  <si>
    <t>Isoform 2 of Zinc finger protein 511</t>
  </si>
  <si>
    <t>Parkinson disease 7 domain-containing protein 1</t>
  </si>
  <si>
    <t>Serine/threonine-protein phosphatase 6 regulatory ankyrin repeat subunit C</t>
  </si>
  <si>
    <t>Isoform 3 of Probable phospholipid-transporting ATPase IG</t>
  </si>
  <si>
    <t>Spermatogenesis-associated protein 5</t>
  </si>
  <si>
    <t>DTW domain-containing protein 2</t>
  </si>
  <si>
    <t>NHL repeat-containing protein 2</t>
  </si>
  <si>
    <t>Late secretory pathway protein AVL9 homolog</t>
  </si>
  <si>
    <t>Solute carrier family 43 member 3</t>
  </si>
  <si>
    <t>Xyloside xylosyltransferase 1</t>
  </si>
  <si>
    <t>Procollagen galactosyltransferase 1</t>
  </si>
  <si>
    <t>Isoform 4 of Sulfatase-modifying factor 1</t>
  </si>
  <si>
    <t>Protein O-glucosyltransferase 1</t>
  </si>
  <si>
    <t>Isoform 4 of Ubiquitin-associated domain-containing protein 2</t>
  </si>
  <si>
    <t>Prenylcysteine oxidase-like</t>
  </si>
  <si>
    <t>Transmembrane protein 87A</t>
  </si>
  <si>
    <t>Retinol dehydrogenase 13</t>
  </si>
  <si>
    <t>ATPase family AAA domain-containing protein 1</t>
  </si>
  <si>
    <t>Saccharopine dehydrogenase-like oxidoreductase</t>
  </si>
  <si>
    <t>Serine/threonine-protein kinase MST4</t>
  </si>
  <si>
    <t>Isoform 2 of Plasminogen activator inhibitor 1 RNA-binding protein</t>
  </si>
  <si>
    <t>LEM domain-containing protein 2</t>
  </si>
  <si>
    <t>Nitric oxide-associated protein 1</t>
  </si>
  <si>
    <t>Adaptin ear-binding coat-associated protein 1</t>
  </si>
  <si>
    <t>Isoform 2 of Protein FAM98A</t>
  </si>
  <si>
    <t>Group XV phospholipase A2</t>
  </si>
  <si>
    <t>Isoform 3 of Myotubularin-related protein 14</t>
  </si>
  <si>
    <t>NFATC2-interacting protein</t>
  </si>
  <si>
    <t>Carbohydrate sulfotransferase 14</t>
  </si>
  <si>
    <t>Polypeptide N-acetylgalactosaminyltransferase 6</t>
  </si>
  <si>
    <t>E3 ubiquitin-protein ligase RNF169</t>
  </si>
  <si>
    <t>NAD(P)H-hydrate epimerase</t>
  </si>
  <si>
    <t>Protein SMG8</t>
  </si>
  <si>
    <t>RING finger protein 214</t>
  </si>
  <si>
    <t>Isoform 2 of Protein LSM14 homolog A</t>
  </si>
  <si>
    <t>Cyclin-Y</t>
  </si>
  <si>
    <t>Paraneoplastic antigen Ma1</t>
  </si>
  <si>
    <t>MAPK-interacting and spindle-stabilizing protein-like</t>
  </si>
  <si>
    <t>Isoform 2 of Uncharacterized protein C1orf131</t>
  </si>
  <si>
    <t>Isoform 3 of EH domain-binding protein 1</t>
  </si>
  <si>
    <t>Deleted in autism protein 1</t>
  </si>
  <si>
    <t>Isoform 2 of Metal transporter CNNM3</t>
  </si>
  <si>
    <t>ATP-binding cassette sub-family F member 1</t>
  </si>
  <si>
    <t>Isoform 3 of Calcium uniporter protein, mitochondrial</t>
  </si>
  <si>
    <t>Phosphatidylinositol 3-kinase catalytic subunit type 3</t>
  </si>
  <si>
    <t>Glutathione S-transferase C-terminal domain-containing protein</t>
  </si>
  <si>
    <t>Isoform 2 of Neuroguidin</t>
  </si>
  <si>
    <t>SHC SH2 domain-binding protein 1</t>
  </si>
  <si>
    <t>PDZ domain-containing protein 8</t>
  </si>
  <si>
    <t>Isoform 7 of Neuron navigator 1</t>
  </si>
  <si>
    <t>Isoform 3 of Periphilin-1</t>
  </si>
  <si>
    <t>Isoform 2 of Vacuolar protein sorting-associated protein 37A</t>
  </si>
  <si>
    <t>Histone-lysine N-methyltransferase MLL3</t>
  </si>
  <si>
    <t>F-box only protein 22</t>
  </si>
  <si>
    <t>Lysophosphatidylcholine acyltransferase 1</t>
  </si>
  <si>
    <t>Isoform 4 of Dedicator of cytokinesis protein 8</t>
  </si>
  <si>
    <t>Ubiquitin carboxyl-terminal hydrolase 32</t>
  </si>
  <si>
    <t>Biorientation of chromosomes in cell division protein 1-like 1</t>
  </si>
  <si>
    <t>Isoform 2 of FAD synthase</t>
  </si>
  <si>
    <t>Folliculin</t>
  </si>
  <si>
    <t>Nucleoporin Nup43</t>
  </si>
  <si>
    <t>Nucleoporin Nup37</t>
  </si>
  <si>
    <t>Cytosolic endo-beta-N-acetylglucosaminidase</t>
  </si>
  <si>
    <t>Torsin-1A-interacting protein 2</t>
  </si>
  <si>
    <t>Inositol polyphosphate multikinase</t>
  </si>
  <si>
    <t>Alpha/beta hydrolase domain-containing protein 11</t>
  </si>
  <si>
    <t>N-acylneuraminate cytidylyltransferase</t>
  </si>
  <si>
    <t>Kelch repeat and BTB domain-containing protein 8</t>
  </si>
  <si>
    <t>F-box only protein 18</t>
  </si>
  <si>
    <t>Tripartite motif-containing protein 58</t>
  </si>
  <si>
    <t>DNA helicase B</t>
  </si>
  <si>
    <t>Isoform 2 of Tetraspanin-14</t>
  </si>
  <si>
    <t>Isoform 3 of Protein CASC5</t>
  </si>
  <si>
    <t>Tubulin--tyrosine ligase</t>
  </si>
  <si>
    <t>Small VCP/p97-interacting protein</t>
  </si>
  <si>
    <t>E3 ubiquitin-protein ligase ZNRF2</t>
  </si>
  <si>
    <t>Atlastin-2</t>
  </si>
  <si>
    <t>Putative trypsin-6</t>
  </si>
  <si>
    <t>Isoform 4 of Lysine-specific demethylase 2B</t>
  </si>
  <si>
    <t>Putative phospholipase B-like 2</t>
  </si>
  <si>
    <t>Isoform 2 of Tudor domain-containing protein 7</t>
  </si>
  <si>
    <t>Isoform 2 of Protein NEDD1</t>
  </si>
  <si>
    <t>Isoform 2 of Nuclear receptor coactivator 7</t>
  </si>
  <si>
    <t>Isoform 2 of Multiple coagulation factor deficiency protein 2</t>
  </si>
  <si>
    <t>THO complex subunit 2</t>
  </si>
  <si>
    <t>WD repeat-containing protein 36</t>
  </si>
  <si>
    <t>Retinitis pigmentosa 9 protein</t>
  </si>
  <si>
    <t>GrpE protein homolog 2, mitochondrial</t>
  </si>
  <si>
    <t>Isoform 2 of Vang-like protein 1</t>
  </si>
  <si>
    <t>Rieske domain-containing protein</t>
  </si>
  <si>
    <t>Smad nuclear-interacting protein 1</t>
  </si>
  <si>
    <t>Growth arrest and DNA damage-inducible proteins-interacting protein 1</t>
  </si>
  <si>
    <t>WD repeat-containing protein 48</t>
  </si>
  <si>
    <t>Exocyst complex component 6</t>
  </si>
  <si>
    <t>Isoform 2 of Centrosomal protein of 76 kDa</t>
  </si>
  <si>
    <t>Protein phosphatase 1 regulatory subunit 35</t>
  </si>
  <si>
    <t>M-phase-specific PLK1-interacting protein</t>
  </si>
  <si>
    <t>SWI/SNF complex subunit SMARCC2</t>
  </si>
  <si>
    <t>Nuclear protein localization protein 4 homolog</t>
  </si>
  <si>
    <t>Protein FAM76A</t>
  </si>
  <si>
    <t>Uncharacterized protein CXorf38</t>
  </si>
  <si>
    <t>Isoform 2 of Ganglioside-induced differentiation-associated protein 1</t>
  </si>
  <si>
    <t>Iron-sulfur protein NUBPL</t>
  </si>
  <si>
    <t>F-box only protein 30</t>
  </si>
  <si>
    <t>Isoform 3 of Adenosine 3-phospho 5-phosphosulfate transporter 1</t>
  </si>
  <si>
    <t>TXNDC9 protein</t>
  </si>
  <si>
    <t>Isoform 2 of Pumilio homolog 2</t>
  </si>
  <si>
    <t>Isoform 2 of Golgin subfamily A member 5</t>
  </si>
  <si>
    <t>Isoform 3 of Kelch domain-containing protein 4</t>
  </si>
  <si>
    <t>NEDD8-activating enzyme E1 catalytic subunit</t>
  </si>
  <si>
    <t>Isoform 3 of Bromo adjacent homology domain-containing 1 protein</t>
  </si>
  <si>
    <t>N-acylneuraminate-9-phosphatase</t>
  </si>
  <si>
    <t>Isoform 2 of DnaJ homolog subfamily B member 14</t>
  </si>
  <si>
    <t>Guanine nucleotide exchange factor for Rab-3A</t>
  </si>
  <si>
    <t>Isoform 2 of Guanine nucleotide exchange factor for Rab-3A</t>
  </si>
  <si>
    <t>Solute carrier family 25 member 40</t>
  </si>
  <si>
    <t>Phosphatidylinositol 5-phosphate 4-kinase type-2 gamma</t>
  </si>
  <si>
    <t>WD repeat-containing protein 20</t>
  </si>
  <si>
    <t>tRNA methyltransferase 10 homolog A</t>
  </si>
  <si>
    <t>Isoform 2 of TBC1 domain family member 15</t>
  </si>
  <si>
    <t>Retinol dehydrogenase 11</t>
  </si>
  <si>
    <t>Leucine-rich repeat-containing protein 20</t>
  </si>
  <si>
    <t>Methyltransferase-like protein 6</t>
  </si>
  <si>
    <t>UPF0729 protein C18orf32</t>
  </si>
  <si>
    <t>Protein CIP2A</t>
  </si>
  <si>
    <t>Phosphatidylinositol 4-kinase type 2-beta</t>
  </si>
  <si>
    <t>Dolichyl-diphosphooligosaccharide--protein glycosyltransferase subunit STT3B</t>
  </si>
  <si>
    <t>Polyribonucleotide nucleotidyltransferase 1, mitochondrial</t>
  </si>
  <si>
    <t>Signal peptide peptidase-like 2A</t>
  </si>
  <si>
    <t>Isoform 5 of Minor histocompatibility antigen H13</t>
  </si>
  <si>
    <t>Cytoplasmic dynein 2 light intermediate chain 1</t>
  </si>
  <si>
    <t>Up-regulator of cell proliferation</t>
  </si>
  <si>
    <t>Isoform 6 of CD99 antigen-like protein 2</t>
  </si>
  <si>
    <t>Isoform 2 of Mitogen-activated protein kinase 15</t>
  </si>
  <si>
    <t>Protein bicaudal D homolog 2</t>
  </si>
  <si>
    <t>Serine/threonine-protein kinase Nek9</t>
  </si>
  <si>
    <t>Alanine aminotransferase 2</t>
  </si>
  <si>
    <t>ATP-dependent RNA helicase DDX54</t>
  </si>
  <si>
    <t>Biogenesis of lysosome-related organelles complex 1 subunit 5</t>
  </si>
  <si>
    <t>Ribosome biogenesis protein BRX1 homolog</t>
  </si>
  <si>
    <t>Isoform 3 of Glucosamine-6-phosphate isomerase 2</t>
  </si>
  <si>
    <t>Leucine-rich repeat-containing protein 8C</t>
  </si>
  <si>
    <t>Serine/threonine-protein kinase Nek7</t>
  </si>
  <si>
    <t>Isoform 2 of RB1-inducible coiled-coil protein 1</t>
  </si>
  <si>
    <t>Isoform 3 of Arf-GAP with SH3 domain, ANK repeat and PH domain-containing protein 3</t>
  </si>
  <si>
    <t>Protein-methionine sulfoxide oxidase MICAL1</t>
  </si>
  <si>
    <t>Putative methyltransferase NSUN6</t>
  </si>
  <si>
    <t>Isoform 3 of TBC domain-containing protein kinase-like protein</t>
  </si>
  <si>
    <t>D-tyrosyl-tRNA(Tyr) deacylase 1</t>
  </si>
  <si>
    <t>Isoform 2 of DDB1- and CUL4-associated factor 11</t>
  </si>
  <si>
    <t>DENN domain-containing protein 1A</t>
  </si>
  <si>
    <t>Nuclear pore membrane glycoprotein 210</t>
  </si>
  <si>
    <t>Gem-associated protein 5</t>
  </si>
  <si>
    <t>Importin-4</t>
  </si>
  <si>
    <t>Isoform 3 of Ubiquitin carboxyl-terminal hydrolase 33</t>
  </si>
  <si>
    <t>Arginine/serine-rich protein PNISR</t>
  </si>
  <si>
    <t>Isoform 2 of Serine/threonine-protein phosphatase 4 regulatory subunit 1</t>
  </si>
  <si>
    <t>Isoform 2 of DIS3-like exonuclease 1</t>
  </si>
  <si>
    <t>PDZ domain-containing protein GIPC3</t>
  </si>
  <si>
    <t>WAS/WASL-interacting protein family member 2</t>
  </si>
  <si>
    <t>1-acylglycerol-3-phosphate O-acyltransferase ABHD5</t>
  </si>
  <si>
    <t>Conserved oligomeric Golgi complex subunit 1</t>
  </si>
  <si>
    <t>CAMK2G protein (Fragment)</t>
  </si>
  <si>
    <t>Isoform 2 of Sec1 family domain-containing protein 2</t>
  </si>
  <si>
    <t>Stromal membrane-associated protein 2</t>
  </si>
  <si>
    <t>Zinc finger CCCH domain-containing protein 15</t>
  </si>
  <si>
    <t>Peptidyl-prolyl cis-trans isomerase-like 4</t>
  </si>
  <si>
    <t>Isoform 2 of General transcription factor 3C polypeptide 2</t>
  </si>
  <si>
    <t>Isoform 3 of PHD finger protein 10</t>
  </si>
  <si>
    <t>Ras-related protein Rab-2B</t>
  </si>
  <si>
    <t>Uncharacterized protein CXorf48</t>
  </si>
  <si>
    <t>RelA-associated inhibitor</t>
  </si>
  <si>
    <t>Protein Churchill</t>
  </si>
  <si>
    <t>Transforming growth factor-beta receptor-associated protein 1</t>
  </si>
  <si>
    <t>UPF0444 transmembrane protein C12orf23</t>
  </si>
  <si>
    <t>Isoform 3 of Histone deacetylase 7</t>
  </si>
  <si>
    <t>Serine/threonine/tyrosine-interacting protein</t>
  </si>
  <si>
    <t>Isoform 2 of Phosphatidylglycerophosphatase and protein-tyrosine phosphatase 1</t>
  </si>
  <si>
    <t>Programmed cell death 6-interacting protein</t>
  </si>
  <si>
    <t>Sodium-dependent phosphate transporter 1</t>
  </si>
  <si>
    <t>UPF0235 protein C15orf40</t>
  </si>
  <si>
    <t>Sodium-coupled neutral amino acid transporter 5</t>
  </si>
  <si>
    <t>Cation transport regulator-like protein 2</t>
  </si>
  <si>
    <t>Charged multivesicular body protein 7</t>
  </si>
  <si>
    <t>Protein THEM6</t>
  </si>
  <si>
    <t>N-acetyltransferase 14</t>
  </si>
  <si>
    <t>Non-structural maintenance of chromosomes element 1 homolog</t>
  </si>
  <si>
    <t>Sorting nexin-33</t>
  </si>
  <si>
    <t>Pentatricopeptide repeat-containing protein 2, mitochondrial</t>
  </si>
  <si>
    <t>MIT domain-containing protein 1</t>
  </si>
  <si>
    <t>Lactation elevated protein 1</t>
  </si>
  <si>
    <t>Chromosome transmission fidelity protein 18 homolog</t>
  </si>
  <si>
    <t>RNA polymerase-associated protein LEO1</t>
  </si>
  <si>
    <t>40S ribosomal protein S21</t>
  </si>
  <si>
    <t>E3 ubiquitin-protein ligase RNF138</t>
  </si>
  <si>
    <t>NudC domain-containing protein 2</t>
  </si>
  <si>
    <t>U4/U6.U5 small nuclear ribonucleoprotein 27 kDa protein</t>
  </si>
  <si>
    <t>Spindle and kinetochore-associated protein 2</t>
  </si>
  <si>
    <t>Ankyrin repeat domain-containing protein 49</t>
  </si>
  <si>
    <t>Dimethyladenosine transferase 1, mitochondrial</t>
  </si>
  <si>
    <t>Sec1 family domain-containing protein 1</t>
  </si>
  <si>
    <t>Soluble calcium-activated nucleotidase 1</t>
  </si>
  <si>
    <t>Trafficking protein particle complex subunit 12</t>
  </si>
  <si>
    <t>Fatty acyl-CoA reductase 1</t>
  </si>
  <si>
    <t>Ubiquitin-like domain-containing CTD phosphatase 1</t>
  </si>
  <si>
    <t>tRNA-splicing endonuclease subunit Sen15</t>
  </si>
  <si>
    <t>PEST proteolytic signal-containing nuclear protein</t>
  </si>
  <si>
    <t>SPRY domain-containing protein 4</t>
  </si>
  <si>
    <t>Isoform 2 of Lysosomal protein NCU-G1</t>
  </si>
  <si>
    <t>Uncharacterized protein C2orf47, mitochondrial</t>
  </si>
  <si>
    <t>Probable tRNA pseudouridine synthase 1</t>
  </si>
  <si>
    <t>Ataxin-2-like protein</t>
  </si>
  <si>
    <t>Reticulon-4-interacting protein 1, mitochondrial</t>
  </si>
  <si>
    <t>Isoform 3 of Ras association domain-containing protein 5</t>
  </si>
  <si>
    <t>Selenoprotein M</t>
  </si>
  <si>
    <t>U4/U6 small nuclear ribonucleoprotein Prp31</t>
  </si>
  <si>
    <t>Negative elongation factor B</t>
  </si>
  <si>
    <t>Isoform 2 of Splicing regulatory glutamine/lysine-rich protein 1</t>
  </si>
  <si>
    <t>Secretogranin-3</t>
  </si>
  <si>
    <t>Gem-associated protein 6</t>
  </si>
  <si>
    <t>Isoform 4 of ATR-interacting protein</t>
  </si>
  <si>
    <t>Paraspeckle component 1</t>
  </si>
  <si>
    <t>Isoform 7 of MAP kinase-activating death domain protein</t>
  </si>
  <si>
    <t>Transcriptional repressor p66-beta</t>
  </si>
  <si>
    <t>Progesterone-induced-blocking factor 1</t>
  </si>
  <si>
    <t>DnaJ homolog subfamily C member 9</t>
  </si>
  <si>
    <t>BRI3-binding protein</t>
  </si>
  <si>
    <t>Isoform 2 of Protein phosphatase 1E</t>
  </si>
  <si>
    <t>THAP domain-containing protein 4</t>
  </si>
  <si>
    <t>Protein ELYS</t>
  </si>
  <si>
    <t>Isoform 3 of Microprocessor complex subunit DGCR8</t>
  </si>
  <si>
    <t>Isoform 11 of Titin</t>
  </si>
  <si>
    <t>Ovarian cancer-associated gene 2 protein</t>
  </si>
  <si>
    <t>Protein LZIC</t>
  </si>
  <si>
    <t>Immunity-related GTPase family Q protein</t>
  </si>
  <si>
    <t>Isoform D1 of DNA damage-binding protein 2</t>
  </si>
  <si>
    <t>ATP-dependent RNA helicase DDX1</t>
  </si>
  <si>
    <t>Zinc transporter SLC39A7</t>
  </si>
  <si>
    <t>Estradiol 17-beta-dehydrogenase 8</t>
  </si>
  <si>
    <t>Piezo-type mechanosensitive ion channel component 1</t>
  </si>
  <si>
    <t>Protein FAM3C</t>
  </si>
  <si>
    <t>T-complex protein 1 subunit zeta-2</t>
  </si>
  <si>
    <t>Y+L amino acid transporter 2</t>
  </si>
  <si>
    <t>Golgi-specific brefeldin A-resistance guanine nucleotide exchange factor 1</t>
  </si>
  <si>
    <t>RNA polymerase-associated protein RTF1 homolog</t>
  </si>
  <si>
    <t>Transmembrane 9 superfamily member 4</t>
  </si>
  <si>
    <t>DNA topoisomerase 2-binding protein 1</t>
  </si>
  <si>
    <t>Inositol hexakisphosphate kinase 1</t>
  </si>
  <si>
    <t>28S ribosomal protein S27, mitochondrial</t>
  </si>
  <si>
    <t>Engulfment and cell motility protein 1</t>
  </si>
  <si>
    <t>Wiskott-Aldrich syndrome protein family member 1</t>
  </si>
  <si>
    <t>AP-3 complex subunit sigma-1</t>
  </si>
  <si>
    <t>UBX domain-containing protein 4</t>
  </si>
  <si>
    <t>Isoform 2 of PHD finger protein 3</t>
  </si>
  <si>
    <t>Isoform 3 of Sodium/hydrogen exchanger 6</t>
  </si>
  <si>
    <t>Isoform Beta of Heat shock protein 105 kDa</t>
  </si>
  <si>
    <t>Cell differentiation protein RCD1 homolog</t>
  </si>
  <si>
    <t>TBC1 domain family member 5</t>
  </si>
  <si>
    <t>Zinc finger protein 592</t>
  </si>
  <si>
    <t>La-related protein 4B</t>
  </si>
  <si>
    <t>Translational activator GCN1</t>
  </si>
  <si>
    <t>Minor histocompatibility protein HA-1</t>
  </si>
  <si>
    <t>Pre-mRNA-splicing factor ATP-dependent RNA helicase PRP16</t>
  </si>
  <si>
    <t>Nuclear pore complex protein Nup205</t>
  </si>
  <si>
    <t>Ankyrin repeat and SAM domain-containing protein 1A</t>
  </si>
  <si>
    <t>Protein FAN</t>
  </si>
  <si>
    <t>Isoform 2 of Transcription factor IIIA</t>
  </si>
  <si>
    <t>28S ribosomal protein S31, mitochondrial</t>
  </si>
  <si>
    <t>A-kinase anchor protein 1, mitochondrial</t>
  </si>
  <si>
    <t>Neurogranin</t>
  </si>
  <si>
    <t>Isoform 2 of Acidic leucine-rich nuclear phosphoprotein 32 family member B</t>
  </si>
  <si>
    <t>Poliovirus receptor-related protein 2</t>
  </si>
  <si>
    <t>Isoform Alpha of Poliovirus receptor-related protein 2</t>
  </si>
  <si>
    <t>Geranylgeranyl transferase type-2 subunit alpha</t>
  </si>
  <si>
    <t>DNA repair and recombination protein RAD54-like</t>
  </si>
  <si>
    <t>Isoform 2 of Protein TFG</t>
  </si>
  <si>
    <t>Actin-related protein 2/3 complex subunit 1A</t>
  </si>
  <si>
    <t>General transcription factor IIH subunit 4</t>
  </si>
  <si>
    <t>Ras-responsive element-binding protein 1</t>
  </si>
  <si>
    <t>Isoform 2 of Signal transducing adapter molecule 1</t>
  </si>
  <si>
    <t>Isoform 2 of CREB-binding protein</t>
  </si>
  <si>
    <t>Symplekin</t>
  </si>
  <si>
    <t>Isoform Short of TATA-binding protein-associated factor 2N</t>
  </si>
  <si>
    <t>Golgin subfamily A member 1</t>
  </si>
  <si>
    <t>Gamma-glutamyl hydrolase</t>
  </si>
  <si>
    <t>Coronin-2A</t>
  </si>
  <si>
    <t>Isoform 3 of Bcl-2-like protein 2</t>
  </si>
  <si>
    <t>TRAF family member-associated NF-kappa-B activator</t>
  </si>
  <si>
    <t>Isoform 2 of Kinesin-associated protein 3</t>
  </si>
  <si>
    <t>Isoform B of Caspase-10</t>
  </si>
  <si>
    <t>Phosphomannomutase 1</t>
  </si>
  <si>
    <t>DNA repair protein RAD50</t>
  </si>
  <si>
    <t>Osteoclast-stimulating factor 1</t>
  </si>
  <si>
    <t>DNA repair endonuclease XPF</t>
  </si>
  <si>
    <t>Ubiquitin fusion degradation protein 1 homolog</t>
  </si>
  <si>
    <t>Golgi apparatus protein 1</t>
  </si>
  <si>
    <t>Regulator of nonsense transcripts 1</t>
  </si>
  <si>
    <t>COP9 signalosome complex subunit 5</t>
  </si>
  <si>
    <t>G patch domain and KOW motifs-containing protein</t>
  </si>
  <si>
    <t>SWI/SNF complex subunit SMARCC1</t>
  </si>
  <si>
    <t>Ras-related protein Rab-8B</t>
  </si>
  <si>
    <t>Bcl2 antagonist of cell death</t>
  </si>
  <si>
    <t>Far upstream element-binding protein 2</t>
  </si>
  <si>
    <t>Glutaryl-CoA dehydrogenase, mitochondrial</t>
  </si>
  <si>
    <t>Peroxisomal membrane protein PEX13</t>
  </si>
  <si>
    <t>Isoform 2 of Transportin-1</t>
  </si>
  <si>
    <t>Ribosomal RNA small subunit methyltransferase NEP1</t>
  </si>
  <si>
    <t>Glomulin</t>
  </si>
  <si>
    <t>Probable ubiquitin carboxyl-terminal hydrolase FAF-X</t>
  </si>
  <si>
    <t>N-acetyltransferase 6</t>
  </si>
  <si>
    <t>Cullin-5</t>
  </si>
  <si>
    <t>Exostosin-2</t>
  </si>
  <si>
    <t>Isoform 3 of Mediator of RNA polymerase II transcription subunit 12</t>
  </si>
  <si>
    <t>Histone H2A type 1-C</t>
  </si>
  <si>
    <t>Isoform SERCA3G of Sarcoplasmic/endoplasmic reticulum calcium ATPase 3</t>
  </si>
  <si>
    <t>Isoform 4 of Phosphorylase b kinase regulatory subunit beta</t>
  </si>
  <si>
    <t>Isoform 2 of Secretory carrier-associated membrane protein 4</t>
  </si>
  <si>
    <t>Pre-rRNA-processing protein TSR2 homolog</t>
  </si>
  <si>
    <t>KiSS-1 receptor</t>
  </si>
  <si>
    <t>Riboflavin kinase</t>
  </si>
  <si>
    <t>Isoform 2 of Ribonuclease P/MRP protein subunit POP5</t>
  </si>
  <si>
    <t>UPF0556 protein C19orf10</t>
  </si>
  <si>
    <t>E3 ubiquitin-protein ligase RNF34</t>
  </si>
  <si>
    <t>Protein YIPF5</t>
  </si>
  <si>
    <t>Isoform 4 of GPI transamidase component PIG-T</t>
  </si>
  <si>
    <t>Isoform 3 of Immunoglobulin superfamily member 8</t>
  </si>
  <si>
    <t>Integrin-alpha FG-GAP repeat-containing protein 2</t>
  </si>
  <si>
    <t>Zinc finger protein 622</t>
  </si>
  <si>
    <t>Isoform 2 of Ribosome-releasing factor 2, mitochondrial</t>
  </si>
  <si>
    <t>Isoform 2 of 7-methylguanosine phosphate-specific 5-nucleotidase</t>
  </si>
  <si>
    <t>Proteasome assembly chaperone 2</t>
  </si>
  <si>
    <t>Isoform 2 of Nicalin</t>
  </si>
  <si>
    <t>Mitochondrial ubiquitin ligase activator of NFKB 1</t>
  </si>
  <si>
    <t>RILP-like protein 2</t>
  </si>
  <si>
    <t>Isoform 2 of Endoplasmic reticulum-Golgi intermediate compartment protein 1</t>
  </si>
  <si>
    <t>Isoform 3 of tRNA modification GTPase GTPBP3, mitochondrial</t>
  </si>
  <si>
    <t>Protein TBRG4</t>
  </si>
  <si>
    <t>Protein phosphatase 1 regulatory subunit 14A</t>
  </si>
  <si>
    <t>Coiled-coil domain-containing protein 102A</t>
  </si>
  <si>
    <t>Coiled-coil domain-containing protein 47</t>
  </si>
  <si>
    <t>Mitoferrin-2</t>
  </si>
  <si>
    <t>Insulin gene enhancer protein ISL-2</t>
  </si>
  <si>
    <t>Synapse-associated protein 1</t>
  </si>
  <si>
    <t>Exocyst complex component 4</t>
  </si>
  <si>
    <t>Isoform 2 of Putative monooxygenase p33MONOX</t>
  </si>
  <si>
    <t>Isochorismatase domain-containing protein 2, mitochondrial</t>
  </si>
  <si>
    <t>Patatin-like phospholipase domain-containing protein 2</t>
  </si>
  <si>
    <t>Far upstream element-binding protein 1</t>
  </si>
  <si>
    <t>Isoform 2 of Far upstream element-binding protein 1</t>
  </si>
  <si>
    <t>Leucine-rich repeat-containing protein 59</t>
  </si>
  <si>
    <t>Isoform 1 of Vesicle transport through interaction with t-SNAREs homolog 1A</t>
  </si>
  <si>
    <t>Endothelial cell-selective adhesion molecule</t>
  </si>
  <si>
    <t>Mitochondrial calcium uniporter regulator 1</t>
  </si>
  <si>
    <t>Uncharacterized protein KIAA1143</t>
  </si>
  <si>
    <t>Ribulose-phosphate 3-epimerase</t>
  </si>
  <si>
    <t>Vacuolar protein sorting-associated protein 33A</t>
  </si>
  <si>
    <t>Isoform 2 of Uncharacterized protein C18orf25</t>
  </si>
  <si>
    <t>Exosome complex component RRP43</t>
  </si>
  <si>
    <t>Proline-rich AKT1 substrate 1</t>
  </si>
  <si>
    <t>UPF0693 protein C10orf32</t>
  </si>
  <si>
    <t>Mitochondrial import receptor subunit TOM6 homolog</t>
  </si>
  <si>
    <t>Spindle and kinetochore-associated protein 1</t>
  </si>
  <si>
    <t>E3 ubiquitin-protein ligase RNF25</t>
  </si>
  <si>
    <t>ADP-ribosylation factor-like protein 8A</t>
  </si>
  <si>
    <t>Protein FAM105B</t>
  </si>
  <si>
    <t>Peptidylprolyl isomerase domain and WD repeat-containing protein 1</t>
  </si>
  <si>
    <t>Coiled-coil domain-containing protein 127</t>
  </si>
  <si>
    <t>Sel1 repeat-containing protein 1</t>
  </si>
  <si>
    <t>Alkylated DNA repair protein alkB homolog 8</t>
  </si>
  <si>
    <t>Isoform 3 of Uracil phosphoribosyltransferase homolog</t>
  </si>
  <si>
    <t>Isoform 2 of Phosphotriesterase-related protein</t>
  </si>
  <si>
    <t>MOB kinase activator 3A</t>
  </si>
  <si>
    <t>Autophagy-related protein 2 homolog B</t>
  </si>
  <si>
    <t>Leukocyte receptor cluster member 1</t>
  </si>
  <si>
    <t>TBC1 domain family member 20</t>
  </si>
  <si>
    <t>Protein FAM136A</t>
  </si>
  <si>
    <t>EF-hand domain-containing protein D2</t>
  </si>
  <si>
    <t>Aldose 1-epimerase</t>
  </si>
  <si>
    <t>Pyrroline-5-carboxylate reductase 2</t>
  </si>
  <si>
    <t>Uncharacterized protein C12orf43</t>
  </si>
  <si>
    <t>m7GpppX diphosphatase</t>
  </si>
  <si>
    <t>Protein phosphatase 1 regulatory subunit 14B</t>
  </si>
  <si>
    <t>Isoform 4 of 5-methylcytosine rRNA methyltransferase NSUN4</t>
  </si>
  <si>
    <t>Charged multivesicular body protein 4c</t>
  </si>
  <si>
    <t>Isoform 2 of RNA pseudouridylate synthase domain-containing protein 4</t>
  </si>
  <si>
    <t>Isochorismatase domain-containing protein 1</t>
  </si>
  <si>
    <t>GRIP and coiled-coil domain-containing protein 1</t>
  </si>
  <si>
    <t>FLYWCH family member 2</t>
  </si>
  <si>
    <t>Solute carrier family 25 member 36</t>
  </si>
  <si>
    <t>HAUS augmin-like complex subunit 1</t>
  </si>
  <si>
    <t>FAS-associated factor 2</t>
  </si>
  <si>
    <t>Coiled-coil domain-containing protein 124</t>
  </si>
  <si>
    <t>FAD-dependent oxidoreductase domain-containing protein 1</t>
  </si>
  <si>
    <t>Isoform 2 of AP-2 complex subunit mu</t>
  </si>
  <si>
    <t>Isoform 3 of Gamma-tubulin complex component 3</t>
  </si>
  <si>
    <t>Probable RNA polymerase II nuclear localization protein SLC7A6OS</t>
  </si>
  <si>
    <t>Leucine-rich repeat-containing protein 58</t>
  </si>
  <si>
    <t>Uncharacterized protein C10orf35</t>
  </si>
  <si>
    <t>Reticulocalbin-3</t>
  </si>
  <si>
    <t>Isoform beta of Calcium release-activated calcium channel protein 1</t>
  </si>
  <si>
    <t>Isoform 3 of RalBP1-associated Eps domain-containing protein 1</t>
  </si>
  <si>
    <t>Isoform 2 of Mitochondrial import inner membrane translocase subunit TIM14</t>
  </si>
  <si>
    <t>Regulator of microtubule dynamics protein 1</t>
  </si>
  <si>
    <t>U8 snoRNA-decapping enzyme</t>
  </si>
  <si>
    <t>Anaphase-promoting complex subunit 16</t>
  </si>
  <si>
    <t>Protein DGCR14</t>
  </si>
  <si>
    <t>Carboxymethylenebutenolidase homolog</t>
  </si>
  <si>
    <t>U5 small nuclear ribonucleoprotein 40 kDa protein</t>
  </si>
  <si>
    <t>Cysteine protease ATG4C</t>
  </si>
  <si>
    <t>Inositol-trisphosphate 3-kinase C</t>
  </si>
  <si>
    <t>39S ribosomal protein L38, mitochondrial</t>
  </si>
  <si>
    <t>RING finger and SPRY domain-containing protein 1</t>
  </si>
  <si>
    <t>Tripartite motif-containing protein 44</t>
  </si>
  <si>
    <t>IQ domain-containing protein D</t>
  </si>
  <si>
    <t>Isoform 2 of Endoplasmic reticulum lectin 1</t>
  </si>
  <si>
    <t>Protein FAM122A</t>
  </si>
  <si>
    <t>Isoform 3 of Ribosome-recycling factor, mitochondrial</t>
  </si>
  <si>
    <t>Nogo-B receptor</t>
  </si>
  <si>
    <t>Metalloendopeptidase OMA1, mitochondrial</t>
  </si>
  <si>
    <t>Protein Spindly</t>
  </si>
  <si>
    <t>Elongator complex protein 4</t>
  </si>
  <si>
    <t>NAD-dependent protein deacetylase sirtuin-1</t>
  </si>
  <si>
    <t>Protein YIPF6</t>
  </si>
  <si>
    <t>Isoform 2 of Protein Hook homolog 2</t>
  </si>
  <si>
    <t>Nucleoporin SEH1</t>
  </si>
  <si>
    <t>Zinc fingers and homeoboxes protein 1, isoform 2</t>
  </si>
  <si>
    <t>Mitochondrial assembly of ribosomal large subunit protein 1</t>
  </si>
  <si>
    <t>KIF1-binding protein</t>
  </si>
  <si>
    <t>Glucosamine 6-phosphate N-acetyltransferase</t>
  </si>
  <si>
    <t>Protein KTI12 homolog</t>
  </si>
  <si>
    <t>39S ribosomal protein L53, mitochondrial</t>
  </si>
  <si>
    <t>Trans-L-3-hydroxyproline dehydratase</t>
  </si>
  <si>
    <t>Molybdenum cofactor sulfurase</t>
  </si>
  <si>
    <t>Isoform 5 of E3 ubiquitin-protein ligase CHFR</t>
  </si>
  <si>
    <t>DAZ-associated protein 1</t>
  </si>
  <si>
    <t>Sodium/bile acid cotransporter 4</t>
  </si>
  <si>
    <t>Small glutamine-rich tetratricopeptide repeat-containing protein beta</t>
  </si>
  <si>
    <t>Coiled-coil domain-containing protein 51</t>
  </si>
  <si>
    <t>SAGA-associated factor 29 homolog</t>
  </si>
  <si>
    <t>Isoform 2 of Ribosomal RNA processing protein 36 homolog</t>
  </si>
  <si>
    <t>RNA-binding protein 33</t>
  </si>
  <si>
    <t>Dysbindin</t>
  </si>
  <si>
    <t>Small integral membrane protein 12</t>
  </si>
  <si>
    <t>WD repeat-containing protein 34</t>
  </si>
  <si>
    <t>DnaJ homolog subfamily A member 3, mitochondrial</t>
  </si>
  <si>
    <t>Multivesicular body subunit 12A</t>
  </si>
  <si>
    <t>Pentatricopeptide repeat domain-containing protein 3, mitochondrial</t>
  </si>
  <si>
    <t>Cob(I)yrinic acid a,c-diamide adenosyltransferase, mitochondrial</t>
  </si>
  <si>
    <t>Probable inactive tRNA-specific adenosine deaminase-like protein 3</t>
  </si>
  <si>
    <t>Isoform 2 of Nuclear receptor-binding factor 2</t>
  </si>
  <si>
    <t>Isoform 3 of E3 ubiquitin-protein ligase TRIM11</t>
  </si>
  <si>
    <t>Interleukin-17 receptor A</t>
  </si>
  <si>
    <t>Coiled-coil domain-containing protein 97</t>
  </si>
  <si>
    <t>Enhancer of mRNA-decapping protein 3</t>
  </si>
  <si>
    <t>Isoform 4 of Probable ATP-dependent RNA helicase DDX11</t>
  </si>
  <si>
    <t>Isoform 2 of Protein MEF2BNB</t>
  </si>
  <si>
    <t>Dynein light chain 2, cytoplasmic</t>
  </si>
  <si>
    <t>WD repeat-containing protein 89</t>
  </si>
  <si>
    <t>Signal-induced proliferation-associated protein 1</t>
  </si>
  <si>
    <t>THO complex subunit 1</t>
  </si>
  <si>
    <t>DPH3 homolog</t>
  </si>
  <si>
    <t>tRNA (adenine(58)-N(1))-methyltransferase catalytic subunit TRMT61A</t>
  </si>
  <si>
    <t>UPF0361 protein C3orf37</t>
  </si>
  <si>
    <t>Charged multivesicular body protein 6</t>
  </si>
  <si>
    <t>Phosphoglucomutase-2</t>
  </si>
  <si>
    <t>Mediator of RNA polymerase II transcription subunit 8</t>
  </si>
  <si>
    <t>Coiled-coil domain-containing protein 104</t>
  </si>
  <si>
    <t>tRNA-dihydrouridine(47) synthase [NAD(P)(+)]-like</t>
  </si>
  <si>
    <t>Isoform 3 of OTU domain-containing protein 5</t>
  </si>
  <si>
    <t>Protein LTV1 homolog</t>
  </si>
  <si>
    <t>Serine dehydratase-like</t>
  </si>
  <si>
    <t>Pyridoxal phosphate phosphatase</t>
  </si>
  <si>
    <t>E3 ubiquitin-protein ligase RNF185</t>
  </si>
  <si>
    <t>DCN1-like protein 1</t>
  </si>
  <si>
    <t>Fumarylacetoacetate hydrolase domain-containing protein 2A</t>
  </si>
  <si>
    <t>SWI/SNF-related matrix-associated actin-dependent regulator of chromatin subfamily D member 1</t>
  </si>
  <si>
    <t>Target of EGR1 protein 1</t>
  </si>
  <si>
    <t>Probable ATP-dependent RNA helicase DDX27</t>
  </si>
  <si>
    <t>Uncharacterized protein C17orf59</t>
  </si>
  <si>
    <t>Alpha/beta hydrolase domain-containing protein 17A</t>
  </si>
  <si>
    <t>Isoform 2 of P antigen family member 5</t>
  </si>
  <si>
    <t>UNC119-binding protein C5orf30</t>
  </si>
  <si>
    <t>Methionine--tRNA ligase, mitochondrial</t>
  </si>
  <si>
    <t>Putative ataxin-7-like protein 3B</t>
  </si>
  <si>
    <t>Isoform 2 of Serine/threonine-protein kinase greatwall</t>
  </si>
  <si>
    <t>Vacuolar-sorting protein SNF8</t>
  </si>
  <si>
    <t>Isoform 2 of Unconventional myosin-XIX</t>
  </si>
  <si>
    <t>Isoform 2 of Nuclear envelope pore membrane protein POM 121</t>
  </si>
  <si>
    <t>Isoform 4 of Uncharacterized protein C1orf159</t>
  </si>
  <si>
    <t>Isoform 2 of Tonsoku-like protein</t>
  </si>
  <si>
    <t>PDZ and LIM domain protein 5</t>
  </si>
  <si>
    <t>Cysteine-rich with EGF-like domain protein 1</t>
  </si>
  <si>
    <t>ERO1-like protein alpha</t>
  </si>
  <si>
    <t>UPF0562 protein C7orf55</t>
  </si>
  <si>
    <t>Isoform 2 of CDKN2AIP N-terminal-like protein</t>
  </si>
  <si>
    <t>Receptor expression-enhancing protein 6</t>
  </si>
  <si>
    <t>Serine/threonine-protein phosphatase PGAM5, mitochondrial</t>
  </si>
  <si>
    <t>Integrator complex subunit 4</t>
  </si>
  <si>
    <t>DDRGK domain-containing protein 1</t>
  </si>
  <si>
    <t>Selenocysteine lyase</t>
  </si>
  <si>
    <t>Far upstream element-binding protein 3</t>
  </si>
  <si>
    <t>Splicing factor 45</t>
  </si>
  <si>
    <t>Protein phosphatase 1 regulatory subunit 16A</t>
  </si>
  <si>
    <t>Cytochrome c oxidase assembly protein COX14</t>
  </si>
  <si>
    <t>Williams-Beuren syndrome chromosomal region 16 protein</t>
  </si>
  <si>
    <t>Probable asparagine--tRNA ligase, mitochondrial</t>
  </si>
  <si>
    <t>Succinyl-CoA ligase [GDP-forming] subunit beta, mitochondrial</t>
  </si>
  <si>
    <t>Mannose-1-phosphate guanyltransferase alpha</t>
  </si>
  <si>
    <t>Zinc finger protein 414</t>
  </si>
  <si>
    <t>Zinc finger protein 845</t>
  </si>
  <si>
    <t>Alpha/beta hydrolase domain-containing protein 14B</t>
  </si>
  <si>
    <t>Peptide-N(4)-(N-acetyl-beta-glucosaminyl)asparagine amidase</t>
  </si>
  <si>
    <t>Up-regulated during skeletal muscle growth protein 5</t>
  </si>
  <si>
    <t>Kinetochore-associated protein NSL1 homolog</t>
  </si>
  <si>
    <t>Isoform 2 of Serine/Arginine-related protein 53</t>
  </si>
  <si>
    <t>THO complex subunit 3</t>
  </si>
  <si>
    <t>Isoform 2 of E3 ubiquitin-protein ligase Itchy homolog</t>
  </si>
  <si>
    <t>Leucine-rich repeats and immunoglobulin-like domains protein 1</t>
  </si>
  <si>
    <t>Conserved oligomeric Golgi complex subunit 3</t>
  </si>
  <si>
    <t>Isoform 2 of Hypermethylated in cancer 2 protein</t>
  </si>
  <si>
    <t>Isoform 2 of CDK5 regulatory subunit-associated protein 3</t>
  </si>
  <si>
    <t>Isoform 2 of Vam6/Vps39-like protein</t>
  </si>
  <si>
    <t>ELL-associated factor 1</t>
  </si>
  <si>
    <t>Coiled-coil domain-containing protein 132</t>
  </si>
  <si>
    <t>Deubiquitinating protein VCIP135</t>
  </si>
  <si>
    <t>Protein disulfide-isomerase TMX3</t>
  </si>
  <si>
    <t>Chromosome alignment-maintaining phosphoprotein 1</t>
  </si>
  <si>
    <t>Isoform 2 of E3 ubiquitin-protein ligase ZFP91</t>
  </si>
  <si>
    <t>Transcription factor BTF3 homolog 4</t>
  </si>
  <si>
    <t>Isoform 2 of E3 ubiquitin-protein ligase RNF170</t>
  </si>
  <si>
    <t>Isoform 2 of Cleft lip and palate transmembrane protein 1-like protein</t>
  </si>
  <si>
    <t>Lymphokine-activated killer T-cell-originated protein kinase</t>
  </si>
  <si>
    <t>ADP-ribosylation factor-like protein 5B</t>
  </si>
  <si>
    <t>DnaJ homolog subfamily C member 1</t>
  </si>
  <si>
    <t>Small integral membrane protein 8</t>
  </si>
  <si>
    <t>Zinc finger protein 512B</t>
  </si>
  <si>
    <t>Exocyst complex component 2</t>
  </si>
  <si>
    <t>Cytosolic non-specific dipeptidase</t>
  </si>
  <si>
    <t>Zinc finger RNA-binding protein</t>
  </si>
  <si>
    <t>Isoform 3 of E1A-binding protein p400</t>
  </si>
  <si>
    <t>Isoform 2 of Sorting nexin-27</t>
  </si>
  <si>
    <t>Isoform 5 of Kinesin-like protein KIF16B</t>
  </si>
  <si>
    <t>Isoform 2 of Protein arginine N-methyltransferase 6</t>
  </si>
  <si>
    <t>Intraflagellar transport protein 74 homolog</t>
  </si>
  <si>
    <t>Tripartite motif-containing protein 47</t>
  </si>
  <si>
    <t>Dehydrogenase/reductase SDR family member 1</t>
  </si>
  <si>
    <t>UBX domain-containing protein 10</t>
  </si>
  <si>
    <t>Isoform 2 of Cyclic nucleotide-binding domain-containing protein 2</t>
  </si>
  <si>
    <t>Protein PRRC1</t>
  </si>
  <si>
    <t>Putative nuclease HARBI1</t>
  </si>
  <si>
    <t>Isoform 4 of F-box/LRR-repeat protein 18</t>
  </si>
  <si>
    <t>Melanoma-associated antigen G1</t>
  </si>
  <si>
    <t>Protein HEXIM2</t>
  </si>
  <si>
    <t>Isoform 2 of Transmembrane protein 68</t>
  </si>
  <si>
    <t>Transcription elongation factor A N-terminal and central domain-containing protein 2</t>
  </si>
  <si>
    <t>Conserved oligomeric Golgi complex subunit 8</t>
  </si>
  <si>
    <t>WD repeat-containing protein 92</t>
  </si>
  <si>
    <t>Isoform 2 of Uncharacterized protein C20orf112</t>
  </si>
  <si>
    <t>Isoform 2 of AP-4 complex accessory subunit tepsin</t>
  </si>
  <si>
    <t>Tetratricopeptide repeat protein 14</t>
  </si>
  <si>
    <t>Isoform 2 of Lysophospholipid acyltransferase 7</t>
  </si>
  <si>
    <t>Isoform 4 of Dedicator of cytokinesis protein 7</t>
  </si>
  <si>
    <t>Rab-interacting lysosomal protein</t>
  </si>
  <si>
    <t>LisH domain-containing protein FOPNL</t>
  </si>
  <si>
    <t>Sideroflexin-2</t>
  </si>
  <si>
    <t>Zinc finger protein 830</t>
  </si>
  <si>
    <t>Zinc finger matrin-type protein 2</t>
  </si>
  <si>
    <t>Sodium channel and clathrin linker 1</t>
  </si>
  <si>
    <t>Protein C8orf37</t>
  </si>
  <si>
    <t>Coiled-coil domain-containing protein 115</t>
  </si>
  <si>
    <t>Nucleosome assembly protein 1-like 5</t>
  </si>
  <si>
    <t>Ankyrin repeat domain-containing protein 27</t>
  </si>
  <si>
    <t>Isoform 2 of Putative methyltransferase NSUN5</t>
  </si>
  <si>
    <t>Arf-GAP with GTPase, ANK repeat and PH domain-containing protein 3</t>
  </si>
  <si>
    <t>Isoform 3 of Arf-GAP with Rho-GAP domain, ANK repeat and PH domain-containing protein 1</t>
  </si>
  <si>
    <t>Importin-9</t>
  </si>
  <si>
    <t>Methylmalonyl-CoA epimerase, mitochondrial</t>
  </si>
  <si>
    <t>Isoform 3 of Bcl-2-binding component 3</t>
  </si>
  <si>
    <t>RNA-binding protein 14</t>
  </si>
  <si>
    <t>Erythroid membrane-associated protein</t>
  </si>
  <si>
    <t>RING finger and CHY zinc finger domain-containing protein 1</t>
  </si>
  <si>
    <t>Isoform 2 of E3 ubiquitin-protein ligase NEDD4-like</t>
  </si>
  <si>
    <t>Isoform 6 of Protein quaking</t>
  </si>
  <si>
    <t>Pseudouridylate synthase 7 homolog</t>
  </si>
  <si>
    <t>Isoform 2 of CCA tRNA nucleotidyltransferase 1, mitochondrial</t>
  </si>
  <si>
    <t>Isoform 2 of Transmembrane protein 237</t>
  </si>
  <si>
    <t>Alpha-ketoglutarate-dependent dioxygenase alkB homolog 3</t>
  </si>
  <si>
    <t>Serine/threonine-protein phosphatase 1 regulatory subunit 10</t>
  </si>
  <si>
    <t>MHC class I polypeptide-related sequence A</t>
  </si>
  <si>
    <t>Myotubularin-related protein 9</t>
  </si>
  <si>
    <t>Vacuolar protein sorting-associated protein 35</t>
  </si>
  <si>
    <t>Transcriptional activator protein Pur-beta</t>
  </si>
  <si>
    <t>Exportin-6</t>
  </si>
  <si>
    <t>Isoform 6 of Membrane-associated guanylate kinase, WW and PDZ domain-containing protein 1</t>
  </si>
  <si>
    <t>Sperm-associated antigen 5</t>
  </si>
  <si>
    <t>Nucleus accumbens-associated protein 1</t>
  </si>
  <si>
    <t>Isoform 3 of Sorting nexin-18</t>
  </si>
  <si>
    <t>PAS domain-containing serine/threonine-protein kinase</t>
  </si>
  <si>
    <t>BRCA1-A complex subunit RAP80</t>
  </si>
  <si>
    <t>Isoform 4 of Vacuolar protein sorting-associated protein 13A</t>
  </si>
  <si>
    <t>Isoform 3 of Mediator of RNA polymerase II transcription subunit 15</t>
  </si>
  <si>
    <t>Elongation factor G, mitochondrial</t>
  </si>
  <si>
    <t>Twinkle protein, mitochondrial</t>
  </si>
  <si>
    <t>Isoform 6 of Calcium/calmodulin-dependent protein kinase kinase 2</t>
  </si>
  <si>
    <t>Trimethylguanosine synthase</t>
  </si>
  <si>
    <t>NudC domain-containing protein 1</t>
  </si>
  <si>
    <t>Isoform 9 of Protein LAP2</t>
  </si>
  <si>
    <t>Isoform 4 of Formin-binding protein 1</t>
  </si>
  <si>
    <t>Isoform 3 of UPF0585 protein C16orf13</t>
  </si>
  <si>
    <t>Ribosomal protein S6 kinase delta-1</t>
  </si>
  <si>
    <t>TP53-regulating kinase</t>
  </si>
  <si>
    <t>GPI transamidase component PIG-S</t>
  </si>
  <si>
    <t>Isoform 2 of ATPase WRNIP1</t>
  </si>
  <si>
    <t>Ran-binding protein 9</t>
  </si>
  <si>
    <t>Chloride channel CLIC-like protein 1</t>
  </si>
  <si>
    <t>Ubiquitin-like protein 7</t>
  </si>
  <si>
    <t>Cyclin-L2</t>
  </si>
  <si>
    <t>Pleckstrin homology domain-containing family F member 1</t>
  </si>
  <si>
    <t>Structural maintenance of chromosomes protein 6</t>
  </si>
  <si>
    <t>BTB/POZ domain-containing protein KCTD15</t>
  </si>
  <si>
    <t>Isoform 2 of Transmembrane protein 209</t>
  </si>
  <si>
    <t>Cytochrome P450 2S1</t>
  </si>
  <si>
    <t>Isoform 3 of Protein IWS1 homolog</t>
  </si>
  <si>
    <t>Paired amphipathic helix protein Sin3a</t>
  </si>
  <si>
    <t>2-aminoethanethiol dioxygenase</t>
  </si>
  <si>
    <t>Isoform 2 of CDK5 regulatory subunit-associated protein 1</t>
  </si>
  <si>
    <t>Isoform 2 of Putative RNA-binding protein 15</t>
  </si>
  <si>
    <t>RUN and FYVE domain-containing protein 1</t>
  </si>
  <si>
    <t>Msx2-interacting protein</t>
  </si>
  <si>
    <t>Bifunctional polynucleotide phosphatase/kinase</t>
  </si>
  <si>
    <t>MMS19 nucleotide excision repair protein homolog</t>
  </si>
  <si>
    <t>E3 ubiquitin-protein ligase UHRF1</t>
  </si>
  <si>
    <t>Isoform 2 of Niban-like protein 1</t>
  </si>
  <si>
    <t>Isoform 3 of ATP-dependent zinc metalloprotease YME1L1</t>
  </si>
  <si>
    <t>Regulator of microtubule dynamics protein 3</t>
  </si>
  <si>
    <t>Transcription factor 12</t>
  </si>
  <si>
    <t>C-Myc-binding protein</t>
  </si>
  <si>
    <t>Tubulin-folding cofactor B</t>
  </si>
  <si>
    <t>Proteasome subunit beta type-7</t>
  </si>
  <si>
    <t>Ethanolamine-phosphate cytidylyltransferase</t>
  </si>
  <si>
    <t>Cell division cycle 5-like protein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</si>
  <si>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</si>
  <si>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</si>
  <si>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</si>
  <si>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</si>
  <si>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E3 ubiquitin-protein ligase RING2</t>
  </si>
  <si>
    <t>Protein DJ-1</t>
  </si>
  <si>
    <t>GAS2-like protein 1</t>
  </si>
  <si>
    <t>Isoform 2 of Eyes absent homolog 3</t>
  </si>
  <si>
    <t>Sialidase-1</t>
  </si>
  <si>
    <t>Sortilin</t>
  </si>
  <si>
    <t>Synaptic vesicle membrane protein VAT-1 homolog</t>
  </si>
  <si>
    <t>Perilipin-2</t>
  </si>
  <si>
    <t>DnaJ homolog subfamily C member 2</t>
  </si>
  <si>
    <t>Isoform 2 of DnaJ homolog subfamily C member 2</t>
  </si>
  <si>
    <t>M-phase phosphoprotein 8</t>
  </si>
  <si>
    <t>Nuclear pore complex protein Nup88</t>
  </si>
  <si>
    <t>Isoform 2 of Plakophilin-4</t>
  </si>
  <si>
    <t>Phosphoinositide 3-kinase regulatory subunit 4</t>
  </si>
  <si>
    <t>Ribonucleases P/MRP protein subunit POP1</t>
  </si>
  <si>
    <t>Max-binding protein MNT</t>
  </si>
  <si>
    <t>Protein S100-A13</t>
  </si>
  <si>
    <t>Mitochondrial import inner membrane translocase subunit Tim17-A</t>
  </si>
  <si>
    <t>Translin-associated protein X</t>
  </si>
  <si>
    <t>Tetratricopeptide repeat protein 1</t>
  </si>
  <si>
    <t>DnaJ homolog subfamily C member 7</t>
  </si>
  <si>
    <t>Cell division cycle-associated protein 3</t>
  </si>
  <si>
    <t>Protein C10</t>
  </si>
  <si>
    <t>Pre-mRNA-splicing factor 18</t>
  </si>
  <si>
    <t>Isoform 4 of Membrane-associated tyrosine- and threonine-specific cdc2-inhibitory kinase</t>
  </si>
  <si>
    <t>Calcineurin B homologous protein 1</t>
  </si>
  <si>
    <t>Kinesin-like protein KIF2C</t>
  </si>
  <si>
    <t>Isoform 4 of Ataxin-2</t>
  </si>
  <si>
    <t>Docking protein 1</t>
  </si>
  <si>
    <t>Methionine synthase</t>
  </si>
  <si>
    <t>3-hydroxyacyl-CoA dehydrogenase type-2</t>
  </si>
  <si>
    <t>Isoform 4 of Sigma non-opioid intracellular receptor 1</t>
  </si>
  <si>
    <t>Nucleosome assembly protein 1-like 4</t>
  </si>
  <si>
    <t>Isoform 2 of Microsomal glutathione S-transferase 2</t>
  </si>
  <si>
    <t>Gamma-soluble NSF attachment protein</t>
  </si>
  <si>
    <t>Thioredoxin, mitochondrial</t>
  </si>
  <si>
    <t>ATP synthase subunit s, mitochondrial</t>
  </si>
  <si>
    <t>Isoform 2 of Amyloid beta A4 precursor protein-binding family A member 2</t>
  </si>
  <si>
    <t>Mitochondrial intermediate peptidase</t>
  </si>
  <si>
    <t>Transmembrane 9 superfamily member 2</t>
  </si>
  <si>
    <t>Equilibrative nucleoside transporter 1</t>
  </si>
  <si>
    <t>Calcium and integrin-binding protein 1</t>
  </si>
  <si>
    <t>T-complex protein 1 subunit eta</t>
  </si>
  <si>
    <t>AT-rich interactive domain-containing protein 3A</t>
  </si>
  <si>
    <t>Isoform 3 of HAUS augmin-like complex subunit 7</t>
  </si>
  <si>
    <t>Histone H2A type 1-J</t>
  </si>
  <si>
    <t>Isoform 2 of Protein SSX3</t>
  </si>
  <si>
    <t>Dual specificity protein phosphatase 9</t>
  </si>
  <si>
    <t>Endophilin-A2</t>
  </si>
  <si>
    <t>Isoform 4 of Endophilin-A3</t>
  </si>
  <si>
    <t>Serine/threonine-protein kinase VRK1</t>
  </si>
  <si>
    <t>Growth/differentiation factor 15</t>
  </si>
  <si>
    <t>Isoform 4 of A-kinase anchor protein 9</t>
  </si>
  <si>
    <t>Protein NipSnap homolog 1</t>
  </si>
  <si>
    <t>Condensin complex subunit 3</t>
  </si>
  <si>
    <t>Actin-related protein 2/3 complex subunit 5-like protein</t>
  </si>
  <si>
    <t>Polyadenylate-binding protein-interacting protein 2</t>
  </si>
  <si>
    <t>ATP-dependent RNA helicase DDX50</t>
  </si>
  <si>
    <t>Zinc phosphodiesterase ELAC protein 2</t>
  </si>
  <si>
    <t>Uncharacterized protein C19orf43</t>
  </si>
  <si>
    <t>Glutamate-rich WD repeat-containing protein 1</t>
  </si>
  <si>
    <t>O-acetyl-ADP-ribose deacetylase MACROD1</t>
  </si>
  <si>
    <t>Transcription factor 25</t>
  </si>
  <si>
    <t>Kelch domain-containing protein 3</t>
  </si>
  <si>
    <t>Evolutionarily conserved signaling intermediate in Toll pathway, mitochondrial</t>
  </si>
  <si>
    <t>Methylosome protein 50</t>
  </si>
  <si>
    <t>Isoform 2 of Uncharacterized protein C17orf62</t>
  </si>
  <si>
    <t>Diphthamide biosynthesis protein 2</t>
  </si>
  <si>
    <t>Peroxisomal NADH pyrophosphatase NUDT12</t>
  </si>
  <si>
    <t>Isoform 2 of Eukaryotic translation initiation factor 2-alpha kinase 1</t>
  </si>
  <si>
    <t>Mitochondrial genome maintenance exonuclease 1</t>
  </si>
  <si>
    <t>Golgi reassembly-stacking protein 1</t>
  </si>
  <si>
    <t>Isoform 2 of Hephaestin</t>
  </si>
  <si>
    <t>FYVE and coiled-coil domain-containing protein 1</t>
  </si>
  <si>
    <t>Isoform 2 of Mitochondrial 2-oxodicarboxylate carrier</t>
  </si>
  <si>
    <t>Rhox homeobox family member 2</t>
  </si>
  <si>
    <t>Acyl-CoA-binding domain-containing protein 6</t>
  </si>
  <si>
    <t>Coronin-1B</t>
  </si>
  <si>
    <t>Thioredoxin domain-containing protein 17</t>
  </si>
  <si>
    <t>BUD13 homolog</t>
  </si>
  <si>
    <t>Calcineurin-like phosphoesterase domain-containing protein 1</t>
  </si>
  <si>
    <t>Vacuolar protein-sorting-associated protein 25</t>
  </si>
  <si>
    <t>39S ribosomal protein L45, mitochondrial</t>
  </si>
  <si>
    <t>45 kDa calcium-binding protein</t>
  </si>
  <si>
    <t>Programmed cell death protein 2-like</t>
  </si>
  <si>
    <t>Proteasomal ATPase-associated factor 1</t>
  </si>
  <si>
    <t>Isoform 2 of Partner of Y14 and mago</t>
  </si>
  <si>
    <t>Apoptosis-inducing factor 2</t>
  </si>
  <si>
    <t>Zinc finger protein with KRAB and SCAN domains 3</t>
  </si>
  <si>
    <t>Isoform 2 of ADP-dependent glucokinase</t>
  </si>
  <si>
    <t>G patch domain-containing protein 1</t>
  </si>
  <si>
    <t>Serine/threonine-protein kinase RIO1</t>
  </si>
  <si>
    <t>Mitochondrial nucleoid factor 1</t>
  </si>
  <si>
    <t>DNA replication complex GINS protein SLD5</t>
  </si>
  <si>
    <t>Suppressor of IKBKE 1</t>
  </si>
  <si>
    <t>Protein pelota homolog</t>
  </si>
  <si>
    <t>DNA replication complex GINS protein PSF3</t>
  </si>
  <si>
    <t>E3 ubiquitin-protein ligase TRIM56</t>
  </si>
  <si>
    <t>Anaphase-promoting complex subunit 13</t>
  </si>
  <si>
    <t>Endoplasmic reticulum resident protein 44</t>
  </si>
  <si>
    <t>Autophagy-related protein 101</t>
  </si>
  <si>
    <t>Cancer-related nucleoside-triphosphatase</t>
  </si>
  <si>
    <t>Uncharacterized protein C19orf52</t>
  </si>
  <si>
    <t>Protease-associated domain-containing protein 1</t>
  </si>
  <si>
    <t>Translational activator of cytochrome c oxidase 1</t>
  </si>
  <si>
    <t>Haloacid dehalogenase-like hydrolase domain-containing protein 3</t>
  </si>
  <si>
    <t>Gamma-tubulin complex component 2</t>
  </si>
  <si>
    <t>Uncharacterized protein C17orf80</t>
  </si>
  <si>
    <t>Isoform 2 of Extended synaptotagmin-1</t>
  </si>
  <si>
    <t>Solute carrier family 25 member 33</t>
  </si>
  <si>
    <t>Ubiquitin-associated domain-containing protein 1</t>
  </si>
  <si>
    <t>Protein YIPF4</t>
  </si>
  <si>
    <t>N-alpha-acetyltransferase 11</t>
  </si>
  <si>
    <t>tRNA-splicing endonuclease subunit Sen34</t>
  </si>
  <si>
    <t>Isoform 2 of EF-hand calcium-binding domain-containing protein 4B</t>
  </si>
  <si>
    <t>Coiled-coil-helix-coiled-coil-helix domain-containing protein 5</t>
  </si>
  <si>
    <t>Protein canopy homolog 3</t>
  </si>
  <si>
    <t>Chitobiosyldiphosphodolichol beta-mannosyltransferase</t>
  </si>
  <si>
    <t>LIM domain-containing protein 2</t>
  </si>
  <si>
    <t>Isoform 2 of HAUS augmin-like complex subunit 8</t>
  </si>
  <si>
    <t>Alpha-ketoglutarate-dependent dioxygenase alkB homolog 7</t>
  </si>
  <si>
    <t>Proteasome assembly chaperone 3</t>
  </si>
  <si>
    <t>COP9 signalosome complex subunit 4</t>
  </si>
  <si>
    <t>Isoform 2 of WW domain-containing adapter protein with coiled-coil</t>
  </si>
  <si>
    <t>Death-inducer obliterator 1</t>
  </si>
  <si>
    <t>Isoform 2 of Mini-chromosome maintenance complex-binding protein</t>
  </si>
  <si>
    <t>DCN1-like protein 5</t>
  </si>
  <si>
    <t>RNMT-activating mini protein</t>
  </si>
  <si>
    <t>Acidic leucine-rich nuclear phosphoprotein 32 family member E</t>
  </si>
  <si>
    <t>Mediator of RNA polymerase II transcription subunit 10</t>
  </si>
  <si>
    <t>Phosphatidylinositol 4-kinase type 2-alpha</t>
  </si>
  <si>
    <t>Transmembrane protein 43</t>
  </si>
  <si>
    <t>WD repeat-containing protein 85</t>
  </si>
  <si>
    <t>CDK5 and ABL1 enzyme substrate 2</t>
  </si>
  <si>
    <t>Plasma alpha-L-fucosidase</t>
  </si>
  <si>
    <t>Protein FAM203A</t>
  </si>
  <si>
    <t>Isoform 8 of Dehydrogenase/reductase SDR family member 4</t>
  </si>
  <si>
    <t>Isoform 3 of Lipase maturation factor 2</t>
  </si>
  <si>
    <t>NADH dehydrogenase [ubiquinone] 1 alpha subcomplex assembly factor 3</t>
  </si>
  <si>
    <t>Isoform 4 of Multiple myeloma tumor-associated protein 2</t>
  </si>
  <si>
    <t>Deoxyhypusine hydroxylase</t>
  </si>
  <si>
    <t>Uncharacterized protein C11orf84</t>
  </si>
  <si>
    <t>Isoform 2 of MAP kinase-interacting serine/threonine-protein kinase 1</t>
  </si>
  <si>
    <t>Transmembrane protein 70, mitochondrial</t>
  </si>
  <si>
    <t>Mediator of RNA polymerase II transcription subunit 18</t>
  </si>
  <si>
    <t>Iron-sulfur cluster assembly 1 homolog, mitochondrial</t>
  </si>
  <si>
    <t>Tubulin beta-6 chain</t>
  </si>
  <si>
    <t>Uncharacterized protein C9orf142</t>
  </si>
  <si>
    <t>DNA-directed RNA polymerase III subunit RPC3</t>
  </si>
  <si>
    <t>Isoform 2 of Heterogeneous nuclear ribonucleoprotein U-like protein 1</t>
  </si>
  <si>
    <t>Isoform 3 of Protein misato homolog 1</t>
  </si>
  <si>
    <t>Ribonuclease P protein subunit p25</t>
  </si>
  <si>
    <t>Isoform 3 of Oxidoreductase HTATIP2</t>
  </si>
  <si>
    <t>Probable ATP-dependent RNA helicase DDX23</t>
  </si>
  <si>
    <t>Telomerase Cajal body protein 1</t>
  </si>
  <si>
    <t>3-hydroxybutyrate dehydrogenase type 2</t>
  </si>
  <si>
    <t>Protein FAM195A</t>
  </si>
  <si>
    <t>UPF0184 protein C9orf16</t>
  </si>
  <si>
    <t>TNF receptor-associated factor 4</t>
  </si>
  <si>
    <t>Uncharacterized protein C1orf50</t>
  </si>
  <si>
    <t>Methylthioribose-1-phosphate isomerase</t>
  </si>
  <si>
    <t>Monoacylglycerol lipase ABHD6</t>
  </si>
  <si>
    <t>WD repeat-containing protein 18</t>
  </si>
  <si>
    <t>Vesicle-associated membrane protein 8</t>
  </si>
  <si>
    <t>THUMP domain-containing protein 3</t>
  </si>
  <si>
    <t>1,2-dihydroxy-3-keto-5-methylthiopentene dioxygenase</t>
  </si>
  <si>
    <t>Isoform 2 of RING finger protein 126</t>
  </si>
  <si>
    <t>Isoform 2 of Centrosome-associated protein CEP250</t>
  </si>
  <si>
    <t>Trans-2-enoyl-CoA reductase, mitochondrial</t>
  </si>
  <si>
    <t>ER membrane protein complex subunit 6</t>
  </si>
  <si>
    <t>N-terminal Xaa-Pro-Lys N-methyltransferase 1</t>
  </si>
  <si>
    <t>Katanin p80 WD40 repeat-containing subunit B1</t>
  </si>
  <si>
    <t>Tubulin beta-2B chain</t>
  </si>
  <si>
    <t>Sister chromatid cohesion protein DCC1</t>
  </si>
  <si>
    <t>Ashwin</t>
  </si>
  <si>
    <t>Transmembrane protein 109</t>
  </si>
  <si>
    <t>Protein PBDC1</t>
  </si>
  <si>
    <t>Phosphatidylserine synthase 2</t>
  </si>
  <si>
    <t>Nucleolar complex protein 4 homolog</t>
  </si>
  <si>
    <t>Isoform 3 of U3 small nucleolar RNA-associated protein 14 homolog A</t>
  </si>
  <si>
    <t>Dual specificity protein phosphatase 23</t>
  </si>
  <si>
    <t>Transmembrane emp24 domain-containing protein 9</t>
  </si>
  <si>
    <t>Selenoprotein O</t>
  </si>
  <si>
    <t>Spermatogenesis-associated protein 5-like protein 1</t>
  </si>
  <si>
    <t>Serine/threonine-protein kinase RIO2</t>
  </si>
  <si>
    <t>tRNA (adenine(58)-N(1))-methyltransferase, mitochondrial</t>
  </si>
  <si>
    <t>Mitochondrial import inner membrane translocase subunit Tim21</t>
  </si>
  <si>
    <t>Specifically androgen-regulated gene protein</t>
  </si>
  <si>
    <t>Kinesin-like protein KIFC1</t>
  </si>
  <si>
    <t>Nuclear pore complex protein Nup85</t>
  </si>
  <si>
    <t>Elongation of very long chain fatty acids protein 1</t>
  </si>
  <si>
    <t>DET1- and DDB1-associated protein 1</t>
  </si>
  <si>
    <t>Isoform 2 of HIRA-interacting protein 3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</si>
  <si>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</si>
  <si>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</si>
  <si>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</si>
  <si>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</si>
  <si>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Replication initiator 1</t>
  </si>
  <si>
    <t>RNA-binding protein 4</t>
  </si>
  <si>
    <t>Sodium channel modifier 1</t>
  </si>
  <si>
    <t>FUN14 domain-containing protein 2</t>
  </si>
  <si>
    <t>RNA polymerase II-associated protein 1</t>
  </si>
  <si>
    <t>Splicing factor 3B subunit 5</t>
  </si>
  <si>
    <t>Sideroflexin-3</t>
  </si>
  <si>
    <t>Poly(A) polymerase gamma</t>
  </si>
  <si>
    <t>Meiotic nuclear division protein 1 homolog</t>
  </si>
  <si>
    <t>Kanadaptin</t>
  </si>
  <si>
    <t>Isoform 2 of Single-stranded DNA-binding protein 3</t>
  </si>
  <si>
    <t>Single stranded DNA binding protein-4</t>
  </si>
  <si>
    <t>Isoform 2 of GTP-binding protein 2</t>
  </si>
  <si>
    <t>Protein LSM14 homolog B</t>
  </si>
  <si>
    <t>Fanconi anemia group J protein</t>
  </si>
  <si>
    <t>Isoform 9 of Sorbin and SH3 domain-containing protein 1</t>
  </si>
  <si>
    <t>Histidine triad nucleotide-binding protein 2, mitochondrial</t>
  </si>
  <si>
    <t>Caspase recruitment domain-containing protein 6</t>
  </si>
  <si>
    <t>Sphingosine-1-phosphate phosphatase 1</t>
  </si>
  <si>
    <t>Oxysterol-binding protein-related protein 11</t>
  </si>
  <si>
    <t>Bcl-2-binding component 3</t>
  </si>
  <si>
    <t>N-alpha-acetyltransferase 15, NatA auxiliary subunit</t>
  </si>
  <si>
    <t>Krueppel-like factor 16</t>
  </si>
  <si>
    <t>Bcl-2-like protein 13</t>
  </si>
  <si>
    <t>Hemogen</t>
  </si>
  <si>
    <t>Caspase recruitment domain-containing protein 11</t>
  </si>
  <si>
    <t>Solute carrier family 12 member 9</t>
  </si>
  <si>
    <t>Isoform 4 of Serrate RNA effector molecule homolog</t>
  </si>
  <si>
    <t>Queuine tRNA-ribosyltransferase</t>
  </si>
  <si>
    <t>Isoform 2 of Nucleolar and spindle-associated protein 1</t>
  </si>
  <si>
    <t>Uncharacterized protein C14orf142</t>
  </si>
  <si>
    <t>Isoform 1 of Cat eye syndrome critical region protein 5</t>
  </si>
  <si>
    <t>Isoform 2 of Fanconi anemia group D2 protein</t>
  </si>
  <si>
    <t>Protein DGCR6L</t>
  </si>
  <si>
    <t>Inosine triphosphate pyrophosphatase</t>
  </si>
  <si>
    <t>Protein RTF2 homolog</t>
  </si>
  <si>
    <t>Eukaryotic translation initiation factor 2A</t>
  </si>
  <si>
    <t>Polymerase delta-interacting protein 3</t>
  </si>
  <si>
    <t>Guanine nucleotide-binding protein subunit beta-like protein 1</t>
  </si>
  <si>
    <t>Isoform 2 of Alpha-(1,6)-fucosyltransferase</t>
  </si>
  <si>
    <t>39S ribosomal protein L32, mitochondrial</t>
  </si>
  <si>
    <t>39S ribosomal protein L1, mitochondrial</t>
  </si>
  <si>
    <t>Partitioning defective 6 homolog beta</t>
  </si>
  <si>
    <t>Hyccin</t>
  </si>
  <si>
    <t>Neurolysin, mitochondrial</t>
  </si>
  <si>
    <t>Centrosomal protein of 41 kDa</t>
  </si>
  <si>
    <t>Histone-lysine N-methyltransferase SETD2</t>
  </si>
  <si>
    <t>Isoform 4 of TBC1 domain family member 2A</t>
  </si>
  <si>
    <t>Isoform 2 of Pantothenate kinase 2, mitochondrial</t>
  </si>
  <si>
    <t>Isoform 3 of Dedicator of cytokinesis protein 9</t>
  </si>
  <si>
    <t>Isoform 4 of Histone-lysine N-methyltransferase NSD3</t>
  </si>
  <si>
    <t>Putative GRINL1B complex locus protein 2</t>
  </si>
  <si>
    <t>Kinetochore protein Nuf2</t>
  </si>
  <si>
    <t>tRNA pseudouridine(38/39) synthase</t>
  </si>
  <si>
    <t>Tether containing UBX domain for GLUT4</t>
  </si>
  <si>
    <t>Isoform 3 of Oxysterol-binding protein-related protein 8</t>
  </si>
  <si>
    <t>Isoform 4 of Oxysterol-binding protein-related protein 6</t>
  </si>
  <si>
    <t>WD repeat-containing protein 11</t>
  </si>
  <si>
    <t>Isoform 2 of Regulator of nonsense transcripts 3B</t>
  </si>
  <si>
    <t>F-box-like/WD repeat-containing protein TBL1XR1</t>
  </si>
  <si>
    <t>Ubiquitin-like protein 5</t>
  </si>
  <si>
    <t>Group XIIA secretory phospholipase A2</t>
  </si>
  <si>
    <t>NKG2D ligand 1</t>
  </si>
  <si>
    <t>Protein Niban</t>
  </si>
  <si>
    <t>Uridine-cytidine kinase 2</t>
  </si>
  <si>
    <t>Isoform 2 of Apoptosis inhibitor 5</t>
  </si>
  <si>
    <t>Protein sprouty homolog 4</t>
  </si>
  <si>
    <t>Protein dpy-30 homolog</t>
  </si>
  <si>
    <t>Isoform Beta of Tripartite motif-containing protein 4</t>
  </si>
  <si>
    <t>Protein FAM117A</t>
  </si>
  <si>
    <t>RING finger protein unkempt homolog</t>
  </si>
  <si>
    <t>Alpha-ketoglutarate-dependent dioxygenase FTO</t>
  </si>
  <si>
    <t>Isoform 2 of Palmitoyltransferase ZDHHC5</t>
  </si>
  <si>
    <t>Transport and Golgi organization 6 homolog</t>
  </si>
  <si>
    <t>182 kDa tankyrase-1-binding protein</t>
  </si>
  <si>
    <t>Semaphorin-4C</t>
  </si>
  <si>
    <t>Isoform 4 of Activating molecule in BECN1-regulated autophagy protein 1</t>
  </si>
  <si>
    <t>Ubiquitin-conjugating enzyme E2 O</t>
  </si>
  <si>
    <t>Protein zyg-11 homolog B</t>
  </si>
  <si>
    <t>Centrosomal protein of 44 kDa</t>
  </si>
  <si>
    <t>Myotubularin-related protein 12</t>
  </si>
  <si>
    <t>pre-mRNA 3 end processing protein WDR33</t>
  </si>
  <si>
    <t>Ribosome biogenesis protein WDR12</t>
  </si>
  <si>
    <t>Actin-related protein 6</t>
  </si>
  <si>
    <t>UPF0687 protein C20orf27</t>
  </si>
  <si>
    <t>Neurensin-2</t>
  </si>
  <si>
    <t>PITH domain-containing protein 1</t>
  </si>
  <si>
    <t>Derlin-2</t>
  </si>
  <si>
    <t>COMM domain-containing protein 5</t>
  </si>
  <si>
    <t>Isoform 2 of DNA-directed RNA polymerase I subunit RPA49</t>
  </si>
  <si>
    <t>WD repeat-containing protein 61</t>
  </si>
  <si>
    <t>Isoform 2 of SRA stem-loop-interacting RNA-binding protein, mitochondrial</t>
  </si>
  <si>
    <t>Serine racemase</t>
  </si>
  <si>
    <t>Isoform 2 of Coiled-coil domain-containing protein 90B, mitochondrial</t>
  </si>
  <si>
    <t>Isoform 2 of NIF3-like protein 1</t>
  </si>
  <si>
    <t>Egl nine homolog 1</t>
  </si>
  <si>
    <t>Protein FAM192A</t>
  </si>
  <si>
    <t>Twisted gastrulation protein homolog 1</t>
  </si>
  <si>
    <t>Cytochrome c oxidase assembly protein 1 homolog</t>
  </si>
  <si>
    <t>Isoform 2 of Mitochondrial fission factor</t>
  </si>
  <si>
    <t>Ubiquitin-like modifier-activating enzyme 5</t>
  </si>
  <si>
    <t>Isoform 3 of Mitochondrial fission regulator 1-like</t>
  </si>
  <si>
    <t>Transmembrane protein 126A</t>
  </si>
  <si>
    <t>Polyadenylate-binding protein-interacting protein 1</t>
  </si>
  <si>
    <t>Isoform 2 of Caseinolytic peptidase B protein homolog</t>
  </si>
  <si>
    <t>Protein MIS12 homolog</t>
  </si>
  <si>
    <t>Ras-related protein Rab-33B</t>
  </si>
  <si>
    <t>Large subunit GTPase 1 homolog</t>
  </si>
  <si>
    <t>Kinesin light chain 2</t>
  </si>
  <si>
    <t>Integrin-linked kinase-associated serine/threonine phosphatase 2C</t>
  </si>
  <si>
    <t>5-3 exoribonuclease 2</t>
  </si>
  <si>
    <t>Toll-interacting protein</t>
  </si>
  <si>
    <t>Isoform 2 of Bromodomain-containing protein 8</t>
  </si>
  <si>
    <t>Isoform 2 of Sharpin</t>
  </si>
  <si>
    <t>Nuclear speckle splicing regulatory protein 1</t>
  </si>
  <si>
    <t>Rac GTPase-activating protein 1</t>
  </si>
  <si>
    <t>Poly [ADP-ribose] polymerase 12</t>
  </si>
  <si>
    <t>Pseudouridylate synthase 7 homolog-like protein</t>
  </si>
  <si>
    <t>Cleavage stimulation factor subunit 2 tau variant</t>
  </si>
  <si>
    <t>Cytosolic 5-nucleotidase 3A</t>
  </si>
  <si>
    <t>Haloacid dehalogenase-like hydrolase domain-containing protein 2</t>
  </si>
  <si>
    <t>Glutamyl-tRNA(Gln) amidotransferase subunit A, mitochondrial</t>
  </si>
  <si>
    <t>Isoform 2 of Probable ATP-dependent RNA helicase DDX47</t>
  </si>
  <si>
    <t>Magnesium transporter protein 1</t>
  </si>
  <si>
    <t>Ras-related protein Rab-1B</t>
  </si>
  <si>
    <t>39S ribosomal protein L18, mitochondrial</t>
  </si>
  <si>
    <t>Testis-specific Y-encoded-like protein 1</t>
  </si>
  <si>
    <t>Transmembrane protein 168</t>
  </si>
  <si>
    <t>VIP36-like protein</t>
  </si>
  <si>
    <t>Isoform 2 of Protein SMG9</t>
  </si>
  <si>
    <t>Ester hydrolase C11orf54</t>
  </si>
  <si>
    <t>Protein ITFG3</t>
  </si>
  <si>
    <t>Inhibitor of growth protein 2</t>
  </si>
  <si>
    <t>Nucleotide exchange factor SIL1</t>
  </si>
  <si>
    <t>Isoform 2 of Methyltransferase-like protein 9</t>
  </si>
  <si>
    <t>Anaphase-promoting complex subunit 1</t>
  </si>
  <si>
    <t>Interferon regulatory factor 2-binding protein-like</t>
  </si>
  <si>
    <t>DNA-directed RNA polymerase III subunit RPC6</t>
  </si>
  <si>
    <t>Nuclear ubiquitous casein and cyclin-dependent kinase substrate 1</t>
  </si>
  <si>
    <t>Isoform 3 of Kinesin-like protein KIF13A</t>
  </si>
  <si>
    <t>Isoform 2 of Regulator of nonsense transcripts 3A</t>
  </si>
  <si>
    <t>Rabenosyn-5</t>
  </si>
  <si>
    <t>Iron-sulfur cluster assembly enzyme ISCU, mitochondrial</t>
  </si>
  <si>
    <t>Mesoderm development candidate 1</t>
  </si>
  <si>
    <t>Isoform 2 of Oxysterol-binding protein-related protein 2</t>
  </si>
  <si>
    <t>Autophagy protein 5</t>
  </si>
  <si>
    <t>WD repeat-containing protein 13</t>
  </si>
  <si>
    <t>DNA replication factor Cdt1</t>
  </si>
  <si>
    <t>EH domain-containing protein 4</t>
  </si>
  <si>
    <t>Isoform 2 of Caspase recruitment domain-containing protein 9</t>
  </si>
  <si>
    <t>Vacuolar protein sorting-associated protein 33B</t>
  </si>
  <si>
    <t>Vacuolar protein sorting-associated protein 16 homolog</t>
  </si>
  <si>
    <t>Vacuolar protein sorting-associated protein 11 homolog</t>
  </si>
  <si>
    <t>Gigaxonin</t>
  </si>
  <si>
    <t>Mitochondrial folate transporter/carrier</t>
  </si>
  <si>
    <t>Isoform 2 of STE20-like serine/threonine-protein kinase</t>
  </si>
  <si>
    <t>Golgin-45</t>
  </si>
  <si>
    <t>Phosducin-like protein 3</t>
  </si>
  <si>
    <t>Translation initiation factor IF-3, mitochondrial</t>
  </si>
  <si>
    <t>Serine/threonine-protein kinase TAO3</t>
  </si>
  <si>
    <t>Rab3 GTPase-activating protein non-catalytic subunit</t>
  </si>
  <si>
    <t>Activity-dependent neuroprotector homeobox protein</t>
  </si>
  <si>
    <t>Isoform 3 of Diphthine synthase</t>
  </si>
  <si>
    <t>Inorganic pyrophosphatase 2, mitochondrial</t>
  </si>
  <si>
    <t>39S ribosomal protein L46, mitochondrial</t>
  </si>
  <si>
    <t>Presenilins-associated rhomboid-like protein, mitochondrial</t>
  </si>
  <si>
    <t>Pinin</t>
  </si>
  <si>
    <t>Isoform 2 of Transmembrane protein 245</t>
  </si>
  <si>
    <t>Gametogenetin-binding protein 2</t>
  </si>
  <si>
    <t>Isoform 4 of tRNA dimethylallyltransferase, mitochondrial</t>
  </si>
  <si>
    <t>Isoform 2 of UPF0696 protein C11orf68</t>
  </si>
  <si>
    <t>Isoform 2 of UDP-N-acetylglucosamine--dolichyl-phosphate N-acetylglucosaminephosphotransferase</t>
  </si>
  <si>
    <t>Probable peptide chain release factor C12orf65, mitochondrial</t>
  </si>
  <si>
    <t>BolA-like protein 2</t>
  </si>
  <si>
    <t>Thioredoxin-interacting protein</t>
  </si>
  <si>
    <t>Thioredoxin-related transmembrane protein 1</t>
  </si>
  <si>
    <t>Negative elongation factor A</t>
  </si>
  <si>
    <t>Golgi resident protein GCP60</t>
  </si>
  <si>
    <t>Cdc42 effector protein 4</t>
  </si>
  <si>
    <t>Centromere protein H</t>
  </si>
  <si>
    <t>Tyrosine-protein phosphatase non-receptor type 23</t>
  </si>
  <si>
    <t>Protein unc-45 homolog A</t>
  </si>
  <si>
    <t>Isoform 3 of Major facilitator superfamily domain-containing protein 1</t>
  </si>
  <si>
    <t>Pancreatic progenitor cell differentiation and proliferation factor</t>
  </si>
  <si>
    <t>Isoform 2 of DnaJ homolog subfamily C member 5</t>
  </si>
  <si>
    <t>Kinetochore-associated protein DSN1 homolog</t>
  </si>
  <si>
    <t>Uncharacterized protein C1orf198</t>
  </si>
  <si>
    <t>Charged multivesicular body protein 4b</t>
  </si>
  <si>
    <t>CUE domain-containing protein 2</t>
  </si>
  <si>
    <t>F-box/LRR-repeat protein 15</t>
  </si>
  <si>
    <t>Fructosamine-3-kinase</t>
  </si>
  <si>
    <t>GDP-fucose protein O-fucosyltransferase 1</t>
  </si>
  <si>
    <t>Isoform 2 of Phosphatidylinositol glycan anchor biosynthesis class U protein</t>
  </si>
  <si>
    <t>15 kDa interferon-responsive protein</t>
  </si>
  <si>
    <t>Torsin-3A</t>
  </si>
  <si>
    <t>Aminopeptidase B</t>
  </si>
  <si>
    <t>Golgi phosphoprotein 3-like</t>
  </si>
  <si>
    <t>Golgi phosphoprotein 3</t>
  </si>
  <si>
    <t>Differentially expressed in FDCP 6 homolog</t>
  </si>
  <si>
    <t>Protein FAM83D</t>
  </si>
  <si>
    <t>Oxysterol-binding protein-related protein 3</t>
  </si>
  <si>
    <t>SWI/SNF-related matrix-associated actin-dependent regulator of chromatin subfamily A containing DEAD/H box 1</t>
  </si>
  <si>
    <t>EH domain-containing protein 1</t>
  </si>
  <si>
    <t>Isoform 2 of E3 ubiquitin-protein ligase NRDP1</t>
  </si>
  <si>
    <t>Phosphorylated CTD-interacting factor 1</t>
  </si>
  <si>
    <t>ESF1 homolog</t>
  </si>
  <si>
    <t>Alpha-1,3/1,6-mannosyltransferase ALG2</t>
  </si>
  <si>
    <t>Probable inactive protein kinase-like protein SgK196</t>
  </si>
  <si>
    <t>Rab GTPase-binding effector protein 2</t>
  </si>
  <si>
    <t>Dimethyladenosine transferase 2, mitochondrial</t>
  </si>
  <si>
    <t>CUB domain-containing protein 1</t>
  </si>
  <si>
    <t>Isoform 3 of UPF0428 protein CXorf56</t>
  </si>
  <si>
    <t>MIP18 family protein FAM96A</t>
  </si>
  <si>
    <t>HAUS augmin-like complex subunit 4</t>
  </si>
  <si>
    <t>Coiled-coil domain-containing protein 134</t>
  </si>
  <si>
    <t>Coiled-coil domain-containing protein 86</t>
  </si>
  <si>
    <t>Receptor expression-enhancing protein 4</t>
  </si>
  <si>
    <t>Uncharacterized protein C6orf106</t>
  </si>
  <si>
    <t>Optic atrophy 3 protein</t>
  </si>
  <si>
    <t>Cytosolic Fe-S cluster assembly factor NARFL</t>
  </si>
  <si>
    <t>Isoform 2 of Palmitoyltransferase ZDHHC6</t>
  </si>
  <si>
    <t>Isoform 2 of WD repeat-containing protein C2orf44</t>
  </si>
  <si>
    <t>Probable ATP-dependent RNA helicase YTHDC2</t>
  </si>
  <si>
    <t>5-azacytidine-induced protein 2</t>
  </si>
  <si>
    <t>Epidermal growth factor receptor kinase substrate 8-like protein 2</t>
  </si>
  <si>
    <t>RNA polymerase II-associated protein 3</t>
  </si>
  <si>
    <t>Alpha-1,2-mannosyltransferase ALG9</t>
  </si>
  <si>
    <t>WD repeat-containing protein 55</t>
  </si>
  <si>
    <t>dCTP pyrophosphatase 1</t>
  </si>
  <si>
    <t>Histone-lysine N-methyltransferase SMYD3</t>
  </si>
  <si>
    <t>Isoform 2 of WD repeat-containing protein 26</t>
  </si>
  <si>
    <t>Isoform 3 of Tudor domain-containing protein 3</t>
  </si>
  <si>
    <t>UPF0488 protein C8orf33</t>
  </si>
  <si>
    <t>Probable cation-transporting ATPase 13A3</t>
  </si>
  <si>
    <t>Sin3 histone deacetylase corepressor complex component SDS3</t>
  </si>
  <si>
    <t>Splicing factor, arginine/serine-rich 19</t>
  </si>
  <si>
    <t>Histone acetyltransferase KAT8</t>
  </si>
  <si>
    <t>Prostaglandin E synthase 2</t>
  </si>
  <si>
    <t>Transmembrane protein 206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</si>
  <si>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</si>
  <si>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</si>
  <si>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</si>
  <si>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</si>
  <si>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Protein RMD5 homolog A</t>
  </si>
  <si>
    <t>PRKR-interacting protein 1</t>
  </si>
  <si>
    <t>Caspase activity and apoptosis inhibitor 1</t>
  </si>
  <si>
    <t>Nucleolar protein 11</t>
  </si>
  <si>
    <t>Protein FAM188A</t>
  </si>
  <si>
    <t>MOB kinase activator 1A</t>
  </si>
  <si>
    <t>AN1-type zinc finger protein 3</t>
  </si>
  <si>
    <t>Pleckstrin homology domain-containing family F member 2</t>
  </si>
  <si>
    <t>Inositol-pentakisphosphate 2-kinase</t>
  </si>
  <si>
    <t>Ankyrin repeat and zinc finger domain-containing protein 1</t>
  </si>
  <si>
    <t>Golgi reassembly-stacking protein 2</t>
  </si>
  <si>
    <t>Protein zwilch homolog</t>
  </si>
  <si>
    <t>Isoform 2 of Hematological and neurological expressed 1-like protein</t>
  </si>
  <si>
    <t>Mitochondrial glutamate carrier 1</t>
  </si>
  <si>
    <t>Proline-serine-threonine phosphatase-interacting protein 2</t>
  </si>
  <si>
    <t>Mediator of RNA polymerase II transcription subunit 20</t>
  </si>
  <si>
    <t>Queuine tRNA-ribosyltransferase subunit QTRTD1</t>
  </si>
  <si>
    <t>Actin-related protein 8</t>
  </si>
  <si>
    <t>UPF0364 protein C6orf211</t>
  </si>
  <si>
    <t>Pantothenate kinase 3</t>
  </si>
  <si>
    <t>Isoform 2 of CCR4-NOT transcription complex subunit 10</t>
  </si>
  <si>
    <t>Leucine-rich repeat-containing protein 40</t>
  </si>
  <si>
    <t>RecQ-mediated genome instability protein 1</t>
  </si>
  <si>
    <t>Histone-lysine N-methyltransferase EHMT1</t>
  </si>
  <si>
    <t>Sideroflexin-1</t>
  </si>
  <si>
    <t>Actin-related protein 5</t>
  </si>
  <si>
    <t>Vacuolar protein sorting-associated protein 37B</t>
  </si>
  <si>
    <t>L-2-hydroxyglutarate dehydrogenase, mitochondrial</t>
  </si>
  <si>
    <t>Fukutin-related protein</t>
  </si>
  <si>
    <t>Isoform 2 of Elongator complex protein 3</t>
  </si>
  <si>
    <t>Isoform 2 of JmjC domain-containing protein 4</t>
  </si>
  <si>
    <t>GPN-loop GTPase 2</t>
  </si>
  <si>
    <t>DNA-directed RNA polymerase I subunit RPA2</t>
  </si>
  <si>
    <t>Isoform 3 of Uridine-cytidine kinase 1</t>
  </si>
  <si>
    <t>Ketosamine-3-kinase</t>
  </si>
  <si>
    <t>TBC1 domain family member 17</t>
  </si>
  <si>
    <t>Probable cysteine--tRNA ligase, mitochondrial</t>
  </si>
  <si>
    <t>Phosphopantothenate--cysteine ligase</t>
  </si>
  <si>
    <t>Isoform 2 of Chromatin modification-related protein MEAF6</t>
  </si>
  <si>
    <t>Histone deacetylase complex subunit SAP30L</t>
  </si>
  <si>
    <t>Nicotinamide mononucleotide adenylyltransferase 1</t>
  </si>
  <si>
    <t>Protein lin-7 homolog B</t>
  </si>
  <si>
    <t>Isoform 2 of Sialate O-acetylesterase</t>
  </si>
  <si>
    <t>Pleckstrin homology domain-containing family A member 5</t>
  </si>
  <si>
    <t>Regulator of nonsense transcripts 2</t>
  </si>
  <si>
    <t>Guanine nucleotide-binding protein subunit beta-4</t>
  </si>
  <si>
    <t>Exportin-5</t>
  </si>
  <si>
    <t>GrpE protein homolog 1, mitochondrial</t>
  </si>
  <si>
    <t>Claspin</t>
  </si>
  <si>
    <t>Bcl-2-like protein 12</t>
  </si>
  <si>
    <t>Pleckstrin homology domain-containing family A member 2</t>
  </si>
  <si>
    <t>Retinoid-inducible serine carboxypeptidase</t>
  </si>
  <si>
    <t>Calcyclin-binding protein</t>
  </si>
  <si>
    <t>Ras-related GTP-binding protein C</t>
  </si>
  <si>
    <t>SMARCA4 isoform 2</t>
  </si>
  <si>
    <t>Peptide deformylase, mitochondrial</t>
  </si>
  <si>
    <t>Retinol dehydrogenase 14</t>
  </si>
  <si>
    <t>Beta-parvin</t>
  </si>
  <si>
    <t>Plasminogen receptor (KT)</t>
  </si>
  <si>
    <t>NmrA-like family domain-containing protein 1</t>
  </si>
  <si>
    <t>Kinetochore protein Spc25</t>
  </si>
  <si>
    <t>Transcription initiation factor TFIID subunit 9B</t>
  </si>
  <si>
    <t>1-acyl-sn-glycerol-3-phosphate acyltransferase alpha</t>
  </si>
  <si>
    <t>Isoform 3 of Putative sodium-coupled neutral amino acid transporter 10</t>
  </si>
  <si>
    <t>Echinoderm microtubule-associated protein-like 4</t>
  </si>
  <si>
    <t>RNA methyltransferase-like protein 1</t>
  </si>
  <si>
    <t>Isoform 2 of Glyoxalase domain-containing protein 4</t>
  </si>
  <si>
    <t>Vasculin-like protein 1</t>
  </si>
  <si>
    <t>Chromobox protein homolog 8</t>
  </si>
  <si>
    <t>Methylcrotonoyl-CoA carboxylase beta chain, mitochondrial</t>
  </si>
  <si>
    <t>Isoform 5 of Lateral signaling target protein 2 homolog</t>
  </si>
  <si>
    <t>Nuclear receptor coactivator 5</t>
  </si>
  <si>
    <t>Putative helicase MOV-10</t>
  </si>
  <si>
    <t>Methyltransferase-like protein 14</t>
  </si>
  <si>
    <t>Isoform 2 of Chromodomain-helicase-DNA-binding protein 8</t>
  </si>
  <si>
    <t>Transmembrane protein 8A</t>
  </si>
  <si>
    <t>Isoform 4 of GPN-loop GTPase 1</t>
  </si>
  <si>
    <t>Stromal cell-derived factor 2-like protein 1</t>
  </si>
  <si>
    <t>Isoform 1S of Casein kinase I isoform gamma-1</t>
  </si>
  <si>
    <t>Prolactin regulatory element-binding protein</t>
  </si>
  <si>
    <t>DNA polymerase delta subunit 4</t>
  </si>
  <si>
    <t>Steroid receptor RNA activator 1</t>
  </si>
  <si>
    <t>Isoform B of Probable cation-transporting ATPase 13A1</t>
  </si>
  <si>
    <t>Magnesium transporter MRS2 homolog, mitochondrial</t>
  </si>
  <si>
    <t>Golgi-associated PDZ and coiled-coil motif-containing protein</t>
  </si>
  <si>
    <t>Isoform 3 of O-phosphoseryl-tRNA(Sec) selenium transferase</t>
  </si>
  <si>
    <t>Transmembrane 9 superfamily member 3</t>
  </si>
  <si>
    <t>Isoform 2 of Ran guanine nucleotide release factor</t>
  </si>
  <si>
    <t>X antigen family member 1</t>
  </si>
  <si>
    <t>Junctophilin-1</t>
  </si>
  <si>
    <t>Adipocyte plasma membrane-associated protein</t>
  </si>
  <si>
    <t>WD repeat-containing protein 6</t>
  </si>
  <si>
    <t>Isoform 3 of SH2 domain-containing protein 2A</t>
  </si>
  <si>
    <t>Isoform 2 of ATP-binding cassette sub-family B member 6, mitochondrial</t>
  </si>
  <si>
    <t>Solute carrier family 40 member 1</t>
  </si>
  <si>
    <t>High mobility group protein 20A</t>
  </si>
  <si>
    <t>Ras-related protein Rab-18</t>
  </si>
  <si>
    <t>Isoform 2 of UDP-N-acetylglucosamine transferase subunit ALG13 homolog</t>
  </si>
  <si>
    <t>Isoform 3 of Palmdelphin</t>
  </si>
  <si>
    <t>RNA polymerase II subunit A C-terminal domain phosphatase SSU72</t>
  </si>
  <si>
    <t>Vacuolar protein sorting-associated protein VTA1 homolog</t>
  </si>
  <si>
    <t>Isoform 3 of Calcium-independent phospholipase A2-gamma</t>
  </si>
  <si>
    <t>28S ribosomal protein S30, mitochondrial</t>
  </si>
  <si>
    <t>ER membrane protein complex subunit 7</t>
  </si>
  <si>
    <t>Mid1-interacting protein 1</t>
  </si>
  <si>
    <t>Isoform 2 of Enhancer of yellow 2 transcription factor homolog</t>
  </si>
  <si>
    <t>Glycerophosphocholine phosphodiesterase GPCPD1</t>
  </si>
  <si>
    <t>Exosome complex component RRP41</t>
  </si>
  <si>
    <t>Ubiquitin-conjugating enzyme E2 T</t>
  </si>
  <si>
    <t>Neugrin</t>
  </si>
  <si>
    <t>H/ACA ribonucleoprotein complex subunit 3</t>
  </si>
  <si>
    <t>CD320 antigen</t>
  </si>
  <si>
    <t>Probable tRNA threonylcarbamoyladenosine biosynthesis protein OSGEP</t>
  </si>
  <si>
    <t>DNA methyltransferase 1-associated protein 1</t>
  </si>
  <si>
    <t>Inositol-3-phosphate synthase 1</t>
  </si>
  <si>
    <t>Bromodomain-containing protein 7</t>
  </si>
  <si>
    <t>Acyl-coenzyme A thioesterase 13</t>
  </si>
  <si>
    <t>Mediator of RNA polymerase II transcription subunit 4</t>
  </si>
  <si>
    <t>Translocase of inner mitochondrial membrane domain-containing protein 1</t>
  </si>
  <si>
    <t>Isoform 4 of Synembryn-A</t>
  </si>
  <si>
    <t>Protein GPR108</t>
  </si>
  <si>
    <t>Isoform 3 of Probable cation-transporting ATPase 13A2</t>
  </si>
  <si>
    <t>Putative RNA-binding protein Luc7-like 1</t>
  </si>
  <si>
    <t>Cas scaffolding protein family member 4</t>
  </si>
  <si>
    <t>Fructose-2,6-bisphosphatase TIGAR</t>
  </si>
  <si>
    <t>Reticulon-4</t>
  </si>
  <si>
    <t>Histidine triad nucleotide-binding protein 3</t>
  </si>
  <si>
    <t>Regulation of nuclear pre-mRNA domain-containing protein 1B</t>
  </si>
  <si>
    <t>Isoform 3 of Hermansky-Pudlak syndrome 4 protein</t>
  </si>
  <si>
    <t>Isoform 2 of Probable Xaa-Pro aminopeptidase 3</t>
  </si>
  <si>
    <t>Prefoldin subunit 4</t>
  </si>
  <si>
    <t>Omega-amidase NIT2</t>
  </si>
  <si>
    <t>Cell death regulator Aven</t>
  </si>
  <si>
    <t>Exosome complex component RRP46</t>
  </si>
  <si>
    <t>Exosome complex component RRP40</t>
  </si>
  <si>
    <t>Kinesin-like protein KIF13B</t>
  </si>
  <si>
    <t>Actin-binding protein anillin</t>
  </si>
  <si>
    <t>Isoform 3 of Xaa-Pro aminopeptidase 1</t>
  </si>
  <si>
    <t>Bridging integrator 3</t>
  </si>
  <si>
    <t>Something about silencing protein 10</t>
  </si>
  <si>
    <t>StAR-related lipid transfer protein 7, mitochondrial</t>
  </si>
  <si>
    <t>Baculoviral IAP repeat-containing protein 6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</si>
  <si>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</si>
  <si>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</si>
  <si>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</si>
  <si>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</si>
  <si>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</si>
  <si>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</si>
  <si>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</si>
  <si>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Translation initiation factor eIF-2B subunit gamma</t>
  </si>
  <si>
    <t>PRKCA-binding protein</t>
  </si>
  <si>
    <t>Isoform 3 of SH2B adapter protein 1</t>
  </si>
  <si>
    <t>CTP synthase 2</t>
  </si>
  <si>
    <t>DNA polymerase epsilon subunit 3</t>
  </si>
  <si>
    <t>Chromatin accessibility complex protein 1</t>
  </si>
  <si>
    <t>Phosphoribosyltransferase domain-containing protein 1</t>
  </si>
  <si>
    <t>N-lysine methyltransferase SMYD2</t>
  </si>
  <si>
    <t>Yae1 domain-containing protein 1</t>
  </si>
  <si>
    <t>ATP-binding cassette sub-family B member 10, mitochondrial</t>
  </si>
  <si>
    <t>Isoform 2 of Bromodomain adjacent to zinc finger domain protein 1A</t>
  </si>
  <si>
    <t>Striatin-4</t>
  </si>
  <si>
    <t>L-aminoadipate-semialdehyde dehydrogenase-phosphopantetheinyl transferase</t>
  </si>
  <si>
    <t>Methyltransferase-like protein 5</t>
  </si>
  <si>
    <t>COX assembly mitochondrial protein 2 homolog</t>
  </si>
  <si>
    <t>Protein ACN9 homolog, mitochondrial</t>
  </si>
  <si>
    <t>Ubiquilin-4</t>
  </si>
  <si>
    <t>CDC42 small effector protein 1</t>
  </si>
  <si>
    <t>Isoform 2 of Sorting nexin-15</t>
  </si>
  <si>
    <t>Heme-binding protein 1</t>
  </si>
  <si>
    <t>Ras-related protein Rab-6B</t>
  </si>
  <si>
    <t>DNA dC-&gt;dU-editing enzyme APOBEC-3C</t>
  </si>
  <si>
    <t>Dual specificity protein phosphatase 22</t>
  </si>
  <si>
    <t>Vacuolar protein sorting-associated protein 45</t>
  </si>
  <si>
    <t>RNA-binding protein PNO1</t>
  </si>
  <si>
    <t>14 kDa phosphohistidine phosphatase</t>
  </si>
  <si>
    <t>Serine incorporator 1</t>
  </si>
  <si>
    <t>SOSS complex subunit C</t>
  </si>
  <si>
    <t>Rho GTPase-activating protein 35</t>
  </si>
  <si>
    <t>Protein FAM114A2</t>
  </si>
  <si>
    <t>Isoform 2 of 1-acyl-sn-glycerol-3-phosphate acyltransferase gamma</t>
  </si>
  <si>
    <t>Isoform 4 of Lymphoid-specific helicase</t>
  </si>
  <si>
    <t>Glutaredoxin-2, mitochondrial</t>
  </si>
  <si>
    <t>Isoform C of Ras association domain-containing protein 1</t>
  </si>
  <si>
    <t>Mitochondrial import receptor subunit TOM22 homolog</t>
  </si>
  <si>
    <t>LanC-like protein 2</t>
  </si>
  <si>
    <t>Kinesin-like protein KIF15</t>
  </si>
  <si>
    <t>E3 ubiquitin-protein ligase RAD18</t>
  </si>
  <si>
    <t>Transmembrane 7 superfamily member 3</t>
  </si>
  <si>
    <t>Beta-catenin-interacting protein 1</t>
  </si>
  <si>
    <t>Phenylalanine--tRNA ligase beta subunit</t>
  </si>
  <si>
    <t>Isoleucine--tRNA ligase, mitochondrial</t>
  </si>
  <si>
    <t>Isoform 3 of Uncharacterized protein C1orf112</t>
  </si>
  <si>
    <t>Isoform B of Protein FAM207A</t>
  </si>
  <si>
    <t>SAM domain-containing protein SAMSN-1</t>
  </si>
  <si>
    <t>Kinesin light chain 4</t>
  </si>
  <si>
    <t>BMP-2-inducible protein kinase</t>
  </si>
  <si>
    <t>Ubiquitin-like-conjugating enzyme ATG3</t>
  </si>
  <si>
    <t>NAD-dependent protein deacetylase sirtuin-3, mitochondrial</t>
  </si>
  <si>
    <t>Isoform 2 of Sister chromatid cohesion protein PDS5 homolog B</t>
  </si>
  <si>
    <t>Structural maintenance of chromosomes protein 4</t>
  </si>
  <si>
    <t>Isoform 3 of Alpha-mannosidase 2C1</t>
  </si>
  <si>
    <t>Phosphatidylinositide phosphatase SAC1</t>
  </si>
  <si>
    <t>Copper homeostasis protein cutC homolog</t>
  </si>
  <si>
    <t>Isoform 2 of Ethylmalonyl-CoA decarboxylase</t>
  </si>
  <si>
    <t>Isoform 2 of E3 ubiquitin-protein ligase RNF146</t>
  </si>
  <si>
    <t>RNA-binding protein 12</t>
  </si>
  <si>
    <t>TBC1 domain family member 22B</t>
  </si>
  <si>
    <t>Midasin</t>
  </si>
  <si>
    <t>LYR motif-containing protein 2</t>
  </si>
  <si>
    <t>Zinc finger CCHC domain-containing protein 3</t>
  </si>
  <si>
    <t>Palmitoyltransferase ZDHHC18</t>
  </si>
  <si>
    <t>p53 and DNA damage-regulated protein 1</t>
  </si>
  <si>
    <t>Mycophenolic acid acyl-glucuronide esterase, mitochondrial</t>
  </si>
  <si>
    <t>Transmembrane protein 106B</t>
  </si>
  <si>
    <t>Isoform 3 of Probable lysosomal cobalamin transporter</t>
  </si>
  <si>
    <t>Biogenesis of lysosome-related organelles complex 1 subunit 4</t>
  </si>
  <si>
    <t>tRNA:m(4)X modification enzyme TRM13 homolog</t>
  </si>
  <si>
    <t>Protein lin-7 homolog C</t>
  </si>
  <si>
    <t>1-acyl-sn-glycerol-3-phosphate acyltransferase epsilon</t>
  </si>
  <si>
    <t>Gamma-taxilin</t>
  </si>
  <si>
    <t>Ufm1-specific protease 2</t>
  </si>
  <si>
    <t>ATP-binding cassette sub-family F member 3</t>
  </si>
  <si>
    <t>Protein FAM49B</t>
  </si>
  <si>
    <t>AP-5 complex subunit sigma-1</t>
  </si>
  <si>
    <t>ATP-dependent RNA helicase DDX19A</t>
  </si>
  <si>
    <t>Tyrosyl-DNA phosphodiesterase 1</t>
  </si>
  <si>
    <t>TBC1 domain family member 23</t>
  </si>
  <si>
    <t>DDB1- and CUL4-associated factor 13</t>
  </si>
  <si>
    <t>U3 small nucleolar ribonucleoprotein protein IMP3</t>
  </si>
  <si>
    <t>Probable 8-oxo-dGTP diphosphatase NUDT15</t>
  </si>
  <si>
    <t>MRG/MORF4L-binding protein</t>
  </si>
  <si>
    <t>tRNA wybutosine-synthesizing protein 1 homolog</t>
  </si>
  <si>
    <t>Isoform 2 of Exocyst complex component 1</t>
  </si>
  <si>
    <t>Isoform 2 of Cell cycle control protein 50A</t>
  </si>
  <si>
    <t>Isoform 2 of Ubiquinol-cytochrome c reductase complex chaperone CBP3 homolog</t>
  </si>
  <si>
    <t>Mediator of RNA polymerase II transcription subunit 17</t>
  </si>
  <si>
    <t>Pantothenate kinase 4</t>
  </si>
  <si>
    <t>F-box only protein 28</t>
  </si>
  <si>
    <t>TBC1 domain family member 13</t>
  </si>
  <si>
    <t>Isoform 2 of Exonuclease 3-5 domain-containing protein 2</t>
  </si>
  <si>
    <t>Isoform 3 of DnaJ homolog subfamily C member 11</t>
  </si>
  <si>
    <t>Isoform 4 of Integrator complex subunit 7</t>
  </si>
  <si>
    <t>Isoform 3 of Trimethyllysine dioxygenase, mitochondrial</t>
  </si>
  <si>
    <t>Fanconi anemia group I protein</t>
  </si>
  <si>
    <t>Isoform 2 of ATPase family AAA domain-containing protein 3A</t>
  </si>
  <si>
    <t>ADP-ribosylation factor-like protein 8B</t>
  </si>
  <si>
    <t>FGFR1 oncogene partner 2</t>
  </si>
  <si>
    <t>Protein eva-1 homolog B</t>
  </si>
  <si>
    <t>Isoform 3 of Protein arginine N-methyltransferase 7</t>
  </si>
  <si>
    <t>DnaJ homolog subfamily C member 17</t>
  </si>
  <si>
    <t>Protein asunder homolog</t>
  </si>
  <si>
    <t>Guanine nucleotide-binding protein-like 3-like protein</t>
  </si>
  <si>
    <t>ATP-dependent RNA helicase DDX18</t>
  </si>
  <si>
    <t>Histone chaperone ASF1B</t>
  </si>
  <si>
    <t>Kelch-like protein 11</t>
  </si>
  <si>
    <t>Integrator complex subunit 10</t>
  </si>
  <si>
    <t>Protein kintoun</t>
  </si>
  <si>
    <t>Isoform 5 of DNA-directed RNA polymerase III subunit RPC5</t>
  </si>
  <si>
    <t>Trimeric intracellular cation channel type B</t>
  </si>
  <si>
    <t>Poly(A) RNA polymerase, mitochondrial</t>
  </si>
  <si>
    <t>E3 ubiquitin-protein ligase RLIM</t>
  </si>
  <si>
    <t>Isoform 3 of HAUS augmin-like complex subunit 2</t>
  </si>
  <si>
    <t>Notchless protein homolog 1</t>
  </si>
  <si>
    <t>Kelch repeat and BTB domain-containing protein 4</t>
  </si>
  <si>
    <t>Adaptin ear-binding coat-associated protein 2</t>
  </si>
  <si>
    <t>Isoform 2 of DNA-directed RNA polymerase III subunit RPC2</t>
  </si>
  <si>
    <t>RNA-binding protein 28</t>
  </si>
  <si>
    <t>Anoctamin-10</t>
  </si>
  <si>
    <t>Pre-mRNA-splicing factor RBM22</t>
  </si>
  <si>
    <t>WD repeat-containing protein 70</t>
  </si>
  <si>
    <t>Arginine and glutamate-rich protein 1</t>
  </si>
  <si>
    <t>Transmembrane protein 248</t>
  </si>
  <si>
    <t>Protein BEX4</t>
  </si>
  <si>
    <t>Transmembrane protein 242</t>
  </si>
  <si>
    <t>SAFB-like transcription modulator</t>
  </si>
  <si>
    <t>Box C/D snoRNA protein 1</t>
  </si>
  <si>
    <t>Peptidyl-prolyl cis-trans isomerase FKBP14</t>
  </si>
  <si>
    <t>Uncharacterized protein C14orf119</t>
  </si>
  <si>
    <t>PIH1 domain-containing protein 1</t>
  </si>
  <si>
    <t>Protein FAM118A</t>
  </si>
  <si>
    <t>Required for meiotic nuclear division protein 1 homolog</t>
  </si>
  <si>
    <t>p21-activated protein kinase-interacting protein 1</t>
  </si>
  <si>
    <t>Hypoxia-inducible factor 1-alpha inhibitor</t>
  </si>
  <si>
    <t>Aurora kinase A-interacting protein</t>
  </si>
  <si>
    <t>3-oxoacyl-[acyl-carrier-protein] synthase, mitochondrial</t>
  </si>
  <si>
    <t>Glucose-induced degradation protein 8 homolog</t>
  </si>
  <si>
    <t>UPF0587 protein C1orf123</t>
  </si>
  <si>
    <t>Probable tRNA(His) guanylyltransferase</t>
  </si>
  <si>
    <t>UPF0609 protein C4orf27</t>
  </si>
  <si>
    <t>Interleukin-1 receptor-associated kinase 4</t>
  </si>
  <si>
    <t>Thioredoxin-like protein 4B</t>
  </si>
  <si>
    <t>Isoform 5 of NACHT, LRR and PYD domains-containing protein 2</t>
  </si>
  <si>
    <t>Uncharacterized protein C1orf109</t>
  </si>
  <si>
    <t>Isoform 2 of tRNA selenocysteine 1-associated protein 1</t>
  </si>
  <si>
    <t>COMM domain-containing protein 8</t>
  </si>
  <si>
    <t>DNA damage-inducible transcript 4 protein</t>
  </si>
  <si>
    <t>NADH dehydrogenase [ubiquinone] 1 beta subcomplex subunit 11, mitochondrial</t>
  </si>
  <si>
    <t>39S ribosomal protein L16, mitochondrial</t>
  </si>
  <si>
    <t>H/ACA ribonucleoprotein complex subunit 2</t>
  </si>
  <si>
    <t>Protein FAM206A</t>
  </si>
  <si>
    <t>OCIA domain-containing protein 1</t>
  </si>
  <si>
    <t>Poly(ADP-ribose) glycohydrolase ARH3</t>
  </si>
  <si>
    <t>E3 ubiquitin-protein ligase MARCH5</t>
  </si>
  <si>
    <t>Cell growth-regulating nucleolar protein</t>
  </si>
  <si>
    <t>Inositol monophosphatase 3</t>
  </si>
  <si>
    <t>Mediator of RNA polymerase II transcription subunit 29</t>
  </si>
  <si>
    <t>tRNA-dihydrouridine(20) synthase [NAD(P)+]-like</t>
  </si>
  <si>
    <t>WW domain binding protein 1-like</t>
  </si>
  <si>
    <t>Isoform 4 of NAD-dependent protein deacylase sirtuin-5, mitochondrial</t>
  </si>
  <si>
    <t>WD repeat-containing protein mio</t>
  </si>
  <si>
    <t>Pre-mRNA-splicing factor CWC25 homolog</t>
  </si>
  <si>
    <t>Isoform 2 of Testis-expressed sequence 10 protein</t>
  </si>
  <si>
    <t>DDB1- and CUL4-associated factor 16</t>
  </si>
  <si>
    <t>Palmitoyltransferase ZDHHC7</t>
  </si>
  <si>
    <t>Torsin-4A</t>
  </si>
  <si>
    <t>tRNA (guanine(26)-N(2))-dimethyltransferase</t>
  </si>
  <si>
    <t>Isoform 2 of F-box/LRR-repeat protein 12</t>
  </si>
  <si>
    <t>Isoform 2 of Ganglioside-induced differentiation-associated protein 2</t>
  </si>
  <si>
    <t>Isoform 2 of Nuclear distribution protein nudE homolog 1</t>
  </si>
  <si>
    <t>BRCA1-A complex subunit BRE</t>
  </si>
  <si>
    <t>Glutaminyl-peptide cyclotransferase-like protein</t>
  </si>
  <si>
    <t>ADP-ribosylation factor-like protein 15</t>
  </si>
  <si>
    <t>BTB/POZ domain-containing protein KCTD5</t>
  </si>
  <si>
    <t>CDKN2A-interacting protein</t>
  </si>
  <si>
    <t>Alpha-ketoglutarate-dependent dioxygenase alkB homolog 4</t>
  </si>
  <si>
    <t>Non-structural maintenance of chromosomes element 4 homolog A</t>
  </si>
  <si>
    <t>Serine/threonine-protein phosphatase 4 regulatory subunit 2</t>
  </si>
  <si>
    <t>Isoform 2 of UDP-GlcNAc:betaGal beta-1,3-N-acetylglucosaminyltransferase 2</t>
  </si>
  <si>
    <t>Isoform 2 of Sphingosine kinase 1</t>
  </si>
  <si>
    <t>Telomeric repeat-binding factor 2-interacting protein 1</t>
  </si>
  <si>
    <t>U3 small nucleolar RNA-associated protein 6 homolog</t>
  </si>
  <si>
    <t>Cytochrome c oxidase assembly factor 4 homolog, mitochondrial</t>
  </si>
  <si>
    <t>TGF-beta-activated kinase 1 and MAP3K7-binding protein 2</t>
  </si>
  <si>
    <t>39S ribosomal protein L39, mitochondrial</t>
  </si>
  <si>
    <t>Mitogen-activated protein kinase kinase kinase MLT</t>
  </si>
  <si>
    <t>Isoform 2 of Mitogen-activated protein kinase kinase kinase MLT</t>
  </si>
  <si>
    <t>Tropomodulin-3</t>
  </si>
  <si>
    <t>Protein Mis18-alpha</t>
  </si>
  <si>
    <t>Isoform 2 of UDP-glucose:glycoprotein glucosyltransferase 1</t>
  </si>
  <si>
    <t>Isoform 2 of Cyclin-dependent kinase 12</t>
  </si>
  <si>
    <t>FAST kinase domain-containing protein 2</t>
  </si>
  <si>
    <t>Isoform 4 of Mitoferrin-1</t>
  </si>
  <si>
    <t>G2 and S phase-expressed protein 1</t>
  </si>
  <si>
    <t>Very-long-chain enoyl-CoA reductase</t>
  </si>
  <si>
    <t>Endoplasmic reticulum aminopeptidase 1</t>
  </si>
  <si>
    <t>Isoform 2 of Ubiquitin-associated protein 1</t>
  </si>
  <si>
    <t>Actin-related protein 10</t>
  </si>
  <si>
    <t>Vesicle transport protein USE1</t>
  </si>
  <si>
    <t>CDGSH iron-sulfur domain-containing protein 1</t>
  </si>
  <si>
    <t>Podocalyxin-like protein 2</t>
  </si>
  <si>
    <t>Uncharacterized protein C9orf78</t>
  </si>
  <si>
    <t>Isoform 3 of Chloride intracellular channel protein 5</t>
  </si>
  <si>
    <t>Glycerophosphodiester phosphodiesterase 1</t>
  </si>
  <si>
    <t>Isoform 5 of WW domain-containing oxidoreductase</t>
  </si>
  <si>
    <t>SWI/SNF-related matrix-associated actin-dependent regulator of chromatin subfamily A-like protein 1</t>
  </si>
  <si>
    <t>Isoform 2 of Maspardin</t>
  </si>
  <si>
    <t>Isoform 2 of Upstream-binding protein 1</t>
  </si>
  <si>
    <t>Insulin-like growth factor 2 mRNA-binding protein 1</t>
  </si>
  <si>
    <t>Sacsin</t>
  </si>
  <si>
    <t>Hexaprenyldihydroxybenzoate methyltransferase, mitochondrial</t>
  </si>
  <si>
    <t>Isoform 2 of Mitochondrial carrier homolog 1</t>
  </si>
  <si>
    <t>Diphosphoinositol polyphosphate phosphohydrolase 2</t>
  </si>
  <si>
    <t>Hsp70-binding protein 1</t>
  </si>
  <si>
    <t>Methionine adenosyltransferase 2 subunit beta</t>
  </si>
  <si>
    <t>Isoform 2 of Methionine adenosyltransferase 2 subunit beta</t>
  </si>
  <si>
    <t>Isoform 4 of Intersectin-2</t>
  </si>
  <si>
    <t>Isoform 2 of Glioma tumor suppressor candidate region gene 1 protein</t>
  </si>
  <si>
    <t>EH domain-containing protein 2</t>
  </si>
  <si>
    <t>Isoform 2 of Rho guanine nucleotide exchange factor 12</t>
  </si>
  <si>
    <t>Isoform 3 of NCK-interacting protein with SH3 domain</t>
  </si>
  <si>
    <t>Isoform 2 of Opioid growth factor receptor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</si>
  <si>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</si>
  <si>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</si>
  <si>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</si>
  <si>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</si>
  <si>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</si>
  <si>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Cysteine-rich PDZ-binding protein</t>
  </si>
  <si>
    <t>Thyroid transcription factor 1-associated protein 26</t>
  </si>
  <si>
    <t>NADH dehydrogenase [ubiquinone] 1 alpha subcomplex assembly factor 4</t>
  </si>
  <si>
    <t>Very-long-chain (3R)-3-hydroxyacyl-[acyl-carrier protein] dehydratase 3</t>
  </si>
  <si>
    <t>Coiled-coil domain-containing protein 167</t>
  </si>
  <si>
    <t>ER membrane protein complex subunit 3</t>
  </si>
  <si>
    <t>E3 ubiquitin-protein ligase KCMF1</t>
  </si>
  <si>
    <t>Vesicle-associated membrane protein-associated protein A</t>
  </si>
  <si>
    <t>Isoform 3 of TBC1 domain family member 7</t>
  </si>
  <si>
    <t>E3 ubiquitin-protein ligase RNF181</t>
  </si>
  <si>
    <t>GSK3-beta interaction protein</t>
  </si>
  <si>
    <t>CpG-binding protein</t>
  </si>
  <si>
    <t>SWI/SNF-related matrix-associated actin-dependent regulator of chromatin subfamily E member 1-related</t>
  </si>
  <si>
    <t>DNA-directed RNA polymerase I subunit RPA12</t>
  </si>
  <si>
    <t>Actin-related protein 3B</t>
  </si>
  <si>
    <t>Serine/threonine-protein kinase pim-2</t>
  </si>
  <si>
    <t>Isoform 2 of Calcium-binding and coiled-coil domain-containing protein 1</t>
  </si>
  <si>
    <t>Isoform 2 of Uncharacterized protein KIAA1522</t>
  </si>
  <si>
    <t>Centrosomal protein of 72 kDa</t>
  </si>
  <si>
    <t>Pogo transposable element with KRAB domain</t>
  </si>
  <si>
    <t>Vacuolar protein sorting-associated protein 18 homolog</t>
  </si>
  <si>
    <t>Protein RCC2</t>
  </si>
  <si>
    <t>LisH domain and HEAT repeat-containing protein KIAA1468</t>
  </si>
  <si>
    <t>Disco-interacting protein 2 homolog B</t>
  </si>
  <si>
    <t>SLAIN motif-containing protein 2</t>
  </si>
  <si>
    <t>BRCA2 and CDKN1A-interacting protein</t>
  </si>
  <si>
    <t>Isoform 2 of BRCA2 and CDKN1A-interacting protein</t>
  </si>
  <si>
    <t>Prostaglandin F2 receptor negative regulator</t>
  </si>
  <si>
    <t>Chromodomain-helicase-DNA-binding protein 7</t>
  </si>
  <si>
    <t>Isoform 3 of HEAT repeat-containing protein 5B</t>
  </si>
  <si>
    <t>Isoform 5 of Dynein heavy chain 1, axonemal</t>
  </si>
  <si>
    <t>NFX1-type zinc finger-containing protein 1</t>
  </si>
  <si>
    <t>Ribosome-binding protein 1</t>
  </si>
  <si>
    <t>Cleavage and polyadenylation specificity factor subunit 2</t>
  </si>
  <si>
    <t>Zinc finger protein 624</t>
  </si>
  <si>
    <t>[Pyruvate dehydrogenase [acetyl-transferring]]-phosphatase 2, mitochondrial</t>
  </si>
  <si>
    <t>Isoform 2 of Eukaryotic translation initiation factor 2-alpha kinase 4</t>
  </si>
  <si>
    <t>TBC1 domain family member 14</t>
  </si>
  <si>
    <t>RNA-binding protein 27</t>
  </si>
  <si>
    <t>Ankyrin repeat and FYVE domain-containing protein 1</t>
  </si>
  <si>
    <t>Arginine-glutamic acid dipeptide repeats protein</t>
  </si>
  <si>
    <t>Homologous-pairing protein 2 homolog</t>
  </si>
  <si>
    <t>Dolichol-phosphate mannosyltransferase subunit 3</t>
  </si>
  <si>
    <t>UV radiation resistance-associated gene protein</t>
  </si>
  <si>
    <t>Ataxin-10</t>
  </si>
  <si>
    <t>Methyl-CpG-binding domain protein 2</t>
  </si>
  <si>
    <t>Neurochondrin</t>
  </si>
  <si>
    <t>Tuftelin-interacting protein 11</t>
  </si>
  <si>
    <t>Isoform 2 of Epidermal growth factor receptor substrate 15-like 1</t>
  </si>
  <si>
    <t>Isoform 4 of DNA (cytosine-5)-methyltransferase 3B</t>
  </si>
  <si>
    <t>Origin recognition complex subunit 3</t>
  </si>
  <si>
    <t>SUMO-activating enzyme subunit 1</t>
  </si>
  <si>
    <t>Melanoma-associated antigen C2</t>
  </si>
  <si>
    <t>Coatomer subunit gamma-2</t>
  </si>
  <si>
    <t>RING-box protein 2</t>
  </si>
  <si>
    <t>Isoform 2 of Phosphatidylinositol 4-kinase beta</t>
  </si>
  <si>
    <t>Isoform 2 of Xenotropic and polytropic retrovirus receptor 1</t>
  </si>
  <si>
    <t>COMM domain-containing protein 3</t>
  </si>
  <si>
    <t>Guanine nucleotide-binding protein G(I)/G(S)/G(O) subunit gamma-12</t>
  </si>
  <si>
    <t>Isoform B of Methionine synthase reductase</t>
  </si>
  <si>
    <t>Protein UXT</t>
  </si>
  <si>
    <t>Isoform 3 of Set1/Ash2 histone methyltransferase complex subunit ASH2</t>
  </si>
  <si>
    <t>7-dehydrocholesterol reductase</t>
  </si>
  <si>
    <t>Isoform 3 of Spastin</t>
  </si>
  <si>
    <t>tRNA (guanine-N(7)-)-methyltransferase</t>
  </si>
  <si>
    <t>PTB domain-containing engulfment adapter protein 1</t>
  </si>
  <si>
    <t>Glyoxylate reductase/hydroxypyruvate reductase</t>
  </si>
  <si>
    <t>Cathepsin Z</t>
  </si>
  <si>
    <t>Ribosomal protein S6 kinase beta-2</t>
  </si>
  <si>
    <t>E3 ubiquitin-protein ligase RNF14</t>
  </si>
  <si>
    <t>SUMO-activating enzyme subunit 2</t>
  </si>
  <si>
    <t>Protein FAM8A1</t>
  </si>
  <si>
    <t>Nuclear RNA export factor 1</t>
  </si>
  <si>
    <t>Protein sel-1 homolog 1</t>
  </si>
  <si>
    <t>Beta-1,4-galactosyltransferase 7</t>
  </si>
  <si>
    <t>Peflin</t>
  </si>
  <si>
    <t>Zinc finger MYM-type protein 2</t>
  </si>
  <si>
    <t>COP9 signalosome complex subunit 7a</t>
  </si>
  <si>
    <t>Protein CLN8</t>
  </si>
  <si>
    <t>Mitochondrial fission process protein 1</t>
  </si>
  <si>
    <t>Tight junction protein ZO-2</t>
  </si>
  <si>
    <t>DnaJ homolog subfamily B member 4</t>
  </si>
  <si>
    <t>Craniofacial development protein 1</t>
  </si>
  <si>
    <t>Zinc finger protein 629</t>
  </si>
  <si>
    <t>Myelin protein zero-like protein 1 (Fragment)</t>
  </si>
  <si>
    <t>Isoform 2 of Death domain-associated protein 6</t>
  </si>
  <si>
    <t>Isoform 2 of Putative tRNA (cytidine(32)/guanosine(34)-2-O)-methyltransferase</t>
  </si>
  <si>
    <t>Vesicle transport through interaction with t-SNAREs homolog 1B</t>
  </si>
  <si>
    <t>G antigen 2D</t>
  </si>
  <si>
    <t>Isoform 1 of Gamma-adducin</t>
  </si>
  <si>
    <t>Leucine-rich repeat and WD repeat-containing protein 1</t>
  </si>
  <si>
    <t>UPF0449 protein C19orf25</t>
  </si>
  <si>
    <t>Protein NipSnap homolog 3A</t>
  </si>
  <si>
    <t>CGG triplet repeat-binding protein 1</t>
  </si>
  <si>
    <t>Intraflagellar transport protein 140 homolog</t>
  </si>
  <si>
    <t>ATP-binding cassette sub-family F member 2</t>
  </si>
  <si>
    <t>Isoform 4 of Peptide chain release factor 1-like, mitochondrial</t>
  </si>
  <si>
    <t>Testin</t>
  </si>
  <si>
    <t>Isoform 2 of Gamma-tubulin complex component 4</t>
  </si>
  <si>
    <t>Tryptophan--tRNA ligase, mitochondrial</t>
  </si>
  <si>
    <t>LIM domain-containing protein 1</t>
  </si>
  <si>
    <t>Translocation protein SEC63 homolog</t>
  </si>
  <si>
    <t>Isoform 2 of Zinc finger CCCH domain-containing protein 7B</t>
  </si>
  <si>
    <t>Armadillo repeat-containing X-linked protein 3</t>
  </si>
  <si>
    <t>Switch-associated protein 70</t>
  </si>
  <si>
    <t>SUN domain-containing protein 2</t>
  </si>
  <si>
    <t>SS18-like protein 2</t>
  </si>
  <si>
    <t>Ragulator complex protein LAMTOR3</t>
  </si>
  <si>
    <t>AF4/FMR2 family member 4</t>
  </si>
  <si>
    <t>Isoform 4 of Signal recognition particle subunit SRP68</t>
  </si>
  <si>
    <t>Cysteine and histidine-rich domain-containing protein 1</t>
  </si>
  <si>
    <t>Serine/threonine-protein kinase TBK1</t>
  </si>
  <si>
    <t>Isoform 7 of Septin-9</t>
  </si>
  <si>
    <t>Ubiquilin-2</t>
  </si>
  <si>
    <t>Epidermal growth factor-like protein 7</t>
  </si>
  <si>
    <t>Prenylcysteine oxidase 1</t>
  </si>
  <si>
    <t>Probable ATP-dependent RNA helicase DDX20</t>
  </si>
  <si>
    <t>Sedoheptulokinase</t>
  </si>
  <si>
    <t>Nuclear fragile X mental retardation-interacting protein 1</t>
  </si>
  <si>
    <t>Dipeptidyl peptidase 2</t>
  </si>
  <si>
    <t>DNA polymerase subunit gamma-2, mitochondrial</t>
  </si>
  <si>
    <t>Isoform 2 of Transmembrane protein 2</t>
  </si>
  <si>
    <t>Ubiquitin carboxyl-terminal hydrolase 25</t>
  </si>
  <si>
    <t>Nuclear prelamin A recognition factor</t>
  </si>
  <si>
    <t>B-cell receptor-associated protein 29</t>
  </si>
  <si>
    <t>NADH-cytochrome b5 reductase 1</t>
  </si>
  <si>
    <t>Brain-specific angiogenesis inhibitor 1-associated protein 2-like protein 1</t>
  </si>
  <si>
    <t>Zinc finger HIT domain-containing protein 2</t>
  </si>
  <si>
    <t>Prefoldin subunit 2</t>
  </si>
  <si>
    <t>GPN-loop GTPase 3</t>
  </si>
  <si>
    <t>Isoform 4 of Poly(U)-binding-splicing factor PUF60</t>
  </si>
  <si>
    <t>Isoform 5 of EGF-like module-containing mucin-like hormone receptor-like 2</t>
  </si>
  <si>
    <t>Nuclear receptor-binding protein</t>
  </si>
  <si>
    <t>Enolase-phosphatase E1</t>
  </si>
  <si>
    <t>Fasciculation and elongation protein zeta-2</t>
  </si>
  <si>
    <t>NADH dehydrogenase [ubiquinone] 1 alpha subcomplex subunit 12</t>
  </si>
  <si>
    <t>Translation initiation factor eIF-2B subunit delta</t>
  </si>
  <si>
    <t>Isoform 3 of Translation initiation factor eIF-2B subunit delta</t>
  </si>
  <si>
    <t>Isoform 2 of V-type proton ATPase subunit H</t>
  </si>
  <si>
    <t>Importin-11</t>
  </si>
  <si>
    <t>tRNA methyltransferase 112 homolog</t>
  </si>
  <si>
    <t>Putative ribosomal RNA methyltransferase 2</t>
  </si>
  <si>
    <t>Leucine carboxyl methyltransferase 1</t>
  </si>
  <si>
    <t>Vacuolar protein sorting-associated protein 51 homolog</t>
  </si>
  <si>
    <t>Isoform 2 of Tyrosine-protein kinase BAZ1B</t>
  </si>
  <si>
    <t>ATPase inhibitor, mitochondrial</t>
  </si>
  <si>
    <t>GTP:AMP phosphotransferase AK3, mitochondrial</t>
  </si>
  <si>
    <t>Isoform 3 of Short coiled-coil protein</t>
  </si>
  <si>
    <t>FK506-binding protein-like</t>
  </si>
  <si>
    <t>Isoform 3 of Leucyl-cystinyl aminopeptidase</t>
  </si>
  <si>
    <t>Isoform 2 of CCR4-NOT transcription complex subunit 7</t>
  </si>
  <si>
    <t>Isoform 3 of Gamma-glutamyltransferase 7</t>
  </si>
  <si>
    <t>Isoform 2 of Cardiolipin synthase</t>
  </si>
  <si>
    <t>tRNA (adenine(58)-N(1))-methyltransferase non-catalytic subunit TRM6</t>
  </si>
  <si>
    <t>N-acetylglucosamine-1-phosphotransferase subunit gamma</t>
  </si>
  <si>
    <t>Ribosome biogenesis protein TSR3 homolog</t>
  </si>
  <si>
    <t>Zinc finger protein 391</t>
  </si>
  <si>
    <t>Calcium-binding mitochondrial carrier protein Aralar2</t>
  </si>
  <si>
    <t>Tubulin epsilon chain</t>
  </si>
  <si>
    <t>Drebrin-like protein</t>
  </si>
  <si>
    <t>Isoform 2 of Drebrin-like protein</t>
  </si>
  <si>
    <t>Isoform 2 of Dynactin subunit 4</t>
  </si>
  <si>
    <t>Cell division cycle protein 23 homolog</t>
  </si>
  <si>
    <t>Isoform 2 of Anaphase-promoting complex subunit 7</t>
  </si>
  <si>
    <t>Anaphase-promoting complex subunit 4</t>
  </si>
  <si>
    <t>Isoform 2 of Anaphase-promoting complex subunit 2</t>
  </si>
  <si>
    <t>ADP-ribosylation factor-binding protein GGA2</t>
  </si>
  <si>
    <t>Isoform 4 of ADP-ribosylation factor-binding protein GGA1</t>
  </si>
  <si>
    <t>Stomatin-like protein 2, mitochondrial</t>
  </si>
  <si>
    <t>Isoform 2 of N-acetylglucosamine-1-phosphodiester alpha-N-acetylglucosaminidase</t>
  </si>
  <si>
    <t>Vacuolar protein sorting-associated protein 28 homolog</t>
  </si>
  <si>
    <t>U6 snRNA-associated Sm-like protein LSm7</t>
  </si>
  <si>
    <t>Isoform 3 of Inhibitor of growth protein 1</t>
  </si>
  <si>
    <t>Lariat debranching enzyme</t>
  </si>
  <si>
    <t>Isoform 2 of Protein FAM208A</t>
  </si>
  <si>
    <t>Protein fem-1 homolog B</t>
  </si>
  <si>
    <t>Isoform 3 of F-box only protein 9</t>
  </si>
  <si>
    <t>A-kinase anchor protein 11</t>
  </si>
  <si>
    <t>Isoform B of DnaJ homolog subfamily C member 12</t>
  </si>
  <si>
    <t>mRNA turnover protein 4 homolog</t>
  </si>
  <si>
    <t>Isoform 2 of TRAF2 and NCK-interacting protein kinase</t>
  </si>
  <si>
    <t>Isoform 6 of TRAF2 and NCK-interacting protein kinase</t>
  </si>
  <si>
    <t>Cleavage and polyadenylation specificity factor subunit 3</t>
  </si>
  <si>
    <t>DCC-interacting protein 13-alpha</t>
  </si>
  <si>
    <t>Serine/threonine-protein kinase tousled-like 1</t>
  </si>
  <si>
    <t>Isoform 2 of G patch domain-containing protein 8</t>
  </si>
  <si>
    <t>REST corepressor 1</t>
  </si>
  <si>
    <t>General transcription factor 3C polypeptide 4</t>
  </si>
  <si>
    <t>Protein kinase C and casein kinase substrate in neurons protein 3</t>
  </si>
  <si>
    <t>Isoform 2 of F-box only protein 5</t>
  </si>
  <si>
    <t>F-box only protein 4</t>
  </si>
  <si>
    <t>Isobutyryl-CoA dehydrogenase, mitochondrial</t>
  </si>
  <si>
    <t>E3 ubiquitin-protein ligase AMFR</t>
  </si>
  <si>
    <t>Protein argonaute-2</t>
  </si>
  <si>
    <t>Isoform 2 of Nuclear pore complex protein Nup50</t>
  </si>
  <si>
    <t>Zinc fingers and homeoboxes protein 1</t>
  </si>
  <si>
    <t>Protein CDV3 homolog</t>
  </si>
  <si>
    <t>CCR4-NOT transcription complex subunit 11</t>
  </si>
  <si>
    <t>BAG family molecular chaperone regulator 5</t>
  </si>
  <si>
    <t>Ras-related protein Rab-21</t>
  </si>
  <si>
    <t>Ras-related protein Rab-22A</t>
  </si>
  <si>
    <t>Isoform 2 of Trafficking protein particle complex subunit 2-like protein</t>
  </si>
  <si>
    <t>Proteasome activator complex subunit 2</t>
  </si>
  <si>
    <t>Isoform 2 of Serine/threonine-protein kinase TAO2</t>
  </si>
  <si>
    <t>Ras-related protein Rab-23</t>
  </si>
  <si>
    <t>Malignant T-cell-amplified sequence 1</t>
  </si>
  <si>
    <t>Protein WWC3</t>
  </si>
  <si>
    <t>Zinc transporter ZIP10</t>
  </si>
  <si>
    <t>Isoform 4 of Cell cycle progression protein 1</t>
  </si>
  <si>
    <t>Isoform 4 of Kinase D-interacting substrate of 220 kDa</t>
  </si>
  <si>
    <t>Arf-GAP with SH3 domain, ANK repeat and PH domain-containing protein 1</t>
  </si>
  <si>
    <t>Isoform 2 of Beta-citryl-glutamate synthase B</t>
  </si>
  <si>
    <t>Isoform 2 of Zinc finger and BTB domain-containing protein 21</t>
  </si>
  <si>
    <t>Zinc finger MIZ domain-containing protein 1</t>
  </si>
  <si>
    <t>Ankyrin repeat domain-containing protein 50</t>
  </si>
  <si>
    <t>CCR4-NOT transcription complex subunit 6</t>
  </si>
  <si>
    <t>Isoform 2 of TBC1 domain family member 24</t>
  </si>
  <si>
    <t>Pre-mRNA-splicing factor ISY1 homolog</t>
  </si>
  <si>
    <t>Protein phosphatase 1H</t>
  </si>
  <si>
    <t>E3 ubiquitin-protein ligase HECTD1</t>
  </si>
  <si>
    <t>Isoform 9 of Protein kinase C-binding protein 1</t>
  </si>
  <si>
    <t>Coronin-1C</t>
  </si>
  <si>
    <t>Targeting protein for Xklp2</t>
  </si>
  <si>
    <t>RNA-binding protein NOB1</t>
  </si>
  <si>
    <t>Isoform 2 of A-kinase anchor protein 8-like</t>
  </si>
  <si>
    <t>Isoform 2 of Apoptosis-associated speck-like protein containing a CARD</t>
  </si>
  <si>
    <t>Anaphase-promoting complex subunit 10</t>
  </si>
  <si>
    <t>Intercellular adhesion molecule 5</t>
  </si>
  <si>
    <t>Isoform 3 of NFU1 iron-sulfur cluster scaffold homolog, mitochondrial</t>
  </si>
  <si>
    <t>Pre-mRNA-processing factor 19</t>
  </si>
  <si>
    <t>Ubiquilin-1</t>
  </si>
  <si>
    <t>Isoform 2 of Suppressor of fused homolog</t>
  </si>
  <si>
    <t>Neudesin</t>
  </si>
  <si>
    <t>Isoform 2 of Sorting nexin-12</t>
  </si>
  <si>
    <t>Isoform 5 of Synergin gamma</t>
  </si>
  <si>
    <t>Isoform 2 of Protein NDRG2</t>
  </si>
  <si>
    <t>Vacuolar protein sorting-associated protein 4A</t>
  </si>
  <si>
    <t>Isoform B of Ras GTPase-activating protein-binding protein 2</t>
  </si>
  <si>
    <t>E3 ubiquitin-protein ligase CHIP</t>
  </si>
  <si>
    <t>Isoform 2 of Protein kinase C and casein kinase substrate in neurons protein 2</t>
  </si>
  <si>
    <t>Melanoma-associated antigen D2</t>
  </si>
  <si>
    <t>Sorting nexin-6</t>
  </si>
  <si>
    <t>Dual specificity protein phosphatase 12</t>
  </si>
  <si>
    <t>Syntaxin-8</t>
  </si>
  <si>
    <t>26S proteasome non-ATPase regulatory subunit 13</t>
  </si>
  <si>
    <t>FAS-associated factor 1</t>
  </si>
  <si>
    <t>Endothelial protein C receptor</t>
  </si>
  <si>
    <t>Peptidyl-prolyl cis-trans isomerase E</t>
  </si>
  <si>
    <t>Probable dimethyladenosine transferase</t>
  </si>
  <si>
    <t>Isoform 2 of Protein timeless homolog</t>
  </si>
  <si>
    <t>COP9 signalosome complex subunit 3</t>
  </si>
  <si>
    <t>Multiple inositol polyphosphate phosphatase 1</t>
  </si>
  <si>
    <t>WD repeat-containing protein 3</t>
  </si>
  <si>
    <t>Transcription termination factor 2</t>
  </si>
  <si>
    <t>NSFL1 cofactor p47</t>
  </si>
  <si>
    <t>Leydig cell tumor 10 kDa protein homolog</t>
  </si>
  <si>
    <t>Isoform Gamma of Transferrin receptor protein 2</t>
  </si>
  <si>
    <t>Conserved oligomeric Golgi complex subunit 5</t>
  </si>
  <si>
    <t>Isoform 3 of Solute carrier family 12 member 4</t>
  </si>
  <si>
    <t>Isoform 2 of AP-4 complex subunit epsilon-1</t>
  </si>
  <si>
    <t>Protein SCAF8</t>
  </si>
  <si>
    <t>Serine/threonine-protein phosphatase 6 regulatory subunit 1</t>
  </si>
  <si>
    <t>E3 ubiquitin-protein ligase TRIM33</t>
  </si>
  <si>
    <t>Isoform Beta of E3 ubiquitin-protein ligase TRIM33</t>
  </si>
  <si>
    <t>Protein SMG5</t>
  </si>
  <si>
    <t>Isoform 2 of Exocyst complex component 7</t>
  </si>
  <si>
    <t>Isoform 2 of Ubiquitin carboxyl-terminal hydrolase 22</t>
  </si>
  <si>
    <t>Ubiquitin carboxyl-terminal hydrolase 24</t>
  </si>
  <si>
    <t>Microtubule-associated protein RP/EB family member 3</t>
  </si>
  <si>
    <t>Isoform 2 of Microtubule-associated protein RP/EB family member 3</t>
  </si>
  <si>
    <t>Isoform 2 of Hermansky-Pudlak syndrome 5 protein</t>
  </si>
  <si>
    <t>Isoform 2 of Leucine-rich repeat protein SHOC-2</t>
  </si>
  <si>
    <t>Serine/arginine repetitive matrix protein 2</t>
  </si>
  <si>
    <t>Isoform 2 of Alpha-1,3-mannosyl-glycoprotein 4-beta-N-acetylglucosaminyltransferase B</t>
  </si>
  <si>
    <t>Proliferation-associated protein 2G4</t>
  </si>
  <si>
    <t>Isoform SV3 of Cyclin-dependent kinase 11A</t>
  </si>
  <si>
    <t>Paraplegin</t>
  </si>
  <si>
    <t>Isoform 3 of Brain-specific angiogenesis inhibitor 1-associated protein 2</t>
  </si>
  <si>
    <t>Isoform 2 of GRB2-associated-binding protein 2</t>
  </si>
  <si>
    <t>Structural maintenance of chromosomes protein 3</t>
  </si>
  <si>
    <t>Ubiquitin-conjugating enzyme 1 isoform</t>
  </si>
  <si>
    <t>SH2B adapter protein 3</t>
  </si>
  <si>
    <t>Sex comb on midleg-like protein 2</t>
  </si>
  <si>
    <t>Zinc finger protein 148</t>
  </si>
  <si>
    <t>Myotubularin-related protein 6</t>
  </si>
  <si>
    <t>Protein jagged-2</t>
  </si>
  <si>
    <t>Bifunctional UDP-N-acetylglucosamine 2-epimerase/N-acetylmannosamine kinase</t>
  </si>
  <si>
    <t>UPF0568 protein C14orf166</t>
  </si>
  <si>
    <t>RING finger protein 24</t>
  </si>
  <si>
    <t>RuvB-like 2</t>
  </si>
  <si>
    <t>Isoform 2 of Chromodomain Y-like protein</t>
  </si>
  <si>
    <t>Peptidyl-prolyl cis-trans isomerase NIMA-interacting 4</t>
  </si>
  <si>
    <t>C-type lectin domain family 11 member A</t>
  </si>
  <si>
    <t>HIG1 domain family member 1A, mitochondrial</t>
  </si>
  <si>
    <t>Proteasome maturation protein</t>
  </si>
  <si>
    <t>DNA replication complex GINS protein PSF2</t>
  </si>
  <si>
    <t>Isoform 5 of Leucine zipper putative tumor suppressor 1</t>
  </si>
  <si>
    <t>Phospholipase A-2-activating protein</t>
  </si>
  <si>
    <t>RuvB-like 1</t>
  </si>
  <si>
    <t>Nuclear migration protein nudC</t>
  </si>
  <si>
    <t>Mitochondrial chaperone BCS1</t>
  </si>
  <si>
    <t>Voltage-dependent anion-selective channel protein 3</t>
  </si>
  <si>
    <t>Cofilin-2</t>
  </si>
  <si>
    <t>Sodium-dependent multivitamin transporter</t>
  </si>
  <si>
    <t>Histone chaperone ASF1A</t>
  </si>
  <si>
    <t>Developmentally-regulated GTP-binding protein 1</t>
  </si>
  <si>
    <t>Nck-associated protein 1</t>
  </si>
  <si>
    <t>Protein canopy homolog 2</t>
  </si>
  <si>
    <t>Isoform 2 of Afadin- and alpha-actinin-binding protein</t>
  </si>
  <si>
    <t>Isoform 4 of Caspase recruitment domain-containing protein 8</t>
  </si>
  <si>
    <t>Probable phospholipid-transporting ATPase IF</t>
  </si>
  <si>
    <t>GDP-fucose protein O-fucosyltransferase 2</t>
  </si>
  <si>
    <t>Isoform 3 of Disks large-associated protein 4</t>
  </si>
  <si>
    <t>Isoform 2 of Fibronectin type-III domain-containing protein 3A</t>
  </si>
  <si>
    <t>Nischarin</t>
  </si>
  <si>
    <t>1-phosphatidylinositol 3-phosphate 5-kinase</t>
  </si>
  <si>
    <t>WD repeat-containing protein 37</t>
  </si>
  <si>
    <t>Ubiquitin carboxyl-terminal hydrolase 20</t>
  </si>
  <si>
    <t>Lysine-specific demethylase 2A</t>
  </si>
  <si>
    <t>Exosome complex exonuclease RRP44</t>
  </si>
  <si>
    <t>Glutathione S-transferase kappa 1</t>
  </si>
  <si>
    <t>Ragulator complex protein LAMTOR2</t>
  </si>
  <si>
    <t>28S ribosomal protein S28, mitochondrial</t>
  </si>
  <si>
    <t>Cytochrome c oxidase assembly protein 3 homolog, mitochondrial</t>
  </si>
  <si>
    <t>DNA-directed RNA polymerases I and III subunit RPAC2</t>
  </si>
  <si>
    <t>Translation machinery-associated protein 7</t>
  </si>
  <si>
    <t>Polymerase delta-interacting protein 2</t>
  </si>
  <si>
    <t>AP-3 complex subunit mu-1</t>
  </si>
  <si>
    <t>Mitogen-activated protein kinase kinase kinase 2</t>
  </si>
  <si>
    <t>Inner nuclear membrane protein Man1</t>
  </si>
  <si>
    <t>Calcium-regulated heat stable protein 1</t>
  </si>
  <si>
    <t>Isoform 2 of Conserved oligomeric Golgi complex subunit 6</t>
  </si>
  <si>
    <t>Thyroid hormone receptor-associated protein 3</t>
  </si>
  <si>
    <t>Nucleolar protein 58</t>
  </si>
  <si>
    <t>DNA-directed RNA polymerase III subunit RPC10</t>
  </si>
  <si>
    <t>Suppressor of G2 allele of SKP1 homolog</t>
  </si>
  <si>
    <t>Isoform 2 of Suppressor of G2 allele of SKP1 homolog</t>
  </si>
  <si>
    <t>Isoform 6 of Protein MTO1 homolog, mitochondrial</t>
  </si>
  <si>
    <t>Tyrosine--tRNA ligase, mitochondrial</t>
  </si>
  <si>
    <t>Isoform 3 of Ubiquinone biosynthesis monooxygenase COQ6</t>
  </si>
  <si>
    <t>Putative N-acetylglucosamine-6-phosphate deacetylase</t>
  </si>
  <si>
    <t>Isoform 2 of Putative N-acetylglucosamine-6-phosphate deacetylase</t>
  </si>
  <si>
    <t>Acyl-coenzyme A thioesterase 9, mitochondrial</t>
  </si>
  <si>
    <t>Nitric oxide synthase-interacting protein</t>
  </si>
  <si>
    <t>Protein MEMO1</t>
  </si>
  <si>
    <t>Isoform 2 of Thioredoxin-related transmembrane protein 2</t>
  </si>
  <si>
    <t>U6 snRNA-associated Sm-like protein LSm2</t>
  </si>
  <si>
    <t>Endophilin-B1</t>
  </si>
  <si>
    <t>Complex I intermediate-associated protein 30, mitochondrial</t>
  </si>
  <si>
    <t>Calcium-binding protein 39</t>
  </si>
  <si>
    <t>Putative RNA-binding protein Luc7-like 2</t>
  </si>
  <si>
    <t>Ubiquitin-conjugating enzyme E2 J1</t>
  </si>
  <si>
    <t>RNA-binding motif protein, X-linked 2</t>
  </si>
  <si>
    <t>Isoform 2 of Dehydrogenase/reductase SDR family member 7</t>
  </si>
  <si>
    <t>28S ribosomal protein S2, mitochondrial</t>
  </si>
  <si>
    <t>MOB-like protein phocein</t>
  </si>
  <si>
    <t>Ribosome maturation protein SBDS</t>
  </si>
  <si>
    <t>Transmembrane emp24 domain-containing protein 5</t>
  </si>
  <si>
    <t>Transmembrane emp24 domain-containing protein 7</t>
  </si>
  <si>
    <t>Pre-mRNA branch site protein p14</t>
  </si>
  <si>
    <t>39S ribosomal protein L11, mitochondrial</t>
  </si>
  <si>
    <t>RRP15-like protein</t>
  </si>
  <si>
    <t>Nucleolar protein 16</t>
  </si>
  <si>
    <t>Isoform 2 of TP53RK-binding protein</t>
  </si>
  <si>
    <t>RING finger protein 11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</si>
  <si>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</si>
  <si>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</si>
  <si>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</si>
  <si>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</si>
  <si>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</si>
  <si>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Isoform 3 of Adenylate kinase isoenzyme 6</t>
  </si>
  <si>
    <t>28S ribosomal protein S23, mitochondrial</t>
  </si>
  <si>
    <t>Hepatoma-derived growth factor-related protein 3</t>
  </si>
  <si>
    <t>Isoform 4 of Charged multivesicular body protein 3</t>
  </si>
  <si>
    <t>Serine-threonine kinase receptor-associated protein</t>
  </si>
  <si>
    <t>tRNA-splicing ligase RtcB homolog</t>
  </si>
  <si>
    <t>F-box only protein 7</t>
  </si>
  <si>
    <t>Ras-related protein Rap-2c</t>
  </si>
  <si>
    <t>Rab GTPase-activating protein 1</t>
  </si>
  <si>
    <t>Transmembrane emp24 domain-containing protein 3</t>
  </si>
  <si>
    <t>TSC22 domain family protein 4</t>
  </si>
  <si>
    <t>Zinc finger protein 330</t>
  </si>
  <si>
    <t>R3H and coiled-coil domain-containing protein 1</t>
  </si>
  <si>
    <t>Nucleolar complex protein 2 homolog</t>
  </si>
  <si>
    <t>60S ribosomal protein L36</t>
  </si>
  <si>
    <t>Coiled-coil domain-containing protein 9</t>
  </si>
  <si>
    <t>Isoform 3 of Chromatin target of PRMT1 protein</t>
  </si>
  <si>
    <t>Deoxynucleoside triphosphate triphosphohydrolase SAMHD1</t>
  </si>
  <si>
    <t>Isoform 2 of C2 domain-containing protein 2</t>
  </si>
  <si>
    <t>Plakophilin-3</t>
  </si>
  <si>
    <t>Small kinetochore-associated protein</t>
  </si>
  <si>
    <t>Isoform 3 of HBS1-like protein</t>
  </si>
  <si>
    <t>Sal-like protein 2</t>
  </si>
  <si>
    <t>5-AMP-activated protein kinase subunit beta-1</t>
  </si>
  <si>
    <t>Isoform 2 of Metal-response element-binding transcription factor 2</t>
  </si>
  <si>
    <t>V-type proton ATPase 116 kDa subunit a isoform 2</t>
  </si>
  <si>
    <t>Talin-1</t>
  </si>
  <si>
    <t>Isoform 3 of Protein VPRBP</t>
  </si>
  <si>
    <t>Isoform 2 of Protein FAM115A</t>
  </si>
  <si>
    <t>Isoform 2 of Plexin-D1</t>
  </si>
  <si>
    <t>Ubiquitin carboxyl-terminal hydrolase 15</t>
  </si>
  <si>
    <t>Talin-2</t>
  </si>
  <si>
    <t>Rap guanine nucleotide exchange factor 2</t>
  </si>
  <si>
    <t>TNF receptor-associated factor 6</t>
  </si>
  <si>
    <t>Mitogen-activated protein kinase kinase kinase kinase 5</t>
  </si>
  <si>
    <t>Isoform 6 of Cysteine protease ATG4B</t>
  </si>
  <si>
    <t>Isoform 3 of WD repeat domain phosphoinositide-interacting protein 2</t>
  </si>
  <si>
    <t>Isoform 4 of WD repeat domain phosphoinositide-interacting protein 2</t>
  </si>
  <si>
    <t>Telomere length regulation protein TEL2 homolog</t>
  </si>
  <si>
    <t>Methylmalonic aciduria and homocystinuria type C protein</t>
  </si>
  <si>
    <t>Isoform 2 of Ribosomal biogenesis protein LAS1L</t>
  </si>
  <si>
    <t>AFG3-like protein 2</t>
  </si>
  <si>
    <t>AMME syndrome candidate gene 1 protein</t>
  </si>
  <si>
    <t>E3 ubiquitin-protein ligase ARIH1</t>
  </si>
  <si>
    <t>U6 snRNA-associated Sm-like protein LSm4</t>
  </si>
  <si>
    <t>RING finger protein 114</t>
  </si>
  <si>
    <t>Sorting and assembly machinery component 50 homolog</t>
  </si>
  <si>
    <t>Leucine-rich repeat-containing protein 42</t>
  </si>
  <si>
    <t>Protein phosphatase methylesterase 1</t>
  </si>
  <si>
    <t>Mitochondrial import inner membrane translocase subunit Tim22</t>
  </si>
  <si>
    <t>Isoform 2 of BTB/POZ domain-containing protein KCTD3</t>
  </si>
  <si>
    <t>YTH domain family protein 2</t>
  </si>
  <si>
    <t>RNA polymerase II subunit A C-terminal domain phosphatase</t>
  </si>
  <si>
    <t>PAX3- and PAX7-binding protein 1</t>
  </si>
  <si>
    <t>Isoform 2 of Nucleoside diphosphate kinase 7</t>
  </si>
  <si>
    <t>FACT complex subunit SPT16</t>
  </si>
  <si>
    <t>Mitochondrial import inner membrane translocase subunit Tim10 B</t>
  </si>
  <si>
    <t>Mitochondrial import inner membrane translocase subunit Tim9</t>
  </si>
  <si>
    <t>CD2-associated protein</t>
  </si>
  <si>
    <t>V-type proton ATPase subunit D</t>
  </si>
  <si>
    <t>Transportin-3</t>
  </si>
  <si>
    <t>Mitochondrial import inner membrane translocase subunit Tim13</t>
  </si>
  <si>
    <t>Signal recognition particle receptor subunit beta</t>
  </si>
  <si>
    <t>HemK methyltransferase family member 2</t>
  </si>
  <si>
    <t>Origin recognition complex subunit 6</t>
  </si>
  <si>
    <t>Isoform 2 of Collagen type IV alpha-3-binding protein</t>
  </si>
  <si>
    <t>Mannose-1-phosphate guanyltransferase beta</t>
  </si>
  <si>
    <t>General transcription factor 3C polypeptide 5</t>
  </si>
  <si>
    <t>General transcription factor 3C polypeptide 3</t>
  </si>
  <si>
    <t>Trafficking protein particle complex subunit 1</t>
  </si>
  <si>
    <t>Transient receptor potential cation channel subfamily V member 2</t>
  </si>
  <si>
    <t>Serine/threonine-protein kinase MRCK beta</t>
  </si>
  <si>
    <t>RNA-binding protein 8A</t>
  </si>
  <si>
    <t>Isoform 2 of Ubiquitin carboxyl-terminal hydrolase 16</t>
  </si>
  <si>
    <t>Isoform 2 of Protein TSSC4</t>
  </si>
  <si>
    <t>Immediate early response 3-interacting protein 1</t>
  </si>
  <si>
    <t>Zinc finger protein 706</t>
  </si>
  <si>
    <t>Sorting nexin-9</t>
  </si>
  <si>
    <t>Sorting nexin-8</t>
  </si>
  <si>
    <t>Sorting nexin-5</t>
  </si>
  <si>
    <t>Feline leukemia virus subgroup C receptor-related protein 1</t>
  </si>
  <si>
    <t>Cytosolic Fe-S cluster assembly factor NUBP2</t>
  </si>
  <si>
    <t>Heme-binding protein 2</t>
  </si>
  <si>
    <t>Isoform 2 of UbiA prenyltransferase domain-containing protein 1</t>
  </si>
  <si>
    <t>MORF4 family-associated protein 1</t>
  </si>
  <si>
    <t>Isoform 4 of Leucine-rich repeat flightless-interacting protein 2</t>
  </si>
  <si>
    <t>FH1/FH2 domain-containing protein 1</t>
  </si>
  <si>
    <t>Phosphoserine aminotransferase</t>
  </si>
  <si>
    <t>Mitochondrial ornithine transporter 1</t>
  </si>
  <si>
    <t>DNA repair and recombination protein RAD54B</t>
  </si>
  <si>
    <t>Isoform 1 of Neuroplastin</t>
  </si>
  <si>
    <t>Carboxypeptidase Q</t>
  </si>
  <si>
    <t>Spindlin-1</t>
  </si>
  <si>
    <t>Dolichyl-phosphate beta-glucosyltransferase</t>
  </si>
  <si>
    <t>28S ribosomal protein S18b, mitochondrial</t>
  </si>
  <si>
    <t>Coatomer subunit gamma-1</t>
  </si>
  <si>
    <t>Isoform Short of Ancient ubiquitous protein 1</t>
  </si>
  <si>
    <t>Isoform 3 of Peptidyl-prolyl cis-trans isomerase FKBP7</t>
  </si>
  <si>
    <t>Isoform 2 of ADP-ribosylation factor-like protein 5A</t>
  </si>
  <si>
    <t>Isoform 2 of Glucocorticoid modulatory element-binding protein 1</t>
  </si>
  <si>
    <t>Chloride intracellular channel protein 4</t>
  </si>
  <si>
    <t>Isoform Cytoplasmic of Cysteine desulfurase, mitochondrial</t>
  </si>
  <si>
    <t>UPF0468 protein C16orf80</t>
  </si>
  <si>
    <t>Transforming acidic coiled-coil-containing protein 3</t>
  </si>
  <si>
    <t>GTP-binding protein SAR1b</t>
  </si>
  <si>
    <t>AP-4 complex subunit beta-1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</si>
  <si>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</si>
  <si>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</si>
  <si>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</si>
  <si>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</si>
  <si>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Cytoplasmic dynein 1 light intermediate chain 1</t>
  </si>
  <si>
    <t>Coiled-coil-helix-coiled-coil-helix domain-containing protein 2, mitochondrial</t>
  </si>
  <si>
    <t>Mitochondrial inner membrane protease ATP23 homolog</t>
  </si>
  <si>
    <t>Isoform 3 of Epsin-1</t>
  </si>
  <si>
    <t>Testis-expressed sequence 264 protein</t>
  </si>
  <si>
    <t>TAF6-like RNA polymerase II p300/CBP-associated factor-associated factor 65 kDa subunit 6L</t>
  </si>
  <si>
    <t>Choline/ethanolaminephosphotransferase 1</t>
  </si>
  <si>
    <t>NF-kappa-B essential modulator</t>
  </si>
  <si>
    <t>Isoform 2 of Testisin</t>
  </si>
  <si>
    <t>Isoform 3 of Casein kinase I isoform gamma-3</t>
  </si>
  <si>
    <t>Zinc transporter 1</t>
  </si>
  <si>
    <t>Isoform T3 of Sestrin-1</t>
  </si>
  <si>
    <t>Isoform 2 of Nuclear receptor coactivator 3</t>
  </si>
  <si>
    <t>Numb-like protein</t>
  </si>
  <si>
    <t>Probable ATP-dependent RNA helicase DDX49</t>
  </si>
  <si>
    <t>Calpain-7</t>
  </si>
  <si>
    <t>Wiskott-Aldrich syndrome protein family member 2</t>
  </si>
  <si>
    <t>MORC family CW-type zinc finger protein 2</t>
  </si>
  <si>
    <t>Influenza virus NS1A-binding protein</t>
  </si>
  <si>
    <t>Motile sperm domain-containing protein 2</t>
  </si>
  <si>
    <t>26S proteasome non-ATPase regulatory subunit 8</t>
  </si>
  <si>
    <t>Polycomb complex protein BMI-1</t>
  </si>
  <si>
    <t>MAP kinase-activated protein kinase 5 (Fragment)</t>
  </si>
  <si>
    <t>YTH domain family protein 3</t>
  </si>
  <si>
    <t>Acyl-CoA synthetase family member 4</t>
  </si>
  <si>
    <t>DENN domain-containing protein 4C</t>
  </si>
  <si>
    <t>Ubiquitin-conjugating enzyme E2 E3</t>
  </si>
  <si>
    <t>T-complex protein 11-like protein 1 (Fragment)</t>
  </si>
  <si>
    <t>26S protease regulatory subunit 6A</t>
  </si>
  <si>
    <t>Adrenocortical dysplasia protein homolog (Fragment)</t>
  </si>
  <si>
    <t>UBA6</t>
  </si>
  <si>
    <t>ESYT2</t>
  </si>
  <si>
    <t>UHRF1BP1L</t>
  </si>
  <si>
    <t>KIAA1598</t>
  </si>
  <si>
    <t>TMEM223</t>
  </si>
  <si>
    <t>KIAA0999</t>
  </si>
  <si>
    <t>ILVBL</t>
  </si>
  <si>
    <t>ACO2</t>
  </si>
  <si>
    <t>RALGAPB</t>
  </si>
  <si>
    <t>ALG6</t>
  </si>
  <si>
    <t>AAR2</t>
  </si>
  <si>
    <t>PRNP</t>
  </si>
  <si>
    <t>PIPSL</t>
  </si>
  <si>
    <t>NBAS</t>
  </si>
  <si>
    <t>FUOM</t>
  </si>
  <si>
    <t>SBNO1</t>
  </si>
  <si>
    <t>ISPD</t>
  </si>
  <si>
    <t>GTPBP10</t>
  </si>
  <si>
    <t>DKFZP586J0619</t>
  </si>
  <si>
    <t>MBLAC1</t>
  </si>
  <si>
    <t>XIRP2</t>
  </si>
  <si>
    <t>CNOT1</t>
  </si>
  <si>
    <t>SDCCAG8</t>
  </si>
  <si>
    <t>MRPS16</t>
  </si>
  <si>
    <t>FAM83G</t>
  </si>
  <si>
    <t>PALM3</t>
  </si>
  <si>
    <t>PGP</t>
  </si>
  <si>
    <t>C5orf51</t>
  </si>
  <si>
    <t>RCCD1</t>
  </si>
  <si>
    <t>HCFC1</t>
  </si>
  <si>
    <t>PIGK</t>
  </si>
  <si>
    <t>OFD1</t>
  </si>
  <si>
    <t>ZNF281</t>
  </si>
  <si>
    <t>BPNT1</t>
  </si>
  <si>
    <t>ZNF316</t>
  </si>
  <si>
    <t>FAM115C</t>
  </si>
  <si>
    <t>NUDT5</t>
  </si>
  <si>
    <t>CHMP1A</t>
  </si>
  <si>
    <t>SPTAN1</t>
  </si>
  <si>
    <t>PRCC</t>
  </si>
  <si>
    <t>WIPF3</t>
  </si>
  <si>
    <t>CCDC160</t>
  </si>
  <si>
    <t>HN1L</t>
  </si>
  <si>
    <t>GGT3P</t>
  </si>
  <si>
    <t>TUBAL3</t>
  </si>
  <si>
    <t>ZMYM3</t>
  </si>
  <si>
    <t>FBLL1</t>
  </si>
  <si>
    <t>SMCHD1</t>
  </si>
  <si>
    <t>UNC119B</t>
  </si>
  <si>
    <t>DOCK11</t>
  </si>
  <si>
    <t>NDEL1</t>
  </si>
  <si>
    <t>METTL15</t>
  </si>
  <si>
    <t>CHCHD1</t>
  </si>
  <si>
    <t>MAP2K5</t>
  </si>
  <si>
    <t>CDKN1C</t>
  </si>
  <si>
    <t>CCDC85C</t>
  </si>
  <si>
    <t>GPR89C</t>
  </si>
  <si>
    <t>RENBP</t>
  </si>
  <si>
    <t>CNIH4</t>
  </si>
  <si>
    <t>SEPT8</t>
  </si>
  <si>
    <t>POLA1</t>
  </si>
  <si>
    <t>SHROOM1</t>
  </si>
  <si>
    <t>PPP2R4</t>
  </si>
  <si>
    <t>PIP5K1A</t>
  </si>
  <si>
    <t>TRIM39R</t>
  </si>
  <si>
    <t>FAM127A</t>
  </si>
  <si>
    <t>ZBTB8OS</t>
  </si>
  <si>
    <t>SELK</t>
  </si>
  <si>
    <t>DDX11L8</t>
  </si>
  <si>
    <t>YDJC</t>
  </si>
  <si>
    <t>S100B</t>
  </si>
  <si>
    <t>PDPR</t>
  </si>
  <si>
    <t>POT1</t>
  </si>
  <si>
    <t>TRAF3IP1</t>
  </si>
  <si>
    <t>DDX52</t>
  </si>
  <si>
    <t>TFPT</t>
  </si>
  <si>
    <t>DSCR3</t>
  </si>
  <si>
    <t>S100PBP</t>
  </si>
  <si>
    <t>SUMO3</t>
  </si>
  <si>
    <t>TUBA4A</t>
  </si>
  <si>
    <t>HBE1</t>
  </si>
  <si>
    <t>TSSC1</t>
  </si>
  <si>
    <t>NPRL3</t>
  </si>
  <si>
    <t>DGKZ</t>
  </si>
  <si>
    <t>BICD1</t>
  </si>
  <si>
    <t>PLRG1</t>
  </si>
  <si>
    <t>KIAA1324L</t>
  </si>
  <si>
    <t>SUMF2</t>
  </si>
  <si>
    <t>RAI1</t>
  </si>
  <si>
    <t>MATR3</t>
  </si>
  <si>
    <t>PTTG1IP</t>
  </si>
  <si>
    <t>NUDT19</t>
  </si>
  <si>
    <t>MIF4GD</t>
  </si>
  <si>
    <t>SRRM1</t>
  </si>
  <si>
    <t>PFKFB2</t>
  </si>
  <si>
    <t>HMGXB4</t>
  </si>
  <si>
    <t>EIF3L</t>
  </si>
  <si>
    <t>SMCR7L</t>
  </si>
  <si>
    <t>TBC1D22A</t>
  </si>
  <si>
    <t>EWSR1</t>
  </si>
  <si>
    <t>SLC25A17</t>
  </si>
  <si>
    <t>CCHCR1</t>
  </si>
  <si>
    <t>BAG6</t>
  </si>
  <si>
    <t>ABHD16A</t>
  </si>
  <si>
    <t>EHMT2</t>
  </si>
  <si>
    <t>APOC3</t>
  </si>
  <si>
    <t>TSPO</t>
  </si>
  <si>
    <t>NHP2L1</t>
  </si>
  <si>
    <t>PSMD10</t>
  </si>
  <si>
    <t>HMGCL</t>
  </si>
  <si>
    <t>CROCC</t>
  </si>
  <si>
    <t>NRD1</t>
  </si>
  <si>
    <t>OSBPL9</t>
  </si>
  <si>
    <t>EIF4ENIF1</t>
  </si>
  <si>
    <t>CDC37L1</t>
  </si>
  <si>
    <t>TMEM9</t>
  </si>
  <si>
    <t>UBE2J2</t>
  </si>
  <si>
    <t>SEPT6</t>
  </si>
  <si>
    <t>EXOSC1</t>
  </si>
  <si>
    <t>CD58</t>
  </si>
  <si>
    <t>PRSS3</t>
  </si>
  <si>
    <t>GUK1</t>
  </si>
  <si>
    <t>SOAT1</t>
  </si>
  <si>
    <t>UBE4B</t>
  </si>
  <si>
    <t>USF1</t>
  </si>
  <si>
    <t>MUC1</t>
  </si>
  <si>
    <t>FGF13</t>
  </si>
  <si>
    <t>JMJD6</t>
  </si>
  <si>
    <t>PHC2</t>
  </si>
  <si>
    <t>PSME3</t>
  </si>
  <si>
    <t>MAN1B1</t>
  </si>
  <si>
    <t>EIF3S3</t>
  </si>
  <si>
    <t>EIF3F</t>
  </si>
  <si>
    <t>LZTFL1</t>
  </si>
  <si>
    <t>MXRA8</t>
  </si>
  <si>
    <t>SOD2</t>
  </si>
  <si>
    <t>PHF23</t>
  </si>
  <si>
    <t>PYROXD1</t>
  </si>
  <si>
    <t>SLC12A6</t>
  </si>
  <si>
    <t>RXRA</t>
  </si>
  <si>
    <t>ARL6IP4</t>
  </si>
  <si>
    <t>CNN2</t>
  </si>
  <si>
    <t>MED24</t>
  </si>
  <si>
    <t>HARS2</t>
  </si>
  <si>
    <t>SLC35A2</t>
  </si>
  <si>
    <t>CTNNBL1</t>
  </si>
  <si>
    <t>TBC1D25</t>
  </si>
  <si>
    <t>PRNPIP</t>
  </si>
  <si>
    <t>NDUFA13</t>
  </si>
  <si>
    <t>HAUS3</t>
  </si>
  <si>
    <t>SLC17A5</t>
  </si>
  <si>
    <t>HUS1</t>
  </si>
  <si>
    <t>COMMD1</t>
  </si>
  <si>
    <t>DYNLRB1</t>
  </si>
  <si>
    <t>SMARCE1</t>
  </si>
  <si>
    <t>CTNNB1</t>
  </si>
  <si>
    <t>PIP4K2A</t>
  </si>
  <si>
    <t>DCUN1D4</t>
  </si>
  <si>
    <t>MAP1S</t>
  </si>
  <si>
    <t>FBXW11</t>
  </si>
  <si>
    <t>TMEM165</t>
  </si>
  <si>
    <t>AGTPBP1</t>
  </si>
  <si>
    <t>PIP5K1B</t>
  </si>
  <si>
    <t>RAB5A</t>
  </si>
  <si>
    <t>SNRPD3</t>
  </si>
  <si>
    <t>CS</t>
  </si>
  <si>
    <t>TOP3A</t>
  </si>
  <si>
    <t>ECE1</t>
  </si>
  <si>
    <t>ZNF286A</t>
  </si>
  <si>
    <t>LSR</t>
  </si>
  <si>
    <t>CHURC1-FNTB</t>
  </si>
  <si>
    <t>KIF20A</t>
  </si>
  <si>
    <t>C2orf18</t>
  </si>
  <si>
    <t>SLC25A10</t>
  </si>
  <si>
    <t>NQO1</t>
  </si>
  <si>
    <t>RPS6KB1</t>
  </si>
  <si>
    <t>RNF220</t>
  </si>
  <si>
    <t>FAM45A</t>
  </si>
  <si>
    <t>KDSR</t>
  </si>
  <si>
    <t>MRPL48</t>
  </si>
  <si>
    <t>ZNF460</t>
  </si>
  <si>
    <t>PTGES3</t>
  </si>
  <si>
    <t>SNX11</t>
  </si>
  <si>
    <t>TOX4</t>
  </si>
  <si>
    <t>PGD</t>
  </si>
  <si>
    <t>HIST2H2BF</t>
  </si>
  <si>
    <t>SEC61A1</t>
  </si>
  <si>
    <t>STK24</t>
  </si>
  <si>
    <t>ASB6</t>
  </si>
  <si>
    <t>CHM</t>
  </si>
  <si>
    <t>SH2D3A</t>
  </si>
  <si>
    <t>C9orf41</t>
  </si>
  <si>
    <t>AGPAT4</t>
  </si>
  <si>
    <t>KIAA0513</t>
  </si>
  <si>
    <t>PTBP2</t>
  </si>
  <si>
    <t>WDR41</t>
  </si>
  <si>
    <t>ANXA7</t>
  </si>
  <si>
    <t>SLC25A46</t>
  </si>
  <si>
    <t>LIG1</t>
  </si>
  <si>
    <t>SERINC3</t>
  </si>
  <si>
    <t>ANXA11</t>
  </si>
  <si>
    <t>VWA9</t>
  </si>
  <si>
    <t>EIF3D</t>
  </si>
  <si>
    <t>FOXO3</t>
  </si>
  <si>
    <t>HACL1</t>
  </si>
  <si>
    <t>DBF4</t>
  </si>
  <si>
    <t>FXR1</t>
  </si>
  <si>
    <t>GTPBP4</t>
  </si>
  <si>
    <t>TGFBR1</t>
  </si>
  <si>
    <t>NUP35</t>
  </si>
  <si>
    <t>ARL1</t>
  </si>
  <si>
    <t>HDAC6</t>
  </si>
  <si>
    <t>TMEM134</t>
  </si>
  <si>
    <t>PEX5</t>
  </si>
  <si>
    <t>LRCH3</t>
  </si>
  <si>
    <t>PNPO</t>
  </si>
  <si>
    <t>ATE1</t>
  </si>
  <si>
    <t>PBXIP1</t>
  </si>
  <si>
    <t>MSANTD2</t>
  </si>
  <si>
    <t>RIOK3</t>
  </si>
  <si>
    <t>SFRS3</t>
  </si>
  <si>
    <t>PUM2</t>
  </si>
  <si>
    <t>STOM</t>
  </si>
  <si>
    <t>HADHB</t>
  </si>
  <si>
    <t>METTL13</t>
  </si>
  <si>
    <t>CHCHD10</t>
  </si>
  <si>
    <t>CDCA5</t>
  </si>
  <si>
    <t>LBH</t>
  </si>
  <si>
    <t>EPCAM</t>
  </si>
  <si>
    <t>PES1</t>
  </si>
  <si>
    <t>NCOA1</t>
  </si>
  <si>
    <t>SREBF1</t>
  </si>
  <si>
    <t>RFT1</t>
  </si>
  <si>
    <t>RAN</t>
  </si>
  <si>
    <t>C2orf43</t>
  </si>
  <si>
    <t>METTL8</t>
  </si>
  <si>
    <t>GATA1</t>
  </si>
  <si>
    <t>CWC22</t>
  </si>
  <si>
    <t>EML3</t>
  </si>
  <si>
    <t>HNRPLL</t>
  </si>
  <si>
    <t>RIC8B</t>
  </si>
  <si>
    <t>PDIA6</t>
  </si>
  <si>
    <t>MFSD8</t>
  </si>
  <si>
    <t>RPS6KA5</t>
  </si>
  <si>
    <t>ALAD</t>
  </si>
  <si>
    <t>TBCE</t>
  </si>
  <si>
    <t>TPCN1</t>
  </si>
  <si>
    <t>DNASE2</t>
  </si>
  <si>
    <t>ERF</t>
  </si>
  <si>
    <t>CCBL1</t>
  </si>
  <si>
    <t>SLC6A9</t>
  </si>
  <si>
    <t>STMN3</t>
  </si>
  <si>
    <t>F11R</t>
  </si>
  <si>
    <t>ARMC8</t>
  </si>
  <si>
    <t>DECR1</t>
  </si>
  <si>
    <t>RANBP3</t>
  </si>
  <si>
    <t>AMN1</t>
  </si>
  <si>
    <t>USP7</t>
  </si>
  <si>
    <t>DHCR24</t>
  </si>
  <si>
    <t>TRDMT1</t>
  </si>
  <si>
    <t>SH3PXD2A</t>
  </si>
  <si>
    <t>ATP6AP2</t>
  </si>
  <si>
    <t>SH3GLB2</t>
  </si>
  <si>
    <t>PPP2R5E</t>
  </si>
  <si>
    <t>SCARB1</t>
  </si>
  <si>
    <t>RCSD1</t>
  </si>
  <si>
    <t>COX18</t>
  </si>
  <si>
    <t>TARSL2</t>
  </si>
  <si>
    <t>EDEM3</t>
  </si>
  <si>
    <t>RLTPR</t>
  </si>
  <si>
    <t>TAX1BP1</t>
  </si>
  <si>
    <t>SUMO1</t>
  </si>
  <si>
    <t>PTMA</t>
  </si>
  <si>
    <t>SNX13</t>
  </si>
  <si>
    <t>ATF2</t>
  </si>
  <si>
    <t>AGFG1</t>
  </si>
  <si>
    <t>USP39</t>
  </si>
  <si>
    <t>RHBDD1</t>
  </si>
  <si>
    <t>ICA1</t>
  </si>
  <si>
    <t>BAK1</t>
  </si>
  <si>
    <t>WASH3P</t>
  </si>
  <si>
    <t>SPG11</t>
  </si>
  <si>
    <t>MED30S</t>
  </si>
  <si>
    <t>MRPL2</t>
  </si>
  <si>
    <t>ASNSD1</t>
  </si>
  <si>
    <t>CHMP2B</t>
  </si>
  <si>
    <t>ZC3HC1</t>
  </si>
  <si>
    <t>SRI</t>
  </si>
  <si>
    <t>WDR91</t>
  </si>
  <si>
    <t>TNK2</t>
  </si>
  <si>
    <t>UBE2F</t>
  </si>
  <si>
    <t>UBE2E1</t>
  </si>
  <si>
    <t>CBLL1</t>
  </si>
  <si>
    <t>TAMM41</t>
  </si>
  <si>
    <t>IKBKG</t>
  </si>
  <si>
    <t>POLR2B</t>
  </si>
  <si>
    <t>MOSPD3</t>
  </si>
  <si>
    <t>IMMT</t>
  </si>
  <si>
    <t>NCAPH</t>
  </si>
  <si>
    <t>MKRN2</t>
  </si>
  <si>
    <t>DONSON</t>
  </si>
  <si>
    <t>SLC22A23</t>
  </si>
  <si>
    <t>RPL37A</t>
  </si>
  <si>
    <t>PDCD10</t>
  </si>
  <si>
    <t>LIN9</t>
  </si>
  <si>
    <t>PTGES3L-AARSD1</t>
  </si>
  <si>
    <t>IGF1R</t>
  </si>
  <si>
    <t>KIF20B</t>
  </si>
  <si>
    <t>EBP</t>
  </si>
  <si>
    <t>MKLN1</t>
  </si>
  <si>
    <t>LDHB</t>
  </si>
  <si>
    <t>PLSCR1</t>
  </si>
  <si>
    <t>TSEN2</t>
  </si>
  <si>
    <t>APOBR</t>
  </si>
  <si>
    <t>HDAC10</t>
  </si>
  <si>
    <t>ALDH5A1</t>
  </si>
  <si>
    <t>PHF15</t>
  </si>
  <si>
    <t>RPSA</t>
  </si>
  <si>
    <t>NMD3</t>
  </si>
  <si>
    <t>SSR3</t>
  </si>
  <si>
    <t>SRSF7</t>
  </si>
  <si>
    <t>NCK1</t>
  </si>
  <si>
    <t>FXN</t>
  </si>
  <si>
    <t>BSDC1</t>
  </si>
  <si>
    <t>TFPI</t>
  </si>
  <si>
    <t>SIDT2</t>
  </si>
  <si>
    <t>SPCS1</t>
  </si>
  <si>
    <t>TANGO2</t>
  </si>
  <si>
    <t>DRAP1</t>
  </si>
  <si>
    <t>DIAPH3</t>
  </si>
  <si>
    <t>TMUB1</t>
  </si>
  <si>
    <t>NCOR2</t>
  </si>
  <si>
    <t>EIF4E2</t>
  </si>
  <si>
    <t>YIPF1</t>
  </si>
  <si>
    <t>GPS1</t>
  </si>
  <si>
    <t>CYCS</t>
  </si>
  <si>
    <t>ITM2C</t>
  </si>
  <si>
    <t>SPRED2</t>
  </si>
  <si>
    <t>AAMP</t>
  </si>
  <si>
    <t>GALNT10</t>
  </si>
  <si>
    <t>APEH</t>
  </si>
  <si>
    <t>PSAP</t>
  </si>
  <si>
    <t>VPS8</t>
  </si>
  <si>
    <t>MYADM</t>
  </si>
  <si>
    <t>C7orf49</t>
  </si>
  <si>
    <t>NDUFB3</t>
  </si>
  <si>
    <t>GART</t>
  </si>
  <si>
    <t>POLR2H</t>
  </si>
  <si>
    <t>APAF1</t>
  </si>
  <si>
    <t>OARD1</t>
  </si>
  <si>
    <t>MBNL1</t>
  </si>
  <si>
    <t>CRTAP</t>
  </si>
  <si>
    <t>CCNL1</t>
  </si>
  <si>
    <t>NKIRAS2</t>
  </si>
  <si>
    <t>CCDC58</t>
  </si>
  <si>
    <t>NME6</t>
  </si>
  <si>
    <t>STK11IP</t>
  </si>
  <si>
    <t>SATB2</t>
  </si>
  <si>
    <t>SEC22A</t>
  </si>
  <si>
    <t>CHCHD3</t>
  </si>
  <si>
    <t>DPP8</t>
  </si>
  <si>
    <t>ACTB</t>
  </si>
  <si>
    <t>VCP</t>
  </si>
  <si>
    <t>IFNAR1</t>
  </si>
  <si>
    <t>TTC32</t>
  </si>
  <si>
    <t>FOXJ3</t>
  </si>
  <si>
    <t>PRR24</t>
  </si>
  <si>
    <t>LAMTOR4</t>
  </si>
  <si>
    <t>RPL24</t>
  </si>
  <si>
    <t>NUDT22</t>
  </si>
  <si>
    <t>PCGF3</t>
  </si>
  <si>
    <t>BAG1</t>
  </si>
  <si>
    <t>SYPL1</t>
  </si>
  <si>
    <t>INPP5K</t>
  </si>
  <si>
    <t>ARFGAP3</t>
  </si>
  <si>
    <t>UBE2H</t>
  </si>
  <si>
    <t>SNUPN</t>
  </si>
  <si>
    <t>SDC3</t>
  </si>
  <si>
    <t>SUPT4H1</t>
  </si>
  <si>
    <t>TMEM23</t>
  </si>
  <si>
    <t>RPL32</t>
  </si>
  <si>
    <t>IRAK1</t>
  </si>
  <si>
    <t>NDOR1</t>
  </si>
  <si>
    <t>TAPBP</t>
  </si>
  <si>
    <t>HNRNPAB</t>
  </si>
  <si>
    <t>POLR3G</t>
  </si>
  <si>
    <t>COX7C</t>
  </si>
  <si>
    <t>DOK3</t>
  </si>
  <si>
    <t>TMEM161B</t>
  </si>
  <si>
    <t>NMU</t>
  </si>
  <si>
    <t>ELMOD2</t>
  </si>
  <si>
    <t>EIF4E</t>
  </si>
  <si>
    <t>HSD17B11</t>
  </si>
  <si>
    <t>EEF1E1</t>
  </si>
  <si>
    <t>PGM3</t>
  </si>
  <si>
    <t>PRELID1</t>
  </si>
  <si>
    <t>IL2RG</t>
  </si>
  <si>
    <t>PET112</t>
  </si>
  <si>
    <t>TRIM41</t>
  </si>
  <si>
    <t>CDC42SE2</t>
  </si>
  <si>
    <t>FAM175A</t>
  </si>
  <si>
    <t>CSNK1A1</t>
  </si>
  <si>
    <t>SEC31A</t>
  </si>
  <si>
    <t>CEP120</t>
  </si>
  <si>
    <t>STX18</t>
  </si>
  <si>
    <t>DCK</t>
  </si>
  <si>
    <t>CYB5B</t>
  </si>
  <si>
    <t>SEPT11</t>
  </si>
  <si>
    <t>SLC9B2</t>
  </si>
  <si>
    <t>CNOT6L</t>
  </si>
  <si>
    <t>CENPK</t>
  </si>
  <si>
    <t>CCNH</t>
  </si>
  <si>
    <t>RNASET2</t>
  </si>
  <si>
    <t>COX7A2</t>
  </si>
  <si>
    <t>CLDND1</t>
  </si>
  <si>
    <t>MFSD10</t>
  </si>
  <si>
    <t>ZNF346</t>
  </si>
  <si>
    <t>COMMD10</t>
  </si>
  <si>
    <t>VWA8</t>
  </si>
  <si>
    <t>GMNN</t>
  </si>
  <si>
    <t>NSMCE2</t>
  </si>
  <si>
    <t>IMPA1</t>
  </si>
  <si>
    <t>TATDN1</t>
  </si>
  <si>
    <t>RWDD1</t>
  </si>
  <si>
    <t>FCHSD1</t>
  </si>
  <si>
    <t>STMN2</t>
  </si>
  <si>
    <t>DERL1</t>
  </si>
  <si>
    <t>IDO1</t>
  </si>
  <si>
    <t>PPP2CB</t>
  </si>
  <si>
    <t>TCEB1</t>
  </si>
  <si>
    <t>UQCRB</t>
  </si>
  <si>
    <t>PSEN2</t>
  </si>
  <si>
    <t>ANKRD46</t>
  </si>
  <si>
    <t>TMEM66</t>
  </si>
  <si>
    <t>RPL30</t>
  </si>
  <si>
    <t>SORBS3</t>
  </si>
  <si>
    <t>TTI2</t>
  </si>
  <si>
    <t>POLB</t>
  </si>
  <si>
    <t>TMEM55A</t>
  </si>
  <si>
    <t>CHCHD7</t>
  </si>
  <si>
    <t>ARMC1</t>
  </si>
  <si>
    <t>ZFAND1</t>
  </si>
  <si>
    <t>MRPL13</t>
  </si>
  <si>
    <t>SKP1</t>
  </si>
  <si>
    <t>NDRG1</t>
  </si>
  <si>
    <t>CETN3</t>
  </si>
  <si>
    <t>PIGG</t>
  </si>
  <si>
    <t>COPS6</t>
  </si>
  <si>
    <t>RNF5</t>
  </si>
  <si>
    <t>ATHL1</t>
  </si>
  <si>
    <t>DNPEP</t>
  </si>
  <si>
    <t>AKAP10</t>
  </si>
  <si>
    <t>ASAH1</t>
  </si>
  <si>
    <t>RAI14</t>
  </si>
  <si>
    <t>MEN1</t>
  </si>
  <si>
    <t>KIAA0319L</t>
  </si>
  <si>
    <t>ZNF143</t>
  </si>
  <si>
    <t>NCSTN</t>
  </si>
  <si>
    <t>CALCOCO2</t>
  </si>
  <si>
    <t>SYNE1</t>
  </si>
  <si>
    <t>ADAR</t>
  </si>
  <si>
    <t>RPL14</t>
  </si>
  <si>
    <t>TOM1</t>
  </si>
  <si>
    <t>ZCCHC17</t>
  </si>
  <si>
    <t>PDXDC1</t>
  </si>
  <si>
    <t>PRRC2C</t>
  </si>
  <si>
    <t>STXBP4</t>
  </si>
  <si>
    <t>NDUFV2</t>
  </si>
  <si>
    <t>SNCA</t>
  </si>
  <si>
    <t>ST7</t>
  </si>
  <si>
    <t>TNIP1</t>
  </si>
  <si>
    <t>GLB1</t>
  </si>
  <si>
    <t>NAA50</t>
  </si>
  <si>
    <t>KIAA0196</t>
  </si>
  <si>
    <t>SENP6</t>
  </si>
  <si>
    <t>YIPF3</t>
  </si>
  <si>
    <t>DMD</t>
  </si>
  <si>
    <t>ACIN1</t>
  </si>
  <si>
    <t>RPL15</t>
  </si>
  <si>
    <t>FAM91A1</t>
  </si>
  <si>
    <t>ERMP1</t>
  </si>
  <si>
    <t>GMIP</t>
  </si>
  <si>
    <t>ATP2C1</t>
  </si>
  <si>
    <t>MAST2</t>
  </si>
  <si>
    <t>ZC3H18</t>
  </si>
  <si>
    <t>VGLL4</t>
  </si>
  <si>
    <t>HSPA4L</t>
  </si>
  <si>
    <t>PSEN1</t>
  </si>
  <si>
    <t>XPO7</t>
  </si>
  <si>
    <t>FAM21A</t>
  </si>
  <si>
    <t>NAT10</t>
  </si>
  <si>
    <t>CTBP1</t>
  </si>
  <si>
    <t>NDUFA10</t>
  </si>
  <si>
    <t>U2SURP</t>
  </si>
  <si>
    <t>DAGLB</t>
  </si>
  <si>
    <t>ATP7B</t>
  </si>
  <si>
    <t>RPS24</t>
  </si>
  <si>
    <t>MARK2</t>
  </si>
  <si>
    <t>BZW2</t>
  </si>
  <si>
    <t>RAD54L2</t>
  </si>
  <si>
    <t>GDI2</t>
  </si>
  <si>
    <t>CBFA2T3</t>
  </si>
  <si>
    <t>CSNK2A1</t>
  </si>
  <si>
    <t>UGP2</t>
  </si>
  <si>
    <t>NCAPG2</t>
  </si>
  <si>
    <t>SSFA2</t>
  </si>
  <si>
    <t>NUP54</t>
  </si>
  <si>
    <t>AGAP1</t>
  </si>
  <si>
    <t>PCCB</t>
  </si>
  <si>
    <t>SSBP1</t>
  </si>
  <si>
    <t>RWDD4</t>
  </si>
  <si>
    <t>PGBD3</t>
  </si>
  <si>
    <t>PCM1</t>
  </si>
  <si>
    <t>ADD1</t>
  </si>
  <si>
    <t>MAP4</t>
  </si>
  <si>
    <t>ATG16L1</t>
  </si>
  <si>
    <t>HDHD1</t>
  </si>
  <si>
    <t>NDST1</t>
  </si>
  <si>
    <t>MTG1</t>
  </si>
  <si>
    <t>TAL1</t>
  </si>
  <si>
    <t>YWHAZ</t>
  </si>
  <si>
    <t>SDAD1</t>
  </si>
  <si>
    <t>MYO6</t>
  </si>
  <si>
    <t>MON1B</t>
  </si>
  <si>
    <t>ZMIZ2</t>
  </si>
  <si>
    <t>NDUFB5</t>
  </si>
  <si>
    <t>MAST4</t>
  </si>
  <si>
    <t>EIF4B</t>
  </si>
  <si>
    <t>EIF4G1</t>
  </si>
  <si>
    <t>DCTN1</t>
  </si>
  <si>
    <t>DENND4B</t>
  </si>
  <si>
    <t>NT5DC2</t>
  </si>
  <si>
    <t>RAVER1</t>
  </si>
  <si>
    <t>PDHX</t>
  </si>
  <si>
    <t>ALYREF</t>
  </si>
  <si>
    <t>AGK</t>
  </si>
  <si>
    <t>BUB1</t>
  </si>
  <si>
    <t>PTPRC</t>
  </si>
  <si>
    <t>RBBP7</t>
  </si>
  <si>
    <t>EIF2B5</t>
  </si>
  <si>
    <t>FNIP1</t>
  </si>
  <si>
    <t>MTA3</t>
  </si>
  <si>
    <t>GOSR1</t>
  </si>
  <si>
    <t>HNRNPH1</t>
  </si>
  <si>
    <t>SMG7</t>
  </si>
  <si>
    <t>PXK</t>
  </si>
  <si>
    <t>CKAP2</t>
  </si>
  <si>
    <t>CAST</t>
  </si>
  <si>
    <t>UNKL</t>
  </si>
  <si>
    <t>ARHGEF7</t>
  </si>
  <si>
    <t>BPTF</t>
  </si>
  <si>
    <t>SLC2A13</t>
  </si>
  <si>
    <t>ITGB6</t>
  </si>
  <si>
    <t>DIP2A</t>
  </si>
  <si>
    <t>PDPK1</t>
  </si>
  <si>
    <t>DIAPH1</t>
  </si>
  <si>
    <t>NUP155</t>
  </si>
  <si>
    <t>HADH</t>
  </si>
  <si>
    <t>TBL2</t>
  </si>
  <si>
    <t>SLC25A19</t>
  </si>
  <si>
    <t>MAPK8IP3</t>
  </si>
  <si>
    <t>RABGEF1</t>
  </si>
  <si>
    <t>PPP2R5D</t>
  </si>
  <si>
    <t>C3orf38</t>
  </si>
  <si>
    <t>CEP97</t>
  </si>
  <si>
    <t>SLC4A7</t>
  </si>
  <si>
    <t>SLC25A44</t>
  </si>
  <si>
    <t>TSN</t>
  </si>
  <si>
    <t>RPS6KA1</t>
  </si>
  <si>
    <t>COPS8</t>
  </si>
  <si>
    <t>MED22</t>
  </si>
  <si>
    <t>PRDX3</t>
  </si>
  <si>
    <t>NDUFB9</t>
  </si>
  <si>
    <t>ZNF451</t>
  </si>
  <si>
    <t>MCCC1</t>
  </si>
  <si>
    <t>CYP20A1</t>
  </si>
  <si>
    <t>LARS2</t>
  </si>
  <si>
    <t>BRPF3</t>
  </si>
  <si>
    <t>GLI1</t>
  </si>
  <si>
    <t>MTCH2</t>
  </si>
  <si>
    <t>TXNRD1</t>
  </si>
  <si>
    <t>PDE4DIP</t>
  </si>
  <si>
    <t>UBXN1</t>
  </si>
  <si>
    <t>VIMP</t>
  </si>
  <si>
    <t>CYHR1</t>
  </si>
  <si>
    <t>BRMS1</t>
  </si>
  <si>
    <t>MKNK1</t>
  </si>
  <si>
    <t>CD81</t>
  </si>
  <si>
    <t>FBXO3</t>
  </si>
  <si>
    <t>EEF1D</t>
  </si>
  <si>
    <t>BCLAF1</t>
  </si>
  <si>
    <t>RCE1</t>
  </si>
  <si>
    <t>RNF121</t>
  </si>
  <si>
    <t>ACAT1</t>
  </si>
  <si>
    <t>PRMT1</t>
  </si>
  <si>
    <t>UBTF</t>
  </si>
  <si>
    <t>TMEM123</t>
  </si>
  <si>
    <t>MRPL17</t>
  </si>
  <si>
    <t>TTC9C</t>
  </si>
  <si>
    <t>RPL8</t>
  </si>
  <si>
    <t>SPCS2</t>
  </si>
  <si>
    <t>CLP1</t>
  </si>
  <si>
    <t>HYOU1</t>
  </si>
  <si>
    <t>EI24</t>
  </si>
  <si>
    <t>NEDD8-MDP1</t>
  </si>
  <si>
    <t>RRM1</t>
  </si>
  <si>
    <t>CHIA</t>
  </si>
  <si>
    <t>NPEPPS</t>
  </si>
  <si>
    <t>RPL27A</t>
  </si>
  <si>
    <t>RNF141</t>
  </si>
  <si>
    <t>MACF1</t>
  </si>
  <si>
    <t>TYK2</t>
  </si>
  <si>
    <t>USP47</t>
  </si>
  <si>
    <t>C11orf58</t>
  </si>
  <si>
    <t>FAM118B</t>
  </si>
  <si>
    <t>HSF1</t>
  </si>
  <si>
    <t>CD151</t>
  </si>
  <si>
    <t>PEX16</t>
  </si>
  <si>
    <t>IFRD1</t>
  </si>
  <si>
    <t>HSPA8</t>
  </si>
  <si>
    <t>EBAG9</t>
  </si>
  <si>
    <t>TPD52L1</t>
  </si>
  <si>
    <t>PTS</t>
  </si>
  <si>
    <t>AAMDC</t>
  </si>
  <si>
    <t>ARHGAP27</t>
  </si>
  <si>
    <t>CD59</t>
  </si>
  <si>
    <t>MDK</t>
  </si>
  <si>
    <t>DERA</t>
  </si>
  <si>
    <t>GPAA1</t>
  </si>
  <si>
    <t>NFRKB</t>
  </si>
  <si>
    <t>VWA5B1</t>
  </si>
  <si>
    <t>PPP2R5B</t>
  </si>
  <si>
    <t>ACP2</t>
  </si>
  <si>
    <t>NEU3</t>
  </si>
  <si>
    <t>FAU</t>
  </si>
  <si>
    <t>MAF1</t>
  </si>
  <si>
    <t>TATDN3</t>
  </si>
  <si>
    <t>EIF1AD</t>
  </si>
  <si>
    <t>FADS3</t>
  </si>
  <si>
    <t>SCYL1</t>
  </si>
  <si>
    <t>TM9SF1</t>
  </si>
  <si>
    <t>PFKFB3</t>
  </si>
  <si>
    <t>TRMT11</t>
  </si>
  <si>
    <t>MYH14</t>
  </si>
  <si>
    <t>CPNE1</t>
  </si>
  <si>
    <t>TRMT2A</t>
  </si>
  <si>
    <t>XPO4</t>
  </si>
  <si>
    <t>GTF2H3</t>
  </si>
  <si>
    <t>ADA</t>
  </si>
  <si>
    <t>CCDC53</t>
  </si>
  <si>
    <t>JUP</t>
  </si>
  <si>
    <t>WNK1</t>
  </si>
  <si>
    <t>SMAD5</t>
  </si>
  <si>
    <t>CHD4</t>
  </si>
  <si>
    <t>FAM76B</t>
  </si>
  <si>
    <t>DNMT1</t>
  </si>
  <si>
    <t>FRYL</t>
  </si>
  <si>
    <t>TRIM3</t>
  </si>
  <si>
    <t>TRAPPC13</t>
  </si>
  <si>
    <t>SUCLA2</t>
  </si>
  <si>
    <t>AFF1</t>
  </si>
  <si>
    <t>DNAJB11</t>
  </si>
  <si>
    <t>DAD1</t>
  </si>
  <si>
    <t>SASS6</t>
  </si>
  <si>
    <t>GPBP1</t>
  </si>
  <si>
    <t>GALNT1</t>
  </si>
  <si>
    <t>ABCD3</t>
  </si>
  <si>
    <t>MAP7D2</t>
  </si>
  <si>
    <t>OTUB1</t>
  </si>
  <si>
    <t>ATP6V0D1</t>
  </si>
  <si>
    <t>MEIS1</t>
  </si>
  <si>
    <t>DTL</t>
  </si>
  <si>
    <t>RAP1B</t>
  </si>
  <si>
    <t>TRIM59</t>
  </si>
  <si>
    <t>DHX36</t>
  </si>
  <si>
    <t>SLC3A2</t>
  </si>
  <si>
    <t>ARHGAP4</t>
  </si>
  <si>
    <t>FAM120B</t>
  </si>
  <si>
    <t>ALKBH2</t>
  </si>
  <si>
    <t>TRIM21</t>
  </si>
  <si>
    <t>KDM3A</t>
  </si>
  <si>
    <t>ANAPC5</t>
  </si>
  <si>
    <t>SOX5</t>
  </si>
  <si>
    <t>KSR1</t>
  </si>
  <si>
    <t>SEC23IP</t>
  </si>
  <si>
    <t>CLASRP</t>
  </si>
  <si>
    <t>TUT1</t>
  </si>
  <si>
    <t>GLTP</t>
  </si>
  <si>
    <t>RRN3</t>
  </si>
  <si>
    <t>CCDC180</t>
  </si>
  <si>
    <t>ABI1</t>
  </si>
  <si>
    <t>TXNRD2</t>
  </si>
  <si>
    <t>LRBA</t>
  </si>
  <si>
    <t>RAD51AP1</t>
  </si>
  <si>
    <t>TMEM135</t>
  </si>
  <si>
    <t>PIK3C2A</t>
  </si>
  <si>
    <t>ANKLE2</t>
  </si>
  <si>
    <t>VMP1</t>
  </si>
  <si>
    <t>KIAA1715</t>
  </si>
  <si>
    <t>DCTN2</t>
  </si>
  <si>
    <t>PRPF4B</t>
  </si>
  <si>
    <t>CIZ1</t>
  </si>
  <si>
    <t>XAB2</t>
  </si>
  <si>
    <t>SEC23A</t>
  </si>
  <si>
    <t>CHST10</t>
  </si>
  <si>
    <t>TOM1L2</t>
  </si>
  <si>
    <t>SALL2</t>
  </si>
  <si>
    <t>TSG101</t>
  </si>
  <si>
    <t>FZD10</t>
  </si>
  <si>
    <t>RAD9A</t>
  </si>
  <si>
    <t>PRAME</t>
  </si>
  <si>
    <t>KPNA6</t>
  </si>
  <si>
    <t>RNF115</t>
  </si>
  <si>
    <t>PXMP2</t>
  </si>
  <si>
    <t>VPS37C</t>
  </si>
  <si>
    <t>EVI5</t>
  </si>
  <si>
    <t>NFATC1</t>
  </si>
  <si>
    <t>PDCD2</t>
  </si>
  <si>
    <t>PSMF1</t>
  </si>
  <si>
    <t>KLHL42</t>
  </si>
  <si>
    <t>EIF4G3</t>
  </si>
  <si>
    <t>ATP6V0A1</t>
  </si>
  <si>
    <t>BRK1</t>
  </si>
  <si>
    <t>NUP133</t>
  </si>
  <si>
    <t>TUBA1C</t>
  </si>
  <si>
    <t>GRSF1</t>
  </si>
  <si>
    <t>IFNGR1</t>
  </si>
  <si>
    <t>CDC42BPA</t>
  </si>
  <si>
    <t>NDUFS7</t>
  </si>
  <si>
    <t>BCKDHA</t>
  </si>
  <si>
    <t>NAT1</t>
  </si>
  <si>
    <t>DDX55</t>
  </si>
  <si>
    <t>KDM6A</t>
  </si>
  <si>
    <t>CLASP2</t>
  </si>
  <si>
    <t>OXNAD1</t>
  </si>
  <si>
    <t>TAP1</t>
  </si>
  <si>
    <t>LARS</t>
  </si>
  <si>
    <t>FAM60A</t>
  </si>
  <si>
    <t>KCTD10</t>
  </si>
  <si>
    <t>AIDA</t>
  </si>
  <si>
    <t>WBP11</t>
  </si>
  <si>
    <t>CCDC82</t>
  </si>
  <si>
    <t>CDC14A</t>
  </si>
  <si>
    <t>MGST1</t>
  </si>
  <si>
    <t>GABPB1</t>
  </si>
  <si>
    <t>RPTOR</t>
  </si>
  <si>
    <t>MGA</t>
  </si>
  <si>
    <t>MFGE8</t>
  </si>
  <si>
    <t>OGDH</t>
  </si>
  <si>
    <t>POMGNT1</t>
  </si>
  <si>
    <t>INPP4A</t>
  </si>
  <si>
    <t>MED21</t>
  </si>
  <si>
    <t>TRAP1</t>
  </si>
  <si>
    <t>XRCC1</t>
  </si>
  <si>
    <t>MVK</t>
  </si>
  <si>
    <t>CLPTM1</t>
  </si>
  <si>
    <t>EPN2</t>
  </si>
  <si>
    <t>ELMSAN1</t>
  </si>
  <si>
    <t>TAB3</t>
  </si>
  <si>
    <t>PDE12</t>
  </si>
  <si>
    <t>PPP3R1</t>
  </si>
  <si>
    <t>NME2</t>
  </si>
  <si>
    <t>CAD</t>
  </si>
  <si>
    <t>DDX39B</t>
  </si>
  <si>
    <t>LIMA1</t>
  </si>
  <si>
    <t>CSRP2</t>
  </si>
  <si>
    <t>METTL7A</t>
  </si>
  <si>
    <t>METAP2</t>
  </si>
  <si>
    <t>DNA2</t>
  </si>
  <si>
    <t>TMEM19</t>
  </si>
  <si>
    <t>PCBP2</t>
  </si>
  <si>
    <t>NFYB</t>
  </si>
  <si>
    <t>PLXNA1</t>
  </si>
  <si>
    <t>POC1B-GALNT4</t>
  </si>
  <si>
    <t>SLC38A2</t>
  </si>
  <si>
    <t>CNOT2</t>
  </si>
  <si>
    <t>NAP1L1</t>
  </si>
  <si>
    <t>COPZ1</t>
  </si>
  <si>
    <t>TMEM106C</t>
  </si>
  <si>
    <t>COQ5</t>
  </si>
  <si>
    <t>TSPAN31</t>
  </si>
  <si>
    <t>MON2</t>
  </si>
  <si>
    <t>ALG10B</t>
  </si>
  <si>
    <t>SLC38A1</t>
  </si>
  <si>
    <t>SCAF11</t>
  </si>
  <si>
    <t>GIT2</t>
  </si>
  <si>
    <t>VPS29</t>
  </si>
  <si>
    <t>PPP1CC</t>
  </si>
  <si>
    <t>AAAS</t>
  </si>
  <si>
    <t>UNC13A</t>
  </si>
  <si>
    <t>NACA</t>
  </si>
  <si>
    <t>PPHLN1</t>
  </si>
  <si>
    <t>ERGIC2</t>
  </si>
  <si>
    <t>CTDSP2</t>
  </si>
  <si>
    <t>NFE2</t>
  </si>
  <si>
    <t>RFX5</t>
  </si>
  <si>
    <t>HNRNPA1</t>
  </si>
  <si>
    <t>BAP1</t>
  </si>
  <si>
    <t>TRIM5</t>
  </si>
  <si>
    <t>ZNF384</t>
  </si>
  <si>
    <t>GMPS</t>
  </si>
  <si>
    <t>ADIPOR1</t>
  </si>
  <si>
    <t>CCDC178</t>
  </si>
  <si>
    <t>GPHN</t>
  </si>
  <si>
    <t>FN1</t>
  </si>
  <si>
    <t>FAM162A</t>
  </si>
  <si>
    <t>KANSL3</t>
  </si>
  <si>
    <t>VEZT</t>
  </si>
  <si>
    <t>SLBP</t>
  </si>
  <si>
    <t>RAB24</t>
  </si>
  <si>
    <t>TIA1</t>
  </si>
  <si>
    <t>IGF2BP2</t>
  </si>
  <si>
    <t>PPIP5K1</t>
  </si>
  <si>
    <t>SYTL4</t>
  </si>
  <si>
    <t>LENG8</t>
  </si>
  <si>
    <t>CCDC93</t>
  </si>
  <si>
    <t>MTMR1</t>
  </si>
  <si>
    <t>UCKL1</t>
  </si>
  <si>
    <t>STAG2</t>
  </si>
  <si>
    <t>MRPL40</t>
  </si>
  <si>
    <t>PINX1</t>
  </si>
  <si>
    <t>GTPBP8</t>
  </si>
  <si>
    <t>DOM3Z</t>
  </si>
  <si>
    <t>RNF149</t>
  </si>
  <si>
    <t>KIF21A</t>
  </si>
  <si>
    <t>DDX56</t>
  </si>
  <si>
    <t>POLR3H</t>
  </si>
  <si>
    <t>EXOG</t>
  </si>
  <si>
    <t>DNMT3A</t>
  </si>
  <si>
    <t>MMADHC</t>
  </si>
  <si>
    <t>ZFAND2B</t>
  </si>
  <si>
    <t>PRKRA</t>
  </si>
  <si>
    <t>SEC62</t>
  </si>
  <si>
    <t>ALG3</t>
  </si>
  <si>
    <t>NDUFV1</t>
  </si>
  <si>
    <t>OTUD4</t>
  </si>
  <si>
    <t>PARP2</t>
  </si>
  <si>
    <t>API5</t>
  </si>
  <si>
    <t>DPP3</t>
  </si>
  <si>
    <t>PON2</t>
  </si>
  <si>
    <t>TJP1</t>
  </si>
  <si>
    <t>HBA2</t>
  </si>
  <si>
    <t>USP28</t>
  </si>
  <si>
    <t>LOH12CR1</t>
  </si>
  <si>
    <t>LEPREL2</t>
  </si>
  <si>
    <t>SEPT7</t>
  </si>
  <si>
    <t>PMFBP1</t>
  </si>
  <si>
    <t>ZEB1</t>
  </si>
  <si>
    <t>GOLT1B</t>
  </si>
  <si>
    <t>ZCRB1</t>
  </si>
  <si>
    <t>GTSF1</t>
  </si>
  <si>
    <t>RPL18</t>
  </si>
  <si>
    <t>METTL10</t>
  </si>
  <si>
    <t>NDRG2</t>
  </si>
  <si>
    <t>MTHFD1</t>
  </si>
  <si>
    <t>TMEM189</t>
  </si>
  <si>
    <t>ACYP1</t>
  </si>
  <si>
    <t>ATP5J2-PTCD1</t>
  </si>
  <si>
    <t>FERMT2</t>
  </si>
  <si>
    <t>SKOR1</t>
  </si>
  <si>
    <t>DCAF8</t>
  </si>
  <si>
    <t>AKAP6</t>
  </si>
  <si>
    <t>NFKBIA</t>
  </si>
  <si>
    <t>XRCC3</t>
  </si>
  <si>
    <t>ATXN3</t>
  </si>
  <si>
    <t>MRPL52</t>
  </si>
  <si>
    <t>MED6</t>
  </si>
  <si>
    <t>ENTPD5</t>
  </si>
  <si>
    <t>VIPAS39</t>
  </si>
  <si>
    <t>AP4S1</t>
  </si>
  <si>
    <t>HNRNPC</t>
  </si>
  <si>
    <t>FAM177A1</t>
  </si>
  <si>
    <t>CTAGE5</t>
  </si>
  <si>
    <t>THTPA</t>
  </si>
  <si>
    <t>ZFYVE1</t>
  </si>
  <si>
    <t>GSTZ1</t>
  </si>
  <si>
    <t>CDK2</t>
  </si>
  <si>
    <t>WARS</t>
  </si>
  <si>
    <t>PSMA6</t>
  </si>
  <si>
    <t>TMEM48</t>
  </si>
  <si>
    <t>ARID1B</t>
  </si>
  <si>
    <t>TTC17</t>
  </si>
  <si>
    <t>SLC26A6</t>
  </si>
  <si>
    <t>ERCC8</t>
  </si>
  <si>
    <t>SEPT5</t>
  </si>
  <si>
    <t>LAMB1</t>
  </si>
  <si>
    <t>TIMM8B</t>
  </si>
  <si>
    <t>ABCB8</t>
  </si>
  <si>
    <t>SBF1</t>
  </si>
  <si>
    <t>MAP4K4</t>
  </si>
  <si>
    <t>MTMR3</t>
  </si>
  <si>
    <t>SMARCB1</t>
  </si>
  <si>
    <t>ATG4A</t>
  </si>
  <si>
    <t>GPR107</t>
  </si>
  <si>
    <t>USP11</t>
  </si>
  <si>
    <t>SOS1</t>
  </si>
  <si>
    <t>ECT2</t>
  </si>
  <si>
    <t>ENTPD3</t>
  </si>
  <si>
    <t>ITPR1</t>
  </si>
  <si>
    <t>CHPF2</t>
  </si>
  <si>
    <t>MRPS22</t>
  </si>
  <si>
    <t>SDCBP</t>
  </si>
  <si>
    <t>CELF1</t>
  </si>
  <si>
    <t>PDIA3</t>
  </si>
  <si>
    <t>APOL1</t>
  </si>
  <si>
    <t>MYL6</t>
  </si>
  <si>
    <t>PUS1</t>
  </si>
  <si>
    <t>ERC1</t>
  </si>
  <si>
    <t>TIPIN</t>
  </si>
  <si>
    <t>WDR45</t>
  </si>
  <si>
    <t>TACC1</t>
  </si>
  <si>
    <t>NOL6</t>
  </si>
  <si>
    <t>PPT2</t>
  </si>
  <si>
    <t>TAF6</t>
  </si>
  <si>
    <t>KIAA0430</t>
  </si>
  <si>
    <t>TH1L</t>
  </si>
  <si>
    <t>AMPD2</t>
  </si>
  <si>
    <t>SLC30A7</t>
  </si>
  <si>
    <t>ODF2</t>
  </si>
  <si>
    <t>DAB2IP</t>
  </si>
  <si>
    <t>EIF4G2</t>
  </si>
  <si>
    <t>MYD88</t>
  </si>
  <si>
    <t>IMPDH2</t>
  </si>
  <si>
    <t>RBCK1</t>
  </si>
  <si>
    <t>TRRAP</t>
  </si>
  <si>
    <t>ATP11A</t>
  </si>
  <si>
    <t>PREP</t>
  </si>
  <si>
    <t>UFM1</t>
  </si>
  <si>
    <t>SUSD1</t>
  </si>
  <si>
    <t>ZHX3</t>
  </si>
  <si>
    <t>BRD2</t>
  </si>
  <si>
    <t>SP3</t>
  </si>
  <si>
    <t>SUN1</t>
  </si>
  <si>
    <t>MRPL43</t>
  </si>
  <si>
    <t>TNRC6B</t>
  </si>
  <si>
    <t>IGSF23</t>
  </si>
  <si>
    <t>CALM2</t>
  </si>
  <si>
    <t>ABCD1</t>
  </si>
  <si>
    <t>PISD</t>
  </si>
  <si>
    <t>ATP2B2</t>
  </si>
  <si>
    <t>TMEM222</t>
  </si>
  <si>
    <t>TACC3</t>
  </si>
  <si>
    <t>UTP15</t>
  </si>
  <si>
    <t>RGS14</t>
  </si>
  <si>
    <t>DNPH1</t>
  </si>
  <si>
    <t>MRPL3</t>
  </si>
  <si>
    <t>WHSC1</t>
  </si>
  <si>
    <t>PPIP5K2</t>
  </si>
  <si>
    <t>DCP2</t>
  </si>
  <si>
    <t>TMA16</t>
  </si>
  <si>
    <t>PCBD2</t>
  </si>
  <si>
    <t>RBM24</t>
  </si>
  <si>
    <t>UBE2B</t>
  </si>
  <si>
    <t>MSRA</t>
  </si>
  <si>
    <t>PABPC1</t>
  </si>
  <si>
    <t>ZDHHC14</t>
  </si>
  <si>
    <t>STAR</t>
  </si>
  <si>
    <t>PTK2</t>
  </si>
  <si>
    <t>TRAPPC9</t>
  </si>
  <si>
    <t>INTS8</t>
  </si>
  <si>
    <t>HMBOX1</t>
  </si>
  <si>
    <t>ASCC1</t>
  </si>
  <si>
    <t>GLB1L2</t>
  </si>
  <si>
    <t>CD44</t>
  </si>
  <si>
    <t>NLK</t>
  </si>
  <si>
    <t>DLAT</t>
  </si>
  <si>
    <t>ALG8</t>
  </si>
  <si>
    <t>SIGIRR</t>
  </si>
  <si>
    <t>PPP5C</t>
  </si>
  <si>
    <t>SSSCA1</t>
  </si>
  <si>
    <t>RNASEH2C</t>
  </si>
  <si>
    <t>RIC8A</t>
  </si>
  <si>
    <t>RSF1</t>
  </si>
  <si>
    <t>RCOR3</t>
  </si>
  <si>
    <t>C8orf82</t>
  </si>
  <si>
    <t>KIAA1432</t>
  </si>
  <si>
    <t>REXO2</t>
  </si>
  <si>
    <t>ETNK1</t>
  </si>
  <si>
    <t>WDR83</t>
  </si>
  <si>
    <t>KANSL2</t>
  </si>
  <si>
    <t>LETMD1</t>
  </si>
  <si>
    <t>CEP128</t>
  </si>
  <si>
    <t>EVL</t>
  </si>
  <si>
    <t>TPM1</t>
  </si>
  <si>
    <t>EMC4</t>
  </si>
  <si>
    <t>TSPAN3</t>
  </si>
  <si>
    <t>TRAF3</t>
  </si>
  <si>
    <t>ANXA2</t>
  </si>
  <si>
    <t>TLE3</t>
  </si>
  <si>
    <t>POU2F1</t>
  </si>
  <si>
    <t>MAN2A2</t>
  </si>
  <si>
    <t>B2M</t>
  </si>
  <si>
    <t>AP3S2</t>
  </si>
  <si>
    <t>TRPM7</t>
  </si>
  <si>
    <t>FAM63B</t>
  </si>
  <si>
    <t>RFX7</t>
  </si>
  <si>
    <t>PIGH</t>
  </si>
  <si>
    <t>CUX1</t>
  </si>
  <si>
    <t>GMPR2</t>
  </si>
  <si>
    <t>RPL28</t>
  </si>
  <si>
    <t>MORF4L1</t>
  </si>
  <si>
    <t>PKNOX1</t>
  </si>
  <si>
    <t>C15orf57</t>
  </si>
  <si>
    <t>PSME1</t>
  </si>
  <si>
    <t>SEC11A</t>
  </si>
  <si>
    <t>EMC9</t>
  </si>
  <si>
    <t>PPP2R5C</t>
  </si>
  <si>
    <t>GCHFR</t>
  </si>
  <si>
    <t>AKR7A2</t>
  </si>
  <si>
    <t>CD55</t>
  </si>
  <si>
    <t>SRPK1</t>
  </si>
  <si>
    <t>DBNDD1</t>
  </si>
  <si>
    <t>DDX17</t>
  </si>
  <si>
    <t>NUB1</t>
  </si>
  <si>
    <t>COMMD4</t>
  </si>
  <si>
    <t>ARPP19</t>
  </si>
  <si>
    <t>SPNS1</t>
  </si>
  <si>
    <t>TSC2</t>
  </si>
  <si>
    <t>NUDT21</t>
  </si>
  <si>
    <t>LYRM1</t>
  </si>
  <si>
    <t>INO80E</t>
  </si>
  <si>
    <t>RAB40C</t>
  </si>
  <si>
    <t>HEXA</t>
  </si>
  <si>
    <t>COQ7</t>
  </si>
  <si>
    <t>MPI</t>
  </si>
  <si>
    <t>UBE2I</t>
  </si>
  <si>
    <t>NTHL1</t>
  </si>
  <si>
    <t>TCF4</t>
  </si>
  <si>
    <t>HAGH</t>
  </si>
  <si>
    <t>CLN3</t>
  </si>
  <si>
    <t>ALDOA</t>
  </si>
  <si>
    <t>OBSCN</t>
  </si>
  <si>
    <t>SNAPC5</t>
  </si>
  <si>
    <t>C16orf58</t>
  </si>
  <si>
    <t>DCTN5</t>
  </si>
  <si>
    <t>ZFYVE19</t>
  </si>
  <si>
    <t>UBFD1</t>
  </si>
  <si>
    <t>PPCDC</t>
  </si>
  <si>
    <t>NFATC3</t>
  </si>
  <si>
    <t>FAM219B</t>
  </si>
  <si>
    <t>EIF3C</t>
  </si>
  <si>
    <t>C15orf41</t>
  </si>
  <si>
    <t>SMIM1</t>
  </si>
  <si>
    <t>ZNF106</t>
  </si>
  <si>
    <t>CIRH1A</t>
  </si>
  <si>
    <t>FANCA</t>
  </si>
  <si>
    <t>CTU2</t>
  </si>
  <si>
    <t>MLST8</t>
  </si>
  <si>
    <t>SENP8</t>
  </si>
  <si>
    <t>MAP1LC3B</t>
  </si>
  <si>
    <t>PKM</t>
  </si>
  <si>
    <t>RNF166</t>
  </si>
  <si>
    <t>ARL2BP</t>
  </si>
  <si>
    <t>OGFOD1</t>
  </si>
  <si>
    <t>RNPS1</t>
  </si>
  <si>
    <t>FBXL19</t>
  </si>
  <si>
    <t>SPINT1</t>
  </si>
  <si>
    <t>SMPD4</t>
  </si>
  <si>
    <t>SAP130</t>
  </si>
  <si>
    <t>PPP6R3</t>
  </si>
  <si>
    <t>METTL21A</t>
  </si>
  <si>
    <t>ERGIC3</t>
  </si>
  <si>
    <t>TMEM41A</t>
  </si>
  <si>
    <t>TPRN</t>
  </si>
  <si>
    <t>BET1L</t>
  </si>
  <si>
    <t>MPC1</t>
  </si>
  <si>
    <t>DHX30</t>
  </si>
  <si>
    <t>PCMT1</t>
  </si>
  <si>
    <t>WRB</t>
  </si>
  <si>
    <t>INTS9</t>
  </si>
  <si>
    <t>IFITM2</t>
  </si>
  <si>
    <t>PPIL3</t>
  </si>
  <si>
    <t>C2orf80</t>
  </si>
  <si>
    <t>AP1S2</t>
  </si>
  <si>
    <t>USP46</t>
  </si>
  <si>
    <t>NHEJ1</t>
  </si>
  <si>
    <t>SF1</t>
  </si>
  <si>
    <t>CDKN3</t>
  </si>
  <si>
    <t>FAM120A</t>
  </si>
  <si>
    <t>IQSEC1</t>
  </si>
  <si>
    <t>THEMIS2</t>
  </si>
  <si>
    <t>RANBP1</t>
  </si>
  <si>
    <t>RAF1</t>
  </si>
  <si>
    <t>MZT2B</t>
  </si>
  <si>
    <t>DNTTIP1</t>
  </si>
  <si>
    <t>BET1</t>
  </si>
  <si>
    <t>CC2D1B</t>
  </si>
  <si>
    <t>APOO</t>
  </si>
  <si>
    <t>TATDN2</t>
  </si>
  <si>
    <t>PCLO</t>
  </si>
  <si>
    <t>CTDSP1</t>
  </si>
  <si>
    <t>NOL7</t>
  </si>
  <si>
    <t>EBNA1BP2</t>
  </si>
  <si>
    <t>PPM1N</t>
  </si>
  <si>
    <t>FAM134A</t>
  </si>
  <si>
    <t>NAGK</t>
  </si>
  <si>
    <t>GNS</t>
  </si>
  <si>
    <t>ATG2A</t>
  </si>
  <si>
    <t>PPAN</t>
  </si>
  <si>
    <t>ARV1</t>
  </si>
  <si>
    <t>STK19</t>
  </si>
  <si>
    <t>ARHGAP25</t>
  </si>
  <si>
    <t>STIM2</t>
  </si>
  <si>
    <t>NDFIP2</t>
  </si>
  <si>
    <t>MFN1</t>
  </si>
  <si>
    <t>GK5</t>
  </si>
  <si>
    <t>PARP14</t>
  </si>
  <si>
    <t>HEATR5A</t>
  </si>
  <si>
    <t>EFR3A</t>
  </si>
  <si>
    <t>MICU1</t>
  </si>
  <si>
    <t>SLC25A52</t>
  </si>
  <si>
    <t>SMG1</t>
  </si>
  <si>
    <t>MRPS17</t>
  </si>
  <si>
    <t>SOGA1</t>
  </si>
  <si>
    <t>GOSR2</t>
  </si>
  <si>
    <t>RNF167</t>
  </si>
  <si>
    <t>NSF</t>
  </si>
  <si>
    <t>MAPT</t>
  </si>
  <si>
    <t>DPH1</t>
  </si>
  <si>
    <t>MYBBP1A</t>
  </si>
  <si>
    <t>SLC25A11</t>
  </si>
  <si>
    <t>BCL7C</t>
  </si>
  <si>
    <t>ELP5</t>
  </si>
  <si>
    <t>CLUH</t>
  </si>
  <si>
    <t>CIC</t>
  </si>
  <si>
    <t>FAM195B</t>
  </si>
  <si>
    <t>PCTP</t>
  </si>
  <si>
    <t>TOM1L1</t>
  </si>
  <si>
    <t>PELP1</t>
  </si>
  <si>
    <t>RPS15A</t>
  </si>
  <si>
    <t>CCNE1</t>
  </si>
  <si>
    <t>ATPAF1</t>
  </si>
  <si>
    <t>SIRT7</t>
  </si>
  <si>
    <t>SERPINF1</t>
  </si>
  <si>
    <t>ABCC1</t>
  </si>
  <si>
    <t>GPS2</t>
  </si>
  <si>
    <t>PLSCR3</t>
  </si>
  <si>
    <t>RBBP8</t>
  </si>
  <si>
    <t>UBR5</t>
  </si>
  <si>
    <t>CACTIN</t>
  </si>
  <si>
    <t>SMARCD2</t>
  </si>
  <si>
    <t>NPC2</t>
  </si>
  <si>
    <t>INTS2</t>
  </si>
  <si>
    <t>DPF2</t>
  </si>
  <si>
    <t>LDLR</t>
  </si>
  <si>
    <t>MLLT4</t>
  </si>
  <si>
    <t>PI4KA</t>
  </si>
  <si>
    <t>KIAA0368</t>
  </si>
  <si>
    <t>FBRSL1</t>
  </si>
  <si>
    <t>PSMD9</t>
  </si>
  <si>
    <t>OBSL1</t>
  </si>
  <si>
    <t>BNIP2</t>
  </si>
  <si>
    <t>NCEH1</t>
  </si>
  <si>
    <t>APIP</t>
  </si>
  <si>
    <t>OXA1L</t>
  </si>
  <si>
    <t>MAP3K4</t>
  </si>
  <si>
    <t>NDST2</t>
  </si>
  <si>
    <t>SAAL1</t>
  </si>
  <si>
    <t>RGPD3</t>
  </si>
  <si>
    <t>CCS</t>
  </si>
  <si>
    <t>CEP290</t>
  </si>
  <si>
    <t>COG4</t>
  </si>
  <si>
    <t>CHID1</t>
  </si>
  <si>
    <t>SEC16A</t>
  </si>
  <si>
    <t>DDX41</t>
  </si>
  <si>
    <t>BRAP</t>
  </si>
  <si>
    <t>SEMA4B</t>
  </si>
  <si>
    <t>MARK3</t>
  </si>
  <si>
    <t>PTDSS1</t>
  </si>
  <si>
    <t>ZNF385A</t>
  </si>
  <si>
    <t>ALDH6A1</t>
  </si>
  <si>
    <t>FCHO2</t>
  </si>
  <si>
    <t>FHL2</t>
  </si>
  <si>
    <t>CCDC41</t>
  </si>
  <si>
    <t>MYO18A</t>
  </si>
  <si>
    <t>RGPD4</t>
  </si>
  <si>
    <t>FBRS</t>
  </si>
  <si>
    <t>SRSF2</t>
  </si>
  <si>
    <t>NTRK1</t>
  </si>
  <si>
    <t>PTPRA</t>
  </si>
  <si>
    <t>TRAPPC4</t>
  </si>
  <si>
    <t>FAM21C</t>
  </si>
  <si>
    <t>PHACTR2</t>
  </si>
  <si>
    <t>RAP1GAP</t>
  </si>
  <si>
    <t>RBM7</t>
  </si>
  <si>
    <t>HECTD4</t>
  </si>
  <si>
    <t>KIF3A</t>
  </si>
  <si>
    <t>CAMKK1</t>
  </si>
  <si>
    <t>SYNJ1</t>
  </si>
  <si>
    <t>KDM1B</t>
  </si>
  <si>
    <t>TESC</t>
  </si>
  <si>
    <t>ARRB1</t>
  </si>
  <si>
    <t>DNAJB12</t>
  </si>
  <si>
    <t>TRABD</t>
  </si>
  <si>
    <t>MPST</t>
  </si>
  <si>
    <t>HDAC2</t>
  </si>
  <si>
    <t>PHB2</t>
  </si>
  <si>
    <t>MAP1A</t>
  </si>
  <si>
    <t>ANTXR2</t>
  </si>
  <si>
    <t>RFXANK</t>
  </si>
  <si>
    <t>OLA1</t>
  </si>
  <si>
    <t>COPS7B</t>
  </si>
  <si>
    <t>TGOLN2</t>
  </si>
  <si>
    <t>PTRH2</t>
  </si>
  <si>
    <t>FBXO6</t>
  </si>
  <si>
    <t>FKBP8</t>
  </si>
  <si>
    <t>C6orf203</t>
  </si>
  <si>
    <t>C6orf120</t>
  </si>
  <si>
    <t>THUMPD1</t>
  </si>
  <si>
    <t>GBA</t>
  </si>
  <si>
    <t>VWDE</t>
  </si>
  <si>
    <t>APOL2</t>
  </si>
  <si>
    <t>CDC7</t>
  </si>
  <si>
    <t>BABAM1</t>
  </si>
  <si>
    <t>EPHB6</t>
  </si>
  <si>
    <t>AP1G1</t>
  </si>
  <si>
    <t>RGP1</t>
  </si>
  <si>
    <t>CCDC12</t>
  </si>
  <si>
    <t>PTPN7</t>
  </si>
  <si>
    <t>SEPHS2</t>
  </si>
  <si>
    <t>TBCD</t>
  </si>
  <si>
    <t>C16orf55</t>
  </si>
  <si>
    <t>MAP3K3</t>
  </si>
  <si>
    <t>SS18</t>
  </si>
  <si>
    <t>PIGL</t>
  </si>
  <si>
    <t>TMEM199</t>
  </si>
  <si>
    <t>DDX5</t>
  </si>
  <si>
    <t>CBX1</t>
  </si>
  <si>
    <t>AMZ2</t>
  </si>
  <si>
    <t>GGA3</t>
  </si>
  <si>
    <t>MPRIP</t>
  </si>
  <si>
    <t>NT5C</t>
  </si>
  <si>
    <t>HN1</t>
  </si>
  <si>
    <t>TMEM97</t>
  </si>
  <si>
    <t>FBXL20</t>
  </si>
  <si>
    <t>MED9</t>
  </si>
  <si>
    <t>SRSF1</t>
  </si>
  <si>
    <t>CHERP</t>
  </si>
  <si>
    <t>PSMB3</t>
  </si>
  <si>
    <t>ICAM2</t>
  </si>
  <si>
    <t>SCO1</t>
  </si>
  <si>
    <t>SCRN2</t>
  </si>
  <si>
    <t>SLC39A11</t>
  </si>
  <si>
    <t>FLOT2</t>
  </si>
  <si>
    <t>UBBP4</t>
  </si>
  <si>
    <t>MRPS7</t>
  </si>
  <si>
    <t>SAP30BP</t>
  </si>
  <si>
    <t>TRAPPC8</t>
  </si>
  <si>
    <t>RPL17</t>
  </si>
  <si>
    <t>SUZ12</t>
  </si>
  <si>
    <t>FDXR</t>
  </si>
  <si>
    <t>MSL1</t>
  </si>
  <si>
    <t>RPL19</t>
  </si>
  <si>
    <t>CDK11B</t>
  </si>
  <si>
    <t>STRA13</t>
  </si>
  <si>
    <t>MTMR4</t>
  </si>
  <si>
    <t>ORMDL3</t>
  </si>
  <si>
    <t>MYL12A</t>
  </si>
  <si>
    <t>ZNF207</t>
  </si>
  <si>
    <t>YES1</t>
  </si>
  <si>
    <t>VAMP2</t>
  </si>
  <si>
    <t>GIT1</t>
  </si>
  <si>
    <t>LLGL2</t>
  </si>
  <si>
    <t>COPRS</t>
  </si>
  <si>
    <t>HELZ</t>
  </si>
  <si>
    <t>RSL1D1</t>
  </si>
  <si>
    <t>HYPK</t>
  </si>
  <si>
    <t>CRBN</t>
  </si>
  <si>
    <t>C17orf75</t>
  </si>
  <si>
    <t>LMNB2</t>
  </si>
  <si>
    <t>TMCO1</t>
  </si>
  <si>
    <t>SHPRH</t>
  </si>
  <si>
    <t>YIPF2</t>
  </si>
  <si>
    <t>SMAD4</t>
  </si>
  <si>
    <t>FAM32A</t>
  </si>
  <si>
    <t>SEC14L1</t>
  </si>
  <si>
    <t>RPS15</t>
  </si>
  <si>
    <t>CALR</t>
  </si>
  <si>
    <t>SPC24</t>
  </si>
  <si>
    <t>AP1M1</t>
  </si>
  <si>
    <t>SEC11C</t>
  </si>
  <si>
    <t>FAM210A</t>
  </si>
  <si>
    <t>H3F3B</t>
  </si>
  <si>
    <t>STAT5A</t>
  </si>
  <si>
    <t>LIN37</t>
  </si>
  <si>
    <t>LONP1</t>
  </si>
  <si>
    <t>ATXN7L3</t>
  </si>
  <si>
    <t>MRPL4</t>
  </si>
  <si>
    <t>POLRMT</t>
  </si>
  <si>
    <t>TMUB2</t>
  </si>
  <si>
    <t>LINC00493</t>
  </si>
  <si>
    <t>CDC37</t>
  </si>
  <si>
    <t>PPP1R12C</t>
  </si>
  <si>
    <t>AES</t>
  </si>
  <si>
    <t>R3HDM4</t>
  </si>
  <si>
    <t>PRKCSH</t>
  </si>
  <si>
    <t>DNAH17</t>
  </si>
  <si>
    <t>EPS8L1</t>
  </si>
  <si>
    <t>PTBP1</t>
  </si>
  <si>
    <t>STX10</t>
  </si>
  <si>
    <t>KATNAL2</t>
  </si>
  <si>
    <t>TMEM205</t>
  </si>
  <si>
    <t>C19orf66</t>
  </si>
  <si>
    <t>SLC25A39</t>
  </si>
  <si>
    <t>ELOF1</t>
  </si>
  <si>
    <t>hCG_2039718</t>
  </si>
  <si>
    <t>NARS</t>
  </si>
  <si>
    <t>C18orf8</t>
  </si>
  <si>
    <t>ATP5SL</t>
  </si>
  <si>
    <t>UBXN6</t>
  </si>
  <si>
    <t>MGRN1</t>
  </si>
  <si>
    <t>TMEM161A</t>
  </si>
  <si>
    <t>UNC13D</t>
  </si>
  <si>
    <t>NDUFA11</t>
  </si>
  <si>
    <t>LIG3</t>
  </si>
  <si>
    <t>FAM98C</t>
  </si>
  <si>
    <t>FZR1</t>
  </si>
  <si>
    <t>POP4</t>
  </si>
  <si>
    <t>TPM4</t>
  </si>
  <si>
    <t>MXRA7</t>
  </si>
  <si>
    <t>FARSA</t>
  </si>
  <si>
    <t>ERCC1</t>
  </si>
  <si>
    <t>EIF3K</t>
  </si>
  <si>
    <t>NLRP7</t>
  </si>
  <si>
    <t>PLEKHJ1</t>
  </si>
  <si>
    <t>APOC1</t>
  </si>
  <si>
    <t>YIF1B</t>
  </si>
  <si>
    <t>TK1</t>
  </si>
  <si>
    <t>BLMH</t>
  </si>
  <si>
    <t>UBE2O</t>
  </si>
  <si>
    <t>FAM86A</t>
  </si>
  <si>
    <t>RAD23A</t>
  </si>
  <si>
    <t>DCAKD</t>
  </si>
  <si>
    <t>SARS2</t>
  </si>
  <si>
    <t>PAF1</t>
  </si>
  <si>
    <t>WIZ</t>
  </si>
  <si>
    <t>COPE</t>
  </si>
  <si>
    <t>GMFG</t>
  </si>
  <si>
    <t>MCOLN1</t>
  </si>
  <si>
    <t>FBL</t>
  </si>
  <si>
    <t>USF2</t>
  </si>
  <si>
    <t>ZNF428</t>
  </si>
  <si>
    <t>EPS15L1</t>
  </si>
  <si>
    <t>ZC3H4</t>
  </si>
  <si>
    <t>C19orf60</t>
  </si>
  <si>
    <t>TUBB4A</t>
  </si>
  <si>
    <t>RPL13A</t>
  </si>
  <si>
    <t>SIRT6</t>
  </si>
  <si>
    <t>GRAMD1A</t>
  </si>
  <si>
    <t>SAMD4B</t>
  </si>
  <si>
    <t>HRC</t>
  </si>
  <si>
    <t>FCHO1</t>
  </si>
  <si>
    <t>HNRNPM</t>
  </si>
  <si>
    <t>SPHK2</t>
  </si>
  <si>
    <t>ARHGEF1</t>
  </si>
  <si>
    <t>PRKD2</t>
  </si>
  <si>
    <t>KXD1</t>
  </si>
  <si>
    <t>RPS5</t>
  </si>
  <si>
    <t>AP2S1</t>
  </si>
  <si>
    <t>PLEKHA4</t>
  </si>
  <si>
    <t>KCNN4</t>
  </si>
  <si>
    <t>EMC10</t>
  </si>
  <si>
    <t>POLD1</t>
  </si>
  <si>
    <t>MYO9B</t>
  </si>
  <si>
    <t>RABAC1</t>
  </si>
  <si>
    <t>AGPS</t>
  </si>
  <si>
    <t>UBXN8</t>
  </si>
  <si>
    <t>KIF2A</t>
  </si>
  <si>
    <t>DDX39A</t>
  </si>
  <si>
    <t>PDLIM1</t>
  </si>
  <si>
    <t>ACOT7</t>
  </si>
  <si>
    <t>MYO1C</t>
  </si>
  <si>
    <t>SNAP23</t>
  </si>
  <si>
    <t>HAX1</t>
  </si>
  <si>
    <t>AIP</t>
  </si>
  <si>
    <t>GTPBP1</t>
  </si>
  <si>
    <t>KCNK1</t>
  </si>
  <si>
    <t>STXBP3</t>
  </si>
  <si>
    <t>AP3B1</t>
  </si>
  <si>
    <t>LGALS8</t>
  </si>
  <si>
    <t>NDUFS8</t>
  </si>
  <si>
    <t>TNFRSF10A</t>
  </si>
  <si>
    <t>NFKBIE</t>
  </si>
  <si>
    <t>PSMD11</t>
  </si>
  <si>
    <t>PSMD12</t>
  </si>
  <si>
    <t>ATOX1</t>
  </si>
  <si>
    <t>PGRMC1</t>
  </si>
  <si>
    <t>SUPT5H</t>
  </si>
  <si>
    <t>DFFA</t>
  </si>
  <si>
    <t>RFXAP</t>
  </si>
  <si>
    <t>HIP1</t>
  </si>
  <si>
    <t>CLIC1</t>
  </si>
  <si>
    <t>WWP2</t>
  </si>
  <si>
    <t>PTGER3</t>
  </si>
  <si>
    <t>DCTN6</t>
  </si>
  <si>
    <t>SLC33A1</t>
  </si>
  <si>
    <t>WASL</t>
  </si>
  <si>
    <t>IPO5</t>
  </si>
  <si>
    <t>EEF2K</t>
  </si>
  <si>
    <t>SAP18</t>
  </si>
  <si>
    <t>IGF2BP3</t>
  </si>
  <si>
    <t>DNM1L</t>
  </si>
  <si>
    <t>RTCA</t>
  </si>
  <si>
    <t>PIK3R2</t>
  </si>
  <si>
    <t>GOLIM4</t>
  </si>
  <si>
    <t>MANBA</t>
  </si>
  <si>
    <t>AGRN</t>
  </si>
  <si>
    <t>EXOC5</t>
  </si>
  <si>
    <t>HMGN4</t>
  </si>
  <si>
    <t>NDUFA4</t>
  </si>
  <si>
    <t>PSMD14</t>
  </si>
  <si>
    <t>ZNF593</t>
  </si>
  <si>
    <t>KPNA3</t>
  </si>
  <si>
    <t>STK25</t>
  </si>
  <si>
    <t>BCL9</t>
  </si>
  <si>
    <t>KRIT1</t>
  </si>
  <si>
    <t>PITPNM1</t>
  </si>
  <si>
    <t>MPHOSPH10</t>
  </si>
  <si>
    <t>NOP56</t>
  </si>
  <si>
    <t>DDX3X</t>
  </si>
  <si>
    <t>PIR</t>
  </si>
  <si>
    <t>KPNA4</t>
  </si>
  <si>
    <t>TRIM38</t>
  </si>
  <si>
    <t>PPP6C</t>
  </si>
  <si>
    <t>CES2</t>
  </si>
  <si>
    <t>MAN2B1</t>
  </si>
  <si>
    <t>PDXK</t>
  </si>
  <si>
    <t>SCD</t>
  </si>
  <si>
    <t>ARID1A</t>
  </si>
  <si>
    <t>BHLHE40</t>
  </si>
  <si>
    <t>SOCS2</t>
  </si>
  <si>
    <t>CDK2AP1</t>
  </si>
  <si>
    <t>C2CD2L</t>
  </si>
  <si>
    <t>TMEM194A</t>
  </si>
  <si>
    <t>TRAFD1</t>
  </si>
  <si>
    <t>COX7A2L</t>
  </si>
  <si>
    <t>NDUFAB1</t>
  </si>
  <si>
    <t>CIT</t>
  </si>
  <si>
    <t>CDC42EP2</t>
  </si>
  <si>
    <t>AP3D1</t>
  </si>
  <si>
    <t>CHD1</t>
  </si>
  <si>
    <t>TOR1A</t>
  </si>
  <si>
    <t>TOR1B</t>
  </si>
  <si>
    <t>STX16</t>
  </si>
  <si>
    <t>ADAM10</t>
  </si>
  <si>
    <t>MLL2</t>
  </si>
  <si>
    <t>MAP2K7</t>
  </si>
  <si>
    <t>ACOT8</t>
  </si>
  <si>
    <t>PDCD5</t>
  </si>
  <si>
    <t>PRMT5</t>
  </si>
  <si>
    <t>SLC9A3R1</t>
  </si>
  <si>
    <t>CHEK1</t>
  </si>
  <si>
    <t>TNFRSF10B</t>
  </si>
  <si>
    <t>FPGT</t>
  </si>
  <si>
    <t>TPP1</t>
  </si>
  <si>
    <t>TCERG1</t>
  </si>
  <si>
    <t>NDC80</t>
  </si>
  <si>
    <t>TNPO2</t>
  </si>
  <si>
    <t>POLR3A</t>
  </si>
  <si>
    <t>PSMA7</t>
  </si>
  <si>
    <t>SCAMP3</t>
  </si>
  <si>
    <t>OPLAH</t>
  </si>
  <si>
    <t>BACH1</t>
  </si>
  <si>
    <t>GEMIN2</t>
  </si>
  <si>
    <t>GIPC1</t>
  </si>
  <si>
    <t>IKBKB</t>
  </si>
  <si>
    <t>TIMM23</t>
  </si>
  <si>
    <t>HAT1</t>
  </si>
  <si>
    <t>UBE2L6</t>
  </si>
  <si>
    <t>UQCRQ</t>
  </si>
  <si>
    <t>HGS</t>
  </si>
  <si>
    <t>AURKA</t>
  </si>
  <si>
    <t>PPP1R12A</t>
  </si>
  <si>
    <t>SLC27A2</t>
  </si>
  <si>
    <t>GAK</t>
  </si>
  <si>
    <t>HNRPDL</t>
  </si>
  <si>
    <t>XPO1</t>
  </si>
  <si>
    <t>BTAF1</t>
  </si>
  <si>
    <t>ZNF609</t>
  </si>
  <si>
    <t>SPTBN2</t>
  </si>
  <si>
    <t>PLXNB2</t>
  </si>
  <si>
    <t>KHNYN</t>
  </si>
  <si>
    <t>SETD1A</t>
  </si>
  <si>
    <t>SYNJ2</t>
  </si>
  <si>
    <t>KIF3B</t>
  </si>
  <si>
    <t>PFAS</t>
  </si>
  <si>
    <t>ANKRD28</t>
  </si>
  <si>
    <t>ARHGEF11</t>
  </si>
  <si>
    <t>KIAA0391</t>
  </si>
  <si>
    <t>CHUK</t>
  </si>
  <si>
    <t>LSM1</t>
  </si>
  <si>
    <t>NPC1</t>
  </si>
  <si>
    <t>AGPAT2</t>
  </si>
  <si>
    <t>DEGS1</t>
  </si>
  <si>
    <t>SCAMP1</t>
  </si>
  <si>
    <t>SCAMP2</t>
  </si>
  <si>
    <t>ARPC1B</t>
  </si>
  <si>
    <t>ARPC2</t>
  </si>
  <si>
    <t>ARPC3</t>
  </si>
  <si>
    <t>ZBTB7B</t>
  </si>
  <si>
    <t>POLR1C</t>
  </si>
  <si>
    <t>TRIM24</t>
  </si>
  <si>
    <t>AXIN1</t>
  </si>
  <si>
    <t>PGRMC2</t>
  </si>
  <si>
    <t>PFDN6</t>
  </si>
  <si>
    <t>NKRF</t>
  </si>
  <si>
    <t>GNPAT</t>
  </si>
  <si>
    <t>CASC3</t>
  </si>
  <si>
    <t>MRPS12</t>
  </si>
  <si>
    <t>VGF</t>
  </si>
  <si>
    <t>CLIC2</t>
  </si>
  <si>
    <t>RER1</t>
  </si>
  <si>
    <t>SPTLC1</t>
  </si>
  <si>
    <t>SPTLC2</t>
  </si>
  <si>
    <t>OGT</t>
  </si>
  <si>
    <t>PMM2</t>
  </si>
  <si>
    <t>HMGB3</t>
  </si>
  <si>
    <t>PPM1G</t>
  </si>
  <si>
    <t>INPPL1</t>
  </si>
  <si>
    <t>HDAC3</t>
  </si>
  <si>
    <t>NVL</t>
  </si>
  <si>
    <t>BCAT2</t>
  </si>
  <si>
    <t>YY2</t>
  </si>
  <si>
    <t>IPO8</t>
  </si>
  <si>
    <t>STX7</t>
  </si>
  <si>
    <t>ABCC4</t>
  </si>
  <si>
    <t>CD3EAP</t>
  </si>
  <si>
    <t>NBR2</t>
  </si>
  <si>
    <t>P4HA2</t>
  </si>
  <si>
    <t>MAGEB2</t>
  </si>
  <si>
    <t>YKT6</t>
  </si>
  <si>
    <t>ARPC5</t>
  </si>
  <si>
    <t>POLR2D</t>
  </si>
  <si>
    <t>RNF113A</t>
  </si>
  <si>
    <t>DHX15</t>
  </si>
  <si>
    <t>RNMT</t>
  </si>
  <si>
    <t>ZZEF1</t>
  </si>
  <si>
    <t>TTI1</t>
  </si>
  <si>
    <t>PJA2</t>
  </si>
  <si>
    <t>PRPF4</t>
  </si>
  <si>
    <t>PHGDH</t>
  </si>
  <si>
    <t>NDUFS4</t>
  </si>
  <si>
    <t>ARHGAP6</t>
  </si>
  <si>
    <t>DYNC1LI2</t>
  </si>
  <si>
    <t>PSMD3</t>
  </si>
  <si>
    <t>PAPSS1</t>
  </si>
  <si>
    <t>ZNHIT1</t>
  </si>
  <si>
    <t>ZW10</t>
  </si>
  <si>
    <t>SART1</t>
  </si>
  <si>
    <t>DAPK3</t>
  </si>
  <si>
    <t>AP5Z1</t>
  </si>
  <si>
    <t>CTIF</t>
  </si>
  <si>
    <t>MAP3K7</t>
  </si>
  <si>
    <t>RIPK2</t>
  </si>
  <si>
    <t>WDR62</t>
  </si>
  <si>
    <t>HNRNPR</t>
  </si>
  <si>
    <t>PRPF3</t>
  </si>
  <si>
    <t>TXNL1</t>
  </si>
  <si>
    <t>TPD52L2</t>
  </si>
  <si>
    <t>EMC8</t>
  </si>
  <si>
    <t>PRKRIR</t>
  </si>
  <si>
    <t>TBX1</t>
  </si>
  <si>
    <t>PPIH</t>
  </si>
  <si>
    <t>HTRA2</t>
  </si>
  <si>
    <t>OIP5</t>
  </si>
  <si>
    <t>EPB41L2</t>
  </si>
  <si>
    <t>RAD51C</t>
  </si>
  <si>
    <t>LAMTOR5</t>
  </si>
  <si>
    <t>MED7</t>
  </si>
  <si>
    <t>WIPF1</t>
  </si>
  <si>
    <t>BCL2L11</t>
  </si>
  <si>
    <t>DENR</t>
  </si>
  <si>
    <t>XPOT</t>
  </si>
  <si>
    <t>TIMM44</t>
  </si>
  <si>
    <t>TRAPPC3</t>
  </si>
  <si>
    <t>CHMP2A</t>
  </si>
  <si>
    <t>NCK2</t>
  </si>
  <si>
    <t>PRC1</t>
  </si>
  <si>
    <t>RGS10</t>
  </si>
  <si>
    <t>NDUFC1</t>
  </si>
  <si>
    <t>NDUFA2</t>
  </si>
  <si>
    <t>ASNA1</t>
  </si>
  <si>
    <t>BUB3</t>
  </si>
  <si>
    <t>ACTN4</t>
  </si>
  <si>
    <t>WBSCR22</t>
  </si>
  <si>
    <t>TRIAP1</t>
  </si>
  <si>
    <t>HTATSF1</t>
  </si>
  <si>
    <t>TRAF3IP2</t>
  </si>
  <si>
    <t>ITM2A</t>
  </si>
  <si>
    <t>STX6</t>
  </si>
  <si>
    <t>SYNGR2</t>
  </si>
  <si>
    <t>SGTA</t>
  </si>
  <si>
    <t>LIAS</t>
  </si>
  <si>
    <t>ENSA</t>
  </si>
  <si>
    <t>SLC25A20</t>
  </si>
  <si>
    <t>SSNA1</t>
  </si>
  <si>
    <t>LANCL1</t>
  </si>
  <si>
    <t>STRN</t>
  </si>
  <si>
    <t>RRP9</t>
  </si>
  <si>
    <t>SCO2</t>
  </si>
  <si>
    <t>HYAL3</t>
  </si>
  <si>
    <t>AKAP8</t>
  </si>
  <si>
    <t>GTPBP6</t>
  </si>
  <si>
    <t>SLC37A4</t>
  </si>
  <si>
    <t>ZBTB14</t>
  </si>
  <si>
    <t>IDH3B</t>
  </si>
  <si>
    <t>CALU</t>
  </si>
  <si>
    <t>AHCYL1</t>
  </si>
  <si>
    <t>KIF1C</t>
  </si>
  <si>
    <t>ORC5</t>
  </si>
  <si>
    <t>NDUFS5</t>
  </si>
  <si>
    <t>PDE6D</t>
  </si>
  <si>
    <t>PRKY</t>
  </si>
  <si>
    <t>PEX1</t>
  </si>
  <si>
    <t>RAD21</t>
  </si>
  <si>
    <t>TIMM8A</t>
  </si>
  <si>
    <t>DHX16</t>
  </si>
  <si>
    <t>SH3BP5</t>
  </si>
  <si>
    <t>MED14</t>
  </si>
  <si>
    <t>PRPSAP2</t>
  </si>
  <si>
    <t>SMARCA5</t>
  </si>
  <si>
    <t>SPAG9</t>
  </si>
  <si>
    <t>ZFC3H1</t>
  </si>
  <si>
    <t>LCMT2</t>
  </si>
  <si>
    <t>AQR</t>
  </si>
  <si>
    <t>MAST3</t>
  </si>
  <si>
    <t>OPA1</t>
  </si>
  <si>
    <t>ZEB2</t>
  </si>
  <si>
    <t>KIF1B</t>
  </si>
  <si>
    <t>MARCH6</t>
  </si>
  <si>
    <t>KDM1A</t>
  </si>
  <si>
    <t>TBC1D4</t>
  </si>
  <si>
    <t>ECE2</t>
  </si>
  <si>
    <t>FADS1</t>
  </si>
  <si>
    <t>MAN1A2</t>
  </si>
  <si>
    <t>ACSL4</t>
  </si>
  <si>
    <t>SNX3</t>
  </si>
  <si>
    <t>MGEA5</t>
  </si>
  <si>
    <t>SYNCRIP</t>
  </si>
  <si>
    <t>B4GALT3</t>
  </si>
  <si>
    <t>RANBP6</t>
  </si>
  <si>
    <t>NEMF</t>
  </si>
  <si>
    <t>GMDS</t>
  </si>
  <si>
    <t>CCNT1</t>
  </si>
  <si>
    <t>BUB1B</t>
  </si>
  <si>
    <t>PLOD3</t>
  </si>
  <si>
    <t>CCNT2</t>
  </si>
  <si>
    <t>SEP15</t>
  </si>
  <si>
    <t>EXOC3</t>
  </si>
  <si>
    <t>PLIN3</t>
  </si>
  <si>
    <t>RAD1</t>
  </si>
  <si>
    <t>PRMT3</t>
  </si>
  <si>
    <t>UGDH</t>
  </si>
  <si>
    <t>TPST2</t>
  </si>
  <si>
    <t>CTNND1</t>
  </si>
  <si>
    <t>MAGEC1</t>
  </si>
  <si>
    <t>EIF1B</t>
  </si>
  <si>
    <t>SNX2</t>
  </si>
  <si>
    <t>USO1</t>
  </si>
  <si>
    <t>CCDC22</t>
  </si>
  <si>
    <t>PQBP1</t>
  </si>
  <si>
    <t>PAGE4</t>
  </si>
  <si>
    <t>TIMM17B</t>
  </si>
  <si>
    <t>DKC1</t>
  </si>
  <si>
    <t>EIF5B</t>
  </si>
  <si>
    <t>EDF1</t>
  </si>
  <si>
    <t>KIN</t>
  </si>
  <si>
    <t>DNAJA2</t>
  </si>
  <si>
    <t>BRD4</t>
  </si>
  <si>
    <t>CUTA</t>
  </si>
  <si>
    <t>SMPD2</t>
  </si>
  <si>
    <t>TBL1X</t>
  </si>
  <si>
    <t>CTSL2</t>
  </si>
  <si>
    <t>PFDN1</t>
  </si>
  <si>
    <t>PPP1R11</t>
  </si>
  <si>
    <t>RNASEH1</t>
  </si>
  <si>
    <t>NBN</t>
  </si>
  <si>
    <t>RNGTT</t>
  </si>
  <si>
    <t>ABCB7</t>
  </si>
  <si>
    <t>SRGAP2</t>
  </si>
  <si>
    <t>IGSF3</t>
  </si>
  <si>
    <t>DNAJC6</t>
  </si>
  <si>
    <t>FAM20B</t>
  </si>
  <si>
    <t>WDR1</t>
  </si>
  <si>
    <t>N4BP1</t>
  </si>
  <si>
    <t>ROCK2</t>
  </si>
  <si>
    <t>CPNE3</t>
  </si>
  <si>
    <t>ATG13</t>
  </si>
  <si>
    <t>PPFIA3</t>
  </si>
  <si>
    <t>HIP1R</t>
  </si>
  <si>
    <t>RNF40</t>
  </si>
  <si>
    <t>ZC3H11A</t>
  </si>
  <si>
    <t>CAND2</t>
  </si>
  <si>
    <t>TSC22D2</t>
  </si>
  <si>
    <t>DNAJC13</t>
  </si>
  <si>
    <t>PPP6R2</t>
  </si>
  <si>
    <t>CNOT3</t>
  </si>
  <si>
    <t>ANKRD17</t>
  </si>
  <si>
    <t>XYLB</t>
  </si>
  <si>
    <t>COQ9</t>
  </si>
  <si>
    <t>GGCT</t>
  </si>
  <si>
    <t>NDUFS2</t>
  </si>
  <si>
    <t>ZNF259</t>
  </si>
  <si>
    <t>GBAS</t>
  </si>
  <si>
    <t>HMMR</t>
  </si>
  <si>
    <t>PDCD6</t>
  </si>
  <si>
    <t>TBCA</t>
  </si>
  <si>
    <t>ATP6V1G1</t>
  </si>
  <si>
    <t>VPS4B</t>
  </si>
  <si>
    <t>ZNF217</t>
  </si>
  <si>
    <t>PTP4A3</t>
  </si>
  <si>
    <t>SH3BGRL</t>
  </si>
  <si>
    <t>FLNB</t>
  </si>
  <si>
    <t>NCOR1</t>
  </si>
  <si>
    <t>VAMP4</t>
  </si>
  <si>
    <t>NDUFS6</t>
  </si>
  <si>
    <t>PEX14</t>
  </si>
  <si>
    <t>TULP3</t>
  </si>
  <si>
    <t>SLC43A1</t>
  </si>
  <si>
    <t>SPAG7</t>
  </si>
  <si>
    <t>SEC22B</t>
  </si>
  <si>
    <t>PRPF40A</t>
  </si>
  <si>
    <t>CDC45</t>
  </si>
  <si>
    <t>GIGYF1</t>
  </si>
  <si>
    <t>LRCH4</t>
  </si>
  <si>
    <t>VPS26A</t>
  </si>
  <si>
    <t>NDUFB1</t>
  </si>
  <si>
    <t>PMPCB</t>
  </si>
  <si>
    <t>SAP30</t>
  </si>
  <si>
    <t>KATNA1</t>
  </si>
  <si>
    <t>RDH16</t>
  </si>
  <si>
    <t>PAGE1</t>
  </si>
  <si>
    <t>PSIP1</t>
  </si>
  <si>
    <t>ERLIN1</t>
  </si>
  <si>
    <t>NDUFS3</t>
  </si>
  <si>
    <t>CLN5</t>
  </si>
  <si>
    <t>HSBP1</t>
  </si>
  <si>
    <t>ECI2</t>
  </si>
  <si>
    <t>TADA3</t>
  </si>
  <si>
    <t>EED</t>
  </si>
  <si>
    <t>BANF1</t>
  </si>
  <si>
    <t>SF3B1</t>
  </si>
  <si>
    <t>CSDE1</t>
  </si>
  <si>
    <t>WBP4</t>
  </si>
  <si>
    <t>MTRF1</t>
  </si>
  <si>
    <t>GCAT</t>
  </si>
  <si>
    <t>NPM3</t>
  </si>
  <si>
    <t>LYPLA1</t>
  </si>
  <si>
    <t>ERAL1</t>
  </si>
  <si>
    <t>CREG1</t>
  </si>
  <si>
    <t>SERPINB7</t>
  </si>
  <si>
    <t>SNRNP200</t>
  </si>
  <si>
    <t>TRMU</t>
  </si>
  <si>
    <t>TIPRL</t>
  </si>
  <si>
    <t>PPM1B</t>
  </si>
  <si>
    <t>UTP20</t>
  </si>
  <si>
    <t>RP2</t>
  </si>
  <si>
    <t>WDHD1</t>
  </si>
  <si>
    <t>SLC25A12</t>
  </si>
  <si>
    <t>PALM</t>
  </si>
  <si>
    <t>GRAP2</t>
  </si>
  <si>
    <t>RNASEH2A</t>
  </si>
  <si>
    <t>CDC123</t>
  </si>
  <si>
    <t>RPP40</t>
  </si>
  <si>
    <t>EIF3G</t>
  </si>
  <si>
    <t>EIF3J</t>
  </si>
  <si>
    <t>CBR3</t>
  </si>
  <si>
    <t>ZMPSTE24</t>
  </si>
  <si>
    <t>IDH1</t>
  </si>
  <si>
    <t>ATRN</t>
  </si>
  <si>
    <t>STAM2</t>
  </si>
  <si>
    <t>TUSC2</t>
  </si>
  <si>
    <t>CCNK</t>
  </si>
  <si>
    <t>DHRS3</t>
  </si>
  <si>
    <t>ARL6IP5</t>
  </si>
  <si>
    <t>DYSF</t>
  </si>
  <si>
    <t>PIAS2</t>
  </si>
  <si>
    <t>BCAS2</t>
  </si>
  <si>
    <t>DCTN3</t>
  </si>
  <si>
    <t>DNAJC8</t>
  </si>
  <si>
    <t>SMNDC1</t>
  </si>
  <si>
    <t>RAD17</t>
  </si>
  <si>
    <t>ATP5H</t>
  </si>
  <si>
    <t>FLOT1</t>
  </si>
  <si>
    <t>ATP5L</t>
  </si>
  <si>
    <t>CPD</t>
  </si>
  <si>
    <t>GLRX3</t>
  </si>
  <si>
    <t>CLPX</t>
  </si>
  <si>
    <t>NEBL</t>
  </si>
  <si>
    <t>SNCG</t>
  </si>
  <si>
    <t>CIAO1</t>
  </si>
  <si>
    <t>DFFB</t>
  </si>
  <si>
    <t>ZFAND5</t>
  </si>
  <si>
    <t>SRP72</t>
  </si>
  <si>
    <t>JTB</t>
  </si>
  <si>
    <t>RECQL4</t>
  </si>
  <si>
    <t>RECQL5</t>
  </si>
  <si>
    <t>URI1</t>
  </si>
  <si>
    <t>B3GAT3</t>
  </si>
  <si>
    <t>MTA2</t>
  </si>
  <si>
    <t>USP1</t>
  </si>
  <si>
    <t>ALDH1A2</t>
  </si>
  <si>
    <t>STK10</t>
  </si>
  <si>
    <t>LTN1</t>
  </si>
  <si>
    <t>TOMM70A</t>
  </si>
  <si>
    <t>IPO13</t>
  </si>
  <si>
    <t>DDHD2</t>
  </si>
  <si>
    <t>MYO1D</t>
  </si>
  <si>
    <t>MICAL2</t>
  </si>
  <si>
    <t>KIAA0754</t>
  </si>
  <si>
    <t>SEC24D</t>
  </si>
  <si>
    <t>SUPT7L</t>
  </si>
  <si>
    <t>UFL1</t>
  </si>
  <si>
    <t>PHF14</t>
  </si>
  <si>
    <t>SASH1</t>
  </si>
  <si>
    <t>TMEM63A</t>
  </si>
  <si>
    <t>UBXN7</t>
  </si>
  <si>
    <t>KLHL18</t>
  </si>
  <si>
    <t>LRIG2</t>
  </si>
  <si>
    <t>PROSC</t>
  </si>
  <si>
    <t>ERLIN2</t>
  </si>
  <si>
    <t>PRPF6</t>
  </si>
  <si>
    <t>PCF11</t>
  </si>
  <si>
    <t>NFAT5</t>
  </si>
  <si>
    <t>ENDOD1</t>
  </si>
  <si>
    <t>GLS</t>
  </si>
  <si>
    <t>HAUS5</t>
  </si>
  <si>
    <t>UBOX5</t>
  </si>
  <si>
    <t>USP19</t>
  </si>
  <si>
    <t>AP2A2</t>
  </si>
  <si>
    <t>HEXIM1</t>
  </si>
  <si>
    <t>RPP14</t>
  </si>
  <si>
    <t>CCNB2</t>
  </si>
  <si>
    <t>AGFG2</t>
  </si>
  <si>
    <t>SCAF4</t>
  </si>
  <si>
    <t>NDUFB6</t>
  </si>
  <si>
    <t>MFN2</t>
  </si>
  <si>
    <t>ZFPL1</t>
  </si>
  <si>
    <t>IKBKAP</t>
  </si>
  <si>
    <t>NDUFA3</t>
  </si>
  <si>
    <t>NDUFB4</t>
  </si>
  <si>
    <t>NDUFA7</t>
  </si>
  <si>
    <t>RTN3</t>
  </si>
  <si>
    <t>LETM1</t>
  </si>
  <si>
    <t>ZRANB2</t>
  </si>
  <si>
    <t>SNX4</t>
  </si>
  <si>
    <t>ZWINT</t>
  </si>
  <si>
    <t>VENTX</t>
  </si>
  <si>
    <t>LUC7L3</t>
  </si>
  <si>
    <t>KIF4A</t>
  </si>
  <si>
    <t>KAT7</t>
  </si>
  <si>
    <t>CCNDBP1</t>
  </si>
  <si>
    <t>VAPB</t>
  </si>
  <si>
    <t>SNAPIN</t>
  </si>
  <si>
    <t>MPZL1</t>
  </si>
  <si>
    <t>NDUFC2</t>
  </si>
  <si>
    <t>FKBP9</t>
  </si>
  <si>
    <t>PGLS</t>
  </si>
  <si>
    <t>SMC2</t>
  </si>
  <si>
    <t>ATG7</t>
  </si>
  <si>
    <t>FARS2</t>
  </si>
  <si>
    <t>ZBTB7A</t>
  </si>
  <si>
    <t>LYPLA2</t>
  </si>
  <si>
    <t>IPO7</t>
  </si>
  <si>
    <t>ARIH2</t>
  </si>
  <si>
    <t>SLU7</t>
  </si>
  <si>
    <t>MOCS3</t>
  </si>
  <si>
    <t>CD2BP2</t>
  </si>
  <si>
    <t>MED26</t>
  </si>
  <si>
    <t>ZFYVE9</t>
  </si>
  <si>
    <t>BAG4</t>
  </si>
  <si>
    <t>AHSA1</t>
  </si>
  <si>
    <t>PARN</t>
  </si>
  <si>
    <t>TGDS</t>
  </si>
  <si>
    <t>PSMG1</t>
  </si>
  <si>
    <t>FMNL1</t>
  </si>
  <si>
    <t>SGPL1</t>
  </si>
  <si>
    <t>SEC24A</t>
  </si>
  <si>
    <t>SEC24B</t>
  </si>
  <si>
    <t>NADK</t>
  </si>
  <si>
    <t>TDP2</t>
  </si>
  <si>
    <t>ETHE1</t>
  </si>
  <si>
    <t>ACSL3</t>
  </si>
  <si>
    <t>POLR1A</t>
  </si>
  <si>
    <t>PCNT</t>
  </si>
  <si>
    <t>YEATS4</t>
  </si>
  <si>
    <t>DUS4L</t>
  </si>
  <si>
    <t>CNOT4</t>
  </si>
  <si>
    <t>STAMBP</t>
  </si>
  <si>
    <t>CPSF4</t>
  </si>
  <si>
    <t>ASMTL</t>
  </si>
  <si>
    <t>FGFR1OP</t>
  </si>
  <si>
    <t>PPP1R3D</t>
  </si>
  <si>
    <t>RAB3D</t>
  </si>
  <si>
    <t>SNAP29</t>
  </si>
  <si>
    <t>OXSR1</t>
  </si>
  <si>
    <t>GGPS1</t>
  </si>
  <si>
    <t>PTBP3</t>
  </si>
  <si>
    <t>NAA38</t>
  </si>
  <si>
    <t>AP2A1</t>
  </si>
  <si>
    <t>TTC4</t>
  </si>
  <si>
    <t>TMEM50A</t>
  </si>
  <si>
    <t>SDPR</t>
  </si>
  <si>
    <t>BAG2</t>
  </si>
  <si>
    <t>BAG3</t>
  </si>
  <si>
    <t>CRYZL1</t>
  </si>
  <si>
    <t>AIFM1</t>
  </si>
  <si>
    <t>EML2</t>
  </si>
  <si>
    <t>LATS1</t>
  </si>
  <si>
    <t>NUDT14</t>
  </si>
  <si>
    <t>TSPAN13</t>
  </si>
  <si>
    <t>DDAH2</t>
  </si>
  <si>
    <t>C6orf47</t>
  </si>
  <si>
    <t>TXNDC12</t>
  </si>
  <si>
    <t>ECD</t>
  </si>
  <si>
    <t>SYF2</t>
  </si>
  <si>
    <t>MBD3</t>
  </si>
  <si>
    <t>TOP3B</t>
  </si>
  <si>
    <t>NUDT3</t>
  </si>
  <si>
    <t>PTTG1</t>
  </si>
  <si>
    <t>BCL10</t>
  </si>
  <si>
    <t>NDUFB10</t>
  </si>
  <si>
    <t>MOCS2</t>
  </si>
  <si>
    <t>TOMM40</t>
  </si>
  <si>
    <t>PEX11B</t>
  </si>
  <si>
    <t>PAK4</t>
  </si>
  <si>
    <t>CHEK2</t>
  </si>
  <si>
    <t>ACTL6A</t>
  </si>
  <si>
    <t>CYB5A</t>
  </si>
  <si>
    <t>LDHA</t>
  </si>
  <si>
    <t>ALDH1A1</t>
  </si>
  <si>
    <t>GLUD1</t>
  </si>
  <si>
    <t>DHFR</t>
  </si>
  <si>
    <t>CYB5R3</t>
  </si>
  <si>
    <t>GSR</t>
  </si>
  <si>
    <t>MT-CO2</t>
  </si>
  <si>
    <t>SOD1</t>
  </si>
  <si>
    <t>PNP</t>
  </si>
  <si>
    <t>HPRT1</t>
  </si>
  <si>
    <t>GOT2</t>
  </si>
  <si>
    <t>ABL1</t>
  </si>
  <si>
    <t>PGK1</t>
  </si>
  <si>
    <t>CST3</t>
  </si>
  <si>
    <t>NRAS</t>
  </si>
  <si>
    <t>HRAS</t>
  </si>
  <si>
    <t>KRAS</t>
  </si>
  <si>
    <t>TGFB1</t>
  </si>
  <si>
    <t>HBZ</t>
  </si>
  <si>
    <t>HBD</t>
  </si>
  <si>
    <t>LMNA</t>
  </si>
  <si>
    <t>SPTA1</t>
  </si>
  <si>
    <t>APOE</t>
  </si>
  <si>
    <t>SLC4A1</t>
  </si>
  <si>
    <t>TFRC</t>
  </si>
  <si>
    <t>FTL</t>
  </si>
  <si>
    <t>FTH1</t>
  </si>
  <si>
    <t>MT-ATP8</t>
  </si>
  <si>
    <t>HMGCR</t>
  </si>
  <si>
    <t>CAT</t>
  </si>
  <si>
    <t>FUCA1</t>
  </si>
  <si>
    <t>CSTB</t>
  </si>
  <si>
    <t>ANXA1</t>
  </si>
  <si>
    <t>APOB</t>
  </si>
  <si>
    <t>NR3C1</t>
  </si>
  <si>
    <t>OAT</t>
  </si>
  <si>
    <t>GAPDH</t>
  </si>
  <si>
    <t>ASL</t>
  </si>
  <si>
    <t>CAPNS1</t>
  </si>
  <si>
    <t>HSPB1</t>
  </si>
  <si>
    <t>TYMS</t>
  </si>
  <si>
    <t>RPN1</t>
  </si>
  <si>
    <t>RPN2</t>
  </si>
  <si>
    <t>GNAI2</t>
  </si>
  <si>
    <t>SLC4A2</t>
  </si>
  <si>
    <t>GYPC</t>
  </si>
  <si>
    <t>ATP1A1</t>
  </si>
  <si>
    <t>ALDH2</t>
  </si>
  <si>
    <t>HMGN1</t>
  </si>
  <si>
    <t>SLC25A5</t>
  </si>
  <si>
    <t>ISG15</t>
  </si>
  <si>
    <t>PCCA</t>
  </si>
  <si>
    <t>EIF2S1</t>
  </si>
  <si>
    <t>HMGN2</t>
  </si>
  <si>
    <t>ICAM1</t>
  </si>
  <si>
    <t>RPLP1</t>
  </si>
  <si>
    <t>RPLP2</t>
  </si>
  <si>
    <t>RPLP0</t>
  </si>
  <si>
    <t>JUN</t>
  </si>
  <si>
    <t>POLR3D</t>
  </si>
  <si>
    <t>SSB</t>
  </si>
  <si>
    <t>ITGB1</t>
  </si>
  <si>
    <t>PRKCB</t>
  </si>
  <si>
    <t>KRT18</t>
  </si>
  <si>
    <t>CALB1</t>
  </si>
  <si>
    <t>UROD</t>
  </si>
  <si>
    <t>GLA</t>
  </si>
  <si>
    <t>RB1</t>
  </si>
  <si>
    <t>CDK1</t>
  </si>
  <si>
    <t>ATP5B</t>
  </si>
  <si>
    <t>ENO1</t>
  </si>
  <si>
    <t>GPI</t>
  </si>
  <si>
    <t>NPM1</t>
  </si>
  <si>
    <t>TPM3</t>
  </si>
  <si>
    <t>ITGAV</t>
  </si>
  <si>
    <t>EPHX1</t>
  </si>
  <si>
    <t>DBI</t>
  </si>
  <si>
    <t>PROS1</t>
  </si>
  <si>
    <t>P4HB</t>
  </si>
  <si>
    <t>CTSD</t>
  </si>
  <si>
    <t>CAPN1</t>
  </si>
  <si>
    <t>HEXB</t>
  </si>
  <si>
    <t>CTSL1</t>
  </si>
  <si>
    <t>PFN1</t>
  </si>
  <si>
    <t>BPGM</t>
  </si>
  <si>
    <t>APRT</t>
  </si>
  <si>
    <t>EPRS</t>
  </si>
  <si>
    <t>CTSB</t>
  </si>
  <si>
    <t>HSP90AA1</t>
  </si>
  <si>
    <t>GALT</t>
  </si>
  <si>
    <t>UQCRH</t>
  </si>
  <si>
    <t>LYN</t>
  </si>
  <si>
    <t>FH</t>
  </si>
  <si>
    <t>SP1</t>
  </si>
  <si>
    <t>HSPA1A</t>
  </si>
  <si>
    <t>COL1A2</t>
  </si>
  <si>
    <t>ANXA6</t>
  </si>
  <si>
    <t>PFKM</t>
  </si>
  <si>
    <t>HSP90AB1</t>
  </si>
  <si>
    <t>SRPR</t>
  </si>
  <si>
    <t>ASNS</t>
  </si>
  <si>
    <t>HMBS</t>
  </si>
  <si>
    <t>PDHA1</t>
  </si>
  <si>
    <t>CYC1</t>
  </si>
  <si>
    <t>SNRPB2</t>
  </si>
  <si>
    <t>MYL3</t>
  </si>
  <si>
    <t>CFH</t>
  </si>
  <si>
    <t>SNRNP70</t>
  </si>
  <si>
    <t>ITGA5</t>
  </si>
  <si>
    <t>NFIC</t>
  </si>
  <si>
    <t>VIM</t>
  </si>
  <si>
    <t>GNAI3</t>
  </si>
  <si>
    <t>ANXA5</t>
  </si>
  <si>
    <t>SNRPA</t>
  </si>
  <si>
    <t>FGF2</t>
  </si>
  <si>
    <t>ENO2</t>
  </si>
  <si>
    <t>HBQ1</t>
  </si>
  <si>
    <t>ACAA1</t>
  </si>
  <si>
    <t>SRP19</t>
  </si>
  <si>
    <t>GSTP1</t>
  </si>
  <si>
    <t>SNRPC</t>
  </si>
  <si>
    <t>LGALS1</t>
  </si>
  <si>
    <t>QDPR</t>
  </si>
  <si>
    <t>HMGB1</t>
  </si>
  <si>
    <t>CLTA</t>
  </si>
  <si>
    <t>CLTB</t>
  </si>
  <si>
    <t>ANXA4</t>
  </si>
  <si>
    <t>CNP</t>
  </si>
  <si>
    <t>DLD</t>
  </si>
  <si>
    <t>SNRPA1</t>
  </si>
  <si>
    <t>CTSH</t>
  </si>
  <si>
    <t>COX6C</t>
  </si>
  <si>
    <t>PARP1</t>
  </si>
  <si>
    <t>LTA4H</t>
  </si>
  <si>
    <t>ALDOC</t>
  </si>
  <si>
    <t>FBXO45</t>
  </si>
  <si>
    <t>CISD3</t>
  </si>
  <si>
    <t>UQCRFS1P1</t>
  </si>
  <si>
    <t>ATXN1L</t>
  </si>
  <si>
    <t>CHTF8</t>
  </si>
  <si>
    <t>RPS17L</t>
  </si>
  <si>
    <t>SMIM13</t>
  </si>
  <si>
    <t>FDX1</t>
  </si>
  <si>
    <t>RAP2A</t>
  </si>
  <si>
    <t>SRGN</t>
  </si>
  <si>
    <t>TROVE2</t>
  </si>
  <si>
    <t>MYBL2</t>
  </si>
  <si>
    <t>RRAS</t>
  </si>
  <si>
    <t>ARAF</t>
  </si>
  <si>
    <t>HIST1H1E</t>
  </si>
  <si>
    <t>PTPRF</t>
  </si>
  <si>
    <t>NR2F6</t>
  </si>
  <si>
    <t>TXN</t>
  </si>
  <si>
    <t>COX5B</t>
  </si>
  <si>
    <t>CTSA</t>
  </si>
  <si>
    <t>PRKAR1A</t>
  </si>
  <si>
    <t>UROS</t>
  </si>
  <si>
    <t>ESD</t>
  </si>
  <si>
    <t>HSPD1</t>
  </si>
  <si>
    <t>HSPA5</t>
  </si>
  <si>
    <t>SLC2A1</t>
  </si>
  <si>
    <t>SLC2A3</t>
  </si>
  <si>
    <t>EPB41</t>
  </si>
  <si>
    <t>UMPS</t>
  </si>
  <si>
    <t>PDHB</t>
  </si>
  <si>
    <t>DBT</t>
  </si>
  <si>
    <t>RALA</t>
  </si>
  <si>
    <t>RALB</t>
  </si>
  <si>
    <t>BCR</t>
  </si>
  <si>
    <t>SPTB</t>
  </si>
  <si>
    <t>LAMP1</t>
  </si>
  <si>
    <t>TOP1</t>
  </si>
  <si>
    <t>TOP2A</t>
  </si>
  <si>
    <t>G6PD</t>
  </si>
  <si>
    <t>UBL4A</t>
  </si>
  <si>
    <t>ESRRA</t>
  </si>
  <si>
    <t>PC</t>
  </si>
  <si>
    <t>IGF2R</t>
  </si>
  <si>
    <t>ADH5</t>
  </si>
  <si>
    <t>CDK4</t>
  </si>
  <si>
    <t>PRPS2</t>
  </si>
  <si>
    <t>PCNA</t>
  </si>
  <si>
    <t>HARS</t>
  </si>
  <si>
    <t>SLC25A4</t>
  </si>
  <si>
    <t>SLC25A6</t>
  </si>
  <si>
    <t>TPR</t>
  </si>
  <si>
    <t>CKB</t>
  </si>
  <si>
    <t>FCGR2A</t>
  </si>
  <si>
    <t>ANXA3</t>
  </si>
  <si>
    <t>CKMT1A</t>
  </si>
  <si>
    <t>SKI</t>
  </si>
  <si>
    <t>ACTN1</t>
  </si>
  <si>
    <t>MYL4</t>
  </si>
  <si>
    <t>MYH1</t>
  </si>
  <si>
    <t>SRC</t>
  </si>
  <si>
    <t>PEPD</t>
  </si>
  <si>
    <t>XRCC6</t>
  </si>
  <si>
    <t>XRCC5</t>
  </si>
  <si>
    <t>NR2C1</t>
  </si>
  <si>
    <t>COX4I1</t>
  </si>
  <si>
    <t>ALAS1</t>
  </si>
  <si>
    <t>GP1BB</t>
  </si>
  <si>
    <t>IFI30</t>
  </si>
  <si>
    <t>LAMP2</t>
  </si>
  <si>
    <t>RNH1</t>
  </si>
  <si>
    <t>CYBA</t>
  </si>
  <si>
    <t>EEF2</t>
  </si>
  <si>
    <t>PDIA4</t>
  </si>
  <si>
    <t>P4HA1</t>
  </si>
  <si>
    <t>TPT1</t>
  </si>
  <si>
    <t>LCP1</t>
  </si>
  <si>
    <t>ETFA</t>
  </si>
  <si>
    <t>PRKAR2A</t>
  </si>
  <si>
    <t>ENO3</t>
  </si>
  <si>
    <t>GTF2F2</t>
  </si>
  <si>
    <t>MIF</t>
  </si>
  <si>
    <t>CD99</t>
  </si>
  <si>
    <t>IRF2</t>
  </si>
  <si>
    <t>HCLS1</t>
  </si>
  <si>
    <t>FDPS</t>
  </si>
  <si>
    <t>ATP1B2</t>
  </si>
  <si>
    <t>AKR1A1</t>
  </si>
  <si>
    <t>HSP90B1</t>
  </si>
  <si>
    <t>CCNB1</t>
  </si>
  <si>
    <t>MYL6B</t>
  </si>
  <si>
    <t>SNRPB</t>
  </si>
  <si>
    <t>IDE</t>
  </si>
  <si>
    <t>COX6B1</t>
  </si>
  <si>
    <t>HNRNPL</t>
  </si>
  <si>
    <t>DARS</t>
  </si>
  <si>
    <t>BRAF</t>
  </si>
  <si>
    <t>GLUL</t>
  </si>
  <si>
    <t>AKR1B1</t>
  </si>
  <si>
    <t>PVR</t>
  </si>
  <si>
    <t>RAC2</t>
  </si>
  <si>
    <t>GSPT1</t>
  </si>
  <si>
    <t>ARSA</t>
  </si>
  <si>
    <t>B4GALT1</t>
  </si>
  <si>
    <t>EZR</t>
  </si>
  <si>
    <t>UCHL3</t>
  </si>
  <si>
    <t>FOSL1</t>
  </si>
  <si>
    <t>CD46</t>
  </si>
  <si>
    <t>NME1</t>
  </si>
  <si>
    <t>RPS2</t>
  </si>
  <si>
    <t>ST6GAL1</t>
  </si>
  <si>
    <t>TCF3</t>
  </si>
  <si>
    <t>RPA2</t>
  </si>
  <si>
    <t>SPN</t>
  </si>
  <si>
    <t>CBR1</t>
  </si>
  <si>
    <t>ANK1</t>
  </si>
  <si>
    <t>ACADS</t>
  </si>
  <si>
    <t>PECAM1</t>
  </si>
  <si>
    <t>PPP3CB</t>
  </si>
  <si>
    <t>GCFC2</t>
  </si>
  <si>
    <t>HIST1H1B</t>
  </si>
  <si>
    <t>POR</t>
  </si>
  <si>
    <t>FER</t>
  </si>
  <si>
    <t>ATP2A2</t>
  </si>
  <si>
    <t>FAH</t>
  </si>
  <si>
    <t>STMN1</t>
  </si>
  <si>
    <t>YBX3</t>
  </si>
  <si>
    <t>ZNF14</t>
  </si>
  <si>
    <t>ZNF24</t>
  </si>
  <si>
    <t>ZNF3</t>
  </si>
  <si>
    <t>ZNF30</t>
  </si>
  <si>
    <t>NAGA</t>
  </si>
  <si>
    <t>HSPA6</t>
  </si>
  <si>
    <t>HMGA1</t>
  </si>
  <si>
    <t>TMEM11</t>
  </si>
  <si>
    <t>GOT1</t>
  </si>
  <si>
    <t>PRKCA</t>
  </si>
  <si>
    <t>JUNB</t>
  </si>
  <si>
    <t>HOXB9</t>
  </si>
  <si>
    <t>JUND</t>
  </si>
  <si>
    <t>ATF7</t>
  </si>
  <si>
    <t>NDUFB7</t>
  </si>
  <si>
    <t>PRKACA</t>
  </si>
  <si>
    <t>CAPN2</t>
  </si>
  <si>
    <t>DES</t>
  </si>
  <si>
    <t>CEBPB</t>
  </si>
  <si>
    <t>PTPN2</t>
  </si>
  <si>
    <t>AMD1</t>
  </si>
  <si>
    <t>CTPS1</t>
  </si>
  <si>
    <t>PFKL</t>
  </si>
  <si>
    <t>TCP1</t>
  </si>
  <si>
    <t>PTPN1</t>
  </si>
  <si>
    <t>ERCC2</t>
  </si>
  <si>
    <t>ITGB5</t>
  </si>
  <si>
    <t>ARF4</t>
  </si>
  <si>
    <t>RPL7</t>
  </si>
  <si>
    <t>EGR1</t>
  </si>
  <si>
    <t>VCL</t>
  </si>
  <si>
    <t>SON</t>
  </si>
  <si>
    <t>NELFE</t>
  </si>
  <si>
    <t>PGAM1</t>
  </si>
  <si>
    <t>RCC1</t>
  </si>
  <si>
    <t>ATF1</t>
  </si>
  <si>
    <t>ATP5J</t>
  </si>
  <si>
    <t>PLCG1</t>
  </si>
  <si>
    <t>NCL</t>
  </si>
  <si>
    <t>HK1</t>
  </si>
  <si>
    <t>POLR2C</t>
  </si>
  <si>
    <t>POLR2E</t>
  </si>
  <si>
    <t>ELK1</t>
  </si>
  <si>
    <t>ERCC3</t>
  </si>
  <si>
    <t>EIF2AK2</t>
  </si>
  <si>
    <t>TFE3</t>
  </si>
  <si>
    <t>SRM</t>
  </si>
  <si>
    <t>CSNK2A2</t>
  </si>
  <si>
    <t>NFKB1</t>
  </si>
  <si>
    <t>ATP2B1</t>
  </si>
  <si>
    <t>EIF2S2</t>
  </si>
  <si>
    <t>CD33</t>
  </si>
  <si>
    <t>CCNA2</t>
  </si>
  <si>
    <t>BTF3</t>
  </si>
  <si>
    <t>TNFRSF1B</t>
  </si>
  <si>
    <t>RAB3A</t>
  </si>
  <si>
    <t>RAB4A</t>
  </si>
  <si>
    <t>RAB6A</t>
  </si>
  <si>
    <t>MSH3</t>
  </si>
  <si>
    <t>PSMB1</t>
  </si>
  <si>
    <t>M6PR</t>
  </si>
  <si>
    <t>COX5A</t>
  </si>
  <si>
    <t>LMNB1</t>
  </si>
  <si>
    <t>PTMS</t>
  </si>
  <si>
    <t>ATP6V1B2</t>
  </si>
  <si>
    <t>ATP6V1C1</t>
  </si>
  <si>
    <t>CSRP1</t>
  </si>
  <si>
    <t>FLNA</t>
  </si>
  <si>
    <t>NF1</t>
  </si>
  <si>
    <t>ACO1</t>
  </si>
  <si>
    <t>TNFAIP3</t>
  </si>
  <si>
    <t>GPD1</t>
  </si>
  <si>
    <t>TBXA2R</t>
  </si>
  <si>
    <t>VDAC1</t>
  </si>
  <si>
    <t>SDHB</t>
  </si>
  <si>
    <t>COMT</t>
  </si>
  <si>
    <t>TGM2</t>
  </si>
  <si>
    <t>MUT</t>
  </si>
  <si>
    <t>OSBP</t>
  </si>
  <si>
    <t>PAICS</t>
  </si>
  <si>
    <t>SCP2</t>
  </si>
  <si>
    <t>UBA1</t>
  </si>
  <si>
    <t>GAL</t>
  </si>
  <si>
    <t>SPRR2D</t>
  </si>
  <si>
    <t>HNRNPA2B1</t>
  </si>
  <si>
    <t>RFX1</t>
  </si>
  <si>
    <t>CBL</t>
  </si>
  <si>
    <t>IGFBP4</t>
  </si>
  <si>
    <t>UQCRC2</t>
  </si>
  <si>
    <t>FECH</t>
  </si>
  <si>
    <t>XPA</t>
  </si>
  <si>
    <t>TCEA1</t>
  </si>
  <si>
    <t>SFPQ</t>
  </si>
  <si>
    <t>TUBG1</t>
  </si>
  <si>
    <t>PPIB</t>
  </si>
  <si>
    <t>ME2</t>
  </si>
  <si>
    <t>RPS3</t>
  </si>
  <si>
    <t>MYF6</t>
  </si>
  <si>
    <t>GCSH</t>
  </si>
  <si>
    <t>JAK1</t>
  </si>
  <si>
    <t>SP100</t>
  </si>
  <si>
    <t>NFYA</t>
  </si>
  <si>
    <t>AHCY</t>
  </si>
  <si>
    <t>CFL1</t>
  </si>
  <si>
    <t>ATP2B4</t>
  </si>
  <si>
    <t>ITPKA</t>
  </si>
  <si>
    <t>DGKA</t>
  </si>
  <si>
    <t>CPT2</t>
  </si>
  <si>
    <t>DTYMK</t>
  </si>
  <si>
    <t>NR2F2</t>
  </si>
  <si>
    <t>EEF1B2</t>
  </si>
  <si>
    <t>ACP1</t>
  </si>
  <si>
    <t>POLR2A</t>
  </si>
  <si>
    <t>APC</t>
  </si>
  <si>
    <t>ADRBK1</t>
  </si>
  <si>
    <t>F2R</t>
  </si>
  <si>
    <t>MCM3</t>
  </si>
  <si>
    <t>RPS12</t>
  </si>
  <si>
    <t>YY1</t>
  </si>
  <si>
    <t>DNAJB1</t>
  </si>
  <si>
    <t>ATP5A1</t>
  </si>
  <si>
    <t>CTSS</t>
  </si>
  <si>
    <t>PSMA1</t>
  </si>
  <si>
    <t>PSMA2</t>
  </si>
  <si>
    <t>PSMA3</t>
  </si>
  <si>
    <t>PSMA4</t>
  </si>
  <si>
    <t>LMO2</t>
  </si>
  <si>
    <t>S100P</t>
  </si>
  <si>
    <t>MSN</t>
  </si>
  <si>
    <t>DDX6</t>
  </si>
  <si>
    <t>U2AF2</t>
  </si>
  <si>
    <t>RPL13</t>
  </si>
  <si>
    <t>CHML</t>
  </si>
  <si>
    <t>S100A4</t>
  </si>
  <si>
    <t>MGAT1</t>
  </si>
  <si>
    <t>HMGB2</t>
  </si>
  <si>
    <t>TARS</t>
  </si>
  <si>
    <t>VARS</t>
  </si>
  <si>
    <t>EEF1G</t>
  </si>
  <si>
    <t>FKBP2</t>
  </si>
  <si>
    <t>AK4</t>
  </si>
  <si>
    <t>YWHAQ</t>
  </si>
  <si>
    <t>MAPK3</t>
  </si>
  <si>
    <t>ARNT</t>
  </si>
  <si>
    <t>RPL10</t>
  </si>
  <si>
    <t>RPA1</t>
  </si>
  <si>
    <t>APEX1</t>
  </si>
  <si>
    <t>PDE4A</t>
  </si>
  <si>
    <t>CANX</t>
  </si>
  <si>
    <t>PIK3R1</t>
  </si>
  <si>
    <t>PSMB9</t>
  </si>
  <si>
    <t>PSMA5</t>
  </si>
  <si>
    <t>PSMB4</t>
  </si>
  <si>
    <t>PSMB6</t>
  </si>
  <si>
    <t>PSMB5</t>
  </si>
  <si>
    <t>TMOD1</t>
  </si>
  <si>
    <t>NDUFS1</t>
  </si>
  <si>
    <t>MAPK1</t>
  </si>
  <si>
    <t>RXRB</t>
  </si>
  <si>
    <t>ERCC5</t>
  </si>
  <si>
    <t>GRN</t>
  </si>
  <si>
    <t>LAP3</t>
  </si>
  <si>
    <t>TNFRSF8</t>
  </si>
  <si>
    <t>GTF2E1</t>
  </si>
  <si>
    <t>GTF2E2</t>
  </si>
  <si>
    <t>PTPN6</t>
  </si>
  <si>
    <t>SHC1</t>
  </si>
  <si>
    <t>MPG</t>
  </si>
  <si>
    <t>TKT</t>
  </si>
  <si>
    <t>PML</t>
  </si>
  <si>
    <t>MARCKS</t>
  </si>
  <si>
    <t>GNA11</t>
  </si>
  <si>
    <t>ALDH4A1</t>
  </si>
  <si>
    <t>ERP29</t>
  </si>
  <si>
    <t>PRDX6</t>
  </si>
  <si>
    <t>C21orf33</t>
  </si>
  <si>
    <t>BLVRB</t>
  </si>
  <si>
    <t>PRDX5</t>
  </si>
  <si>
    <t>DDT</t>
  </si>
  <si>
    <t>ATP5D</t>
  </si>
  <si>
    <t>RPL12</t>
  </si>
  <si>
    <t>ECHS1</t>
  </si>
  <si>
    <t>CMPK1</t>
  </si>
  <si>
    <t>PEBP1</t>
  </si>
  <si>
    <t>PPP2R1A</t>
  </si>
  <si>
    <t>PPP2R1B</t>
  </si>
  <si>
    <t>CDC27</t>
  </si>
  <si>
    <t>CCND3</t>
  </si>
  <si>
    <t>WEE1</t>
  </si>
  <si>
    <t>CDC25C</t>
  </si>
  <si>
    <t>PPIF</t>
  </si>
  <si>
    <t>NMT1</t>
  </si>
  <si>
    <t>HMOX2</t>
  </si>
  <si>
    <t>ADSS</t>
  </si>
  <si>
    <t>LRPAP1</t>
  </si>
  <si>
    <t>ADSL</t>
  </si>
  <si>
    <t>PKLR</t>
  </si>
  <si>
    <t>CLIP1</t>
  </si>
  <si>
    <t>GSTT1</t>
  </si>
  <si>
    <t>SERPINB1</t>
  </si>
  <si>
    <t>SLC7A1</t>
  </si>
  <si>
    <t>ALDH1B1</t>
  </si>
  <si>
    <t>SDHA</t>
  </si>
  <si>
    <t>CORO1A</t>
  </si>
  <si>
    <t>GDI1</t>
  </si>
  <si>
    <t>MAT2A</t>
  </si>
  <si>
    <t>PRKAR1B</t>
  </si>
  <si>
    <t>PRKAR2B</t>
  </si>
  <si>
    <t>RRM2</t>
  </si>
  <si>
    <t>SLC6A6</t>
  </si>
  <si>
    <t>DNAJA1</t>
  </si>
  <si>
    <t>AKT1</t>
  </si>
  <si>
    <t>AKT2</t>
  </si>
  <si>
    <t>UQCRC1</t>
  </si>
  <si>
    <t>HIBADH</t>
  </si>
  <si>
    <t>ATIC</t>
  </si>
  <si>
    <t>HNRNPH3</t>
  </si>
  <si>
    <t>YWHAB</t>
  </si>
  <si>
    <t>SFN</t>
  </si>
  <si>
    <t>STIP1</t>
  </si>
  <si>
    <t>S100A11</t>
  </si>
  <si>
    <t>INPP5B</t>
  </si>
  <si>
    <t>PRDX2</t>
  </si>
  <si>
    <t>ARRB2</t>
  </si>
  <si>
    <t>GK</t>
  </si>
  <si>
    <t>DCTD</t>
  </si>
  <si>
    <t>PYCR1</t>
  </si>
  <si>
    <t>ELF1</t>
  </si>
  <si>
    <t>GTF2H1</t>
  </si>
  <si>
    <t>STX2</t>
  </si>
  <si>
    <t>CTH</t>
  </si>
  <si>
    <t>RPL9</t>
  </si>
  <si>
    <t>ACSL1</t>
  </si>
  <si>
    <t>KIF5B</t>
  </si>
  <si>
    <t>CSTF2</t>
  </si>
  <si>
    <t>DUT</t>
  </si>
  <si>
    <t>CKS2</t>
  </si>
  <si>
    <t>MAN1A1</t>
  </si>
  <si>
    <t>TTK</t>
  </si>
  <si>
    <t>MCM4</t>
  </si>
  <si>
    <t>MCM5</t>
  </si>
  <si>
    <t>MCM7</t>
  </si>
  <si>
    <t>GALNS</t>
  </si>
  <si>
    <t>SHMT1</t>
  </si>
  <si>
    <t>SHMT2</t>
  </si>
  <si>
    <t>EPHX2</t>
  </si>
  <si>
    <t>HSPA4</t>
  </si>
  <si>
    <t>CA8</t>
  </si>
  <si>
    <t>CTNNA1</t>
  </si>
  <si>
    <t>PHB</t>
  </si>
  <si>
    <t>SERPINB6</t>
  </si>
  <si>
    <t>NF2</t>
  </si>
  <si>
    <t>RDX</t>
  </si>
  <si>
    <t>RPA3</t>
  </si>
  <si>
    <t>RFC4</t>
  </si>
  <si>
    <t>RFC2</t>
  </si>
  <si>
    <t>RFC1</t>
  </si>
  <si>
    <t>RPL22</t>
  </si>
  <si>
    <t>GTF2F1</t>
  </si>
  <si>
    <t>SPR</t>
  </si>
  <si>
    <t>CBS</t>
  </si>
  <si>
    <t>AGL</t>
  </si>
  <si>
    <t>MYH9</t>
  </si>
  <si>
    <t>MYH10</t>
  </si>
  <si>
    <t>COPB2</t>
  </si>
  <si>
    <t>ADD2</t>
  </si>
  <si>
    <t>BSG</t>
  </si>
  <si>
    <t>ADRBK2</t>
  </si>
  <si>
    <t>FUS</t>
  </si>
  <si>
    <t>NUP214</t>
  </si>
  <si>
    <t>DEK</t>
  </si>
  <si>
    <t>MYH11</t>
  </si>
  <si>
    <t>GLRX</t>
  </si>
  <si>
    <t>CHKA</t>
  </si>
  <si>
    <t>PPM1A</t>
  </si>
  <si>
    <t>PSMC2</t>
  </si>
  <si>
    <t>ARL2</t>
  </si>
  <si>
    <t>ARL3</t>
  </si>
  <si>
    <t>MAP2K2</t>
  </si>
  <si>
    <t>ATP5C1</t>
  </si>
  <si>
    <t>ATP6V1E1</t>
  </si>
  <si>
    <t>CPOX</t>
  </si>
  <si>
    <t>RPL4</t>
  </si>
  <si>
    <t>NUDT1</t>
  </si>
  <si>
    <t>GNL1</t>
  </si>
  <si>
    <t>POLR2I</t>
  </si>
  <si>
    <t>DLST</t>
  </si>
  <si>
    <t>GMPR</t>
  </si>
  <si>
    <t>GPX4</t>
  </si>
  <si>
    <t>SRP14</t>
  </si>
  <si>
    <t>NUP62</t>
  </si>
  <si>
    <t>HPCAL1</t>
  </si>
  <si>
    <t>FDFT1</t>
  </si>
  <si>
    <t>PIGA</t>
  </si>
  <si>
    <t>TAGLN2</t>
  </si>
  <si>
    <t>TALDO1</t>
  </si>
  <si>
    <t>ETFB</t>
  </si>
  <si>
    <t>RBMX</t>
  </si>
  <si>
    <t>COIL</t>
  </si>
  <si>
    <t>GGCX</t>
  </si>
  <si>
    <t>ATP6V1A</t>
  </si>
  <si>
    <t>HSPA9</t>
  </si>
  <si>
    <t>EIF4A3</t>
  </si>
  <si>
    <t>IGHMBP2</t>
  </si>
  <si>
    <t>RPS19</t>
  </si>
  <si>
    <t>RPL3</t>
  </si>
  <si>
    <t>COL18A1</t>
  </si>
  <si>
    <t>DDOST</t>
  </si>
  <si>
    <t>ANP32A</t>
  </si>
  <si>
    <t>FEN1</t>
  </si>
  <si>
    <t>CAPG</t>
  </si>
  <si>
    <t>TXLNA</t>
  </si>
  <si>
    <t>CCT6A</t>
  </si>
  <si>
    <t>NNMT</t>
  </si>
  <si>
    <t>VHL</t>
  </si>
  <si>
    <t>PBX2</t>
  </si>
  <si>
    <t>ARL4A</t>
  </si>
  <si>
    <t>MLH1</t>
  </si>
  <si>
    <t>STAT3</t>
  </si>
  <si>
    <t>USP8</t>
  </si>
  <si>
    <t>MDH1</t>
  </si>
  <si>
    <t>MDH2</t>
  </si>
  <si>
    <t>RFC5</t>
  </si>
  <si>
    <t>RFC3</t>
  </si>
  <si>
    <t>HADHA</t>
  </si>
  <si>
    <t>EIF2S3</t>
  </si>
  <si>
    <t>ID1</t>
  </si>
  <si>
    <t>CETN2</t>
  </si>
  <si>
    <t>EIF2D</t>
  </si>
  <si>
    <t>BUD31</t>
  </si>
  <si>
    <t>NAA10</t>
  </si>
  <si>
    <t>KDM5C</t>
  </si>
  <si>
    <t>PPP1R2</t>
  </si>
  <si>
    <t>CSK</t>
  </si>
  <si>
    <t>PNPLA4</t>
  </si>
  <si>
    <t>GARS</t>
  </si>
  <si>
    <t>IARS</t>
  </si>
  <si>
    <t>SLC19A1</t>
  </si>
  <si>
    <t>EIF1</t>
  </si>
  <si>
    <t>PRKCI</t>
  </si>
  <si>
    <t>ACTR1B</t>
  </si>
  <si>
    <t>ECI1</t>
  </si>
  <si>
    <t>TMPO</t>
  </si>
  <si>
    <t>STAT1</t>
  </si>
  <si>
    <t>STAT6</t>
  </si>
  <si>
    <t>SKIV2L2</t>
  </si>
  <si>
    <t>AKR1C3</t>
  </si>
  <si>
    <t>PIK3CA</t>
  </si>
  <si>
    <t>PIK3CB</t>
  </si>
  <si>
    <t>MTOR</t>
  </si>
  <si>
    <t>EPS15</t>
  </si>
  <si>
    <t>CASP3</t>
  </si>
  <si>
    <t>CASP2</t>
  </si>
  <si>
    <t>RPS27</t>
  </si>
  <si>
    <t>TEC</t>
  </si>
  <si>
    <t>ABL2</t>
  </si>
  <si>
    <t>NCAPD3</t>
  </si>
  <si>
    <t>LRPPRC</t>
  </si>
  <si>
    <t>ACAA2</t>
  </si>
  <si>
    <t>RPL35</t>
  </si>
  <si>
    <t>CDKN2C</t>
  </si>
  <si>
    <t>PRCP</t>
  </si>
  <si>
    <t>SLC1A4</t>
  </si>
  <si>
    <t>PAFAH1B1</t>
  </si>
  <si>
    <t>MCAM</t>
  </si>
  <si>
    <t>CRAT</t>
  </si>
  <si>
    <t>MSH2</t>
  </si>
  <si>
    <t>GRK6</t>
  </si>
  <si>
    <t>GPD2</t>
  </si>
  <si>
    <t>SSR1</t>
  </si>
  <si>
    <t>MAGEA1</t>
  </si>
  <si>
    <t>MAGEA3</t>
  </si>
  <si>
    <t>MAGEB1</t>
  </si>
  <si>
    <t>PTPN9</t>
  </si>
  <si>
    <t>SYK</t>
  </si>
  <si>
    <t>NAMPT</t>
  </si>
  <si>
    <t>PSMC4</t>
  </si>
  <si>
    <t>TSFM</t>
  </si>
  <si>
    <t>VDAC2</t>
  </si>
  <si>
    <t>ACADSB</t>
  </si>
  <si>
    <t>CBX5</t>
  </si>
  <si>
    <t>USP5</t>
  </si>
  <si>
    <t>MAPK8</t>
  </si>
  <si>
    <t>MAPK9</t>
  </si>
  <si>
    <t>MAP2K4</t>
  </si>
  <si>
    <t>MKI67</t>
  </si>
  <si>
    <t>PHKA2</t>
  </si>
  <si>
    <t>RANGAP1</t>
  </si>
  <si>
    <t>RECQL</t>
  </si>
  <si>
    <t>NOP2</t>
  </si>
  <si>
    <t>ATRX</t>
  </si>
  <si>
    <t>CRK</t>
  </si>
  <si>
    <t>CRKL</t>
  </si>
  <si>
    <t>MTIF2</t>
  </si>
  <si>
    <t>CDKN1B</t>
  </si>
  <si>
    <t>NOTCH1</t>
  </si>
  <si>
    <t>MAP2K3</t>
  </si>
  <si>
    <t>BRCC3</t>
  </si>
  <si>
    <t>RPL5</t>
  </si>
  <si>
    <t>RPL21</t>
  </si>
  <si>
    <t>RPS9</t>
  </si>
  <si>
    <t>RPS10</t>
  </si>
  <si>
    <t>MAP1B</t>
  </si>
  <si>
    <t>GNPDA1</t>
  </si>
  <si>
    <t>NEDD4</t>
  </si>
  <si>
    <t>IQGAP1</t>
  </si>
  <si>
    <t>GYG1</t>
  </si>
  <si>
    <t>STT3A</t>
  </si>
  <si>
    <t>RABIF</t>
  </si>
  <si>
    <t>CAPZA2</t>
  </si>
  <si>
    <t>CAPZB</t>
  </si>
  <si>
    <t>EIF1AX</t>
  </si>
  <si>
    <t>QARS</t>
  </si>
  <si>
    <t>RPL29</t>
  </si>
  <si>
    <t>ZFP36L2</t>
  </si>
  <si>
    <t>UQCRFS1</t>
  </si>
  <si>
    <t>SLC6A8</t>
  </si>
  <si>
    <t>ATP5O</t>
  </si>
  <si>
    <t>LIMS1</t>
  </si>
  <si>
    <t>ME1</t>
  </si>
  <si>
    <t>IREB2</t>
  </si>
  <si>
    <t>LEPR</t>
  </si>
  <si>
    <t>RFX2</t>
  </si>
  <si>
    <t>ARCN1</t>
  </si>
  <si>
    <t>LSS</t>
  </si>
  <si>
    <t>PPP3CC</t>
  </si>
  <si>
    <t>GCLC</t>
  </si>
  <si>
    <t>GCLM</t>
  </si>
  <si>
    <t>PRRC2A</t>
  </si>
  <si>
    <t>GSS</t>
  </si>
  <si>
    <t>CCT5</t>
  </si>
  <si>
    <t>NES</t>
  </si>
  <si>
    <t>HSPA13</t>
  </si>
  <si>
    <t>CSNK1D</t>
  </si>
  <si>
    <t>IDH2</t>
  </si>
  <si>
    <t>PIK3CG</t>
  </si>
  <si>
    <t>PITPNB</t>
  </si>
  <si>
    <t>CD97</t>
  </si>
  <si>
    <t>POLD2</t>
  </si>
  <si>
    <t>MARCKSL1</t>
  </si>
  <si>
    <t>PXN</t>
  </si>
  <si>
    <t>CAMLG</t>
  </si>
  <si>
    <t>NR2C2</t>
  </si>
  <si>
    <t>MAPKAPK2</t>
  </si>
  <si>
    <t>ALDH9A1</t>
  </si>
  <si>
    <t>RPL34</t>
  </si>
  <si>
    <t>RPIA</t>
  </si>
  <si>
    <t>LMAN1</t>
  </si>
  <si>
    <t>SLC11A2</t>
  </si>
  <si>
    <t>NASP</t>
  </si>
  <si>
    <t>FASN</t>
  </si>
  <si>
    <t>CDK8</t>
  </si>
  <si>
    <t>FNTA</t>
  </si>
  <si>
    <t>DHPS</t>
  </si>
  <si>
    <t>CCT3</t>
  </si>
  <si>
    <t>MRPL19</t>
  </si>
  <si>
    <t>TUFM</t>
  </si>
  <si>
    <t>CDC34</t>
  </si>
  <si>
    <t>INPP1</t>
  </si>
  <si>
    <t>GLUD2</t>
  </si>
  <si>
    <t>CENPF</t>
  </si>
  <si>
    <t>SRP9</t>
  </si>
  <si>
    <t>UBE2A</t>
  </si>
  <si>
    <t>PCYT1A</t>
  </si>
  <si>
    <t>AARS</t>
  </si>
  <si>
    <t>CARS</t>
  </si>
  <si>
    <t>PPM1F</t>
  </si>
  <si>
    <t>PRIM1</t>
  </si>
  <si>
    <t>PRIM2</t>
  </si>
  <si>
    <t>CSNK1E</t>
  </si>
  <si>
    <t>CTCF</t>
  </si>
  <si>
    <t>PSMB2</t>
  </si>
  <si>
    <t>MCM2</t>
  </si>
  <si>
    <t>ACADVL</t>
  </si>
  <si>
    <t>YLPM1</t>
  </si>
  <si>
    <t>TMED10</t>
  </si>
  <si>
    <t>RBM25</t>
  </si>
  <si>
    <t>NUMB</t>
  </si>
  <si>
    <t>CLK3</t>
  </si>
  <si>
    <t>EIF2B2</t>
  </si>
  <si>
    <t>HINT1</t>
  </si>
  <si>
    <t>NUP153</t>
  </si>
  <si>
    <t>RANBP2</t>
  </si>
  <si>
    <t>RGS19</t>
  </si>
  <si>
    <t>GSK3A</t>
  </si>
  <si>
    <t>GSK3B</t>
  </si>
  <si>
    <t>NT5C2</t>
  </si>
  <si>
    <t>SEPHS1</t>
  </si>
  <si>
    <t>MTHFS</t>
  </si>
  <si>
    <t>LIG4</t>
  </si>
  <si>
    <t>MRE11A</t>
  </si>
  <si>
    <t>KHK</t>
  </si>
  <si>
    <t>HNMT</t>
  </si>
  <si>
    <t>GNAQ</t>
  </si>
  <si>
    <t>IDH3A</t>
  </si>
  <si>
    <t>SULT1A3</t>
  </si>
  <si>
    <t>SULT1A1</t>
  </si>
  <si>
    <t>PPOX</t>
  </si>
  <si>
    <t>EMD</t>
  </si>
  <si>
    <t>CPT1A</t>
  </si>
  <si>
    <t>SERPINB9</t>
  </si>
  <si>
    <t>SERPINH1</t>
  </si>
  <si>
    <t>PDLIM4</t>
  </si>
  <si>
    <t>ST13</t>
  </si>
  <si>
    <t>VASP</t>
  </si>
  <si>
    <t>DNM2</t>
  </si>
  <si>
    <t>NUDT2</t>
  </si>
  <si>
    <t>CDK7</t>
  </si>
  <si>
    <t>HLCS</t>
  </si>
  <si>
    <t>KNTC1</t>
  </si>
  <si>
    <t>CDK9</t>
  </si>
  <si>
    <t>PPT1</t>
  </si>
  <si>
    <t>CCT8</t>
  </si>
  <si>
    <t>CCT4</t>
  </si>
  <si>
    <t>PAPOLA</t>
  </si>
  <si>
    <t>FXR2</t>
  </si>
  <si>
    <t>RAB5C</t>
  </si>
  <si>
    <t>RAB7A</t>
  </si>
  <si>
    <t>RAB9A</t>
  </si>
  <si>
    <t>RAB13</t>
  </si>
  <si>
    <t>RAB28</t>
  </si>
  <si>
    <t>RAB27A</t>
  </si>
  <si>
    <t>PLCD1</t>
  </si>
  <si>
    <t>DAP</t>
  </si>
  <si>
    <t>DAP3</t>
  </si>
  <si>
    <t>DUSP3</t>
  </si>
  <si>
    <t>SMARCA2</t>
  </si>
  <si>
    <t>IDH3G</t>
  </si>
  <si>
    <t>GALK1</t>
  </si>
  <si>
    <t>SSR4</t>
  </si>
  <si>
    <t>BCAP31</t>
  </si>
  <si>
    <t>TPMT</t>
  </si>
  <si>
    <t>MECP2</t>
  </si>
  <si>
    <t>HSD17B4</t>
  </si>
  <si>
    <t>PSMD7</t>
  </si>
  <si>
    <t>SUOX</t>
  </si>
  <si>
    <t>STAT5B</t>
  </si>
  <si>
    <t>CLCN3</t>
  </si>
  <si>
    <t>CLCN5</t>
  </si>
  <si>
    <t>CLCN6</t>
  </si>
  <si>
    <t>CLCN7</t>
  </si>
  <si>
    <t>VAMP7</t>
  </si>
  <si>
    <t>XK</t>
  </si>
  <si>
    <t>RPS6KA3</t>
  </si>
  <si>
    <t>AKR1D1</t>
  </si>
  <si>
    <t>HDGF</t>
  </si>
  <si>
    <t>CNN1</t>
  </si>
  <si>
    <t>MNAT1</t>
  </si>
  <si>
    <t>NDUFA8</t>
  </si>
  <si>
    <t>HNRNPA3</t>
  </si>
  <si>
    <t>KPNA2</t>
  </si>
  <si>
    <t>KPNA1</t>
  </si>
  <si>
    <t>NCBP2</t>
  </si>
  <si>
    <t>RAP1GDS1</t>
  </si>
  <si>
    <t>ARHGDIA</t>
  </si>
  <si>
    <t>ARHGDIB</t>
  </si>
  <si>
    <t>HNRNPF</t>
  </si>
  <si>
    <t>STAT2</t>
  </si>
  <si>
    <t>GTF2A1</t>
  </si>
  <si>
    <t>GTF2A2</t>
  </si>
  <si>
    <t>MSH6</t>
  </si>
  <si>
    <t>KIF11</t>
  </si>
  <si>
    <t>HRSP12</t>
  </si>
  <si>
    <t>SMS</t>
  </si>
  <si>
    <t>HK2</t>
  </si>
  <si>
    <t>MRPL12</t>
  </si>
  <si>
    <t>THOP1</t>
  </si>
  <si>
    <t>CAPZA1</t>
  </si>
  <si>
    <t>CRIP2</t>
  </si>
  <si>
    <t>NUP98</t>
  </si>
  <si>
    <t>BLVRA</t>
  </si>
  <si>
    <t>SLC25A1</t>
  </si>
  <si>
    <t>PLK1</t>
  </si>
  <si>
    <t>ARFIP2</t>
  </si>
  <si>
    <t>ARFIP1</t>
  </si>
  <si>
    <t>NUBP1</t>
  </si>
  <si>
    <t>ACLY</t>
  </si>
  <si>
    <t>METAP1</t>
  </si>
  <si>
    <t>SUCLG1</t>
  </si>
  <si>
    <t>MVD</t>
  </si>
  <si>
    <t>PGGT1B</t>
  </si>
  <si>
    <t>COPB1</t>
  </si>
  <si>
    <t>COPA</t>
  </si>
  <si>
    <t>CTSC</t>
  </si>
  <si>
    <t>HCCS</t>
  </si>
  <si>
    <t>MAPK12</t>
  </si>
  <si>
    <t>SLC5A3</t>
  </si>
  <si>
    <t>POLR2K</t>
  </si>
  <si>
    <t>SMTN</t>
  </si>
  <si>
    <t>SLC16A1</t>
  </si>
  <si>
    <t>IST1</t>
  </si>
  <si>
    <t>SEC24C</t>
  </si>
  <si>
    <t>SUB1</t>
  </si>
  <si>
    <t>POLG</t>
  </si>
  <si>
    <t>CLNS1A</t>
  </si>
  <si>
    <t>RARS</t>
  </si>
  <si>
    <t>ATN1</t>
  </si>
  <si>
    <t>PMS2</t>
  </si>
  <si>
    <t>YARS</t>
  </si>
  <si>
    <t>USP14</t>
  </si>
  <si>
    <t>PRKAG1</t>
  </si>
  <si>
    <t>BCAT1</t>
  </si>
  <si>
    <t>ATP12A</t>
  </si>
  <si>
    <t>ATP1B3</t>
  </si>
  <si>
    <t>RAD23B</t>
  </si>
  <si>
    <t>EPHB4</t>
  </si>
  <si>
    <t>NAGLU</t>
  </si>
  <si>
    <t>AK2</t>
  </si>
  <si>
    <t>ALDH18A1</t>
  </si>
  <si>
    <t>NAPA</t>
  </si>
  <si>
    <t>ADPRH</t>
  </si>
  <si>
    <t>EIF5</t>
  </si>
  <si>
    <t>SLC12A2</t>
  </si>
  <si>
    <t>PSMD4</t>
  </si>
  <si>
    <t>DRG2</t>
  </si>
  <si>
    <t>CSE1L</t>
  </si>
  <si>
    <t>MFAP1</t>
  </si>
  <si>
    <t>MFAP3</t>
  </si>
  <si>
    <t>MANF</t>
  </si>
  <si>
    <t>ELL</t>
  </si>
  <si>
    <t>BRPF1</t>
  </si>
  <si>
    <t>CASP9</t>
  </si>
  <si>
    <t>CASP6</t>
  </si>
  <si>
    <t>ADK</t>
  </si>
  <si>
    <t>SEC13</t>
  </si>
  <si>
    <t>GFER</t>
  </si>
  <si>
    <t>HNRNPH2</t>
  </si>
  <si>
    <t>OXCT1</t>
  </si>
  <si>
    <t>EIF3B</t>
  </si>
  <si>
    <t>BID</t>
  </si>
  <si>
    <t>NDUFV3</t>
  </si>
  <si>
    <t>RRP1</t>
  </si>
  <si>
    <t>MARS</t>
  </si>
  <si>
    <t>MAZ</t>
  </si>
  <si>
    <t>CMC4</t>
  </si>
  <si>
    <t>POLE2</t>
  </si>
  <si>
    <t>ATP5E</t>
  </si>
  <si>
    <t>ATP5I</t>
  </si>
  <si>
    <t>HDAC4</t>
  </si>
  <si>
    <t>EIF6</t>
  </si>
  <si>
    <t>NDUFA6</t>
  </si>
  <si>
    <t>PEX3</t>
  </si>
  <si>
    <t>PER3</t>
  </si>
  <si>
    <t>CLDN12</t>
  </si>
  <si>
    <t>HSD17B7</t>
  </si>
  <si>
    <t>BCAR1</t>
  </si>
  <si>
    <t>STX17</t>
  </si>
  <si>
    <t>PIGP</t>
  </si>
  <si>
    <t>RWDD2B</t>
  </si>
  <si>
    <t>C21orf59</t>
  </si>
  <si>
    <t>WDR4</t>
  </si>
  <si>
    <t>TMEM33</t>
  </si>
  <si>
    <t>SYNJ2BP</t>
  </si>
  <si>
    <t>KLF3</t>
  </si>
  <si>
    <t>CORO7</t>
  </si>
  <si>
    <t>NUP107</t>
  </si>
  <si>
    <t>SNX16</t>
  </si>
  <si>
    <t>EEFSEC</t>
  </si>
  <si>
    <t>SESN2</t>
  </si>
  <si>
    <t>EPPK1</t>
  </si>
  <si>
    <t>MTPN</t>
  </si>
  <si>
    <t>YBEY</t>
  </si>
  <si>
    <t>ZNF445</t>
  </si>
  <si>
    <t>ARPC4</t>
  </si>
  <si>
    <t>SEC61G</t>
  </si>
  <si>
    <t>TPI1</t>
  </si>
  <si>
    <t>EIF3E</t>
  </si>
  <si>
    <t>SEC61B</t>
  </si>
  <si>
    <t>PPP4C</t>
  </si>
  <si>
    <t>GABARAPL2</t>
  </si>
  <si>
    <t>ROMO1</t>
  </si>
  <si>
    <t>UBE2G2</t>
  </si>
  <si>
    <t>RAC3</t>
  </si>
  <si>
    <t>EIF4A1</t>
  </si>
  <si>
    <t>RPS20</t>
  </si>
  <si>
    <t>PRPS1</t>
  </si>
  <si>
    <t>SHFM1</t>
  </si>
  <si>
    <t>CDC42</t>
  </si>
  <si>
    <t>DSTN</t>
  </si>
  <si>
    <t>GMFB</t>
  </si>
  <si>
    <t>RAB8A</t>
  </si>
  <si>
    <t>SPCS3</t>
  </si>
  <si>
    <t>SRP54</t>
  </si>
  <si>
    <t>RAB4B</t>
  </si>
  <si>
    <t>RAB2A</t>
  </si>
  <si>
    <t>RAB5B</t>
  </si>
  <si>
    <t>RAB10</t>
  </si>
  <si>
    <t>UBE2D3</t>
  </si>
  <si>
    <t>UBE2M</t>
  </si>
  <si>
    <t>UBE2K</t>
  </si>
  <si>
    <t>UBE2N</t>
  </si>
  <si>
    <t>RAB14</t>
  </si>
  <si>
    <t>ZC3H6</t>
  </si>
  <si>
    <t>ACTR3</t>
  </si>
  <si>
    <t>ACTR2</t>
  </si>
  <si>
    <t>ACTR1A</t>
  </si>
  <si>
    <t>COPS2</t>
  </si>
  <si>
    <t>POLR2F</t>
  </si>
  <si>
    <t>ABCE1</t>
  </si>
  <si>
    <t>RAP2B</t>
  </si>
  <si>
    <t>MAX</t>
  </si>
  <si>
    <t>RPS3A</t>
  </si>
  <si>
    <t>RPL26</t>
  </si>
  <si>
    <t>MAGOH</t>
  </si>
  <si>
    <t>RPL27</t>
  </si>
  <si>
    <t>PCBD1</t>
  </si>
  <si>
    <t>RHOA</t>
  </si>
  <si>
    <t>NAA20</t>
  </si>
  <si>
    <t>HSPE1</t>
  </si>
  <si>
    <t>VBP1</t>
  </si>
  <si>
    <t>STXBP1</t>
  </si>
  <si>
    <t>DCAF7</t>
  </si>
  <si>
    <t>WDR5</t>
  </si>
  <si>
    <t>AP1S1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</si>
  <si>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</si>
  <si>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</si>
  <si>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</si>
  <si>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</si>
  <si>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</si>
  <si>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</si>
  <si>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</si>
  <si>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</si>
  <si>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NCS1</t>
  </si>
  <si>
    <t>PSMC1</t>
  </si>
  <si>
    <t>PSMC5</t>
  </si>
  <si>
    <t>RPS8</t>
  </si>
  <si>
    <t>RPS16</t>
  </si>
  <si>
    <t>UBE2G1</t>
  </si>
  <si>
    <t>YWHAE</t>
  </si>
  <si>
    <t>RPS14</t>
  </si>
  <si>
    <t>RPS23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</si>
  <si>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</si>
  <si>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</si>
  <si>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</si>
  <si>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</si>
  <si>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</si>
  <si>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</si>
  <si>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</si>
  <si>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</si>
  <si>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</si>
  <si>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</si>
  <si>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</si>
  <si>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</si>
  <si>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</si>
  <si>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</si>
  <si>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RPL7A</t>
  </si>
  <si>
    <t>POLR2G</t>
  </si>
  <si>
    <t>ETF1</t>
  </si>
  <si>
    <t>CNBP</t>
  </si>
  <si>
    <t>YPEL5</t>
  </si>
  <si>
    <t>RPS4X</t>
  </si>
  <si>
    <t>RPL23A</t>
  </si>
  <si>
    <t>RPS6</t>
  </si>
  <si>
    <t>HIST1H4A</t>
  </si>
  <si>
    <t>RAB1A</t>
  </si>
  <si>
    <t>RPL23</t>
  </si>
  <si>
    <t>RAP1A</t>
  </si>
  <si>
    <t>UBE2D2</t>
  </si>
  <si>
    <t>RPS25</t>
  </si>
  <si>
    <t>RPS26</t>
  </si>
  <si>
    <t>RPS28</t>
  </si>
  <si>
    <t>GNB1</t>
  </si>
  <si>
    <t>POLR2L</t>
  </si>
  <si>
    <t>RBX1</t>
  </si>
  <si>
    <t>GNB2</t>
  </si>
  <si>
    <t>RPL31</t>
  </si>
  <si>
    <t>RPL10A</t>
  </si>
  <si>
    <t>RPL11</t>
  </si>
  <si>
    <t>PPIA</t>
  </si>
  <si>
    <t>FKBP1A</t>
  </si>
  <si>
    <t>RPS27A</t>
  </si>
  <si>
    <t>GRB2</t>
  </si>
  <si>
    <t>TRA2B</t>
  </si>
  <si>
    <t>RAC1</t>
  </si>
  <si>
    <t>AP2B1</t>
  </si>
  <si>
    <t>GNAS</t>
  </si>
  <si>
    <t>PPP2R2A</t>
  </si>
  <si>
    <t>DYNLL1</t>
  </si>
  <si>
    <t>RPL38</t>
  </si>
  <si>
    <t>GNG5</t>
  </si>
  <si>
    <t>EIF5A</t>
  </si>
  <si>
    <t>GNB2L1</t>
  </si>
  <si>
    <t>PPP2CA</t>
  </si>
  <si>
    <t>YBX1</t>
  </si>
  <si>
    <t>UBE2L3</t>
  </si>
  <si>
    <t>EEF1A1</t>
  </si>
  <si>
    <t>ACTA1</t>
  </si>
  <si>
    <t>TUBA1B</t>
  </si>
  <si>
    <t>TUBB4B</t>
  </si>
  <si>
    <t>PAFAH1B2</t>
  </si>
  <si>
    <t>HBG1</t>
  </si>
  <si>
    <t>HBG2</t>
  </si>
  <si>
    <t>HBA1</t>
  </si>
  <si>
    <t>NOP14</t>
  </si>
  <si>
    <t>IGBP1</t>
  </si>
  <si>
    <t>PSPH</t>
  </si>
  <si>
    <t>RBM6</t>
  </si>
  <si>
    <t>RPP38</t>
  </si>
  <si>
    <t>RPP30</t>
  </si>
  <si>
    <t>GTF2I</t>
  </si>
  <si>
    <t>PIP4K2B</t>
  </si>
  <si>
    <t>SRPK2</t>
  </si>
  <si>
    <t>CCT2</t>
  </si>
  <si>
    <t>RAE1</t>
  </si>
  <si>
    <t>GSTO1</t>
  </si>
  <si>
    <t>PRKDC</t>
  </si>
  <si>
    <t>ADAM17</t>
  </si>
  <si>
    <t>BLOC1S1</t>
  </si>
  <si>
    <t>ARG2</t>
  </si>
  <si>
    <t>CRADD</t>
  </si>
  <si>
    <t>IFI35</t>
  </si>
  <si>
    <t>NUCB2</t>
  </si>
  <si>
    <t>SSBP2</t>
  </si>
  <si>
    <t>TMF1</t>
  </si>
  <si>
    <t>MRPS35</t>
  </si>
  <si>
    <t>MRPS5</t>
  </si>
  <si>
    <t>MRPS36</t>
  </si>
  <si>
    <t>MRPS11</t>
  </si>
  <si>
    <t>MRPS34</t>
  </si>
  <si>
    <t>MRPS6</t>
  </si>
  <si>
    <t>MRPS9</t>
  </si>
  <si>
    <t>SARNP</t>
  </si>
  <si>
    <t>LACTB</t>
  </si>
  <si>
    <t>COG7</t>
  </si>
  <si>
    <t>SMAD3</t>
  </si>
  <si>
    <t>ARF1</t>
  </si>
  <si>
    <t>ARF5</t>
  </si>
  <si>
    <t>ERH</t>
  </si>
  <si>
    <t>RHOG</t>
  </si>
  <si>
    <t>SERF2</t>
  </si>
  <si>
    <t>FOXK1</t>
  </si>
  <si>
    <t>CCZ1</t>
  </si>
  <si>
    <t>DAB2</t>
  </si>
  <si>
    <t>DGCR2</t>
  </si>
  <si>
    <t>HSPG2</t>
  </si>
  <si>
    <t>XIAP</t>
  </si>
  <si>
    <t>EFNB1</t>
  </si>
  <si>
    <t>FAM3A</t>
  </si>
  <si>
    <t>RBM10</t>
  </si>
  <si>
    <t>RBM3</t>
  </si>
  <si>
    <t>MPP1</t>
  </si>
  <si>
    <t>TFAM</t>
  </si>
  <si>
    <t>PITPNA</t>
  </si>
  <si>
    <t>SLC25A3</t>
  </si>
  <si>
    <t>HDLBP</t>
  </si>
  <si>
    <t>GTF2B</t>
  </si>
  <si>
    <t>CDK6</t>
  </si>
  <si>
    <t>CDK5</t>
  </si>
  <si>
    <t>CDK16</t>
  </si>
  <si>
    <t>PURA</t>
  </si>
  <si>
    <t>CDC42EP1</t>
  </si>
  <si>
    <t>CLTC</t>
  </si>
  <si>
    <t>NFKB2</t>
  </si>
  <si>
    <t>FKBP3</t>
  </si>
  <si>
    <t>REEP5</t>
  </si>
  <si>
    <t>SORD</t>
  </si>
  <si>
    <t>HNRNPU</t>
  </si>
  <si>
    <t>B4GALNT1</t>
  </si>
  <si>
    <t>U2AF1</t>
  </si>
  <si>
    <t>SPTBN1</t>
  </si>
  <si>
    <t>TIAL1</t>
  </si>
  <si>
    <t>SET</t>
  </si>
  <si>
    <t>FOXK2</t>
  </si>
  <si>
    <t>GALK2</t>
  </si>
  <si>
    <t>AMPD3</t>
  </si>
  <si>
    <t>CTBS</t>
  </si>
  <si>
    <t>FABP5</t>
  </si>
  <si>
    <t>CAP1</t>
  </si>
  <si>
    <t>HMGCS1</t>
  </si>
  <si>
    <t>SLC7A5</t>
  </si>
  <si>
    <t>DR1</t>
  </si>
  <si>
    <t>TFAP4</t>
  </si>
  <si>
    <t>EXOSC10</t>
  </si>
  <si>
    <t>PFKP</t>
  </si>
  <si>
    <t>OCRL</t>
  </si>
  <si>
    <t>PLCB3</t>
  </si>
  <si>
    <t>ROR2</t>
  </si>
  <si>
    <t>AKAP17A</t>
  </si>
  <si>
    <t>SP2</t>
  </si>
  <si>
    <t>DHODH</t>
  </si>
  <si>
    <t>CENPE</t>
  </si>
  <si>
    <t>KIF23</t>
  </si>
  <si>
    <t>SP4</t>
  </si>
  <si>
    <t>RPL18A</t>
  </si>
  <si>
    <t>MAP2K1</t>
  </si>
  <si>
    <t>FKBP4</t>
  </si>
  <si>
    <t>PLOD1</t>
  </si>
  <si>
    <t>NUCB1</t>
  </si>
  <si>
    <t>RASSF7</t>
  </si>
  <si>
    <t>RPL6</t>
  </si>
  <si>
    <t>TOP2B</t>
  </si>
  <si>
    <t>AKAP12</t>
  </si>
  <si>
    <t>GSTM4</t>
  </si>
  <si>
    <t>HHEX</t>
  </si>
  <si>
    <t>MLLT1</t>
  </si>
  <si>
    <t>ACY1</t>
  </si>
  <si>
    <t>TGFBR3</t>
  </si>
  <si>
    <t>TNFAIP2</t>
  </si>
  <si>
    <t>CEBPZ</t>
  </si>
  <si>
    <t>GBE1</t>
  </si>
  <si>
    <t>ATP7A</t>
  </si>
  <si>
    <t>PRKCQ</t>
  </si>
  <si>
    <t>GLO1</t>
  </si>
  <si>
    <t>ACVR1</t>
  </si>
  <si>
    <t>AKR1C1</t>
  </si>
  <si>
    <t>YWHAH</t>
  </si>
  <si>
    <t>PLP2</t>
  </si>
  <si>
    <t>CSTF1</t>
  </si>
  <si>
    <t>UBE3A</t>
  </si>
  <si>
    <t>DNM1</t>
  </si>
  <si>
    <t>PTPN12</t>
  </si>
  <si>
    <t>SRSF11</t>
  </si>
  <si>
    <t>EEF1A2</t>
  </si>
  <si>
    <t>PRKCD</t>
  </si>
  <si>
    <t>RNASEL</t>
  </si>
  <si>
    <t>FPGS</t>
  </si>
  <si>
    <t>PTPN11</t>
  </si>
  <si>
    <t>BTK</t>
  </si>
  <si>
    <t>PPAT</t>
  </si>
  <si>
    <t>GFPT1</t>
  </si>
  <si>
    <t>EXOSC9</t>
  </si>
  <si>
    <t>RBPJ</t>
  </si>
  <si>
    <t>MEF2C</t>
  </si>
  <si>
    <t>APLP2</t>
  </si>
  <si>
    <t>GABPA</t>
  </si>
  <si>
    <t>RING1</t>
  </si>
  <si>
    <t>RAD51</t>
  </si>
  <si>
    <t>PRDX1</t>
  </si>
  <si>
    <t>C1QBP</t>
  </si>
  <si>
    <t>CD69</t>
  </si>
  <si>
    <t>TCHH</t>
  </si>
  <si>
    <t>KHDRBS1</t>
  </si>
  <si>
    <t>BAX</t>
  </si>
  <si>
    <t>MCL1</t>
  </si>
  <si>
    <t>POLE</t>
  </si>
  <si>
    <t>KLC1</t>
  </si>
  <si>
    <t>ARHGAP1</t>
  </si>
  <si>
    <t>SRSF4</t>
  </si>
  <si>
    <t>PPP3CA</t>
  </si>
  <si>
    <t>DHX9</t>
  </si>
  <si>
    <t>CRYZ</t>
  </si>
  <si>
    <t>DDR1</t>
  </si>
  <si>
    <t>SLC20A2</t>
  </si>
  <si>
    <t>GOLGA3</t>
  </si>
  <si>
    <t>GOLGA2</t>
  </si>
  <si>
    <t>EHHADH</t>
  </si>
  <si>
    <t>EPB49</t>
  </si>
  <si>
    <t>CD47</t>
  </si>
  <si>
    <t>PPID</t>
  </si>
  <si>
    <t>SSRP1</t>
  </si>
  <si>
    <t>MZT1</t>
  </si>
  <si>
    <t>VAC14</t>
  </si>
  <si>
    <t>KIAA0100</t>
  </si>
  <si>
    <t>ZNF365</t>
  </si>
  <si>
    <t>NSUN2</t>
  </si>
  <si>
    <t>RBBP4</t>
  </si>
  <si>
    <t>NCBP1</t>
  </si>
  <si>
    <t>MGAT5</t>
  </si>
  <si>
    <t>EP300</t>
  </si>
  <si>
    <t>AHNAK</t>
  </si>
  <si>
    <t>ELP6</t>
  </si>
  <si>
    <t>HSPA14</t>
  </si>
  <si>
    <t>SCRN3</t>
  </si>
  <si>
    <t>FAAP100</t>
  </si>
  <si>
    <t>MGAT2</t>
  </si>
  <si>
    <t>GALNT2</t>
  </si>
  <si>
    <t>AP1B1</t>
  </si>
  <si>
    <t>CPSF1</t>
  </si>
  <si>
    <t>BST2</t>
  </si>
  <si>
    <t>PMPCA</t>
  </si>
  <si>
    <t>NUP160</t>
  </si>
  <si>
    <t>SCAP</t>
  </si>
  <si>
    <t>TBL3</t>
  </si>
  <si>
    <t>GTF3C1</t>
  </si>
  <si>
    <t>TWF1</t>
  </si>
  <si>
    <t>ASPH</t>
  </si>
  <si>
    <t>KCNH2</t>
  </si>
  <si>
    <t>CDC20</t>
  </si>
  <si>
    <t>KIF5A</t>
  </si>
  <si>
    <t>STX4</t>
  </si>
  <si>
    <t>SFSWAP</t>
  </si>
  <si>
    <t>SF3A3</t>
  </si>
  <si>
    <t>TP53BP1</t>
  </si>
  <si>
    <t>TMEM115</t>
  </si>
  <si>
    <t>IFRD2</t>
  </si>
  <si>
    <t>AIMP1</t>
  </si>
  <si>
    <t>ILF2</t>
  </si>
  <si>
    <t>ILF3</t>
  </si>
  <si>
    <t>LMAN2</t>
  </si>
  <si>
    <t>TRAF2</t>
  </si>
  <si>
    <t>ANK3</t>
  </si>
  <si>
    <t>DLG1</t>
  </si>
  <si>
    <t>TAF10</t>
  </si>
  <si>
    <t>PPP1R8</t>
  </si>
  <si>
    <t>PTP4A2</t>
  </si>
  <si>
    <t>BNIP1</t>
  </si>
  <si>
    <t>NFX1</t>
  </si>
  <si>
    <t>CSTF3</t>
  </si>
  <si>
    <t>ECH1</t>
  </si>
  <si>
    <t>MLLT11</t>
  </si>
  <si>
    <t>ARHGAP5</t>
  </si>
  <si>
    <t>STRN3</t>
  </si>
  <si>
    <t>CDC16</t>
  </si>
  <si>
    <t>STK4</t>
  </si>
  <si>
    <t>FLII</t>
  </si>
  <si>
    <t>TRIM32</t>
  </si>
  <si>
    <t>COASY</t>
  </si>
  <si>
    <t>GAGE4</t>
  </si>
  <si>
    <t>GAGE6</t>
  </si>
  <si>
    <t>ACACA</t>
  </si>
  <si>
    <t>LCP2</t>
  </si>
  <si>
    <t>USP4</t>
  </si>
  <si>
    <t>CHAF1A</t>
  </si>
  <si>
    <t>CHAF1B</t>
  </si>
  <si>
    <t>IK</t>
  </si>
  <si>
    <t>RLF</t>
  </si>
  <si>
    <t>PRKAA1</t>
  </si>
  <si>
    <t>PPFIA1</t>
  </si>
  <si>
    <t>TARDBP</t>
  </si>
  <si>
    <t>HNRNPA0</t>
  </si>
  <si>
    <t>AIMP2</t>
  </si>
  <si>
    <t>FADD</t>
  </si>
  <si>
    <t>PRDX4</t>
  </si>
  <si>
    <t>MAPK7</t>
  </si>
  <si>
    <t>PAK2</t>
  </si>
  <si>
    <t>CBX3</t>
  </si>
  <si>
    <t>STK3</t>
  </si>
  <si>
    <t>STX5</t>
  </si>
  <si>
    <t>PSMD2</t>
  </si>
  <si>
    <t>DDX10</t>
  </si>
  <si>
    <t>DNAJC3</t>
  </si>
  <si>
    <t>SELENBP1</t>
  </si>
  <si>
    <t>NME3</t>
  </si>
  <si>
    <t>MAP3K1</t>
  </si>
  <si>
    <t>SRSF9</t>
  </si>
  <si>
    <t>SRSF5</t>
  </si>
  <si>
    <t>SRSF6</t>
  </si>
  <si>
    <t>MAD2L1</t>
  </si>
  <si>
    <t>TRIM28</t>
  </si>
  <si>
    <t>STX3</t>
  </si>
  <si>
    <t>G3BP1</t>
  </si>
  <si>
    <t>NMI</t>
  </si>
  <si>
    <t>PTK7</t>
  </si>
  <si>
    <t>SKP2</t>
  </si>
  <si>
    <t>PABPC4</t>
  </si>
  <si>
    <t>ATM</t>
  </si>
  <si>
    <t>GRB10</t>
  </si>
  <si>
    <t>MTA1</t>
  </si>
  <si>
    <t>EIF3I</t>
  </si>
  <si>
    <t>PPIL2</t>
  </si>
  <si>
    <t>PDCL</t>
  </si>
  <si>
    <t>PLD1</t>
  </si>
  <si>
    <t>MRPL49</t>
  </si>
  <si>
    <t>DYNC1I2</t>
  </si>
  <si>
    <t>ORC2</t>
  </si>
  <si>
    <t>ILK</t>
  </si>
  <si>
    <t>IKZF1</t>
  </si>
  <si>
    <t>NNT</t>
  </si>
  <si>
    <t>SNTA1</t>
  </si>
  <si>
    <t>SNTB2</t>
  </si>
  <si>
    <t>XRCC4</t>
  </si>
  <si>
    <t>PPIG</t>
  </si>
  <si>
    <t>TCOF1</t>
  </si>
  <si>
    <t>UNC119</t>
  </si>
  <si>
    <t>SF3B2</t>
  </si>
  <si>
    <t>OS9</t>
  </si>
  <si>
    <t>GOLGA4</t>
  </si>
  <si>
    <t>PDAP1</t>
  </si>
  <si>
    <t>ADAM9</t>
  </si>
  <si>
    <t>ADAM15</t>
  </si>
  <si>
    <t>TMED1</t>
  </si>
  <si>
    <t>FKBP5</t>
  </si>
  <si>
    <t>ROCK1</t>
  </si>
  <si>
    <t>FZD5</t>
  </si>
  <si>
    <t>NFATC2</t>
  </si>
  <si>
    <t>GAB1</t>
  </si>
  <si>
    <t>TCIRG1</t>
  </si>
  <si>
    <t>PICALM</t>
  </si>
  <si>
    <t>MTM1</t>
  </si>
  <si>
    <t>SQSTM1</t>
  </si>
  <si>
    <t>MTX1</t>
  </si>
  <si>
    <t>NAB1</t>
  </si>
  <si>
    <t>TUBB3</t>
  </si>
  <si>
    <t>PIN1</t>
  </si>
  <si>
    <t>ATR</t>
  </si>
  <si>
    <t>EIF4EBP1</t>
  </si>
  <si>
    <t>EIF4EBP2</t>
  </si>
  <si>
    <t>RIPK1</t>
  </si>
  <si>
    <t>HDAC1</t>
  </si>
  <si>
    <t>NAE1</t>
  </si>
  <si>
    <t>ITPK1</t>
  </si>
  <si>
    <t>SNW1</t>
  </si>
  <si>
    <t>IQGAP2</t>
  </si>
  <si>
    <t>STIM1</t>
  </si>
  <si>
    <t>SNX1</t>
  </si>
  <si>
    <t>PEX6</t>
  </si>
  <si>
    <t>MTMR2</t>
  </si>
  <si>
    <t>CUL1</t>
  </si>
  <si>
    <t>CUL2</t>
  </si>
  <si>
    <t>CUL3</t>
  </si>
  <si>
    <t>CUL4A</t>
  </si>
  <si>
    <t>CUL4B</t>
  </si>
  <si>
    <t>TP53BP2</t>
  </si>
  <si>
    <t>DYRK1A</t>
  </si>
  <si>
    <t>TSTA3</t>
  </si>
  <si>
    <t>RAB31</t>
  </si>
  <si>
    <t>RAB32</t>
  </si>
  <si>
    <t>FHL3</t>
  </si>
  <si>
    <t>PMS2P11</t>
  </si>
  <si>
    <t>ALKBH1</t>
  </si>
  <si>
    <t>MOGS</t>
  </si>
  <si>
    <t>THOC5</t>
  </si>
  <si>
    <t>ARFRP1</t>
  </si>
  <si>
    <t>EXOSC2</t>
  </si>
  <si>
    <t>TUBB2A</t>
  </si>
  <si>
    <t>BYSL</t>
  </si>
  <si>
    <t>IDI1</t>
  </si>
  <si>
    <t>CBFB</t>
  </si>
  <si>
    <t>NFYC</t>
  </si>
  <si>
    <t>CKAP5</t>
  </si>
  <si>
    <t>CIRBP</t>
  </si>
  <si>
    <t>COTL1</t>
  </si>
  <si>
    <t>COX17</t>
  </si>
  <si>
    <t>HNRNPD</t>
  </si>
  <si>
    <t>SCARB2</t>
  </si>
  <si>
    <t>LRP8</t>
  </si>
  <si>
    <t>IL18</t>
  </si>
  <si>
    <t>DAG1</t>
  </si>
  <si>
    <t>DSG2</t>
  </si>
  <si>
    <t>BOP1</t>
  </si>
  <si>
    <t>UBE4A</t>
  </si>
  <si>
    <t>TRIM14</t>
  </si>
  <si>
    <t>KEAP1</t>
  </si>
  <si>
    <t>DHX34</t>
  </si>
  <si>
    <t>MORC3</t>
  </si>
  <si>
    <t>SAFB2</t>
  </si>
  <si>
    <t>EIF3A</t>
  </si>
  <si>
    <t>UBAP2L</t>
  </si>
  <si>
    <t>SCRIB</t>
  </si>
  <si>
    <t>MLEC</t>
  </si>
  <si>
    <t>TTLL12</t>
  </si>
  <si>
    <t>POLA2</t>
  </si>
  <si>
    <t>WRN</t>
  </si>
  <si>
    <t>DYNC1H1</t>
  </si>
  <si>
    <t>EIF2B1</t>
  </si>
  <si>
    <t>EIF4A2</t>
  </si>
  <si>
    <t>TCEB3</t>
  </si>
  <si>
    <t>MAP7</t>
  </si>
  <si>
    <t>CTTN</t>
  </si>
  <si>
    <t>ENDOG</t>
  </si>
  <si>
    <t>RCN2</t>
  </si>
  <si>
    <t>TRIM25</t>
  </si>
  <si>
    <t>PTK2B</t>
  </si>
  <si>
    <t>FLNC</t>
  </si>
  <si>
    <t>FAM50A</t>
  </si>
  <si>
    <t>FRG1</t>
  </si>
  <si>
    <t>GNA13</t>
  </si>
  <si>
    <t>GAMT</t>
  </si>
  <si>
    <t>GALE</t>
  </si>
  <si>
    <t>CAPRIN1</t>
  </si>
  <si>
    <t>BECN1</t>
  </si>
  <si>
    <t>HES1</t>
  </si>
  <si>
    <t>RBM39</t>
  </si>
  <si>
    <t>FAT1</t>
  </si>
  <si>
    <t>HABP2</t>
  </si>
  <si>
    <t>HLTF</t>
  </si>
  <si>
    <t>SQLE</t>
  </si>
  <si>
    <t>PDIA5</t>
  </si>
  <si>
    <t>PRPSAP1</t>
  </si>
  <si>
    <t>DHX8</t>
  </si>
  <si>
    <t>MCM6</t>
  </si>
  <si>
    <t>ITPR3</t>
  </si>
  <si>
    <t>RASA3</t>
  </si>
  <si>
    <t>PLS1</t>
  </si>
  <si>
    <t>IRF3</t>
  </si>
  <si>
    <t>LAGE3</t>
  </si>
  <si>
    <t>TRIP12</t>
  </si>
  <si>
    <t>PUM1</t>
  </si>
  <si>
    <t>ESPL1</t>
  </si>
  <si>
    <t>MDC1</t>
  </si>
  <si>
    <t>CLINT1</t>
  </si>
  <si>
    <t>MELK</t>
  </si>
  <si>
    <t>KCTD2</t>
  </si>
  <si>
    <t>SMC1A</t>
  </si>
  <si>
    <t>RRP1B</t>
  </si>
  <si>
    <t>NCOA6</t>
  </si>
  <si>
    <t>GSE1</t>
  </si>
  <si>
    <t>PDCD11</t>
  </si>
  <si>
    <t>GINS1</t>
  </si>
  <si>
    <t>BMS1</t>
  </si>
  <si>
    <t>USP10</t>
  </si>
  <si>
    <t>MESDC2</t>
  </si>
  <si>
    <t>GANAB</t>
  </si>
  <si>
    <t>LBR</t>
  </si>
  <si>
    <t>CBX2</t>
  </si>
  <si>
    <t>GOLGB1</t>
  </si>
  <si>
    <t>CASP8</t>
  </si>
  <si>
    <t>NAA30</t>
  </si>
  <si>
    <t>KIF22</t>
  </si>
  <si>
    <t>LASP1</t>
  </si>
  <si>
    <t>ZNF638</t>
  </si>
  <si>
    <t>KPNB1</t>
  </si>
  <si>
    <t>NOLC1</t>
  </si>
  <si>
    <t>NUMA1</t>
  </si>
  <si>
    <t>PSME4</t>
  </si>
  <si>
    <t>SLMAP</t>
  </si>
  <si>
    <t>GAPVD1</t>
  </si>
  <si>
    <t>NAA25</t>
  </si>
  <si>
    <t>FASTKD3</t>
  </si>
  <si>
    <t>KIAA0101</t>
  </si>
  <si>
    <t>EMC2</t>
  </si>
  <si>
    <t>WTAP</t>
  </si>
  <si>
    <t>PSMD6</t>
  </si>
  <si>
    <t>HERPUD1</t>
  </si>
  <si>
    <t>LAPTM4A</t>
  </si>
  <si>
    <t>MAD2L1BP</t>
  </si>
  <si>
    <t>FAM175B</t>
  </si>
  <si>
    <t>SEPT2</t>
  </si>
  <si>
    <t>SART3</t>
  </si>
  <si>
    <t>NCAPD2</t>
  </si>
  <si>
    <t>EXOSC7</t>
  </si>
  <si>
    <t>EFTUD2</t>
  </si>
  <si>
    <t>R3HDM1</t>
  </si>
  <si>
    <t>SNX17</t>
  </si>
  <si>
    <t>DAZAP2</t>
  </si>
  <si>
    <t>RAB3GAP1</t>
  </si>
  <si>
    <t>SLC39A14</t>
  </si>
  <si>
    <t>KARS</t>
  </si>
  <si>
    <t>SETDB1</t>
  </si>
  <si>
    <t>LRRC14</t>
  </si>
  <si>
    <t>EIF4H</t>
  </si>
  <si>
    <t>ACAP2</t>
  </si>
  <si>
    <t>KIF14</t>
  </si>
  <si>
    <t>BRD3</t>
  </si>
  <si>
    <t>WDR43</t>
  </si>
  <si>
    <t>ACOX1</t>
  </si>
  <si>
    <t>EEA1</t>
  </si>
  <si>
    <t>PAFAH1B3</t>
  </si>
  <si>
    <t>PLCL1</t>
  </si>
  <si>
    <t>PDK1</t>
  </si>
  <si>
    <t>PEA15</t>
  </si>
  <si>
    <t>PMVK</t>
  </si>
  <si>
    <t>CDK10</t>
  </si>
  <si>
    <t>PLEC</t>
  </si>
  <si>
    <t>NOMO1</t>
  </si>
  <si>
    <t>PPP2R5A</t>
  </si>
  <si>
    <t>PPA1</t>
  </si>
  <si>
    <t>STK38</t>
  </si>
  <si>
    <t>NONO</t>
  </si>
  <si>
    <t>PWP2</t>
  </si>
  <si>
    <t>QPRT</t>
  </si>
  <si>
    <t>RABEP1</t>
  </si>
  <si>
    <t>RAB35</t>
  </si>
  <si>
    <t>RBBP5</t>
  </si>
  <si>
    <t>RCN1</t>
  </si>
  <si>
    <t>RALBP1</t>
  </si>
  <si>
    <t>LLGL1</t>
  </si>
  <si>
    <t>LRRC41</t>
  </si>
  <si>
    <t>TMED2</t>
  </si>
  <si>
    <t>PCBP1</t>
  </si>
  <si>
    <t>TCEB2</t>
  </si>
  <si>
    <t>RHEB</t>
  </si>
  <si>
    <t>UBE3C</t>
  </si>
  <si>
    <t>SF3B3</t>
  </si>
  <si>
    <t>DLGAP5</t>
  </si>
  <si>
    <t>RSU1</t>
  </si>
  <si>
    <t>SAFB</t>
  </si>
  <si>
    <t>SF3A2</t>
  </si>
  <si>
    <t>PPP1R7</t>
  </si>
  <si>
    <t>SEC23B</t>
  </si>
  <si>
    <t>SF3A1</t>
  </si>
  <si>
    <t>SHB</t>
  </si>
  <si>
    <t>SPA17</t>
  </si>
  <si>
    <t>SURF1</t>
  </si>
  <si>
    <t>SURF2</t>
  </si>
  <si>
    <t>TAF5</t>
  </si>
  <si>
    <t>TAF13</t>
  </si>
  <si>
    <t>TAF11</t>
  </si>
  <si>
    <t>TAF7</t>
  </si>
  <si>
    <t>TERF2</t>
  </si>
  <si>
    <t>MAPRE2</t>
  </si>
  <si>
    <t>NCOA2</t>
  </si>
  <si>
    <t>SLC9A3R2</t>
  </si>
  <si>
    <t>TRADD</t>
  </si>
  <si>
    <t>TRIP10</t>
  </si>
  <si>
    <t>TRIP11</t>
  </si>
  <si>
    <t>TRIP13</t>
  </si>
  <si>
    <t>MED1</t>
  </si>
  <si>
    <t>ZNHIT3</t>
  </si>
  <si>
    <t>TRIP4</t>
  </si>
  <si>
    <t>HMGN3</t>
  </si>
  <si>
    <t>JMJD1C</t>
  </si>
  <si>
    <t>NFKBIB</t>
  </si>
  <si>
    <t>TRIP6</t>
  </si>
  <si>
    <t>MAPRE1</t>
  </si>
  <si>
    <t>TSC22D1</t>
  </si>
  <si>
    <t>ELAVL1</t>
  </si>
  <si>
    <t>NSDHL</t>
  </si>
  <si>
    <t>NAB2</t>
  </si>
  <si>
    <t>GPR68</t>
  </si>
  <si>
    <t>MYLK</t>
  </si>
  <si>
    <t>TAB1</t>
  </si>
  <si>
    <t>HERC1</t>
  </si>
  <si>
    <t>SLC1A5</t>
  </si>
  <si>
    <t>MAPK11</t>
  </si>
  <si>
    <t>MLF2</t>
  </si>
  <si>
    <t>TOMM34</t>
  </si>
  <si>
    <t>SMAD2</t>
  </si>
  <si>
    <t>MSMO1</t>
  </si>
  <si>
    <t>TBCC</t>
  </si>
  <si>
    <t>UBE2V2</t>
  </si>
  <si>
    <t>STK11</t>
  </si>
  <si>
    <t>STXBP2</t>
  </si>
  <si>
    <t>VAMP3</t>
  </si>
  <si>
    <t>ATP6AP1</t>
  </si>
  <si>
    <t>VPS72</t>
  </si>
  <si>
    <t>RAB11B</t>
  </si>
  <si>
    <t>EZH2</t>
  </si>
  <si>
    <t>ZYX</t>
  </si>
  <si>
    <t>ETFDH</t>
  </si>
  <si>
    <t>ADRM1</t>
  </si>
  <si>
    <t>CCDC6</t>
  </si>
  <si>
    <t>UAP1</t>
  </si>
  <si>
    <t>SSX1</t>
  </si>
  <si>
    <t>PSMD5</t>
  </si>
  <si>
    <t>PKN1</t>
  </si>
  <si>
    <t>PKN2</t>
  </si>
  <si>
    <t>TAF12</t>
  </si>
  <si>
    <t>DDB1</t>
  </si>
  <si>
    <t>MAPK14</t>
  </si>
  <si>
    <t>DPYSL2</t>
  </si>
  <si>
    <t>ZNF74</t>
  </si>
  <si>
    <t>TAF9</t>
  </si>
  <si>
    <t>ZNF239</t>
  </si>
  <si>
    <t>ECM1</t>
  </si>
  <si>
    <t>MEA1</t>
  </si>
  <si>
    <t>CPSF6</t>
  </si>
  <si>
    <t>DBN1</t>
  </si>
  <si>
    <t>MAPKAPK3</t>
  </si>
  <si>
    <t>NRF1</t>
  </si>
  <si>
    <t>FSCN1</t>
  </si>
  <si>
    <t>MAN2A1</t>
  </si>
  <si>
    <t>NDUFA5</t>
  </si>
  <si>
    <t>ATP2B3</t>
  </si>
  <si>
    <t>UGCG</t>
  </si>
  <si>
    <t>CLPP</t>
  </si>
  <si>
    <t>TST</t>
  </si>
  <si>
    <t>UBE2S</t>
  </si>
  <si>
    <t>HIST2H2BE</t>
  </si>
  <si>
    <t>NDUFA9</t>
  </si>
  <si>
    <t>PCK2</t>
  </si>
  <si>
    <t>CYP51A1</t>
  </si>
  <si>
    <t>DGUOK</t>
  </si>
  <si>
    <t>ATP6V1F</t>
  </si>
  <si>
    <t>UGT8</t>
  </si>
  <si>
    <t>REL</t>
  </si>
  <si>
    <t>KNOP1</t>
  </si>
  <si>
    <t>HNRNPUL2</t>
  </si>
  <si>
    <t>LONRF2</t>
  </si>
  <si>
    <t>CSPP1</t>
  </si>
  <si>
    <t>INF2</t>
  </si>
  <si>
    <t>MICB</t>
  </si>
  <si>
    <t>PDS5A</t>
  </si>
  <si>
    <t>QSER1</t>
  </si>
  <si>
    <t>CLEC16A</t>
  </si>
  <si>
    <t>AAK1</t>
  </si>
  <si>
    <t>KIAA1033</t>
  </si>
  <si>
    <t>ERCC6L</t>
  </si>
  <si>
    <t>C2orf68</t>
  </si>
  <si>
    <t>TSR1</t>
  </si>
  <si>
    <t>ALG11</t>
  </si>
  <si>
    <t>QRICH1</t>
  </si>
  <si>
    <t>RELA</t>
  </si>
  <si>
    <t>SMU1</t>
  </si>
  <si>
    <t>CWF19L2</t>
  </si>
  <si>
    <t>LRRFIP1</t>
  </si>
  <si>
    <t>POLD3</t>
  </si>
  <si>
    <t>PGS1</t>
  </si>
  <si>
    <t>LEPRE1</t>
  </si>
  <si>
    <t>TRMT5</t>
  </si>
  <si>
    <t>NME1-NME2</t>
  </si>
  <si>
    <t>TWISTNB</t>
  </si>
  <si>
    <t>EDRF1</t>
  </si>
  <si>
    <t>PMS1</t>
  </si>
  <si>
    <t>MAP7D1</t>
  </si>
  <si>
    <t>UAP1L1</t>
  </si>
  <si>
    <t>ALKBH6</t>
  </si>
  <si>
    <t>DAK</t>
  </si>
  <si>
    <t>LSM12</t>
  </si>
  <si>
    <t>PUS10</t>
  </si>
  <si>
    <t>HSDL1</t>
  </si>
  <si>
    <t>SP6</t>
  </si>
  <si>
    <t>CCDC88A</t>
  </si>
  <si>
    <t>RABL6</t>
  </si>
  <si>
    <t>VMA21</t>
  </si>
  <si>
    <t>TUBB8</t>
  </si>
  <si>
    <t>TIMM50</t>
  </si>
  <si>
    <t>CRY2</t>
  </si>
  <si>
    <t>C5orf22</t>
  </si>
  <si>
    <t>COX19</t>
  </si>
  <si>
    <t>VPS26B</t>
  </si>
  <si>
    <t>CCSMST1</t>
  </si>
  <si>
    <t>LARP7</t>
  </si>
  <si>
    <t>NADKD1</t>
  </si>
  <si>
    <t>GXYLT1</t>
  </si>
  <si>
    <t>ACSF3</t>
  </si>
  <si>
    <t>PREPL</t>
  </si>
  <si>
    <t>TBC1D10B</t>
  </si>
  <si>
    <t>ANO6</t>
  </si>
  <si>
    <t>PLCH1</t>
  </si>
  <si>
    <t>DNAL1</t>
  </si>
  <si>
    <t>ARID4B</t>
  </si>
  <si>
    <t>GRIPAP1</t>
  </si>
  <si>
    <t>CYP11B1</t>
  </si>
  <si>
    <t>BCL7A</t>
  </si>
  <si>
    <t>DECR2</t>
  </si>
  <si>
    <t>TMEM259</t>
  </si>
  <si>
    <t>PAN2</t>
  </si>
  <si>
    <t>FAM98B</t>
  </si>
  <si>
    <t>PDCD4</t>
  </si>
  <si>
    <t>FNDC3B</t>
  </si>
  <si>
    <t>AGPAT9</t>
  </si>
  <si>
    <t>CEP55</t>
  </si>
  <si>
    <t>TP53I3</t>
  </si>
  <si>
    <t>C11orf73</t>
  </si>
  <si>
    <t>ACSM3</t>
  </si>
  <si>
    <t>HSD17B12</t>
  </si>
  <si>
    <t>SETMAR</t>
  </si>
  <si>
    <t>TRMT12</t>
  </si>
  <si>
    <t>LACTB2</t>
  </si>
  <si>
    <t>PYCRL</t>
  </si>
  <si>
    <t>FASTKD1</t>
  </si>
  <si>
    <t>ANKRD39</t>
  </si>
  <si>
    <t>BOLA3</t>
  </si>
  <si>
    <t>HS1BP3</t>
  </si>
  <si>
    <t>CYBRD1</t>
  </si>
  <si>
    <t>SGOL2</t>
  </si>
  <si>
    <t>MPV17L2</t>
  </si>
  <si>
    <t>SFT2D3</t>
  </si>
  <si>
    <t>PAN3</t>
  </si>
  <si>
    <t>HSP90AB3P</t>
  </si>
  <si>
    <t>HSP90AB2P</t>
  </si>
  <si>
    <t>HSP90AA4P</t>
  </si>
  <si>
    <t>DCAF6</t>
  </si>
  <si>
    <t>RPL39P5</t>
  </si>
  <si>
    <t>OXLD1</t>
  </si>
  <si>
    <t>C19orf54</t>
  </si>
  <si>
    <t>SLC45A4</t>
  </si>
  <si>
    <t>CD80</t>
  </si>
  <si>
    <t>RILPL1</t>
  </si>
  <si>
    <t>PDZD11</t>
  </si>
  <si>
    <t>CMPK2</t>
  </si>
  <si>
    <t>DNAJC21</t>
  </si>
  <si>
    <t>HERC4</t>
  </si>
  <si>
    <t>UTS2</t>
  </si>
  <si>
    <t>PKIG</t>
  </si>
  <si>
    <t>TIMP1</t>
  </si>
  <si>
    <t>DNASE1L1</t>
  </si>
  <si>
    <t>RABL3</t>
  </si>
  <si>
    <t>WDR46</t>
  </si>
  <si>
    <t>ART3</t>
  </si>
  <si>
    <t>TUBB</t>
  </si>
  <si>
    <t>NOMO2</t>
  </si>
  <si>
    <t>EARS2</t>
  </si>
  <si>
    <t>RHOC</t>
  </si>
  <si>
    <t>MIA3</t>
  </si>
  <si>
    <t>NUPL1</t>
  </si>
  <si>
    <t>SRSF10</t>
  </si>
  <si>
    <t>PAGE2B</t>
  </si>
  <si>
    <t>PITRM1</t>
  </si>
  <si>
    <t>PSMG4</t>
  </si>
  <si>
    <t>WDR44</t>
  </si>
  <si>
    <t>HMGN5</t>
  </si>
  <si>
    <t>PRRC2B</t>
  </si>
  <si>
    <t>LAMC3</t>
  </si>
  <si>
    <t>TJAP1</t>
  </si>
  <si>
    <t>RRP12</t>
  </si>
  <si>
    <t>COA6</t>
  </si>
  <si>
    <t>LAMA5</t>
  </si>
  <si>
    <t>GMEB2</t>
  </si>
  <si>
    <t>TOR1AIP1</t>
  </si>
  <si>
    <t>AARS2</t>
  </si>
  <si>
    <t>TOR2A</t>
  </si>
  <si>
    <t>IQSEC2</t>
  </si>
  <si>
    <t>RAPGEF1</t>
  </si>
  <si>
    <t>FAM78A</t>
  </si>
  <si>
    <t>TEX30</t>
  </si>
  <si>
    <t>DLG3</t>
  </si>
  <si>
    <t>PCID2</t>
  </si>
  <si>
    <t>ELMO2</t>
  </si>
  <si>
    <t>STAU1</t>
  </si>
  <si>
    <t>TMEM230</t>
  </si>
  <si>
    <t>TASP1</t>
  </si>
  <si>
    <t>MED23</t>
  </si>
  <si>
    <t>MIIP</t>
  </si>
  <si>
    <t>MORF4L2</t>
  </si>
  <si>
    <t>CRNKL1</t>
  </si>
  <si>
    <t>UCHL5</t>
  </si>
  <si>
    <t>SPECC1</t>
  </si>
  <si>
    <t>SMEK2</t>
  </si>
  <si>
    <t>WDR45B</t>
  </si>
  <si>
    <t>EOGT</t>
  </si>
  <si>
    <t>DNTTIP2</t>
  </si>
  <si>
    <t>PEX19</t>
  </si>
  <si>
    <t>ATP5F1</t>
  </si>
  <si>
    <t>BCL2L1</t>
  </si>
  <si>
    <t>DCAF10</t>
  </si>
  <si>
    <t>MRPS18A</t>
  </si>
  <si>
    <t>TTPAL</t>
  </si>
  <si>
    <t>DPM1</t>
  </si>
  <si>
    <t>RABGAP1L</t>
  </si>
  <si>
    <t>MPC2</t>
  </si>
  <si>
    <t>TTC38</t>
  </si>
  <si>
    <t>COX20</t>
  </si>
  <si>
    <t>EXOSC6</t>
  </si>
  <si>
    <t>MTHFR</t>
  </si>
  <si>
    <t>PIK3CD</t>
  </si>
  <si>
    <t>CLSTN1</t>
  </si>
  <si>
    <t>HIATL1</t>
  </si>
  <si>
    <t>NUP188</t>
  </si>
  <si>
    <t>CDC40</t>
  </si>
  <si>
    <t>CSNK2B</t>
  </si>
  <si>
    <t>HP1BP3</t>
  </si>
  <si>
    <t>VARS2</t>
  </si>
  <si>
    <t>DNMBP</t>
  </si>
  <si>
    <t>CEP170</t>
  </si>
  <si>
    <t>ODR4</t>
  </si>
  <si>
    <t>DNLZ</t>
  </si>
  <si>
    <t>NOL9</t>
  </si>
  <si>
    <t>SF3B4</t>
  </si>
  <si>
    <t>CERS2</t>
  </si>
  <si>
    <t>TDRKH</t>
  </si>
  <si>
    <t>TPRG1L</t>
  </si>
  <si>
    <t>PKIB</t>
  </si>
  <si>
    <t>C9orf156</t>
  </si>
  <si>
    <t>SH3BGRL3</t>
  </si>
  <si>
    <t>RARS2</t>
  </si>
  <si>
    <t>PYGO2</t>
  </si>
  <si>
    <t>CKS1B</t>
  </si>
  <si>
    <t>THEM4</t>
  </si>
  <si>
    <t>FKBP15</t>
  </si>
  <si>
    <t>DDX59</t>
  </si>
  <si>
    <t>LHPP</t>
  </si>
  <si>
    <t>ZC3H13</t>
  </si>
  <si>
    <t>C9orf114</t>
  </si>
  <si>
    <t>OTUD3</t>
  </si>
  <si>
    <t>BCKDHB</t>
  </si>
  <si>
    <t>PDSS1</t>
  </si>
  <si>
    <t>LRIF1</t>
  </si>
  <si>
    <t>HEATR1</t>
  </si>
  <si>
    <t>ABCC10</t>
  </si>
  <si>
    <t>MUTYH</t>
  </si>
  <si>
    <t>IBA57</t>
  </si>
  <si>
    <t>HECTD3</t>
  </si>
  <si>
    <t>COQ4</t>
  </si>
  <si>
    <t>TMTC4</t>
  </si>
  <si>
    <t>UBR4</t>
  </si>
  <si>
    <t>ACADM</t>
  </si>
  <si>
    <t>RABGGTB</t>
  </si>
  <si>
    <t>STXBP5</t>
  </si>
  <si>
    <t>SARS</t>
  </si>
  <si>
    <t>ARHGAP21</t>
  </si>
  <si>
    <t>BEND3</t>
  </si>
  <si>
    <t>CAMSAP1</t>
  </si>
  <si>
    <t>DCAF12</t>
  </si>
  <si>
    <t>UBAP2</t>
  </si>
  <si>
    <t>PHF19</t>
  </si>
  <si>
    <t>C9orf64</t>
  </si>
  <si>
    <t>TMEM59</t>
  </si>
  <si>
    <t>ADCK3</t>
  </si>
  <si>
    <t>GORAB</t>
  </si>
  <si>
    <t>ACBD5</t>
  </si>
  <si>
    <t>COX6A1P2</t>
  </si>
  <si>
    <t>FAM102B</t>
  </si>
  <si>
    <t>RBM26</t>
  </si>
  <si>
    <t>SURF4</t>
  </si>
  <si>
    <t>ATAD3B</t>
  </si>
  <si>
    <t>AK1</t>
  </si>
  <si>
    <t>MEF2D</t>
  </si>
  <si>
    <t>RNF187</t>
  </si>
  <si>
    <t>CPSF3L</t>
  </si>
  <si>
    <t>GLTPD1</t>
  </si>
  <si>
    <t>AGO1</t>
  </si>
  <si>
    <t>HPS1</t>
  </si>
  <si>
    <t>CAB39L</t>
  </si>
  <si>
    <t>ZCCHC11</t>
  </si>
  <si>
    <t>RNASEH2B</t>
  </si>
  <si>
    <t>TAF4</t>
  </si>
  <si>
    <t>LSM14B</t>
  </si>
  <si>
    <t>RC3H1</t>
  </si>
  <si>
    <t>NQO2</t>
  </si>
  <si>
    <t>DNAJC16</t>
  </si>
  <si>
    <t>DDI2</t>
  </si>
  <si>
    <t>NDUFAF5</t>
  </si>
  <si>
    <t>GINM1</t>
  </si>
  <si>
    <t>NT5DC1</t>
  </si>
  <si>
    <t>NDRG3</t>
  </si>
  <si>
    <t>VPS13D</t>
  </si>
  <si>
    <t>PRR14L</t>
  </si>
  <si>
    <t>METTL18</t>
  </si>
  <si>
    <t>SLC19A2</t>
  </si>
  <si>
    <t>SFT2D2</t>
  </si>
  <si>
    <t>LYRM7</t>
  </si>
  <si>
    <t>RIF1</t>
  </si>
  <si>
    <t>VPS53</t>
  </si>
  <si>
    <t>STRIP1</t>
  </si>
  <si>
    <t>RPRD2</t>
  </si>
  <si>
    <t>GHITM</t>
  </si>
  <si>
    <t>GFI1B</t>
  </si>
  <si>
    <t>PRPF38B</t>
  </si>
  <si>
    <t>RNF20</t>
  </si>
  <si>
    <t>DYNLT1</t>
  </si>
  <si>
    <t>ZNF318</t>
  </si>
  <si>
    <t>CDKAL1</t>
  </si>
  <si>
    <t>ZNF691</t>
  </si>
  <si>
    <t>MGST3</t>
  </si>
  <si>
    <t>PLEKHM2</t>
  </si>
  <si>
    <t>MYSM1</t>
  </si>
  <si>
    <t>YOD1</t>
  </si>
  <si>
    <t>BROX</t>
  </si>
  <si>
    <t>GPAM</t>
  </si>
  <si>
    <t>SNX30</t>
  </si>
  <si>
    <t>FAM46C</t>
  </si>
  <si>
    <t>RSBN1</t>
  </si>
  <si>
    <t>PARD3</t>
  </si>
  <si>
    <t>LYPLAL1</t>
  </si>
  <si>
    <t>ARHGEF2</t>
  </si>
  <si>
    <t>JAKMIP3</t>
  </si>
  <si>
    <t>NAA35</t>
  </si>
  <si>
    <t>C9orf91</t>
  </si>
  <si>
    <t>ZMYM4</t>
  </si>
  <si>
    <t>GLIPR2</t>
  </si>
  <si>
    <t>TPP2</t>
  </si>
  <si>
    <t>CELF2</t>
  </si>
  <si>
    <t>ITM2B</t>
  </si>
  <si>
    <t>FAM160B1</t>
  </si>
  <si>
    <t>SPRYD7</t>
  </si>
  <si>
    <t>NDUFB8</t>
  </si>
  <si>
    <t>QIL1</t>
  </si>
  <si>
    <t>RNF123</t>
  </si>
  <si>
    <t>FBXW9</t>
  </si>
  <si>
    <t>RNF213</t>
  </si>
  <si>
    <t>LPCAT4</t>
  </si>
  <si>
    <t>STEAP3</t>
  </si>
  <si>
    <t>CEP135</t>
  </si>
  <si>
    <t>TBC1D9B</t>
  </si>
  <si>
    <t>DCAF15</t>
  </si>
  <si>
    <t>PPP2R2D</t>
  </si>
  <si>
    <t>PFKFB4</t>
  </si>
  <si>
    <t>KAZN</t>
  </si>
  <si>
    <t>DIEXF</t>
  </si>
  <si>
    <t>SPTY2D1</t>
  </si>
  <si>
    <t>NCR3LG1</t>
  </si>
  <si>
    <t>MBLAC2</t>
  </si>
  <si>
    <t>LMBRD2</t>
  </si>
  <si>
    <t>INTS3</t>
  </si>
  <si>
    <t>ARHGAP17</t>
  </si>
  <si>
    <t>CDCA2</t>
  </si>
  <si>
    <t>DKFZp762C0813</t>
  </si>
  <si>
    <t>CWF19L1</t>
  </si>
  <si>
    <t>KIAA1429</t>
  </si>
  <si>
    <t>SPECC1L</t>
  </si>
  <si>
    <t>C12orf73</t>
  </si>
  <si>
    <t>HEATR6</t>
  </si>
  <si>
    <t>ANKRD40</t>
  </si>
  <si>
    <t>CYB5R2</t>
  </si>
  <si>
    <t>UHRF1BP1</t>
  </si>
  <si>
    <t>AMMECR1L</t>
  </si>
  <si>
    <t>ZNF787</t>
  </si>
  <si>
    <t>ATL3</t>
  </si>
  <si>
    <t>ADAL</t>
  </si>
  <si>
    <t>CDC42BPG</t>
  </si>
  <si>
    <t>POLR2M</t>
  </si>
  <si>
    <t>VASN</t>
  </si>
  <si>
    <t>CIAPIN1</t>
  </si>
  <si>
    <t>ZFAND6</t>
  </si>
  <si>
    <t>SMYD5</t>
  </si>
  <si>
    <t>PTRHD1</t>
  </si>
  <si>
    <t>OTUD7B</t>
  </si>
  <si>
    <t>THOC7</t>
  </si>
  <si>
    <t>NADSYN1</t>
  </si>
  <si>
    <t>ELP2</t>
  </si>
  <si>
    <t>LAMTOR1</t>
  </si>
  <si>
    <t>DHRS7B</t>
  </si>
  <si>
    <t>TWF2</t>
  </si>
  <si>
    <t>NCAPH2</t>
  </si>
  <si>
    <t>GRAMD4</t>
  </si>
  <si>
    <t>MRM1</t>
  </si>
  <si>
    <t>SMEK1</t>
  </si>
  <si>
    <t>LYRM5</t>
  </si>
  <si>
    <t>TYW3</t>
  </si>
  <si>
    <t>CENPP</t>
  </si>
  <si>
    <t>RAB12</t>
  </si>
  <si>
    <t>SDE2</t>
  </si>
  <si>
    <t>GRM5</t>
  </si>
  <si>
    <t>USP3</t>
  </si>
  <si>
    <t>NIPBL</t>
  </si>
  <si>
    <t>SLC25A25</t>
  </si>
  <si>
    <t>LIN54</t>
  </si>
  <si>
    <t>OGFOD2</t>
  </si>
  <si>
    <t>NAA16</t>
  </si>
  <si>
    <t>CT45A5</t>
  </si>
  <si>
    <t>LRRC8E</t>
  </si>
  <si>
    <t>SLC18B1</t>
  </si>
  <si>
    <t>C5orf45</t>
  </si>
  <si>
    <t>SLC25A24</t>
  </si>
  <si>
    <t>REEP3</t>
  </si>
  <si>
    <t>RETSAT</t>
  </si>
  <si>
    <t>RINT1</t>
  </si>
  <si>
    <t>TMEM214</t>
  </si>
  <si>
    <t>HIBCH</t>
  </si>
  <si>
    <t>ARMC6</t>
  </si>
  <si>
    <t>ANKRD54</t>
  </si>
  <si>
    <t>TAPT1</t>
  </si>
  <si>
    <t>PPP1R18</t>
  </si>
  <si>
    <t>PTRF</t>
  </si>
  <si>
    <t>ZCCHC8</t>
  </si>
  <si>
    <t>MRPL54</t>
  </si>
  <si>
    <t>CDC73</t>
  </si>
  <si>
    <t>PMF1</t>
  </si>
  <si>
    <t>GTF2H2C</t>
  </si>
  <si>
    <t>FAM117B</t>
  </si>
  <si>
    <t>MRPL14</t>
  </si>
  <si>
    <t>SLC27A4</t>
  </si>
  <si>
    <t>CC2D1A</t>
  </si>
  <si>
    <t>METTL2B</t>
  </si>
  <si>
    <t>DUS1L</t>
  </si>
  <si>
    <t>TAF2</t>
  </si>
  <si>
    <t>MED27</t>
  </si>
  <si>
    <t>EDC4</t>
  </si>
  <si>
    <t>CEP85</t>
  </si>
  <si>
    <t>PRMT10</t>
  </si>
  <si>
    <t>PRPF8</t>
  </si>
  <si>
    <t>DENND1B</t>
  </si>
  <si>
    <t>FBXO42</t>
  </si>
  <si>
    <t>SCYL2</t>
  </si>
  <si>
    <t>TTC27</t>
  </si>
  <si>
    <t>MTFR2</t>
  </si>
  <si>
    <t>NIPAL3</t>
  </si>
  <si>
    <t>SFXN4</t>
  </si>
  <si>
    <t>PLBD1</t>
  </si>
  <si>
    <t>CASC4</t>
  </si>
  <si>
    <t>FDX1L</t>
  </si>
  <si>
    <t>WDR73</t>
  </si>
  <si>
    <t>MZT2A</t>
  </si>
  <si>
    <t>FAHD1</t>
  </si>
  <si>
    <t>C22orf39</t>
  </si>
  <si>
    <t>PKN3</t>
  </si>
  <si>
    <t>ANKRD16</t>
  </si>
  <si>
    <t>ALKBH5</t>
  </si>
  <si>
    <t>KIAA1609</t>
  </si>
  <si>
    <t>LRRC8B</t>
  </si>
  <si>
    <t>RSBN1L</t>
  </si>
  <si>
    <t>PGM2L1</t>
  </si>
  <si>
    <t>CTR9</t>
  </si>
  <si>
    <t>AAGAB</t>
  </si>
  <si>
    <t>PSRC1</t>
  </si>
  <si>
    <t>C16orf87</t>
  </si>
  <si>
    <t>DARS2</t>
  </si>
  <si>
    <t>TTC33</t>
  </si>
  <si>
    <t>CCDC174</t>
  </si>
  <si>
    <t>HAGHL</t>
  </si>
  <si>
    <t>FBXO38</t>
  </si>
  <si>
    <t>CENPC1</t>
  </si>
  <si>
    <t>FIGNL1</t>
  </si>
  <si>
    <t>FBXO46</t>
  </si>
  <si>
    <t>TRIM65</t>
  </si>
  <si>
    <t>BRAT1</t>
  </si>
  <si>
    <t>ZC3H14</t>
  </si>
  <si>
    <t>CNST</t>
  </si>
  <si>
    <t>OGFOD3</t>
  </si>
  <si>
    <t>ZNF773</t>
  </si>
  <si>
    <t>TXNDC11</t>
  </si>
  <si>
    <t>LARP1</t>
  </si>
  <si>
    <t>TMED8</t>
  </si>
  <si>
    <t>SLC30A9</t>
  </si>
  <si>
    <t>CPLX2</t>
  </si>
  <si>
    <t>BLOC1S3</t>
  </si>
  <si>
    <t>BLOC1S2</t>
  </si>
  <si>
    <t>RICTOR</t>
  </si>
  <si>
    <t>WDR74</t>
  </si>
  <si>
    <t>AGTRAP</t>
  </si>
  <si>
    <t>POTEE</t>
  </si>
  <si>
    <t>SAMD1</t>
  </si>
  <si>
    <t>SMARCD3</t>
  </si>
  <si>
    <t>LPPR3</t>
  </si>
  <si>
    <t>MTHFD1L</t>
  </si>
  <si>
    <t>ANKRD11</t>
  </si>
  <si>
    <t>AFTPH</t>
  </si>
  <si>
    <t>FIP1L1</t>
  </si>
  <si>
    <t>CRTC3</t>
  </si>
  <si>
    <t>CRTC1</t>
  </si>
  <si>
    <t>KDELC1</t>
  </si>
  <si>
    <t>C11orf83</t>
  </si>
  <si>
    <t>IL27RA</t>
  </si>
  <si>
    <t>LRSAM1</t>
  </si>
  <si>
    <t>DHRS11</t>
  </si>
  <si>
    <t>LCLAT1</t>
  </si>
  <si>
    <t>PET117</t>
  </si>
  <si>
    <t>C6orf89</t>
  </si>
  <si>
    <t>CWC27</t>
  </si>
  <si>
    <t>DHRS13</t>
  </si>
  <si>
    <t>CRELD2</t>
  </si>
  <si>
    <t>WDR82</t>
  </si>
  <si>
    <t>APOOL</t>
  </si>
  <si>
    <t>ADAMTSL4</t>
  </si>
  <si>
    <t>ATF7IP</t>
  </si>
  <si>
    <t>PACS1</t>
  </si>
  <si>
    <t>BCOR</t>
  </si>
  <si>
    <t>RAB11FIP1</t>
  </si>
  <si>
    <t>NAPRT1</t>
  </si>
  <si>
    <t>SLC30A10</t>
  </si>
  <si>
    <t>PTPLB</t>
  </si>
  <si>
    <t>GIGYF2</t>
  </si>
  <si>
    <t>THADA</t>
  </si>
  <si>
    <t>HSDL2</t>
  </si>
  <si>
    <t>CCBL2</t>
  </si>
  <si>
    <t>PPP1R21</t>
  </si>
  <si>
    <t>MEX3B</t>
  </si>
  <si>
    <t>LIN28B</t>
  </si>
  <si>
    <t>DEF8</t>
  </si>
  <si>
    <t>FRRS1</t>
  </si>
  <si>
    <t>NFXL1</t>
  </si>
  <si>
    <t>NBEAL2</t>
  </si>
  <si>
    <t>GDPGP1</t>
  </si>
  <si>
    <t>DPY19L3</t>
  </si>
  <si>
    <t>QSOX2</t>
  </si>
  <si>
    <t>SRCAP</t>
  </si>
  <si>
    <t>FAM65A</t>
  </si>
  <si>
    <t>C1orf122</t>
  </si>
  <si>
    <t>UBR3</t>
  </si>
  <si>
    <t>SH3BP1</t>
  </si>
  <si>
    <t>C11orf57</t>
  </si>
  <si>
    <t>PAXIP1</t>
  </si>
  <si>
    <t>TMTC3</t>
  </si>
  <si>
    <t>GTF2H5</t>
  </si>
  <si>
    <t>VPS13C</t>
  </si>
  <si>
    <t>USP34</t>
  </si>
  <si>
    <t>MOB2</t>
  </si>
  <si>
    <t>IKBIP</t>
  </si>
  <si>
    <t>FRA10AC1</t>
  </si>
  <si>
    <t>UBE2R2</t>
  </si>
  <si>
    <t>LARP4</t>
  </si>
  <si>
    <t>MED25</t>
  </si>
  <si>
    <t>H2AFV</t>
  </si>
  <si>
    <t>MTSS1L</t>
  </si>
  <si>
    <t>BTN2A1</t>
  </si>
  <si>
    <t>SUPT6H</t>
  </si>
  <si>
    <t>SND1</t>
  </si>
  <si>
    <t>COX15</t>
  </si>
  <si>
    <t>DDX46</t>
  </si>
  <si>
    <t>RUFY3</t>
  </si>
  <si>
    <t>TRMT10C</t>
  </si>
  <si>
    <t>BZW1</t>
  </si>
  <si>
    <t>CYB5R4</t>
  </si>
  <si>
    <t>LRRC8D</t>
  </si>
  <si>
    <t>ABHD13</t>
  </si>
  <si>
    <t>ASRGL1</t>
  </si>
  <si>
    <t>KCTD9</t>
  </si>
  <si>
    <t>EIF3M</t>
  </si>
  <si>
    <t>MEPCE</t>
  </si>
  <si>
    <t>PARS2</t>
  </si>
  <si>
    <t>FAM73B</t>
  </si>
  <si>
    <t>RSRC2</t>
  </si>
  <si>
    <t>RRAGA</t>
  </si>
  <si>
    <t>CYFIP1</t>
  </si>
  <si>
    <t>NDUFAF7</t>
  </si>
  <si>
    <t>GET4</t>
  </si>
  <si>
    <t>ENOSF1</t>
  </si>
  <si>
    <t>MAEA</t>
  </si>
  <si>
    <t>EPM2AIP1</t>
  </si>
  <si>
    <t>TAOK1</t>
  </si>
  <si>
    <t>SH3BP5L</t>
  </si>
  <si>
    <t>FASTKD5</t>
  </si>
  <si>
    <t>ATPBD4</t>
  </si>
  <si>
    <t>KDM3B</t>
  </si>
  <si>
    <t>CHMP1B</t>
  </si>
  <si>
    <t>RASGRP2</t>
  </si>
  <si>
    <t>RRM2B</t>
  </si>
  <si>
    <t>HS2ST1</t>
  </si>
  <si>
    <t>STRADA</t>
  </si>
  <si>
    <t>NIPA1</t>
  </si>
  <si>
    <t>MICAL3</t>
  </si>
  <si>
    <t>PHF5A</t>
  </si>
  <si>
    <t>APTX</t>
  </si>
  <si>
    <t>GPRIN1</t>
  </si>
  <si>
    <t>TRMT1L</t>
  </si>
  <si>
    <t>ZC3HAV1</t>
  </si>
  <si>
    <t>EFTUD1</t>
  </si>
  <si>
    <t>FAM122B</t>
  </si>
  <si>
    <t>SETX</t>
  </si>
  <si>
    <t>DKFZp686N07218</t>
  </si>
  <si>
    <t>TRAPPC11</t>
  </si>
  <si>
    <t>KANSL1</t>
  </si>
  <si>
    <t>ATG9A</t>
  </si>
  <si>
    <t>LYSMD3</t>
  </si>
  <si>
    <t>C10orf118</t>
  </si>
  <si>
    <t>POGZ</t>
  </si>
  <si>
    <t>ZFYVE16</t>
  </si>
  <si>
    <t>UBE3B</t>
  </si>
  <si>
    <t>DENND4A</t>
  </si>
  <si>
    <t>NUFIP2</t>
  </si>
  <si>
    <t>SZRD1</t>
  </si>
  <si>
    <t>MAVS</t>
  </si>
  <si>
    <t>CLASP1</t>
  </si>
  <si>
    <t>DHX29</t>
  </si>
  <si>
    <t>LRP10</t>
  </si>
  <si>
    <t>COMMD6</t>
  </si>
  <si>
    <t>HDDC2</t>
  </si>
  <si>
    <t>HAUS6</t>
  </si>
  <si>
    <t>KDELC2</t>
  </si>
  <si>
    <t>TTC21B</t>
  </si>
  <si>
    <t>HEATR3</t>
  </si>
  <si>
    <t>HDGFRP2</t>
  </si>
  <si>
    <t>DCXR</t>
  </si>
  <si>
    <t>GOLGA7</t>
  </si>
  <si>
    <t>ARHGAP22</t>
  </si>
  <si>
    <t>WAPAL</t>
  </si>
  <si>
    <t>IRF2BP2</t>
  </si>
  <si>
    <t>WDR53</t>
  </si>
  <si>
    <t>MTHFD2</t>
  </si>
  <si>
    <t>CCDC91</t>
  </si>
  <si>
    <t>RBBP6</t>
  </si>
  <si>
    <t>C5orf24</t>
  </si>
  <si>
    <t>UBE3D</t>
  </si>
  <si>
    <t>TSEN54</t>
  </si>
  <si>
    <t>PTAR1</t>
  </si>
  <si>
    <t>TECPR1</t>
  </si>
  <si>
    <t>RABEPK</t>
  </si>
  <si>
    <t>MTERFD2</t>
  </si>
  <si>
    <t>TBPL1</t>
  </si>
  <si>
    <t>ADAT2</t>
  </si>
  <si>
    <t>HUWE1</t>
  </si>
  <si>
    <t>CNTRL</t>
  </si>
  <si>
    <t>CTU1</t>
  </si>
  <si>
    <t>TAF8</t>
  </si>
  <si>
    <t>UBE2Q1</t>
  </si>
  <si>
    <t>KIAA0907</t>
  </si>
  <si>
    <t>MRPL55</t>
  </si>
  <si>
    <t>VPS13B</t>
  </si>
  <si>
    <t>TMED4</t>
  </si>
  <si>
    <t>MRPL10</t>
  </si>
  <si>
    <t>CMC1</t>
  </si>
  <si>
    <t>CENPV</t>
  </si>
  <si>
    <t>GALNT5</t>
  </si>
  <si>
    <t>TMEM179B</t>
  </si>
  <si>
    <t>GALNT7</t>
  </si>
  <si>
    <t>DHDDS</t>
  </si>
  <si>
    <t>GLRX5</t>
  </si>
  <si>
    <t>TRAPPC6B</t>
  </si>
  <si>
    <t>TMEM55B</t>
  </si>
  <si>
    <t>MOB3B</t>
  </si>
  <si>
    <t>PATL1</t>
  </si>
  <si>
    <t>DPP9</t>
  </si>
  <si>
    <t>SYVN1</t>
  </si>
  <si>
    <t>TRPT1</t>
  </si>
  <si>
    <t>PRUNE</t>
  </si>
  <si>
    <t>SETD3</t>
  </si>
  <si>
    <t>TTC7B</t>
  </si>
  <si>
    <t>RBM23</t>
  </si>
  <si>
    <t>ISCA2</t>
  </si>
  <si>
    <t>NOP9</t>
  </si>
  <si>
    <t>METTL3</t>
  </si>
  <si>
    <t>LDB1</t>
  </si>
  <si>
    <t>YRDC</t>
  </si>
  <si>
    <t>PRPF39</t>
  </si>
  <si>
    <t>SAPCD2</t>
  </si>
  <si>
    <t>MTDH</t>
  </si>
  <si>
    <t>TLK2</t>
  </si>
  <si>
    <t>ZNF598</t>
  </si>
  <si>
    <t>AGPAT6</t>
  </si>
  <si>
    <t>KTN1</t>
  </si>
  <si>
    <t>SMG6</t>
  </si>
  <si>
    <t>BCL9L</t>
  </si>
  <si>
    <t>PHLDB1</t>
  </si>
  <si>
    <t>USP48</t>
  </si>
  <si>
    <t>ABCC5</t>
  </si>
  <si>
    <t>FERMT3</t>
  </si>
  <si>
    <t>TXNDC5</t>
  </si>
  <si>
    <t>FAM83A</t>
  </si>
  <si>
    <t>NAA40</t>
  </si>
  <si>
    <t>NT5DC3</t>
  </si>
  <si>
    <t>AACS</t>
  </si>
  <si>
    <t>LUZP1</t>
  </si>
  <si>
    <t>PNMAL1</t>
  </si>
  <si>
    <t>GPR180</t>
  </si>
  <si>
    <t>IQGAP3</t>
  </si>
  <si>
    <t>VPS36</t>
  </si>
  <si>
    <t>CAND1</t>
  </si>
  <si>
    <t>GLCCI1</t>
  </si>
  <si>
    <t>TXNDC2</t>
  </si>
  <si>
    <t>FAM134C</t>
  </si>
  <si>
    <t>HOOK3</t>
  </si>
  <si>
    <t>COMTD1</t>
  </si>
  <si>
    <t>COMMD7</t>
  </si>
  <si>
    <t>MON1A</t>
  </si>
  <si>
    <t>THOC6</t>
  </si>
  <si>
    <t>METTL16</t>
  </si>
  <si>
    <t>PARG</t>
  </si>
  <si>
    <t>BPHL</t>
  </si>
  <si>
    <t>LONP2</t>
  </si>
  <si>
    <t>OSTM1</t>
  </si>
  <si>
    <t>RASSF3</t>
  </si>
  <si>
    <t>CHD1L</t>
  </si>
  <si>
    <t>NR2C2AP</t>
  </si>
  <si>
    <t>CCDC25</t>
  </si>
  <si>
    <t>PROSER2</t>
  </si>
  <si>
    <t>TMEM173</t>
  </si>
  <si>
    <t>CCDC43</t>
  </si>
  <si>
    <t>RPS19BP1</t>
  </si>
  <si>
    <t>CDR2L</t>
  </si>
  <si>
    <t>RALGPS2</t>
  </si>
  <si>
    <t>ERICH1</t>
  </si>
  <si>
    <t>CARM1</t>
  </si>
  <si>
    <t>NIT1</t>
  </si>
  <si>
    <t>COMMD2</t>
  </si>
  <si>
    <t>CIR1</t>
  </si>
  <si>
    <t>SFR1</t>
  </si>
  <si>
    <t>DDX42</t>
  </si>
  <si>
    <t>SPATS2</t>
  </si>
  <si>
    <t>VRK2</t>
  </si>
  <si>
    <t>CACUL1</t>
  </si>
  <si>
    <t>HEATR2</t>
  </si>
  <si>
    <t>PTRH1</t>
  </si>
  <si>
    <t>STX12</t>
  </si>
  <si>
    <t>PDSS2</t>
  </si>
  <si>
    <t>HOMER1</t>
  </si>
  <si>
    <t>DOLPP1</t>
  </si>
  <si>
    <t>GATAD2A</t>
  </si>
  <si>
    <t>CPNE8</t>
  </si>
  <si>
    <t>GPSM1</t>
  </si>
  <si>
    <t>RAB11FIP4</t>
  </si>
  <si>
    <t>C2CD5</t>
  </si>
  <si>
    <t>MIB1</t>
  </si>
  <si>
    <t>HPS6</t>
  </si>
  <si>
    <t>IRF2BP1</t>
  </si>
  <si>
    <t>MINA</t>
  </si>
  <si>
    <t>RBM45</t>
  </si>
  <si>
    <t>ZDHHC13</t>
  </si>
  <si>
    <t>CRLF3</t>
  </si>
  <si>
    <t>TRAPPC5</t>
  </si>
  <si>
    <t>TMEM126B</t>
  </si>
  <si>
    <t>PLD3</t>
  </si>
  <si>
    <t>ANKMY2</t>
  </si>
  <si>
    <t>ERI1</t>
  </si>
  <si>
    <t>LYSMD2</t>
  </si>
  <si>
    <t>VRK3</t>
  </si>
  <si>
    <t>LIX1L</t>
  </si>
  <si>
    <t>NUDCD3</t>
  </si>
  <si>
    <t>CCDC50</t>
  </si>
  <si>
    <t>MCAT</t>
  </si>
  <si>
    <t>ARID3B</t>
  </si>
  <si>
    <t>CARKD</t>
  </si>
  <si>
    <t>WDR75</t>
  </si>
  <si>
    <t>ITPRIP</t>
  </si>
  <si>
    <t>WDFY1</t>
  </si>
  <si>
    <t>TEX2</t>
  </si>
  <si>
    <t>MAP7D3</t>
  </si>
  <si>
    <t>CCDC117</t>
  </si>
  <si>
    <t>DCUN1D3</t>
  </si>
  <si>
    <t>DENND6A</t>
  </si>
  <si>
    <t>GCC2</t>
  </si>
  <si>
    <t>HSCB</t>
  </si>
  <si>
    <t>ZC3H7A</t>
  </si>
  <si>
    <t>PHF6</t>
  </si>
  <si>
    <t>LRRC8A</t>
  </si>
  <si>
    <t>LMTK2</t>
  </si>
  <si>
    <t>UBR1</t>
  </si>
  <si>
    <t>UBR2</t>
  </si>
  <si>
    <t>ZSCAN29</t>
  </si>
  <si>
    <t>CDAN1</t>
  </si>
  <si>
    <t>ANKHD1</t>
  </si>
  <si>
    <t>SUGP1</t>
  </si>
  <si>
    <t>ZFPM1</t>
  </si>
  <si>
    <t>CCAR1</t>
  </si>
  <si>
    <t>DHX40</t>
  </si>
  <si>
    <t>SKA3</t>
  </si>
  <si>
    <t>DNAJC10</t>
  </si>
  <si>
    <t>RHOT2</t>
  </si>
  <si>
    <t>RHOT1</t>
  </si>
  <si>
    <t>SIRT2</t>
  </si>
  <si>
    <t>ASXL1</t>
  </si>
  <si>
    <t>GALNT12</t>
  </si>
  <si>
    <t>NRM</t>
  </si>
  <si>
    <t>C9orf40</t>
  </si>
  <si>
    <t>KIAA1704</t>
  </si>
  <si>
    <t>FAM126B</t>
  </si>
  <si>
    <t>PNPLA6</t>
  </si>
  <si>
    <t>SMC5</t>
  </si>
  <si>
    <t>CMIP</t>
  </si>
  <si>
    <t>PPAPDC2</t>
  </si>
  <si>
    <t>MICALL2</t>
  </si>
  <si>
    <t>DHX37</t>
  </si>
  <si>
    <t>KBTBD2</t>
  </si>
  <si>
    <t>AMOTL1</t>
  </si>
  <si>
    <t>TMEM192</t>
  </si>
  <si>
    <t>SMAP1</t>
  </si>
  <si>
    <t>DIS3L2</t>
  </si>
  <si>
    <t>SUPV3L1</t>
  </si>
  <si>
    <t>ZNF595</t>
  </si>
  <si>
    <t>GSPT2</t>
  </si>
  <si>
    <t>ZZZ3</t>
  </si>
  <si>
    <t>EXOC8</t>
  </si>
  <si>
    <t>COLGALT2</t>
  </si>
  <si>
    <t>C1orf174</t>
  </si>
  <si>
    <t>TCEAL8</t>
  </si>
  <si>
    <t>THNSL1</t>
  </si>
  <si>
    <t>PM20D2</t>
  </si>
  <si>
    <t>KIAA2013</t>
  </si>
  <si>
    <t>FTSJD1</t>
  </si>
  <si>
    <t>MICU2</t>
  </si>
  <si>
    <t>RNF168</t>
  </si>
  <si>
    <t>ANKRD13A</t>
  </si>
  <si>
    <t>PHACTR4</t>
  </si>
  <si>
    <t>CHPF</t>
  </si>
  <si>
    <t>MTX2</t>
  </si>
  <si>
    <t>RPUSD2</t>
  </si>
  <si>
    <t>ALDH16A1</t>
  </si>
  <si>
    <t>XRN1</t>
  </si>
  <si>
    <t>SELH</t>
  </si>
  <si>
    <t>CMTM4</t>
  </si>
  <si>
    <t>RDH10</t>
  </si>
  <si>
    <t>C8orf59</t>
  </si>
  <si>
    <t>VKORC1L1</t>
  </si>
  <si>
    <t>FUK</t>
  </si>
  <si>
    <t>FMR1NB</t>
  </si>
  <si>
    <t>SPG20</t>
  </si>
  <si>
    <t>MIER1</t>
  </si>
  <si>
    <t>CNPY4</t>
  </si>
  <si>
    <t>CNTROB</t>
  </si>
  <si>
    <t>ADSSL1</t>
  </si>
  <si>
    <t>AHI1</t>
  </si>
  <si>
    <t>KIAA1967</t>
  </si>
  <si>
    <t>NDUFAF2</t>
  </si>
  <si>
    <t>C4orf33</t>
  </si>
  <si>
    <t>VPS52</t>
  </si>
  <si>
    <t>NUP93</t>
  </si>
  <si>
    <t>ZNF687</t>
  </si>
  <si>
    <t>REXO1</t>
  </si>
  <si>
    <t>FTSJD2</t>
  </si>
  <si>
    <t>LRRC47</t>
  </si>
  <si>
    <t>CA13</t>
  </si>
  <si>
    <t>PLD6</t>
  </si>
  <si>
    <t>ARMC10</t>
  </si>
  <si>
    <t>GHDC</t>
  </si>
  <si>
    <t>STK40</t>
  </si>
  <si>
    <t>ABHD12</t>
  </si>
  <si>
    <t>PIAS4</t>
  </si>
  <si>
    <t>APITD1</t>
  </si>
  <si>
    <t>CCDC23</t>
  </si>
  <si>
    <t>GPD1L</t>
  </si>
  <si>
    <t>DOS</t>
  </si>
  <si>
    <t>KDM8</t>
  </si>
  <si>
    <t>ARHGAP18</t>
  </si>
  <si>
    <t>ASCC3</t>
  </si>
  <si>
    <t>EHBP1L1</t>
  </si>
  <si>
    <t>MICALL1</t>
  </si>
  <si>
    <t>FNBP4</t>
  </si>
  <si>
    <t>GUF1</t>
  </si>
  <si>
    <t>D2HGDH</t>
  </si>
  <si>
    <t>RYBP</t>
  </si>
  <si>
    <t>PNKD</t>
  </si>
  <si>
    <t>FAM109A</t>
  </si>
  <si>
    <t>MINK1</t>
  </si>
  <si>
    <t>TOMM5</t>
  </si>
  <si>
    <t>KLHL36</t>
  </si>
  <si>
    <t>HDDC3</t>
  </si>
  <si>
    <t>ZADH2</t>
  </si>
  <si>
    <t>CHCHD4</t>
  </si>
  <si>
    <t>MMGT1</t>
  </si>
  <si>
    <t>ZCCHC9</t>
  </si>
  <si>
    <t>OXR1</t>
  </si>
  <si>
    <t>ZGPAT</t>
  </si>
  <si>
    <t>SRBD1</t>
  </si>
  <si>
    <t>DTWD1</t>
  </si>
  <si>
    <t>WDTC1</t>
  </si>
  <si>
    <t>NKAP</t>
  </si>
  <si>
    <t>SMIM20</t>
  </si>
  <si>
    <t>TMEM57</t>
  </si>
  <si>
    <t>ARRDC1</t>
  </si>
  <si>
    <t>C12orf45</t>
  </si>
  <si>
    <t>FAM63A</t>
  </si>
  <si>
    <t>CISD2</t>
  </si>
  <si>
    <t>RPP25L</t>
  </si>
  <si>
    <t>ATPAF2</t>
  </si>
  <si>
    <t>JAGN1</t>
  </si>
  <si>
    <t>MRPL50</t>
  </si>
  <si>
    <t>ZC3H8</t>
  </si>
  <si>
    <t>CPSF7</t>
  </si>
  <si>
    <t>SLC15A4</t>
  </si>
  <si>
    <t>ARFGAP2</t>
  </si>
  <si>
    <t>OTUD6B</t>
  </si>
  <si>
    <t>C1orf52</t>
  </si>
  <si>
    <t>ACBD7</t>
  </si>
  <si>
    <t>ARFGAP1</t>
  </si>
  <si>
    <t>EMC1</t>
  </si>
  <si>
    <t>UBR7</t>
  </si>
  <si>
    <t>C4orf32</t>
  </si>
  <si>
    <t>PTGR2</t>
  </si>
  <si>
    <t>C2orf69</t>
  </si>
  <si>
    <t>ARL14EP</t>
  </si>
  <si>
    <t>GPATCH11</t>
  </si>
  <si>
    <t>C12orf29</t>
  </si>
  <si>
    <t>GDPD1</t>
  </si>
  <si>
    <t>C19orf47</t>
  </si>
  <si>
    <t>LRRC57</t>
  </si>
  <si>
    <t>SREK1IP1</t>
  </si>
  <si>
    <t>WDSUB1</t>
  </si>
  <si>
    <t>CCDC71L</t>
  </si>
  <si>
    <t>ZNF579</t>
  </si>
  <si>
    <t>GTDC2</t>
  </si>
  <si>
    <t>PRPF38A</t>
  </si>
  <si>
    <t>ZNF511</t>
  </si>
  <si>
    <t>PDDC1</t>
  </si>
  <si>
    <t>ANKRD52</t>
  </si>
  <si>
    <t>ATP11C</t>
  </si>
  <si>
    <t>SPATA5</t>
  </si>
  <si>
    <t>DTWD2</t>
  </si>
  <si>
    <t>NHLRC2</t>
  </si>
  <si>
    <t>AVL9</t>
  </si>
  <si>
    <t>SLC43A3</t>
  </si>
  <si>
    <t>XXYLT1</t>
  </si>
  <si>
    <t>COLGALT1</t>
  </si>
  <si>
    <t>SUMF1</t>
  </si>
  <si>
    <t>POGLUT1</t>
  </si>
  <si>
    <t>UBAC2</t>
  </si>
  <si>
    <t>PCYOX1L</t>
  </si>
  <si>
    <t>TMEM87A</t>
  </si>
  <si>
    <t>RDH13</t>
  </si>
  <si>
    <t>ATAD1</t>
  </si>
  <si>
    <t>SCCPDH</t>
  </si>
  <si>
    <t>MST4</t>
  </si>
  <si>
    <t>SERBP1</t>
  </si>
  <si>
    <t>LEMD2</t>
  </si>
  <si>
    <t>NOA1</t>
  </si>
  <si>
    <t>NECAP1</t>
  </si>
  <si>
    <t>FAM98A</t>
  </si>
  <si>
    <t>PLA2G15</t>
  </si>
  <si>
    <t>MTMR14</t>
  </si>
  <si>
    <t>NFATC2IP</t>
  </si>
  <si>
    <t>CHST14</t>
  </si>
  <si>
    <t>GALNT6</t>
  </si>
  <si>
    <t>RNF169</t>
  </si>
  <si>
    <t>APOA1BP</t>
  </si>
  <si>
    <t>SMG8</t>
  </si>
  <si>
    <t>RNF214</t>
  </si>
  <si>
    <t>LSM14A</t>
  </si>
  <si>
    <t>CCNY</t>
  </si>
  <si>
    <t>PNMA1</t>
  </si>
  <si>
    <t>MAPK1IP1L</t>
  </si>
  <si>
    <t>C1orf131</t>
  </si>
  <si>
    <t>EHBP1</t>
  </si>
  <si>
    <t>C3orf58</t>
  </si>
  <si>
    <t>CNNM3</t>
  </si>
  <si>
    <t>ABCF1</t>
  </si>
  <si>
    <t>MCU</t>
  </si>
  <si>
    <t>PIK3C3</t>
  </si>
  <si>
    <t>GSTCD</t>
  </si>
  <si>
    <t>NGDN</t>
  </si>
  <si>
    <t>SHCBP1</t>
  </si>
  <si>
    <t>PDZD8</t>
  </si>
  <si>
    <t>NAV1</t>
  </si>
  <si>
    <t>VPS37A</t>
  </si>
  <si>
    <t>MLL3</t>
  </si>
  <si>
    <t>FBXO22</t>
  </si>
  <si>
    <t>LPCAT1</t>
  </si>
  <si>
    <t>DOCK8</t>
  </si>
  <si>
    <t>USP32</t>
  </si>
  <si>
    <t>BOD1L1</t>
  </si>
  <si>
    <t>FLAD1</t>
  </si>
  <si>
    <t>FLCN</t>
  </si>
  <si>
    <t>NUP43</t>
  </si>
  <si>
    <t>NUP37</t>
  </si>
  <si>
    <t>ENGASE</t>
  </si>
  <si>
    <t>TOR1AIP2</t>
  </si>
  <si>
    <t>IPMK</t>
  </si>
  <si>
    <t>ABHD11</t>
  </si>
  <si>
    <t>CMAS</t>
  </si>
  <si>
    <t>KBTBD8</t>
  </si>
  <si>
    <t>FBXO18</t>
  </si>
  <si>
    <t>TRIM58</t>
  </si>
  <si>
    <t>HELB</t>
  </si>
  <si>
    <t>TSPAN14</t>
  </si>
  <si>
    <t>CASC5</t>
  </si>
  <si>
    <t>TTL</t>
  </si>
  <si>
    <t>SVIP</t>
  </si>
  <si>
    <t>ZNRF2</t>
  </si>
  <si>
    <t>ATL2</t>
  </si>
  <si>
    <t>TRY6</t>
  </si>
  <si>
    <t>KDM2B</t>
  </si>
  <si>
    <t>PLBD2</t>
  </si>
  <si>
    <t>TDRD7</t>
  </si>
  <si>
    <t>NEDD1</t>
  </si>
  <si>
    <t>NCOA7</t>
  </si>
  <si>
    <t>MCFD2</t>
  </si>
  <si>
    <t>THOC2</t>
  </si>
  <si>
    <t>WDR36</t>
  </si>
  <si>
    <t>RP9</t>
  </si>
  <si>
    <t>GRPEL2</t>
  </si>
  <si>
    <t>VANGL1</t>
  </si>
  <si>
    <t>RFESD</t>
  </si>
  <si>
    <t>SNIP1</t>
  </si>
  <si>
    <t>GADD45GIP1</t>
  </si>
  <si>
    <t>WDR48</t>
  </si>
  <si>
    <t>EXOC6</t>
  </si>
  <si>
    <t>CEP76</t>
  </si>
  <si>
    <t>PPP1R35</t>
  </si>
  <si>
    <t>MPLKIP</t>
  </si>
  <si>
    <t>SMARCC2</t>
  </si>
  <si>
    <t>NPLOC4</t>
  </si>
  <si>
    <t>FAM76A</t>
  </si>
  <si>
    <t>CXorf38</t>
  </si>
  <si>
    <t>GDAP1</t>
  </si>
  <si>
    <t>NUBPL</t>
  </si>
  <si>
    <t>FBXO30</t>
  </si>
  <si>
    <t>SLC35B2</t>
  </si>
  <si>
    <t>TXNDC9</t>
  </si>
  <si>
    <t>GOLGA5</t>
  </si>
  <si>
    <t>KLHDC4</t>
  </si>
  <si>
    <t>UBA3</t>
  </si>
  <si>
    <t>BAHD1</t>
  </si>
  <si>
    <t>NANP</t>
  </si>
  <si>
    <t>DNAJB14</t>
  </si>
  <si>
    <t>RAB3IL1</t>
  </si>
  <si>
    <t>SLC25A40</t>
  </si>
  <si>
    <t>PIP4K2C</t>
  </si>
  <si>
    <t>WDR20</t>
  </si>
  <si>
    <t>TRMT10A</t>
  </si>
  <si>
    <t>TBC1D15</t>
  </si>
  <si>
    <t>RDH11</t>
  </si>
  <si>
    <t>LRRC20</t>
  </si>
  <si>
    <t>METTL6</t>
  </si>
  <si>
    <t>C18orf32</t>
  </si>
  <si>
    <t>KIAA1524</t>
  </si>
  <si>
    <t>PI4K2B</t>
  </si>
  <si>
    <t>STT3B</t>
  </si>
  <si>
    <t>PNPT1</t>
  </si>
  <si>
    <t>SPPL2A</t>
  </si>
  <si>
    <t>HM13</t>
  </si>
  <si>
    <t>DYNC2LI1</t>
  </si>
  <si>
    <t>URGCP</t>
  </si>
  <si>
    <t>CD99L2</t>
  </si>
  <si>
    <t>MAPK15</t>
  </si>
  <si>
    <t>BICD2</t>
  </si>
  <si>
    <t>NEK9</t>
  </si>
  <si>
    <t>GPT2</t>
  </si>
  <si>
    <t>DDX54</t>
  </si>
  <si>
    <t>BLOC1S5</t>
  </si>
  <si>
    <t>BRIX1</t>
  </si>
  <si>
    <t>GNPDA2</t>
  </si>
  <si>
    <t>LRRC8C</t>
  </si>
  <si>
    <t>NEK7</t>
  </si>
  <si>
    <t>RB1CC1</t>
  </si>
  <si>
    <t>ASAP3</t>
  </si>
  <si>
    <t>MICAL1</t>
  </si>
  <si>
    <t>NSUN6</t>
  </si>
  <si>
    <t>TBCK</t>
  </si>
  <si>
    <t>DTD1</t>
  </si>
  <si>
    <t>DCAF11</t>
  </si>
  <si>
    <t>DENND1A</t>
  </si>
  <si>
    <t>NUP210</t>
  </si>
  <si>
    <t>GEMIN5</t>
  </si>
  <si>
    <t>IPO4</t>
  </si>
  <si>
    <t>USP33</t>
  </si>
  <si>
    <t>PNISR</t>
  </si>
  <si>
    <t>PPP4R1</t>
  </si>
  <si>
    <t>DIS3L</t>
  </si>
  <si>
    <t>GIPC3</t>
  </si>
  <si>
    <t>WIPF2</t>
  </si>
  <si>
    <t>ABHD5</t>
  </si>
  <si>
    <t>COG1</t>
  </si>
  <si>
    <t>CAMK2G</t>
  </si>
  <si>
    <t>SCFD2</t>
  </si>
  <si>
    <t>SMAP2</t>
  </si>
  <si>
    <t>ZC3H15</t>
  </si>
  <si>
    <t>PPIL4</t>
  </si>
  <si>
    <t>GTF3C2</t>
  </si>
  <si>
    <t>PHF10</t>
  </si>
  <si>
    <t>RAB2B</t>
  </si>
  <si>
    <t>CXorf48</t>
  </si>
  <si>
    <t>PPP1R13L</t>
  </si>
  <si>
    <t>CHURC1</t>
  </si>
  <si>
    <t>TGFBRAP1</t>
  </si>
  <si>
    <t>C12orf23</t>
  </si>
  <si>
    <t>HDAC7</t>
  </si>
  <si>
    <t>STYX</t>
  </si>
  <si>
    <t>PTPMT1</t>
  </si>
  <si>
    <t>PDCD6IP</t>
  </si>
  <si>
    <t>SLC20A1</t>
  </si>
  <si>
    <t>C15orf40</t>
  </si>
  <si>
    <t>SLC38A5</t>
  </si>
  <si>
    <t>CHAC2</t>
  </si>
  <si>
    <t>CHMP7</t>
  </si>
  <si>
    <t>THEM6</t>
  </si>
  <si>
    <t>NAT14</t>
  </si>
  <si>
    <t>NSMCE1</t>
  </si>
  <si>
    <t>SNX33</t>
  </si>
  <si>
    <t>PTCD2</t>
  </si>
  <si>
    <t>MITD1</t>
  </si>
  <si>
    <t>LACE1</t>
  </si>
  <si>
    <t>CHTF18</t>
  </si>
  <si>
    <t>LEO1</t>
  </si>
  <si>
    <t>RPS21</t>
  </si>
  <si>
    <t>RNF138</t>
  </si>
  <si>
    <t>NUDCD2</t>
  </si>
  <si>
    <t>SNRNP27</t>
  </si>
  <si>
    <t>SKA2</t>
  </si>
  <si>
    <t>ANKRD49</t>
  </si>
  <si>
    <t>TFB1M</t>
  </si>
  <si>
    <t>SCFD1</t>
  </si>
  <si>
    <t>CANT1</t>
  </si>
  <si>
    <t>TRAPPC12</t>
  </si>
  <si>
    <t>FAR1</t>
  </si>
  <si>
    <t>UBLCP1</t>
  </si>
  <si>
    <t>TSEN15</t>
  </si>
  <si>
    <t>PCNP</t>
  </si>
  <si>
    <t>SPRYD4</t>
  </si>
  <si>
    <t>C1orf85</t>
  </si>
  <si>
    <t>C2orf47</t>
  </si>
  <si>
    <t>TRUB1</t>
  </si>
  <si>
    <t>ATXN2L</t>
  </si>
  <si>
    <t>RTN4IP1</t>
  </si>
  <si>
    <t>RASSF5</t>
  </si>
  <si>
    <t>SELM</t>
  </si>
  <si>
    <t>PRPF31</t>
  </si>
  <si>
    <t>NELFB</t>
  </si>
  <si>
    <t>SREK1</t>
  </si>
  <si>
    <t>SCG3</t>
  </si>
  <si>
    <t>GEMIN6</t>
  </si>
  <si>
    <t>ATRIP</t>
  </si>
  <si>
    <t>PSPC1</t>
  </si>
  <si>
    <t>MADD</t>
  </si>
  <si>
    <t>GATAD2B</t>
  </si>
  <si>
    <t>PIBF1</t>
  </si>
  <si>
    <t>DNAJC9</t>
  </si>
  <si>
    <t>BRI3BP</t>
  </si>
  <si>
    <t>PPM1E</t>
  </si>
  <si>
    <t>THAP4</t>
  </si>
  <si>
    <t>AHCTF1</t>
  </si>
  <si>
    <t>DGCR8</t>
  </si>
  <si>
    <t>TTN</t>
  </si>
  <si>
    <t>OVCA2</t>
  </si>
  <si>
    <t>LZIC</t>
  </si>
  <si>
    <t>IRGQ</t>
  </si>
  <si>
    <t>DDB2</t>
  </si>
  <si>
    <t>DDX1</t>
  </si>
  <si>
    <t>SLC39A7</t>
  </si>
  <si>
    <t>HSD17B8</t>
  </si>
  <si>
    <t>PIEZO1</t>
  </si>
  <si>
    <t>FAM3C</t>
  </si>
  <si>
    <t>CCT6B</t>
  </si>
  <si>
    <t>SLC7A6</t>
  </si>
  <si>
    <t>GBF1</t>
  </si>
  <si>
    <t>RTF1</t>
  </si>
  <si>
    <t>TM9SF4</t>
  </si>
  <si>
    <t>TOPBP1</t>
  </si>
  <si>
    <t>IP6K1</t>
  </si>
  <si>
    <t>MRPS27</t>
  </si>
  <si>
    <t>ELMO1</t>
  </si>
  <si>
    <t>WASF1</t>
  </si>
  <si>
    <t>AP3S1</t>
  </si>
  <si>
    <t>UBXN4</t>
  </si>
  <si>
    <t>PHF3</t>
  </si>
  <si>
    <t>SLC9A6</t>
  </si>
  <si>
    <t>HSPH1</t>
  </si>
  <si>
    <t>RQCD1</t>
  </si>
  <si>
    <t>TBC1D5</t>
  </si>
  <si>
    <t>ZNF592</t>
  </si>
  <si>
    <t>LARP4B</t>
  </si>
  <si>
    <t>GCN1L1</t>
  </si>
  <si>
    <t>HMHA1</t>
  </si>
  <si>
    <t>DHX38</t>
  </si>
  <si>
    <t>NUP205</t>
  </si>
  <si>
    <t>ANKS1A</t>
  </si>
  <si>
    <t>NSMAF</t>
  </si>
  <si>
    <t>GTF3A</t>
  </si>
  <si>
    <t>MRPS31</t>
  </si>
  <si>
    <t>AKAP1</t>
  </si>
  <si>
    <t>NRGN</t>
  </si>
  <si>
    <t>ANP32B</t>
  </si>
  <si>
    <t>PVRL2</t>
  </si>
  <si>
    <t>RABGGTA</t>
  </si>
  <si>
    <t>RAD54L</t>
  </si>
  <si>
    <t>TFG</t>
  </si>
  <si>
    <t>ARPC1A</t>
  </si>
  <si>
    <t>GTF2H4</t>
  </si>
  <si>
    <t>RREB1</t>
  </si>
  <si>
    <t>STAM</t>
  </si>
  <si>
    <t>CREBBP</t>
  </si>
  <si>
    <t>SYMPK</t>
  </si>
  <si>
    <t>TAF15</t>
  </si>
  <si>
    <t>GOLGA1</t>
  </si>
  <si>
    <t>GGH</t>
  </si>
  <si>
    <t>CORO2A</t>
  </si>
  <si>
    <t>BCL2L2</t>
  </si>
  <si>
    <t>TANK</t>
  </si>
  <si>
    <t>KIFAP3</t>
  </si>
  <si>
    <t>CASP10</t>
  </si>
  <si>
    <t>PMM1</t>
  </si>
  <si>
    <t>RAD50</t>
  </si>
  <si>
    <t>OSTF1</t>
  </si>
  <si>
    <t>ERCC4</t>
  </si>
  <si>
    <t>UFD1L</t>
  </si>
  <si>
    <t>GLG1</t>
  </si>
  <si>
    <t>UPF1</t>
  </si>
  <si>
    <t>COPS5</t>
  </si>
  <si>
    <t>GPKOW</t>
  </si>
  <si>
    <t>SMARCC1</t>
  </si>
  <si>
    <t>RAB8B</t>
  </si>
  <si>
    <t>BAD</t>
  </si>
  <si>
    <t>KHSRP</t>
  </si>
  <si>
    <t>GCDH</t>
  </si>
  <si>
    <t>PEX13</t>
  </si>
  <si>
    <t>TNPO1</t>
  </si>
  <si>
    <t>EMG1</t>
  </si>
  <si>
    <t>GLMN</t>
  </si>
  <si>
    <t>USP9X</t>
  </si>
  <si>
    <t>NAT6</t>
  </si>
  <si>
    <t>CUL5</t>
  </si>
  <si>
    <t>EXT2</t>
  </si>
  <si>
    <t>MED12</t>
  </si>
  <si>
    <t>HIST1H2AC</t>
  </si>
  <si>
    <t>ATP2A3</t>
  </si>
  <si>
    <t>PHKB</t>
  </si>
  <si>
    <t>SCAMP4</t>
  </si>
  <si>
    <t>TSR2</t>
  </si>
  <si>
    <t>KISS1R</t>
  </si>
  <si>
    <t>RFK</t>
  </si>
  <si>
    <t>POP5</t>
  </si>
  <si>
    <t>C19orf10</t>
  </si>
  <si>
    <t>RNF34</t>
  </si>
  <si>
    <t>YIPF5</t>
  </si>
  <si>
    <t>PIGT</t>
  </si>
  <si>
    <t>IGSF8</t>
  </si>
  <si>
    <t>ITFG2</t>
  </si>
  <si>
    <t>ZNF622</t>
  </si>
  <si>
    <t>GFM2</t>
  </si>
  <si>
    <t>NT5C3B</t>
  </si>
  <si>
    <t>PSMG2</t>
  </si>
  <si>
    <t>NCLN</t>
  </si>
  <si>
    <t>MUL1</t>
  </si>
  <si>
    <t>RILPL2</t>
  </si>
  <si>
    <t>ERGIC1</t>
  </si>
  <si>
    <t>GTPBP3</t>
  </si>
  <si>
    <t>TBRG4</t>
  </si>
  <si>
    <t>PPP1R14A</t>
  </si>
  <si>
    <t>CCDC102A</t>
  </si>
  <si>
    <t>CCDC47</t>
  </si>
  <si>
    <t>SLC25A28</t>
  </si>
  <si>
    <t>ISL2</t>
  </si>
  <si>
    <t>SYAP1</t>
  </si>
  <si>
    <t>EXOC4</t>
  </si>
  <si>
    <t>KIAA1191</t>
  </si>
  <si>
    <t>ISOC2</t>
  </si>
  <si>
    <t>PNPLA2</t>
  </si>
  <si>
    <t>FUBP1</t>
  </si>
  <si>
    <t>LRRC59</t>
  </si>
  <si>
    <t>VTI1A</t>
  </si>
  <si>
    <t>ESAM</t>
  </si>
  <si>
    <t>MCUR1</t>
  </si>
  <si>
    <t>KIAA1143</t>
  </si>
  <si>
    <t>RPE</t>
  </si>
  <si>
    <t>VPS33A</t>
  </si>
  <si>
    <t>C18orf25</t>
  </si>
  <si>
    <t>EXOSC8</t>
  </si>
  <si>
    <t>AKT1S1</t>
  </si>
  <si>
    <t>C10orf32</t>
  </si>
  <si>
    <t>TOMM6</t>
  </si>
  <si>
    <t>SKA1</t>
  </si>
  <si>
    <t>RNF25</t>
  </si>
  <si>
    <t>ARL8A</t>
  </si>
  <si>
    <t>FAM105B</t>
  </si>
  <si>
    <t>PPWD1</t>
  </si>
  <si>
    <t>CCDC127</t>
  </si>
  <si>
    <t>SELRC1</t>
  </si>
  <si>
    <t>ALKBH8</t>
  </si>
  <si>
    <t>UPRT</t>
  </si>
  <si>
    <t>PTER</t>
  </si>
  <si>
    <t>MOB3A</t>
  </si>
  <si>
    <t>ATG2B</t>
  </si>
  <si>
    <t>LENG1</t>
  </si>
  <si>
    <t>TBC1D20</t>
  </si>
  <si>
    <t>FAM136A</t>
  </si>
  <si>
    <t>EFHD2</t>
  </si>
  <si>
    <t>GALM</t>
  </si>
  <si>
    <t>PYCR2</t>
  </si>
  <si>
    <t>C12orf43</t>
  </si>
  <si>
    <t>DCPS</t>
  </si>
  <si>
    <t>PPP1R14B</t>
  </si>
  <si>
    <t>NSUN4</t>
  </si>
  <si>
    <t>CHMP4C</t>
  </si>
  <si>
    <t>RPUSD4</t>
  </si>
  <si>
    <t>ISOC1</t>
  </si>
  <si>
    <t>GCC1</t>
  </si>
  <si>
    <t>FLYWCH2</t>
  </si>
  <si>
    <t>SLC25A36</t>
  </si>
  <si>
    <t>HAUS1</t>
  </si>
  <si>
    <t>FAF2</t>
  </si>
  <si>
    <t>CCDC124</t>
  </si>
  <si>
    <t>FOXRED1</t>
  </si>
  <si>
    <t>AP2M1</t>
  </si>
  <si>
    <t>TUBGCP3</t>
  </si>
  <si>
    <t>SLC7A6OS</t>
  </si>
  <si>
    <t>LRRC58</t>
  </si>
  <si>
    <t>C10orf35</t>
  </si>
  <si>
    <t>RCN3</t>
  </si>
  <si>
    <t>ORAI1</t>
  </si>
  <si>
    <t>REPS1</t>
  </si>
  <si>
    <t>DNAJC19</t>
  </si>
  <si>
    <t>RMDN1</t>
  </si>
  <si>
    <t>NUDT16</t>
  </si>
  <si>
    <t>ANAPC16</t>
  </si>
  <si>
    <t>DGCR14</t>
  </si>
  <si>
    <t>CMBL</t>
  </si>
  <si>
    <t>SNRNP40</t>
  </si>
  <si>
    <t>ATG4C</t>
  </si>
  <si>
    <t>ITPKC</t>
  </si>
  <si>
    <t>MRPL38</t>
  </si>
  <si>
    <t>RSPRY1</t>
  </si>
  <si>
    <t>TRIM44</t>
  </si>
  <si>
    <t>IQCD</t>
  </si>
  <si>
    <t>ERLEC1</t>
  </si>
  <si>
    <t>FAM122A</t>
  </si>
  <si>
    <t>MRRF</t>
  </si>
  <si>
    <t>NUS1</t>
  </si>
  <si>
    <t>OMA1</t>
  </si>
  <si>
    <t>SPDL1</t>
  </si>
  <si>
    <t>ELP4</t>
  </si>
  <si>
    <t>SIRT1</t>
  </si>
  <si>
    <t>YIPF6</t>
  </si>
  <si>
    <t>HOOK2</t>
  </si>
  <si>
    <t>SEH1L</t>
  </si>
  <si>
    <t>ZHX1-C8orf76</t>
  </si>
  <si>
    <t>MALSU1</t>
  </si>
  <si>
    <t>KIAA1279</t>
  </si>
  <si>
    <t>GNPNAT1</t>
  </si>
  <si>
    <t>KTI12</t>
  </si>
  <si>
    <t>MRPL53</t>
  </si>
  <si>
    <t>L3HYPDH</t>
  </si>
  <si>
    <t>MOCOS</t>
  </si>
  <si>
    <t>CHFR</t>
  </si>
  <si>
    <t>DAZAP1</t>
  </si>
  <si>
    <t>SLC10A4</t>
  </si>
  <si>
    <t>SGTB</t>
  </si>
  <si>
    <t>CCDC51</t>
  </si>
  <si>
    <t>CCDC101</t>
  </si>
  <si>
    <t>RRP36</t>
  </si>
  <si>
    <t>RBM33</t>
  </si>
  <si>
    <t>DTNBP1</t>
  </si>
  <si>
    <t>SMIM12</t>
  </si>
  <si>
    <t>WDR34</t>
  </si>
  <si>
    <t>DNAJA3</t>
  </si>
  <si>
    <t>MVB12A</t>
  </si>
  <si>
    <t>PTCD3</t>
  </si>
  <si>
    <t>MMAB</t>
  </si>
  <si>
    <t>ADAT3</t>
  </si>
  <si>
    <t>NRBF2</t>
  </si>
  <si>
    <t>TRIM11</t>
  </si>
  <si>
    <t>IL17RA</t>
  </si>
  <si>
    <t>CCDC97</t>
  </si>
  <si>
    <t>EDC3</t>
  </si>
  <si>
    <t>DDX11</t>
  </si>
  <si>
    <t>MEF2BNB</t>
  </si>
  <si>
    <t>DYNLL2</t>
  </si>
  <si>
    <t>WDR89</t>
  </si>
  <si>
    <t>SIPA1</t>
  </si>
  <si>
    <t>THOC1</t>
  </si>
  <si>
    <t>DPH3</t>
  </si>
  <si>
    <t>TRMT61A</t>
  </si>
  <si>
    <t>C3orf37</t>
  </si>
  <si>
    <t>CHMP6</t>
  </si>
  <si>
    <t>PGM2</t>
  </si>
  <si>
    <t>MED8</t>
  </si>
  <si>
    <t>CCDC104</t>
  </si>
  <si>
    <t>DUS3L</t>
  </si>
  <si>
    <t>OTUD5</t>
  </si>
  <si>
    <t>LTV1</t>
  </si>
  <si>
    <t>SDSL</t>
  </si>
  <si>
    <t>PDXP</t>
  </si>
  <si>
    <t>RNF185</t>
  </si>
  <si>
    <t>DCUN1D1</t>
  </si>
  <si>
    <t>FAHD2A</t>
  </si>
  <si>
    <t>SMARCD1</t>
  </si>
  <si>
    <t>TOE1</t>
  </si>
  <si>
    <t>DDX27</t>
  </si>
  <si>
    <t>C17orf59</t>
  </si>
  <si>
    <t>ABHD17A</t>
  </si>
  <si>
    <t>PAGE5</t>
  </si>
  <si>
    <t>C5orf30</t>
  </si>
  <si>
    <t>MARS2</t>
  </si>
  <si>
    <t>ATXN7L3B</t>
  </si>
  <si>
    <t>MASTL</t>
  </si>
  <si>
    <t>SNF8</t>
  </si>
  <si>
    <t>MYO19</t>
  </si>
  <si>
    <t>POM121</t>
  </si>
  <si>
    <t>C1orf159</t>
  </si>
  <si>
    <t>TONSL</t>
  </si>
  <si>
    <t>PDLIM5</t>
  </si>
  <si>
    <t>CRELD1</t>
  </si>
  <si>
    <t>ERO1L</t>
  </si>
  <si>
    <t>C7orf55</t>
  </si>
  <si>
    <t>CDKN2AIPNL</t>
  </si>
  <si>
    <t>REEP6</t>
  </si>
  <si>
    <t>PGAM5</t>
  </si>
  <si>
    <t>INTS4</t>
  </si>
  <si>
    <t>DDRGK1</t>
  </si>
  <si>
    <t>SCLY</t>
  </si>
  <si>
    <t>FUBP3</t>
  </si>
  <si>
    <t>RBM17</t>
  </si>
  <si>
    <t>PPP1R16A</t>
  </si>
  <si>
    <t>COX14</t>
  </si>
  <si>
    <t>WBSCR16</t>
  </si>
  <si>
    <t>NARS2</t>
  </si>
  <si>
    <t>SUCLG2</t>
  </si>
  <si>
    <t>GMPPA</t>
  </si>
  <si>
    <t>ZNF414</t>
  </si>
  <si>
    <t>ZNF845</t>
  </si>
  <si>
    <t>ABHD14B</t>
  </si>
  <si>
    <t>NGLY1</t>
  </si>
  <si>
    <t>USMG5</t>
  </si>
  <si>
    <t>NSL1</t>
  </si>
  <si>
    <t>RSRC1</t>
  </si>
  <si>
    <t>THOC3</t>
  </si>
  <si>
    <t>ITCH</t>
  </si>
  <si>
    <t>LRIG1</t>
  </si>
  <si>
    <t>COG3</t>
  </si>
  <si>
    <t>HIC2</t>
  </si>
  <si>
    <t>CDK5RAP3</t>
  </si>
  <si>
    <t>VPS39</t>
  </si>
  <si>
    <t>EAF1</t>
  </si>
  <si>
    <t>CCDC132</t>
  </si>
  <si>
    <t>VCPIP1</t>
  </si>
  <si>
    <t>TMX3</t>
  </si>
  <si>
    <t>CHAMP1</t>
  </si>
  <si>
    <t>ZFP91</t>
  </si>
  <si>
    <t>BTF3L4</t>
  </si>
  <si>
    <t>RNF170</t>
  </si>
  <si>
    <t>CLPTM1L</t>
  </si>
  <si>
    <t>PBK</t>
  </si>
  <si>
    <t>ARL5B</t>
  </si>
  <si>
    <t>DNAJC1</t>
  </si>
  <si>
    <t>SMIM8</t>
  </si>
  <si>
    <t>ZNF512B</t>
  </si>
  <si>
    <t>EXOC2</t>
  </si>
  <si>
    <t>CNDP2</t>
  </si>
  <si>
    <t>ZFR</t>
  </si>
  <si>
    <t>EP400</t>
  </si>
  <si>
    <t>SNX27</t>
  </si>
  <si>
    <t>KIF16B</t>
  </si>
  <si>
    <t>PRMT6</t>
  </si>
  <si>
    <t>IFT74</t>
  </si>
  <si>
    <t>TRIM47</t>
  </si>
  <si>
    <t>DHRS1</t>
  </si>
  <si>
    <t>UBXN10</t>
  </si>
  <si>
    <t>CNBD2</t>
  </si>
  <si>
    <t>PRRC1</t>
  </si>
  <si>
    <t>HARBI1</t>
  </si>
  <si>
    <t>FBXL18</t>
  </si>
  <si>
    <t>NDNL2</t>
  </si>
  <si>
    <t>HEXIM2</t>
  </si>
  <si>
    <t>TMEM68</t>
  </si>
  <si>
    <t>TCEANC2</t>
  </si>
  <si>
    <t>COG8</t>
  </si>
  <si>
    <t>WDR92</t>
  </si>
  <si>
    <t>C20orf112</t>
  </si>
  <si>
    <t>ENTHD2</t>
  </si>
  <si>
    <t>TTC14</t>
  </si>
  <si>
    <t>MBOAT7</t>
  </si>
  <si>
    <t>DOCK7</t>
  </si>
  <si>
    <t>RILP</t>
  </si>
  <si>
    <t>FOPNL</t>
  </si>
  <si>
    <t>SFXN2</t>
  </si>
  <si>
    <t>ZNF830</t>
  </si>
  <si>
    <t>ZMAT2</t>
  </si>
  <si>
    <t>SCLT1</t>
  </si>
  <si>
    <t>C8orf37</t>
  </si>
  <si>
    <t>CCDC115</t>
  </si>
  <si>
    <t>NAP1L5</t>
  </si>
  <si>
    <t>ANKRD27</t>
  </si>
  <si>
    <t>NSUN5</t>
  </si>
  <si>
    <t>AGAP3</t>
  </si>
  <si>
    <t>ARAP1</t>
  </si>
  <si>
    <t>IPO9</t>
  </si>
  <si>
    <t>MCEE</t>
  </si>
  <si>
    <t>BBC3</t>
  </si>
  <si>
    <t>RBM14</t>
  </si>
  <si>
    <t>ERMAP</t>
  </si>
  <si>
    <t>RCHY1</t>
  </si>
  <si>
    <t>NEDD4L</t>
  </si>
  <si>
    <t>QKI</t>
  </si>
  <si>
    <t>PUS7</t>
  </si>
  <si>
    <t>TRNT1</t>
  </si>
  <si>
    <t>TMEM237</t>
  </si>
  <si>
    <t>ALKBH3</t>
  </si>
  <si>
    <t>PPP1R10</t>
  </si>
  <si>
    <t>MICA</t>
  </si>
  <si>
    <t>MTMR9</t>
  </si>
  <si>
    <t>VPS35</t>
  </si>
  <si>
    <t>PURB</t>
  </si>
  <si>
    <t>XPO6</t>
  </si>
  <si>
    <t>MAGI1</t>
  </si>
  <si>
    <t>SPAG5</t>
  </si>
  <si>
    <t>NACC1</t>
  </si>
  <si>
    <t>SNX18</t>
  </si>
  <si>
    <t>PASK</t>
  </si>
  <si>
    <t>UIMC1</t>
  </si>
  <si>
    <t>VPS13A</t>
  </si>
  <si>
    <t>MED15</t>
  </si>
  <si>
    <t>GFM1</t>
  </si>
  <si>
    <t>PEO1</t>
  </si>
  <si>
    <t>CAMKK2</t>
  </si>
  <si>
    <t>TGS1</t>
  </si>
  <si>
    <t>NUDCD1</t>
  </si>
  <si>
    <t>ERBB2IP</t>
  </si>
  <si>
    <t>FNBP1</t>
  </si>
  <si>
    <t>C16orf13</t>
  </si>
  <si>
    <t>RPS6KC1</t>
  </si>
  <si>
    <t>TP53RK</t>
  </si>
  <si>
    <t>PIGS</t>
  </si>
  <si>
    <t>WRNIP1</t>
  </si>
  <si>
    <t>RANBP9</t>
  </si>
  <si>
    <t>CLCC1</t>
  </si>
  <si>
    <t>UBL7</t>
  </si>
  <si>
    <t>CCNL2</t>
  </si>
  <si>
    <t>PLEKHF1</t>
  </si>
  <si>
    <t>SMC6</t>
  </si>
  <si>
    <t>KCTD15</t>
  </si>
  <si>
    <t>TMEM209</t>
  </si>
  <si>
    <t>CYP2S1</t>
  </si>
  <si>
    <t>IWS1</t>
  </si>
  <si>
    <t>SIN3A</t>
  </si>
  <si>
    <t>ADO</t>
  </si>
  <si>
    <t>CDK5RAP1</t>
  </si>
  <si>
    <t>RBM15</t>
  </si>
  <si>
    <t>RUFY1</t>
  </si>
  <si>
    <t>SPEN</t>
  </si>
  <si>
    <t>PNKP</t>
  </si>
  <si>
    <t>MMS19</t>
  </si>
  <si>
    <t>UHRF1</t>
  </si>
  <si>
    <t>FAM129B</t>
  </si>
  <si>
    <t>YME1L1</t>
  </si>
  <si>
    <t>RMDN3</t>
  </si>
  <si>
    <t>TCF12</t>
  </si>
  <si>
    <t>MYCBP</t>
  </si>
  <si>
    <t>TBCB</t>
  </si>
  <si>
    <t>PSMB7</t>
  </si>
  <si>
    <t>PCYT2</t>
  </si>
  <si>
    <t>CDC5L</t>
  </si>
  <si>
    <t>PSMD1</t>
  </si>
  <si>
    <t>SDF2</t>
  </si>
  <si>
    <t>PFDN5</t>
  </si>
  <si>
    <t>PAFAH2</t>
  </si>
  <si>
    <t>RNF2</t>
  </si>
  <si>
    <t>PARK7</t>
  </si>
  <si>
    <t>GAS2L1</t>
  </si>
  <si>
    <t>EYA3</t>
  </si>
  <si>
    <t>NEU1</t>
  </si>
  <si>
    <t>SORT1</t>
  </si>
  <si>
    <t>VAT1</t>
  </si>
  <si>
    <t>PLIN2</t>
  </si>
  <si>
    <t>DNAJC2</t>
  </si>
  <si>
    <t>MPHOSPH8</t>
  </si>
  <si>
    <t>NUP88</t>
  </si>
  <si>
    <t>PKP4</t>
  </si>
  <si>
    <t>PIK3R4</t>
  </si>
  <si>
    <t>POP1</t>
  </si>
  <si>
    <t>MNT</t>
  </si>
  <si>
    <t>S100A13</t>
  </si>
  <si>
    <t>TIMM17A</t>
  </si>
  <si>
    <t>TSNAX</t>
  </si>
  <si>
    <t>TTC1</t>
  </si>
  <si>
    <t>DNAJC7</t>
  </si>
  <si>
    <t>CDCA3</t>
  </si>
  <si>
    <t>C12orf57</t>
  </si>
  <si>
    <t>PRPF18</t>
  </si>
  <si>
    <t>PKMYT1</t>
  </si>
  <si>
    <t>CHP1</t>
  </si>
  <si>
    <t>KIF2C</t>
  </si>
  <si>
    <t>ATXN2</t>
  </si>
  <si>
    <t>DOK1</t>
  </si>
  <si>
    <t>MTR</t>
  </si>
  <si>
    <t>HSD17B10</t>
  </si>
  <si>
    <t>SIGMAR1</t>
  </si>
  <si>
    <t>NAP1L4</t>
  </si>
  <si>
    <t>MGST2</t>
  </si>
  <si>
    <t>NAPG</t>
  </si>
  <si>
    <t>TXN2</t>
  </si>
  <si>
    <t>ATP5S</t>
  </si>
  <si>
    <t>APBA2</t>
  </si>
  <si>
    <t>MIPEP</t>
  </si>
  <si>
    <t>TM9SF2</t>
  </si>
  <si>
    <t>SLC29A1</t>
  </si>
  <si>
    <t>CIB1</t>
  </si>
  <si>
    <t>CCT7</t>
  </si>
  <si>
    <t>ARID3A</t>
  </si>
  <si>
    <t>HAUS7</t>
  </si>
  <si>
    <t>HIST1H2AJ</t>
  </si>
  <si>
    <t>SSX3</t>
  </si>
  <si>
    <t>DUSP9</t>
  </si>
  <si>
    <t>SH3GL1</t>
  </si>
  <si>
    <t>SH3GL3</t>
  </si>
  <si>
    <t>VRK1</t>
  </si>
  <si>
    <t>GDF15</t>
  </si>
  <si>
    <t>AKAP9</t>
  </si>
  <si>
    <t>NIPSNAP1</t>
  </si>
  <si>
    <t>NCAPG</t>
  </si>
  <si>
    <t>ARPC5L</t>
  </si>
  <si>
    <t>PAIP2</t>
  </si>
  <si>
    <t>DDX50</t>
  </si>
  <si>
    <t>ELAC2</t>
  </si>
  <si>
    <t>C19orf43</t>
  </si>
  <si>
    <t>GRWD1</t>
  </si>
  <si>
    <t>MACROD1</t>
  </si>
  <si>
    <t>TCF25</t>
  </si>
  <si>
    <t>KLHDC3</t>
  </si>
  <si>
    <t>ECSIT</t>
  </si>
  <si>
    <t>WDR77</t>
  </si>
  <si>
    <t>C17orf62</t>
  </si>
  <si>
    <t>DPH2</t>
  </si>
  <si>
    <t>NUDT12</t>
  </si>
  <si>
    <t>EIF2AK1</t>
  </si>
  <si>
    <t>MGME1</t>
  </si>
  <si>
    <t>GORASP1</t>
  </si>
  <si>
    <t>HEPH</t>
  </si>
  <si>
    <t>FYCO1</t>
  </si>
  <si>
    <t>SLC25A21</t>
  </si>
  <si>
    <t>RHOXF2</t>
  </si>
  <si>
    <t>ACBD6</t>
  </si>
  <si>
    <t>CORO1B</t>
  </si>
  <si>
    <t>TXNDC17</t>
  </si>
  <si>
    <t>BUD13</t>
  </si>
  <si>
    <t>CPPED1</t>
  </si>
  <si>
    <t>VPS25</t>
  </si>
  <si>
    <t>MRPL45</t>
  </si>
  <si>
    <t>SDF4</t>
  </si>
  <si>
    <t>PDCD2L</t>
  </si>
  <si>
    <t>PAAF1</t>
  </si>
  <si>
    <t>WIBG</t>
  </si>
  <si>
    <t>AIFM2</t>
  </si>
  <si>
    <t>ZKSCAN3</t>
  </si>
  <si>
    <t>ADPGK</t>
  </si>
  <si>
    <t>GPATCH1</t>
  </si>
  <si>
    <t>RIOK1</t>
  </si>
  <si>
    <t>MNF1</t>
  </si>
  <si>
    <t>GINS4</t>
  </si>
  <si>
    <t>SIKE1</t>
  </si>
  <si>
    <t>PELO</t>
  </si>
  <si>
    <t>GINS3</t>
  </si>
  <si>
    <t>TRIM56</t>
  </si>
  <si>
    <t>ANAPC13</t>
  </si>
  <si>
    <t>ERP44</t>
  </si>
  <si>
    <t>ATG101</t>
  </si>
  <si>
    <t>NTPCR</t>
  </si>
  <si>
    <t>C19orf52</t>
  </si>
  <si>
    <t>PRADC1</t>
  </si>
  <si>
    <t>TACO1</t>
  </si>
  <si>
    <t>HDHD3</t>
  </si>
  <si>
    <t>TUBGCP2</t>
  </si>
  <si>
    <t>C17orf80</t>
  </si>
  <si>
    <t>ESYT1</t>
  </si>
  <si>
    <t>SLC25A33</t>
  </si>
  <si>
    <t>UBAC1</t>
  </si>
  <si>
    <t>YIPF4</t>
  </si>
  <si>
    <t>NAA11</t>
  </si>
  <si>
    <t>TSEN34</t>
  </si>
  <si>
    <t>EFCAB4B</t>
  </si>
  <si>
    <t>CHCHD5</t>
  </si>
  <si>
    <t>CNPY3</t>
  </si>
  <si>
    <t>ALG1</t>
  </si>
  <si>
    <t>LIMD2</t>
  </si>
  <si>
    <t>HAUS8</t>
  </si>
  <si>
    <t>ALKBH7</t>
  </si>
  <si>
    <t>PSMG3</t>
  </si>
  <si>
    <t>COPS4</t>
  </si>
  <si>
    <t>WAC</t>
  </si>
  <si>
    <t>DIDO1</t>
  </si>
  <si>
    <t>MCMBP</t>
  </si>
  <si>
    <t>DCUN1D5</t>
  </si>
  <si>
    <t>FAM103A1</t>
  </si>
  <si>
    <t>ANP32E</t>
  </si>
  <si>
    <t>MED10</t>
  </si>
  <si>
    <t>PI4K2A</t>
  </si>
  <si>
    <t>TMEM43</t>
  </si>
  <si>
    <t>WDR85</t>
  </si>
  <si>
    <t>CABLES2</t>
  </si>
  <si>
    <t>FUCA2</t>
  </si>
  <si>
    <t>FAM203A</t>
  </si>
  <si>
    <t>DHRS4</t>
  </si>
  <si>
    <t>LMF2</t>
  </si>
  <si>
    <t>NDUFAF3</t>
  </si>
  <si>
    <t>MMTAG2</t>
  </si>
  <si>
    <t>DOHH</t>
  </si>
  <si>
    <t>C11orf84</t>
  </si>
  <si>
    <t>TMEM70</t>
  </si>
  <si>
    <t>MED18</t>
  </si>
  <si>
    <t>ISCA1</t>
  </si>
  <si>
    <t>TUBB6</t>
  </si>
  <si>
    <t>C9orf142</t>
  </si>
  <si>
    <t>POLR3C</t>
  </si>
  <si>
    <t>HNRNPUL1</t>
  </si>
  <si>
    <t>MSTO1</t>
  </si>
  <si>
    <t>RPP25</t>
  </si>
  <si>
    <t>HTATIP2</t>
  </si>
  <si>
    <t>DDX23</t>
  </si>
  <si>
    <t>WRAP53</t>
  </si>
  <si>
    <t>BDH2</t>
  </si>
  <si>
    <t>FAM195A</t>
  </si>
  <si>
    <t>C9orf16</t>
  </si>
  <si>
    <t>TRAF4</t>
  </si>
  <si>
    <t>C1orf50</t>
  </si>
  <si>
    <t>MRI1</t>
  </si>
  <si>
    <t>ABHD6</t>
  </si>
  <si>
    <t>WDR18</t>
  </si>
  <si>
    <t>VAMP8</t>
  </si>
  <si>
    <t>THUMPD3</t>
  </si>
  <si>
    <t>ADI1</t>
  </si>
  <si>
    <t>RNF126</t>
  </si>
  <si>
    <t>CEP250</t>
  </si>
  <si>
    <t>MECR</t>
  </si>
  <si>
    <t>EMC6</t>
  </si>
  <si>
    <t>NTMT1</t>
  </si>
  <si>
    <t>KATNB1</t>
  </si>
  <si>
    <t>TUBB2B</t>
  </si>
  <si>
    <t>DSCC1</t>
  </si>
  <si>
    <t>C2orf49</t>
  </si>
  <si>
    <t>TMEM109</t>
  </si>
  <si>
    <t>PBDC1</t>
  </si>
  <si>
    <t>PTDSS2</t>
  </si>
  <si>
    <t>NOC4L</t>
  </si>
  <si>
    <t>UTP14A</t>
  </si>
  <si>
    <t>DUSP23</t>
  </si>
  <si>
    <t>TMED9</t>
  </si>
  <si>
    <t>SELO</t>
  </si>
  <si>
    <t>SPATA5L1</t>
  </si>
  <si>
    <t>RIOK2</t>
  </si>
  <si>
    <t>TRMT61B</t>
  </si>
  <si>
    <t>TIMM21</t>
  </si>
  <si>
    <t>SARG</t>
  </si>
  <si>
    <t>KIFC1</t>
  </si>
  <si>
    <t>NUP85</t>
  </si>
  <si>
    <t>ELOVL1</t>
  </si>
  <si>
    <t>DDA1</t>
  </si>
  <si>
    <t>HIRIP3</t>
  </si>
  <si>
    <t>CCDC94</t>
  </si>
  <si>
    <t>NUDT9</t>
  </si>
  <si>
    <t>TARS2</t>
  </si>
  <si>
    <t>ACAT2</t>
  </si>
  <si>
    <t>REPIN1</t>
  </si>
  <si>
    <t>RBM4</t>
  </si>
  <si>
    <t>SCNM1</t>
  </si>
  <si>
    <t>FUNDC2</t>
  </si>
  <si>
    <t>RPAP1</t>
  </si>
  <si>
    <t>SF3B5</t>
  </si>
  <si>
    <t>SFXN3</t>
  </si>
  <si>
    <t>PAPOLG</t>
  </si>
  <si>
    <t>MND1</t>
  </si>
  <si>
    <t>SLC4A1AP</t>
  </si>
  <si>
    <t>SSBP3</t>
  </si>
  <si>
    <t>SSDP4</t>
  </si>
  <si>
    <t>GTPBP2</t>
  </si>
  <si>
    <t>BRIP1</t>
  </si>
  <si>
    <t>SORBS1</t>
  </si>
  <si>
    <t>HINT2</t>
  </si>
  <si>
    <t>CARD6</t>
  </si>
  <si>
    <t>SGPP1</t>
  </si>
  <si>
    <t>OSBPL11</t>
  </si>
  <si>
    <t>NAA15</t>
  </si>
  <si>
    <t>KLF16</t>
  </si>
  <si>
    <t>BCL2L13</t>
  </si>
  <si>
    <t>HEMGN</t>
  </si>
  <si>
    <t>CARD11</t>
  </si>
  <si>
    <t>SLC12A9</t>
  </si>
  <si>
    <t>SRRT</t>
  </si>
  <si>
    <t>QTRT1</t>
  </si>
  <si>
    <t>NUSAP1</t>
  </si>
  <si>
    <t>C14orf142</t>
  </si>
  <si>
    <t>CECR5</t>
  </si>
  <si>
    <t>FANCD2</t>
  </si>
  <si>
    <t>DGCR6L</t>
  </si>
  <si>
    <t>ITPA</t>
  </si>
  <si>
    <t>RTFDC1</t>
  </si>
  <si>
    <t>EIF2A</t>
  </si>
  <si>
    <t>POLDIP3</t>
  </si>
  <si>
    <t>GNB1L</t>
  </si>
  <si>
    <t>FUT8</t>
  </si>
  <si>
    <t>MRPL32</t>
  </si>
  <si>
    <t>MRPL1</t>
  </si>
  <si>
    <t>PARD6B</t>
  </si>
  <si>
    <t>FAM126A</t>
  </si>
  <si>
    <t>NLN</t>
  </si>
  <si>
    <t>CEP41</t>
  </si>
  <si>
    <t>SETD2</t>
  </si>
  <si>
    <t>TBC1D2</t>
  </si>
  <si>
    <t>PANK2</t>
  </si>
  <si>
    <t>DOCK9</t>
  </si>
  <si>
    <t>WHSC1L1</t>
  </si>
  <si>
    <t>GCOM2</t>
  </si>
  <si>
    <t>NUF2</t>
  </si>
  <si>
    <t>MRPL37</t>
  </si>
  <si>
    <t>PUS3</t>
  </si>
  <si>
    <t>ASPSCR1</t>
  </si>
  <si>
    <t>OSBPL8</t>
  </si>
  <si>
    <t>OSBPL6</t>
  </si>
  <si>
    <t>WDR11</t>
  </si>
  <si>
    <t>UPF3B</t>
  </si>
  <si>
    <t>TBL1XR1</t>
  </si>
  <si>
    <t>UBL5</t>
  </si>
  <si>
    <t>PLA2G12A</t>
  </si>
  <si>
    <t>ULBP1</t>
  </si>
  <si>
    <t>FAM129A</t>
  </si>
  <si>
    <t>UCK2</t>
  </si>
  <si>
    <t>SPRY4</t>
  </si>
  <si>
    <t>DPY30</t>
  </si>
  <si>
    <t>TRIM4</t>
  </si>
  <si>
    <t>FAM117A</t>
  </si>
  <si>
    <t>UNK</t>
  </si>
  <si>
    <t>FTO</t>
  </si>
  <si>
    <t>ZDHHC5</t>
  </si>
  <si>
    <t>TANGO6</t>
  </si>
  <si>
    <t>TNKS1BP1</t>
  </si>
  <si>
    <t>SEMA4C</t>
  </si>
  <si>
    <t>AMBRA1</t>
  </si>
  <si>
    <t>ZYG11B</t>
  </si>
  <si>
    <t>CEP44</t>
  </si>
  <si>
    <t>MTMR12</t>
  </si>
  <si>
    <t>WDR33</t>
  </si>
  <si>
    <t>WDR12</t>
  </si>
  <si>
    <t>ACTR6</t>
  </si>
  <si>
    <t>C20orf27</t>
  </si>
  <si>
    <t>NRSN2</t>
  </si>
  <si>
    <t>PITHD1</t>
  </si>
  <si>
    <t>DERL2</t>
  </si>
  <si>
    <t>COMMD5</t>
  </si>
  <si>
    <t>POLR1E</t>
  </si>
  <si>
    <t>WDR61</t>
  </si>
  <si>
    <t>SLIRP</t>
  </si>
  <si>
    <t>SRR</t>
  </si>
  <si>
    <t>CCDC90B</t>
  </si>
  <si>
    <t>NIF3L1</t>
  </si>
  <si>
    <t>EGLN1</t>
  </si>
  <si>
    <t>FAM192A</t>
  </si>
  <si>
    <t>TWSG1</t>
  </si>
  <si>
    <t>COA1</t>
  </si>
  <si>
    <t>MFF</t>
  </si>
  <si>
    <t>UBA5</t>
  </si>
  <si>
    <t>MTFR1L</t>
  </si>
  <si>
    <t>TMEM126A</t>
  </si>
  <si>
    <t>PAIP1</t>
  </si>
  <si>
    <t>CLPB</t>
  </si>
  <si>
    <t>MIS12</t>
  </si>
  <si>
    <t>RAB33B</t>
  </si>
  <si>
    <t>LSG1</t>
  </si>
  <si>
    <t>KLC2</t>
  </si>
  <si>
    <t>ILKAP</t>
  </si>
  <si>
    <t>XRN2</t>
  </si>
  <si>
    <t>TOLLIP</t>
  </si>
  <si>
    <t>BRD8</t>
  </si>
  <si>
    <t>SHARPIN</t>
  </si>
  <si>
    <t>NSRP1</t>
  </si>
  <si>
    <t>RACGAP1</t>
  </si>
  <si>
    <t>PARP12</t>
  </si>
  <si>
    <t>PUS7L</t>
  </si>
  <si>
    <t>CSTF2T</t>
  </si>
  <si>
    <t>NT5C3A</t>
  </si>
  <si>
    <t>HDHD2</t>
  </si>
  <si>
    <t>QRSL1</t>
  </si>
  <si>
    <t>DDX47</t>
  </si>
  <si>
    <t>MAGT1</t>
  </si>
  <si>
    <t>RAB1B</t>
  </si>
  <si>
    <t>MRPL18</t>
  </si>
  <si>
    <t>TSPYL1</t>
  </si>
  <si>
    <t>TMEM168</t>
  </si>
  <si>
    <t>LMAN2L</t>
  </si>
  <si>
    <t>SMG9</t>
  </si>
  <si>
    <t>C11orf54</t>
  </si>
  <si>
    <t>ITFG3</t>
  </si>
  <si>
    <t>ING2</t>
  </si>
  <si>
    <t>SIL1</t>
  </si>
  <si>
    <t>METTL9</t>
  </si>
  <si>
    <t>ANAPC1</t>
  </si>
  <si>
    <t>IRF2BPL</t>
  </si>
  <si>
    <t>POLR3F</t>
  </si>
  <si>
    <t>NUCKS1</t>
  </si>
  <si>
    <t>KIF13A</t>
  </si>
  <si>
    <t>UPF3A</t>
  </si>
  <si>
    <t>ZFYVE20</t>
  </si>
  <si>
    <t>ISCU</t>
  </si>
  <si>
    <t>MESDC1</t>
  </si>
  <si>
    <t>OSBPL2</t>
  </si>
  <si>
    <t>ATG5</t>
  </si>
  <si>
    <t>WDR13</t>
  </si>
  <si>
    <t>CDT1</t>
  </si>
  <si>
    <t>EHD4</t>
  </si>
  <si>
    <t>CARD9</t>
  </si>
  <si>
    <t>VPS33B</t>
  </si>
  <si>
    <t>VPS16</t>
  </si>
  <si>
    <t>VPS11</t>
  </si>
  <si>
    <t>GAN</t>
  </si>
  <si>
    <t>SLC25A32</t>
  </si>
  <si>
    <t>SLK</t>
  </si>
  <si>
    <t>BLZF1</t>
  </si>
  <si>
    <t>PDCL3</t>
  </si>
  <si>
    <t>MTIF3</t>
  </si>
  <si>
    <t>TAOK3</t>
  </si>
  <si>
    <t>RAB3GAP2</t>
  </si>
  <si>
    <t>ADNP</t>
  </si>
  <si>
    <t>DPH5</t>
  </si>
  <si>
    <t>PPA2</t>
  </si>
  <si>
    <t>MRPL46</t>
  </si>
  <si>
    <t>PARL</t>
  </si>
  <si>
    <t>PNN</t>
  </si>
  <si>
    <t>TMEM245</t>
  </si>
  <si>
    <t>GGNBP2</t>
  </si>
  <si>
    <t>TRIT1</t>
  </si>
  <si>
    <t>C11orf68</t>
  </si>
  <si>
    <t>DPAGT1</t>
  </si>
  <si>
    <t>C12orf65</t>
  </si>
  <si>
    <t>BOLA2</t>
  </si>
  <si>
    <t>TXNIP</t>
  </si>
  <si>
    <t>TMX1</t>
  </si>
  <si>
    <t>NELFA</t>
  </si>
  <si>
    <t>ACBD3</t>
  </si>
  <si>
    <t>CDC42EP4</t>
  </si>
  <si>
    <t>CENPH</t>
  </si>
  <si>
    <t>PTPN23</t>
  </si>
  <si>
    <t>UNC45A</t>
  </si>
  <si>
    <t>MFSD1</t>
  </si>
  <si>
    <t>PPDPF</t>
  </si>
  <si>
    <t>DNAJC5</t>
  </si>
  <si>
    <t>DSN1</t>
  </si>
  <si>
    <t>C1orf198</t>
  </si>
  <si>
    <t>CHMP4B</t>
  </si>
  <si>
    <t>CUEDC2</t>
  </si>
  <si>
    <t>FBXL15</t>
  </si>
  <si>
    <t>FN3K</t>
  </si>
  <si>
    <t>POFUT1</t>
  </si>
  <si>
    <t>PIGU</t>
  </si>
  <si>
    <t>IFRG15</t>
  </si>
  <si>
    <t>TOR3A</t>
  </si>
  <si>
    <t>RNPEP</t>
  </si>
  <si>
    <t>GOLPH3L</t>
  </si>
  <si>
    <t>GOLPH3</t>
  </si>
  <si>
    <t>DEF6</t>
  </si>
  <si>
    <t>FAM83D</t>
  </si>
  <si>
    <t>OSBPL3</t>
  </si>
  <si>
    <t>SMARCAD1</t>
  </si>
  <si>
    <t>EHD1</t>
  </si>
  <si>
    <t>RNF41</t>
  </si>
  <si>
    <t>PCIF1</t>
  </si>
  <si>
    <t>ESF1</t>
  </si>
  <si>
    <t>ALG2</t>
  </si>
  <si>
    <t>SGK196</t>
  </si>
  <si>
    <t>RABEP2</t>
  </si>
  <si>
    <t>TFB2M</t>
  </si>
  <si>
    <t>CDCP1</t>
  </si>
  <si>
    <t>CXorf56</t>
  </si>
  <si>
    <t>FAM96A</t>
  </si>
  <si>
    <t>HAUS4</t>
  </si>
  <si>
    <t>CCDC134</t>
  </si>
  <si>
    <t>CCDC86</t>
  </si>
  <si>
    <t>REEP4</t>
  </si>
  <si>
    <t>C6orf106</t>
  </si>
  <si>
    <t>OPA3</t>
  </si>
  <si>
    <t>NARFL</t>
  </si>
  <si>
    <t>ZDHHC6</t>
  </si>
  <si>
    <t>C2orf44</t>
  </si>
  <si>
    <t>YTHDC2</t>
  </si>
  <si>
    <t>AZI2</t>
  </si>
  <si>
    <t>EPS8L2</t>
  </si>
  <si>
    <t>RPAP3</t>
  </si>
  <si>
    <t>ALG9</t>
  </si>
  <si>
    <t>WDR55</t>
  </si>
  <si>
    <t>DCTPP1</t>
  </si>
  <si>
    <t>SMYD3</t>
  </si>
  <si>
    <t>WDR26</t>
  </si>
  <si>
    <t>TDRD3</t>
  </si>
  <si>
    <t>C8orf33</t>
  </si>
  <si>
    <t>ATP13A3</t>
  </si>
  <si>
    <t>SUDS3</t>
  </si>
  <si>
    <t>SCAF1</t>
  </si>
  <si>
    <t>KAT8</t>
  </si>
  <si>
    <t>PTGES2</t>
  </si>
  <si>
    <t>TMEM206</t>
  </si>
  <si>
    <t>PHAX</t>
  </si>
  <si>
    <t>UBE2Z</t>
  </si>
  <si>
    <t>GEMIN7</t>
  </si>
  <si>
    <t>ACAD9</t>
  </si>
  <si>
    <t>RMND5A</t>
  </si>
  <si>
    <t>PRKRIP1</t>
  </si>
  <si>
    <t>CAAP1</t>
  </si>
  <si>
    <t>NOL11</t>
  </si>
  <si>
    <t>FAM188A</t>
  </si>
  <si>
    <t>MOB1A</t>
  </si>
  <si>
    <t>ZFAND3</t>
  </si>
  <si>
    <t>PLEKHF2</t>
  </si>
  <si>
    <t>IPPK</t>
  </si>
  <si>
    <t>ANKZF1</t>
  </si>
  <si>
    <t>GORASP2</t>
  </si>
  <si>
    <t>ZWILCH</t>
  </si>
  <si>
    <t>SLC25A22</t>
  </si>
  <si>
    <t>PSTPIP2</t>
  </si>
  <si>
    <t>MED20</t>
  </si>
  <si>
    <t>QTRTD1</t>
  </si>
  <si>
    <t>ACTR8</t>
  </si>
  <si>
    <t>C6orf211</t>
  </si>
  <si>
    <t>PANK3</t>
  </si>
  <si>
    <t>CNOT10</t>
  </si>
  <si>
    <t>LRRC40</t>
  </si>
  <si>
    <t>RMI1</t>
  </si>
  <si>
    <t>EHMT1</t>
  </si>
  <si>
    <t>SFXN1</t>
  </si>
  <si>
    <t>ACTR5</t>
  </si>
  <si>
    <t>VPS37B</t>
  </si>
  <si>
    <t>L2HGDH</t>
  </si>
  <si>
    <t>FKRP</t>
  </si>
  <si>
    <t>ELP3</t>
  </si>
  <si>
    <t>JMJD4</t>
  </si>
  <si>
    <t>GPN2</t>
  </si>
  <si>
    <t>POLR1B</t>
  </si>
  <si>
    <t>UCK1</t>
  </si>
  <si>
    <t>FN3KRP</t>
  </si>
  <si>
    <t>TBC1D17</t>
  </si>
  <si>
    <t>CARS2</t>
  </si>
  <si>
    <t>PPCS</t>
  </si>
  <si>
    <t>MEAF6</t>
  </si>
  <si>
    <t>SAP30L</t>
  </si>
  <si>
    <t>NMNAT1</t>
  </si>
  <si>
    <t>LIN7B</t>
  </si>
  <si>
    <t>SIAE</t>
  </si>
  <si>
    <t>PLEKHA5</t>
  </si>
  <si>
    <t>UPF2</t>
  </si>
  <si>
    <t>GNB4</t>
  </si>
  <si>
    <t>XPO5</t>
  </si>
  <si>
    <t>GRPEL1</t>
  </si>
  <si>
    <t>CLSPN</t>
  </si>
  <si>
    <t>BCL2L12</t>
  </si>
  <si>
    <t>PLEKHA2</t>
  </si>
  <si>
    <t>SCPEP1</t>
  </si>
  <si>
    <t>CACYBP</t>
  </si>
  <si>
    <t>RRAGC</t>
  </si>
  <si>
    <t>SMARCA4</t>
  </si>
  <si>
    <t>PDF</t>
  </si>
  <si>
    <t>RDH14</t>
  </si>
  <si>
    <t>PARVB</t>
  </si>
  <si>
    <t>PLGRKT</t>
  </si>
  <si>
    <t>NMRAL1</t>
  </si>
  <si>
    <t>SPC25</t>
  </si>
  <si>
    <t>TAF9B</t>
  </si>
  <si>
    <t>AGPAT1</t>
  </si>
  <si>
    <t>SLC38A10</t>
  </si>
  <si>
    <t>EML4</t>
  </si>
  <si>
    <t>RNMTL1</t>
  </si>
  <si>
    <t>GLOD4</t>
  </si>
  <si>
    <t>GPBP1L1</t>
  </si>
  <si>
    <t>CBX8</t>
  </si>
  <si>
    <t>MCCC2</t>
  </si>
  <si>
    <t>ZFYVE28</t>
  </si>
  <si>
    <t>NCOA5</t>
  </si>
  <si>
    <t>MOV10</t>
  </si>
  <si>
    <t>METTL14</t>
  </si>
  <si>
    <t>CHD8</t>
  </si>
  <si>
    <t>TMEM8A</t>
  </si>
  <si>
    <t>GPN1</t>
  </si>
  <si>
    <t>SDF2L1</t>
  </si>
  <si>
    <t>CSNK1G1</t>
  </si>
  <si>
    <t>PREB</t>
  </si>
  <si>
    <t>POLD4</t>
  </si>
  <si>
    <t>SRA1</t>
  </si>
  <si>
    <t>ATP13A1</t>
  </si>
  <si>
    <t>MRS2</t>
  </si>
  <si>
    <t>GOPC</t>
  </si>
  <si>
    <t>SEPSECS</t>
  </si>
  <si>
    <t>TM9SF3</t>
  </si>
  <si>
    <t>RANGRF</t>
  </si>
  <si>
    <t>XAGE1A</t>
  </si>
  <si>
    <t>JPH1</t>
  </si>
  <si>
    <t>APMAP</t>
  </si>
  <si>
    <t>WDR6</t>
  </si>
  <si>
    <t>SH2D2A</t>
  </si>
  <si>
    <t>ABCB6</t>
  </si>
  <si>
    <t>SLC40A1</t>
  </si>
  <si>
    <t>HMG20A</t>
  </si>
  <si>
    <t>RAB18</t>
  </si>
  <si>
    <t>ALG13</t>
  </si>
  <si>
    <t>PALMD</t>
  </si>
  <si>
    <t>SSU72</t>
  </si>
  <si>
    <t>VTA1</t>
  </si>
  <si>
    <t>PNPLA8</t>
  </si>
  <si>
    <t>MRPS30</t>
  </si>
  <si>
    <t>EMC7</t>
  </si>
  <si>
    <t>MID1IP1</t>
  </si>
  <si>
    <t>ENY2</t>
  </si>
  <si>
    <t>GPCPD1</t>
  </si>
  <si>
    <t>EXOSC4</t>
  </si>
  <si>
    <t>UBE2T</t>
  </si>
  <si>
    <t>NGRN</t>
  </si>
  <si>
    <t>NOP10</t>
  </si>
  <si>
    <t>CD320</t>
  </si>
  <si>
    <t>OSGEP</t>
  </si>
  <si>
    <t>DMAP1</t>
  </si>
  <si>
    <t>ISYNA1</t>
  </si>
  <si>
    <t>BRD7</t>
  </si>
  <si>
    <t>ACOT13</t>
  </si>
  <si>
    <t>MED4</t>
  </si>
  <si>
    <t>TIMMDC1</t>
  </si>
  <si>
    <t>GPR108</t>
  </si>
  <si>
    <t>ATP13A2</t>
  </si>
  <si>
    <t>LUC7L</t>
  </si>
  <si>
    <t>CASS4</t>
  </si>
  <si>
    <t>TIGAR</t>
  </si>
  <si>
    <t>RTN4</t>
  </si>
  <si>
    <t>HINT3</t>
  </si>
  <si>
    <t>RPRD1B</t>
  </si>
  <si>
    <t>HPS4</t>
  </si>
  <si>
    <t>XPNPEP3</t>
  </si>
  <si>
    <t>PFDN4</t>
  </si>
  <si>
    <t>NIT2</t>
  </si>
  <si>
    <t>AVEN</t>
  </si>
  <si>
    <t>EXOSC5</t>
  </si>
  <si>
    <t>EXOSC3</t>
  </si>
  <si>
    <t>KIF13B</t>
  </si>
  <si>
    <t>ANLN</t>
  </si>
  <si>
    <t>XPNPEP1</t>
  </si>
  <si>
    <t>BIN3</t>
  </si>
  <si>
    <t>UTP3</t>
  </si>
  <si>
    <t>STARD7</t>
  </si>
  <si>
    <t>BIRC6</t>
  </si>
  <si>
    <t>PDLIM7</t>
  </si>
  <si>
    <t>ACSS2</t>
  </si>
  <si>
    <t>DIABLO</t>
  </si>
  <si>
    <t>DDX21</t>
  </si>
  <si>
    <t>SAR1A</t>
  </si>
  <si>
    <t>POLE4</t>
  </si>
  <si>
    <t>NANS</t>
  </si>
  <si>
    <t>EIF2B3</t>
  </si>
  <si>
    <t>PICK1</t>
  </si>
  <si>
    <t>SH2B1</t>
  </si>
  <si>
    <t>CTPS2</t>
  </si>
  <si>
    <t>POLE3</t>
  </si>
  <si>
    <t>CHRAC1</t>
  </si>
  <si>
    <t>PRTFDC1</t>
  </si>
  <si>
    <t>SMYD2</t>
  </si>
  <si>
    <t>YAE1D1</t>
  </si>
  <si>
    <t>ABCB10</t>
  </si>
  <si>
    <t>BAZ1A</t>
  </si>
  <si>
    <t>STRN4</t>
  </si>
  <si>
    <t>AASDHPPT</t>
  </si>
  <si>
    <t>METTL5</t>
  </si>
  <si>
    <t>CMC2</t>
  </si>
  <si>
    <t>ACN9</t>
  </si>
  <si>
    <t>UBQLN4</t>
  </si>
  <si>
    <t>CDC42SE1</t>
  </si>
  <si>
    <t>SNX15</t>
  </si>
  <si>
    <t>HEBP1</t>
  </si>
  <si>
    <t>RAB6B</t>
  </si>
  <si>
    <t>APOBEC3C</t>
  </si>
  <si>
    <t>DUSP22</t>
  </si>
  <si>
    <t>VPS45</t>
  </si>
  <si>
    <t>PNO1</t>
  </si>
  <si>
    <t>PHPT1</t>
  </si>
  <si>
    <t>SERINC1</t>
  </si>
  <si>
    <t>INIP</t>
  </si>
  <si>
    <t>ARHGAP35</t>
  </si>
  <si>
    <t>FAM114A2</t>
  </si>
  <si>
    <t>AGPAT3</t>
  </si>
  <si>
    <t>HELLS</t>
  </si>
  <si>
    <t>GLRX2</t>
  </si>
  <si>
    <t>RASSF1</t>
  </si>
  <si>
    <t>TOMM22</t>
  </si>
  <si>
    <t>LANCL2</t>
  </si>
  <si>
    <t>KIF15</t>
  </si>
  <si>
    <t>RAD18</t>
  </si>
  <si>
    <t>TM7SF3</t>
  </si>
  <si>
    <t>CTNNBIP1</t>
  </si>
  <si>
    <t>FARSB</t>
  </si>
  <si>
    <t>IARS2</t>
  </si>
  <si>
    <t>C1orf112</t>
  </si>
  <si>
    <t>FAM207A</t>
  </si>
  <si>
    <t>SAMSN1</t>
  </si>
  <si>
    <t>KLC4</t>
  </si>
  <si>
    <t>BMP2K</t>
  </si>
  <si>
    <t>ATG3</t>
  </si>
  <si>
    <t>SIRT3</t>
  </si>
  <si>
    <t>PDS5B</t>
  </si>
  <si>
    <t>SMC4</t>
  </si>
  <si>
    <t>MAN2C1</t>
  </si>
  <si>
    <t>SACM1L</t>
  </si>
  <si>
    <t>CUTC</t>
  </si>
  <si>
    <t>ECHDC1</t>
  </si>
  <si>
    <t>RNF146</t>
  </si>
  <si>
    <t>RBM12</t>
  </si>
  <si>
    <t>TBC1D22B</t>
  </si>
  <si>
    <t>MDN1</t>
  </si>
  <si>
    <t>LYRM2</t>
  </si>
  <si>
    <t>ZCCHC3</t>
  </si>
  <si>
    <t>ZDHHC18</t>
  </si>
  <si>
    <t>PDRG1</t>
  </si>
  <si>
    <t>ABHD10</t>
  </si>
  <si>
    <t>TMEM106B</t>
  </si>
  <si>
    <t>LMBRD1</t>
  </si>
  <si>
    <t>BLOC1S4</t>
  </si>
  <si>
    <t>TRMT13</t>
  </si>
  <si>
    <t>LIN7C</t>
  </si>
  <si>
    <t>AGPAT5</t>
  </si>
  <si>
    <t>TXLNG</t>
  </si>
  <si>
    <t>UFSP2</t>
  </si>
  <si>
    <t>ABCF3</t>
  </si>
  <si>
    <t>FAM49B</t>
  </si>
  <si>
    <t>AP5S1</t>
  </si>
  <si>
    <t>DDX19A</t>
  </si>
  <si>
    <t>TDP1</t>
  </si>
  <si>
    <t>TBC1D23</t>
  </si>
  <si>
    <t>DCAF13</t>
  </si>
  <si>
    <t>IMP3</t>
  </si>
  <si>
    <t>NUDT15</t>
  </si>
  <si>
    <t>MRGBP</t>
  </si>
  <si>
    <t>TYW1</t>
  </si>
  <si>
    <t>EXOC1</t>
  </si>
  <si>
    <t>TMEM30A</t>
  </si>
  <si>
    <t>UQCC</t>
  </si>
  <si>
    <t>MED17</t>
  </si>
  <si>
    <t>PANK4</t>
  </si>
  <si>
    <t>FBXO28</t>
  </si>
  <si>
    <t>TBC1D13</t>
  </si>
  <si>
    <t>EXD2</t>
  </si>
  <si>
    <t>DNAJC11</t>
  </si>
  <si>
    <t>INTS7</t>
  </si>
  <si>
    <t>TMLHE</t>
  </si>
  <si>
    <t>FANCI</t>
  </si>
  <si>
    <t>ATAD3A</t>
  </si>
  <si>
    <t>ARL8B</t>
  </si>
  <si>
    <t>FGFR1OP2</t>
  </si>
  <si>
    <t>EVA1B</t>
  </si>
  <si>
    <t>PRMT7</t>
  </si>
  <si>
    <t>DNAJC17</t>
  </si>
  <si>
    <t>ASUN</t>
  </si>
  <si>
    <t>GNL3L</t>
  </si>
  <si>
    <t>DDX18</t>
  </si>
  <si>
    <t>ASF1B</t>
  </si>
  <si>
    <t>KLHL11</t>
  </si>
  <si>
    <t>INTS10</t>
  </si>
  <si>
    <t>DNAAF2</t>
  </si>
  <si>
    <t>POLR3E</t>
  </si>
  <si>
    <t>TMEM38B</t>
  </si>
  <si>
    <t>MTPAP</t>
  </si>
  <si>
    <t>RLIM</t>
  </si>
  <si>
    <t>HAUS2</t>
  </si>
  <si>
    <t>NLE1</t>
  </si>
  <si>
    <t>KBTBD4</t>
  </si>
  <si>
    <t>NECAP2</t>
  </si>
  <si>
    <t>POLR3B</t>
  </si>
  <si>
    <t>RBM28</t>
  </si>
  <si>
    <t>ANO10</t>
  </si>
  <si>
    <t>RBM22</t>
  </si>
  <si>
    <t>WDR70</t>
  </si>
  <si>
    <t>ARGLU1</t>
  </si>
  <si>
    <t>TMEM248</t>
  </si>
  <si>
    <t>BEX4</t>
  </si>
  <si>
    <t>TMEM242</t>
  </si>
  <si>
    <t>SLTM</t>
  </si>
  <si>
    <t>ZNHIT6</t>
  </si>
  <si>
    <t>FKBP14</t>
  </si>
  <si>
    <t>C14orf119</t>
  </si>
  <si>
    <t>PIH1D1</t>
  </si>
  <si>
    <t>FAM118A</t>
  </si>
  <si>
    <t>RMND1</t>
  </si>
  <si>
    <t>PAK1IP1</t>
  </si>
  <si>
    <t>HIF1AN</t>
  </si>
  <si>
    <t>AURKAIP1</t>
  </si>
  <si>
    <t>OXSM</t>
  </si>
  <si>
    <t>GID8</t>
  </si>
  <si>
    <t>C1orf123</t>
  </si>
  <si>
    <t>THG1L</t>
  </si>
  <si>
    <t>C4orf27</t>
  </si>
  <si>
    <t>IRAK4</t>
  </si>
  <si>
    <t>TXNL4B</t>
  </si>
  <si>
    <t>NLRP2</t>
  </si>
  <si>
    <t>C1orf109</t>
  </si>
  <si>
    <t>TRNAU1AP</t>
  </si>
  <si>
    <t>COMMD8</t>
  </si>
  <si>
    <t>DDIT4</t>
  </si>
  <si>
    <t>NDUFB11</t>
  </si>
  <si>
    <t>MRPL16</t>
  </si>
  <si>
    <t>NHP2</t>
  </si>
  <si>
    <t>FAM206A</t>
  </si>
  <si>
    <t>OCIAD1</t>
  </si>
  <si>
    <t>ADPRHL2</t>
  </si>
  <si>
    <t>MARCH5</t>
  </si>
  <si>
    <t>LYAR</t>
  </si>
  <si>
    <t>IMPAD1</t>
  </si>
  <si>
    <t>MED29</t>
  </si>
  <si>
    <t>DUS2L</t>
  </si>
  <si>
    <t>WBP1L</t>
  </si>
  <si>
    <t>SIRT5</t>
  </si>
  <si>
    <t>MIOS</t>
  </si>
  <si>
    <t>CWC25</t>
  </si>
  <si>
    <t>TEX10</t>
  </si>
  <si>
    <t>DCAF16</t>
  </si>
  <si>
    <t>ZDHHC7</t>
  </si>
  <si>
    <t>TOR4A</t>
  </si>
  <si>
    <t>TRMT1</t>
  </si>
  <si>
    <t>FBXL12</t>
  </si>
  <si>
    <t>GDAP2</t>
  </si>
  <si>
    <t>NDE1</t>
  </si>
  <si>
    <t>BRE</t>
  </si>
  <si>
    <t>QPCTL</t>
  </si>
  <si>
    <t>ARL15</t>
  </si>
  <si>
    <t>KCTD5</t>
  </si>
  <si>
    <t>CDKN2AIP</t>
  </si>
  <si>
    <t>ALKBH4</t>
  </si>
  <si>
    <t>NSMCE4A</t>
  </si>
  <si>
    <t>PPP4R2</t>
  </si>
  <si>
    <t>B3GNT2</t>
  </si>
  <si>
    <t>SPHK1</t>
  </si>
  <si>
    <t>TERF2IP</t>
  </si>
  <si>
    <t>UTP6</t>
  </si>
  <si>
    <t>COA4</t>
  </si>
  <si>
    <t>TAB2</t>
  </si>
  <si>
    <t>MRPL39</t>
  </si>
  <si>
    <t>MLTK</t>
  </si>
  <si>
    <t>TMOD3</t>
  </si>
  <si>
    <t>MIS18A</t>
  </si>
  <si>
    <t>UGGT1</t>
  </si>
  <si>
    <t>CDK12</t>
  </si>
  <si>
    <t>FASTKD2</t>
  </si>
  <si>
    <t>SLC25A37</t>
  </si>
  <si>
    <t>GTSE1</t>
  </si>
  <si>
    <t>TECR</t>
  </si>
  <si>
    <t>ERAP1</t>
  </si>
  <si>
    <t>UBAP1</t>
  </si>
  <si>
    <t>ACTR10</t>
  </si>
  <si>
    <t>USE1</t>
  </si>
  <si>
    <t>CISD1</t>
  </si>
  <si>
    <t>PODXL2</t>
  </si>
  <si>
    <t>C9orf78</t>
  </si>
  <si>
    <t>CLIC5</t>
  </si>
  <si>
    <t>GDE1</t>
  </si>
  <si>
    <t>WWOX</t>
  </si>
  <si>
    <t>SMARCAL1</t>
  </si>
  <si>
    <t>SPG21</t>
  </si>
  <si>
    <t>UBP1</t>
  </si>
  <si>
    <t>IGF2BP1</t>
  </si>
  <si>
    <t>SACS</t>
  </si>
  <si>
    <t>COQ3</t>
  </si>
  <si>
    <t>MTCH1</t>
  </si>
  <si>
    <t>NUDT4</t>
  </si>
  <si>
    <t>HSPBP1</t>
  </si>
  <si>
    <t>MAT2B</t>
  </si>
  <si>
    <t>ITSN2</t>
  </si>
  <si>
    <t>GLTSCR1</t>
  </si>
  <si>
    <t>EHD2</t>
  </si>
  <si>
    <t>ARHGEF12</t>
  </si>
  <si>
    <t>NCKIPSD</t>
  </si>
  <si>
    <t>OGFR</t>
  </si>
  <si>
    <t>MPP6</t>
  </si>
  <si>
    <t>CHMP5</t>
  </si>
  <si>
    <t>COMMD9</t>
  </si>
  <si>
    <t>CWC15</t>
  </si>
  <si>
    <t>THYN1</t>
  </si>
  <si>
    <t>CRIPT</t>
  </si>
  <si>
    <t>CCDC59</t>
  </si>
  <si>
    <t>NDUFAF4</t>
  </si>
  <si>
    <t>PTPLAD1</t>
  </si>
  <si>
    <t>CCDC167</t>
  </si>
  <si>
    <t>EMC3</t>
  </si>
  <si>
    <t>KCMF1</t>
  </si>
  <si>
    <t>VAPA</t>
  </si>
  <si>
    <t>TBC1D7</t>
  </si>
  <si>
    <t>RNF181</t>
  </si>
  <si>
    <t>GSKIP</t>
  </si>
  <si>
    <t>CXXC1</t>
  </si>
  <si>
    <t>HMG20B</t>
  </si>
  <si>
    <t>ZNRD1</t>
  </si>
  <si>
    <t>ACTR3B</t>
  </si>
  <si>
    <t>PIM2</t>
  </si>
  <si>
    <t>CALCOCO1</t>
  </si>
  <si>
    <t>KIAA1522</t>
  </si>
  <si>
    <t>CEP72</t>
  </si>
  <si>
    <t>POGK</t>
  </si>
  <si>
    <t>VPS18</t>
  </si>
  <si>
    <t>RCC2</t>
  </si>
  <si>
    <t>KIAA1468</t>
  </si>
  <si>
    <t>DIP2B</t>
  </si>
  <si>
    <t>SLAIN2</t>
  </si>
  <si>
    <t>BCCIP</t>
  </si>
  <si>
    <t>PTGFRN</t>
  </si>
  <si>
    <t>CHD7</t>
  </si>
  <si>
    <t>HEATR5B</t>
  </si>
  <si>
    <t>DNAH1</t>
  </si>
  <si>
    <t>ZNFX1</t>
  </si>
  <si>
    <t>RRBP1</t>
  </si>
  <si>
    <t>CPSF2</t>
  </si>
  <si>
    <t>ZNF624</t>
  </si>
  <si>
    <t>PDP2</t>
  </si>
  <si>
    <t>EIF2AK4</t>
  </si>
  <si>
    <t>TBC1D14</t>
  </si>
  <si>
    <t>RBM27</t>
  </si>
  <si>
    <t>ANKFY1</t>
  </si>
  <si>
    <t>RERE</t>
  </si>
  <si>
    <t>PSMC3IP</t>
  </si>
  <si>
    <t>DPM3</t>
  </si>
  <si>
    <t>UVRAG</t>
  </si>
  <si>
    <t>ATXN10</t>
  </si>
  <si>
    <t>MBD2</t>
  </si>
  <si>
    <t>NCDN</t>
  </si>
  <si>
    <t>TFIP11</t>
  </si>
  <si>
    <t>DNMT3B</t>
  </si>
  <si>
    <t>ORC3</t>
  </si>
  <si>
    <t>SAE1</t>
  </si>
  <si>
    <t>MAGEC2</t>
  </si>
  <si>
    <t>COPG2</t>
  </si>
  <si>
    <t>RNF7</t>
  </si>
  <si>
    <t>PI4KB</t>
  </si>
  <si>
    <t>XPR1</t>
  </si>
  <si>
    <t>COMMD3</t>
  </si>
  <si>
    <t>GNG12</t>
  </si>
  <si>
    <t>MTRR</t>
  </si>
  <si>
    <t>UXT</t>
  </si>
  <si>
    <t>ASH2L</t>
  </si>
  <si>
    <t>DHCR7</t>
  </si>
  <si>
    <t>SPAST</t>
  </si>
  <si>
    <t>METTL1</t>
  </si>
  <si>
    <t>GULP1</t>
  </si>
  <si>
    <t>GRHPR</t>
  </si>
  <si>
    <t>CTSZ</t>
  </si>
  <si>
    <t>RPS6KB2</t>
  </si>
  <si>
    <t>RNF14</t>
  </si>
  <si>
    <t>UBA2</t>
  </si>
  <si>
    <t>FAM8A1</t>
  </si>
  <si>
    <t>NXF1</t>
  </si>
  <si>
    <t>SEL1L</t>
  </si>
  <si>
    <t>B4GALT7</t>
  </si>
  <si>
    <t>PEF1</t>
  </si>
  <si>
    <t>ZMYM2</t>
  </si>
  <si>
    <t>COPS7A</t>
  </si>
  <si>
    <t>CLN8</t>
  </si>
  <si>
    <t>MTFP1</t>
  </si>
  <si>
    <t>TJP2</t>
  </si>
  <si>
    <t>DNAJB4</t>
  </si>
  <si>
    <t>CFDP1</t>
  </si>
  <si>
    <t>ZNF629</t>
  </si>
  <si>
    <t>DAXX</t>
  </si>
  <si>
    <t>FTSJ1</t>
  </si>
  <si>
    <t>VTI1B</t>
  </si>
  <si>
    <t>GAGE2D</t>
  </si>
  <si>
    <t>ADD3</t>
  </si>
  <si>
    <t>LRWD1</t>
  </si>
  <si>
    <t>C19orf25</t>
  </si>
  <si>
    <t>NIPSNAP3A</t>
  </si>
  <si>
    <t>CGGBP1</t>
  </si>
  <si>
    <t>DKFZp564L232</t>
  </si>
  <si>
    <t>ABCF2</t>
  </si>
  <si>
    <t>MTRF1L</t>
  </si>
  <si>
    <t>TES</t>
  </si>
  <si>
    <t>TUBGCP4</t>
  </si>
  <si>
    <t>WARS2</t>
  </si>
  <si>
    <t>LIMD1</t>
  </si>
  <si>
    <t>SEC63</t>
  </si>
  <si>
    <t>ZC3H7B</t>
  </si>
  <si>
    <t>ARMCX3</t>
  </si>
  <si>
    <t>SWAP70</t>
  </si>
  <si>
    <t>SUN2</t>
  </si>
  <si>
    <t>SS18L2</t>
  </si>
  <si>
    <t>LAMTOR3</t>
  </si>
  <si>
    <t>AFF4</t>
  </si>
  <si>
    <t>SRP68</t>
  </si>
  <si>
    <t>CHORDC1</t>
  </si>
  <si>
    <t>TBK1</t>
  </si>
  <si>
    <t>SEPT9</t>
  </si>
  <si>
    <t>UBQLN2</t>
  </si>
  <si>
    <t>EGFL7</t>
  </si>
  <si>
    <t>PCYOX1</t>
  </si>
  <si>
    <t>DDX20</t>
  </si>
  <si>
    <t>SHPK</t>
  </si>
  <si>
    <t>NUFIP1</t>
  </si>
  <si>
    <t>DPP7</t>
  </si>
  <si>
    <t>POLG2</t>
  </si>
  <si>
    <t>TMEM2</t>
  </si>
  <si>
    <t>USP25</t>
  </si>
  <si>
    <t>NARF</t>
  </si>
  <si>
    <t>BCAP29</t>
  </si>
  <si>
    <t>CYB5R1</t>
  </si>
  <si>
    <t>BAIAP2L1</t>
  </si>
  <si>
    <t>ZNHIT2</t>
  </si>
  <si>
    <t>PFDN2</t>
  </si>
  <si>
    <t>GPN3</t>
  </si>
  <si>
    <t>PUF60</t>
  </si>
  <si>
    <t>EMR2</t>
  </si>
  <si>
    <t>NRBP1</t>
  </si>
  <si>
    <t>ENOPH1</t>
  </si>
  <si>
    <t>FEZ2</t>
  </si>
  <si>
    <t>NDUFA12</t>
  </si>
  <si>
    <t>EIF2B4</t>
  </si>
  <si>
    <t>ATP6V1H</t>
  </si>
  <si>
    <t>IPO11</t>
  </si>
  <si>
    <t>TRMT112</t>
  </si>
  <si>
    <t>FTSJ2</t>
  </si>
  <si>
    <t>LCMT1</t>
  </si>
  <si>
    <t>VPS51</t>
  </si>
  <si>
    <t>BAZ1B</t>
  </si>
  <si>
    <t>ATPIF1</t>
  </si>
  <si>
    <t>AK3</t>
  </si>
  <si>
    <t>SCOC</t>
  </si>
  <si>
    <t>FKBPL</t>
  </si>
  <si>
    <t>LNPEP</t>
  </si>
  <si>
    <t>CNOT7</t>
  </si>
  <si>
    <t>GGT7</t>
  </si>
  <si>
    <t>CRLS1</t>
  </si>
  <si>
    <t>TRMT6</t>
  </si>
  <si>
    <t>GNPTG</t>
  </si>
  <si>
    <t>TSR3</t>
  </si>
  <si>
    <t>ZNF391</t>
  </si>
  <si>
    <t>SLC25A13</t>
  </si>
  <si>
    <t>TUBE1</t>
  </si>
  <si>
    <t>DBNL</t>
  </si>
  <si>
    <t>DCTN4</t>
  </si>
  <si>
    <t>CDC23</t>
  </si>
  <si>
    <t>ANAPC7</t>
  </si>
  <si>
    <t>ANAPC4</t>
  </si>
  <si>
    <t>ANAPC2</t>
  </si>
  <si>
    <t>GGA2</t>
  </si>
  <si>
    <t>GGA1</t>
  </si>
  <si>
    <t>STOML2</t>
  </si>
  <si>
    <t>NAGPA</t>
  </si>
  <si>
    <t>VPS28</t>
  </si>
  <si>
    <t>LSM7</t>
  </si>
  <si>
    <t>ING1</t>
  </si>
  <si>
    <t>DBR1</t>
  </si>
  <si>
    <t>FAM208A</t>
  </si>
  <si>
    <t>FEM1B</t>
  </si>
  <si>
    <t>FBXO9</t>
  </si>
  <si>
    <t>AKAP11</t>
  </si>
  <si>
    <t>DNAJC12</t>
  </si>
  <si>
    <t>MRTO4</t>
  </si>
  <si>
    <t>TNIK</t>
  </si>
  <si>
    <t>CPSF3</t>
  </si>
  <si>
    <t>APPL1</t>
  </si>
  <si>
    <t>TLK1</t>
  </si>
  <si>
    <t>GPATCH8</t>
  </si>
  <si>
    <t>RCOR1</t>
  </si>
  <si>
    <t>GTF3C4</t>
  </si>
  <si>
    <t>PACSIN3</t>
  </si>
  <si>
    <t>FBXO5</t>
  </si>
  <si>
    <t>FBXO4</t>
  </si>
  <si>
    <t>ACAD8</t>
  </si>
  <si>
    <t>AMFR</t>
  </si>
  <si>
    <t>AGO2</t>
  </si>
  <si>
    <t>NUP50</t>
  </si>
  <si>
    <t>ZHX1</t>
  </si>
  <si>
    <t>CDV3</t>
  </si>
  <si>
    <t>CNOT11</t>
  </si>
  <si>
    <t>BAG5</t>
  </si>
  <si>
    <t>RAB21</t>
  </si>
  <si>
    <t>RAB22A</t>
  </si>
  <si>
    <t>TRAPPC2L</t>
  </si>
  <si>
    <t>PSME2</t>
  </si>
  <si>
    <t>TAOK2</t>
  </si>
  <si>
    <t>RAB23</t>
  </si>
  <si>
    <t>MCTS1</t>
  </si>
  <si>
    <t>WWC3</t>
  </si>
  <si>
    <t>SLC39A10</t>
  </si>
  <si>
    <t>CCPG1</t>
  </si>
  <si>
    <t>KIDINS220</t>
  </si>
  <si>
    <t>ASAP1</t>
  </si>
  <si>
    <t>RIMKLB</t>
  </si>
  <si>
    <t>ZBTB21</t>
  </si>
  <si>
    <t>ZMIZ1</t>
  </si>
  <si>
    <t>ANKRD50</t>
  </si>
  <si>
    <t>CNOT6</t>
  </si>
  <si>
    <t>TBC1D24</t>
  </si>
  <si>
    <t>ISY1</t>
  </si>
  <si>
    <t>PPM1H</t>
  </si>
  <si>
    <t>HECTD1</t>
  </si>
  <si>
    <t>ZMYND8</t>
  </si>
  <si>
    <t>CORO1C</t>
  </si>
  <si>
    <t>TPX2</t>
  </si>
  <si>
    <t>NOB1</t>
  </si>
  <si>
    <t>AKAP8L</t>
  </si>
  <si>
    <t>PYCARD</t>
  </si>
  <si>
    <t>ANAPC10</t>
  </si>
  <si>
    <t>ICAM5</t>
  </si>
  <si>
    <t>NFU1</t>
  </si>
  <si>
    <t>PRPF19</t>
  </si>
  <si>
    <t>UBQLN1</t>
  </si>
  <si>
    <t>SUFU</t>
  </si>
  <si>
    <t>NENF</t>
  </si>
  <si>
    <t>SNX12</t>
  </si>
  <si>
    <t>SYNRG</t>
  </si>
  <si>
    <t>VPS4A</t>
  </si>
  <si>
    <t>G3BP2</t>
  </si>
  <si>
    <t>STUB1</t>
  </si>
  <si>
    <t>PACSIN2</t>
  </si>
  <si>
    <t>MAGED2</t>
  </si>
  <si>
    <t>SNX6</t>
  </si>
  <si>
    <t>DUSP12</t>
  </si>
  <si>
    <t>STX8</t>
  </si>
  <si>
    <t>PSMD13</t>
  </si>
  <si>
    <t>FAF1</t>
  </si>
  <si>
    <t>PROCR</t>
  </si>
  <si>
    <t>PPIE</t>
  </si>
  <si>
    <t>DIMT1</t>
  </si>
  <si>
    <t>TIMELESS</t>
  </si>
  <si>
    <t>COPS3</t>
  </si>
  <si>
    <t>MINPP1</t>
  </si>
  <si>
    <t>WDR3</t>
  </si>
  <si>
    <t>TTF2</t>
  </si>
  <si>
    <t>NSFL1C</t>
  </si>
  <si>
    <t>C19orf53</t>
  </si>
  <si>
    <t>TFR2</t>
  </si>
  <si>
    <t>COG5</t>
  </si>
  <si>
    <t>SLC12A4</t>
  </si>
  <si>
    <t>AP4E1</t>
  </si>
  <si>
    <t>SCAF8</t>
  </si>
  <si>
    <t>PPP6R1</t>
  </si>
  <si>
    <t>TRIM33</t>
  </si>
  <si>
    <t>SMG5</t>
  </si>
  <si>
    <t>EXOC7</t>
  </si>
  <si>
    <t>USP22</t>
  </si>
  <si>
    <t>USP24</t>
  </si>
  <si>
    <t>MAPRE3</t>
  </si>
  <si>
    <t>HPS5</t>
  </si>
  <si>
    <t>SHOC2</t>
  </si>
  <si>
    <t>SRRM2</t>
  </si>
  <si>
    <t>MGAT4B</t>
  </si>
  <si>
    <t>PA2G4</t>
  </si>
  <si>
    <t>CDK11A</t>
  </si>
  <si>
    <t>SPG7</t>
  </si>
  <si>
    <t>BAIAP2</t>
  </si>
  <si>
    <t>GAB2</t>
  </si>
  <si>
    <t>SMC3</t>
  </si>
  <si>
    <t>UBE2D4</t>
  </si>
  <si>
    <t>SH2B3</t>
  </si>
  <si>
    <t>SCML2</t>
  </si>
  <si>
    <t>ZNF148</t>
  </si>
  <si>
    <t>MTMR6</t>
  </si>
  <si>
    <t>JAG2</t>
  </si>
  <si>
    <t>GNE</t>
  </si>
  <si>
    <t>C14orf166</t>
  </si>
  <si>
    <t>RNF24</t>
  </si>
  <si>
    <t>RUVBL2</t>
  </si>
  <si>
    <t>CDYL</t>
  </si>
  <si>
    <t>PIN4</t>
  </si>
  <si>
    <t>CLEC11A</t>
  </si>
  <si>
    <t>HIGD1A</t>
  </si>
  <si>
    <t>POMP</t>
  </si>
  <si>
    <t>GINS2</t>
  </si>
  <si>
    <t>LZTS1</t>
  </si>
  <si>
    <t>PLAA</t>
  </si>
  <si>
    <t>RUVBL1</t>
  </si>
  <si>
    <t>NUDC</t>
  </si>
  <si>
    <t>BCS1L</t>
  </si>
  <si>
    <t>VDAC3</t>
  </si>
  <si>
    <t>CFL2</t>
  </si>
  <si>
    <t>SLC5A6</t>
  </si>
  <si>
    <t>ASF1A</t>
  </si>
  <si>
    <t>DRG1</t>
  </si>
  <si>
    <t>NCKAP1</t>
  </si>
  <si>
    <t>CNPY2</t>
  </si>
  <si>
    <t>SSX2IP</t>
  </si>
  <si>
    <t>CARD8</t>
  </si>
  <si>
    <t>ATP11B</t>
  </si>
  <si>
    <t>POFUT2</t>
  </si>
  <si>
    <t>DLGAP4</t>
  </si>
  <si>
    <t>FNDC3A</t>
  </si>
  <si>
    <t>NISCH</t>
  </si>
  <si>
    <t>PIKFYVE</t>
  </si>
  <si>
    <t>WDR37</t>
  </si>
  <si>
    <t>USP20</t>
  </si>
  <si>
    <t>KDM2A</t>
  </si>
  <si>
    <t>DIS3</t>
  </si>
  <si>
    <t>GSTK1</t>
  </si>
  <si>
    <t>LAMTOR2</t>
  </si>
  <si>
    <t>MRPS28</t>
  </si>
  <si>
    <t>COA3</t>
  </si>
  <si>
    <t>POLR1D</t>
  </si>
  <si>
    <t>TMA7</t>
  </si>
  <si>
    <t>POLDIP2</t>
  </si>
  <si>
    <t>AP3M1</t>
  </si>
  <si>
    <t>MAP3K2</t>
  </si>
  <si>
    <t>LEMD3</t>
  </si>
  <si>
    <t>CARHSP1</t>
  </si>
  <si>
    <t>COG6</t>
  </si>
  <si>
    <t>THRAP3</t>
  </si>
  <si>
    <t>NOP58</t>
  </si>
  <si>
    <t>POLR3K</t>
  </si>
  <si>
    <t>SUGT1</t>
  </si>
  <si>
    <t>MTO1</t>
  </si>
  <si>
    <t>YARS2</t>
  </si>
  <si>
    <t>COQ6</t>
  </si>
  <si>
    <t>AMDHD2</t>
  </si>
  <si>
    <t>ACOT9</t>
  </si>
  <si>
    <t>NOSIP</t>
  </si>
  <si>
    <t>MEMO1</t>
  </si>
  <si>
    <t>TMX2</t>
  </si>
  <si>
    <t>LSM2</t>
  </si>
  <si>
    <t>SH3GLB1</t>
  </si>
  <si>
    <t>NDUFAF1</t>
  </si>
  <si>
    <t>CAB39</t>
  </si>
  <si>
    <t>LUC7L2</t>
  </si>
  <si>
    <t>UBE2J1</t>
  </si>
  <si>
    <t>RBMX2</t>
  </si>
  <si>
    <t>DHRS7</t>
  </si>
  <si>
    <t>MRPS2</t>
  </si>
  <si>
    <t>MOB4</t>
  </si>
  <si>
    <t>SBDS</t>
  </si>
  <si>
    <t>TMED5</t>
  </si>
  <si>
    <t>TMED7</t>
  </si>
  <si>
    <t>SF3B14</t>
  </si>
  <si>
    <t>MRPL11</t>
  </si>
  <si>
    <t>RRP15</t>
  </si>
  <si>
    <t>NOP16</t>
  </si>
  <si>
    <t>TPRKB</t>
  </si>
  <si>
    <t>RNF11</t>
  </si>
  <si>
    <t>PPIL1</t>
  </si>
  <si>
    <t>UFC1</t>
  </si>
  <si>
    <t>FAM96B</t>
  </si>
  <si>
    <t>MSRB2</t>
  </si>
  <si>
    <t>FIS1</t>
  </si>
  <si>
    <t>MRPS23</t>
  </si>
  <si>
    <t>HDGFRP3</t>
  </si>
  <si>
    <t>CHMP3</t>
  </si>
  <si>
    <t>STRAP</t>
  </si>
  <si>
    <t>C22orf28</t>
  </si>
  <si>
    <t>FBXO7</t>
  </si>
  <si>
    <t>RAP2C</t>
  </si>
  <si>
    <t>RABGAP1</t>
  </si>
  <si>
    <t>TMED3</t>
  </si>
  <si>
    <t>TSC22D4</t>
  </si>
  <si>
    <t>ZNF330</t>
  </si>
  <si>
    <t>R3HCC1</t>
  </si>
  <si>
    <t>NOC2L</t>
  </si>
  <si>
    <t>RPL36</t>
  </si>
  <si>
    <t>CCDC9</t>
  </si>
  <si>
    <t>CHTOP</t>
  </si>
  <si>
    <t>SAMHD1</t>
  </si>
  <si>
    <t>C2CD2</t>
  </si>
  <si>
    <t>PKP3</t>
  </si>
  <si>
    <t>KNSTRN</t>
  </si>
  <si>
    <t>HBS1L</t>
  </si>
  <si>
    <t>PRKAB1</t>
  </si>
  <si>
    <t>MTF2</t>
  </si>
  <si>
    <t>ATP6V0A2</t>
  </si>
  <si>
    <t>TLN1</t>
  </si>
  <si>
    <t>VPRBP</t>
  </si>
  <si>
    <t>FAM115A</t>
  </si>
  <si>
    <t>PLXND1</t>
  </si>
  <si>
    <t>USP15</t>
  </si>
  <si>
    <t>TLN2</t>
  </si>
  <si>
    <t>RAPGEF2</t>
  </si>
  <si>
    <t>TRAF6</t>
  </si>
  <si>
    <t>MAP4K5</t>
  </si>
  <si>
    <t>ATG4B</t>
  </si>
  <si>
    <t>WIPI2</t>
  </si>
  <si>
    <t>TELO2</t>
  </si>
  <si>
    <t>MMACHC</t>
  </si>
  <si>
    <t>LAS1L</t>
  </si>
  <si>
    <t>AFG3L2</t>
  </si>
  <si>
    <t>AMMECR1</t>
  </si>
  <si>
    <t>ARIH1</t>
  </si>
  <si>
    <t>LSM4</t>
  </si>
  <si>
    <t>RNF114</t>
  </si>
  <si>
    <t>SAMM50</t>
  </si>
  <si>
    <t>LRRC42</t>
  </si>
  <si>
    <t>PPME1</t>
  </si>
  <si>
    <t>TIMM22</t>
  </si>
  <si>
    <t>KCTD3</t>
  </si>
  <si>
    <t>YTHDF2</t>
  </si>
  <si>
    <t>CTDP1</t>
  </si>
  <si>
    <t>PAXBP1</t>
  </si>
  <si>
    <t>NME7</t>
  </si>
  <si>
    <t>SUPT16H</t>
  </si>
  <si>
    <t>TIMM10B</t>
  </si>
  <si>
    <t>TIMM9</t>
  </si>
  <si>
    <t>CD2AP</t>
  </si>
  <si>
    <t>ATP6V1D</t>
  </si>
  <si>
    <t>TNPO3</t>
  </si>
  <si>
    <t>TIMM13</t>
  </si>
  <si>
    <t>SRPRB</t>
  </si>
  <si>
    <t>N6AMT1</t>
  </si>
  <si>
    <t>ORC6</t>
  </si>
  <si>
    <t>COL4A3BP</t>
  </si>
  <si>
    <t>GMPPB</t>
  </si>
  <si>
    <t>GTF3C5</t>
  </si>
  <si>
    <t>GTF3C3</t>
  </si>
  <si>
    <t>TRAPPC1</t>
  </si>
  <si>
    <t>TRPV2</t>
  </si>
  <si>
    <t>CDC42BPB</t>
  </si>
  <si>
    <t>RBM8A</t>
  </si>
  <si>
    <t>USP16</t>
  </si>
  <si>
    <t>TSSC4</t>
  </si>
  <si>
    <t>IER3IP1</t>
  </si>
  <si>
    <t>ZNF706</t>
  </si>
  <si>
    <t>SNX9</t>
  </si>
  <si>
    <t>SNX8</t>
  </si>
  <si>
    <t>SNX5</t>
  </si>
  <si>
    <t>FLVCR1</t>
  </si>
  <si>
    <t>NUBP2</t>
  </si>
  <si>
    <t>HEBP2</t>
  </si>
  <si>
    <t>UBIAD1</t>
  </si>
  <si>
    <t>MRFAP1</t>
  </si>
  <si>
    <t>LRRFIP2</t>
  </si>
  <si>
    <t>FHOD1</t>
  </si>
  <si>
    <t>PSAT1</t>
  </si>
  <si>
    <t>SLC25A15</t>
  </si>
  <si>
    <t>RAD54B</t>
  </si>
  <si>
    <t>NPTN</t>
  </si>
  <si>
    <t>CPQ</t>
  </si>
  <si>
    <t>SPIN1</t>
  </si>
  <si>
    <t>ALG5</t>
  </si>
  <si>
    <t>MRPS18B</t>
  </si>
  <si>
    <t>COPG1</t>
  </si>
  <si>
    <t>AUP1</t>
  </si>
  <si>
    <t>FKBP7</t>
  </si>
  <si>
    <t>ARL5A</t>
  </si>
  <si>
    <t>GMEB1</t>
  </si>
  <si>
    <t>CLIC4</t>
  </si>
  <si>
    <t>NFS1</t>
  </si>
  <si>
    <t>C16orf80</t>
  </si>
  <si>
    <t>SAR1B</t>
  </si>
  <si>
    <t>AP4B1</t>
  </si>
  <si>
    <t>ARFGEF2</t>
  </si>
  <si>
    <t>ARFGEF1</t>
  </si>
  <si>
    <t>MAD1L1</t>
  </si>
  <si>
    <t>DYNC1LI1</t>
  </si>
  <si>
    <t>CHCHD2</t>
  </si>
  <si>
    <t>XRCC6BP1</t>
  </si>
  <si>
    <t>EPN1</t>
  </si>
  <si>
    <t>TEX264</t>
  </si>
  <si>
    <t>TAF6L</t>
  </si>
  <si>
    <t>CEPT1</t>
  </si>
  <si>
    <t>PRSS21</t>
  </si>
  <si>
    <t>CSNK1G3</t>
  </si>
  <si>
    <t>SLC30A1</t>
  </si>
  <si>
    <t>SESN1</t>
  </si>
  <si>
    <t>NCOA3</t>
  </si>
  <si>
    <t>NUMBL</t>
  </si>
  <si>
    <t>DDX49</t>
  </si>
  <si>
    <t>CAPN7</t>
  </si>
  <si>
    <t>WASF2</t>
  </si>
  <si>
    <t>MORC2</t>
  </si>
  <si>
    <t>IVNS1ABP</t>
  </si>
  <si>
    <t>MOSPD2</t>
  </si>
  <si>
    <t>PSMD8</t>
  </si>
  <si>
    <t>BMI1</t>
  </si>
  <si>
    <t>MAPKAPK5</t>
  </si>
  <si>
    <t>YTHDF3</t>
  </si>
  <si>
    <t>AASDH</t>
  </si>
  <si>
    <t>DENND4C</t>
  </si>
  <si>
    <t>UBE2E3</t>
  </si>
  <si>
    <t>TCP11L1</t>
  </si>
  <si>
    <t>PSMC3</t>
  </si>
  <si>
    <t>ACD</t>
  </si>
  <si>
    <t>A0AVT1</t>
  </si>
  <si>
    <t>A0FGR8-2</t>
  </si>
  <si>
    <t>A0JNW5</t>
  </si>
  <si>
    <t>A0MZ66</t>
  </si>
  <si>
    <t>A0PJW6</t>
  </si>
  <si>
    <t>A1A5A9</t>
  </si>
  <si>
    <t>A1L0T0</t>
  </si>
  <si>
    <t>A2A274</t>
  </si>
  <si>
    <t>A2A2F0</t>
  </si>
  <si>
    <t>A2A2G4</t>
  </si>
  <si>
    <t>A2A2Q9</t>
  </si>
  <si>
    <t>A2A2V1</t>
  </si>
  <si>
    <t>A2A3N6</t>
  </si>
  <si>
    <t>A2RRP1</t>
  </si>
  <si>
    <t>A2VDF0-2</t>
  </si>
  <si>
    <t>A3KN83-3</t>
  </si>
  <si>
    <t>A4D126</t>
  </si>
  <si>
    <t>A4D1E9</t>
  </si>
  <si>
    <t>A4D212</t>
  </si>
  <si>
    <t>A4D2B0</t>
  </si>
  <si>
    <t>A4UGR9-2</t>
  </si>
  <si>
    <t>A5YKK6</t>
  </si>
  <si>
    <t>A6NCS9</t>
  </si>
  <si>
    <t>A6ND22</t>
  </si>
  <si>
    <t>A6ND36-2</t>
  </si>
  <si>
    <t>A6NDB9</t>
  </si>
  <si>
    <t>A6NDG6</t>
  </si>
  <si>
    <t>A6NDJ8</t>
  </si>
  <si>
    <t>A6NDU8</t>
  </si>
  <si>
    <t>A6NED2</t>
  </si>
  <si>
    <t>A6NEM2</t>
  </si>
  <si>
    <t>A6NEM5</t>
  </si>
  <si>
    <t>A6NF31</t>
  </si>
  <si>
    <t>A6NF48</t>
  </si>
  <si>
    <t>A6NF51</t>
  </si>
  <si>
    <t>A6NFI3</t>
  </si>
  <si>
    <t>A6NFQ2-3</t>
  </si>
  <si>
    <t>A6NFX8</t>
  </si>
  <si>
    <t>A6NG32</t>
  </si>
  <si>
    <t>A6NG51</t>
  </si>
  <si>
    <t>A6NG79</t>
  </si>
  <si>
    <t>A6NGB9</t>
  </si>
  <si>
    <t>A6NGH7</t>
  </si>
  <si>
    <t>A6NGP5</t>
  </si>
  <si>
    <t>A6NGU5</t>
  </si>
  <si>
    <t>A6NHL2-2</t>
  </si>
  <si>
    <t>A6NHN7</t>
  </si>
  <si>
    <t>A6NHQ2</t>
  </si>
  <si>
    <t>A6NHR9</t>
  </si>
  <si>
    <t>A6NIH7</t>
  </si>
  <si>
    <t>A6NIW2</t>
  </si>
  <si>
    <t>A6NIZ0</t>
  </si>
  <si>
    <t>A6NJ78</t>
  </si>
  <si>
    <t>A6NJX6</t>
  </si>
  <si>
    <t>A6NK28</t>
  </si>
  <si>
    <t>A6NK88</t>
  </si>
  <si>
    <t>A6NKD9</t>
  </si>
  <si>
    <t>A6NKF9</t>
  </si>
  <si>
    <t>A6NKZ2</t>
  </si>
  <si>
    <t>A6NLH6</t>
  </si>
  <si>
    <t>A6NMH6</t>
  </si>
  <si>
    <t>A6NMQ1</t>
  </si>
  <si>
    <t>A6NN40</t>
  </si>
  <si>
    <t>A6PVN5</t>
  </si>
  <si>
    <t>A6PW58</t>
  </si>
  <si>
    <t>A6ZJ12</t>
  </si>
  <si>
    <t>A6ZKI3</t>
  </si>
  <si>
    <t>A8K0B5</t>
  </si>
  <si>
    <t>A8K0M9</t>
  </si>
  <si>
    <t>A8MPP1</t>
  </si>
  <si>
    <t>A8MPS7</t>
  </si>
  <si>
    <t>A8MRB1</t>
  </si>
  <si>
    <t>A8MT40</t>
  </si>
  <si>
    <t>A8MTK3</t>
  </si>
  <si>
    <t>A8MTK4</t>
  </si>
  <si>
    <t>A8MTP9</t>
  </si>
  <si>
    <t>A8MTQ3</t>
  </si>
  <si>
    <t>A8MTY9</t>
  </si>
  <si>
    <t>A8MTZ6</t>
  </si>
  <si>
    <t>A8MUA9</t>
  </si>
  <si>
    <t>A8MUB1</t>
  </si>
  <si>
    <t>A8MUF7</t>
  </si>
  <si>
    <t>A8MUM1</t>
  </si>
  <si>
    <t>A8MVF6</t>
  </si>
  <si>
    <t>A8MVN1</t>
  </si>
  <si>
    <t>A8MVZ6</t>
  </si>
  <si>
    <t>A8MW61</t>
  </si>
  <si>
    <t>A8MWY0</t>
  </si>
  <si>
    <t>A8MXB9</t>
  </si>
  <si>
    <t>A8MXE8</t>
  </si>
  <si>
    <t>A8MXP9</t>
  </si>
  <si>
    <t>A8MXQ1</t>
  </si>
  <si>
    <t>A8MXV4</t>
  </si>
  <si>
    <t>A9UHW6</t>
  </si>
  <si>
    <t>A9Z1X7</t>
  </si>
  <si>
    <t>B0FLL2</t>
  </si>
  <si>
    <t>B0QXZ8</t>
  </si>
  <si>
    <t>B0QY89</t>
  </si>
  <si>
    <t>B0QY95</t>
  </si>
  <si>
    <t>B0QYI3</t>
  </si>
  <si>
    <t>B0QYK0</t>
  </si>
  <si>
    <t>B0QYW5</t>
  </si>
  <si>
    <t>B0S7V7</t>
  </si>
  <si>
    <t>B0UX83</t>
  </si>
  <si>
    <t>B0UXB6</t>
  </si>
  <si>
    <t>B0UZY3</t>
  </si>
  <si>
    <t>B0YIW2</t>
  </si>
  <si>
    <t>B1AH87</t>
  </si>
  <si>
    <t>B1AHD1</t>
  </si>
  <si>
    <t>B1AJY7</t>
  </si>
  <si>
    <t>B1AK13</t>
  </si>
  <si>
    <t>B1AKD8</t>
  </si>
  <si>
    <t>B1AKJ5</t>
  </si>
  <si>
    <t>B1AKJ6</t>
  </si>
  <si>
    <t>B1AKL4</t>
  </si>
  <si>
    <t>B1AL69</t>
  </si>
  <si>
    <t>B1ALM5</t>
  </si>
  <si>
    <t>B1AMF0</t>
  </si>
  <si>
    <t>B1AMS2</t>
  </si>
  <si>
    <t>B1AMU7</t>
  </si>
  <si>
    <t>B1AMW1</t>
  </si>
  <si>
    <t>B1AN99</t>
  </si>
  <si>
    <t>B1ANH0</t>
  </si>
  <si>
    <t>B1APM4</t>
  </si>
  <si>
    <t>B1AQ61</t>
  </si>
  <si>
    <t>B1AQP1</t>
  </si>
  <si>
    <t>B1AVQ5</t>
  </si>
  <si>
    <t>B1B1H9</t>
  </si>
  <si>
    <t>B2WTI3</t>
  </si>
  <si>
    <t>B3KPJ4</t>
  </si>
  <si>
    <t>B3KQ25</t>
  </si>
  <si>
    <t>B3KQC5</t>
  </si>
  <si>
    <t>B3KS98</t>
  </si>
  <si>
    <t>B3KSH1</t>
  </si>
  <si>
    <t>B3KSI9</t>
  </si>
  <si>
    <t>B3KTR6</t>
  </si>
  <si>
    <t>B3KUK2</t>
  </si>
  <si>
    <t>B3KVH8</t>
  </si>
  <si>
    <t>B3KWN8</t>
  </si>
  <si>
    <t>B3KXX3</t>
  </si>
  <si>
    <t>B3KY83</t>
  </si>
  <si>
    <t>B3V0L1</t>
  </si>
  <si>
    <t>B4DDF4</t>
  </si>
  <si>
    <t>B4DDR8</t>
  </si>
  <si>
    <t>B4DDY8</t>
  </si>
  <si>
    <t>B4DE11</t>
  </si>
  <si>
    <t>B4DE16</t>
  </si>
  <si>
    <t>B4DE92</t>
  </si>
  <si>
    <t>B4DEX5</t>
  </si>
  <si>
    <t>B4DEZ3</t>
  </si>
  <si>
    <t>B4DF64</t>
  </si>
  <si>
    <t>B4DFF2</t>
  </si>
  <si>
    <t>B4DFI9</t>
  </si>
  <si>
    <t>B4DFQ4</t>
  </si>
  <si>
    <t>B4DFR2</t>
  </si>
  <si>
    <t>B4DGM3</t>
  </si>
  <si>
    <t>B4DGU4</t>
  </si>
  <si>
    <t>B4DGX2</t>
  </si>
  <si>
    <t>B4DH26</t>
  </si>
  <si>
    <t>B4DH53</t>
  </si>
  <si>
    <t>B4DH70</t>
  </si>
  <si>
    <t>B4DHW1</t>
  </si>
  <si>
    <t>B4DHX2</t>
  </si>
  <si>
    <t>B4DIG7</t>
  </si>
  <si>
    <t>B4DJA5</t>
  </si>
  <si>
    <t>B4DJP7</t>
  </si>
  <si>
    <t>B4DJV2</t>
  </si>
  <si>
    <t>B4DK80</t>
  </si>
  <si>
    <t>B4DKB2</t>
  </si>
  <si>
    <t>B4DKF9</t>
  </si>
  <si>
    <t>B4DKL4</t>
  </si>
  <si>
    <t>B4DL54</t>
  </si>
  <si>
    <t>B4DL79</t>
  </si>
  <si>
    <t>B4DLH2</t>
  </si>
  <si>
    <t>B4DLN1</t>
  </si>
  <si>
    <t>B4DLR8</t>
  </si>
  <si>
    <t>B4DLT4</t>
  </si>
  <si>
    <t>B4DLZ9</t>
  </si>
  <si>
    <t>B4DMU4</t>
  </si>
  <si>
    <t>B4DMX0</t>
  </si>
  <si>
    <t>B4DN34</t>
  </si>
  <si>
    <t>B4DNX9</t>
  </si>
  <si>
    <t>B4DP21</t>
  </si>
  <si>
    <t>B4DPY5</t>
  </si>
  <si>
    <t>B4DPY8</t>
  </si>
  <si>
    <t>B4DQJ8</t>
  </si>
  <si>
    <t>B4DR52</t>
  </si>
  <si>
    <t>B4DR61</t>
  </si>
  <si>
    <t>B4DR80</t>
  </si>
  <si>
    <t>B4DRC4</t>
  </si>
  <si>
    <t>B4DRL9</t>
  </si>
  <si>
    <t>B4DRS7</t>
  </si>
  <si>
    <t>B4DSD4</t>
  </si>
  <si>
    <t>B4DSF9</t>
  </si>
  <si>
    <t>B4DSS5</t>
  </si>
  <si>
    <t>B4DSS8</t>
  </si>
  <si>
    <t>B4DT55</t>
  </si>
  <si>
    <t>B4DT77</t>
  </si>
  <si>
    <t>B4DTA3</t>
  </si>
  <si>
    <t>B4DTU4</t>
  </si>
  <si>
    <t>B4DUE9</t>
  </si>
  <si>
    <t>B4DUS9</t>
  </si>
  <si>
    <t>B4DVE7</t>
  </si>
  <si>
    <t>B4DVT3</t>
  </si>
  <si>
    <t>B4DVY1</t>
  </si>
  <si>
    <t>B4DVZ6</t>
  </si>
  <si>
    <t>B4DWI1</t>
  </si>
  <si>
    <t>B4DXK0</t>
  </si>
  <si>
    <t>B4DXZ6</t>
  </si>
  <si>
    <t>B4DY13</t>
  </si>
  <si>
    <t>B4DY26</t>
  </si>
  <si>
    <t>B4DYB4</t>
  </si>
  <si>
    <t>B4DZG7</t>
  </si>
  <si>
    <t>B4DZH6</t>
  </si>
  <si>
    <t>B4E0E3</t>
  </si>
  <si>
    <t>B4E0T2</t>
  </si>
  <si>
    <t>B4E0T7</t>
  </si>
  <si>
    <t>B4E0V0</t>
  </si>
  <si>
    <t>B4E107</t>
  </si>
  <si>
    <t>B4E1J0</t>
  </si>
  <si>
    <t>B4E1M0</t>
  </si>
  <si>
    <t>B4E1Q4</t>
  </si>
  <si>
    <t>B4E241</t>
  </si>
  <si>
    <t>B4E2B6</t>
  </si>
  <si>
    <t>B4E2V5</t>
  </si>
  <si>
    <t>B4E2W0</t>
  </si>
  <si>
    <t>B4E2X3</t>
  </si>
  <si>
    <t>B5MBW9</t>
  </si>
  <si>
    <t>B5MBX0</t>
  </si>
  <si>
    <t>B5MBX5</t>
  </si>
  <si>
    <t>B5MCA4</t>
  </si>
  <si>
    <t>B5MCF9</t>
  </si>
  <si>
    <t>B5MCN7</t>
  </si>
  <si>
    <t>B5MD58</t>
  </si>
  <si>
    <t>B5MDE0</t>
  </si>
  <si>
    <t>B5MDF5</t>
  </si>
  <si>
    <t>B5MDU6</t>
  </si>
  <si>
    <t>B5ME25</t>
  </si>
  <si>
    <t>B7WNQ9</t>
  </si>
  <si>
    <t>B7WP27</t>
  </si>
  <si>
    <t>B7WPE2</t>
  </si>
  <si>
    <t>B7WPG3</t>
  </si>
  <si>
    <t>B7WPL0</t>
  </si>
  <si>
    <t>B7Z254</t>
  </si>
  <si>
    <t>B7Z2B2</t>
  </si>
  <si>
    <t>B7Z2Y5</t>
  </si>
  <si>
    <t>B7Z3I9</t>
  </si>
  <si>
    <t>B7Z3P1</t>
  </si>
  <si>
    <t>B7Z3R2</t>
  </si>
  <si>
    <t>B7Z4K6</t>
  </si>
  <si>
    <t>B7Z4R0</t>
  </si>
  <si>
    <t>B7Z4W5</t>
  </si>
  <si>
    <t>B7Z589</t>
  </si>
  <si>
    <t>B7Z5G4</t>
  </si>
  <si>
    <t>B7Z5W1</t>
  </si>
  <si>
    <t>B7Z637</t>
  </si>
  <si>
    <t>B7Z6B8</t>
  </si>
  <si>
    <t>B7Z7F3</t>
  </si>
  <si>
    <t>B7Z7J3</t>
  </si>
  <si>
    <t>B7Z815</t>
  </si>
  <si>
    <t>B7Z817</t>
  </si>
  <si>
    <t>B7Z8H2</t>
  </si>
  <si>
    <t>B7Z9C6</t>
  </si>
  <si>
    <t>B7Z9I3</t>
  </si>
  <si>
    <t>B7ZC38</t>
  </si>
  <si>
    <t>B7ZKK9</t>
  </si>
  <si>
    <t>B7ZKQ9</t>
  </si>
  <si>
    <t>B7ZKW8</t>
  </si>
  <si>
    <t>B7ZL88</t>
  </si>
  <si>
    <t>B7ZLP8</t>
  </si>
  <si>
    <t>B7ZLZ2</t>
  </si>
  <si>
    <t>B8X2Z3</t>
  </si>
  <si>
    <t>B8ZZD4</t>
  </si>
  <si>
    <t>B8ZZN6</t>
  </si>
  <si>
    <t>B8ZZQ6</t>
  </si>
  <si>
    <t>B8ZZT9</t>
  </si>
  <si>
    <t>B8ZZU6</t>
  </si>
  <si>
    <t>B8ZZY2</t>
  </si>
  <si>
    <t>B9A018</t>
  </si>
  <si>
    <t>B9A054</t>
  </si>
  <si>
    <t>B9ZVM7</t>
  </si>
  <si>
    <t>C0H5Y7</t>
  </si>
  <si>
    <t>C4AMC7</t>
  </si>
  <si>
    <t>C4B7M2</t>
  </si>
  <si>
    <t>C6GKU9</t>
  </si>
  <si>
    <t>C9IY40</t>
  </si>
  <si>
    <t>C9IYZ1</t>
  </si>
  <si>
    <t>C9J0A7</t>
  </si>
  <si>
    <t>C9J0I9</t>
  </si>
  <si>
    <t>C9J0K6</t>
  </si>
  <si>
    <t>C9J1X0</t>
  </si>
  <si>
    <t>C9J1X3</t>
  </si>
  <si>
    <t>C9J212</t>
  </si>
  <si>
    <t>C9J2P0</t>
  </si>
  <si>
    <t>C9J2P9</t>
  </si>
  <si>
    <t>C9J2U4</t>
  </si>
  <si>
    <t>C9J2V2</t>
  </si>
  <si>
    <t>C9J2Y9</t>
  </si>
  <si>
    <t>C9J3M4</t>
  </si>
  <si>
    <t>C9J406</t>
  </si>
  <si>
    <t>C9J470</t>
  </si>
  <si>
    <t>C9J494</t>
  </si>
  <si>
    <t>C9J4K5</t>
  </si>
  <si>
    <t>C9J4Z0</t>
  </si>
  <si>
    <t>C9J4Z3</t>
  </si>
  <si>
    <t>C9J5C3</t>
  </si>
  <si>
    <t>C9J5J4</t>
  </si>
  <si>
    <t>C9J5N1</t>
  </si>
  <si>
    <t>C9J5X1</t>
  </si>
  <si>
    <t>C9J6W2</t>
  </si>
  <si>
    <t>C9J719</t>
  </si>
  <si>
    <t>C9J7E8</t>
  </si>
  <si>
    <t>C9J7H8</t>
  </si>
  <si>
    <t>C9J7K9</t>
  </si>
  <si>
    <t>C9J7Z4</t>
  </si>
  <si>
    <t>C9J815</t>
  </si>
  <si>
    <t>C9J8B8</t>
  </si>
  <si>
    <t>C9J8Q5</t>
  </si>
  <si>
    <t>C9J929</t>
  </si>
  <si>
    <t>C9J9K3</t>
  </si>
  <si>
    <t>C9JA08</t>
  </si>
  <si>
    <t>C9JA28</t>
  </si>
  <si>
    <t>C9JAB2</t>
  </si>
  <si>
    <t>C9JAB9</t>
  </si>
  <si>
    <t>C9JAX1</t>
  </si>
  <si>
    <t>C9JB13</t>
  </si>
  <si>
    <t>C9JBB3</t>
  </si>
  <si>
    <t>C9JBG5</t>
  </si>
  <si>
    <t>C9JBL1</t>
  </si>
  <si>
    <t>C9JC99</t>
  </si>
  <si>
    <t>C9JCC6</t>
  </si>
  <si>
    <t>C9JDG0</t>
  </si>
  <si>
    <t>C9JE12</t>
  </si>
  <si>
    <t>C9JE98</t>
  </si>
  <si>
    <t>C9JEL3</t>
  </si>
  <si>
    <t>C9JFB2</t>
  </si>
  <si>
    <t>C9JFE4</t>
  </si>
  <si>
    <t>C9JFR7</t>
  </si>
  <si>
    <t>C9JG41</t>
  </si>
  <si>
    <t>C9JG63</t>
  </si>
  <si>
    <t>C9JG97</t>
  </si>
  <si>
    <t>C9JGD4</t>
  </si>
  <si>
    <t>C9JIF9</t>
  </si>
  <si>
    <t>C9JIZ6</t>
  </si>
  <si>
    <t>C9JJN9</t>
  </si>
  <si>
    <t>C9JJV6</t>
  </si>
  <si>
    <t>C9JKC7</t>
  </si>
  <si>
    <t>C9JKQ2</t>
  </si>
  <si>
    <t>C9JKQ7</t>
  </si>
  <si>
    <t>C9JLU1</t>
  </si>
  <si>
    <t>C9JLV4</t>
  </si>
  <si>
    <t>C9JNE2</t>
  </si>
  <si>
    <t>C9JP00</t>
  </si>
  <si>
    <t>C9JP16</t>
  </si>
  <si>
    <t>C9JPL0</t>
  </si>
  <si>
    <t>C9JPP2</t>
  </si>
  <si>
    <t>C9JQ41</t>
  </si>
  <si>
    <t>C9JQB1</t>
  </si>
  <si>
    <t>C9JQV3</t>
  </si>
  <si>
    <t>C9JR56</t>
  </si>
  <si>
    <t>C9JRY4</t>
  </si>
  <si>
    <t>C9JRZ6</t>
  </si>
  <si>
    <t>C9JSG1</t>
  </si>
  <si>
    <t>C9JTX5</t>
  </si>
  <si>
    <t>C9JUP7</t>
  </si>
  <si>
    <t>C9JV08</t>
  </si>
  <si>
    <t>C9JV54</t>
  </si>
  <si>
    <t>C9JVP0</t>
  </si>
  <si>
    <t>C9JVW0</t>
  </si>
  <si>
    <t>C9JXA7</t>
  </si>
  <si>
    <t>C9JXB8</t>
  </si>
  <si>
    <t>C9JY06</t>
  </si>
  <si>
    <t>C9JYD0</t>
  </si>
  <si>
    <t>C9JYK5</t>
  </si>
  <si>
    <t>C9JYN0</t>
  </si>
  <si>
    <t>C9JZB0</t>
  </si>
  <si>
    <t>C9JZG2</t>
  </si>
  <si>
    <t>C9JZR4</t>
  </si>
  <si>
    <t>C9JZY6</t>
  </si>
  <si>
    <t>C9K0X5</t>
  </si>
  <si>
    <t>D3DPN2</t>
  </si>
  <si>
    <t>D3DTZ5</t>
  </si>
  <si>
    <t>D3DWC4</t>
  </si>
  <si>
    <t>D3YTB1</t>
  </si>
  <si>
    <t>D3YTB5</t>
  </si>
  <si>
    <t>D3YTG6</t>
  </si>
  <si>
    <t>D3YTI9</t>
  </si>
  <si>
    <t>D6R9P3</t>
  </si>
  <si>
    <t>D6R9U7</t>
  </si>
  <si>
    <t>D6R9Z7</t>
  </si>
  <si>
    <t>D6RAM3</t>
  </si>
  <si>
    <t>D6RAR3</t>
  </si>
  <si>
    <t>D6RBC9</t>
  </si>
  <si>
    <t>D6RBS5</t>
  </si>
  <si>
    <t>D6RBW1</t>
  </si>
  <si>
    <t>D6RCD0</t>
  </si>
  <si>
    <t>D6RCQ0</t>
  </si>
  <si>
    <t>D6RCQ8</t>
  </si>
  <si>
    <t>D6RD25</t>
  </si>
  <si>
    <t>D6RDW9</t>
  </si>
  <si>
    <t>D6REA0</t>
  </si>
  <si>
    <t>D6REK2</t>
  </si>
  <si>
    <t>D6REL0</t>
  </si>
  <si>
    <t>D6REL5</t>
  </si>
  <si>
    <t>D6REM4</t>
  </si>
  <si>
    <t>D6REX3</t>
  </si>
  <si>
    <t>D6REX9</t>
  </si>
  <si>
    <t>D6RF48</t>
  </si>
  <si>
    <t>D6RFG8</t>
  </si>
  <si>
    <t>D6RFH4</t>
  </si>
  <si>
    <t>D6RGI3</t>
  </si>
  <si>
    <t>D6RGJ7</t>
  </si>
  <si>
    <t>D6RGK9</t>
  </si>
  <si>
    <t>D6RHD3</t>
  </si>
  <si>
    <t>D6RHI7</t>
  </si>
  <si>
    <t>D6RHI9</t>
  </si>
  <si>
    <t>D6RIE3</t>
  </si>
  <si>
    <t>D6RIU2</t>
  </si>
  <si>
    <t>D6RIZ4</t>
  </si>
  <si>
    <t>D6RJ07</t>
  </si>
  <si>
    <t>D6RJ90</t>
  </si>
  <si>
    <t>E2QRD0</t>
  </si>
  <si>
    <t>E2QRF9</t>
  </si>
  <si>
    <t>E5RFJ1</t>
  </si>
  <si>
    <t>E5RG13</t>
  </si>
  <si>
    <t>E5RG17</t>
  </si>
  <si>
    <t>E5RGQ3</t>
  </si>
  <si>
    <t>E5RGT6</t>
  </si>
  <si>
    <t>E5RGX5</t>
  </si>
  <si>
    <t>E5RGY0</t>
  </si>
  <si>
    <t>E5RH36</t>
  </si>
  <si>
    <t>E5RHC1</t>
  </si>
  <si>
    <t>E5RHG8</t>
  </si>
  <si>
    <t>E5RHG9</t>
  </si>
  <si>
    <t>E5RHT1</t>
  </si>
  <si>
    <t>E5RHV2</t>
  </si>
  <si>
    <t>E5RHW0</t>
  </si>
  <si>
    <t>E5RI99</t>
  </si>
  <si>
    <t>E5RIA0</t>
  </si>
  <si>
    <t>E5RIH5</t>
  </si>
  <si>
    <t>E5RIJ0</t>
  </si>
  <si>
    <t>E5RIY0</t>
  </si>
  <si>
    <t>E5RJ08</t>
  </si>
  <si>
    <t>E5RJ86</t>
  </si>
  <si>
    <t>E5RJ99</t>
  </si>
  <si>
    <t>E5RJI7</t>
  </si>
  <si>
    <t>E5RJR5</t>
  </si>
  <si>
    <t>E5RJY1</t>
  </si>
  <si>
    <t>E5RK82</t>
  </si>
  <si>
    <t>E7EM50</t>
  </si>
  <si>
    <t>E7EM64</t>
  </si>
  <si>
    <t>E7EM95</t>
  </si>
  <si>
    <t>E7EMA9</t>
  </si>
  <si>
    <t>E7EMB6</t>
  </si>
  <si>
    <t>E7EMD6</t>
  </si>
  <si>
    <t>E7EMM4</t>
  </si>
  <si>
    <t>E7EMX7</t>
  </si>
  <si>
    <t>E7EN32</t>
  </si>
  <si>
    <t>E7EN73</t>
  </si>
  <si>
    <t>E7EN86</t>
  </si>
  <si>
    <t>E7ENA9</t>
  </si>
  <si>
    <t>E7ENK0</t>
  </si>
  <si>
    <t>E7ENN3</t>
  </si>
  <si>
    <t>E7ENU4</t>
  </si>
  <si>
    <t>E7EPB3</t>
  </si>
  <si>
    <t>E7EPD0</t>
  </si>
  <si>
    <t>E7EPF0</t>
  </si>
  <si>
    <t>E7EPL4</t>
  </si>
  <si>
    <t>E7EPN9</t>
  </si>
  <si>
    <t>E7EPP7</t>
  </si>
  <si>
    <t>E7EPT4</t>
  </si>
  <si>
    <t>E7EPV7</t>
  </si>
  <si>
    <t>E7EPW5</t>
  </si>
  <si>
    <t>E7EPY1</t>
  </si>
  <si>
    <t>E7EQ29</t>
  </si>
  <si>
    <t>E7EQ69</t>
  </si>
  <si>
    <t>E7EQI7</t>
  </si>
  <si>
    <t>E7EQN6</t>
  </si>
  <si>
    <t>E7EQR8</t>
  </si>
  <si>
    <t>E7EQS5</t>
  </si>
  <si>
    <t>E7EQT4</t>
  </si>
  <si>
    <t>E7EQV9</t>
  </si>
  <si>
    <t>E7ER68</t>
  </si>
  <si>
    <t>E7ER77</t>
  </si>
  <si>
    <t>E7ERB7</t>
  </si>
  <si>
    <t>E7ERC6</t>
  </si>
  <si>
    <t>E7ERL6</t>
  </si>
  <si>
    <t>E7ERS3</t>
  </si>
  <si>
    <t>E7ERW0</t>
  </si>
  <si>
    <t>E7ES43</t>
  </si>
  <si>
    <t>E7ES96</t>
  </si>
  <si>
    <t>E7ESC6</t>
  </si>
  <si>
    <t>E7ESD2</t>
  </si>
  <si>
    <t>E7ESU4</t>
  </si>
  <si>
    <t>E7ESU7</t>
  </si>
  <si>
    <t>E7ESZ7</t>
  </si>
  <si>
    <t>E7ET15</t>
  </si>
  <si>
    <t>E7ET49</t>
  </si>
  <si>
    <t>E7ET55</t>
  </si>
  <si>
    <t>E7ETK0</t>
  </si>
  <si>
    <t>E7ETY4</t>
  </si>
  <si>
    <t>E7ETZ4</t>
  </si>
  <si>
    <t>E7EU19</t>
  </si>
  <si>
    <t>E7EU23</t>
  </si>
  <si>
    <t>E7EU24</t>
  </si>
  <si>
    <t>E7EU96</t>
  </si>
  <si>
    <t>E7EUC7</t>
  </si>
  <si>
    <t>E7EUH9</t>
  </si>
  <si>
    <t>E7EUL7</t>
  </si>
  <si>
    <t>E7EUM5</t>
  </si>
  <si>
    <t>E7EUN2</t>
  </si>
  <si>
    <t>E7EUY3</t>
  </si>
  <si>
    <t>E7EUY5</t>
  </si>
  <si>
    <t>E7EV43</t>
  </si>
  <si>
    <t>E7EV46</t>
  </si>
  <si>
    <t>E7EV56</t>
  </si>
  <si>
    <t>E7EV99</t>
  </si>
  <si>
    <t>E7EVA0</t>
  </si>
  <si>
    <t>E7EVC7</t>
  </si>
  <si>
    <t>E7EVH9</t>
  </si>
  <si>
    <t>E7EVJ3</t>
  </si>
  <si>
    <t>E7EVK2</t>
  </si>
  <si>
    <t>E7EVM2</t>
  </si>
  <si>
    <t>E7EVZ2</t>
  </si>
  <si>
    <t>E7EW05</t>
  </si>
  <si>
    <t>E7EW20</t>
  </si>
  <si>
    <t>E7EW32</t>
  </si>
  <si>
    <t>E7EWM3</t>
  </si>
  <si>
    <t>E7EWP0</t>
  </si>
  <si>
    <t>E7EWQ5</t>
  </si>
  <si>
    <t>E7EX17</t>
  </si>
  <si>
    <t>E7EX73</t>
  </si>
  <si>
    <t>E7EX90</t>
  </si>
  <si>
    <t>E9PAK5</t>
  </si>
  <si>
    <t>E9PAL9</t>
  </si>
  <si>
    <t>E9PAU2</t>
  </si>
  <si>
    <t>E9PB14</t>
  </si>
  <si>
    <t>E9PB61</t>
  </si>
  <si>
    <t>E9PC15</t>
  </si>
  <si>
    <t>E9PC26</t>
  </si>
  <si>
    <t>E9PC28</t>
  </si>
  <si>
    <t>E9PC52</t>
  </si>
  <si>
    <t>E9PC74</t>
  </si>
  <si>
    <t>E9PCH4</t>
  </si>
  <si>
    <t>E9PCS8</t>
  </si>
  <si>
    <t>E9PCW1</t>
  </si>
  <si>
    <t>E9PCY7</t>
  </si>
  <si>
    <t>E9PD50</t>
  </si>
  <si>
    <t>E9PD56</t>
  </si>
  <si>
    <t>E9PD90</t>
  </si>
  <si>
    <t>E9PDE4</t>
  </si>
  <si>
    <t>E9PDK2</t>
  </si>
  <si>
    <t>E9PDQ5</t>
  </si>
  <si>
    <t>E9PE19</t>
  </si>
  <si>
    <t>E9PE47</t>
  </si>
  <si>
    <t>E9PEE8</t>
  </si>
  <si>
    <t>E9PEN8</t>
  </si>
  <si>
    <t>E9PER1</t>
  </si>
  <si>
    <t>E9PER6</t>
  </si>
  <si>
    <t>E9PEZ3</t>
  </si>
  <si>
    <t>E9PF10</t>
  </si>
  <si>
    <t>E9PF18</t>
  </si>
  <si>
    <t>E9PF19</t>
  </si>
  <si>
    <t>E9PF74</t>
  </si>
  <si>
    <t>E9PFH7</t>
  </si>
  <si>
    <t>E9PFK9</t>
  </si>
  <si>
    <t>E9PFR3</t>
  </si>
  <si>
    <t>E9PFZ1</t>
  </si>
  <si>
    <t>E9PG22</t>
  </si>
  <si>
    <t>E9PGC1</t>
  </si>
  <si>
    <t>E9PGQ0</t>
  </si>
  <si>
    <t>E9PGT1</t>
  </si>
  <si>
    <t>E9PGT3</t>
  </si>
  <si>
    <t>E9PGT6</t>
  </si>
  <si>
    <t>E9PGW7</t>
  </si>
  <si>
    <t>E9PH29</t>
  </si>
  <si>
    <t>E9PH64</t>
  </si>
  <si>
    <t>E9PH99</t>
  </si>
  <si>
    <t>E9PHF7</t>
  </si>
  <si>
    <t>E9PHG5</t>
  </si>
  <si>
    <t>E9PHM2</t>
  </si>
  <si>
    <t>E9PI60</t>
  </si>
  <si>
    <t>E9PIB9</t>
  </si>
  <si>
    <t>E9PIE4</t>
  </si>
  <si>
    <t>E9PIR7</t>
  </si>
  <si>
    <t>E9PJ64</t>
  </si>
  <si>
    <t>E9PJ81</t>
  </si>
  <si>
    <t>E9PJB8</t>
  </si>
  <si>
    <t>E9PJD7</t>
  </si>
  <si>
    <t>E9PJF5</t>
  </si>
  <si>
    <t>E9PJH1</t>
  </si>
  <si>
    <t>E9PJK1</t>
  </si>
  <si>
    <t>E9PJM3</t>
  </si>
  <si>
    <t>E9PK01</t>
  </si>
  <si>
    <t>E9PK91</t>
  </si>
  <si>
    <t>E9PKA7</t>
  </si>
  <si>
    <t>E9PKE9</t>
  </si>
  <si>
    <t>E9PKF3</t>
  </si>
  <si>
    <t>E9PKG1</t>
  </si>
  <si>
    <t>E9PKP7</t>
  </si>
  <si>
    <t>E9PKT4</t>
  </si>
  <si>
    <t>E9PKV2</t>
  </si>
  <si>
    <t>E9PKV8</t>
  </si>
  <si>
    <t>E9PKZ0</t>
  </si>
  <si>
    <t>E9PL01</t>
  </si>
  <si>
    <t>E9PL17</t>
  </si>
  <si>
    <t>E9PL22</t>
  </si>
  <si>
    <t>E9PL33</t>
  </si>
  <si>
    <t>E9PL57</t>
  </si>
  <si>
    <t>E9PL69</t>
  </si>
  <si>
    <t>E9PLD3</t>
  </si>
  <si>
    <t>E9PLJ2</t>
  </si>
  <si>
    <t>E9PLK3</t>
  </si>
  <si>
    <t>E9PLL6</t>
  </si>
  <si>
    <t>E9PLX2</t>
  </si>
  <si>
    <t>E9PLY5</t>
  </si>
  <si>
    <t>E9PM19</t>
  </si>
  <si>
    <t>E9PM46</t>
  </si>
  <si>
    <t>E9PM92</t>
  </si>
  <si>
    <t>E9PMJ2</t>
  </si>
  <si>
    <t>E9PMQ6</t>
  </si>
  <si>
    <t>E9PMR4</t>
  </si>
  <si>
    <t>E9PMS3</t>
  </si>
  <si>
    <t>E9PMY4</t>
  </si>
  <si>
    <t>E9PN89</t>
  </si>
  <si>
    <t>E9PND3</t>
  </si>
  <si>
    <t>E9PNK6</t>
  </si>
  <si>
    <t>E9PNN3</t>
  </si>
  <si>
    <t>E9PNP3</t>
  </si>
  <si>
    <t>E9PNT2</t>
  </si>
  <si>
    <t>E9PNW4</t>
  </si>
  <si>
    <t>E9PPJ5</t>
  </si>
  <si>
    <t>E9PPM8</t>
  </si>
  <si>
    <t>E9PPZ9</t>
  </si>
  <si>
    <t>E9PQ59</t>
  </si>
  <si>
    <t>E9PQ62</t>
  </si>
  <si>
    <t>E9PQN5</t>
  </si>
  <si>
    <t>E9PQY3</t>
  </si>
  <si>
    <t>E9PR25</t>
  </si>
  <si>
    <t>E9PR30</t>
  </si>
  <si>
    <t>E9PR76</t>
  </si>
  <si>
    <t>E9PRA1</t>
  </si>
  <si>
    <t>E9PRR8</t>
  </si>
  <si>
    <t>E9PRY8</t>
  </si>
  <si>
    <t>E9PS00</t>
  </si>
  <si>
    <t>E9PS17</t>
  </si>
  <si>
    <t>E9PS38</t>
  </si>
  <si>
    <t>E9PSI1</t>
  </si>
  <si>
    <t>F2Z2I2</t>
  </si>
  <si>
    <t>F2Z2Q4</t>
  </si>
  <si>
    <t>F2Z2U8</t>
  </si>
  <si>
    <t>F2Z2V0</t>
  </si>
  <si>
    <t>F2Z2W7</t>
  </si>
  <si>
    <t>F2Z2X4</t>
  </si>
  <si>
    <t>F5GWD3</t>
  </si>
  <si>
    <t>F5GWI4</t>
  </si>
  <si>
    <t>F5GWI9</t>
  </si>
  <si>
    <t>F5GWP8</t>
  </si>
  <si>
    <t>F5GWT4</t>
  </si>
  <si>
    <t>F5GWU7</t>
  </si>
  <si>
    <t>F5GWX5</t>
  </si>
  <si>
    <t>F5GX09</t>
  </si>
  <si>
    <t>F5GX68</t>
  </si>
  <si>
    <t>F5GX82</t>
  </si>
  <si>
    <t>F5GX85</t>
  </si>
  <si>
    <t>F5GXC3</t>
  </si>
  <si>
    <t>F5GXC8</t>
  </si>
  <si>
    <t>F5GXF9</t>
  </si>
  <si>
    <t>F5GXK8</t>
  </si>
  <si>
    <t>F5GXX5</t>
  </si>
  <si>
    <t>F5GXY5</t>
  </si>
  <si>
    <t>F5GY92</t>
  </si>
  <si>
    <t>F5GY99</t>
  </si>
  <si>
    <t>F5GYC1</t>
  </si>
  <si>
    <t>F5GYC2</t>
  </si>
  <si>
    <t>F5GYJ5</t>
  </si>
  <si>
    <t>F5GYN4</t>
  </si>
  <si>
    <t>F5GYQ1</t>
  </si>
  <si>
    <t>F5GYS8</t>
  </si>
  <si>
    <t>F5GZ90</t>
  </si>
  <si>
    <t>F5GZG1</t>
  </si>
  <si>
    <t>F5GZP3</t>
  </si>
  <si>
    <t>F5GZS0</t>
  </si>
  <si>
    <t>F5GZS6</t>
  </si>
  <si>
    <t>F5GZW3</t>
  </si>
  <si>
    <t>F5GZX9</t>
  </si>
  <si>
    <t>F5GZZ0</t>
  </si>
  <si>
    <t>F5H012</t>
  </si>
  <si>
    <t>F5H070</t>
  </si>
  <si>
    <t>F5H0F9</t>
  </si>
  <si>
    <t>F5H0I3</t>
  </si>
  <si>
    <t>F5H0K8</t>
  </si>
  <si>
    <t>F5H0L8</t>
  </si>
  <si>
    <t>F5H0Q6</t>
  </si>
  <si>
    <t>F5H0R1</t>
  </si>
  <si>
    <t>F5H0U5</t>
  </si>
  <si>
    <t>F5H148</t>
  </si>
  <si>
    <t>F5H149</t>
  </si>
  <si>
    <t>F5H1G9</t>
  </si>
  <si>
    <t>F5H1L4</t>
  </si>
  <si>
    <t>F5H1X8</t>
  </si>
  <si>
    <t>F5H1Y0</t>
  </si>
  <si>
    <t>F5H254</t>
  </si>
  <si>
    <t>F5H2B0</t>
  </si>
  <si>
    <t>F5H2H5</t>
  </si>
  <si>
    <t>F5H2J3</t>
  </si>
  <si>
    <t>F5H2Q7</t>
  </si>
  <si>
    <t>F5H2S7</t>
  </si>
  <si>
    <t>F5H2U2</t>
  </si>
  <si>
    <t>F5H2X7</t>
  </si>
  <si>
    <t>F5H315</t>
  </si>
  <si>
    <t>F5H365</t>
  </si>
  <si>
    <t>F5H3J3</t>
  </si>
  <si>
    <t>F5H3S6</t>
  </si>
  <si>
    <t>F5H433</t>
  </si>
  <si>
    <t>F5H442</t>
  </si>
  <si>
    <t>F5H450</t>
  </si>
  <si>
    <t>F5H492</t>
  </si>
  <si>
    <t>F5H4B1</t>
  </si>
  <si>
    <t>F5H4G7</t>
  </si>
  <si>
    <t>F5H4I2</t>
  </si>
  <si>
    <t>F5H4N4</t>
  </si>
  <si>
    <t>F5H4Q5</t>
  </si>
  <si>
    <t>F5H4R0</t>
  </si>
  <si>
    <t>F5H4S8</t>
  </si>
  <si>
    <t>F5H4V9</t>
  </si>
  <si>
    <t>F5H4Z3</t>
  </si>
  <si>
    <t>F5H523</t>
  </si>
  <si>
    <t>F5H564</t>
  </si>
  <si>
    <t>F5H569</t>
  </si>
  <si>
    <t>F5H577</t>
  </si>
  <si>
    <t>F5H5C2</t>
  </si>
  <si>
    <t>F5H5D3</t>
  </si>
  <si>
    <t>F5H5I6</t>
  </si>
  <si>
    <t>F5H5M7</t>
  </si>
  <si>
    <t>F5H5N0</t>
  </si>
  <si>
    <t>F5H5N1</t>
  </si>
  <si>
    <t>F5H5P2</t>
  </si>
  <si>
    <t>F5H5R8</t>
  </si>
  <si>
    <t>F5H5U2</t>
  </si>
  <si>
    <t>F5H5V6</t>
  </si>
  <si>
    <t>F5H604</t>
  </si>
  <si>
    <t>F5H620</t>
  </si>
  <si>
    <t>F5H648</t>
  </si>
  <si>
    <t>F5H698</t>
  </si>
  <si>
    <t>F5H6U2</t>
  </si>
  <si>
    <t>F5H6V0</t>
  </si>
  <si>
    <t>F5H715</t>
  </si>
  <si>
    <t>F5H721</t>
  </si>
  <si>
    <t>F5H777</t>
  </si>
  <si>
    <t>F5H7B3</t>
  </si>
  <si>
    <t>F5H7F6</t>
  </si>
  <si>
    <t>F5H7I4</t>
  </si>
  <si>
    <t>F5H7J5</t>
  </si>
  <si>
    <t>F5H7K2</t>
  </si>
  <si>
    <t>F5H7N9</t>
  </si>
  <si>
    <t>F5H801</t>
  </si>
  <si>
    <t>F5H827</t>
  </si>
  <si>
    <t>F5H860</t>
  </si>
  <si>
    <t>F5H872</t>
  </si>
  <si>
    <t>F5H897</t>
  </si>
  <si>
    <t>F5H8D7</t>
  </si>
  <si>
    <t>F5H8H2</t>
  </si>
  <si>
    <t>F5H8J3</t>
  </si>
  <si>
    <t>F6PQP6</t>
  </si>
  <si>
    <t>F6RU81</t>
  </si>
  <si>
    <t>F6SS63</t>
  </si>
  <si>
    <t>F6T1Q0</t>
  </si>
  <si>
    <t>F6U1F2</t>
  </si>
  <si>
    <t>F6U1T9</t>
  </si>
  <si>
    <t>F6XY72</t>
  </si>
  <si>
    <t>F8VP89</t>
  </si>
  <si>
    <t>F8VPD4</t>
  </si>
  <si>
    <t>F8VQ10</t>
  </si>
  <si>
    <t>F8VQE1</t>
  </si>
  <si>
    <t>F8VQR7</t>
  </si>
  <si>
    <t>F8VQX6</t>
  </si>
  <si>
    <t>F8VQZ7</t>
  </si>
  <si>
    <t>F8VR31</t>
  </si>
  <si>
    <t>F8VRE8</t>
  </si>
  <si>
    <t>F8VRH0</t>
  </si>
  <si>
    <t>F8VSL3</t>
  </si>
  <si>
    <t>F8VSZ4</t>
  </si>
  <si>
    <t>F8VUJ3</t>
  </si>
  <si>
    <t>F8VUY8</t>
  </si>
  <si>
    <t>F8VV52</t>
  </si>
  <si>
    <t>F8VV59</t>
  </si>
  <si>
    <t>F8VVA7</t>
  </si>
  <si>
    <t>F8VVN7</t>
  </si>
  <si>
    <t>F8VVX6</t>
  </si>
  <si>
    <t>F8VW54</t>
  </si>
  <si>
    <t>F8VWA6</t>
  </si>
  <si>
    <t>F8VWA9</t>
  </si>
  <si>
    <t>F8VX04</t>
  </si>
  <si>
    <t>F8VXG7</t>
  </si>
  <si>
    <t>F8VXI9</t>
  </si>
  <si>
    <t>F8VXU5</t>
  </si>
  <si>
    <t>F8VY35</t>
  </si>
  <si>
    <t>F8VYE8</t>
  </si>
  <si>
    <t>F8VZ44</t>
  </si>
  <si>
    <t>F8VZH8</t>
  </si>
  <si>
    <t>F8VZJ2</t>
  </si>
  <si>
    <t>F8W0Q9</t>
  </si>
  <si>
    <t>F8W0R1</t>
  </si>
  <si>
    <t>F8W184</t>
  </si>
  <si>
    <t>F8W1N9</t>
  </si>
  <si>
    <t>F8W689</t>
  </si>
  <si>
    <t>F8W6I7</t>
  </si>
  <si>
    <t>F8W6N3</t>
  </si>
  <si>
    <t>F8W6N8</t>
  </si>
  <si>
    <t>F8W6Q3</t>
  </si>
  <si>
    <t>F8W720</t>
  </si>
  <si>
    <t>F8W782</t>
  </si>
  <si>
    <t>F8W7A7</t>
  </si>
  <si>
    <t>F8W7D6</t>
  </si>
  <si>
    <t>F8W7G7</t>
  </si>
  <si>
    <t>F8W7Q4</t>
  </si>
  <si>
    <t>F8W894</t>
  </si>
  <si>
    <t>F8W8C2</t>
  </si>
  <si>
    <t>F8W8D3</t>
  </si>
  <si>
    <t>F8W8H5</t>
  </si>
  <si>
    <t>F8W8I6</t>
  </si>
  <si>
    <t>F8W930</t>
  </si>
  <si>
    <t>F8W9A8</t>
  </si>
  <si>
    <t>F8W9B9</t>
  </si>
  <si>
    <t>F8W9Q9</t>
  </si>
  <si>
    <t>F8W9X7</t>
  </si>
  <si>
    <t>F8WA39</t>
  </si>
  <si>
    <t>F8WAC3</t>
  </si>
  <si>
    <t>F8WAK8</t>
  </si>
  <si>
    <t>F8WBK5</t>
  </si>
  <si>
    <t>F8WBT5</t>
  </si>
  <si>
    <t>F8WBY6</t>
  </si>
  <si>
    <t>F8WC68</t>
  </si>
  <si>
    <t>F8WCD0</t>
  </si>
  <si>
    <t>F8WCP6</t>
  </si>
  <si>
    <t>F8WDT8</t>
  </si>
  <si>
    <t>F8WDV1</t>
  </si>
  <si>
    <t>F8WE28</t>
  </si>
  <si>
    <t>F8WE91</t>
  </si>
  <si>
    <t>F8WEC0</t>
  </si>
  <si>
    <t>F8WEE4</t>
  </si>
  <si>
    <t>F8WEG8</t>
  </si>
  <si>
    <t>F8WF48</t>
  </si>
  <si>
    <t>F8WF93</t>
  </si>
  <si>
    <t>G3V0I5</t>
  </si>
  <si>
    <t>G3V0I6</t>
  </si>
  <si>
    <t>G3V167</t>
  </si>
  <si>
    <t>G3V1C3</t>
  </si>
  <si>
    <t>G3V1D3</t>
  </si>
  <si>
    <t>G3V1K3</t>
  </si>
  <si>
    <t>G3V1L9</t>
  </si>
  <si>
    <t>G3V1N2</t>
  </si>
  <si>
    <t>G3V1N5</t>
  </si>
  <si>
    <t>G3V1P3</t>
  </si>
  <si>
    <t>G3V1P9</t>
  </si>
  <si>
    <t>G3V1Q4</t>
  </si>
  <si>
    <t>G3V1Q7</t>
  </si>
  <si>
    <t>G3V1R3</t>
  </si>
  <si>
    <t>G3V1U5</t>
  </si>
  <si>
    <t>G3V1V1</t>
  </si>
  <si>
    <t>G3V1V4</t>
  </si>
  <si>
    <t>G3V203</t>
  </si>
  <si>
    <t>G3V238</t>
  </si>
  <si>
    <t>G3V2A6</t>
  </si>
  <si>
    <t>G3V2B8</t>
  </si>
  <si>
    <t>G3V2F7</t>
  </si>
  <si>
    <t>G3V2U7</t>
  </si>
  <si>
    <t>G3V325</t>
  </si>
  <si>
    <t>G3V379</t>
  </si>
  <si>
    <t>G3V3E1</t>
  </si>
  <si>
    <t>G3V3G9</t>
  </si>
  <si>
    <t>G3V3H7</t>
  </si>
  <si>
    <t>G3V3I4</t>
  </si>
  <si>
    <t>G3V3Q2</t>
  </si>
  <si>
    <t>G3V3R7</t>
  </si>
  <si>
    <t>G3V3U6</t>
  </si>
  <si>
    <t>G3V4A5</t>
  </si>
  <si>
    <t>G3V4I0</t>
  </si>
  <si>
    <t>G3V4K3</t>
  </si>
  <si>
    <t>G3V4P7</t>
  </si>
  <si>
    <t>G3V4W0</t>
  </si>
  <si>
    <t>G3V583</t>
  </si>
  <si>
    <t>G3V597</t>
  </si>
  <si>
    <t>G3V599</t>
  </si>
  <si>
    <t>G3V5B9</t>
  </si>
  <si>
    <t>G3V5N8</t>
  </si>
  <si>
    <t>G3V5T0</t>
  </si>
  <si>
    <t>G3V5T9</t>
  </si>
  <si>
    <t>G3V5W1</t>
  </si>
  <si>
    <t>G3V5Z7</t>
  </si>
  <si>
    <t>G3XA81</t>
  </si>
  <si>
    <t>G3XAA0</t>
  </si>
  <si>
    <t>G3XAB3</t>
  </si>
  <si>
    <t>G3XAC1</t>
  </si>
  <si>
    <t>G3XAG7</t>
  </si>
  <si>
    <t>G3XAH0</t>
  </si>
  <si>
    <t>G3XAI2</t>
  </si>
  <si>
    <t>G3XAN8</t>
  </si>
  <si>
    <t>G3XAP3</t>
  </si>
  <si>
    <t>G5E933</t>
  </si>
  <si>
    <t>G5E948</t>
  </si>
  <si>
    <t>G5E953</t>
  </si>
  <si>
    <t>G5E975</t>
  </si>
  <si>
    <t>G5E979</t>
  </si>
  <si>
    <t>G5E994</t>
  </si>
  <si>
    <t>G5E9A6</t>
  </si>
  <si>
    <t>G5E9C8</t>
  </si>
  <si>
    <t>G5E9L8</t>
  </si>
  <si>
    <t>G5E9N0</t>
  </si>
  <si>
    <t>G5E9P1</t>
  </si>
  <si>
    <t>G5E9T8</t>
  </si>
  <si>
    <t>G5E9W2</t>
  </si>
  <si>
    <t>G5E9W7</t>
  </si>
  <si>
    <t>G5EA09</t>
  </si>
  <si>
    <t>G5EA30</t>
  </si>
  <si>
    <t>G5EA52</t>
  </si>
  <si>
    <t>G8JL88</t>
  </si>
  <si>
    <t>G8JLA2</t>
  </si>
  <si>
    <t>G8JLB3</t>
  </si>
  <si>
    <t>G8JLD3</t>
  </si>
  <si>
    <t>G8JLE5</t>
  </si>
  <si>
    <t>G8JLI5</t>
  </si>
  <si>
    <t>G8JLK4</t>
  </si>
  <si>
    <t>G8JLK7</t>
  </si>
  <si>
    <t>G8JLL2</t>
  </si>
  <si>
    <t>G8JLM6</t>
  </si>
  <si>
    <t>G8JLP4</t>
  </si>
  <si>
    <t>H0UI80</t>
  </si>
  <si>
    <t>H0Y2U5</t>
  </si>
  <si>
    <t>H0Y360</t>
  </si>
  <si>
    <t>H0Y362</t>
  </si>
  <si>
    <t>H0Y384</t>
  </si>
  <si>
    <t>H0Y3A3</t>
  </si>
  <si>
    <t>H0Y3P2</t>
  </si>
  <si>
    <t>H0Y4G9</t>
  </si>
  <si>
    <t>H0Y4R1</t>
  </si>
  <si>
    <t>H0Y4S7</t>
  </si>
  <si>
    <t>H0Y4W2</t>
  </si>
  <si>
    <t>H0Y547</t>
  </si>
  <si>
    <t>H0Y5Y0</t>
  </si>
  <si>
    <t>H0Y614</t>
  </si>
  <si>
    <t>H0Y6B2</t>
  </si>
  <si>
    <t>H0Y6F5</t>
  </si>
  <si>
    <t>H0Y6K2</t>
  </si>
  <si>
    <t>H0Y6K5</t>
  </si>
  <si>
    <t>H0Y6N5</t>
  </si>
  <si>
    <t>H0Y6Y8</t>
  </si>
  <si>
    <t>H0Y720</t>
  </si>
  <si>
    <t>H0Y759</t>
  </si>
  <si>
    <t>H0Y773</t>
  </si>
  <si>
    <t>H0Y7A7</t>
  </si>
  <si>
    <t>H0Y7L9</t>
  </si>
  <si>
    <t>H0Y7P7</t>
  </si>
  <si>
    <t>H0Y7S3</t>
  </si>
  <si>
    <t>H0Y8D0</t>
  </si>
  <si>
    <t>H0Y8F2</t>
  </si>
  <si>
    <t>H0Y8P4</t>
  </si>
  <si>
    <t>H0Y8W3</t>
  </si>
  <si>
    <t>H0Y8X4</t>
  </si>
  <si>
    <t>H0Y9B8</t>
  </si>
  <si>
    <t>H0Y9G6</t>
  </si>
  <si>
    <t>H0Y9L4</t>
  </si>
  <si>
    <t>H0Y9S9</t>
  </si>
  <si>
    <t>H0Y9T5</t>
  </si>
  <si>
    <t>H0Y9X1</t>
  </si>
  <si>
    <t>H0YA52</t>
  </si>
  <si>
    <t>H0YA61</t>
  </si>
  <si>
    <t>H0YA80</t>
  </si>
  <si>
    <t>H0YAN3</t>
  </si>
  <si>
    <t>H0YAR2</t>
  </si>
  <si>
    <t>H0YAX0</t>
  </si>
  <si>
    <t>H0YB94</t>
  </si>
  <si>
    <t>H0YBP1</t>
  </si>
  <si>
    <t>H0YBR0</t>
  </si>
  <si>
    <t>H0YBS1</t>
  </si>
  <si>
    <t>H0YC02</t>
  </si>
  <si>
    <t>H0YCB3</t>
  </si>
  <si>
    <t>H0YCY4</t>
  </si>
  <si>
    <t>H0YD13</t>
  </si>
  <si>
    <t>H0YD75</t>
  </si>
  <si>
    <t>H0YDD4</t>
  </si>
  <si>
    <t>H0YDQ1</t>
  </si>
  <si>
    <t>H0YDR5</t>
  </si>
  <si>
    <t>H0YDU8</t>
  </si>
  <si>
    <t>H0YEB6</t>
  </si>
  <si>
    <t>H0YEF3</t>
  </si>
  <si>
    <t>H0YEN0</t>
  </si>
  <si>
    <t>H0YER1</t>
  </si>
  <si>
    <t>H0YF22</t>
  </si>
  <si>
    <t>H0YF29</t>
  </si>
  <si>
    <t>H0YFN7</t>
  </si>
  <si>
    <t>H0YGR4</t>
  </si>
  <si>
    <t>H0YH69</t>
  </si>
  <si>
    <t>H0YHG0</t>
  </si>
  <si>
    <t>H0YIE8</t>
  </si>
  <si>
    <t>H0YIQ8</t>
  </si>
  <si>
    <t>H0YIV5</t>
  </si>
  <si>
    <t>H0YIV9</t>
  </si>
  <si>
    <t>H0YIZ9</t>
  </si>
  <si>
    <t>H0YJN0</t>
  </si>
  <si>
    <t>H0YK48</t>
  </si>
  <si>
    <t>H0YK61</t>
  </si>
  <si>
    <t>H0YKJ9</t>
  </si>
  <si>
    <t>H0YL26</t>
  </si>
  <si>
    <t>H0YL33</t>
  </si>
  <si>
    <t>H0YL70</t>
  </si>
  <si>
    <t>H0YLB5</t>
  </si>
  <si>
    <t>H0YLB9</t>
  </si>
  <si>
    <t>H0YLF3</t>
  </si>
  <si>
    <t>H0YLI7</t>
  </si>
  <si>
    <t>H0YLN8</t>
  </si>
  <si>
    <t>H0YLR1</t>
  </si>
  <si>
    <t>H0YLX2</t>
  </si>
  <si>
    <t>H0YLY9</t>
  </si>
  <si>
    <t>H0YMA9</t>
  </si>
  <si>
    <t>H0YMB3</t>
  </si>
  <si>
    <t>H0YMF4</t>
  </si>
  <si>
    <t>H0YMJ0</t>
  </si>
  <si>
    <t>H0YMX0</t>
  </si>
  <si>
    <t>H0YN78</t>
  </si>
  <si>
    <t>H0YNE3</t>
  </si>
  <si>
    <t>H0YNG3</t>
  </si>
  <si>
    <t>H0YNH6</t>
  </si>
  <si>
    <t>H0YNJ3</t>
  </si>
  <si>
    <t>H0YNX7</t>
  </si>
  <si>
    <t>H3BLU7</t>
  </si>
  <si>
    <t>H3BLV0</t>
  </si>
  <si>
    <t>H3BLV9</t>
  </si>
  <si>
    <t>H3BLZ2</t>
  </si>
  <si>
    <t>H3BLZ8</t>
  </si>
  <si>
    <t>H3BM14</t>
  </si>
  <si>
    <t>H3BM91</t>
  </si>
  <si>
    <t>H3BMD8</t>
  </si>
  <si>
    <t>H3BMF4</t>
  </si>
  <si>
    <t>H3BMQ0</t>
  </si>
  <si>
    <t>H3BN98</t>
  </si>
  <si>
    <t>H3BND3</t>
  </si>
  <si>
    <t>H3BNK2</t>
  </si>
  <si>
    <t>H3BNM4</t>
  </si>
  <si>
    <t>H3BNV8</t>
  </si>
  <si>
    <t>H3BP20</t>
  </si>
  <si>
    <t>H3BP28</t>
  </si>
  <si>
    <t>H3BPB8</t>
  </si>
  <si>
    <t>H3BPC4</t>
  </si>
  <si>
    <t>H3BPD5</t>
  </si>
  <si>
    <t>H3BPE1</t>
  </si>
  <si>
    <t>H3BPJ7</t>
  </si>
  <si>
    <t>H3BPK3</t>
  </si>
  <si>
    <t>H3BPL0</t>
  </si>
  <si>
    <t>H3BPS8</t>
  </si>
  <si>
    <t>H3BPX2</t>
  </si>
  <si>
    <t>H3BQA0</t>
  </si>
  <si>
    <t>H3BR29</t>
  </si>
  <si>
    <t>H3BR94</t>
  </si>
  <si>
    <t>H3BRF9</t>
  </si>
  <si>
    <t>H3BRL3</t>
  </si>
  <si>
    <t>H3BRN7</t>
  </si>
  <si>
    <t>H3BRQ0</t>
  </si>
  <si>
    <t>H3BRS1</t>
  </si>
  <si>
    <t>H3BRU1</t>
  </si>
  <si>
    <t>H3BRV0</t>
  </si>
  <si>
    <t>H3BS01</t>
  </si>
  <si>
    <t>H3BS66</t>
  </si>
  <si>
    <t>H3BS99</t>
  </si>
  <si>
    <t>H3BSH7</t>
  </si>
  <si>
    <t>H3BSR5</t>
  </si>
  <si>
    <t>H3BSW6</t>
  </si>
  <si>
    <t>H3BSZ4</t>
  </si>
  <si>
    <t>H3BTK5</t>
  </si>
  <si>
    <t>H3BTL1</t>
  </si>
  <si>
    <t>H3BTN5</t>
  </si>
  <si>
    <t>H3BTX0</t>
  </si>
  <si>
    <t>H3BTX7</t>
  </si>
  <si>
    <t>H3BU49</t>
  </si>
  <si>
    <t>H3BUQ2</t>
  </si>
  <si>
    <t>H3BV80</t>
  </si>
  <si>
    <t>H3BVB1</t>
  </si>
  <si>
    <t>H3BVD9</t>
  </si>
  <si>
    <t>H7BXF4</t>
  </si>
  <si>
    <t>H7BXF5</t>
  </si>
  <si>
    <t>H7BXH2</t>
  </si>
  <si>
    <t>H7BXH9</t>
  </si>
  <si>
    <t>H7BXI1</t>
  </si>
  <si>
    <t>H7BXI5</t>
  </si>
  <si>
    <t>H7BXL1</t>
  </si>
  <si>
    <t>H7BXP5</t>
  </si>
  <si>
    <t>H7BXT7</t>
  </si>
  <si>
    <t>H7BXW7</t>
  </si>
  <si>
    <t>H7BXY3</t>
  </si>
  <si>
    <t>H7BY58</t>
  </si>
  <si>
    <t>H7BYE5</t>
  </si>
  <si>
    <t>H7BYQ6</t>
  </si>
  <si>
    <t>H7BYV1</t>
  </si>
  <si>
    <t>H7BYY1</t>
  </si>
  <si>
    <t>H7BZ11</t>
  </si>
  <si>
    <t>H7BZ14</t>
  </si>
  <si>
    <t>H7BZF5</t>
  </si>
  <si>
    <t>H7BZG6</t>
  </si>
  <si>
    <t>H7BZJ3</t>
  </si>
  <si>
    <t>H7BZK6</t>
  </si>
  <si>
    <t>H7BZT4</t>
  </si>
  <si>
    <t>H7C0C1</t>
  </si>
  <si>
    <t>H7C0G7</t>
  </si>
  <si>
    <t>H7C0N4</t>
  </si>
  <si>
    <t>H7C0S3</t>
  </si>
  <si>
    <t>H7C0T0</t>
  </si>
  <si>
    <t>H7C107</t>
  </si>
  <si>
    <t>H7C124</t>
  </si>
  <si>
    <t>H7C137</t>
  </si>
  <si>
    <t>H7C155</t>
  </si>
  <si>
    <t>H7C173</t>
  </si>
  <si>
    <t>H7C1M5</t>
  </si>
  <si>
    <t>H7C1N3</t>
  </si>
  <si>
    <t>H7C1U3</t>
  </si>
  <si>
    <t>H7C1U8</t>
  </si>
  <si>
    <t>H7C1W4</t>
  </si>
  <si>
    <t>H7C261</t>
  </si>
  <si>
    <t>H7C270</t>
  </si>
  <si>
    <t>H7C2B1</t>
  </si>
  <si>
    <t>H7C2Q8</t>
  </si>
  <si>
    <t>H7C347</t>
  </si>
  <si>
    <t>H7C3D5</t>
  </si>
  <si>
    <t>H7C3G9</t>
  </si>
  <si>
    <t>H7C3P4</t>
  </si>
  <si>
    <t>H7C3T2</t>
  </si>
  <si>
    <t>H7C446</t>
  </si>
  <si>
    <t>H7C484</t>
  </si>
  <si>
    <t>H7C4K1</t>
  </si>
  <si>
    <t>H7C4P1</t>
  </si>
  <si>
    <t>H7C561</t>
  </si>
  <si>
    <t>H7C5A5</t>
  </si>
  <si>
    <t>H7C5F7</t>
  </si>
  <si>
    <t>H7C5H5</t>
  </si>
  <si>
    <t>H7C5R4</t>
  </si>
  <si>
    <t>H7C5R8</t>
  </si>
  <si>
    <t>H7C5W6</t>
  </si>
  <si>
    <t>H9KV44</t>
  </si>
  <si>
    <t>H9KVB8</t>
  </si>
  <si>
    <t>H9ZYI9</t>
  </si>
  <si>
    <t>I3L097</t>
  </si>
  <si>
    <t>I3L0B8</t>
  </si>
  <si>
    <t>I3L0C1</t>
  </si>
  <si>
    <t>I3L0E3</t>
  </si>
  <si>
    <t>I3L0I1</t>
  </si>
  <si>
    <t>I3L0K1</t>
  </si>
  <si>
    <t>I3L0L6</t>
  </si>
  <si>
    <t>I3L0N3</t>
  </si>
  <si>
    <t>I3L170</t>
  </si>
  <si>
    <t>I3L1H5</t>
  </si>
  <si>
    <t>I3L1L3</t>
  </si>
  <si>
    <t>I3L1P8</t>
  </si>
  <si>
    <t>I3L1Q2</t>
  </si>
  <si>
    <t>I3L1Q3</t>
  </si>
  <si>
    <t>I3L2B0</t>
  </si>
  <si>
    <t>I3L2J0</t>
  </si>
  <si>
    <t>I3L2L5</t>
  </si>
  <si>
    <t>I3L2M9</t>
  </si>
  <si>
    <t>I3L367</t>
  </si>
  <si>
    <t>I3L3A8</t>
  </si>
  <si>
    <t>I3L3B4</t>
  </si>
  <si>
    <t>I3L3P7</t>
  </si>
  <si>
    <t>I3L413</t>
  </si>
  <si>
    <t>I3L448</t>
  </si>
  <si>
    <t>I3L480</t>
  </si>
  <si>
    <t>I3L4N7</t>
  </si>
  <si>
    <t>I3L4X2</t>
  </si>
  <si>
    <t>I3L4X7</t>
  </si>
  <si>
    <t>I3NI29</t>
  </si>
  <si>
    <t>I6L8A6</t>
  </si>
  <si>
    <t>J3KMW7</t>
  </si>
  <si>
    <t>J3KMW8</t>
  </si>
  <si>
    <t>J3KMX2</t>
  </si>
  <si>
    <t>J3KMY5</t>
  </si>
  <si>
    <t>J3KMZ7</t>
  </si>
  <si>
    <t>J3KMZ8</t>
  </si>
  <si>
    <t>J3KMZ9</t>
  </si>
  <si>
    <t>J3KN01</t>
  </si>
  <si>
    <t>J3KN10</t>
  </si>
  <si>
    <t>J3KN16</t>
  </si>
  <si>
    <t>J3KN27</t>
  </si>
  <si>
    <t>J3KN29</t>
  </si>
  <si>
    <t>J3KN49</t>
  </si>
  <si>
    <t>J3KN59</t>
  </si>
  <si>
    <t>J3KN69</t>
  </si>
  <si>
    <t>J3KN82</t>
  </si>
  <si>
    <t>J3KNA0</t>
  </si>
  <si>
    <t>J3KNB8</t>
  </si>
  <si>
    <t>J3KNC8</t>
  </si>
  <si>
    <t>J3KND1</t>
  </si>
  <si>
    <t>J3KNE0</t>
  </si>
  <si>
    <t>J3KNF4</t>
  </si>
  <si>
    <t>J3KNF5</t>
  </si>
  <si>
    <t>J3KNG8</t>
  </si>
  <si>
    <t>J3KNI1</t>
  </si>
  <si>
    <t>J3KNL3</t>
  </si>
  <si>
    <t>J3KNL6</t>
  </si>
  <si>
    <t>J3KNN5</t>
  </si>
  <si>
    <t>J3KNN7</t>
  </si>
  <si>
    <t>J3KNP4</t>
  </si>
  <si>
    <t>J3KNR0</t>
  </si>
  <si>
    <t>J3KNR6</t>
  </si>
  <si>
    <t>J3KNS3</t>
  </si>
  <si>
    <t>J3KNU8</t>
  </si>
  <si>
    <t>J3KNW0</t>
  </si>
  <si>
    <t>J3KNW4</t>
  </si>
  <si>
    <t>J3KNW7</t>
  </si>
  <si>
    <t>J3KNX9</t>
  </si>
  <si>
    <t>J3KNY6</t>
  </si>
  <si>
    <t>J3KNZ9</t>
  </si>
  <si>
    <t>J3KP15</t>
  </si>
  <si>
    <t>J3KP20</t>
  </si>
  <si>
    <t>J3KP22</t>
  </si>
  <si>
    <t>J3KP27</t>
  </si>
  <si>
    <t>J3KP36</t>
  </si>
  <si>
    <t>J3KP75</t>
  </si>
  <si>
    <t>J3KPC5</t>
  </si>
  <si>
    <t>J3KPD3</t>
  </si>
  <si>
    <t>J3KPF0</t>
  </si>
  <si>
    <t>J3KPF9</t>
  </si>
  <si>
    <t>J3KPJ3</t>
  </si>
  <si>
    <t>J3KPK1</t>
  </si>
  <si>
    <t>J3KPL2</t>
  </si>
  <si>
    <t>J3KPN1</t>
  </si>
  <si>
    <t>J3KPP7</t>
  </si>
  <si>
    <t>J3KPS0</t>
  </si>
  <si>
    <t>J3KPT4</t>
  </si>
  <si>
    <t>J3KPV7</t>
  </si>
  <si>
    <t>J3KPW7</t>
  </si>
  <si>
    <t>J3KPX7</t>
  </si>
  <si>
    <t>J3KPX8</t>
  </si>
  <si>
    <t>J3KPY9</t>
  </si>
  <si>
    <t>J3KPZ8</t>
  </si>
  <si>
    <t>J3KQ32</t>
  </si>
  <si>
    <t>J3KQ34</t>
  </si>
  <si>
    <t>J3KQ45</t>
  </si>
  <si>
    <t>J3KQ48</t>
  </si>
  <si>
    <t>J3KQ72</t>
  </si>
  <si>
    <t>J3KQ73</t>
  </si>
  <si>
    <t>J3KQ88</t>
  </si>
  <si>
    <t>J3KQ97</t>
  </si>
  <si>
    <t>J3KQB0</t>
  </si>
  <si>
    <t>J3KQG4</t>
  </si>
  <si>
    <t>J3KQJ9</t>
  </si>
  <si>
    <t>J3KQL8</t>
  </si>
  <si>
    <t>J3KQS2</t>
  </si>
  <si>
    <t>J3KQS6</t>
  </si>
  <si>
    <t>J3KQU5</t>
  </si>
  <si>
    <t>J3KQU9</t>
  </si>
  <si>
    <t>J3KQV2</t>
  </si>
  <si>
    <t>J3KR35</t>
  </si>
  <si>
    <t>J3KR55</t>
  </si>
  <si>
    <t>J3KR58</t>
  </si>
  <si>
    <t>J3KR97</t>
  </si>
  <si>
    <t>J3KRC8</t>
  </si>
  <si>
    <t>J3KRN4</t>
  </si>
  <si>
    <t>J3KRP6</t>
  </si>
  <si>
    <t>J3KRR5</t>
  </si>
  <si>
    <t>J3KRW7</t>
  </si>
  <si>
    <t>J3KRZ1</t>
  </si>
  <si>
    <t>J3KS05</t>
  </si>
  <si>
    <t>J3KSH1</t>
  </si>
  <si>
    <t>J3KSS7</t>
  </si>
  <si>
    <t>J3KSW8</t>
  </si>
  <si>
    <t>J3KSY6</t>
  </si>
  <si>
    <t>J3KT51</t>
  </si>
  <si>
    <t>J3KT68</t>
  </si>
  <si>
    <t>J3KTA1</t>
  </si>
  <si>
    <t>J3KTK5</t>
  </si>
  <si>
    <t>J3KTL2</t>
  </si>
  <si>
    <t>J3QK89</t>
  </si>
  <si>
    <t>J3QKR3</t>
  </si>
  <si>
    <t>J3QKR4</t>
  </si>
  <si>
    <t>J3QL56</t>
  </si>
  <si>
    <t>J3QL71</t>
  </si>
  <si>
    <t>J3QLB2</t>
  </si>
  <si>
    <t>J3QLD9</t>
  </si>
  <si>
    <t>J3QLP7</t>
  </si>
  <si>
    <t>J3QLS3</t>
  </si>
  <si>
    <t>J3QQJ0</t>
  </si>
  <si>
    <t>J3QQJ5</t>
  </si>
  <si>
    <t>J3QQT2</t>
  </si>
  <si>
    <t>J3QQW9</t>
  </si>
  <si>
    <t>J3QQX3</t>
  </si>
  <si>
    <t>J3QQY0</t>
  </si>
  <si>
    <t>J3QR09</t>
  </si>
  <si>
    <t>J3QR29</t>
  </si>
  <si>
    <t>J3QR35</t>
  </si>
  <si>
    <t>J3QR65</t>
  </si>
  <si>
    <t>J3QRM9</t>
  </si>
  <si>
    <t>J3QRS3</t>
  </si>
  <si>
    <t>J3QRS9</t>
  </si>
  <si>
    <t>J3QRU1</t>
  </si>
  <si>
    <t>J3QRU4</t>
  </si>
  <si>
    <t>J3QRU8</t>
  </si>
  <si>
    <t>J3QRV5</t>
  </si>
  <si>
    <t>J3QRX6</t>
  </si>
  <si>
    <t>J3QS41</t>
  </si>
  <si>
    <t>J3QSV6</t>
  </si>
  <si>
    <t>J3QT56</t>
  </si>
  <si>
    <t>J3QT87</t>
  </si>
  <si>
    <t>J9JIC5</t>
  </si>
  <si>
    <t>J9JID7</t>
  </si>
  <si>
    <t>J9JIE6</t>
  </si>
  <si>
    <t>K4DI92</t>
  </si>
  <si>
    <t>K4DI94</t>
  </si>
  <si>
    <t>K7EIG1</t>
  </si>
  <si>
    <t>K7EIL6</t>
  </si>
  <si>
    <t>K7EIP7</t>
  </si>
  <si>
    <t>K7EIU8</t>
  </si>
  <si>
    <t>K7EIY1</t>
  </si>
  <si>
    <t>K7EJ08</t>
  </si>
  <si>
    <t>K7EJ78</t>
  </si>
  <si>
    <t>K7EJB9</t>
  </si>
  <si>
    <t>K7EJH0</t>
  </si>
  <si>
    <t>K7EJL1</t>
  </si>
  <si>
    <t>K7EJQ7</t>
  </si>
  <si>
    <t>K7EK00</t>
  </si>
  <si>
    <t>K7EK07</t>
  </si>
  <si>
    <t>K7EK35</t>
  </si>
  <si>
    <t>K7EK99</t>
  </si>
  <si>
    <t>K7EKE6</t>
  </si>
  <si>
    <t>K7EKG9</t>
  </si>
  <si>
    <t>K7EKI4</t>
  </si>
  <si>
    <t>K7EKS3</t>
  </si>
  <si>
    <t>K7EKW3</t>
  </si>
  <si>
    <t>K7EKZ9</t>
  </si>
  <si>
    <t>K7EL68</t>
  </si>
  <si>
    <t>K7EL81</t>
  </si>
  <si>
    <t>K7ELE3</t>
  </si>
  <si>
    <t>K7ELK7</t>
  </si>
  <si>
    <t>K7ELL7</t>
  </si>
  <si>
    <t>K7ELN3</t>
  </si>
  <si>
    <t>K7ELW3</t>
  </si>
  <si>
    <t>K7ELW5</t>
  </si>
  <si>
    <t>K7ELY2</t>
  </si>
  <si>
    <t>K7EM02</t>
  </si>
  <si>
    <t>K7EM09</t>
  </si>
  <si>
    <t>K7EML3</t>
  </si>
  <si>
    <t>K7EMW3</t>
  </si>
  <si>
    <t>K7EN05</t>
  </si>
  <si>
    <t>K7EN88</t>
  </si>
  <si>
    <t>K7ENF0</t>
  </si>
  <si>
    <t>K7ENH2</t>
  </si>
  <si>
    <t>K7ENL9</t>
  </si>
  <si>
    <t>K7EP31</t>
  </si>
  <si>
    <t>K7EP32</t>
  </si>
  <si>
    <t>K7EPJ5</t>
  </si>
  <si>
    <t>K7EQ34</t>
  </si>
  <si>
    <t>K7EQ37</t>
  </si>
  <si>
    <t>K7EQ77</t>
  </si>
  <si>
    <t>K7EQB6</t>
  </si>
  <si>
    <t>K7EQL1</t>
  </si>
  <si>
    <t>K7EQT1</t>
  </si>
  <si>
    <t>K7EQV2</t>
  </si>
  <si>
    <t>K7EQW8</t>
  </si>
  <si>
    <t>K7EQX8</t>
  </si>
  <si>
    <t>K7ER00</t>
  </si>
  <si>
    <t>K7ER89</t>
  </si>
  <si>
    <t>K7ERF1</t>
  </si>
  <si>
    <t>K7ERG0</t>
  </si>
  <si>
    <t>K7ERH2</t>
  </si>
  <si>
    <t>K7ERI9</t>
  </si>
  <si>
    <t>K7ERQ0</t>
  </si>
  <si>
    <t>K7ERQ8</t>
  </si>
  <si>
    <t>K7ERU9</t>
  </si>
  <si>
    <t>K7ERV3</t>
  </si>
  <si>
    <t>K7ES02</t>
  </si>
  <si>
    <t>K7ES11</t>
  </si>
  <si>
    <t>K7ES84</t>
  </si>
  <si>
    <t>K7ESE3</t>
  </si>
  <si>
    <t>K7ESP4</t>
  </si>
  <si>
    <t>M0QWZ7</t>
  </si>
  <si>
    <t>M0QX35</t>
  </si>
  <si>
    <t>M0QXA7</t>
  </si>
  <si>
    <t>M0QXB4</t>
  </si>
  <si>
    <t>M0QXC2</t>
  </si>
  <si>
    <t>M0QXD0</t>
  </si>
  <si>
    <t>M0QXL5</t>
  </si>
  <si>
    <t>M0QXT0</t>
  </si>
  <si>
    <t>M0QXZ5</t>
  </si>
  <si>
    <t>M0QY01</t>
  </si>
  <si>
    <t>M0QY97</t>
  </si>
  <si>
    <t>M0QYI9</t>
  </si>
  <si>
    <t>M0QYM7</t>
  </si>
  <si>
    <t>M0QYS1</t>
  </si>
  <si>
    <t>M0QZ09</t>
  </si>
  <si>
    <t>M0QZ12</t>
  </si>
  <si>
    <t>M0QZ22</t>
  </si>
  <si>
    <t>M0QZ43</t>
  </si>
  <si>
    <t>M0QZI3</t>
  </si>
  <si>
    <t>M0QZM1</t>
  </si>
  <si>
    <t>M0QZP3</t>
  </si>
  <si>
    <t>M0QZR4</t>
  </si>
  <si>
    <t>M0QZW1</t>
  </si>
  <si>
    <t>M0R042</t>
  </si>
  <si>
    <t>M0R0B4</t>
  </si>
  <si>
    <t>M0R0F0</t>
  </si>
  <si>
    <t>M0R0N4</t>
  </si>
  <si>
    <t>M0R0V1</t>
  </si>
  <si>
    <t>M0R150</t>
  </si>
  <si>
    <t>M0R1J0</t>
  </si>
  <si>
    <t>M0R2A0</t>
  </si>
  <si>
    <t>M0R2B7</t>
  </si>
  <si>
    <t>M0R2C4</t>
  </si>
  <si>
    <t>M0R2D3</t>
  </si>
  <si>
    <t>M0R300</t>
  </si>
  <si>
    <t>M0R3D4</t>
  </si>
  <si>
    <t>O00116</t>
  </si>
  <si>
    <t>O00124-3</t>
  </si>
  <si>
    <t>O00139-1</t>
  </si>
  <si>
    <t>O00139-2</t>
  </si>
  <si>
    <t>O00148</t>
  </si>
  <si>
    <t>O00151</t>
  </si>
  <si>
    <t>O00154-4</t>
  </si>
  <si>
    <t>O00159</t>
  </si>
  <si>
    <t>O00161</t>
  </si>
  <si>
    <t>O00165-5</t>
  </si>
  <si>
    <t>O00170</t>
  </si>
  <si>
    <t>O00178</t>
  </si>
  <si>
    <t>O00180</t>
  </si>
  <si>
    <t>O00186</t>
  </si>
  <si>
    <t>O00203</t>
  </si>
  <si>
    <t>O00214-2</t>
  </si>
  <si>
    <t>O00217</t>
  </si>
  <si>
    <t>O00220</t>
  </si>
  <si>
    <t>O00221</t>
  </si>
  <si>
    <t>O00231</t>
  </si>
  <si>
    <t>O00232</t>
  </si>
  <si>
    <t>O00244</t>
  </si>
  <si>
    <t>O00264</t>
  </si>
  <si>
    <t>O00267-2</t>
  </si>
  <si>
    <t>O00273</t>
  </si>
  <si>
    <t>O00273-2</t>
  </si>
  <si>
    <t>O00287</t>
  </si>
  <si>
    <t>O00291</t>
  </si>
  <si>
    <t>O00299</t>
  </si>
  <si>
    <t>O00308</t>
  </si>
  <si>
    <t>O00325</t>
  </si>
  <si>
    <t>O00399</t>
  </si>
  <si>
    <t>O00400</t>
  </si>
  <si>
    <t>O00401</t>
  </si>
  <si>
    <t>O00410</t>
  </si>
  <si>
    <t>O00418</t>
  </si>
  <si>
    <t>O00422</t>
  </si>
  <si>
    <t>O00425</t>
  </si>
  <si>
    <t>O00429-3</t>
  </si>
  <si>
    <t>O00429-4</t>
  </si>
  <si>
    <t>O00442</t>
  </si>
  <si>
    <t>O00459</t>
  </si>
  <si>
    <t>O00461</t>
  </si>
  <si>
    <t>O00462</t>
  </si>
  <si>
    <t>O00468-2</t>
  </si>
  <si>
    <t>O00471</t>
  </si>
  <si>
    <t>O00479</t>
  </si>
  <si>
    <t>O00483</t>
  </si>
  <si>
    <t>O00487</t>
  </si>
  <si>
    <t>O00488</t>
  </si>
  <si>
    <t>O00505</t>
  </si>
  <si>
    <t>O00506</t>
  </si>
  <si>
    <t>O00512</t>
  </si>
  <si>
    <t>O00522</t>
  </si>
  <si>
    <t>O00560</t>
  </si>
  <si>
    <t>O00562-2</t>
  </si>
  <si>
    <t>O00566</t>
  </si>
  <si>
    <t>O00567</t>
  </si>
  <si>
    <t>O00571</t>
  </si>
  <si>
    <t>O00625</t>
  </si>
  <si>
    <t>O00629</t>
  </si>
  <si>
    <t>O00635</t>
  </si>
  <si>
    <t>O00743</t>
  </si>
  <si>
    <t>O00748</t>
  </si>
  <si>
    <t>O00754-2</t>
  </si>
  <si>
    <t>O00764</t>
  </si>
  <si>
    <t>O00764-3</t>
  </si>
  <si>
    <t>O00767</t>
  </si>
  <si>
    <t>O14497</t>
  </si>
  <si>
    <t>O14503</t>
  </si>
  <si>
    <t>O14508</t>
  </si>
  <si>
    <t>O14519-2</t>
  </si>
  <si>
    <t>O14523</t>
  </si>
  <si>
    <t>O14524-2</t>
  </si>
  <si>
    <t>O14545</t>
  </si>
  <si>
    <t>O14548</t>
  </si>
  <si>
    <t>O14561</t>
  </si>
  <si>
    <t>O14578</t>
  </si>
  <si>
    <t>O14613</t>
  </si>
  <si>
    <t>O14617</t>
  </si>
  <si>
    <t>O14646-2</t>
  </si>
  <si>
    <t>O14656</t>
  </si>
  <si>
    <t>O14657</t>
  </si>
  <si>
    <t>O14662-2</t>
  </si>
  <si>
    <t>O14672</t>
  </si>
  <si>
    <t>O14686</t>
  </si>
  <si>
    <t>O14733-3</t>
  </si>
  <si>
    <t>O14734</t>
  </si>
  <si>
    <t>O14737</t>
  </si>
  <si>
    <t>O14744</t>
  </si>
  <si>
    <t>O14745</t>
  </si>
  <si>
    <t>O14757</t>
  </si>
  <si>
    <t>O14763-2</t>
  </si>
  <si>
    <t>O14772-2</t>
  </si>
  <si>
    <t>O14773</t>
  </si>
  <si>
    <t>O14776-2</t>
  </si>
  <si>
    <t>O14777</t>
  </si>
  <si>
    <t>O14787-2</t>
  </si>
  <si>
    <t>O14802</t>
  </si>
  <si>
    <t>O14818</t>
  </si>
  <si>
    <t>O14828</t>
  </si>
  <si>
    <t>O14841</t>
  </si>
  <si>
    <t>O14867</t>
  </si>
  <si>
    <t>O14893-2</t>
  </si>
  <si>
    <t>O14908</t>
  </si>
  <si>
    <t>O14920</t>
  </si>
  <si>
    <t>O14925</t>
  </si>
  <si>
    <t>O14929</t>
  </si>
  <si>
    <t>O14933</t>
  </si>
  <si>
    <t>O14949</t>
  </si>
  <si>
    <t>O14964</t>
  </si>
  <si>
    <t>O14965</t>
  </si>
  <si>
    <t>O14974-4</t>
  </si>
  <si>
    <t>O14975-2</t>
  </si>
  <si>
    <t>O14976</t>
  </si>
  <si>
    <t>O14979-3</t>
  </si>
  <si>
    <t>O14980</t>
  </si>
  <si>
    <t>O14981</t>
  </si>
  <si>
    <t>O15014</t>
  </si>
  <si>
    <t>O15020-2</t>
  </si>
  <si>
    <t>O15031</t>
  </si>
  <si>
    <t>O15037</t>
  </si>
  <si>
    <t>O15047</t>
  </si>
  <si>
    <t>O15056</t>
  </si>
  <si>
    <t>O15066</t>
  </si>
  <si>
    <t>O15067</t>
  </si>
  <si>
    <t>O15084</t>
  </si>
  <si>
    <t>O15085</t>
  </si>
  <si>
    <t>O15091-4</t>
  </si>
  <si>
    <t>O15111</t>
  </si>
  <si>
    <t>O15116</t>
  </si>
  <si>
    <t>O15118</t>
  </si>
  <si>
    <t>O15120</t>
  </si>
  <si>
    <t>O15121</t>
  </si>
  <si>
    <t>O15126</t>
  </si>
  <si>
    <t>O15127</t>
  </si>
  <si>
    <t>O15143</t>
  </si>
  <si>
    <t>O15144</t>
  </si>
  <si>
    <t>O15145</t>
  </si>
  <si>
    <t>O15156</t>
  </si>
  <si>
    <t>O15160</t>
  </si>
  <si>
    <t>O15164-2</t>
  </si>
  <si>
    <t>O15169-2</t>
  </si>
  <si>
    <t>O15173</t>
  </si>
  <si>
    <t>O15212</t>
  </si>
  <si>
    <t>O15226</t>
  </si>
  <si>
    <t>O15228</t>
  </si>
  <si>
    <t>O15234</t>
  </si>
  <si>
    <t>O15235</t>
  </si>
  <si>
    <t>O15240</t>
  </si>
  <si>
    <t>O15247</t>
  </si>
  <si>
    <t>O15258</t>
  </si>
  <si>
    <t>O15269</t>
  </si>
  <si>
    <t>O15270</t>
  </si>
  <si>
    <t>O15294-3</t>
  </si>
  <si>
    <t>O15305</t>
  </si>
  <si>
    <t>O15347</t>
  </si>
  <si>
    <t>O15355</t>
  </si>
  <si>
    <t>O15357</t>
  </si>
  <si>
    <t>O15379</t>
  </si>
  <si>
    <t>O15381-2</t>
  </si>
  <si>
    <t>O15382</t>
  </si>
  <si>
    <t>O15391</t>
  </si>
  <si>
    <t>O15397</t>
  </si>
  <si>
    <t>O15400-2</t>
  </si>
  <si>
    <t>O15439-2</t>
  </si>
  <si>
    <t>O15446</t>
  </si>
  <si>
    <t>O15453</t>
  </si>
  <si>
    <t>O15460-2</t>
  </si>
  <si>
    <t>O15479</t>
  </si>
  <si>
    <t>O15498</t>
  </si>
  <si>
    <t>O15511</t>
  </si>
  <si>
    <t>O15514</t>
  </si>
  <si>
    <t>O15541</t>
  </si>
  <si>
    <t>O43143</t>
  </si>
  <si>
    <t>O43148</t>
  </si>
  <si>
    <t>O43149</t>
  </si>
  <si>
    <t>O43156</t>
  </si>
  <si>
    <t>O43164-2</t>
  </si>
  <si>
    <t>O43172-2</t>
  </si>
  <si>
    <t>O43175</t>
  </si>
  <si>
    <t>O43181</t>
  </si>
  <si>
    <t>O43182-4</t>
  </si>
  <si>
    <t>O43237</t>
  </si>
  <si>
    <t>O43242</t>
  </si>
  <si>
    <t>O43252</t>
  </si>
  <si>
    <t>O43257</t>
  </si>
  <si>
    <t>O43264</t>
  </si>
  <si>
    <t>O43290</t>
  </si>
  <si>
    <t>O43293</t>
  </si>
  <si>
    <t>O43299</t>
  </si>
  <si>
    <t>O43310</t>
  </si>
  <si>
    <t>O43314-2</t>
  </si>
  <si>
    <t>O43318</t>
  </si>
  <si>
    <t>O43353</t>
  </si>
  <si>
    <t>O43379</t>
  </si>
  <si>
    <t>O43390</t>
  </si>
  <si>
    <t>O43395</t>
  </si>
  <si>
    <t>O43396</t>
  </si>
  <si>
    <t>O43399</t>
  </si>
  <si>
    <t>O43402</t>
  </si>
  <si>
    <t>O43422</t>
  </si>
  <si>
    <t>O43435-3</t>
  </si>
  <si>
    <t>O43447</t>
  </si>
  <si>
    <t>O43464-3</t>
  </si>
  <si>
    <t>O43482</t>
  </si>
  <si>
    <t>O43491</t>
  </si>
  <si>
    <t>O43502</t>
  </si>
  <si>
    <t>O43504</t>
  </si>
  <si>
    <t>O43513</t>
  </si>
  <si>
    <t>O43516</t>
  </si>
  <si>
    <t>O43521-6</t>
  </si>
  <si>
    <t>O43583</t>
  </si>
  <si>
    <t>O43592</t>
  </si>
  <si>
    <t>O43598</t>
  </si>
  <si>
    <t>O43615</t>
  </si>
  <si>
    <t>O43617</t>
  </si>
  <si>
    <t>O43633</t>
  </si>
  <si>
    <t>O43639</t>
  </si>
  <si>
    <t>O43663</t>
  </si>
  <si>
    <t>O43665-2</t>
  </si>
  <si>
    <t>O43677</t>
  </si>
  <si>
    <t>O43678</t>
  </si>
  <si>
    <t>O43681</t>
  </si>
  <si>
    <t>O43684</t>
  </si>
  <si>
    <t>O43707</t>
  </si>
  <si>
    <t>O43709</t>
  </si>
  <si>
    <t>O43715</t>
  </si>
  <si>
    <t>O43719</t>
  </si>
  <si>
    <t>O43734-5</t>
  </si>
  <si>
    <t>O43736-2</t>
  </si>
  <si>
    <t>O43752</t>
  </si>
  <si>
    <t>O43760</t>
  </si>
  <si>
    <t>O43765</t>
  </si>
  <si>
    <t>O43766-2</t>
  </si>
  <si>
    <t>O43768-2</t>
  </si>
  <si>
    <t>O43772</t>
  </si>
  <si>
    <t>O43776</t>
  </si>
  <si>
    <t>O43805</t>
  </si>
  <si>
    <t>O43809</t>
  </si>
  <si>
    <t>O43813</t>
  </si>
  <si>
    <t>O43815</t>
  </si>
  <si>
    <t>O43818</t>
  </si>
  <si>
    <t>O43819</t>
  </si>
  <si>
    <t>O43820-4</t>
  </si>
  <si>
    <t>O43823</t>
  </si>
  <si>
    <t>O43824</t>
  </si>
  <si>
    <t>O43826</t>
  </si>
  <si>
    <t>O43829</t>
  </si>
  <si>
    <t>O43837</t>
  </si>
  <si>
    <t>O43852</t>
  </si>
  <si>
    <t>O43865</t>
  </si>
  <si>
    <t>O43896</t>
  </si>
  <si>
    <t>O43913</t>
  </si>
  <si>
    <t>O43920</t>
  </si>
  <si>
    <t>O43924</t>
  </si>
  <si>
    <t>O43930</t>
  </si>
  <si>
    <t>O43933</t>
  </si>
  <si>
    <t>O60216</t>
  </si>
  <si>
    <t>O60220</t>
  </si>
  <si>
    <t>O60231</t>
  </si>
  <si>
    <t>O60234</t>
  </si>
  <si>
    <t>O60239</t>
  </si>
  <si>
    <t>O60244</t>
  </si>
  <si>
    <t>O60256</t>
  </si>
  <si>
    <t>O60264</t>
  </si>
  <si>
    <t>O60271-4</t>
  </si>
  <si>
    <t>O60293-2</t>
  </si>
  <si>
    <t>O60294</t>
  </si>
  <si>
    <t>O60306</t>
  </si>
  <si>
    <t>O60307</t>
  </si>
  <si>
    <t>O60313-2</t>
  </si>
  <si>
    <t>O60315-2</t>
  </si>
  <si>
    <t>O60333-2</t>
  </si>
  <si>
    <t>O60337-5</t>
  </si>
  <si>
    <t>O60341</t>
  </si>
  <si>
    <t>O60343-2</t>
  </si>
  <si>
    <t>O60344-4</t>
  </si>
  <si>
    <t>O60427</t>
  </si>
  <si>
    <t>O60476</t>
  </si>
  <si>
    <t>O60488-2</t>
  </si>
  <si>
    <t>O60493</t>
  </si>
  <si>
    <t>O60502</t>
  </si>
  <si>
    <t>O60506-3</t>
  </si>
  <si>
    <t>O60512</t>
  </si>
  <si>
    <t>O60518</t>
  </si>
  <si>
    <t>O60524-4</t>
  </si>
  <si>
    <t>O60547-2</t>
  </si>
  <si>
    <t>O60563</t>
  </si>
  <si>
    <t>O60566</t>
  </si>
  <si>
    <t>O60568</t>
  </si>
  <si>
    <t>O60583-2</t>
  </si>
  <si>
    <t>O60613</t>
  </si>
  <si>
    <t>O60645-3</t>
  </si>
  <si>
    <t>O60664</t>
  </si>
  <si>
    <t>O60671</t>
  </si>
  <si>
    <t>O60678</t>
  </si>
  <si>
    <t>O60701</t>
  </si>
  <si>
    <t>O60704</t>
  </si>
  <si>
    <t>O60716-5</t>
  </si>
  <si>
    <t>O60732</t>
  </si>
  <si>
    <t>O60739</t>
  </si>
  <si>
    <t>O60749</t>
  </si>
  <si>
    <t>O60763</t>
  </si>
  <si>
    <t>O60826</t>
  </si>
  <si>
    <t>O60828</t>
  </si>
  <si>
    <t>O60829</t>
  </si>
  <si>
    <t>O60830</t>
  </si>
  <si>
    <t>O60832</t>
  </si>
  <si>
    <t>O60841</t>
  </si>
  <si>
    <t>O60869</t>
  </si>
  <si>
    <t>O60870</t>
  </si>
  <si>
    <t>O60884</t>
  </si>
  <si>
    <t>O60885</t>
  </si>
  <si>
    <t>O60888-3</t>
  </si>
  <si>
    <t>O60906</t>
  </si>
  <si>
    <t>O60907-2</t>
  </si>
  <si>
    <t>O60911</t>
  </si>
  <si>
    <t>O60925</t>
  </si>
  <si>
    <t>O60927</t>
  </si>
  <si>
    <t>O60930</t>
  </si>
  <si>
    <t>O60934</t>
  </si>
  <si>
    <t>O60942</t>
  </si>
  <si>
    <t>O75027</t>
  </si>
  <si>
    <t>O75044</t>
  </si>
  <si>
    <t>O75054</t>
  </si>
  <si>
    <t>O75061-4</t>
  </si>
  <si>
    <t>O75063</t>
  </si>
  <si>
    <t>O75083</t>
  </si>
  <si>
    <t>O75113</t>
  </si>
  <si>
    <t>O75116</t>
  </si>
  <si>
    <t>O75131</t>
  </si>
  <si>
    <t>O75143-3</t>
  </si>
  <si>
    <t>O75145-2</t>
  </si>
  <si>
    <t>O75146</t>
  </si>
  <si>
    <t>O75150</t>
  </si>
  <si>
    <t>O75152</t>
  </si>
  <si>
    <t>O75153</t>
  </si>
  <si>
    <t>O75155</t>
  </si>
  <si>
    <t>O75157-2</t>
  </si>
  <si>
    <t>O75165</t>
  </si>
  <si>
    <t>O75170-2</t>
  </si>
  <si>
    <t>O75175</t>
  </si>
  <si>
    <t>O75179-2</t>
  </si>
  <si>
    <t>O75191</t>
  </si>
  <si>
    <t>O75208</t>
  </si>
  <si>
    <t>O75223</t>
  </si>
  <si>
    <t>O75306</t>
  </si>
  <si>
    <t>O75312</t>
  </si>
  <si>
    <t>O75323</t>
  </si>
  <si>
    <t>O75330-2</t>
  </si>
  <si>
    <t>O75340</t>
  </si>
  <si>
    <t>O75347</t>
  </si>
  <si>
    <t>O75348</t>
  </si>
  <si>
    <t>O75351</t>
  </si>
  <si>
    <t>O75362</t>
  </si>
  <si>
    <t>O75365-2</t>
  </si>
  <si>
    <t>O75368</t>
  </si>
  <si>
    <t>O75369-8</t>
  </si>
  <si>
    <t>O75376</t>
  </si>
  <si>
    <t>O75379</t>
  </si>
  <si>
    <t>O75380</t>
  </si>
  <si>
    <t>O75381-2</t>
  </si>
  <si>
    <t>O75386</t>
  </si>
  <si>
    <t>O75387</t>
  </si>
  <si>
    <t>O75391</t>
  </si>
  <si>
    <t>O75396</t>
  </si>
  <si>
    <t>O75400</t>
  </si>
  <si>
    <t>O75419-2</t>
  </si>
  <si>
    <t>O75420</t>
  </si>
  <si>
    <t>O75427</t>
  </si>
  <si>
    <t>O75436</t>
  </si>
  <si>
    <t>O75438</t>
  </si>
  <si>
    <t>O75439</t>
  </si>
  <si>
    <t>O75446</t>
  </si>
  <si>
    <t>O75449</t>
  </si>
  <si>
    <t>O75452</t>
  </si>
  <si>
    <t>O75459</t>
  </si>
  <si>
    <t>O75475</t>
  </si>
  <si>
    <t>O75477</t>
  </si>
  <si>
    <t>O75489</t>
  </si>
  <si>
    <t>O75503</t>
  </si>
  <si>
    <t>O75506</t>
  </si>
  <si>
    <t>O75521-2</t>
  </si>
  <si>
    <t>O75528</t>
  </si>
  <si>
    <t>O75530-3</t>
  </si>
  <si>
    <t>O75531</t>
  </si>
  <si>
    <t>O75533</t>
  </si>
  <si>
    <t>O75534</t>
  </si>
  <si>
    <t>O75554</t>
  </si>
  <si>
    <t>O75570</t>
  </si>
  <si>
    <t>O75600</t>
  </si>
  <si>
    <t>O75607</t>
  </si>
  <si>
    <t>O75608-2</t>
  </si>
  <si>
    <t>O75616</t>
  </si>
  <si>
    <t>O75629</t>
  </si>
  <si>
    <t>O75635-2</t>
  </si>
  <si>
    <t>O75643</t>
  </si>
  <si>
    <t>O75648</t>
  </si>
  <si>
    <t>O75663</t>
  </si>
  <si>
    <t>O75688</t>
  </si>
  <si>
    <t>O75691</t>
  </si>
  <si>
    <t>O75695</t>
  </si>
  <si>
    <t>O75717</t>
  </si>
  <si>
    <t>O75746</t>
  </si>
  <si>
    <t>O75781</t>
  </si>
  <si>
    <t>O75791</t>
  </si>
  <si>
    <t>O75792</t>
  </si>
  <si>
    <t>O75794</t>
  </si>
  <si>
    <t>O75818-2</t>
  </si>
  <si>
    <t>O75821</t>
  </si>
  <si>
    <t>O75822</t>
  </si>
  <si>
    <t>O75828</t>
  </si>
  <si>
    <t>O75844</t>
  </si>
  <si>
    <t>O75874</t>
  </si>
  <si>
    <t>O75882-3</t>
  </si>
  <si>
    <t>O75886</t>
  </si>
  <si>
    <t>O75896</t>
  </si>
  <si>
    <t>O75909</t>
  </si>
  <si>
    <t>O75911</t>
  </si>
  <si>
    <t>O75915</t>
  </si>
  <si>
    <t>O75923-15</t>
  </si>
  <si>
    <t>O75928-2</t>
  </si>
  <si>
    <t>O75934</t>
  </si>
  <si>
    <t>O75935-3</t>
  </si>
  <si>
    <t>O75937</t>
  </si>
  <si>
    <t>O75940</t>
  </si>
  <si>
    <t>O75943-4</t>
  </si>
  <si>
    <t>O75947</t>
  </si>
  <si>
    <t>O75955</t>
  </si>
  <si>
    <t>O75964</t>
  </si>
  <si>
    <t>O75976</t>
  </si>
  <si>
    <t>O76003</t>
  </si>
  <si>
    <t>O76031</t>
  </si>
  <si>
    <t>O76041-2</t>
  </si>
  <si>
    <t>O76070</t>
  </si>
  <si>
    <t>O76071</t>
  </si>
  <si>
    <t>O76075-2</t>
  </si>
  <si>
    <t>O76080</t>
  </si>
  <si>
    <t>O76094</t>
  </si>
  <si>
    <t>O76095-2</t>
  </si>
  <si>
    <t>O94761</t>
  </si>
  <si>
    <t>O94762</t>
  </si>
  <si>
    <t>O94763</t>
  </si>
  <si>
    <t>O94766</t>
  </si>
  <si>
    <t>O94776</t>
  </si>
  <si>
    <t>O94782</t>
  </si>
  <si>
    <t>O94788</t>
  </si>
  <si>
    <t>O94804</t>
  </si>
  <si>
    <t>O94822</t>
  </si>
  <si>
    <t>O94826</t>
  </si>
  <si>
    <t>O94829</t>
  </si>
  <si>
    <t>O94830</t>
  </si>
  <si>
    <t>O94832</t>
  </si>
  <si>
    <t>O94851-5</t>
  </si>
  <si>
    <t>O94854-2</t>
  </si>
  <si>
    <t>O94855</t>
  </si>
  <si>
    <t>O94864-2</t>
  </si>
  <si>
    <t>O94874</t>
  </si>
  <si>
    <t>O94880</t>
  </si>
  <si>
    <t>O94885</t>
  </si>
  <si>
    <t>O94886</t>
  </si>
  <si>
    <t>O94888</t>
  </si>
  <si>
    <t>O94889</t>
  </si>
  <si>
    <t>O94898</t>
  </si>
  <si>
    <t>O94903</t>
  </si>
  <si>
    <t>O94905</t>
  </si>
  <si>
    <t>O94906-2</t>
  </si>
  <si>
    <t>O94913</t>
  </si>
  <si>
    <t>O94916</t>
  </si>
  <si>
    <t>O94919</t>
  </si>
  <si>
    <t>O94925-3</t>
  </si>
  <si>
    <t>O94927</t>
  </si>
  <si>
    <t>O94941-2</t>
  </si>
  <si>
    <t>O94966-7</t>
  </si>
  <si>
    <t>O94973</t>
  </si>
  <si>
    <t>O94992</t>
  </si>
  <si>
    <t>O95059</t>
  </si>
  <si>
    <t>O95067</t>
  </si>
  <si>
    <t>O95081</t>
  </si>
  <si>
    <t>O95104-3</t>
  </si>
  <si>
    <t>O95139</t>
  </si>
  <si>
    <t>O95140</t>
  </si>
  <si>
    <t>O95155-2</t>
  </si>
  <si>
    <t>O95159</t>
  </si>
  <si>
    <t>O95163</t>
  </si>
  <si>
    <t>O95167</t>
  </si>
  <si>
    <t>O95168</t>
  </si>
  <si>
    <t>O95182</t>
  </si>
  <si>
    <t>O95197-2</t>
  </si>
  <si>
    <t>O95202</t>
  </si>
  <si>
    <t>O95218-2</t>
  </si>
  <si>
    <t>O95219</t>
  </si>
  <si>
    <t>O95229</t>
  </si>
  <si>
    <t>O95231</t>
  </si>
  <si>
    <t>O95232</t>
  </si>
  <si>
    <t>O95239</t>
  </si>
  <si>
    <t>O95251-2</t>
  </si>
  <si>
    <t>O95273</t>
  </si>
  <si>
    <t>O95292</t>
  </si>
  <si>
    <t>O95295</t>
  </si>
  <si>
    <t>O95297-2</t>
  </si>
  <si>
    <t>O95298-2</t>
  </si>
  <si>
    <t>O95302</t>
  </si>
  <si>
    <t>O95336</t>
  </si>
  <si>
    <t>O95347</t>
  </si>
  <si>
    <t>O95352</t>
  </si>
  <si>
    <t>O95363</t>
  </si>
  <si>
    <t>O95365</t>
  </si>
  <si>
    <t>O95372</t>
  </si>
  <si>
    <t>O95373</t>
  </si>
  <si>
    <t>O95376</t>
  </si>
  <si>
    <t>O95391</t>
  </si>
  <si>
    <t>O95394</t>
  </si>
  <si>
    <t>O95396</t>
  </si>
  <si>
    <t>O95400</t>
  </si>
  <si>
    <t>O95402</t>
  </si>
  <si>
    <t>O95405-2</t>
  </si>
  <si>
    <t>O95429-2</t>
  </si>
  <si>
    <t>O95433</t>
  </si>
  <si>
    <t>O95453-2</t>
  </si>
  <si>
    <t>O95455</t>
  </si>
  <si>
    <t>O95456-2</t>
  </si>
  <si>
    <t>O95466-2</t>
  </si>
  <si>
    <t>O95470</t>
  </si>
  <si>
    <t>O95486</t>
  </si>
  <si>
    <t>O95487-2</t>
  </si>
  <si>
    <t>O95544</t>
  </si>
  <si>
    <t>O95551</t>
  </si>
  <si>
    <t>O95571</t>
  </si>
  <si>
    <t>O95573</t>
  </si>
  <si>
    <t>O95602</t>
  </si>
  <si>
    <t>O95613-2</t>
  </si>
  <si>
    <t>O95619</t>
  </si>
  <si>
    <t>O95620</t>
  </si>
  <si>
    <t>O95628-3</t>
  </si>
  <si>
    <t>O95630</t>
  </si>
  <si>
    <t>O95639-3</t>
  </si>
  <si>
    <t>O95671-2</t>
  </si>
  <si>
    <t>O95684</t>
  </si>
  <si>
    <t>O95685</t>
  </si>
  <si>
    <t>O95716</t>
  </si>
  <si>
    <t>O95721</t>
  </si>
  <si>
    <t>O95747</t>
  </si>
  <si>
    <t>O95749</t>
  </si>
  <si>
    <t>O95758-1</t>
  </si>
  <si>
    <t>O95777</t>
  </si>
  <si>
    <t>O95782-2</t>
  </si>
  <si>
    <t>O95801</t>
  </si>
  <si>
    <t>O95807</t>
  </si>
  <si>
    <t>O95810</t>
  </si>
  <si>
    <t>O95816</t>
  </si>
  <si>
    <t>O95817</t>
  </si>
  <si>
    <t>O95825</t>
  </si>
  <si>
    <t>O95831-3</t>
  </si>
  <si>
    <t>O95834</t>
  </si>
  <si>
    <t>O95835</t>
  </si>
  <si>
    <t>O95848</t>
  </si>
  <si>
    <t>O95857</t>
  </si>
  <si>
    <t>O95865</t>
  </si>
  <si>
    <t>O95873</t>
  </si>
  <si>
    <t>O95881</t>
  </si>
  <si>
    <t>O95905</t>
  </si>
  <si>
    <t>O95926</t>
  </si>
  <si>
    <t>O95983-2</t>
  </si>
  <si>
    <t>O95985</t>
  </si>
  <si>
    <t>O95989</t>
  </si>
  <si>
    <t>O95997</t>
  </si>
  <si>
    <t>O95999</t>
  </si>
  <si>
    <t>O96000</t>
  </si>
  <si>
    <t>O96007</t>
  </si>
  <si>
    <t>O96008</t>
  </si>
  <si>
    <t>O96011-2</t>
  </si>
  <si>
    <t>O96013</t>
  </si>
  <si>
    <t>O96017</t>
  </si>
  <si>
    <t>O96019</t>
  </si>
  <si>
    <t>O96033</t>
  </si>
  <si>
    <t>P00167-2</t>
  </si>
  <si>
    <t>P00338</t>
  </si>
  <si>
    <t>P00352</t>
  </si>
  <si>
    <t>P00367</t>
  </si>
  <si>
    <t>P00374</t>
  </si>
  <si>
    <t>P00387-2</t>
  </si>
  <si>
    <t>P00390-5</t>
  </si>
  <si>
    <t>P00403</t>
  </si>
  <si>
    <t>P00441</t>
  </si>
  <si>
    <t>P00491</t>
  </si>
  <si>
    <t>P00492</t>
  </si>
  <si>
    <t>P00505</t>
  </si>
  <si>
    <t>P00519</t>
  </si>
  <si>
    <t>P00558</t>
  </si>
  <si>
    <t>P01034</t>
  </si>
  <si>
    <t>P01111</t>
  </si>
  <si>
    <t>P01112</t>
  </si>
  <si>
    <t>P01116-2</t>
  </si>
  <si>
    <t>P01137</t>
  </si>
  <si>
    <t>P02008</t>
  </si>
  <si>
    <t>P02042</t>
  </si>
  <si>
    <t>P02100</t>
  </si>
  <si>
    <t>P02545</t>
  </si>
  <si>
    <t>P02545-2</t>
  </si>
  <si>
    <t>P02549</t>
  </si>
  <si>
    <t>P02649</t>
  </si>
  <si>
    <t>P02730</t>
  </si>
  <si>
    <t>P02786</t>
  </si>
  <si>
    <t>P02792</t>
  </si>
  <si>
    <t>P02794</t>
  </si>
  <si>
    <t>P03928</t>
  </si>
  <si>
    <t>P04035</t>
  </si>
  <si>
    <t>P04040</t>
  </si>
  <si>
    <t>P04066</t>
  </si>
  <si>
    <t>P04075</t>
  </si>
  <si>
    <t>P04080</t>
  </si>
  <si>
    <t>P04083</t>
  </si>
  <si>
    <t>P04114</t>
  </si>
  <si>
    <t>P04150-7</t>
  </si>
  <si>
    <t>P04181</t>
  </si>
  <si>
    <t>P04183</t>
  </si>
  <si>
    <t>P04350</t>
  </si>
  <si>
    <t>P04406</t>
  </si>
  <si>
    <t>P04406-2</t>
  </si>
  <si>
    <t>P04424-2</t>
  </si>
  <si>
    <t>P04632</t>
  </si>
  <si>
    <t>P04792</t>
  </si>
  <si>
    <t>P04818</t>
  </si>
  <si>
    <t>P04843</t>
  </si>
  <si>
    <t>P04844-2</t>
  </si>
  <si>
    <t>P04899</t>
  </si>
  <si>
    <t>P04920-2</t>
  </si>
  <si>
    <t>P04921-2</t>
  </si>
  <si>
    <t>P05023-4</t>
  </si>
  <si>
    <t>P05091</t>
  </si>
  <si>
    <t>P05114</t>
  </si>
  <si>
    <t>P05141</t>
  </si>
  <si>
    <t>P05161</t>
  </si>
  <si>
    <t>P05165-3</t>
  </si>
  <si>
    <t>P05198</t>
  </si>
  <si>
    <t>P05204</t>
  </si>
  <si>
    <t>P05362</t>
  </si>
  <si>
    <t>P05386</t>
  </si>
  <si>
    <t>P05387</t>
  </si>
  <si>
    <t>P05388</t>
  </si>
  <si>
    <t>P05412</t>
  </si>
  <si>
    <t>P05423</t>
  </si>
  <si>
    <t>P05455</t>
  </si>
  <si>
    <t>P05556</t>
  </si>
  <si>
    <t>P05771-2</t>
  </si>
  <si>
    <t>P05783</t>
  </si>
  <si>
    <t>P05937</t>
  </si>
  <si>
    <t>P06132</t>
  </si>
  <si>
    <t>P06280</t>
  </si>
  <si>
    <t>P06400</t>
  </si>
  <si>
    <t>P06493</t>
  </si>
  <si>
    <t>P06576</t>
  </si>
  <si>
    <t>P06733</t>
  </si>
  <si>
    <t>P06733-2</t>
  </si>
  <si>
    <t>P06744</t>
  </si>
  <si>
    <t>P06748</t>
  </si>
  <si>
    <t>P06753-2</t>
  </si>
  <si>
    <t>P06753-3</t>
  </si>
  <si>
    <t>P06756-3</t>
  </si>
  <si>
    <t>P07099</t>
  </si>
  <si>
    <t>P07108</t>
  </si>
  <si>
    <t>P07195</t>
  </si>
  <si>
    <t>P07225</t>
  </si>
  <si>
    <t>P07237</t>
  </si>
  <si>
    <t>P07339</t>
  </si>
  <si>
    <t>P07355</t>
  </si>
  <si>
    <t>P07384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</si>
  <si>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</si>
  <si>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</si>
  <si>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</si>
  <si>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</si>
  <si>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</si>
  <si>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</si>
  <si>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</si>
  <si>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</si>
  <si>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</si>
  <si>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P07919</t>
  </si>
  <si>
    <t>P07948</t>
  </si>
  <si>
    <t>P07948-2</t>
  </si>
  <si>
    <t>P07954-2</t>
  </si>
  <si>
    <t>P08047</t>
  </si>
  <si>
    <t>P08107</t>
  </si>
  <si>
    <t>P08123</t>
  </si>
  <si>
    <t>P08133-2</t>
  </si>
  <si>
    <t>P08237</t>
  </si>
  <si>
    <t>P08238</t>
  </si>
  <si>
    <t>P08240</t>
  </si>
  <si>
    <t>P08243-2</t>
  </si>
  <si>
    <t>P08397-2</t>
  </si>
  <si>
    <t>P08559-3</t>
  </si>
  <si>
    <t>P08574</t>
  </si>
  <si>
    <t>P08579</t>
  </si>
  <si>
    <t>P08590</t>
  </si>
  <si>
    <t>P08603</t>
  </si>
  <si>
    <t>P08621</t>
  </si>
  <si>
    <t>P08648</t>
  </si>
  <si>
    <t>P08651-4</t>
  </si>
  <si>
    <t>P08670</t>
  </si>
  <si>
    <t>P08754</t>
  </si>
  <si>
    <t>P08758</t>
  </si>
  <si>
    <t>P09012</t>
  </si>
  <si>
    <t>P09038-2</t>
  </si>
  <si>
    <t>P09104</t>
  </si>
  <si>
    <t>P09105</t>
  </si>
  <si>
    <t>P09110</t>
  </si>
  <si>
    <t>P09132</t>
  </si>
  <si>
    <t>P09211</t>
  </si>
  <si>
    <t>P09234</t>
  </si>
  <si>
    <t>P09382</t>
  </si>
  <si>
    <t>P09417</t>
  </si>
  <si>
    <t>P09429</t>
  </si>
  <si>
    <t>P09496-2</t>
  </si>
  <si>
    <t>P09497-2</t>
  </si>
  <si>
    <t>P09525</t>
  </si>
  <si>
    <t>P09543-2</t>
  </si>
  <si>
    <t>P09622</t>
  </si>
  <si>
    <t>P09661</t>
  </si>
  <si>
    <t>P09668</t>
  </si>
  <si>
    <t>P09669</t>
  </si>
  <si>
    <t>P09874</t>
  </si>
  <si>
    <t>P09960</t>
  </si>
  <si>
    <t>P09972</t>
  </si>
  <si>
    <t>P0C2W1</t>
  </si>
  <si>
    <t>P0C7P0</t>
  </si>
  <si>
    <t>P0C7P4</t>
  </si>
  <si>
    <t>P0C7T5</t>
  </si>
  <si>
    <t>P0CG12</t>
  </si>
  <si>
    <t>P0CW22</t>
  </si>
  <si>
    <t>P0DJ93</t>
  </si>
  <si>
    <t>P10109</t>
  </si>
  <si>
    <t>P10114</t>
  </si>
  <si>
    <t>P10124</t>
  </si>
  <si>
    <t>P10155</t>
  </si>
  <si>
    <t>P10244</t>
  </si>
  <si>
    <t>P10301</t>
  </si>
  <si>
    <t>P10398</t>
  </si>
  <si>
    <t>P10412</t>
  </si>
  <si>
    <t>P10586-2</t>
  </si>
  <si>
    <t>P10588</t>
  </si>
  <si>
    <t>P10599</t>
  </si>
  <si>
    <t>P10606</t>
  </si>
  <si>
    <t>P10619</t>
  </si>
  <si>
    <t>P10644</t>
  </si>
  <si>
    <t>P10746</t>
  </si>
  <si>
    <t>P10768</t>
  </si>
  <si>
    <t>P10809</t>
  </si>
  <si>
    <t>P11021</t>
  </si>
  <si>
    <t>P11142</t>
  </si>
  <si>
    <t>P11166</t>
  </si>
  <si>
    <t>P11169</t>
  </si>
  <si>
    <t>P11171</t>
  </si>
  <si>
    <t>P11171-4</t>
  </si>
  <si>
    <t>P11172</t>
  </si>
  <si>
    <t>P11177-3</t>
  </si>
  <si>
    <t>P11182</t>
  </si>
  <si>
    <t>P11233</t>
  </si>
  <si>
    <t>P11234</t>
  </si>
  <si>
    <t>P11274-2</t>
  </si>
  <si>
    <t>P11277-3</t>
  </si>
  <si>
    <t>P11279</t>
  </si>
  <si>
    <t>P11387</t>
  </si>
  <si>
    <t>P11388</t>
  </si>
  <si>
    <t>P11413</t>
  </si>
  <si>
    <t>P11441</t>
  </si>
  <si>
    <t>P11474-2</t>
  </si>
  <si>
    <t>P11498</t>
  </si>
  <si>
    <t>P11717</t>
  </si>
  <si>
    <t>P11766</t>
  </si>
  <si>
    <t>P11802</t>
  </si>
  <si>
    <t>P11908</t>
  </si>
  <si>
    <t>P11940</t>
  </si>
  <si>
    <t>P12004</t>
  </si>
  <si>
    <t>P12081</t>
  </si>
  <si>
    <t>P12235</t>
  </si>
  <si>
    <t>P12236</t>
  </si>
  <si>
    <t>P12270</t>
  </si>
  <si>
    <t>P12277</t>
  </si>
  <si>
    <t>P12318-2</t>
  </si>
  <si>
    <t>P12429</t>
  </si>
  <si>
    <t>P12532</t>
  </si>
  <si>
    <t>P12755</t>
  </si>
  <si>
    <t>P12814-2</t>
  </si>
  <si>
    <t>P12829</t>
  </si>
  <si>
    <t>P12882</t>
  </si>
  <si>
    <t>P12931</t>
  </si>
  <si>
    <t>P12955-3</t>
  </si>
  <si>
    <t>P12956</t>
  </si>
  <si>
    <t>P13010</t>
  </si>
  <si>
    <t>P13056</t>
  </si>
  <si>
    <t>P13073</t>
  </si>
  <si>
    <t>P13196</t>
  </si>
  <si>
    <t>P13224</t>
  </si>
  <si>
    <t>P13284</t>
  </si>
  <si>
    <t>P13473-2</t>
  </si>
  <si>
    <t>P13489</t>
  </si>
  <si>
    <t>P13498</t>
  </si>
  <si>
    <t>P13639</t>
  </si>
  <si>
    <t>P13667</t>
  </si>
  <si>
    <t>P13674-2</t>
  </si>
  <si>
    <t>P13693</t>
  </si>
  <si>
    <t>P13796</t>
  </si>
  <si>
    <t>P13804</t>
  </si>
  <si>
    <t>P13861</t>
  </si>
  <si>
    <t>P13929-2</t>
  </si>
  <si>
    <t>P13984</t>
  </si>
  <si>
    <t>P14174</t>
  </si>
  <si>
    <t>P14209-3</t>
  </si>
  <si>
    <t>P14316-2</t>
  </si>
  <si>
    <t>P14317</t>
  </si>
  <si>
    <t>P14324-2</t>
  </si>
  <si>
    <t>P14415</t>
  </si>
  <si>
    <t>P14550</t>
  </si>
  <si>
    <t>P14618</t>
  </si>
  <si>
    <t>P14618-2</t>
  </si>
  <si>
    <t>P14625</t>
  </si>
  <si>
    <t>P14635</t>
  </si>
  <si>
    <t>P14649</t>
  </si>
  <si>
    <t>P14678-2</t>
  </si>
  <si>
    <t>P14735</t>
  </si>
  <si>
    <t>P14854</t>
  </si>
  <si>
    <t>P14866</t>
  </si>
  <si>
    <t>P14868</t>
  </si>
  <si>
    <t>P14923</t>
  </si>
  <si>
    <t>P14927</t>
  </si>
  <si>
    <t>P15056</t>
  </si>
  <si>
    <t>P15104</t>
  </si>
  <si>
    <t>P15121</t>
  </si>
  <si>
    <t>P15151-3</t>
  </si>
  <si>
    <t>P15153</t>
  </si>
  <si>
    <t>P15170-2</t>
  </si>
  <si>
    <t>P15289-2</t>
  </si>
  <si>
    <t>P15291-2</t>
  </si>
  <si>
    <t>P15311</t>
  </si>
  <si>
    <t>P15374</t>
  </si>
  <si>
    <t>P15407</t>
  </si>
  <si>
    <t>P15529-15</t>
  </si>
  <si>
    <t>P15529-16</t>
  </si>
  <si>
    <t>P15531</t>
  </si>
  <si>
    <t>P15880</t>
  </si>
  <si>
    <t>P15907</t>
  </si>
  <si>
    <t>P15923</t>
  </si>
  <si>
    <t>P15923-2</t>
  </si>
  <si>
    <t>P15927</t>
  </si>
  <si>
    <t>P16150</t>
  </si>
  <si>
    <t>P16152</t>
  </si>
  <si>
    <t>P16157-10</t>
  </si>
  <si>
    <t>P16219</t>
  </si>
  <si>
    <t>P16284-3</t>
  </si>
  <si>
    <t>P16298</t>
  </si>
  <si>
    <t>P16333</t>
  </si>
  <si>
    <t>P16383</t>
  </si>
  <si>
    <t>P16401</t>
  </si>
  <si>
    <t>P16435</t>
  </si>
  <si>
    <t>P16591-3</t>
  </si>
  <si>
    <t>P16615</t>
  </si>
  <si>
    <t>P16930</t>
  </si>
  <si>
    <t>P16949</t>
  </si>
  <si>
    <t>P16989</t>
  </si>
  <si>
    <t>P17017</t>
  </si>
  <si>
    <t>P17028</t>
  </si>
  <si>
    <t>P17036</t>
  </si>
  <si>
    <t>P17039</t>
  </si>
  <si>
    <t>P17050</t>
  </si>
  <si>
    <t>P17066</t>
  </si>
  <si>
    <t>P17096-2</t>
  </si>
  <si>
    <t>P17152</t>
  </si>
  <si>
    <t>P17174</t>
  </si>
  <si>
    <t>P17252</t>
  </si>
  <si>
    <t>P17275</t>
  </si>
  <si>
    <t>P17480</t>
  </si>
  <si>
    <t>P17482</t>
  </si>
  <si>
    <t>P17535</t>
  </si>
  <si>
    <t>P17544-4</t>
  </si>
  <si>
    <t>P17568</t>
  </si>
  <si>
    <t>P17612</t>
  </si>
  <si>
    <t>P17655</t>
  </si>
  <si>
    <t>P17661</t>
  </si>
  <si>
    <t>P17676</t>
  </si>
  <si>
    <t>P17706-2</t>
  </si>
  <si>
    <t>P17707</t>
  </si>
  <si>
    <t>P17812</t>
  </si>
  <si>
    <t>P17844</t>
  </si>
  <si>
    <t>P17858</t>
  </si>
  <si>
    <t>P17987</t>
  </si>
  <si>
    <t>P18031</t>
  </si>
  <si>
    <t>P18074</t>
  </si>
  <si>
    <t>P18084</t>
  </si>
  <si>
    <t>P18085</t>
  </si>
  <si>
    <t>P18124</t>
  </si>
  <si>
    <t>P18146</t>
  </si>
  <si>
    <t>P18206-2</t>
  </si>
  <si>
    <t>P18583-6</t>
  </si>
  <si>
    <t>P18615</t>
  </si>
  <si>
    <t>P18669</t>
  </si>
  <si>
    <t>P18754-2</t>
  </si>
  <si>
    <t>P18846</t>
  </si>
  <si>
    <t>P18859</t>
  </si>
  <si>
    <t>P19174-2</t>
  </si>
  <si>
    <t>P19338</t>
  </si>
  <si>
    <t>P19367-2</t>
  </si>
  <si>
    <t>P19387</t>
  </si>
  <si>
    <t>P19388</t>
  </si>
  <si>
    <t>P19419</t>
  </si>
  <si>
    <t>P19447</t>
  </si>
  <si>
    <t>P19525-2</t>
  </si>
  <si>
    <t>P19532</t>
  </si>
  <si>
    <t>P19623</t>
  </si>
  <si>
    <t>P19784</t>
  </si>
  <si>
    <t>P19838</t>
  </si>
  <si>
    <t>P20020-6</t>
  </si>
  <si>
    <t>P20042</t>
  </si>
  <si>
    <t>P20138-2</t>
  </si>
  <si>
    <t>P20248</t>
  </si>
  <si>
    <t>P20290</t>
  </si>
  <si>
    <t>P20290-2</t>
  </si>
  <si>
    <t>P20333</t>
  </si>
  <si>
    <t>P20336</t>
  </si>
  <si>
    <t>P20338</t>
  </si>
  <si>
    <t>P20340</t>
  </si>
  <si>
    <t>P20340-2</t>
  </si>
  <si>
    <t>P20585</t>
  </si>
  <si>
    <t>P20618</t>
  </si>
  <si>
    <t>P20645</t>
  </si>
  <si>
    <t>P20674</t>
  </si>
  <si>
    <t>P20700</t>
  </si>
  <si>
    <t>P20962</t>
  </si>
  <si>
    <t>P21127-8</t>
  </si>
  <si>
    <t>P21281</t>
  </si>
  <si>
    <t>P21283</t>
  </si>
  <si>
    <t>P21291</t>
  </si>
  <si>
    <t>P21333-2</t>
  </si>
  <si>
    <t>P21359-2</t>
  </si>
  <si>
    <t>P21399</t>
  </si>
  <si>
    <t>P21580</t>
  </si>
  <si>
    <t>P21695-2</t>
  </si>
  <si>
    <t>P21731</t>
  </si>
  <si>
    <t>P21796</t>
  </si>
  <si>
    <t>P21912</t>
  </si>
  <si>
    <t>P21964-2</t>
  </si>
  <si>
    <t>P21980</t>
  </si>
  <si>
    <t>P22033</t>
  </si>
  <si>
    <t>P22059</t>
  </si>
  <si>
    <t>P22102</t>
  </si>
  <si>
    <t>P22234</t>
  </si>
  <si>
    <t>P22307</t>
  </si>
  <si>
    <t>P22307-2</t>
  </si>
  <si>
    <t>P22314</t>
  </si>
  <si>
    <t>P22466</t>
  </si>
  <si>
    <t>P22532</t>
  </si>
  <si>
    <t>P22570</t>
  </si>
  <si>
    <t>P22626-2</t>
  </si>
  <si>
    <t>P22670</t>
  </si>
  <si>
    <t>P22681</t>
  </si>
  <si>
    <t>P22692</t>
  </si>
  <si>
    <t>P22695</t>
  </si>
  <si>
    <t>P22830</t>
  </si>
  <si>
    <t>P23025</t>
  </si>
  <si>
    <t>P23193</t>
  </si>
  <si>
    <t>P23246</t>
  </si>
  <si>
    <t>P23258</t>
  </si>
  <si>
    <t>P23284</t>
  </si>
  <si>
    <t>P23368</t>
  </si>
  <si>
    <t>P23381</t>
  </si>
  <si>
    <t>P23396</t>
  </si>
  <si>
    <t>P23409</t>
  </si>
  <si>
    <t>P23434</t>
  </si>
  <si>
    <t>P23458</t>
  </si>
  <si>
    <t>P23497</t>
  </si>
  <si>
    <t>P23511-2</t>
  </si>
  <si>
    <t>P23526</t>
  </si>
  <si>
    <t>P23528</t>
  </si>
  <si>
    <t>P23634-7</t>
  </si>
  <si>
    <t>P23677</t>
  </si>
  <si>
    <t>P23743</t>
  </si>
  <si>
    <t>P23786</t>
  </si>
  <si>
    <t>P23919</t>
  </si>
  <si>
    <t>P23921</t>
  </si>
  <si>
    <t>P24468</t>
  </si>
  <si>
    <t>P24534</t>
  </si>
  <si>
    <t>P24666</t>
  </si>
  <si>
    <t>P24666-2</t>
  </si>
  <si>
    <t>P24752</t>
  </si>
  <si>
    <t>P24928</t>
  </si>
  <si>
    <t>P25054-2</t>
  </si>
  <si>
    <t>P25098</t>
  </si>
  <si>
    <t>P25116</t>
  </si>
  <si>
    <t>P25205</t>
  </si>
  <si>
    <t>P25398</t>
  </si>
  <si>
    <t>P25490</t>
  </si>
  <si>
    <t>P25685</t>
  </si>
  <si>
    <t>P25705</t>
  </si>
  <si>
    <t>P25774-2</t>
  </si>
  <si>
    <t>P25786</t>
  </si>
  <si>
    <t>P25787</t>
  </si>
  <si>
    <t>P25788-2</t>
  </si>
  <si>
    <t>P25789</t>
  </si>
  <si>
    <t>P25791</t>
  </si>
  <si>
    <t>P25815</t>
  </si>
  <si>
    <t>P26038</t>
  </si>
  <si>
    <t>P26196</t>
  </si>
  <si>
    <t>P26358</t>
  </si>
  <si>
    <t>P26358-2</t>
  </si>
  <si>
    <t>P26368-2</t>
  </si>
  <si>
    <t>P26373</t>
  </si>
  <si>
    <t>P26374</t>
  </si>
  <si>
    <t>P26447</t>
  </si>
  <si>
    <t>P26572</t>
  </si>
  <si>
    <t>P26583</t>
  </si>
  <si>
    <t>P26599</t>
  </si>
  <si>
    <t>P26639</t>
  </si>
  <si>
    <t>P26640</t>
  </si>
  <si>
    <t>P26641</t>
  </si>
  <si>
    <t>P26885</t>
  </si>
  <si>
    <t>P27144</t>
  </si>
  <si>
    <t>P27348</t>
  </si>
  <si>
    <t>P27361</t>
  </si>
  <si>
    <t>P27540-2</t>
  </si>
  <si>
    <t>P27635</t>
  </si>
  <si>
    <t>P27694</t>
  </si>
  <si>
    <t>P27695</t>
  </si>
  <si>
    <t>P27797</t>
  </si>
  <si>
    <t>P27815-6</t>
  </si>
  <si>
    <t>P27824</t>
  </si>
  <si>
    <t>P27986</t>
  </si>
  <si>
    <t>P28065</t>
  </si>
  <si>
    <t>P28066</t>
  </si>
  <si>
    <t>P28070</t>
  </si>
  <si>
    <t>P28072</t>
  </si>
  <si>
    <t>P28074</t>
  </si>
  <si>
    <t>P28289</t>
  </si>
  <si>
    <t>P28331</t>
  </si>
  <si>
    <t>P28482</t>
  </si>
  <si>
    <t>P28702</t>
  </si>
  <si>
    <t>P28715</t>
  </si>
  <si>
    <t>P28799</t>
  </si>
  <si>
    <t>P28838-2</t>
  </si>
  <si>
    <t>P28908</t>
  </si>
  <si>
    <t>P29083</t>
  </si>
  <si>
    <t>P29084</t>
  </si>
  <si>
    <t>P29218</t>
  </si>
  <si>
    <t>P29350</t>
  </si>
  <si>
    <t>P29353-7</t>
  </si>
  <si>
    <t>P29372-5</t>
  </si>
  <si>
    <t>P29401</t>
  </si>
  <si>
    <t>P29590-2</t>
  </si>
  <si>
    <t>P29692-3</t>
  </si>
  <si>
    <t>P29966</t>
  </si>
  <si>
    <t>P29992</t>
  </si>
  <si>
    <t>P30038</t>
  </si>
  <si>
    <t>P30040</t>
  </si>
  <si>
    <t>P30041</t>
  </si>
  <si>
    <t>P30042</t>
  </si>
  <si>
    <t>P30043</t>
  </si>
  <si>
    <t>P30044-2</t>
  </si>
  <si>
    <t>P30046</t>
  </si>
  <si>
    <t>P30049</t>
  </si>
  <si>
    <t>P30050</t>
  </si>
  <si>
    <t>P30084</t>
  </si>
  <si>
    <t>P30085</t>
  </si>
  <si>
    <t>P30086</t>
  </si>
  <si>
    <t>P30153</t>
  </si>
  <si>
    <t>P30154</t>
  </si>
  <si>
    <t>P30260</t>
  </si>
  <si>
    <t>P30281</t>
  </si>
  <si>
    <t>P30291</t>
  </si>
  <si>
    <t>P30307</t>
  </si>
  <si>
    <t>P30405</t>
  </si>
  <si>
    <t>P30419</t>
  </si>
  <si>
    <t>P30519</t>
  </si>
  <si>
    <t>P30520</t>
  </si>
  <si>
    <t>P30533</t>
  </si>
  <si>
    <t>P30566</t>
  </si>
  <si>
    <t>P30613</t>
  </si>
  <si>
    <t>P30622-1</t>
  </si>
  <si>
    <t>P30711</t>
  </si>
  <si>
    <t>P30740</t>
  </si>
  <si>
    <t>P30825</t>
  </si>
  <si>
    <t>P30837</t>
  </si>
  <si>
    <t>P31040</t>
  </si>
  <si>
    <t>P31146</t>
  </si>
  <si>
    <t>P31150</t>
  </si>
  <si>
    <t>P31153</t>
  </si>
  <si>
    <t>P31321</t>
  </si>
  <si>
    <t>P31323</t>
  </si>
  <si>
    <t>P31350</t>
  </si>
  <si>
    <t>P31641</t>
  </si>
  <si>
    <t>P31689</t>
  </si>
  <si>
    <t>P31749</t>
  </si>
  <si>
    <t>P31751</t>
  </si>
  <si>
    <t>P31930</t>
  </si>
  <si>
    <t>P31937</t>
  </si>
  <si>
    <t>P31939</t>
  </si>
  <si>
    <t>P31942-2</t>
  </si>
  <si>
    <t>P31946</t>
  </si>
  <si>
    <t>P31947-2</t>
  </si>
  <si>
    <t>P31948</t>
  </si>
  <si>
    <t>P31949</t>
  </si>
  <si>
    <t>P32019-2</t>
  </si>
  <si>
    <t>P32119</t>
  </si>
  <si>
    <t>P32121-5</t>
  </si>
  <si>
    <t>P32189-1</t>
  </si>
  <si>
    <t>P32321</t>
  </si>
  <si>
    <t>P32322</t>
  </si>
  <si>
    <t>P32519-2</t>
  </si>
  <si>
    <t>P32780</t>
  </si>
  <si>
    <t>P32856-3</t>
  </si>
  <si>
    <t>P32929</t>
  </si>
  <si>
    <t>P32969</t>
  </si>
  <si>
    <t>P33121-2</t>
  </si>
  <si>
    <t>P33176</t>
  </si>
  <si>
    <t>P33240-2</t>
  </si>
  <si>
    <t>P33316</t>
  </si>
  <si>
    <t>P33316-2</t>
  </si>
  <si>
    <t>P33552</t>
  </si>
  <si>
    <t>P33908</t>
  </si>
  <si>
    <t>P33981-2</t>
  </si>
  <si>
    <t>P33991</t>
  </si>
  <si>
    <t>P33992</t>
  </si>
  <si>
    <t>P33993</t>
  </si>
  <si>
    <t>P34059</t>
  </si>
  <si>
    <t>P34896-2</t>
  </si>
  <si>
    <t>P34897-3</t>
  </si>
  <si>
    <t>P34913</t>
  </si>
  <si>
    <t>P34932</t>
  </si>
  <si>
    <t>P35219</t>
  </si>
  <si>
    <t>P35221</t>
  </si>
  <si>
    <t>P35232</t>
  </si>
  <si>
    <t>P35237</t>
  </si>
  <si>
    <t>P35240-4</t>
  </si>
  <si>
    <t>P35241</t>
  </si>
  <si>
    <t>P35244</t>
  </si>
  <si>
    <t>P35249</t>
  </si>
  <si>
    <t>P35250</t>
  </si>
  <si>
    <t>P35251-2</t>
  </si>
  <si>
    <t>P35268</t>
  </si>
  <si>
    <t>P35269</t>
  </si>
  <si>
    <t>P35270</t>
  </si>
  <si>
    <t>P35520</t>
  </si>
  <si>
    <t>P35573</t>
  </si>
  <si>
    <t>P35579</t>
  </si>
  <si>
    <t>P35580</t>
  </si>
  <si>
    <t>P35606</t>
  </si>
  <si>
    <t>P35612</t>
  </si>
  <si>
    <t>P35613-2</t>
  </si>
  <si>
    <t>P35626</t>
  </si>
  <si>
    <t>P35637-2</t>
  </si>
  <si>
    <t>P35658-2</t>
  </si>
  <si>
    <t>P35659</t>
  </si>
  <si>
    <t>P35749-4</t>
  </si>
  <si>
    <t>P35754</t>
  </si>
  <si>
    <t>P35790-2</t>
  </si>
  <si>
    <t>P35813</t>
  </si>
  <si>
    <t>P35998</t>
  </si>
  <si>
    <t>P36404</t>
  </si>
  <si>
    <t>P36405</t>
  </si>
  <si>
    <t>P36507</t>
  </si>
  <si>
    <t>P36542</t>
  </si>
  <si>
    <t>P36543</t>
  </si>
  <si>
    <t>P36551</t>
  </si>
  <si>
    <t>P36578</t>
  </si>
  <si>
    <t>P36639-4</t>
  </si>
  <si>
    <t>P36915</t>
  </si>
  <si>
    <t>P36954</t>
  </si>
  <si>
    <t>P36957</t>
  </si>
  <si>
    <t>P36959</t>
  </si>
  <si>
    <t>P36969-2</t>
  </si>
  <si>
    <t>P37108</t>
  </si>
  <si>
    <t>P37198</t>
  </si>
  <si>
    <t>P37235</t>
  </si>
  <si>
    <t>P37268</t>
  </si>
  <si>
    <t>P37287-3</t>
  </si>
  <si>
    <t>P37802</t>
  </si>
  <si>
    <t>P37837</t>
  </si>
  <si>
    <t>P38117</t>
  </si>
  <si>
    <t>P38159</t>
  </si>
  <si>
    <t>P38432</t>
  </si>
  <si>
    <t>P38435</t>
  </si>
  <si>
    <t>P38606</t>
  </si>
  <si>
    <t>P38646</t>
  </si>
  <si>
    <t>P38919</t>
  </si>
  <si>
    <t>P38935</t>
  </si>
  <si>
    <t>P39019</t>
  </si>
  <si>
    <t>P39023</t>
  </si>
  <si>
    <t>P39060-2</t>
  </si>
  <si>
    <t>P39656</t>
  </si>
  <si>
    <t>P39687</t>
  </si>
  <si>
    <t>P39748</t>
  </si>
  <si>
    <t>P39880-2</t>
  </si>
  <si>
    <t>P40121</t>
  </si>
  <si>
    <t>P40222</t>
  </si>
  <si>
    <t>P40227</t>
  </si>
  <si>
    <t>P40261</t>
  </si>
  <si>
    <t>P40337-3</t>
  </si>
  <si>
    <t>P40425</t>
  </si>
  <si>
    <t>P40617</t>
  </si>
  <si>
    <t>P40692</t>
  </si>
  <si>
    <t>P40763</t>
  </si>
  <si>
    <t>P40763-2</t>
  </si>
  <si>
    <t>P40818</t>
  </si>
  <si>
    <t>P40925</t>
  </si>
  <si>
    <t>P40926</t>
  </si>
  <si>
    <t>P40937</t>
  </si>
  <si>
    <t>P40938</t>
  </si>
  <si>
    <t>P40939</t>
  </si>
  <si>
    <t>P41091</t>
  </si>
  <si>
    <t>P41134-2</t>
  </si>
  <si>
    <t>P41208</t>
  </si>
  <si>
    <t>P41214</t>
  </si>
  <si>
    <t>P41223</t>
  </si>
  <si>
    <t>P41227</t>
  </si>
  <si>
    <t>P41229-2</t>
  </si>
  <si>
    <t>P41236</t>
  </si>
  <si>
    <t>P41240</t>
  </si>
  <si>
    <t>P41247</t>
  </si>
  <si>
    <t>P41250</t>
  </si>
  <si>
    <t>P41252</t>
  </si>
  <si>
    <t>P41440</t>
  </si>
  <si>
    <t>P41567</t>
  </si>
  <si>
    <t>P41743</t>
  </si>
  <si>
    <t>P42025</t>
  </si>
  <si>
    <t>P42126-2</t>
  </si>
  <si>
    <t>P42166</t>
  </si>
  <si>
    <t>P42167</t>
  </si>
  <si>
    <t>P42224</t>
  </si>
  <si>
    <t>P42226-3</t>
  </si>
  <si>
    <t>P42285</t>
  </si>
  <si>
    <t>P42330</t>
  </si>
  <si>
    <t>P42336</t>
  </si>
  <si>
    <t>P42338</t>
  </si>
  <si>
    <t>P42345</t>
  </si>
  <si>
    <t>P42566</t>
  </si>
  <si>
    <t>P42574</t>
  </si>
  <si>
    <t>P42575</t>
  </si>
  <si>
    <t>P42677</t>
  </si>
  <si>
    <t>P42680</t>
  </si>
  <si>
    <t>P42684-6</t>
  </si>
  <si>
    <t>P42695</t>
  </si>
  <si>
    <t>P42704</t>
  </si>
  <si>
    <t>P42765</t>
  </si>
  <si>
    <t>P42766</t>
  </si>
  <si>
    <t>P42773</t>
  </si>
  <si>
    <t>P42785</t>
  </si>
  <si>
    <t>P43007</t>
  </si>
  <si>
    <t>P43034</t>
  </si>
  <si>
    <t>P43121</t>
  </si>
  <si>
    <t>P43155-3</t>
  </si>
  <si>
    <t>P43246</t>
  </si>
  <si>
    <t>P43250-2</t>
  </si>
  <si>
    <t>P43304</t>
  </si>
  <si>
    <t>P43307</t>
  </si>
  <si>
    <t>P43355</t>
  </si>
  <si>
    <t>P43357</t>
  </si>
  <si>
    <t>P43366</t>
  </si>
  <si>
    <t>P43378</t>
  </si>
  <si>
    <t>P43405-2</t>
  </si>
  <si>
    <t>P43487</t>
  </si>
  <si>
    <t>P43490</t>
  </si>
  <si>
    <t>P43686</t>
  </si>
  <si>
    <t>P43897</t>
  </si>
  <si>
    <t>P45880</t>
  </si>
  <si>
    <t>P45880-2</t>
  </si>
  <si>
    <t>P45954</t>
  </si>
  <si>
    <t>P45973</t>
  </si>
  <si>
    <t>P45974-2</t>
  </si>
  <si>
    <t>P45983-3</t>
  </si>
  <si>
    <t>P45984-3</t>
  </si>
  <si>
    <t>P45985</t>
  </si>
  <si>
    <t>P46013</t>
  </si>
  <si>
    <t>P46019</t>
  </si>
  <si>
    <t>P46060</t>
  </si>
  <si>
    <t>P46063</t>
  </si>
  <si>
    <t>P46087-2</t>
  </si>
  <si>
    <t>P46100-6</t>
  </si>
  <si>
    <t>P46108</t>
  </si>
  <si>
    <t>P46109</t>
  </si>
  <si>
    <t>P46199</t>
  </si>
  <si>
    <t>P46527</t>
  </si>
  <si>
    <t>P46531</t>
  </si>
  <si>
    <t>P46734</t>
  </si>
  <si>
    <t>P46736-2</t>
  </si>
  <si>
    <t>P46777</t>
  </si>
  <si>
    <t>P46778</t>
  </si>
  <si>
    <t>P46781</t>
  </si>
  <si>
    <t>P46783</t>
  </si>
  <si>
    <t>P46821</t>
  </si>
  <si>
    <t>P46926</t>
  </si>
  <si>
    <t>P46934-4</t>
  </si>
  <si>
    <t>P46940</t>
  </si>
  <si>
    <t>P46976-2</t>
  </si>
  <si>
    <t>P46977</t>
  </si>
  <si>
    <t>P47224</t>
  </si>
  <si>
    <t>P47755</t>
  </si>
  <si>
    <t>P47756-2</t>
  </si>
  <si>
    <t>P47813</t>
  </si>
  <si>
    <t>P47897</t>
  </si>
  <si>
    <t>P47914</t>
  </si>
  <si>
    <t>P47974</t>
  </si>
  <si>
    <t>P47985</t>
  </si>
  <si>
    <t>P48029</t>
  </si>
  <si>
    <t>P48047</t>
  </si>
  <si>
    <t>P48059-3</t>
  </si>
  <si>
    <t>P48147</t>
  </si>
  <si>
    <t>P48163</t>
  </si>
  <si>
    <t>P48200</t>
  </si>
  <si>
    <t>P48357-2</t>
  </si>
  <si>
    <t>P48378</t>
  </si>
  <si>
    <t>P48444</t>
  </si>
  <si>
    <t>P48449</t>
  </si>
  <si>
    <t>P48454</t>
  </si>
  <si>
    <t>P48506</t>
  </si>
  <si>
    <t>P48507</t>
  </si>
  <si>
    <t>P48634</t>
  </si>
  <si>
    <t>P48637</t>
  </si>
  <si>
    <t>P48643</t>
  </si>
  <si>
    <t>P48681</t>
  </si>
  <si>
    <t>P48723</t>
  </si>
  <si>
    <t>P48729</t>
  </si>
  <si>
    <t>P48730</t>
  </si>
  <si>
    <t>P48735</t>
  </si>
  <si>
    <t>P48736</t>
  </si>
  <si>
    <t>P48739</t>
  </si>
  <si>
    <t>P48960-2</t>
  </si>
  <si>
    <t>P49005</t>
  </si>
  <si>
    <t>P49006</t>
  </si>
  <si>
    <t>P49023-2</t>
  </si>
  <si>
    <t>P49069</t>
  </si>
  <si>
    <t>P49116</t>
  </si>
  <si>
    <t>P49137</t>
  </si>
  <si>
    <t>P49189</t>
  </si>
  <si>
    <t>P49207</t>
  </si>
  <si>
    <t>P49247</t>
  </si>
  <si>
    <t>P49257</t>
  </si>
  <si>
    <t>P49281-5</t>
  </si>
  <si>
    <t>P49321</t>
  </si>
  <si>
    <t>P49327</t>
  </si>
  <si>
    <t>P49336-2</t>
  </si>
  <si>
    <t>P49354</t>
  </si>
  <si>
    <t>P49366</t>
  </si>
  <si>
    <t>P49368</t>
  </si>
  <si>
    <t>P49406</t>
  </si>
  <si>
    <t>P49411</t>
  </si>
  <si>
    <t>P49427</t>
  </si>
  <si>
    <t>P49441</t>
  </si>
  <si>
    <t>P49448</t>
  </si>
  <si>
    <t>P49454</t>
  </si>
  <si>
    <t>P49458</t>
  </si>
  <si>
    <t>P49459</t>
  </si>
  <si>
    <t>P49585</t>
  </si>
  <si>
    <t>P49588</t>
  </si>
  <si>
    <t>P49589-3</t>
  </si>
  <si>
    <t>P49593</t>
  </si>
  <si>
    <t>P49642</t>
  </si>
  <si>
    <t>P49643</t>
  </si>
  <si>
    <t>P49674</t>
  </si>
  <si>
    <t>P49711</t>
  </si>
  <si>
    <t>P49721</t>
  </si>
  <si>
    <t>P49736</t>
  </si>
  <si>
    <t>P49748-2</t>
  </si>
  <si>
    <t>P49750</t>
  </si>
  <si>
    <t>P49755</t>
  </si>
  <si>
    <t>P49756</t>
  </si>
  <si>
    <t>P49757-4</t>
  </si>
  <si>
    <t>P49761-1</t>
  </si>
  <si>
    <t>P49770</t>
  </si>
  <si>
    <t>P49773</t>
  </si>
  <si>
    <t>P49790</t>
  </si>
  <si>
    <t>P49792</t>
  </si>
  <si>
    <t>P49795</t>
  </si>
  <si>
    <t>P49840</t>
  </si>
  <si>
    <t>P49841</t>
  </si>
  <si>
    <t>P49902</t>
  </si>
  <si>
    <t>P49903</t>
  </si>
  <si>
    <t>P49903-3</t>
  </si>
  <si>
    <t>P49914</t>
  </si>
  <si>
    <t>P49915</t>
  </si>
  <si>
    <t>P49916</t>
  </si>
  <si>
    <t>P49917</t>
  </si>
  <si>
    <t>P49959</t>
  </si>
  <si>
    <t>P50053</t>
  </si>
  <si>
    <t>P50135</t>
  </si>
  <si>
    <t>P50148</t>
  </si>
  <si>
    <t>P50213</t>
  </si>
  <si>
    <t>P50224</t>
  </si>
  <si>
    <t>P50225</t>
  </si>
  <si>
    <t>P50336</t>
  </si>
  <si>
    <t>P50402</t>
  </si>
  <si>
    <t>P50416</t>
  </si>
  <si>
    <t>P50453</t>
  </si>
  <si>
    <t>P50454</t>
  </si>
  <si>
    <t>P50479</t>
  </si>
  <si>
    <t>P50502</t>
  </si>
  <si>
    <t>P50552</t>
  </si>
  <si>
    <t>P50570</t>
  </si>
  <si>
    <t>P50579</t>
  </si>
  <si>
    <t>P50583</t>
  </si>
  <si>
    <t>P50613</t>
  </si>
  <si>
    <t>P50747</t>
  </si>
  <si>
    <t>P50748</t>
  </si>
  <si>
    <t>P50750</t>
  </si>
  <si>
    <t>P50897</t>
  </si>
  <si>
    <t>P50990</t>
  </si>
  <si>
    <t>P50991</t>
  </si>
  <si>
    <t>P51003</t>
  </si>
  <si>
    <t>P51116</t>
  </si>
  <si>
    <t>P51148</t>
  </si>
  <si>
    <t>P51149</t>
  </si>
  <si>
    <t>P51151</t>
  </si>
  <si>
    <t>P51153</t>
  </si>
  <si>
    <t>P51157</t>
  </si>
  <si>
    <t>P51159</t>
  </si>
  <si>
    <t>P51178</t>
  </si>
  <si>
    <t>P51397</t>
  </si>
  <si>
    <t>P51398-2</t>
  </si>
  <si>
    <t>P51452</t>
  </si>
  <si>
    <t>P51531-2</t>
  </si>
  <si>
    <t>P51553</t>
  </si>
  <si>
    <t>P51570</t>
  </si>
  <si>
    <t>P51571</t>
  </si>
  <si>
    <t>P51572</t>
  </si>
  <si>
    <t>P51580</t>
  </si>
  <si>
    <t>P51608</t>
  </si>
  <si>
    <t>P51610-2</t>
  </si>
  <si>
    <t>P51659</t>
  </si>
  <si>
    <t>P51665</t>
  </si>
  <si>
    <t>P51687</t>
  </si>
  <si>
    <t>P51692</t>
  </si>
  <si>
    <t>P51790-4</t>
  </si>
  <si>
    <t>P51795</t>
  </si>
  <si>
    <t>P51797</t>
  </si>
  <si>
    <t>P51798-2</t>
  </si>
  <si>
    <t>P51809</t>
  </si>
  <si>
    <t>P51811</t>
  </si>
  <si>
    <t>P51812</t>
  </si>
  <si>
    <t>P51857-2</t>
  </si>
  <si>
    <t>P51858</t>
  </si>
  <si>
    <t>P51911</t>
  </si>
  <si>
    <t>P51948</t>
  </si>
  <si>
    <t>P51970</t>
  </si>
  <si>
    <t>P51991</t>
  </si>
  <si>
    <t>P52272-2</t>
  </si>
  <si>
    <t>P52292</t>
  </si>
  <si>
    <t>P52294</t>
  </si>
  <si>
    <t>P52298</t>
  </si>
  <si>
    <t>P52306</t>
  </si>
  <si>
    <t>P52565</t>
  </si>
  <si>
    <t>P52566</t>
  </si>
  <si>
    <t>P52597</t>
  </si>
  <si>
    <t>P52630-4</t>
  </si>
  <si>
    <t>P52655</t>
  </si>
  <si>
    <t>P52657</t>
  </si>
  <si>
    <t>P52701</t>
  </si>
  <si>
    <t>P52732</t>
  </si>
  <si>
    <t>P52758</t>
  </si>
  <si>
    <t>P52788</t>
  </si>
  <si>
    <t>P52789</t>
  </si>
  <si>
    <t>P52815</t>
  </si>
  <si>
    <t>P52888</t>
  </si>
  <si>
    <t>P52907</t>
  </si>
  <si>
    <t>P52943</t>
  </si>
  <si>
    <t>P52948-6</t>
  </si>
  <si>
    <t>P53004</t>
  </si>
  <si>
    <t>P53007</t>
  </si>
  <si>
    <t>P53350</t>
  </si>
  <si>
    <t>P53365</t>
  </si>
  <si>
    <t>P53367</t>
  </si>
  <si>
    <t>P53367-2</t>
  </si>
  <si>
    <t>P53384-2</t>
  </si>
  <si>
    <t>P53396</t>
  </si>
  <si>
    <t>P53582</t>
  </si>
  <si>
    <t>P53597</t>
  </si>
  <si>
    <t>P53602</t>
  </si>
  <si>
    <t>P53609</t>
  </si>
  <si>
    <t>P53618</t>
  </si>
  <si>
    <t>P53621</t>
  </si>
  <si>
    <t>P53634</t>
  </si>
  <si>
    <t>P53701</t>
  </si>
  <si>
    <t>P53778</t>
  </si>
  <si>
    <t>P53794</t>
  </si>
  <si>
    <t>P53803</t>
  </si>
  <si>
    <t>P53814-5</t>
  </si>
  <si>
    <t>P53985</t>
  </si>
  <si>
    <t>P53990-2</t>
  </si>
  <si>
    <t>P53992</t>
  </si>
  <si>
    <t>P53999</t>
  </si>
  <si>
    <t>P54098</t>
  </si>
  <si>
    <t>P54105</t>
  </si>
  <si>
    <t>P54136</t>
  </si>
  <si>
    <t>P54259</t>
  </si>
  <si>
    <t>P54278</t>
  </si>
  <si>
    <t>P54577</t>
  </si>
  <si>
    <t>P54578-2</t>
  </si>
  <si>
    <t>P54619-2</t>
  </si>
  <si>
    <t>P54687</t>
  </si>
  <si>
    <t>P54707</t>
  </si>
  <si>
    <t>P54709</t>
  </si>
  <si>
    <t>P54727</t>
  </si>
  <si>
    <t>P54760</t>
  </si>
  <si>
    <t>P54802</t>
  </si>
  <si>
    <t>P54819</t>
  </si>
  <si>
    <t>P54886-2</t>
  </si>
  <si>
    <t>P54920</t>
  </si>
  <si>
    <t>P54922</t>
  </si>
  <si>
    <t>P55010</t>
  </si>
  <si>
    <t>P55011-3</t>
  </si>
  <si>
    <t>P55036</t>
  </si>
  <si>
    <t>P55039</t>
  </si>
  <si>
    <t>P55060-3</t>
  </si>
  <si>
    <t>P55072</t>
  </si>
  <si>
    <t>P55081</t>
  </si>
  <si>
    <t>P55082-2</t>
  </si>
  <si>
    <t>P55145</t>
  </si>
  <si>
    <t>P55196-3</t>
  </si>
  <si>
    <t>P55199</t>
  </si>
  <si>
    <t>P55201-4</t>
  </si>
  <si>
    <t>P55211-2</t>
  </si>
  <si>
    <t>P55212</t>
  </si>
  <si>
    <t>P55263</t>
  </si>
  <si>
    <t>P55735</t>
  </si>
  <si>
    <t>P55789</t>
  </si>
  <si>
    <t>P55795</t>
  </si>
  <si>
    <t>P55809</t>
  </si>
  <si>
    <t>P55884</t>
  </si>
  <si>
    <t>P55957</t>
  </si>
  <si>
    <t>P56181-2</t>
  </si>
  <si>
    <t>P56182</t>
  </si>
  <si>
    <t>P56192</t>
  </si>
  <si>
    <t>P56270-2</t>
  </si>
  <si>
    <t>P56277</t>
  </si>
  <si>
    <t>P56282-2</t>
  </si>
  <si>
    <t>P56377</t>
  </si>
  <si>
    <t>P56381</t>
  </si>
  <si>
    <t>P56385</t>
  </si>
  <si>
    <t>P56524</t>
  </si>
  <si>
    <t>P56537</t>
  </si>
  <si>
    <t>P56556</t>
  </si>
  <si>
    <t>P56589</t>
  </si>
  <si>
    <t>P56645</t>
  </si>
  <si>
    <t>P56749</t>
  </si>
  <si>
    <t>P56937-3</t>
  </si>
  <si>
    <t>P56945-4</t>
  </si>
  <si>
    <t>P56962</t>
  </si>
  <si>
    <t>P57054-3</t>
  </si>
  <si>
    <t>P57060</t>
  </si>
  <si>
    <t>P57076</t>
  </si>
  <si>
    <t>P57081-2</t>
  </si>
  <si>
    <t>P57088</t>
  </si>
  <si>
    <t>P57105</t>
  </si>
  <si>
    <t>P57682</t>
  </si>
  <si>
    <t>P57737-3</t>
  </si>
  <si>
    <t>P57740</t>
  </si>
  <si>
    <t>P57768</t>
  </si>
  <si>
    <t>P57772</t>
  </si>
  <si>
    <t>P58004</t>
  </si>
  <si>
    <t>P58107</t>
  </si>
  <si>
    <t>P58546</t>
  </si>
  <si>
    <t>P58557-4</t>
  </si>
  <si>
    <t>P59923</t>
  </si>
  <si>
    <t>P59998</t>
  </si>
  <si>
    <t>P60059</t>
  </si>
  <si>
    <t>P60174-1</t>
  </si>
  <si>
    <t>P60228</t>
  </si>
  <si>
    <t>P60468</t>
  </si>
  <si>
    <t>P60510</t>
  </si>
  <si>
    <t>P60520</t>
  </si>
  <si>
    <t>P60602</t>
  </si>
  <si>
    <t>P60604-2</t>
  </si>
  <si>
    <t>P60709</t>
  </si>
  <si>
    <t>P60763</t>
  </si>
  <si>
    <t>P60842</t>
  </si>
  <si>
    <t>P60866</t>
  </si>
  <si>
    <t>P60891</t>
  </si>
  <si>
    <t>P60896</t>
  </si>
  <si>
    <t>P60953</t>
  </si>
  <si>
    <t>P60981</t>
  </si>
  <si>
    <t>P60983</t>
  </si>
  <si>
    <t>P61006</t>
  </si>
  <si>
    <t>P61009</t>
  </si>
  <si>
    <t>P61011</t>
  </si>
  <si>
    <t>P61018</t>
  </si>
  <si>
    <t>P61019</t>
  </si>
  <si>
    <t>P61020</t>
  </si>
  <si>
    <t>P61026</t>
  </si>
  <si>
    <t>P61077</t>
  </si>
  <si>
    <t>P61081</t>
  </si>
  <si>
    <t>P61086</t>
  </si>
  <si>
    <t>P61088</t>
  </si>
  <si>
    <t>P61106</t>
  </si>
  <si>
    <t>P61129</t>
  </si>
  <si>
    <t>P61158</t>
  </si>
  <si>
    <t>P61160</t>
  </si>
  <si>
    <t>P61163</t>
  </si>
  <si>
    <t>P61201</t>
  </si>
  <si>
    <t>P61218</t>
  </si>
  <si>
    <t>P61221</t>
  </si>
  <si>
    <t>P61224</t>
  </si>
  <si>
    <t>P61225</t>
  </si>
  <si>
    <t>P61244-2</t>
  </si>
  <si>
    <t>P61247</t>
  </si>
  <si>
    <t>P61254</t>
  </si>
  <si>
    <t>P61289</t>
  </si>
  <si>
    <t>P61326</t>
  </si>
  <si>
    <t>P61353</t>
  </si>
  <si>
    <t>P61457</t>
  </si>
  <si>
    <t>P61586</t>
  </si>
  <si>
    <t>P61599</t>
  </si>
  <si>
    <t>P61604</t>
  </si>
  <si>
    <t>P61758</t>
  </si>
  <si>
    <t>P61764</t>
  </si>
  <si>
    <t>P61962</t>
  </si>
  <si>
    <t>P61964</t>
  </si>
  <si>
    <t>P61966</t>
  </si>
  <si>
    <t>P61970</t>
  </si>
  <si>
    <t>P61978-2</t>
  </si>
  <si>
    <t>P61978-3</t>
  </si>
  <si>
    <t>P61981</t>
  </si>
  <si>
    <t>P62070</t>
  </si>
  <si>
    <t>P62072</t>
  </si>
  <si>
    <t>P62081</t>
  </si>
  <si>
    <t>P62136</t>
  </si>
  <si>
    <t>P62140</t>
  </si>
  <si>
    <t>P62166</t>
  </si>
  <si>
    <t>P62191</t>
  </si>
  <si>
    <t>P62195-2</t>
  </si>
  <si>
    <t>P62241</t>
  </si>
  <si>
    <t>P62249</t>
  </si>
  <si>
    <t>P62253</t>
  </si>
  <si>
    <t>P62258</t>
  </si>
  <si>
    <t>P62263</t>
  </si>
  <si>
    <t>P62266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</si>
  <si>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</si>
  <si>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</si>
  <si>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</si>
  <si>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</si>
  <si>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</si>
  <si>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</si>
  <si>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</si>
  <si>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</si>
  <si>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</si>
  <si>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</si>
  <si>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</si>
  <si>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</si>
  <si>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</si>
  <si>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</si>
  <si>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P62424</t>
  </si>
  <si>
    <t>P62487</t>
  </si>
  <si>
    <t>P62495</t>
  </si>
  <si>
    <t>P62633-2</t>
  </si>
  <si>
    <t>P62633-4</t>
  </si>
  <si>
    <t>P62633-5</t>
  </si>
  <si>
    <t>P62699</t>
  </si>
  <si>
    <t>P62701</t>
  </si>
  <si>
    <t>P62714</t>
  </si>
  <si>
    <t>P62750</t>
  </si>
  <si>
    <t>P62753</t>
  </si>
  <si>
    <t>P62805</t>
  </si>
  <si>
    <t>P62820</t>
  </si>
  <si>
    <t>P62829</t>
  </si>
  <si>
    <t>P62834</t>
  </si>
  <si>
    <t>P62837</t>
  </si>
  <si>
    <t>P62851</t>
  </si>
  <si>
    <t>P62854</t>
  </si>
  <si>
    <t>P62857</t>
  </si>
  <si>
    <t>P62873</t>
  </si>
  <si>
    <t>P62875</t>
  </si>
  <si>
    <t>P62877</t>
  </si>
  <si>
    <t>P62879</t>
  </si>
  <si>
    <t>P62899</t>
  </si>
  <si>
    <t>P62906</t>
  </si>
  <si>
    <t>P62913-2</t>
  </si>
  <si>
    <t>P62937</t>
  </si>
  <si>
    <t>P62942</t>
  </si>
  <si>
    <t>P62979</t>
  </si>
  <si>
    <t>P62993</t>
  </si>
  <si>
    <t>P62995-3</t>
  </si>
  <si>
    <t>P63000</t>
  </si>
  <si>
    <t>P63010</t>
  </si>
  <si>
    <t>P63092</t>
  </si>
  <si>
    <t>P63104</t>
  </si>
  <si>
    <t>P63120</t>
  </si>
  <si>
    <t>P63151</t>
  </si>
  <si>
    <t>P63167</t>
  </si>
  <si>
    <t>P63173</t>
  </si>
  <si>
    <t>P63218</t>
  </si>
  <si>
    <t>P63241</t>
  </si>
  <si>
    <t>P63244</t>
  </si>
  <si>
    <t>P67775</t>
  </si>
  <si>
    <t>P67809</t>
  </si>
  <si>
    <t>P67936</t>
  </si>
  <si>
    <t>P68036</t>
  </si>
  <si>
    <t>P68104</t>
  </si>
  <si>
    <t>P68133</t>
  </si>
  <si>
    <t>P68363</t>
  </si>
  <si>
    <t>P68371</t>
  </si>
  <si>
    <t>P68402</t>
  </si>
  <si>
    <t>P69891</t>
  </si>
  <si>
    <t>P69892</t>
  </si>
  <si>
    <t>P69905</t>
  </si>
  <si>
    <t>P78316</t>
  </si>
  <si>
    <t>P78318</t>
  </si>
  <si>
    <t>P78330</t>
  </si>
  <si>
    <t>P78332</t>
  </si>
  <si>
    <t>P78345</t>
  </si>
  <si>
    <t>P78346</t>
  </si>
  <si>
    <t>P78347-2</t>
  </si>
  <si>
    <t>P78356</t>
  </si>
  <si>
    <t>P78362</t>
  </si>
  <si>
    <t>P78371</t>
  </si>
  <si>
    <t>P78406</t>
  </si>
  <si>
    <t>P78417</t>
  </si>
  <si>
    <t>P78527</t>
  </si>
  <si>
    <t>P78536</t>
  </si>
  <si>
    <t>P78537</t>
  </si>
  <si>
    <t>P78540</t>
  </si>
  <si>
    <t>P78560</t>
  </si>
  <si>
    <t>P80217</t>
  </si>
  <si>
    <t>P80303</t>
  </si>
  <si>
    <t>P81877-4</t>
  </si>
  <si>
    <t>P82094</t>
  </si>
  <si>
    <t>P82673</t>
  </si>
  <si>
    <t>P82675</t>
  </si>
  <si>
    <t>P82909</t>
  </si>
  <si>
    <t>P82912-2</t>
  </si>
  <si>
    <t>P82930</t>
  </si>
  <si>
    <t>P82932</t>
  </si>
  <si>
    <t>P82933</t>
  </si>
  <si>
    <t>P82979</t>
  </si>
  <si>
    <t>P83111</t>
  </si>
  <si>
    <t>P83436</t>
  </si>
  <si>
    <t>P84022</t>
  </si>
  <si>
    <t>P84077</t>
  </si>
  <si>
    <t>P84085</t>
  </si>
  <si>
    <t>P84090</t>
  </si>
  <si>
    <t>P84095</t>
  </si>
  <si>
    <t>P84101-4</t>
  </si>
  <si>
    <t>P84157</t>
  </si>
  <si>
    <t>P85037</t>
  </si>
  <si>
    <t>P86397</t>
  </si>
  <si>
    <t>P86791</t>
  </si>
  <si>
    <t>P98082-2</t>
  </si>
  <si>
    <t>P98153-2</t>
  </si>
  <si>
    <t>P98160</t>
  </si>
  <si>
    <t>P98170</t>
  </si>
  <si>
    <t>P98172</t>
  </si>
  <si>
    <t>P98173-3</t>
  </si>
  <si>
    <t>P98175-2</t>
  </si>
  <si>
    <t>P98179</t>
  </si>
  <si>
    <t>Q00013</t>
  </si>
  <si>
    <t>Q00059</t>
  </si>
  <si>
    <t>Q00169</t>
  </si>
  <si>
    <t>Q00325-2</t>
  </si>
  <si>
    <t>Q00341</t>
  </si>
  <si>
    <t>Q00403</t>
  </si>
  <si>
    <t>Q00534</t>
  </si>
  <si>
    <t>Q00535</t>
  </si>
  <si>
    <t>Q00536</t>
  </si>
  <si>
    <t>Q00577</t>
  </si>
  <si>
    <t>Q00587-2</t>
  </si>
  <si>
    <t>Q00610-2</t>
  </si>
  <si>
    <t>Q00653-4</t>
  </si>
  <si>
    <t>Q00688</t>
  </si>
  <si>
    <t>Q00765</t>
  </si>
  <si>
    <t>Q00796</t>
  </si>
  <si>
    <t>Q00839-2</t>
  </si>
  <si>
    <t>Q00973</t>
  </si>
  <si>
    <t>Q01081</t>
  </si>
  <si>
    <t>Q01082</t>
  </si>
  <si>
    <t>Q01082-3</t>
  </si>
  <si>
    <t>Q01085-2</t>
  </si>
  <si>
    <t>Q01105-2</t>
  </si>
  <si>
    <t>Q01167-2</t>
  </si>
  <si>
    <t>Q01415</t>
  </si>
  <si>
    <t>Q01432</t>
  </si>
  <si>
    <t>Q01459</t>
  </si>
  <si>
    <t>Q01469</t>
  </si>
  <si>
    <t>Q01518-2</t>
  </si>
  <si>
    <t>Q01581</t>
  </si>
  <si>
    <t>Q01650</t>
  </si>
  <si>
    <t>Q01658</t>
  </si>
  <si>
    <t>Q01664</t>
  </si>
  <si>
    <t>Q01780-2</t>
  </si>
  <si>
    <t>Q01813</t>
  </si>
  <si>
    <t>Q01968</t>
  </si>
  <si>
    <t>Q01970</t>
  </si>
  <si>
    <t>Q01974</t>
  </si>
  <si>
    <t>Q02040</t>
  </si>
  <si>
    <t>Q02086-2</t>
  </si>
  <si>
    <t>Q02127</t>
  </si>
  <si>
    <t>Q02224-3</t>
  </si>
  <si>
    <t>Q02241</t>
  </si>
  <si>
    <t>Q02446</t>
  </si>
  <si>
    <t>Q02543</t>
  </si>
  <si>
    <t>Q02750</t>
  </si>
  <si>
    <t>Q02790</t>
  </si>
  <si>
    <t>Q02809</t>
  </si>
  <si>
    <t>Q02818</t>
  </si>
  <si>
    <t>Q02833-3</t>
  </si>
  <si>
    <t>Q02878</t>
  </si>
  <si>
    <t>Q02880-2</t>
  </si>
  <si>
    <t>Q02952-3</t>
  </si>
  <si>
    <t>Q03013-2</t>
  </si>
  <si>
    <t>Q03014</t>
  </si>
  <si>
    <t>Q03111</t>
  </si>
  <si>
    <t>Q03154</t>
  </si>
  <si>
    <t>Q03167-2</t>
  </si>
  <si>
    <t>Q03169</t>
  </si>
  <si>
    <t>Q03701</t>
  </si>
  <si>
    <t>Q04446</t>
  </si>
  <si>
    <t>Q04637-5</t>
  </si>
  <si>
    <t>Q04656-5</t>
  </si>
  <si>
    <t>Q04759</t>
  </si>
  <si>
    <t>Q04760</t>
  </si>
  <si>
    <t>Q04771</t>
  </si>
  <si>
    <t>Q04828</t>
  </si>
  <si>
    <t>Q04837</t>
  </si>
  <si>
    <t>Q04917</t>
  </si>
  <si>
    <t>Q04941</t>
  </si>
  <si>
    <t>Q05048</t>
  </si>
  <si>
    <t>Q05086-3</t>
  </si>
  <si>
    <t>Q05193-5</t>
  </si>
  <si>
    <t>Q05209</t>
  </si>
  <si>
    <t>Q05519-2</t>
  </si>
  <si>
    <t>Q05639</t>
  </si>
  <si>
    <t>Q05655</t>
  </si>
  <si>
    <t>Q05823</t>
  </si>
  <si>
    <t>Q05932-3</t>
  </si>
  <si>
    <t>Q06124</t>
  </si>
  <si>
    <t>Q06187</t>
  </si>
  <si>
    <t>Q06203</t>
  </si>
  <si>
    <t>Q06210-2</t>
  </si>
  <si>
    <t>Q06265</t>
  </si>
  <si>
    <t>Q06330-5</t>
  </si>
  <si>
    <t>Q06413-5</t>
  </si>
  <si>
    <t>Q06413-6</t>
  </si>
  <si>
    <t>Q06481</t>
  </si>
  <si>
    <t>Q06546</t>
  </si>
  <si>
    <t>Q06587</t>
  </si>
  <si>
    <t>Q06609-3</t>
  </si>
  <si>
    <t>Q06830</t>
  </si>
  <si>
    <t>Q07021</t>
  </si>
  <si>
    <t>Q07108</t>
  </si>
  <si>
    <t>Q07283</t>
  </si>
  <si>
    <t>Q07666</t>
  </si>
  <si>
    <t>Q07812-5</t>
  </si>
  <si>
    <t>Q07820</t>
  </si>
  <si>
    <t>Q07864</t>
  </si>
  <si>
    <t>Q07866-6</t>
  </si>
  <si>
    <t>Q07960</t>
  </si>
  <si>
    <t>Q08170</t>
  </si>
  <si>
    <t>Q08209-2</t>
  </si>
  <si>
    <t>Q08211</t>
  </si>
  <si>
    <t>Q08257</t>
  </si>
  <si>
    <t>Q08345-2</t>
  </si>
  <si>
    <t>Q08357</t>
  </si>
  <si>
    <t>Q08378</t>
  </si>
  <si>
    <t>Q08379</t>
  </si>
  <si>
    <t>Q08426</t>
  </si>
  <si>
    <t>Q08495</t>
  </si>
  <si>
    <t>Q08495-2</t>
  </si>
  <si>
    <t>Q08722</t>
  </si>
  <si>
    <t>Q08752</t>
  </si>
  <si>
    <t>Q08945</t>
  </si>
  <si>
    <t>Q08AG7</t>
  </si>
  <si>
    <t>Q08AM6</t>
  </si>
  <si>
    <t>Q08E86</t>
  </si>
  <si>
    <t>Q08ER3</t>
  </si>
  <si>
    <t>Q08J23</t>
  </si>
  <si>
    <t>Q09028-3</t>
  </si>
  <si>
    <t>Q09028-4</t>
  </si>
  <si>
    <t>Q09161</t>
  </si>
  <si>
    <t>Q09328</t>
  </si>
  <si>
    <t>Q09472</t>
  </si>
  <si>
    <t>Q09666</t>
  </si>
  <si>
    <t>Q0PNE2</t>
  </si>
  <si>
    <t>Q0VDF9</t>
  </si>
  <si>
    <t>Q0VDG4</t>
  </si>
  <si>
    <t>Q0VG06-3</t>
  </si>
  <si>
    <t>Q10469</t>
  </si>
  <si>
    <t>Q10471</t>
  </si>
  <si>
    <t>Q10567-2</t>
  </si>
  <si>
    <t>Q10567-3</t>
  </si>
  <si>
    <t>Q10570</t>
  </si>
  <si>
    <t>Q10589</t>
  </si>
  <si>
    <t>Q10713</t>
  </si>
  <si>
    <t>Q12769</t>
  </si>
  <si>
    <t>Q12770</t>
  </si>
  <si>
    <t>Q12788</t>
  </si>
  <si>
    <t>Q12789-3</t>
  </si>
  <si>
    <t>Q12792</t>
  </si>
  <si>
    <t>Q12797-10</t>
  </si>
  <si>
    <t>Q12809-2</t>
  </si>
  <si>
    <t>Q12830-4</t>
  </si>
  <si>
    <t>Q12834</t>
  </si>
  <si>
    <t>Q12840</t>
  </si>
  <si>
    <t>Q12846</t>
  </si>
  <si>
    <t>Q12872</t>
  </si>
  <si>
    <t>Q12874</t>
  </si>
  <si>
    <t>Q12888</t>
  </si>
  <si>
    <t>Q12893</t>
  </si>
  <si>
    <t>Q12894</t>
  </si>
  <si>
    <t>Q12904</t>
  </si>
  <si>
    <t>Q12905</t>
  </si>
  <si>
    <t>Q12906</t>
  </si>
  <si>
    <t>Q12907</t>
  </si>
  <si>
    <t>Q12933-3</t>
  </si>
  <si>
    <t>Q12955</t>
  </si>
  <si>
    <t>Q12959-5</t>
  </si>
  <si>
    <t>Q12962</t>
  </si>
  <si>
    <t>Q12972</t>
  </si>
  <si>
    <t>Q12974</t>
  </si>
  <si>
    <t>Q12981</t>
  </si>
  <si>
    <t>Q12986</t>
  </si>
  <si>
    <t>Q12996</t>
  </si>
  <si>
    <t>Q13011</t>
  </si>
  <si>
    <t>Q13015</t>
  </si>
  <si>
    <t>Q13017-2</t>
  </si>
  <si>
    <t>Q13033-2</t>
  </si>
  <si>
    <t>Q13042-3</t>
  </si>
  <si>
    <t>Q13043</t>
  </si>
  <si>
    <t>Q13045</t>
  </si>
  <si>
    <t>Q13045-2</t>
  </si>
  <si>
    <t>Q13049</t>
  </si>
  <si>
    <t>Q13057</t>
  </si>
  <si>
    <t>Q13068</t>
  </si>
  <si>
    <t>Q13070</t>
  </si>
  <si>
    <t>Q13085-3</t>
  </si>
  <si>
    <t>Q13094</t>
  </si>
  <si>
    <t>Q13107-2</t>
  </si>
  <si>
    <t>Q13111</t>
  </si>
  <si>
    <t>Q13112</t>
  </si>
  <si>
    <t>Q13123</t>
  </si>
  <si>
    <t>Q13129</t>
  </si>
  <si>
    <t>Q13131</t>
  </si>
  <si>
    <t>Q13136</t>
  </si>
  <si>
    <t>Q13148</t>
  </si>
  <si>
    <t>Q13151</t>
  </si>
  <si>
    <t>Q13155</t>
  </si>
  <si>
    <t>Q13158</t>
  </si>
  <si>
    <t>Q13162</t>
  </si>
  <si>
    <t>Q13164</t>
  </si>
  <si>
    <t>Q13177</t>
  </si>
  <si>
    <t>Q13185</t>
  </si>
  <si>
    <t>Q13188</t>
  </si>
  <si>
    <t>Q13190-3</t>
  </si>
  <si>
    <t>Q13200</t>
  </si>
  <si>
    <t>Q13206</t>
  </si>
  <si>
    <t>Q13217</t>
  </si>
  <si>
    <t>Q13228</t>
  </si>
  <si>
    <t>Q13232</t>
  </si>
  <si>
    <t>Q13233</t>
  </si>
  <si>
    <t>Q13242</t>
  </si>
  <si>
    <t>Q13243</t>
  </si>
  <si>
    <t>Q13247-3</t>
  </si>
  <si>
    <t>Q13257</t>
  </si>
  <si>
    <t>Q13263</t>
  </si>
  <si>
    <t>Q13277-2</t>
  </si>
  <si>
    <t>Q13283</t>
  </si>
  <si>
    <t>Q13287</t>
  </si>
  <si>
    <t>Q13308-3</t>
  </si>
  <si>
    <t>Q13309</t>
  </si>
  <si>
    <t>Q13310-3</t>
  </si>
  <si>
    <t>Q13315</t>
  </si>
  <si>
    <t>Q13322-2</t>
  </si>
  <si>
    <t>Q13330-3</t>
  </si>
  <si>
    <t>Q13347</t>
  </si>
  <si>
    <t>Q13356</t>
  </si>
  <si>
    <t>Q13362-4</t>
  </si>
  <si>
    <t>Q13363-2</t>
  </si>
  <si>
    <t>Q13371</t>
  </si>
  <si>
    <t>Q13393-2</t>
  </si>
  <si>
    <t>Q13405</t>
  </si>
  <si>
    <t>Q13409-6</t>
  </si>
  <si>
    <t>Q13416</t>
  </si>
  <si>
    <t>Q13418</t>
  </si>
  <si>
    <t>Q13422-7</t>
  </si>
  <si>
    <t>Q13423</t>
  </si>
  <si>
    <t>Q13424</t>
  </si>
  <si>
    <t>Q13425</t>
  </si>
  <si>
    <t>Q13426</t>
  </si>
  <si>
    <t>Q13426-3</t>
  </si>
  <si>
    <t>Q13427</t>
  </si>
  <si>
    <t>Q13428-3</t>
  </si>
  <si>
    <t>Q13432-2</t>
  </si>
  <si>
    <t>Q13435</t>
  </si>
  <si>
    <t>Q13438-4</t>
  </si>
  <si>
    <t>Q13439-3</t>
  </si>
  <si>
    <t>Q13442</t>
  </si>
  <si>
    <t>Q13443</t>
  </si>
  <si>
    <t>Q13444-8</t>
  </si>
  <si>
    <t>Q13445</t>
  </si>
  <si>
    <t>Q13451</t>
  </si>
  <si>
    <t>Q13464</t>
  </si>
  <si>
    <t>Q13467</t>
  </si>
  <si>
    <t>Q13469-3</t>
  </si>
  <si>
    <t>Q13480-2</t>
  </si>
  <si>
    <t>Q13488</t>
  </si>
  <si>
    <t>Q13492-3</t>
  </si>
  <si>
    <t>Q13496</t>
  </si>
  <si>
    <t>Q13501</t>
  </si>
  <si>
    <t>Q13505-3</t>
  </si>
  <si>
    <t>Q13506</t>
  </si>
  <si>
    <t>Q13509</t>
  </si>
  <si>
    <t>Q13526</t>
  </si>
  <si>
    <t>Q13535</t>
  </si>
  <si>
    <t>Q13541</t>
  </si>
  <si>
    <t>Q13542</t>
  </si>
  <si>
    <t>Q13546</t>
  </si>
  <si>
    <t>Q13547</t>
  </si>
  <si>
    <t>Q13564-2</t>
  </si>
  <si>
    <t>Q13572</t>
  </si>
  <si>
    <t>Q13573</t>
  </si>
  <si>
    <t>Q13576</t>
  </si>
  <si>
    <t>Q13586</t>
  </si>
  <si>
    <t>Q13596</t>
  </si>
  <si>
    <t>Q13608</t>
  </si>
  <si>
    <t>Q13614</t>
  </si>
  <si>
    <t>Q13616</t>
  </si>
  <si>
    <t>Q13617</t>
  </si>
  <si>
    <t>Q13618</t>
  </si>
  <si>
    <t>Q13619</t>
  </si>
  <si>
    <t>Q13620-1</t>
  </si>
  <si>
    <t>Q13625-2</t>
  </si>
  <si>
    <t>Q13627-2</t>
  </si>
  <si>
    <t>Q13630</t>
  </si>
  <si>
    <t>Q13636</t>
  </si>
  <si>
    <t>Q13637</t>
  </si>
  <si>
    <t>Q13643</t>
  </si>
  <si>
    <t>Q13670</t>
  </si>
  <si>
    <t>Q13686</t>
  </si>
  <si>
    <t>Q13724</t>
  </si>
  <si>
    <t>Q13769</t>
  </si>
  <si>
    <t>Q13795</t>
  </si>
  <si>
    <t>Q13868</t>
  </si>
  <si>
    <t>Q13885</t>
  </si>
  <si>
    <t>Q13895</t>
  </si>
  <si>
    <t>Q13907</t>
  </si>
  <si>
    <t>Q13951-2</t>
  </si>
  <si>
    <t>Q13952-3</t>
  </si>
  <si>
    <t>Q14008-2</t>
  </si>
  <si>
    <t>Q14011</t>
  </si>
  <si>
    <t>Q14019</t>
  </si>
  <si>
    <t>Q14061</t>
  </si>
  <si>
    <t>Q14103-3</t>
  </si>
  <si>
    <t>Q14108</t>
  </si>
  <si>
    <t>Q14114-4</t>
  </si>
  <si>
    <t>Q14116-2</t>
  </si>
  <si>
    <t>Q14118</t>
  </si>
  <si>
    <t>Q14126</t>
  </si>
  <si>
    <t>Q14137</t>
  </si>
  <si>
    <t>Q14139</t>
  </si>
  <si>
    <t>Q14142-2</t>
  </si>
  <si>
    <t>Q14145</t>
  </si>
  <si>
    <t>Q14147</t>
  </si>
  <si>
    <t>Q14149</t>
  </si>
  <si>
    <t>Q14151</t>
  </si>
  <si>
    <t>Q14152</t>
  </si>
  <si>
    <t>Q14157</t>
  </si>
  <si>
    <t>Q14157-1</t>
  </si>
  <si>
    <t>Q14160</t>
  </si>
  <si>
    <t>Q14165</t>
  </si>
  <si>
    <t>Q14166</t>
  </si>
  <si>
    <t>Q14181</t>
  </si>
  <si>
    <t>Q14191</t>
  </si>
  <si>
    <t>Q14204</t>
  </si>
  <si>
    <t>Q14232</t>
  </si>
  <si>
    <t>Q14240</t>
  </si>
  <si>
    <t>Q14241</t>
  </si>
  <si>
    <t>Q14244</t>
  </si>
  <si>
    <t>Q14247</t>
  </si>
  <si>
    <t>Q14247-3</t>
  </si>
  <si>
    <t>Q14249</t>
  </si>
  <si>
    <t>Q14257</t>
  </si>
  <si>
    <t>Q14258</t>
  </si>
  <si>
    <t>Q14289-2</t>
  </si>
  <si>
    <t>Q14315</t>
  </si>
  <si>
    <t>Q14318-2</t>
  </si>
  <si>
    <t>Q14320</t>
  </si>
  <si>
    <t>Q14331</t>
  </si>
  <si>
    <t>Q14344</t>
  </si>
  <si>
    <t>Q14353</t>
  </si>
  <si>
    <t>Q14376</t>
  </si>
  <si>
    <t>Q14444-2</t>
  </si>
  <si>
    <t>Q14457</t>
  </si>
  <si>
    <t>Q14469</t>
  </si>
  <si>
    <t>Q14498-2</t>
  </si>
  <si>
    <t>Q14517</t>
  </si>
  <si>
    <t>Q14520-2</t>
  </si>
  <si>
    <t>Q14527</t>
  </si>
  <si>
    <t>Q14534</t>
  </si>
  <si>
    <t>Q14554</t>
  </si>
  <si>
    <t>Q14558</t>
  </si>
  <si>
    <t>Q14562</t>
  </si>
  <si>
    <t>Q14566</t>
  </si>
  <si>
    <t>Q14573</t>
  </si>
  <si>
    <t>Q14644</t>
  </si>
  <si>
    <t>Q14651</t>
  </si>
  <si>
    <t>Q14653</t>
  </si>
  <si>
    <t>Q14657</t>
  </si>
  <si>
    <t>Q14669-3</t>
  </si>
  <si>
    <t>Q14671</t>
  </si>
  <si>
    <t>Q14674</t>
  </si>
  <si>
    <t>Q14676</t>
  </si>
  <si>
    <t>Q14677</t>
  </si>
  <si>
    <t>Q14680-3</t>
  </si>
  <si>
    <t>Q14681</t>
  </si>
  <si>
    <t>Q14683</t>
  </si>
  <si>
    <t>Q14684-2</t>
  </si>
  <si>
    <t>Q14686</t>
  </si>
  <si>
    <t>Q14687-2</t>
  </si>
  <si>
    <t>Q14690</t>
  </si>
  <si>
    <t>Q14691</t>
  </si>
  <si>
    <t>Q14692</t>
  </si>
  <si>
    <t>Q14694</t>
  </si>
  <si>
    <t>Q14696</t>
  </si>
  <si>
    <t>Q14697</t>
  </si>
  <si>
    <t>Q14697-2</t>
  </si>
  <si>
    <t>Q14739</t>
  </si>
  <si>
    <t>Q14781</t>
  </si>
  <si>
    <t>Q14789-2</t>
  </si>
  <si>
    <t>Q14790</t>
  </si>
  <si>
    <t>Q147X3</t>
  </si>
  <si>
    <t>Q14807</t>
  </si>
  <si>
    <t>Q14847</t>
  </si>
  <si>
    <t>Q14966-3</t>
  </si>
  <si>
    <t>Q14974</t>
  </si>
  <si>
    <t>Q14978-2</t>
  </si>
  <si>
    <t>Q14980</t>
  </si>
  <si>
    <t>Q14997</t>
  </si>
  <si>
    <t>Q14BN4</t>
  </si>
  <si>
    <t>Q14C86-6</t>
  </si>
  <si>
    <t>Q14CX7</t>
  </si>
  <si>
    <t>Q14CZ7</t>
  </si>
  <si>
    <t>Q15003</t>
  </si>
  <si>
    <t>Q15004</t>
  </si>
  <si>
    <t>Q15006</t>
  </si>
  <si>
    <t>Q15007</t>
  </si>
  <si>
    <t>Q15008</t>
  </si>
  <si>
    <t>Q15011-3</t>
  </si>
  <si>
    <t>Q15012</t>
  </si>
  <si>
    <t>Q15013</t>
  </si>
  <si>
    <t>Q15018</t>
  </si>
  <si>
    <t>Q15019</t>
  </si>
  <si>
    <t>Q15020</t>
  </si>
  <si>
    <t>Q15021</t>
  </si>
  <si>
    <t>Q15024</t>
  </si>
  <si>
    <t>Q15029-2</t>
  </si>
  <si>
    <t>Q15032-2</t>
  </si>
  <si>
    <t>Q15036-2</t>
  </si>
  <si>
    <t>Q15038-2</t>
  </si>
  <si>
    <t>Q15042</t>
  </si>
  <si>
    <t>Q15043-2</t>
  </si>
  <si>
    <t>Q15046</t>
  </si>
  <si>
    <t>Q15047-3</t>
  </si>
  <si>
    <t>Q15048</t>
  </si>
  <si>
    <t>Q15056</t>
  </si>
  <si>
    <t>Q15056-2</t>
  </si>
  <si>
    <t>Q15057</t>
  </si>
  <si>
    <t>Q15058</t>
  </si>
  <si>
    <t>Q15059</t>
  </si>
  <si>
    <t>Q15061</t>
  </si>
  <si>
    <t>Q15067-2</t>
  </si>
  <si>
    <t>Q15075</t>
  </si>
  <si>
    <t>Q15102</t>
  </si>
  <si>
    <t>Q15111</t>
  </si>
  <si>
    <t>Q15118</t>
  </si>
  <si>
    <t>Q15121</t>
  </si>
  <si>
    <t>Q15126</t>
  </si>
  <si>
    <t>Q15131</t>
  </si>
  <si>
    <t>Q15149-4</t>
  </si>
  <si>
    <t>Q15155</t>
  </si>
  <si>
    <t>Q15172</t>
  </si>
  <si>
    <t>Q15173-2</t>
  </si>
  <si>
    <t>Q15181</t>
  </si>
  <si>
    <t>Q15208</t>
  </si>
  <si>
    <t>Q15233</t>
  </si>
  <si>
    <t>Q15269</t>
  </si>
  <si>
    <t>Q15274</t>
  </si>
  <si>
    <t>Q15276</t>
  </si>
  <si>
    <t>Q15286</t>
  </si>
  <si>
    <t>Q15291</t>
  </si>
  <si>
    <t>Q15293</t>
  </si>
  <si>
    <t>Q15311</t>
  </si>
  <si>
    <t>Q15334</t>
  </si>
  <si>
    <t>Q15345-3</t>
  </si>
  <si>
    <t>Q15363</t>
  </si>
  <si>
    <t>Q15365</t>
  </si>
  <si>
    <t>Q15366-3</t>
  </si>
  <si>
    <t>Q15366-6</t>
  </si>
  <si>
    <t>Q15370</t>
  </si>
  <si>
    <t>Q15382</t>
  </si>
  <si>
    <t>Q15386</t>
  </si>
  <si>
    <t>Q15393</t>
  </si>
  <si>
    <t>Q15398-3</t>
  </si>
  <si>
    <t>Q15404</t>
  </si>
  <si>
    <t>Q15424-2</t>
  </si>
  <si>
    <t>Q15428</t>
  </si>
  <si>
    <t>Q15435</t>
  </si>
  <si>
    <t>Q15437</t>
  </si>
  <si>
    <t>Q15459</t>
  </si>
  <si>
    <t>Q15464-2</t>
  </si>
  <si>
    <t>Q15506</t>
  </si>
  <si>
    <t>Q15526-2</t>
  </si>
  <si>
    <t>Q15527</t>
  </si>
  <si>
    <t>Q15542-2</t>
  </si>
  <si>
    <t>Q15543</t>
  </si>
  <si>
    <t>Q15544-2</t>
  </si>
  <si>
    <t>Q15545</t>
  </si>
  <si>
    <t>Q15554-3</t>
  </si>
  <si>
    <t>Q15555</t>
  </si>
  <si>
    <t>Q15596</t>
  </si>
  <si>
    <t>Q15599-2</t>
  </si>
  <si>
    <t>Q15628</t>
  </si>
  <si>
    <t>Q15637-5</t>
  </si>
  <si>
    <t>Q15637-6</t>
  </si>
  <si>
    <t>Q15642</t>
  </si>
  <si>
    <t>Q15642-2</t>
  </si>
  <si>
    <t>Q15643</t>
  </si>
  <si>
    <t>Q15645</t>
  </si>
  <si>
    <t>Q15648</t>
  </si>
  <si>
    <t>Q15649</t>
  </si>
  <si>
    <t>Q15650</t>
  </si>
  <si>
    <t>Q15651</t>
  </si>
  <si>
    <t>Q15652-3</t>
  </si>
  <si>
    <t>Q15653</t>
  </si>
  <si>
    <t>Q15654</t>
  </si>
  <si>
    <t>Q15691</t>
  </si>
  <si>
    <t>Q15714-2</t>
  </si>
  <si>
    <t>Q15717</t>
  </si>
  <si>
    <t>Q15738</t>
  </si>
  <si>
    <t>Q15742-3</t>
  </si>
  <si>
    <t>Q15743</t>
  </si>
  <si>
    <t>Q15746-4</t>
  </si>
  <si>
    <t>Q15750</t>
  </si>
  <si>
    <t>Q15751</t>
  </si>
  <si>
    <t>Q15758</t>
  </si>
  <si>
    <t>Q15759</t>
  </si>
  <si>
    <t>Q15773</t>
  </si>
  <si>
    <t>Q15785</t>
  </si>
  <si>
    <t>Q15796-2</t>
  </si>
  <si>
    <t>Q15800-2</t>
  </si>
  <si>
    <t>Q15814</t>
  </si>
  <si>
    <t>Q15819</t>
  </si>
  <si>
    <t>Q15831</t>
  </si>
  <si>
    <t>Q15833</t>
  </si>
  <si>
    <t>Q15836</t>
  </si>
  <si>
    <t>Q15904</t>
  </si>
  <si>
    <t>Q15906</t>
  </si>
  <si>
    <t>Q15907</t>
  </si>
  <si>
    <t>Q15910-3</t>
  </si>
  <si>
    <t>Q15942</t>
  </si>
  <si>
    <t>Q16134</t>
  </si>
  <si>
    <t>Q16181</t>
  </si>
  <si>
    <t>Q16186</t>
  </si>
  <si>
    <t>Q16204</t>
  </si>
  <si>
    <t>Q16222-2</t>
  </si>
  <si>
    <t>Q16384</t>
  </si>
  <si>
    <t>Q16401-2</t>
  </si>
  <si>
    <t>Q16512</t>
  </si>
  <si>
    <t>Q16513-2</t>
  </si>
  <si>
    <t>Q16514-2</t>
  </si>
  <si>
    <t>Q16531</t>
  </si>
  <si>
    <t>Q16539</t>
  </si>
  <si>
    <t>Q16539-2</t>
  </si>
  <si>
    <t>Q16543</t>
  </si>
  <si>
    <t>Q16555-2</t>
  </si>
  <si>
    <t>Q16576</t>
  </si>
  <si>
    <t>Q16587-5</t>
  </si>
  <si>
    <t>Q16594</t>
  </si>
  <si>
    <t>Q16600</t>
  </si>
  <si>
    <t>Q16610</t>
  </si>
  <si>
    <t>Q16626</t>
  </si>
  <si>
    <t>Q16630</t>
  </si>
  <si>
    <t>Q16643-2</t>
  </si>
  <si>
    <t>Q16644</t>
  </si>
  <si>
    <t>Q16656-2</t>
  </si>
  <si>
    <t>Q16658</t>
  </si>
  <si>
    <t>Q16706</t>
  </si>
  <si>
    <t>Q16718</t>
  </si>
  <si>
    <t>Q16720-8</t>
  </si>
  <si>
    <t>Q16739</t>
  </si>
  <si>
    <t>Q16740</t>
  </si>
  <si>
    <t>Q16762</t>
  </si>
  <si>
    <t>Q16763</t>
  </si>
  <si>
    <t>Q16778</t>
  </si>
  <si>
    <t>Q16795</t>
  </si>
  <si>
    <t>Q16822</t>
  </si>
  <si>
    <t>Q16850</t>
  </si>
  <si>
    <t>Q16854</t>
  </si>
  <si>
    <t>Q16864</t>
  </si>
  <si>
    <t>Q16880</t>
  </si>
  <si>
    <t>Q16891-2</t>
  </si>
  <si>
    <t>Q17RU2</t>
  </si>
  <si>
    <t>Q1ED39</t>
  </si>
  <si>
    <t>Q1KMD3</t>
  </si>
  <si>
    <t>Q1L5Z9</t>
  </si>
  <si>
    <t>Q1MSJ5-1</t>
  </si>
  <si>
    <t>Q27J81-2</t>
  </si>
  <si>
    <t>Q29980</t>
  </si>
  <si>
    <t>Q29RF7</t>
  </si>
  <si>
    <t>Q2KHR3-2</t>
  </si>
  <si>
    <t>Q2KHT3</t>
  </si>
  <si>
    <t>Q2M2I8-2</t>
  </si>
  <si>
    <t>Q2M389</t>
  </si>
  <si>
    <t>Q2NKX8</t>
  </si>
  <si>
    <t>Q2NKX9-3</t>
  </si>
  <si>
    <t>Q2NL82</t>
  </si>
  <si>
    <t>Q2TAA5</t>
  </si>
  <si>
    <t>Q2TAL8</t>
  </si>
  <si>
    <t>Q2TAM5</t>
  </si>
  <si>
    <t>Q2TAY7</t>
  </si>
  <si>
    <t>Q2TBE0</t>
  </si>
  <si>
    <t>Q32MZ4-2</t>
  </si>
  <si>
    <t>Q32MZ4-3</t>
  </si>
  <si>
    <t>Q32N00</t>
  </si>
  <si>
    <t>Q32NB8</t>
  </si>
  <si>
    <t>Q32P28</t>
  </si>
  <si>
    <t>Q32P41</t>
  </si>
  <si>
    <t>Q32Q12</t>
  </si>
  <si>
    <t>Q3B726</t>
  </si>
  <si>
    <t>Q3B7T1-5</t>
  </si>
  <si>
    <t>Q3BDU3</t>
  </si>
  <si>
    <t>Q3KQU3-2</t>
  </si>
  <si>
    <t>Q3KQV9</t>
  </si>
  <si>
    <t>Q3KRA9</t>
  </si>
  <si>
    <t>Q3LXA3</t>
  </si>
  <si>
    <t>Q3MHD2</t>
  </si>
  <si>
    <t>Q3MIT2</t>
  </si>
  <si>
    <t>Q3SXM5</t>
  </si>
  <si>
    <t>Q3SY56</t>
  </si>
  <si>
    <t>Q3V6T2-2</t>
  </si>
  <si>
    <t>Q3V6T2-5</t>
  </si>
  <si>
    <t>Q3YEC7</t>
  </si>
  <si>
    <t>Q3ZAQ7</t>
  </si>
  <si>
    <t>Q3ZCM7</t>
  </si>
  <si>
    <t>Q3ZCQ8</t>
  </si>
  <si>
    <t>Q49AN0</t>
  </si>
  <si>
    <t>Q49AR2</t>
  </si>
  <si>
    <t>Q49B96</t>
  </si>
  <si>
    <t>Q4G0F5</t>
  </si>
  <si>
    <t>Q4G0I0</t>
  </si>
  <si>
    <t>Q4G0J3</t>
  </si>
  <si>
    <t>Q4G0N4</t>
  </si>
  <si>
    <t>Q4G148-2</t>
  </si>
  <si>
    <t>Q4G176</t>
  </si>
  <si>
    <t>Q4J6C6-4</t>
  </si>
  <si>
    <t>Q4KMP7</t>
  </si>
  <si>
    <t>Q4KMQ2-3</t>
  </si>
  <si>
    <t>Q4KWH8-3</t>
  </si>
  <si>
    <t>Q4LDG9</t>
  </si>
  <si>
    <t>Q4LE39-2</t>
  </si>
  <si>
    <t>Q4V328</t>
  </si>
  <si>
    <t>Q4VAR0</t>
  </si>
  <si>
    <t>Q4VC05-2</t>
  </si>
  <si>
    <t>Q4VXZ8</t>
  </si>
  <si>
    <t>Q4ZIN3-2</t>
  </si>
  <si>
    <t>Q504Q3-2</t>
  </si>
  <si>
    <t>Q52LJ0-2</t>
  </si>
  <si>
    <t>Q53EL6-2</t>
  </si>
  <si>
    <t>Q53EP0-2</t>
  </si>
  <si>
    <t>Q53EU6</t>
  </si>
  <si>
    <t>Q53EZ4-2</t>
  </si>
  <si>
    <t>Q53FA7</t>
  </si>
  <si>
    <t>Q53FT3</t>
  </si>
  <si>
    <t>Q53FZ2</t>
  </si>
  <si>
    <t>Q53GQ0</t>
  </si>
  <si>
    <t>Q53H47</t>
  </si>
  <si>
    <t>Q53H54</t>
  </si>
  <si>
    <t>Q53H82</t>
  </si>
  <si>
    <t>Q53H96</t>
  </si>
  <si>
    <t>Q53R41</t>
  </si>
  <si>
    <t>Q53RE8</t>
  </si>
  <si>
    <t>Q53S33</t>
  </si>
  <si>
    <t>Q53T59</t>
  </si>
  <si>
    <t>Q53TN4-3</t>
  </si>
  <si>
    <t>Q562F6-2</t>
  </si>
  <si>
    <t>Q567V2-2</t>
  </si>
  <si>
    <t>Q587I9</t>
  </si>
  <si>
    <t>Q58A45</t>
  </si>
  <si>
    <t>Q58FF7</t>
  </si>
  <si>
    <t>Q58FF8</t>
  </si>
  <si>
    <t>Q58FG1</t>
  </si>
  <si>
    <t>Q58WW2</t>
  </si>
  <si>
    <t>Q59GN2</t>
  </si>
  <si>
    <t>Q5BKU9</t>
  </si>
  <si>
    <t>Q5BKX5-3</t>
  </si>
  <si>
    <t>Q5BKX6-2</t>
  </si>
  <si>
    <t>Q5DTB0</t>
  </si>
  <si>
    <t>Q5EBL4</t>
  </si>
  <si>
    <t>Q5EBL8</t>
  </si>
  <si>
    <t>Q5EBM0</t>
  </si>
  <si>
    <t>Q5F1R6</t>
  </si>
  <si>
    <t>Q5GLZ8-3</t>
  </si>
  <si>
    <t>Q5H8X8</t>
  </si>
  <si>
    <t>Q5H937</t>
  </si>
  <si>
    <t>Q5H9A7</t>
  </si>
  <si>
    <t>Q5HY40</t>
  </si>
  <si>
    <t>Q5HYI8</t>
  </si>
  <si>
    <t>Q5HYZ1</t>
  </si>
  <si>
    <t>Q5J1K9</t>
  </si>
  <si>
    <t>Q5JP01</t>
  </si>
  <si>
    <t>Q5JP53</t>
  </si>
  <si>
    <t>Q5JPE7-2</t>
  </si>
  <si>
    <t>Q5JPH6</t>
  </si>
  <si>
    <t>Q5JR08</t>
  </si>
  <si>
    <t>Q5JRA6</t>
  </si>
  <si>
    <t>Q5JRG1</t>
  </si>
  <si>
    <t>Q5JRI1</t>
  </si>
  <si>
    <t>Q5JRL0</t>
  </si>
  <si>
    <t>Q5JRX3</t>
  </si>
  <si>
    <t>Q5JS54</t>
  </si>
  <si>
    <t>Q5JSH3-2</t>
  </si>
  <si>
    <t>Q5JSK7</t>
  </si>
  <si>
    <t>Q5JSZ5</t>
  </si>
  <si>
    <t>Q5JTC4</t>
  </si>
  <si>
    <t>Q5JTD0-2</t>
  </si>
  <si>
    <t>Q5JTH9-2</t>
  </si>
  <si>
    <t>Q5JTJ3-3</t>
  </si>
  <si>
    <t>Q5JTP4</t>
  </si>
  <si>
    <t>Q5JTV1</t>
  </si>
  <si>
    <t>Q5JTV8</t>
  </si>
  <si>
    <t>Q5JTZ9</t>
  </si>
  <si>
    <t>Q5JU69</t>
  </si>
  <si>
    <t>Q5JU85-3</t>
  </si>
  <si>
    <t>Q5JUE6</t>
  </si>
  <si>
    <t>Q5JUQ0</t>
  </si>
  <si>
    <t>Q5JUR7</t>
  </si>
  <si>
    <t>Q5JUW8</t>
  </si>
  <si>
    <t>Q5JVF3-3</t>
  </si>
  <si>
    <t>Q5JVZ5</t>
  </si>
  <si>
    <t>Q5JW30</t>
  </si>
  <si>
    <t>Q5JWB9</t>
  </si>
  <si>
    <t>Q5JWM4</t>
  </si>
  <si>
    <t>Q5JWT2</t>
  </si>
  <si>
    <t>Q5JXC2</t>
  </si>
  <si>
    <t>Q5JXX2</t>
  </si>
  <si>
    <t>Q5JY65</t>
  </si>
  <si>
    <t>Q5LJA5</t>
  </si>
  <si>
    <t>Q5M775</t>
  </si>
  <si>
    <t>Q5MIZ7-3</t>
  </si>
  <si>
    <t>Q5MNZ6</t>
  </si>
  <si>
    <t>Q5NDL2</t>
  </si>
  <si>
    <t>Q5QJE6</t>
  </si>
  <si>
    <t>Q5QNY5</t>
  </si>
  <si>
    <t>Q5QNZ2</t>
  </si>
  <si>
    <t>Q5QP56</t>
  </si>
  <si>
    <t>Q5QP82-2</t>
  </si>
  <si>
    <t>Q5QPA5</t>
  </si>
  <si>
    <t>Q5QPC2</t>
  </si>
  <si>
    <t>Q5QPK2</t>
  </si>
  <si>
    <t>Q5R372-4</t>
  </si>
  <si>
    <t>Q5R3B4</t>
  </si>
  <si>
    <t>Q5R3I4</t>
  </si>
  <si>
    <t>Q5RI15</t>
  </si>
  <si>
    <t>Q5RKV6</t>
  </si>
  <si>
    <t>Q5SNW6</t>
  </si>
  <si>
    <t>Q5SR50</t>
  </si>
  <si>
    <t>Q5SR54</t>
  </si>
  <si>
    <t>Q5SR56</t>
  </si>
  <si>
    <t>Q5SRE5</t>
  </si>
  <si>
    <t>Q5SRN1</t>
  </si>
  <si>
    <t>Q5SRQ6</t>
  </si>
  <si>
    <t>Q5SSJ5</t>
  </si>
  <si>
    <t>Q5ST30</t>
  </si>
  <si>
    <t>Q5SVK8</t>
  </si>
  <si>
    <t>Q5SW79</t>
  </si>
  <si>
    <t>Q5SWX8-2</t>
  </si>
  <si>
    <t>Q5SX86</t>
  </si>
  <si>
    <t>Q5SXM8</t>
  </si>
  <si>
    <t>Q5SY16</t>
  </si>
  <si>
    <t>Q5SZ64</t>
  </si>
  <si>
    <t>Q5SZE3</t>
  </si>
  <si>
    <t>Q5SZR4</t>
  </si>
  <si>
    <t>Q5T0D9-2</t>
  </si>
  <si>
    <t>Q5T0Z6</t>
  </si>
  <si>
    <t>Q5T114</t>
  </si>
  <si>
    <t>Q5T123</t>
  </si>
  <si>
    <t>Q5T160</t>
  </si>
  <si>
    <t>Q5T171</t>
  </si>
  <si>
    <t>Q5T179</t>
  </si>
  <si>
    <t>Q5T1C6</t>
  </si>
  <si>
    <t>Q5T1M5</t>
  </si>
  <si>
    <t>Q5T1V6</t>
  </si>
  <si>
    <t>Q5T1Z0</t>
  </si>
  <si>
    <t>Q5T1Z4</t>
  </si>
  <si>
    <t>Q5T200</t>
  </si>
  <si>
    <t>Q5T280</t>
  </si>
  <si>
    <t>Q5T2D3</t>
  </si>
  <si>
    <t>Q5T2J3</t>
  </si>
  <si>
    <t>Q5T2R2-3</t>
  </si>
  <si>
    <t>Q5T3J3-2</t>
  </si>
  <si>
    <t>Q5T3N1</t>
  </si>
  <si>
    <t>Q5T3Q7</t>
  </si>
  <si>
    <t>Q5T3U5-2</t>
  </si>
  <si>
    <t>Q5T418</t>
  </si>
  <si>
    <t>Q5T440</t>
  </si>
  <si>
    <t>Q5T447</t>
  </si>
  <si>
    <t>Q5T4B9</t>
  </si>
  <si>
    <t>Q5T4D3-2</t>
  </si>
  <si>
    <t>Q5T4S7-3</t>
  </si>
  <si>
    <t>Q5T4U5</t>
  </si>
  <si>
    <t>Q5T4U8</t>
  </si>
  <si>
    <t>Q5T5C0-3</t>
  </si>
  <si>
    <t>Q5T5C7</t>
  </si>
  <si>
    <t>Q5T5U3</t>
  </si>
  <si>
    <t>Q5T5X7</t>
  </si>
  <si>
    <t>Q5T5Y3</t>
  </si>
  <si>
    <t>Q5T6F0</t>
  </si>
  <si>
    <t>Q5T6F2</t>
  </si>
  <si>
    <t>Q5T6S3</t>
  </si>
  <si>
    <t>Q5T6S3-2</t>
  </si>
  <si>
    <t>Q5T6V5</t>
  </si>
  <si>
    <t>Q5T6Z8</t>
  </si>
  <si>
    <t>Q5T7A4</t>
  </si>
  <si>
    <t>Q5T7V8</t>
  </si>
  <si>
    <t>Q5T8D3-4</t>
  </si>
  <si>
    <t>Q5T8I0</t>
  </si>
  <si>
    <t>Q5T8I3-2</t>
  </si>
  <si>
    <t>Q5T8P6-2</t>
  </si>
  <si>
    <t>Q5T8U5</t>
  </si>
  <si>
    <t>Q5T9A4</t>
  </si>
  <si>
    <t>Q5T9B7</t>
  </si>
  <si>
    <t>Q5T9U4</t>
  </si>
  <si>
    <t>Q5T9W8</t>
  </si>
  <si>
    <t>Q5TA02</t>
  </si>
  <si>
    <t>Q5TA31</t>
  </si>
  <si>
    <t>Q5TA45-2</t>
  </si>
  <si>
    <t>Q5TA50</t>
  </si>
  <si>
    <t>Q5TA58</t>
  </si>
  <si>
    <t>Q5TAA8</t>
  </si>
  <si>
    <t>Q5TAW7</t>
  </si>
  <si>
    <t>Q5TAX3</t>
  </si>
  <si>
    <t>Q5TBB1</t>
  </si>
  <si>
    <t>Q5TBP5</t>
  </si>
  <si>
    <t>Q5TBP9</t>
  </si>
  <si>
    <t>Q5TC82-2</t>
  </si>
  <si>
    <t>Q5TD07</t>
  </si>
  <si>
    <t>Q5TDG9</t>
  </si>
  <si>
    <t>Q5TDH0</t>
  </si>
  <si>
    <t>Q5TEU4</t>
  </si>
  <si>
    <t>Q5TFA5</t>
  </si>
  <si>
    <t>Q5TFE4</t>
  </si>
  <si>
    <t>Q5TGE1</t>
  </si>
  <si>
    <t>Q5TH30</t>
  </si>
  <si>
    <t>Q5THJ4-2</t>
  </si>
  <si>
    <t>Q5THK1-3</t>
  </si>
  <si>
    <t>Q5TI78</t>
  </si>
  <si>
    <t>Q5TIE1</t>
  </si>
  <si>
    <t>Q5TIH2</t>
  </si>
  <si>
    <t>Q5U5X0</t>
  </si>
  <si>
    <t>Q5UIP0</t>
  </si>
  <si>
    <t>Q5VIR6-4</t>
  </si>
  <si>
    <t>Q5VSL9</t>
  </si>
  <si>
    <t>Q5VT52</t>
  </si>
  <si>
    <t>Q5VT94</t>
  </si>
  <si>
    <t>Q5VTD9-2</t>
  </si>
  <si>
    <t>Q5VTL8</t>
  </si>
  <si>
    <t>Q5VTR2</t>
  </si>
  <si>
    <t>Q5VTU3</t>
  </si>
  <si>
    <t>Q5VU58</t>
  </si>
  <si>
    <t>Q5VUA4</t>
  </si>
  <si>
    <t>Q5VV42</t>
  </si>
  <si>
    <t>Q5VV50</t>
  </si>
  <si>
    <t>Q5VV87</t>
  </si>
  <si>
    <t>Q5VVD7</t>
  </si>
  <si>
    <t>Q5VVJ2-2</t>
  </si>
  <si>
    <t>Q5VVQ6</t>
  </si>
  <si>
    <t>Q5VW32</t>
  </si>
  <si>
    <t>Q5VW52</t>
  </si>
  <si>
    <t>Q5VWC4</t>
  </si>
  <si>
    <t>Q5VWJ9</t>
  </si>
  <si>
    <t>Q5VWP2</t>
  </si>
  <si>
    <t>Q5VWQ0</t>
  </si>
  <si>
    <t>Q5VWV2</t>
  </si>
  <si>
    <t>Q5VWZ2</t>
  </si>
  <si>
    <t>Q5VY93</t>
  </si>
  <si>
    <t>Q5VZ66-2</t>
  </si>
  <si>
    <t>Q5VZE5</t>
  </si>
  <si>
    <t>Q5VZI3-2</t>
  </si>
  <si>
    <t>Q5VZL5-4</t>
  </si>
  <si>
    <t>Q5VZR0</t>
  </si>
  <si>
    <t>Q5VZU9</t>
  </si>
  <si>
    <t>Q5VZZ6</t>
  </si>
  <si>
    <t>Q5W0A2</t>
  </si>
  <si>
    <t>Q5W0V3</t>
  </si>
  <si>
    <t>Q5W111-2</t>
  </si>
  <si>
    <t>Q5W145</t>
  </si>
  <si>
    <t>Q5XKP0</t>
  </si>
  <si>
    <t>Q5XPI4</t>
  </si>
  <si>
    <t>Q5XUX1-3</t>
  </si>
  <si>
    <t>Q63HN8</t>
  </si>
  <si>
    <t>Q643R3</t>
  </si>
  <si>
    <t>Q658P3-3</t>
  </si>
  <si>
    <t>Q66GS9</t>
  </si>
  <si>
    <t>Q66K14-2</t>
  </si>
  <si>
    <t>Q66K64</t>
  </si>
  <si>
    <t>Q66LE6</t>
  </si>
  <si>
    <t>Q66PJ3</t>
  </si>
  <si>
    <t>Q66S35</t>
  </si>
  <si>
    <t>Q674X7-3</t>
  </si>
  <si>
    <t>Q68CQ4</t>
  </si>
  <si>
    <t>Q68D10-2</t>
  </si>
  <si>
    <t>Q68D85</t>
  </si>
  <si>
    <t>Q68D91</t>
  </si>
  <si>
    <t>Q68DH5</t>
  </si>
  <si>
    <t>Q68E01-2</t>
  </si>
  <si>
    <t>Q68EM7-6</t>
  </si>
  <si>
    <t>Q69YH5</t>
  </si>
  <si>
    <t>Q69YL0</t>
  </si>
  <si>
    <t>Q69YM1</t>
  </si>
  <si>
    <t>Q69YN2</t>
  </si>
  <si>
    <t>Q69YN4-3</t>
  </si>
  <si>
    <t>Q69YQ0-2</t>
  </si>
  <si>
    <t>Q69YU5</t>
  </si>
  <si>
    <t>Q6AI08</t>
  </si>
  <si>
    <t>Q6AI12</t>
  </si>
  <si>
    <t>Q6BCY4-2</t>
  </si>
  <si>
    <t>Q6BDS2</t>
  </si>
  <si>
    <t>Q6DCA0</t>
  </si>
  <si>
    <t>Q6DD87</t>
  </si>
  <si>
    <t>Q6DD88</t>
  </si>
  <si>
    <t>Q6DHV7</t>
  </si>
  <si>
    <t>Q6DT37</t>
  </si>
  <si>
    <t>Q6EEV4-2</t>
  </si>
  <si>
    <t>Q6EMK4</t>
  </si>
  <si>
    <t>Q6FI81</t>
  </si>
  <si>
    <t>Q6FIF0-2</t>
  </si>
  <si>
    <t>Q6GMV2</t>
  </si>
  <si>
    <t>Q6GMV3</t>
  </si>
  <si>
    <t>Q6GQQ9</t>
  </si>
  <si>
    <t>Q6I9Y2</t>
  </si>
  <si>
    <t>Q6IA69</t>
  </si>
  <si>
    <t>Q6IA86-3</t>
  </si>
  <si>
    <t>Q6IAA8</t>
  </si>
  <si>
    <t>Q6IAN0</t>
  </si>
  <si>
    <t>Q6IBS0</t>
  </si>
  <si>
    <t>Q6IBW4-2</t>
  </si>
  <si>
    <t>Q6IC98</t>
  </si>
  <si>
    <t>Q6IN84</t>
  </si>
  <si>
    <t>Q6IN85</t>
  </si>
  <si>
    <t>Q6IPR1</t>
  </si>
  <si>
    <t>Q6IPR3</t>
  </si>
  <si>
    <t>Q6IPU0</t>
  </si>
  <si>
    <t>Q6IQ22</t>
  </si>
  <si>
    <t>Q6IQ49-2</t>
  </si>
  <si>
    <t>Q6J164</t>
  </si>
  <si>
    <t>Q6JHV3</t>
  </si>
  <si>
    <t>Q6KC79-2</t>
  </si>
  <si>
    <t>Q6KCM7</t>
  </si>
  <si>
    <t>Q6MZP7-2</t>
  </si>
  <si>
    <t>Q6N063</t>
  </si>
  <si>
    <t>Q6N069</t>
  </si>
  <si>
    <t>Q6NSH3</t>
  </si>
  <si>
    <t>Q6NSJ5</t>
  </si>
  <si>
    <t>Q6NT16</t>
  </si>
  <si>
    <t>Q6NTE8</t>
  </si>
  <si>
    <t>Q6NUK1</t>
  </si>
  <si>
    <t>Q6NUK4-2</t>
  </si>
  <si>
    <t>Q6NUM9</t>
  </si>
  <si>
    <t>Q6NUQ1</t>
  </si>
  <si>
    <t>Q6NUQ4-2</t>
  </si>
  <si>
    <t>Q6NVY1</t>
  </si>
  <si>
    <t>Q6NXE6-2</t>
  </si>
  <si>
    <t>Q6NXT1</t>
  </si>
  <si>
    <t>Q6NXT6</t>
  </si>
  <si>
    <t>Q6NYC8</t>
  </si>
  <si>
    <t>Q6NZI2</t>
  </si>
  <si>
    <t>Q6NZY4</t>
  </si>
  <si>
    <t>Q6P161</t>
  </si>
  <si>
    <t>Q6P1J9</t>
  </si>
  <si>
    <t>Q6P1K2-4</t>
  </si>
  <si>
    <t>Q6P1K8</t>
  </si>
  <si>
    <t>Q6P1L5-2</t>
  </si>
  <si>
    <t>Q6P1L8</t>
  </si>
  <si>
    <t>Q6P1M0</t>
  </si>
  <si>
    <t>Q6P1N0-2</t>
  </si>
  <si>
    <t>Q6P1Q9</t>
  </si>
  <si>
    <t>Q6P1R4</t>
  </si>
  <si>
    <t>Q6P1X5</t>
  </si>
  <si>
    <t>Q6P2C8-2</t>
  </si>
  <si>
    <t>Q6P2E9</t>
  </si>
  <si>
    <t>Q6P2H3-2</t>
  </si>
  <si>
    <t>Q6P2P2</t>
  </si>
  <si>
    <t>Q6P2Q9</t>
  </si>
  <si>
    <t>Q6P3S1-5</t>
  </si>
  <si>
    <t>Q6P3S6</t>
  </si>
  <si>
    <t>Q6P3W7</t>
  </si>
  <si>
    <t>Q6P3X3</t>
  </si>
  <si>
    <t>Q6P444</t>
  </si>
  <si>
    <t>Q6P499-2</t>
  </si>
  <si>
    <t>Q6P4A7</t>
  </si>
  <si>
    <t>Q6P4A8</t>
  </si>
  <si>
    <t>Q6P4E1</t>
  </si>
  <si>
    <t>Q6P4F2</t>
  </si>
  <si>
    <t>Q6P4I2</t>
  </si>
  <si>
    <t>Q6P582</t>
  </si>
  <si>
    <t>Q6P587</t>
  </si>
  <si>
    <t>Q6P5X5</t>
  </si>
  <si>
    <t>Q6P5Z2</t>
  </si>
  <si>
    <t>Q6P6B7-2</t>
  </si>
  <si>
    <t>Q6P6C2-3</t>
  </si>
  <si>
    <t>Q6P9B6</t>
  </si>
  <si>
    <t>Q6P9F7</t>
  </si>
  <si>
    <t>Q6PCB5</t>
  </si>
  <si>
    <t>Q6PCE3</t>
  </si>
  <si>
    <t>Q6PD62</t>
  </si>
  <si>
    <t>Q6PD74</t>
  </si>
  <si>
    <t>Q6PGN9-2</t>
  </si>
  <si>
    <t>Q6PH81</t>
  </si>
  <si>
    <t>Q6PI48</t>
  </si>
  <si>
    <t>Q6PID6</t>
  </si>
  <si>
    <t>Q6PII3</t>
  </si>
  <si>
    <t>Q6PII5-2</t>
  </si>
  <si>
    <t>Q6PIJ6-2</t>
  </si>
  <si>
    <t>Q6PIR0</t>
  </si>
  <si>
    <t>Q6PIW4-2</t>
  </si>
  <si>
    <t>Q6PJ61</t>
  </si>
  <si>
    <t>Q6PJ69</t>
  </si>
  <si>
    <t>Q6PJG6</t>
  </si>
  <si>
    <t>Q6PJT7-5</t>
  </si>
  <si>
    <t>Q6PJW8</t>
  </si>
  <si>
    <t>Q6PK18</t>
  </si>
  <si>
    <t>Q6PK81-2</t>
  </si>
  <si>
    <t>Q6PKC3-2</t>
  </si>
  <si>
    <t>Q6PKG0</t>
  </si>
  <si>
    <t>Q6PL24</t>
  </si>
  <si>
    <t>Q6PML9</t>
  </si>
  <si>
    <t>Q6PUV4</t>
  </si>
  <si>
    <t>Q6QNY0</t>
  </si>
  <si>
    <t>Q6QNY1</t>
  </si>
  <si>
    <t>Q6R327</t>
  </si>
  <si>
    <t>Q6RFH5-2</t>
  </si>
  <si>
    <t>Q6RW13</t>
  </si>
  <si>
    <t>Q6S8J3</t>
  </si>
  <si>
    <t>Q6SPF0</t>
  </si>
  <si>
    <t>Q6STE5-2</t>
  </si>
  <si>
    <t>Q6T4P5</t>
  </si>
  <si>
    <t>Q6UB35</t>
  </si>
  <si>
    <t>Q6UB99</t>
  </si>
  <si>
    <t>Q6ULP2-5</t>
  </si>
  <si>
    <t>Q6UN15-5</t>
  </si>
  <si>
    <t>Q6UUV7-3</t>
  </si>
  <si>
    <t>Q6UUV9-3</t>
  </si>
  <si>
    <t>Q6UW63</t>
  </si>
  <si>
    <t>Q6UW78</t>
  </si>
  <si>
    <t>Q6UWB1</t>
  </si>
  <si>
    <t>Q6UWE0</t>
  </si>
  <si>
    <t>Q6UWP2</t>
  </si>
  <si>
    <t>Q6UWP7-3</t>
  </si>
  <si>
    <t>Q6UWS5</t>
  </si>
  <si>
    <t>Q6UWU4</t>
  </si>
  <si>
    <t>Q6UX04</t>
  </si>
  <si>
    <t>Q6UX07</t>
  </si>
  <si>
    <t>Q6UXH1-4</t>
  </si>
  <si>
    <t>Q6UXN9</t>
  </si>
  <si>
    <t>Q6UXV4</t>
  </si>
  <si>
    <t>Q6UY14-2</t>
  </si>
  <si>
    <t>Q6VMQ6-2</t>
  </si>
  <si>
    <t>Q6VY07</t>
  </si>
  <si>
    <t>Q6W2J9-4</t>
  </si>
  <si>
    <t>Q6WKZ4</t>
  </si>
  <si>
    <t>Q6XQN6</t>
  </si>
  <si>
    <t>Q6XR72</t>
  </si>
  <si>
    <t>Q6Y1H2</t>
  </si>
  <si>
    <t>Q6Y7W6-4</t>
  </si>
  <si>
    <t>Q6YHU6-3</t>
  </si>
  <si>
    <t>Q6YN16</t>
  </si>
  <si>
    <t>Q6YP21-3</t>
  </si>
  <si>
    <t>Q6ZMI0</t>
  </si>
  <si>
    <t>Q6ZN04</t>
  </si>
  <si>
    <t>Q6ZN17</t>
  </si>
  <si>
    <t>Q6ZN54-4</t>
  </si>
  <si>
    <t>Q6ZNA5</t>
  </si>
  <si>
    <t>Q6ZNB6</t>
  </si>
  <si>
    <t>Q6ZNJ1-2</t>
  </si>
  <si>
    <t>Q6ZNW5</t>
  </si>
  <si>
    <t>Q6ZPD9</t>
  </si>
  <si>
    <t>Q6ZRP7</t>
  </si>
  <si>
    <t>Q6ZRS2-3</t>
  </si>
  <si>
    <t>Q6ZS17-2</t>
  </si>
  <si>
    <t>Q6ZSJ8</t>
  </si>
  <si>
    <t>Q6ZT12</t>
  </si>
  <si>
    <t>Q6ZT62</t>
  </si>
  <si>
    <t>Q6ZUT1-3</t>
  </si>
  <si>
    <t>Q6ZW49-4</t>
  </si>
  <si>
    <t>Q6ZXV5-2</t>
  </si>
  <si>
    <t>Q6ZYL4</t>
  </si>
  <si>
    <t>Q709C8-3</t>
  </si>
  <si>
    <t>Q70CQ2</t>
  </si>
  <si>
    <t>Q70IA6</t>
  </si>
  <si>
    <t>Q70J99</t>
  </si>
  <si>
    <t>Q70UQ0</t>
  </si>
  <si>
    <t>Q70UQ0-4</t>
  </si>
  <si>
    <t>Q70Z53-2</t>
  </si>
  <si>
    <t>Q712K3</t>
  </si>
  <si>
    <t>Q71RC2-5</t>
  </si>
  <si>
    <t>Q71SY5-5</t>
  </si>
  <si>
    <t>Q71TU5</t>
  </si>
  <si>
    <t>Q71UI9</t>
  </si>
  <si>
    <t>Q765P7</t>
  </si>
  <si>
    <t>Q7KYR7-5</t>
  </si>
  <si>
    <t>Q7KZ85</t>
  </si>
  <si>
    <t>Q7KZ85-2</t>
  </si>
  <si>
    <t>Q7KZF4</t>
  </si>
  <si>
    <t>Q7KZN9-2</t>
  </si>
  <si>
    <t>Q7L014</t>
  </si>
  <si>
    <t>Q7L099-2</t>
  </si>
  <si>
    <t>Q7L099-4</t>
  </si>
  <si>
    <t>Q7L0Y3</t>
  </si>
  <si>
    <t>Q7L1Q6</t>
  </si>
  <si>
    <t>Q7L1T6</t>
  </si>
  <si>
    <t>Q7L1W4</t>
  </si>
  <si>
    <t>Q7L211</t>
  </si>
  <si>
    <t>Q7L266</t>
  </si>
  <si>
    <t>Q7L273</t>
  </si>
  <si>
    <t>Q7L2H7</t>
  </si>
  <si>
    <t>Q7L2J0</t>
  </si>
  <si>
    <t>Q7L3T8</t>
  </si>
  <si>
    <t>Q7L4E1-3</t>
  </si>
  <si>
    <t>Q7L4I2</t>
  </si>
  <si>
    <t>Q7L523</t>
  </si>
  <si>
    <t>Q7L576</t>
  </si>
  <si>
    <t>Q7L592</t>
  </si>
  <si>
    <t>Q7L5D6</t>
  </si>
  <si>
    <t>Q7L5Y1</t>
  </si>
  <si>
    <t>Q7L5Y9</t>
  </si>
  <si>
    <t>Q7L775</t>
  </si>
  <si>
    <t>Q7L7X3</t>
  </si>
  <si>
    <t>Q7L8J4</t>
  </si>
  <si>
    <t>Q7L8L6</t>
  </si>
  <si>
    <t>Q7L8W6</t>
  </si>
  <si>
    <t>Q7LBC6</t>
  </si>
  <si>
    <t>Q7LBR1</t>
  </si>
  <si>
    <t>Q7LDG7</t>
  </si>
  <si>
    <t>Q7LG56</t>
  </si>
  <si>
    <t>Q7LGA3</t>
  </si>
  <si>
    <t>Q7RTN6-6</t>
  </si>
  <si>
    <t>Q7RTP0</t>
  </si>
  <si>
    <t>Q7RTP6</t>
  </si>
  <si>
    <t>Q7RTV0</t>
  </si>
  <si>
    <t>Q7Z2E3-3</t>
  </si>
  <si>
    <t>Q7Z2K8</t>
  </si>
  <si>
    <t>Q7Z2T5</t>
  </si>
  <si>
    <t>Q7Z2W4</t>
  </si>
  <si>
    <t>Q7Z2Z2</t>
  </si>
  <si>
    <t>Q7Z309-5</t>
  </si>
  <si>
    <t>Q7Z333-3</t>
  </si>
  <si>
    <t>Q7Z372</t>
  </si>
  <si>
    <t>Q7Z392-4</t>
  </si>
  <si>
    <t>Q7Z3B3</t>
  </si>
  <si>
    <t>Q7Z3C6-2</t>
  </si>
  <si>
    <t>Q7Z3D4</t>
  </si>
  <si>
    <t>Q7Z3E2</t>
  </si>
  <si>
    <t>Q7Z3K3-5</t>
  </si>
  <si>
    <t>Q7Z3T8</t>
  </si>
  <si>
    <t>Q7Z3V4</t>
  </si>
  <si>
    <t>Q7Z401</t>
  </si>
  <si>
    <t>Q7Z417</t>
  </si>
  <si>
    <t>Q7Z422-2</t>
  </si>
  <si>
    <t>Q7Z434</t>
  </si>
  <si>
    <t>Q7Z451</t>
  </si>
  <si>
    <t>Q7Z460</t>
  </si>
  <si>
    <t>Q7Z478</t>
  </si>
  <si>
    <t>Q7Z4F1</t>
  </si>
  <si>
    <t>Q7Z4G1</t>
  </si>
  <si>
    <t>Q7Z4H3</t>
  </si>
  <si>
    <t>Q7Z4H7-3</t>
  </si>
  <si>
    <t>Q7Z4H8</t>
  </si>
  <si>
    <t>Q7Z4L5</t>
  </si>
  <si>
    <t>Q7Z4Q2</t>
  </si>
  <si>
    <t>Q7Z4V5</t>
  </si>
  <si>
    <t>Q7Z4W1</t>
  </si>
  <si>
    <t>Q7Z5G4</t>
  </si>
  <si>
    <t>Q7Z5H3-3</t>
  </si>
  <si>
    <t>Q7Z5K2</t>
  </si>
  <si>
    <t>Q7Z5L9-2</t>
  </si>
  <si>
    <t>Q7Z5U6</t>
  </si>
  <si>
    <t>Q7Z650</t>
  </si>
  <si>
    <t>Q7Z6B0-2</t>
  </si>
  <si>
    <t>Q7Z6E9</t>
  </si>
  <si>
    <t>Q7Z6I8</t>
  </si>
  <si>
    <t>Q7Z6J8</t>
  </si>
  <si>
    <t>Q7Z6J9</t>
  </si>
  <si>
    <t>Q7Z6K3</t>
  </si>
  <si>
    <t>Q7Z6L1</t>
  </si>
  <si>
    <t>Q7Z6M1</t>
  </si>
  <si>
    <t>Q7Z6M4</t>
  </si>
  <si>
    <t>Q7Z6U0</t>
  </si>
  <si>
    <t>Q7Z6V5-2</t>
  </si>
  <si>
    <t>Q7Z6Z7-2</t>
  </si>
  <si>
    <t>Q7Z7A1-5</t>
  </si>
  <si>
    <t>Q7Z7A3</t>
  </si>
  <si>
    <t>Q7Z7C8</t>
  </si>
  <si>
    <t>Q7Z7E8</t>
  </si>
  <si>
    <t>Q7Z7F0-2</t>
  </si>
  <si>
    <t>Q7Z7F7</t>
  </si>
  <si>
    <t>Q7Z7G8-2</t>
  </si>
  <si>
    <t>Q7Z7H5-3</t>
  </si>
  <si>
    <t>Q7Z7H8</t>
  </si>
  <si>
    <t>Q7Z7K0</t>
  </si>
  <si>
    <t>Q7Z7K6-3</t>
  </si>
  <si>
    <t>Q7Z7M9</t>
  </si>
  <si>
    <t>Q7Z7N9</t>
  </si>
  <si>
    <t>Q86SF2</t>
  </si>
  <si>
    <t>Q86SQ9-3</t>
  </si>
  <si>
    <t>Q86SX6</t>
  </si>
  <si>
    <t>Q86SZ2-2</t>
  </si>
  <si>
    <t>Q86T03</t>
  </si>
  <si>
    <t>Q86TA1</t>
  </si>
  <si>
    <t>Q86TB9-4</t>
  </si>
  <si>
    <t>Q86TI2</t>
  </si>
  <si>
    <t>Q86TM6-2</t>
  </si>
  <si>
    <t>Q86TN4</t>
  </si>
  <si>
    <t>Q86TP1</t>
  </si>
  <si>
    <t>Q86TU7</t>
  </si>
  <si>
    <t>Q86TV6</t>
  </si>
  <si>
    <t>Q86U06-4</t>
  </si>
  <si>
    <t>Q86U28</t>
  </si>
  <si>
    <t>Q86U38</t>
  </si>
  <si>
    <t>Q86U44</t>
  </si>
  <si>
    <t>Q86U70-3</t>
  </si>
  <si>
    <t>Q86U90</t>
  </si>
  <si>
    <t>Q86UA1</t>
  </si>
  <si>
    <t>Q86UD0</t>
  </si>
  <si>
    <t>Q86UE4</t>
  </si>
  <si>
    <t>Q86UE8-2</t>
  </si>
  <si>
    <t>Q86UK7-2</t>
  </si>
  <si>
    <t>Q86UL3</t>
  </si>
  <si>
    <t>Q86UP2</t>
  </si>
  <si>
    <t>Q86US8</t>
  </si>
  <si>
    <t>Q86UU0-3</t>
  </si>
  <si>
    <t>Q86UU1-2</t>
  </si>
  <si>
    <t>Q86UV5</t>
  </si>
  <si>
    <t>Q86UX3</t>
  </si>
  <si>
    <t>Q86UX7-2</t>
  </si>
  <si>
    <t>Q86UY0</t>
  </si>
  <si>
    <t>Q86UY5</t>
  </si>
  <si>
    <t>Q86UY6</t>
  </si>
  <si>
    <t>Q86UY8-2</t>
  </si>
  <si>
    <t>Q86V21</t>
  </si>
  <si>
    <t>Q86V48</t>
  </si>
  <si>
    <t>Q86V59-2</t>
  </si>
  <si>
    <t>Q86V85</t>
  </si>
  <si>
    <t>Q86VI3</t>
  </si>
  <si>
    <t>Q86VN1-2</t>
  </si>
  <si>
    <t>Q86VP6</t>
  </si>
  <si>
    <t>Q86VQ1</t>
  </si>
  <si>
    <t>Q86VQ3-2</t>
  </si>
  <si>
    <t>Q86VR2</t>
  </si>
  <si>
    <t>Q86VS8</t>
  </si>
  <si>
    <t>Q86VU5</t>
  </si>
  <si>
    <t>Q86VX2-2</t>
  </si>
  <si>
    <t>Q86VX9</t>
  </si>
  <si>
    <t>Q86W42</t>
  </si>
  <si>
    <t>Q86W50</t>
  </si>
  <si>
    <t>Q86W56</t>
  </si>
  <si>
    <t>Q86WA6-2</t>
  </si>
  <si>
    <t>Q86WA8</t>
  </si>
  <si>
    <t>Q86WC4</t>
  </si>
  <si>
    <t>Q86WH2</t>
  </si>
  <si>
    <t>Q86WJ1</t>
  </si>
  <si>
    <t>Q86WQ0</t>
  </si>
  <si>
    <t>Q86WR0</t>
  </si>
  <si>
    <t>Q86WR7</t>
  </si>
  <si>
    <t>Q86WV6</t>
  </si>
  <si>
    <t>Q86WV7</t>
  </si>
  <si>
    <t>Q86WX3</t>
  </si>
  <si>
    <t>Q86X02</t>
  </si>
  <si>
    <t>Q86X27-2</t>
  </si>
  <si>
    <t>Q86X29-3</t>
  </si>
  <si>
    <t>Q86X53</t>
  </si>
  <si>
    <t>Q86X55-1</t>
  </si>
  <si>
    <t>Q86X76-2</t>
  </si>
  <si>
    <t>Q86X83</t>
  </si>
  <si>
    <t>Q86X95-2</t>
  </si>
  <si>
    <t>Q86XK3-3</t>
  </si>
  <si>
    <t>Q86XP3</t>
  </si>
  <si>
    <t>Q86XZ4</t>
  </si>
  <si>
    <t>Q86Y07</t>
  </si>
  <si>
    <t>Q86Y37-4</t>
  </si>
  <si>
    <t>Q86Y56</t>
  </si>
  <si>
    <t>Q86Y79</t>
  </si>
  <si>
    <t>Q86Y82</t>
  </si>
  <si>
    <t>Q86YH6</t>
  </si>
  <si>
    <t>Q86YM7</t>
  </si>
  <si>
    <t>Q86YN1-2</t>
  </si>
  <si>
    <t>Q86YP4</t>
  </si>
  <si>
    <t>Q86YQ8</t>
  </si>
  <si>
    <t>Q86YR5-4</t>
  </si>
  <si>
    <t>Q86YS3</t>
  </si>
  <si>
    <t>Q86YS7</t>
  </si>
  <si>
    <t>Q86YT6</t>
  </si>
  <si>
    <t>Q86YV9</t>
  </si>
  <si>
    <t>Q8IU81</t>
  </si>
  <si>
    <t>Q8IUD2-2</t>
  </si>
  <si>
    <t>Q8IUF8</t>
  </si>
  <si>
    <t>Q8IUH3-3</t>
  </si>
  <si>
    <t>Q8IUH4</t>
  </si>
  <si>
    <t>Q8IUI8</t>
  </si>
  <si>
    <t>Q8IUR0</t>
  </si>
  <si>
    <t>Q8IUX1-4</t>
  </si>
  <si>
    <t>Q8IV08</t>
  </si>
  <si>
    <t>Q8IV38</t>
  </si>
  <si>
    <t>Q8IV48</t>
  </si>
  <si>
    <t>Q8IV50</t>
  </si>
  <si>
    <t>Q8IV63-3</t>
  </si>
  <si>
    <t>Q8IVB5</t>
  </si>
  <si>
    <t>Q8IVD9</t>
  </si>
  <si>
    <t>Q8IVM0</t>
  </si>
  <si>
    <t>Q8IVM0-2</t>
  </si>
  <si>
    <t>Q8IVS2</t>
  </si>
  <si>
    <t>Q8IVW6-4</t>
  </si>
  <si>
    <t>Q8IW45</t>
  </si>
  <si>
    <t>Q8IWA0</t>
  </si>
  <si>
    <t>Q8IWB1</t>
  </si>
  <si>
    <t>Q8IWB7</t>
  </si>
  <si>
    <t>Q8IWB9</t>
  </si>
  <si>
    <t>Q8IWC1-2</t>
  </si>
  <si>
    <t>Q8IWD4</t>
  </si>
  <si>
    <t>Q8IWE4</t>
  </si>
  <si>
    <t>Q8IWF6</t>
  </si>
  <si>
    <t>Q8IWJ2</t>
  </si>
  <si>
    <t>Q8IWL3</t>
  </si>
  <si>
    <t>Q8IWR0</t>
  </si>
  <si>
    <t>Q8IWS0</t>
  </si>
  <si>
    <t>Q8IWT6</t>
  </si>
  <si>
    <t>Q8IWU2</t>
  </si>
  <si>
    <t>Q8IWV7</t>
  </si>
  <si>
    <t>Q8IWV8-4</t>
  </si>
  <si>
    <t>Q8IWY8-3</t>
  </si>
  <si>
    <t>Q8IWY9-1</t>
  </si>
  <si>
    <t>Q8IWZ3</t>
  </si>
  <si>
    <t>Q8IWZ8</t>
  </si>
  <si>
    <t>Q8IX07</t>
  </si>
  <si>
    <t>Q8IX12-2</t>
  </si>
  <si>
    <t>Q8IX18-3</t>
  </si>
  <si>
    <t>Q8IX90</t>
  </si>
  <si>
    <t>Q8IXB1</t>
  </si>
  <si>
    <t>Q8IXI1</t>
  </si>
  <si>
    <t>Q8IXI2-2</t>
  </si>
  <si>
    <t>Q8IXJ6-2</t>
  </si>
  <si>
    <t>Q8IXJ9-2</t>
  </si>
  <si>
    <t>Q8IXK2</t>
  </si>
  <si>
    <t>Q8IXM6-2</t>
  </si>
  <si>
    <t>Q8IXQ3</t>
  </si>
  <si>
    <t>Q8IXQ4</t>
  </si>
  <si>
    <t>Q8IXS8</t>
  </si>
  <si>
    <t>Q8IY17-3</t>
  </si>
  <si>
    <t>Q8IY18</t>
  </si>
  <si>
    <t>Q8IY22-3</t>
  </si>
  <si>
    <t>Q8IY26</t>
  </si>
  <si>
    <t>Q8IY33</t>
  </si>
  <si>
    <t>Q8IY37</t>
  </si>
  <si>
    <t>Q8IY47</t>
  </si>
  <si>
    <t>Q8IY63-2</t>
  </si>
  <si>
    <t>Q8IY95-2</t>
  </si>
  <si>
    <t>Q8IYB5-3</t>
  </si>
  <si>
    <t>Q8IYB7</t>
  </si>
  <si>
    <t>Q8IYB8</t>
  </si>
  <si>
    <t>Q8IYB9</t>
  </si>
  <si>
    <t>Q8IYD1</t>
  </si>
  <si>
    <t>Q8IYH5-4</t>
  </si>
  <si>
    <t>Q8IYI6</t>
  </si>
  <si>
    <t>Q8IYK4</t>
  </si>
  <si>
    <t>Q8IYL3</t>
  </si>
  <si>
    <t>Q8IYN2</t>
  </si>
  <si>
    <t>Q8IYQ7</t>
  </si>
  <si>
    <t>Q8IYS1</t>
  </si>
  <si>
    <t>Q8IYS2</t>
  </si>
  <si>
    <t>Q8IYT2</t>
  </si>
  <si>
    <t>Q8IYU8</t>
  </si>
  <si>
    <t>Q8IYW5</t>
  </si>
  <si>
    <t>Q8IZ07</t>
  </si>
  <si>
    <t>Q8IZ21-3</t>
  </si>
  <si>
    <t>Q8IZ52</t>
  </si>
  <si>
    <t>Q8IZ68</t>
  </si>
  <si>
    <t>Q8IZ73</t>
  </si>
  <si>
    <t>Q8IZ83</t>
  </si>
  <si>
    <t>Q8IZH2-2</t>
  </si>
  <si>
    <t>Q8IZQ5</t>
  </si>
  <si>
    <t>Q8IZR5-3</t>
  </si>
  <si>
    <t>Q8IZV5</t>
  </si>
  <si>
    <t>Q8N0T1</t>
  </si>
  <si>
    <t>Q8N0U8</t>
  </si>
  <si>
    <t>Q8N0W3</t>
  </si>
  <si>
    <t>Q8N0W7</t>
  </si>
  <si>
    <t>Q8N0X7</t>
  </si>
  <si>
    <t>Q8N108-17</t>
  </si>
  <si>
    <t>Q8N129</t>
  </si>
  <si>
    <t>Q8N137-4</t>
  </si>
  <si>
    <t>Q8N142</t>
  </si>
  <si>
    <t>Q8N157-2</t>
  </si>
  <si>
    <t>Q8N163</t>
  </si>
  <si>
    <t>Q8N183</t>
  </si>
  <si>
    <t>Q8N1A6</t>
  </si>
  <si>
    <t>Q8N1B4</t>
  </si>
  <si>
    <t>Q8N1F7</t>
  </si>
  <si>
    <t>Q8N1G0</t>
  </si>
  <si>
    <t>Q8N1G1</t>
  </si>
  <si>
    <t>Q8N1G2</t>
  </si>
  <si>
    <t>Q8N1G4</t>
  </si>
  <si>
    <t>Q8N1Q1</t>
  </si>
  <si>
    <t>Q8N2A8</t>
  </si>
  <si>
    <t>Q8N2F6-3</t>
  </si>
  <si>
    <t>Q8N2G8-3</t>
  </si>
  <si>
    <t>Q8N2I9-3</t>
  </si>
  <si>
    <t>Q8N2K0</t>
  </si>
  <si>
    <t>Q8N2W9</t>
  </si>
  <si>
    <t>Q8N2Z9</t>
  </si>
  <si>
    <t>Q8N300</t>
  </si>
  <si>
    <t>Q8N335</t>
  </si>
  <si>
    <t>Q8N350</t>
  </si>
  <si>
    <t>Q8N371</t>
  </si>
  <si>
    <t>Q8N392</t>
  </si>
  <si>
    <t>Q8N3C0</t>
  </si>
  <si>
    <t>Q8N3D4</t>
  </si>
  <si>
    <t>Q8N3F8</t>
  </si>
  <si>
    <t>Q8N3X1</t>
  </si>
  <si>
    <t>Q8N442</t>
  </si>
  <si>
    <t>Q8N465</t>
  </si>
  <si>
    <t>Q8N488</t>
  </si>
  <si>
    <t>Q8N490-2</t>
  </si>
  <si>
    <t>Q8N490-4</t>
  </si>
  <si>
    <t>Q8N4B1-2</t>
  </si>
  <si>
    <t>Q8N4C8-5</t>
  </si>
  <si>
    <t>Q8N4H5</t>
  </si>
  <si>
    <t>Q8N4N3-2</t>
  </si>
  <si>
    <t>Q8N4P3</t>
  </si>
  <si>
    <t>Q8N4Q0</t>
  </si>
  <si>
    <t>Q8N4Q1</t>
  </si>
  <si>
    <t>Q8N4V1</t>
  </si>
  <si>
    <t>Q8N567</t>
  </si>
  <si>
    <t>Q8N573-2</t>
  </si>
  <si>
    <t>Q8N573-8</t>
  </si>
  <si>
    <t>Q8N5A5-3</t>
  </si>
  <si>
    <t>Q8N5C6</t>
  </si>
  <si>
    <t>Q8N5C7</t>
  </si>
  <si>
    <t>Q8N5D0-4</t>
  </si>
  <si>
    <t>Q8N5F7</t>
  </si>
  <si>
    <t>Q8N5G0-2</t>
  </si>
  <si>
    <t>Q8N5G2</t>
  </si>
  <si>
    <t>Q8N5I2</t>
  </si>
  <si>
    <t>Q8N5I9</t>
  </si>
  <si>
    <t>Q8N5J2-2</t>
  </si>
  <si>
    <t>Q8N5K1</t>
  </si>
  <si>
    <t>Q8N5L8</t>
  </si>
  <si>
    <t>Q8N5M1</t>
  </si>
  <si>
    <t>Q8N5M9</t>
  </si>
  <si>
    <t>Q8N5N7</t>
  </si>
  <si>
    <t>Q8N5P1</t>
  </si>
  <si>
    <t>Q8N684-2</t>
  </si>
  <si>
    <t>Q8N697</t>
  </si>
  <si>
    <t>Q8N6H7</t>
  </si>
  <si>
    <t>Q8N6M0</t>
  </si>
  <si>
    <t>Q8N6N3</t>
  </si>
  <si>
    <t>Q8N6N7</t>
  </si>
  <si>
    <t>Q8N6T3</t>
  </si>
  <si>
    <t>Q8N766-3</t>
  </si>
  <si>
    <t>Q8N806</t>
  </si>
  <si>
    <t>Q8N8J7</t>
  </si>
  <si>
    <t>Q8N8N7</t>
  </si>
  <si>
    <t>Q8N8R5</t>
  </si>
  <si>
    <t>Q8N8R7</t>
  </si>
  <si>
    <t>Q8N954</t>
  </si>
  <si>
    <t>Q8N999-3</t>
  </si>
  <si>
    <t>Q8N9F7</t>
  </si>
  <si>
    <t>Q8N9M1-3</t>
  </si>
  <si>
    <t>Q8N9N7</t>
  </si>
  <si>
    <t>Q8N9Q2</t>
  </si>
  <si>
    <t>Q8N9V3-2</t>
  </si>
  <si>
    <t>Q8N9Z2</t>
  </si>
  <si>
    <t>Q8NAF0</t>
  </si>
  <si>
    <t>Q8NAT1</t>
  </si>
  <si>
    <t>Q8NAV1</t>
  </si>
  <si>
    <t>Q8NB15-2</t>
  </si>
  <si>
    <t>Q8NB37</t>
  </si>
  <si>
    <t>Q8NB46</t>
  </si>
  <si>
    <t>Q8NB49-3</t>
  </si>
  <si>
    <t>Q8NB90</t>
  </si>
  <si>
    <t>Q8NBA8</t>
  </si>
  <si>
    <t>Q8NBF2</t>
  </si>
  <si>
    <t>Q8NBF6</t>
  </si>
  <si>
    <t>Q8NBI5</t>
  </si>
  <si>
    <t>Q8NBI6</t>
  </si>
  <si>
    <t>Q8NBJ5</t>
  </si>
  <si>
    <t>Q8NBK3-4</t>
  </si>
  <si>
    <t>Q8NBL1</t>
  </si>
  <si>
    <t>Q8NBM4-4</t>
  </si>
  <si>
    <t>Q8NBM8</t>
  </si>
  <si>
    <t>Q8NBN3</t>
  </si>
  <si>
    <t>Q8NBN7</t>
  </si>
  <si>
    <t>Q8NBU5</t>
  </si>
  <si>
    <t>Q8NBX0</t>
  </si>
  <si>
    <t>Q8NBY1</t>
  </si>
  <si>
    <t>Q8NC51-2</t>
  </si>
  <si>
    <t>Q8NC56</t>
  </si>
  <si>
    <t>Q8NC60</t>
  </si>
  <si>
    <t>Q8NC96</t>
  </si>
  <si>
    <t>Q8NCA5-2</t>
  </si>
  <si>
    <t>Q8NCC3</t>
  </si>
  <si>
    <t>Q8NCE2-3</t>
  </si>
  <si>
    <t>Q8NCF5</t>
  </si>
  <si>
    <t>Q8NCH0</t>
  </si>
  <si>
    <t>Q8NCL4</t>
  </si>
  <si>
    <t>Q8NCN4</t>
  </si>
  <si>
    <t>Q8NCW5</t>
  </si>
  <si>
    <t>Q8ND04</t>
  </si>
  <si>
    <t>Q8ND24</t>
  </si>
  <si>
    <t>Q8ND56-2</t>
  </si>
  <si>
    <t>Q8ND76</t>
  </si>
  <si>
    <t>Q8ND90</t>
  </si>
  <si>
    <t>Q8NDC0</t>
  </si>
  <si>
    <t>Q8NDD1-2</t>
  </si>
  <si>
    <t>Q8NDI1-3</t>
  </si>
  <si>
    <t>Q8NDZ4</t>
  </si>
  <si>
    <t>Q8NE01-2</t>
  </si>
  <si>
    <t>Q8NE71</t>
  </si>
  <si>
    <t>Q8NE86-3</t>
  </si>
  <si>
    <t>Q8NEB9</t>
  </si>
  <si>
    <t>Q8NEC7</t>
  </si>
  <si>
    <t>Q8NEJ9-2</t>
  </si>
  <si>
    <t>Q8NEM2</t>
  </si>
  <si>
    <t>Q8NEN9</t>
  </si>
  <si>
    <t>Q8NEY1-7</t>
  </si>
  <si>
    <t>Q8NEY8-3</t>
  </si>
  <si>
    <t>Q8NEZ2-2</t>
  </si>
  <si>
    <t>Q8NEZ4</t>
  </si>
  <si>
    <t>Q8NEZ5</t>
  </si>
  <si>
    <t>Q8NF37</t>
  </si>
  <si>
    <t>Q8NF50-4</t>
  </si>
  <si>
    <t>Q8NFA0</t>
  </si>
  <si>
    <t>Q8NFC6</t>
  </si>
  <si>
    <t>Q8NFF5-2</t>
  </si>
  <si>
    <t>Q8NFG4</t>
  </si>
  <si>
    <t>Q8NFH3</t>
  </si>
  <si>
    <t>Q8NFH4</t>
  </si>
  <si>
    <t>Q8NFI3</t>
  </si>
  <si>
    <t>Q8NFQ8</t>
  </si>
  <si>
    <t>Q8NFU5</t>
  </si>
  <si>
    <t>Q8NFV4</t>
  </si>
  <si>
    <t>Q8NFW8</t>
  </si>
  <si>
    <t>Q8NFY9</t>
  </si>
  <si>
    <t>Q8NFZ0</t>
  </si>
  <si>
    <t>Q8NG06</t>
  </si>
  <si>
    <t>Q8NG08</t>
  </si>
  <si>
    <t>Q8NG11-2</t>
  </si>
  <si>
    <t>Q8NG31-3</t>
  </si>
  <si>
    <t>Q8NG68</t>
  </si>
  <si>
    <t>Q8NHG7</t>
  </si>
  <si>
    <t>Q8NHG8</t>
  </si>
  <si>
    <t>Q8NHH9</t>
  </si>
  <si>
    <t>Q8NHM4</t>
  </si>
  <si>
    <t>Q8NHM5-4</t>
  </si>
  <si>
    <t>Q8NHP8</t>
  </si>
  <si>
    <t>Q8NHU6-2</t>
  </si>
  <si>
    <t>Q8NHV4-2</t>
  </si>
  <si>
    <t>Q8NI08-2</t>
  </si>
  <si>
    <t>Q8NI22-2</t>
  </si>
  <si>
    <t>Q8NI27</t>
  </si>
  <si>
    <t>Q8NI36</t>
  </si>
  <si>
    <t>Q8TA86</t>
  </si>
  <si>
    <t>Q8TAA5</t>
  </si>
  <si>
    <t>Q8TAA9-2</t>
  </si>
  <si>
    <t>Q8TAC1</t>
  </si>
  <si>
    <t>Q8TAD8</t>
  </si>
  <si>
    <t>Q8TAE8</t>
  </si>
  <si>
    <t>Q8TAF3</t>
  </si>
  <si>
    <t>Q8TAG9</t>
  </si>
  <si>
    <t>Q8TAP6-2</t>
  </si>
  <si>
    <t>Q8TAP8</t>
  </si>
  <si>
    <t>Q8TAP9</t>
  </si>
  <si>
    <t>Q8TAQ2</t>
  </si>
  <si>
    <t>Q8TAT6</t>
  </si>
  <si>
    <t>Q8TAV0</t>
  </si>
  <si>
    <t>Q8TB03</t>
  </si>
  <si>
    <t>Q8TB36-2</t>
  </si>
  <si>
    <t>Q8TB37</t>
  </si>
  <si>
    <t>Q8TB52</t>
  </si>
  <si>
    <t>Q8TB61-3</t>
  </si>
  <si>
    <t>Q8TB70</t>
  </si>
  <si>
    <t>Q8TB72-2</t>
  </si>
  <si>
    <t>Q8TBA6-2</t>
  </si>
  <si>
    <t>Q8TBB5-3</t>
  </si>
  <si>
    <t>Q8TBC4</t>
  </si>
  <si>
    <t>Q8TBE0-3</t>
  </si>
  <si>
    <t>Q8TBE9</t>
  </si>
  <si>
    <t>Q8TBM8-2</t>
  </si>
  <si>
    <t>Q8TBN0</t>
  </si>
  <si>
    <t>Q8TBN0-2</t>
  </si>
  <si>
    <t>Q8TBP6</t>
  </si>
  <si>
    <t>Q8TBX8</t>
  </si>
  <si>
    <t>Q8TBZ3</t>
  </si>
  <si>
    <t>Q8TBZ6</t>
  </si>
  <si>
    <t>Q8TC07-2</t>
  </si>
  <si>
    <t>Q8TC12</t>
  </si>
  <si>
    <t>Q8TCA0</t>
  </si>
  <si>
    <t>Q8TCB7</t>
  </si>
  <si>
    <t>Q8TCD1</t>
  </si>
  <si>
    <t>Q8TCD5</t>
  </si>
  <si>
    <t>Q8TCG1</t>
  </si>
  <si>
    <t>Q8TCG2</t>
  </si>
  <si>
    <t>Q8TCJ2</t>
  </si>
  <si>
    <t>Q8TCS8</t>
  </si>
  <si>
    <t>Q8TCT8</t>
  </si>
  <si>
    <t>Q8TCT9-5</t>
  </si>
  <si>
    <t>Q8TCX1</t>
  </si>
  <si>
    <t>Q8TCY9</t>
  </si>
  <si>
    <t>Q8TCZ2-6</t>
  </si>
  <si>
    <t>Q8TD08-2</t>
  </si>
  <si>
    <t>Q8TD16</t>
  </si>
  <si>
    <t>Q8TD19</t>
  </si>
  <si>
    <t>Q8TD30</t>
  </si>
  <si>
    <t>Q8TDD1</t>
  </si>
  <si>
    <t>Q8TDH9</t>
  </si>
  <si>
    <t>Q8TDN6</t>
  </si>
  <si>
    <t>Q8TDQ7-3</t>
  </si>
  <si>
    <t>Q8TDW0</t>
  </si>
  <si>
    <t>Q8TDX7</t>
  </si>
  <si>
    <t>Q8TDY2-2</t>
  </si>
  <si>
    <t>Q8TDY4-3</t>
  </si>
  <si>
    <t>Q8TDZ2</t>
  </si>
  <si>
    <t>Q8TEA1</t>
  </si>
  <si>
    <t>Q8TEA7-3</t>
  </si>
  <si>
    <t>Q8TEA8</t>
  </si>
  <si>
    <t>Q8TEB1-2</t>
  </si>
  <si>
    <t>Q8TEH3</t>
  </si>
  <si>
    <t>Q8TEM1</t>
  </si>
  <si>
    <t>Q8TEQ6</t>
  </si>
  <si>
    <t>Q8TEX9</t>
  </si>
  <si>
    <t>Q8TEY7-3</t>
  </si>
  <si>
    <t>Q8TF01</t>
  </si>
  <si>
    <t>Q8TF05-2</t>
  </si>
  <si>
    <t>Q8TF46-2</t>
  </si>
  <si>
    <t>Q8TF64</t>
  </si>
  <si>
    <t>Q8TF74</t>
  </si>
  <si>
    <t>Q8WTS1</t>
  </si>
  <si>
    <t>Q8WTW3</t>
  </si>
  <si>
    <t>Q8WU40</t>
  </si>
  <si>
    <t>Q8WU76-2</t>
  </si>
  <si>
    <t>Q8WU79</t>
  </si>
  <si>
    <t>Q8WU90</t>
  </si>
  <si>
    <t>Q8WUA2</t>
  </si>
  <si>
    <t>Q8WUA4-2</t>
  </si>
  <si>
    <t>Q8WUB8-3</t>
  </si>
  <si>
    <t>Q8WUD1</t>
  </si>
  <si>
    <t>Q8WUE5</t>
  </si>
  <si>
    <t>Q8WUF5</t>
  </si>
  <si>
    <t>Q8WUH1</t>
  </si>
  <si>
    <t>Q8WUH2</t>
  </si>
  <si>
    <t>Q8WUH6</t>
  </si>
  <si>
    <t>Q8WUI4-3</t>
  </si>
  <si>
    <t>Q8WUJ0</t>
  </si>
  <si>
    <t>Q8WUK0-2</t>
  </si>
  <si>
    <t>Q8WUM4</t>
  </si>
  <si>
    <t>Q8WUM9</t>
  </si>
  <si>
    <t>Q8WUR7</t>
  </si>
  <si>
    <t>Q8WUX1</t>
  </si>
  <si>
    <t>Q8WUX2</t>
  </si>
  <si>
    <t>Q8WUX9</t>
  </si>
  <si>
    <t>Q8WUY1</t>
  </si>
  <si>
    <t>Q8WUY8</t>
  </si>
  <si>
    <t>Q8WV22</t>
  </si>
  <si>
    <t>Q8WV41</t>
  </si>
  <si>
    <t>Q8WV60</t>
  </si>
  <si>
    <t>Q8WV92</t>
  </si>
  <si>
    <t>Q8WV93</t>
  </si>
  <si>
    <t>Q8WVB6</t>
  </si>
  <si>
    <t>Q8WVC0</t>
  </si>
  <si>
    <t>Q8WVC2</t>
  </si>
  <si>
    <t>Q8WVD3</t>
  </si>
  <si>
    <t>Q8WVJ2</t>
  </si>
  <si>
    <t>Q8WVK2</t>
  </si>
  <si>
    <t>Q8WVK7</t>
  </si>
  <si>
    <t>Q8WVL7</t>
  </si>
  <si>
    <t>Q8WVM0</t>
  </si>
  <si>
    <t>Q8WVM8</t>
  </si>
  <si>
    <t>Q8WVQ1</t>
  </si>
  <si>
    <t>Q8WVT3</t>
  </si>
  <si>
    <t>Q8WVX9</t>
  </si>
  <si>
    <t>Q8WVY7</t>
  </si>
  <si>
    <t>Q8WW01</t>
  </si>
  <si>
    <t>Q8WW12</t>
  </si>
  <si>
    <t>Q8WW59</t>
  </si>
  <si>
    <t>Q8WWB7-2</t>
  </si>
  <si>
    <t>Q8WWC4</t>
  </si>
  <si>
    <t>Q8WWH5</t>
  </si>
  <si>
    <t>Q8WWM7</t>
  </si>
  <si>
    <t>Q8WWV3</t>
  </si>
  <si>
    <t>Q8WWW0-3</t>
  </si>
  <si>
    <t>Q8WWX9</t>
  </si>
  <si>
    <t>Q8WWY3</t>
  </si>
  <si>
    <t>Q8WX92</t>
  </si>
  <si>
    <t>Q8WXA9-2</t>
  </si>
  <si>
    <t>Q8WXD2</t>
  </si>
  <si>
    <t>Q8WXD5</t>
  </si>
  <si>
    <t>Q8WXE1-5</t>
  </si>
  <si>
    <t>Q8WXF1</t>
  </si>
  <si>
    <t>Q8WXG6-7</t>
  </si>
  <si>
    <t>Q8WXI9</t>
  </si>
  <si>
    <t>Q8WXW3</t>
  </si>
  <si>
    <t>Q8WXX5</t>
  </si>
  <si>
    <t>Q8WY22</t>
  </si>
  <si>
    <t>Q8WY54-2</t>
  </si>
  <si>
    <t>Q8WY91</t>
  </si>
  <si>
    <t>Q8WYP5</t>
  </si>
  <si>
    <t>Q8WYQ5-3</t>
  </si>
  <si>
    <t>Q8WZ42-11</t>
  </si>
  <si>
    <t>Q8WZ82</t>
  </si>
  <si>
    <t>Q8WZA0</t>
  </si>
  <si>
    <t>Q8WZA9</t>
  </si>
  <si>
    <t>Q92466-2</t>
  </si>
  <si>
    <t>Q92499</t>
  </si>
  <si>
    <t>Q92504</t>
  </si>
  <si>
    <t>Q92506</t>
  </si>
  <si>
    <t>Q92508</t>
  </si>
  <si>
    <t>Q92520</t>
  </si>
  <si>
    <t>Q92526</t>
  </si>
  <si>
    <t>Q92536</t>
  </si>
  <si>
    <t>Q92538</t>
  </si>
  <si>
    <t>Q92541</t>
  </si>
  <si>
    <t>Q92544</t>
  </si>
  <si>
    <t>Q92547</t>
  </si>
  <si>
    <t>Q92551</t>
  </si>
  <si>
    <t>Q92552</t>
  </si>
  <si>
    <t>Q92556</t>
  </si>
  <si>
    <t>Q92558</t>
  </si>
  <si>
    <t>Q92572</t>
  </si>
  <si>
    <t>Q92575</t>
  </si>
  <si>
    <t>Q92576-2</t>
  </si>
  <si>
    <t>Q92581-3</t>
  </si>
  <si>
    <t>Q92598-2</t>
  </si>
  <si>
    <t>Q92600</t>
  </si>
  <si>
    <t>Q92609</t>
  </si>
  <si>
    <t>Q92610</t>
  </si>
  <si>
    <t>Q92615</t>
  </si>
  <si>
    <t>Q92616</t>
  </si>
  <si>
    <t>Q92619</t>
  </si>
  <si>
    <t>Q92620</t>
  </si>
  <si>
    <t>Q92621</t>
  </si>
  <si>
    <t>Q92625</t>
  </si>
  <si>
    <t>Q92636</t>
  </si>
  <si>
    <t>Q92664-2</t>
  </si>
  <si>
    <t>Q92665</t>
  </si>
  <si>
    <t>Q92667</t>
  </si>
  <si>
    <t>Q92686</t>
  </si>
  <si>
    <t>Q92688-2</t>
  </si>
  <si>
    <t>Q92692</t>
  </si>
  <si>
    <t>Q92692-2</t>
  </si>
  <si>
    <t>Q92696</t>
  </si>
  <si>
    <t>Q92698</t>
  </si>
  <si>
    <t>Q92734-2</t>
  </si>
  <si>
    <t>Q92747</t>
  </si>
  <si>
    <t>Q92759</t>
  </si>
  <si>
    <t>Q92766</t>
  </si>
  <si>
    <t>Q92783-2</t>
  </si>
  <si>
    <t>Q92793-2</t>
  </si>
  <si>
    <t>Q92797</t>
  </si>
  <si>
    <t>Q92804-2</t>
  </si>
  <si>
    <t>Q92805</t>
  </si>
  <si>
    <t>Q92820</t>
  </si>
  <si>
    <t>Q92828</t>
  </si>
  <si>
    <t>Q92843-2</t>
  </si>
  <si>
    <t>Q92844</t>
  </si>
  <si>
    <t>Q92845-2</t>
  </si>
  <si>
    <t>Q92851-2</t>
  </si>
  <si>
    <t>Q92871</t>
  </si>
  <si>
    <t>Q92878</t>
  </si>
  <si>
    <t>Q92882</t>
  </si>
  <si>
    <t>Q92889</t>
  </si>
  <si>
    <t>Q92890</t>
  </si>
  <si>
    <t>Q92896</t>
  </si>
  <si>
    <t>Q92900</t>
  </si>
  <si>
    <t>Q92905</t>
  </si>
  <si>
    <t>Q92917</t>
  </si>
  <si>
    <t>Q92922</t>
  </si>
  <si>
    <t>Q92930</t>
  </si>
  <si>
    <t>Q92934</t>
  </si>
  <si>
    <t>Q92945</t>
  </si>
  <si>
    <t>Q92947</t>
  </si>
  <si>
    <t>Q92968</t>
  </si>
  <si>
    <t>Q92973-2</t>
  </si>
  <si>
    <t>Q92979</t>
  </si>
  <si>
    <t>Q92990</t>
  </si>
  <si>
    <t>Q93008</t>
  </si>
  <si>
    <t>Q93015</t>
  </si>
  <si>
    <t>Q93034</t>
  </si>
  <si>
    <t>Q93063</t>
  </si>
  <si>
    <t>Q93074-3</t>
  </si>
  <si>
    <t>Q93077</t>
  </si>
  <si>
    <t>Q93084-4</t>
  </si>
  <si>
    <t>Q93100-4</t>
  </si>
  <si>
    <t>Q969E2-2</t>
  </si>
  <si>
    <t>Q969E8</t>
  </si>
  <si>
    <t>Q969F8</t>
  </si>
  <si>
    <t>Q969G6</t>
  </si>
  <si>
    <t>Q969H6-2</t>
  </si>
  <si>
    <t>Q969H8</t>
  </si>
  <si>
    <t>Q969K3</t>
  </si>
  <si>
    <t>Q969M3</t>
  </si>
  <si>
    <t>Q969N2-4</t>
  </si>
  <si>
    <t>Q969P0-3</t>
  </si>
  <si>
    <t>Q969R8</t>
  </si>
  <si>
    <t>Q969S3</t>
  </si>
  <si>
    <t>Q969S9-2</t>
  </si>
  <si>
    <t>Q969T7-2</t>
  </si>
  <si>
    <t>Q969U7</t>
  </si>
  <si>
    <t>Q969V3-2</t>
  </si>
  <si>
    <t>Q969V5</t>
  </si>
  <si>
    <t>Q969X0</t>
  </si>
  <si>
    <t>Q969X5-2</t>
  </si>
  <si>
    <t>Q969Y2-3</t>
  </si>
  <si>
    <t>Q969Z0</t>
  </si>
  <si>
    <t>Q96A00</t>
  </si>
  <si>
    <t>Q96A19</t>
  </si>
  <si>
    <t>Q96A33</t>
  </si>
  <si>
    <t>Q96A46</t>
  </si>
  <si>
    <t>Q96A47</t>
  </si>
  <si>
    <t>Q96A49</t>
  </si>
  <si>
    <t>Q96A65</t>
  </si>
  <si>
    <t>Q96A73-2</t>
  </si>
  <si>
    <t>Q96AB3</t>
  </si>
  <si>
    <t>Q96AD5</t>
  </si>
  <si>
    <t>Q96AE4</t>
  </si>
  <si>
    <t>Q96AE4-2</t>
  </si>
  <si>
    <t>Q96AG4</t>
  </si>
  <si>
    <t>Q96AJ9-1</t>
  </si>
  <si>
    <t>Q96AP7</t>
  </si>
  <si>
    <t>Q96AQ8</t>
  </si>
  <si>
    <t>Q96AT1</t>
  </si>
  <si>
    <t>Q96AT9</t>
  </si>
  <si>
    <t>Q96AX1</t>
  </si>
  <si>
    <t>Q96B23-2</t>
  </si>
  <si>
    <t>Q96B26</t>
  </si>
  <si>
    <t>Q96B36</t>
  </si>
  <si>
    <t>Q96B45</t>
  </si>
  <si>
    <t>Q96B49</t>
  </si>
  <si>
    <t>Q96BD8</t>
  </si>
  <si>
    <t>Q96BH1</t>
  </si>
  <si>
    <t>Q96BK5</t>
  </si>
  <si>
    <t>Q96BM9</t>
  </si>
  <si>
    <t>Q96BN8</t>
  </si>
  <si>
    <t>Q96BP3</t>
  </si>
  <si>
    <t>Q96BQ5</t>
  </si>
  <si>
    <t>Q96BR5</t>
  </si>
  <si>
    <t>Q96BT7</t>
  </si>
  <si>
    <t>Q96BW1-3</t>
  </si>
  <si>
    <t>Q96BW5-2</t>
  </si>
  <si>
    <t>Q96BX8</t>
  </si>
  <si>
    <t>Q96BY7</t>
  </si>
  <si>
    <t>Q96BZ8</t>
  </si>
  <si>
    <t>Q96BZ9</t>
  </si>
  <si>
    <t>Q96C01</t>
  </si>
  <si>
    <t>Q96C19</t>
  </si>
  <si>
    <t>Q96C23</t>
  </si>
  <si>
    <t>Q96C36</t>
  </si>
  <si>
    <t>Q96C57</t>
  </si>
  <si>
    <t>Q96C86</t>
  </si>
  <si>
    <t>Q96C90</t>
  </si>
  <si>
    <t>Q96CB9-4</t>
  </si>
  <si>
    <t>Q96CF2</t>
  </si>
  <si>
    <t>Q96CM3-2</t>
  </si>
  <si>
    <t>Q96CN7</t>
  </si>
  <si>
    <t>Q96CN9</t>
  </si>
  <si>
    <t>Q96CP2</t>
  </si>
  <si>
    <t>Q96CQ1</t>
  </si>
  <si>
    <t>Q96CS2</t>
  </si>
  <si>
    <t>Q96CS3</t>
  </si>
  <si>
    <t>Q96CT7</t>
  </si>
  <si>
    <t>Q96CU9</t>
  </si>
  <si>
    <t>Q96CW1-2</t>
  </si>
  <si>
    <t>Q96CW5-3</t>
  </si>
  <si>
    <t>Q96CW6</t>
  </si>
  <si>
    <t>Q96CX6</t>
  </si>
  <si>
    <t>Q96D05</t>
  </si>
  <si>
    <t>Q96D15</t>
  </si>
  <si>
    <t>Q96D31-2</t>
  </si>
  <si>
    <t>Q96D71-3</t>
  </si>
  <si>
    <t>Q96DA6-2</t>
  </si>
  <si>
    <t>Q96DB5</t>
  </si>
  <si>
    <t>Q96DE0</t>
  </si>
  <si>
    <t>Q96DE5</t>
  </si>
  <si>
    <t>Q96DF8</t>
  </si>
  <si>
    <t>Q96DG6</t>
  </si>
  <si>
    <t>Q96DI7</t>
  </si>
  <si>
    <t>Q96DT6</t>
  </si>
  <si>
    <t>Q96DU7</t>
  </si>
  <si>
    <t>Q96DV4</t>
  </si>
  <si>
    <t>Q96DX4</t>
  </si>
  <si>
    <t>Q96DX7</t>
  </si>
  <si>
    <t>Q96DY2</t>
  </si>
  <si>
    <t>Q96DZ1-2</t>
  </si>
  <si>
    <t>Q96E09</t>
  </si>
  <si>
    <t>Q96E11-3</t>
  </si>
  <si>
    <t>Q96E22</t>
  </si>
  <si>
    <t>Q96E52</t>
  </si>
  <si>
    <t>Q96EA4</t>
  </si>
  <si>
    <t>Q96EB1</t>
  </si>
  <si>
    <t>Q96EB6</t>
  </si>
  <si>
    <t>Q96EC8</t>
  </si>
  <si>
    <t>Q96ED9-2</t>
  </si>
  <si>
    <t>Q96EE3</t>
  </si>
  <si>
    <t>Q96EF9</t>
  </si>
  <si>
    <t>Q96EH3</t>
  </si>
  <si>
    <t>Q96EK5</t>
  </si>
  <si>
    <t>Q96EK6</t>
  </si>
  <si>
    <t>Q96EK9</t>
  </si>
  <si>
    <t>Q96EL3</t>
  </si>
  <si>
    <t>Q96EM0</t>
  </si>
  <si>
    <t>Q96EN8</t>
  </si>
  <si>
    <t>Q96EP1-5</t>
  </si>
  <si>
    <t>Q96EP5</t>
  </si>
  <si>
    <t>Q96EP9</t>
  </si>
  <si>
    <t>Q96EQ0</t>
  </si>
  <si>
    <t>Q96ER3</t>
  </si>
  <si>
    <t>Q96ER9</t>
  </si>
  <si>
    <t>Q96ES7</t>
  </si>
  <si>
    <t>Q96EU6-2</t>
  </si>
  <si>
    <t>Q96EV2</t>
  </si>
  <si>
    <t>Q96EV8</t>
  </si>
  <si>
    <t>Q96EX1</t>
  </si>
  <si>
    <t>Q96EX3</t>
  </si>
  <si>
    <t>Q96EY1</t>
  </si>
  <si>
    <t>Q96EY5</t>
  </si>
  <si>
    <t>Q96EY7</t>
  </si>
  <si>
    <t>Q96EY8</t>
  </si>
  <si>
    <t>Q96EY9</t>
  </si>
  <si>
    <t>Q96F24-2</t>
  </si>
  <si>
    <t>Q96F44-3</t>
  </si>
  <si>
    <t>Q96F46</t>
  </si>
  <si>
    <t>Q96F63</t>
  </si>
  <si>
    <t>Q96F86</t>
  </si>
  <si>
    <t>Q96FC9-4</t>
  </si>
  <si>
    <t>Q96FH0-2</t>
  </si>
  <si>
    <t>Q96FJ2</t>
  </si>
  <si>
    <t>Q96FK6</t>
  </si>
  <si>
    <t>Q96FS4</t>
  </si>
  <si>
    <t>Q96FV9</t>
  </si>
  <si>
    <t>Q96FX2</t>
  </si>
  <si>
    <t>Q96FX7</t>
  </si>
  <si>
    <t>Q96FZ2</t>
  </si>
  <si>
    <t>Q96FZ7</t>
  </si>
  <si>
    <t>Q96G03</t>
  </si>
  <si>
    <t>Q96G25</t>
  </si>
  <si>
    <t>Q96G28</t>
  </si>
  <si>
    <t>Q96G46</t>
  </si>
  <si>
    <t>Q96G74-3</t>
  </si>
  <si>
    <t>Q96GA3</t>
  </si>
  <si>
    <t>Q96GA7</t>
  </si>
  <si>
    <t>Q96GD0</t>
  </si>
  <si>
    <t>Q96GF1</t>
  </si>
  <si>
    <t>Q96GG9</t>
  </si>
  <si>
    <t>Q96GK7</t>
  </si>
  <si>
    <t>Q96GM5</t>
  </si>
  <si>
    <t>Q96GM8</t>
  </si>
  <si>
    <t>Q96GQ7</t>
  </si>
  <si>
    <t>Q96GS4</t>
  </si>
  <si>
    <t>Q96GS6</t>
  </si>
  <si>
    <t>Q96GU1-2</t>
  </si>
  <si>
    <t>Q96GV9</t>
  </si>
  <si>
    <t>Q96GW9</t>
  </si>
  <si>
    <t>Q96GX2</t>
  </si>
  <si>
    <t>Q96GX5-2</t>
  </si>
  <si>
    <t>Q96H20</t>
  </si>
  <si>
    <t>Q96H55-2</t>
  </si>
  <si>
    <t>Q96HA1-2</t>
  </si>
  <si>
    <t>Q96HA4-4</t>
  </si>
  <si>
    <t>Q96HA7-2</t>
  </si>
  <si>
    <t>Q96HC4</t>
  </si>
  <si>
    <t>Q96HD1</t>
  </si>
  <si>
    <t>Q96HE7</t>
  </si>
  <si>
    <t>Q96HJ9</t>
  </si>
  <si>
    <t>Q96HQ2-2</t>
  </si>
  <si>
    <t>Q96HR9</t>
  </si>
  <si>
    <t>Q96HS1</t>
  </si>
  <si>
    <t>Q96HW7</t>
  </si>
  <si>
    <t>Q96HY6</t>
  </si>
  <si>
    <t>Q96I15</t>
  </si>
  <si>
    <t>Q96I24</t>
  </si>
  <si>
    <t>Q96I25</t>
  </si>
  <si>
    <t>Q96I34</t>
  </si>
  <si>
    <t>Q96I36</t>
  </si>
  <si>
    <t>Q96I51</t>
  </si>
  <si>
    <t>Q96I59</t>
  </si>
  <si>
    <t>Q96I99</t>
  </si>
  <si>
    <t>Q96IJ6</t>
  </si>
  <si>
    <t>Q96IQ9</t>
  </si>
  <si>
    <t>Q96IR2</t>
  </si>
  <si>
    <t>Q96IU4</t>
  </si>
  <si>
    <t>Q96IV0</t>
  </si>
  <si>
    <t>Q96IX5</t>
  </si>
  <si>
    <t>Q96IY1</t>
  </si>
  <si>
    <t>Q96IZ7-2</t>
  </si>
  <si>
    <t>Q96J01</t>
  </si>
  <si>
    <t>Q96J02-2</t>
  </si>
  <si>
    <t>Q96JA1</t>
  </si>
  <si>
    <t>Q96JB2</t>
  </si>
  <si>
    <t>Q96JB3-2</t>
  </si>
  <si>
    <t>Q96JB5-2</t>
  </si>
  <si>
    <t>Q96JC1-2</t>
  </si>
  <si>
    <t>Q96JC9</t>
  </si>
  <si>
    <t>Q96JG6</t>
  </si>
  <si>
    <t>Q96JH7</t>
  </si>
  <si>
    <t>Q96JJ7</t>
  </si>
  <si>
    <t>Q96JM3</t>
  </si>
  <si>
    <t>Q96JP5-2</t>
  </si>
  <si>
    <t>Q96K17</t>
  </si>
  <si>
    <t>Q96K19-2</t>
  </si>
  <si>
    <t>Q96KA5-2</t>
  </si>
  <si>
    <t>Q96KB5</t>
  </si>
  <si>
    <t>Q96KC2</t>
  </si>
  <si>
    <t>Q96KC8</t>
  </si>
  <si>
    <t>Q96KF7</t>
  </si>
  <si>
    <t>Q96KM6</t>
  </si>
  <si>
    <t>Q96KP1</t>
  </si>
  <si>
    <t>Q96KP4</t>
  </si>
  <si>
    <t>Q96KR1</t>
  </si>
  <si>
    <t>Q96L91-3</t>
  </si>
  <si>
    <t>Q96L92-3</t>
  </si>
  <si>
    <t>Q96L93-6</t>
  </si>
  <si>
    <t>Q96LA8-2</t>
  </si>
  <si>
    <t>Q96LB3</t>
  </si>
  <si>
    <t>Q96LD4</t>
  </si>
  <si>
    <t>Q96LJ7</t>
  </si>
  <si>
    <t>Q96LJ8</t>
  </si>
  <si>
    <t>Q96M20-2</t>
  </si>
  <si>
    <t>Q96M27</t>
  </si>
  <si>
    <t>Q96MB7</t>
  </si>
  <si>
    <t>Q96ME1-4</t>
  </si>
  <si>
    <t>Q96MG7</t>
  </si>
  <si>
    <t>Q96MH2</t>
  </si>
  <si>
    <t>Q96MH6-2</t>
  </si>
  <si>
    <t>Q96MN5</t>
  </si>
  <si>
    <t>Q96MW5</t>
  </si>
  <si>
    <t>Q96MX6</t>
  </si>
  <si>
    <t>Q96MY1-2</t>
  </si>
  <si>
    <t>Q96N21-2</t>
  </si>
  <si>
    <t>Q96N46</t>
  </si>
  <si>
    <t>Q96N66-2</t>
  </si>
  <si>
    <t>Q96N67-4</t>
  </si>
  <si>
    <t>Q96NA2</t>
  </si>
  <si>
    <t>Q96NB1</t>
  </si>
  <si>
    <t>Q96NB2</t>
  </si>
  <si>
    <t>Q96NB3</t>
  </si>
  <si>
    <t>Q96NC0</t>
  </si>
  <si>
    <t>Q96NL6</t>
  </si>
  <si>
    <t>Q96NL8</t>
  </si>
  <si>
    <t>Q96NT0</t>
  </si>
  <si>
    <t>Q96NT1</t>
  </si>
  <si>
    <t>Q96NW4</t>
  </si>
  <si>
    <t>Q96P11-2</t>
  </si>
  <si>
    <t>Q96P47</t>
  </si>
  <si>
    <t>Q96P48-3</t>
  </si>
  <si>
    <t>Q96P70</t>
  </si>
  <si>
    <t>Q96PE7</t>
  </si>
  <si>
    <t>Q96PG8-1</t>
  </si>
  <si>
    <t>Q96PK6</t>
  </si>
  <si>
    <t>Q96PL5</t>
  </si>
  <si>
    <t>Q96PM5</t>
  </si>
  <si>
    <t>Q96PU5-2</t>
  </si>
  <si>
    <t>Q96PU8-9</t>
  </si>
  <si>
    <t>Q96PZ0</t>
  </si>
  <si>
    <t>Q96Q11-2</t>
  </si>
  <si>
    <t>Q96Q45-2</t>
  </si>
  <si>
    <t>Q96Q83</t>
  </si>
  <si>
    <t>Q96QC0</t>
  </si>
  <si>
    <t>Q96QC4</t>
  </si>
  <si>
    <t>Q96QG7</t>
  </si>
  <si>
    <t>Q96QK1</t>
  </si>
  <si>
    <t>Q96QR8</t>
  </si>
  <si>
    <t>Q96QU8</t>
  </si>
  <si>
    <t>Q96QZ7-6</t>
  </si>
  <si>
    <t>Q96R06</t>
  </si>
  <si>
    <t>Q96RE7</t>
  </si>
  <si>
    <t>Q96RF0-3</t>
  </si>
  <si>
    <t>Q96RG2</t>
  </si>
  <si>
    <t>Q96RL1</t>
  </si>
  <si>
    <t>Q96RL7-4</t>
  </si>
  <si>
    <t>Q96RN5-3</t>
  </si>
  <si>
    <t>Q96RP9</t>
  </si>
  <si>
    <t>Q96RR1</t>
  </si>
  <si>
    <t>Q96RR4-6</t>
  </si>
  <si>
    <t>Q96RS0</t>
  </si>
  <si>
    <t>Q96RS6</t>
  </si>
  <si>
    <t>Q96RT1-9</t>
  </si>
  <si>
    <t>Q96RU3-4</t>
  </si>
  <si>
    <t>Q96S19-3</t>
  </si>
  <si>
    <t>Q96S38</t>
  </si>
  <si>
    <t>Q96S44</t>
  </si>
  <si>
    <t>Q96S52</t>
  </si>
  <si>
    <t>Q96S55-2</t>
  </si>
  <si>
    <t>Q96S59</t>
  </si>
  <si>
    <t>Q96S66</t>
  </si>
  <si>
    <t>Q96S82</t>
  </si>
  <si>
    <t>Q96S94</t>
  </si>
  <si>
    <t>Q96S99</t>
  </si>
  <si>
    <t>Q96SB8</t>
  </si>
  <si>
    <t>Q96SI1</t>
  </si>
  <si>
    <t>Q96SK2-2</t>
  </si>
  <si>
    <t>Q96SQ9</t>
  </si>
  <si>
    <t>Q96ST2-3</t>
  </si>
  <si>
    <t>Q96ST3</t>
  </si>
  <si>
    <t>Q96SZ5</t>
  </si>
  <si>
    <t>Q96SZ6-2</t>
  </si>
  <si>
    <t>Q96T37-2</t>
  </si>
  <si>
    <t>Q96T51</t>
  </si>
  <si>
    <t>Q96T58</t>
  </si>
  <si>
    <t>Q96T60</t>
  </si>
  <si>
    <t>Q96T76</t>
  </si>
  <si>
    <t>Q96T88</t>
  </si>
  <si>
    <t>Q96TA1-2</t>
  </si>
  <si>
    <t>Q96TA2-3</t>
  </si>
  <si>
    <t>Q96TC7</t>
  </si>
  <si>
    <t>Q99081</t>
  </si>
  <si>
    <t>Q99417</t>
  </si>
  <si>
    <t>Q99426</t>
  </si>
  <si>
    <t>Q99436</t>
  </si>
  <si>
    <t>Q99447</t>
  </si>
  <si>
    <t>Q99459</t>
  </si>
  <si>
    <t>Q99460</t>
  </si>
  <si>
    <t>Q99470</t>
  </si>
  <si>
    <t>Q99471</t>
  </si>
  <si>
    <t>Q99487</t>
  </si>
  <si>
    <t>Q99496</t>
  </si>
  <si>
    <t>Q99497</t>
  </si>
  <si>
    <t>Q99501</t>
  </si>
  <si>
    <t>Q99504-2</t>
  </si>
  <si>
    <t>Q99519</t>
  </si>
  <si>
    <t>Q99523</t>
  </si>
  <si>
    <t>Q99536</t>
  </si>
  <si>
    <t>Q99541</t>
  </si>
  <si>
    <t>Q99543</t>
  </si>
  <si>
    <t>Q99543-2</t>
  </si>
  <si>
    <t>Q99549</t>
  </si>
  <si>
    <t>Q99567</t>
  </si>
  <si>
    <t>Q99569-2</t>
  </si>
  <si>
    <t>Q99570</t>
  </si>
  <si>
    <t>Q99575</t>
  </si>
  <si>
    <t>Q99583</t>
  </si>
  <si>
    <t>Q99584</t>
  </si>
  <si>
    <t>Q99595</t>
  </si>
  <si>
    <t>Q99598</t>
  </si>
  <si>
    <t>Q99614</t>
  </si>
  <si>
    <t>Q99615</t>
  </si>
  <si>
    <t>Q99618</t>
  </si>
  <si>
    <t>Q99622</t>
  </si>
  <si>
    <t>Q99633</t>
  </si>
  <si>
    <t>Q99640-4</t>
  </si>
  <si>
    <t>Q99653</t>
  </si>
  <si>
    <t>Q99661</t>
  </si>
  <si>
    <t>Q99700-4</t>
  </si>
  <si>
    <t>Q99704</t>
  </si>
  <si>
    <t>Q99707</t>
  </si>
  <si>
    <t>Q99714</t>
  </si>
  <si>
    <t>Q99720-4</t>
  </si>
  <si>
    <t>Q99733</t>
  </si>
  <si>
    <t>Q99735-2</t>
  </si>
  <si>
    <t>Q99747</t>
  </si>
  <si>
    <t>Q99757</t>
  </si>
  <si>
    <t>Q99766</t>
  </si>
  <si>
    <t>Q99767-2</t>
  </si>
  <si>
    <t>Q99797</t>
  </si>
  <si>
    <t>Q99805</t>
  </si>
  <si>
    <t>Q99808</t>
  </si>
  <si>
    <t>Q99828</t>
  </si>
  <si>
    <t>Q99832</t>
  </si>
  <si>
    <t>Q99856</t>
  </si>
  <si>
    <t>Q99871-3</t>
  </si>
  <si>
    <t>Q99878</t>
  </si>
  <si>
    <t>Q99909-2</t>
  </si>
  <si>
    <t>Q99956</t>
  </si>
  <si>
    <t>Q99961</t>
  </si>
  <si>
    <t>Q99963-4</t>
  </si>
  <si>
    <t>Q99986</t>
  </si>
  <si>
    <t>Q99988</t>
  </si>
  <si>
    <t>Q99996-4</t>
  </si>
  <si>
    <t>Q9BPW8</t>
  </si>
  <si>
    <t>Q9BPX3</t>
  </si>
  <si>
    <t>Q9BPX5</t>
  </si>
  <si>
    <t>Q9BPZ3</t>
  </si>
  <si>
    <t>Q9BQ39</t>
  </si>
  <si>
    <t>Q9BQ52</t>
  </si>
  <si>
    <t>Q9BQ61</t>
  </si>
  <si>
    <t>Q9BQ67</t>
  </si>
  <si>
    <t>Q9BQ69</t>
  </si>
  <si>
    <t>Q9BQ70</t>
  </si>
  <si>
    <t>Q9BQ90</t>
  </si>
  <si>
    <t>Q9BQ95</t>
  </si>
  <si>
    <t>Q9BQA1</t>
  </si>
  <si>
    <t>Q9BQA9-2</t>
  </si>
  <si>
    <t>Q9BQC3</t>
  </si>
  <si>
    <t>Q9BQG2</t>
  </si>
  <si>
    <t>Q9BQI3-2</t>
  </si>
  <si>
    <t>Q9BQP7</t>
  </si>
  <si>
    <t>Q9BQQ3</t>
  </si>
  <si>
    <t>Q9BQS7-2</t>
  </si>
  <si>
    <t>Q9BQS8</t>
  </si>
  <si>
    <t>Q9BQT8-2</t>
  </si>
  <si>
    <t>Q9BQY4</t>
  </si>
  <si>
    <t>Q9BR61</t>
  </si>
  <si>
    <t>Q9BR76</t>
  </si>
  <si>
    <t>Q9BRA2</t>
  </si>
  <si>
    <t>Q9BRD0</t>
  </si>
  <si>
    <t>Q9BRF8</t>
  </si>
  <si>
    <t>Q9BRG1</t>
  </si>
  <si>
    <t>Q9BRJ2</t>
  </si>
  <si>
    <t>Q9BRK5</t>
  </si>
  <si>
    <t>Q9BRP1</t>
  </si>
  <si>
    <t>Q9BRP4</t>
  </si>
  <si>
    <t>Q9BRP8-2</t>
  </si>
  <si>
    <t>Q9BRQ8</t>
  </si>
  <si>
    <t>Q9BRR0</t>
  </si>
  <si>
    <t>Q9BRR6-2</t>
  </si>
  <si>
    <t>Q9BRR8</t>
  </si>
  <si>
    <t>Q9BRS2</t>
  </si>
  <si>
    <t>Q9BRT2</t>
  </si>
  <si>
    <t>Q9BRT9</t>
  </si>
  <si>
    <t>Q9BRV8</t>
  </si>
  <si>
    <t>Q9BRX2</t>
  </si>
  <si>
    <t>Q9BRX5</t>
  </si>
  <si>
    <t>Q9BRZ2</t>
  </si>
  <si>
    <t>Q9BS18</t>
  </si>
  <si>
    <t>Q9BS26</t>
  </si>
  <si>
    <t>Q9BSB4</t>
  </si>
  <si>
    <t>Q9BSD7</t>
  </si>
  <si>
    <t>Q9BSF4</t>
  </si>
  <si>
    <t>Q9BSG0</t>
  </si>
  <si>
    <t>Q9BSH4</t>
  </si>
  <si>
    <t>Q9BSH5</t>
  </si>
  <si>
    <t>Q9BSJ2</t>
  </si>
  <si>
    <t>Q9BSJ5</t>
  </si>
  <si>
    <t>Q9BSJ8-2</t>
  </si>
  <si>
    <t>Q9BSK2</t>
  </si>
  <si>
    <t>Q9BSL1</t>
  </si>
  <si>
    <t>Q9BSR8</t>
  </si>
  <si>
    <t>Q9BSU3</t>
  </si>
  <si>
    <t>Q9BSV6</t>
  </si>
  <si>
    <t>Q9BSW2-2</t>
  </si>
  <si>
    <t>Q9BSY4</t>
  </si>
  <si>
    <t>Q9BT09</t>
  </si>
  <si>
    <t>Q9BT22</t>
  </si>
  <si>
    <t>Q9BT23</t>
  </si>
  <si>
    <t>Q9BT25-2</t>
  </si>
  <si>
    <t>Q9BT30</t>
  </si>
  <si>
    <t>Q9BT73</t>
  </si>
  <si>
    <t>Q9BT78</t>
  </si>
  <si>
    <t>Q9BTA9-2</t>
  </si>
  <si>
    <t>Q9BTC0</t>
  </si>
  <si>
    <t>Q9BTE3-2</t>
  </si>
  <si>
    <t>Q9BTE7</t>
  </si>
  <si>
    <t>Q9BTL3</t>
  </si>
  <si>
    <t>Q9BTT0</t>
  </si>
  <si>
    <t>Q9BTT4</t>
  </si>
  <si>
    <t>Q9BTU6</t>
  </si>
  <si>
    <t>Q9BTV4</t>
  </si>
  <si>
    <t>Q9BTV6</t>
  </si>
  <si>
    <t>Q9BTV7</t>
  </si>
  <si>
    <t>Q9BTY2</t>
  </si>
  <si>
    <t>Q9BTY7</t>
  </si>
  <si>
    <t>Q9BTZ2-8</t>
  </si>
  <si>
    <t>Q9BU23-3</t>
  </si>
  <si>
    <t>Q9BU61</t>
  </si>
  <si>
    <t>Q9BU76-4</t>
  </si>
  <si>
    <t>Q9BU89</t>
  </si>
  <si>
    <t>Q9BUA3</t>
  </si>
  <si>
    <t>Q9BUB5-2</t>
  </si>
  <si>
    <t>Q9BUB7</t>
  </si>
  <si>
    <t>Q9BUE0</t>
  </si>
  <si>
    <t>Q9BUE6</t>
  </si>
  <si>
    <t>Q9BUF5</t>
  </si>
  <si>
    <t>Q9BUH6</t>
  </si>
  <si>
    <t>Q9BUI4</t>
  </si>
  <si>
    <t>Q9BUJ2-2</t>
  </si>
  <si>
    <t>Q9BUK6-3</t>
  </si>
  <si>
    <t>Q9BUL9</t>
  </si>
  <si>
    <t>Q9BUP3-3</t>
  </si>
  <si>
    <t>Q9BUQ8</t>
  </si>
  <si>
    <t>Q9BUR4</t>
  </si>
  <si>
    <t>Q9BUT1</t>
  </si>
  <si>
    <t>Q9BUT9</t>
  </si>
  <si>
    <t>Q9BUW7</t>
  </si>
  <si>
    <t>Q9BUZ4</t>
  </si>
  <si>
    <t>Q9BV19</t>
  </si>
  <si>
    <t>Q9BV20</t>
  </si>
  <si>
    <t>Q9BV23</t>
  </si>
  <si>
    <t>Q9BV38</t>
  </si>
  <si>
    <t>Q9BV40</t>
  </si>
  <si>
    <t>Q9BV44</t>
  </si>
  <si>
    <t>Q9BV57</t>
  </si>
  <si>
    <t>Q9BV68-2</t>
  </si>
  <si>
    <t>Q9BV73-2</t>
  </si>
  <si>
    <t>Q9BV79</t>
  </si>
  <si>
    <t>Q9BV81</t>
  </si>
  <si>
    <t>Q9BV86</t>
  </si>
  <si>
    <t>Q9BVA0</t>
  </si>
  <si>
    <t>Q9BVA1</t>
  </si>
  <si>
    <t>Q9BVC3</t>
  </si>
  <si>
    <t>Q9BVC5</t>
  </si>
  <si>
    <t>Q9BVC6</t>
  </si>
  <si>
    <t>Q9BVG4</t>
  </si>
  <si>
    <t>Q9BVG9</t>
  </si>
  <si>
    <t>Q9BVI4</t>
  </si>
  <si>
    <t>Q9BVJ6-3</t>
  </si>
  <si>
    <t>Q9BVJ7</t>
  </si>
  <si>
    <t>Q9BVK6</t>
  </si>
  <si>
    <t>Q9BVL4</t>
  </si>
  <si>
    <t>Q9BVQ7</t>
  </si>
  <si>
    <t>Q9BVS4</t>
  </si>
  <si>
    <t>Q9BVS5</t>
  </si>
  <si>
    <t>Q9BVV7</t>
  </si>
  <si>
    <t>Q9BW04</t>
  </si>
  <si>
    <t>Q9BW19</t>
  </si>
  <si>
    <t>Q9BW27</t>
  </si>
  <si>
    <t>Q9BW60</t>
  </si>
  <si>
    <t>Q9BW61</t>
  </si>
  <si>
    <t>Q9BW71-2</t>
  </si>
  <si>
    <t>Q9BW85</t>
  </si>
  <si>
    <t>Q9BW91-2</t>
  </si>
  <si>
    <t>Q9BW92</t>
  </si>
  <si>
    <t>Q9BWD1</t>
  </si>
  <si>
    <t>Q9BWE0</t>
  </si>
  <si>
    <t>Q9BWF3</t>
  </si>
  <si>
    <t>Q9BWG6</t>
  </si>
  <si>
    <t>Q9BWH2</t>
  </si>
  <si>
    <t>Q9BWH6</t>
  </si>
  <si>
    <t>Q9BWJ5</t>
  </si>
  <si>
    <t>Q9BWM7</t>
  </si>
  <si>
    <t>Q9BWT3</t>
  </si>
  <si>
    <t>Q9BWT6</t>
  </si>
  <si>
    <t>Q9BWU0</t>
  </si>
  <si>
    <t>Q9BWW4-2</t>
  </si>
  <si>
    <t>Q9BWW5</t>
  </si>
  <si>
    <t>Q9BX10-2</t>
  </si>
  <si>
    <t>Q9BX40</t>
  </si>
  <si>
    <t>Q9BX63</t>
  </si>
  <si>
    <t>Q9BX66-9</t>
  </si>
  <si>
    <t>Q9BX68</t>
  </si>
  <si>
    <t>Q9BX69</t>
  </si>
  <si>
    <t>Q9BX95</t>
  </si>
  <si>
    <t>Q9BXB4</t>
  </si>
  <si>
    <t>Q9BXH1</t>
  </si>
  <si>
    <t>Q9BXJ9</t>
  </si>
  <si>
    <t>Q9BXK1</t>
  </si>
  <si>
    <t>Q9BXK5</t>
  </si>
  <si>
    <t>Q9BXL5</t>
  </si>
  <si>
    <t>Q9BXL7</t>
  </si>
  <si>
    <t>Q9BXP2</t>
  </si>
  <si>
    <t>Q9BXP5-4</t>
  </si>
  <si>
    <t>Q9BXR0</t>
  </si>
  <si>
    <t>Q9BXS6-2</t>
  </si>
  <si>
    <t>Q9BXV9</t>
  </si>
  <si>
    <t>Q9BXW7-2</t>
  </si>
  <si>
    <t>Q9BXW9-2</t>
  </si>
  <si>
    <t>Q9BY27</t>
  </si>
  <si>
    <t>Q9BY32</t>
  </si>
  <si>
    <t>Q9BY42</t>
  </si>
  <si>
    <t>Q9BY44</t>
  </si>
  <si>
    <t>Q9BY77</t>
  </si>
  <si>
    <t>Q9BYB4</t>
  </si>
  <si>
    <t>Q9BYC5-2</t>
  </si>
  <si>
    <t>Q9BYC8</t>
  </si>
  <si>
    <t>Q9BYD6</t>
  </si>
  <si>
    <t>Q9BYG5</t>
  </si>
  <si>
    <t>Q9BYI3</t>
  </si>
  <si>
    <t>Q9BYT8</t>
  </si>
  <si>
    <t>Q9BYV8</t>
  </si>
  <si>
    <t>Q9BYW2</t>
  </si>
  <si>
    <t>Q9BYX2-4</t>
  </si>
  <si>
    <t>Q9BZ23-3</t>
  </si>
  <si>
    <t>Q9BZ29-3</t>
  </si>
  <si>
    <t>Q9BZ95-4</t>
  </si>
  <si>
    <t>Q9BZD3</t>
  </si>
  <si>
    <t>Q9BZD4</t>
  </si>
  <si>
    <t>Q9BZE1</t>
  </si>
  <si>
    <t>Q9BZE2</t>
  </si>
  <si>
    <t>Q9BZE9</t>
  </si>
  <si>
    <t>Q9BZF1-3</t>
  </si>
  <si>
    <t>Q9BZF3-4</t>
  </si>
  <si>
    <t>Q9BZH6</t>
  </si>
  <si>
    <t>Q9BZI7-2</t>
  </si>
  <si>
    <t>Q9BZK7</t>
  </si>
  <si>
    <t>Q9BZL1</t>
  </si>
  <si>
    <t>Q9BZM1</t>
  </si>
  <si>
    <t>Q9BZM6</t>
  </si>
  <si>
    <t>Q9BZQ8</t>
  </si>
  <si>
    <t>Q9BZX2</t>
  </si>
  <si>
    <t>Q9BZZ5</t>
  </si>
  <si>
    <t>Q9BZZ5-2</t>
  </si>
  <si>
    <t>Q9C004</t>
  </si>
  <si>
    <t>Q9C005</t>
  </si>
  <si>
    <t>Q9C037-2</t>
  </si>
  <si>
    <t>Q9C073</t>
  </si>
  <si>
    <t>Q9C0B0</t>
  </si>
  <si>
    <t>Q9C0B1</t>
  </si>
  <si>
    <t>Q9C0B5-2</t>
  </si>
  <si>
    <t>Q9C0B7</t>
  </si>
  <si>
    <t>Q9C0C2</t>
  </si>
  <si>
    <t>Q9C0C4</t>
  </si>
  <si>
    <t>Q9C0C7-4</t>
  </si>
  <si>
    <t>Q9C0C9</t>
  </si>
  <si>
    <t>Q9C0D3</t>
  </si>
  <si>
    <t>Q9C0F1</t>
  </si>
  <si>
    <t>Q9C0I1</t>
  </si>
  <si>
    <t>Q9C0J8</t>
  </si>
  <si>
    <t>Q9GZL7</t>
  </si>
  <si>
    <t>Q9GZN1</t>
  </si>
  <si>
    <t>Q9GZN8</t>
  </si>
  <si>
    <t>Q9GZP1</t>
  </si>
  <si>
    <t>Q9GZP4</t>
  </si>
  <si>
    <t>Q9GZP9</t>
  </si>
  <si>
    <t>Q9GZQ3</t>
  </si>
  <si>
    <t>Q9GZS1-2</t>
  </si>
  <si>
    <t>Q9GZS3</t>
  </si>
  <si>
    <t>Q9GZT3-2</t>
  </si>
  <si>
    <t>Q9GZT4</t>
  </si>
  <si>
    <t>Q9GZT6-2</t>
  </si>
  <si>
    <t>Q9GZT8-2</t>
  </si>
  <si>
    <t>Q9GZT9</t>
  </si>
  <si>
    <t>Q9GZU8</t>
  </si>
  <si>
    <t>Q9GZX9</t>
  </si>
  <si>
    <t>Q9GZY4</t>
  </si>
  <si>
    <t>Q9GZY8-2</t>
  </si>
  <si>
    <t>Q9GZZ9</t>
  </si>
  <si>
    <t>Q9H019-3</t>
  </si>
  <si>
    <t>Q9H061</t>
  </si>
  <si>
    <t>Q9H074</t>
  </si>
  <si>
    <t>Q9H078-2</t>
  </si>
  <si>
    <t>Q9H081</t>
  </si>
  <si>
    <t>Q9H082</t>
  </si>
  <si>
    <t>Q9H089</t>
  </si>
  <si>
    <t>Q9H0B6</t>
  </si>
  <si>
    <t>Q9H0C8</t>
  </si>
  <si>
    <t>Q9H0D6</t>
  </si>
  <si>
    <t>Q9H0E2</t>
  </si>
  <si>
    <t>Q9H0E9-2</t>
  </si>
  <si>
    <t>Q9H0F6-2</t>
  </si>
  <si>
    <t>Q9H0G5</t>
  </si>
  <si>
    <t>Q9H0H5</t>
  </si>
  <si>
    <t>Q9H0J9</t>
  </si>
  <si>
    <t>Q9H0K6</t>
  </si>
  <si>
    <t>Q9H0L4</t>
  </si>
  <si>
    <t>Q9H0P0</t>
  </si>
  <si>
    <t>Q9H0R4</t>
  </si>
  <si>
    <t>Q9H0R6</t>
  </si>
  <si>
    <t>Q9H0S4-2</t>
  </si>
  <si>
    <t>Q9H0U3</t>
  </si>
  <si>
    <t>Q9H0U4</t>
  </si>
  <si>
    <t>Q9H0U6</t>
  </si>
  <si>
    <t>Q9H0U9</t>
  </si>
  <si>
    <t>Q9H0V1</t>
  </si>
  <si>
    <t>Q9H0V9</t>
  </si>
  <si>
    <t>Q9H0W8-2</t>
  </si>
  <si>
    <t>Q9H0W9</t>
  </si>
  <si>
    <t>Q9H0X4</t>
  </si>
  <si>
    <t>Q9H160</t>
  </si>
  <si>
    <t>Q9H173</t>
  </si>
  <si>
    <t>Q9H1A3-2</t>
  </si>
  <si>
    <t>Q9H1A4</t>
  </si>
  <si>
    <t>Q9H1B7</t>
  </si>
  <si>
    <t>Q9H1D9</t>
  </si>
  <si>
    <t>Q9H1E3</t>
  </si>
  <si>
    <t>Q9H1H9-3</t>
  </si>
  <si>
    <t>Q9H1J1-2</t>
  </si>
  <si>
    <t>Q9H1K0</t>
  </si>
  <si>
    <t>Q9H1K1</t>
  </si>
  <si>
    <t>Q9H1K6</t>
  </si>
  <si>
    <t>Q9H1P3-2</t>
  </si>
  <si>
    <t>Q9H1Y0</t>
  </si>
  <si>
    <t>Q9H1Z4</t>
  </si>
  <si>
    <t>Q9H211</t>
  </si>
  <si>
    <t>Q9H223</t>
  </si>
  <si>
    <t>Q9H257-2</t>
  </si>
  <si>
    <t>Q9H267</t>
  </si>
  <si>
    <t>Q9H269</t>
  </si>
  <si>
    <t>Q9H270</t>
  </si>
  <si>
    <t>Q9H2C0</t>
  </si>
  <si>
    <t>Q9H2D1</t>
  </si>
  <si>
    <t>Q9H2G2-2</t>
  </si>
  <si>
    <t>Q9H2G9</t>
  </si>
  <si>
    <t>Q9H2J4</t>
  </si>
  <si>
    <t>Q9H2K0</t>
  </si>
  <si>
    <t>Q9H2K8</t>
  </si>
  <si>
    <t>Q9H2M9</t>
  </si>
  <si>
    <t>Q9H2P0</t>
  </si>
  <si>
    <t>Q9H2P9-3</t>
  </si>
  <si>
    <t>Q9H2U2</t>
  </si>
  <si>
    <t>Q9H2W6</t>
  </si>
  <si>
    <t>Q9H300</t>
  </si>
  <si>
    <t>Q9H307</t>
  </si>
  <si>
    <t>Q9H330-2</t>
  </si>
  <si>
    <t>Q9H3C7</t>
  </si>
  <si>
    <t>Q9H3H1-4</t>
  </si>
  <si>
    <t>Q9H3H3-2</t>
  </si>
  <si>
    <t>Q9H3H5-2</t>
  </si>
  <si>
    <t>Q9H3J6</t>
  </si>
  <si>
    <t>Q9H3K6</t>
  </si>
  <si>
    <t>Q9H3M7</t>
  </si>
  <si>
    <t>Q9H3N1</t>
  </si>
  <si>
    <t>Q9H3P2</t>
  </si>
  <si>
    <t>Q9H3P7</t>
  </si>
  <si>
    <t>Q9H3Q1</t>
  </si>
  <si>
    <t>Q9H3R5</t>
  </si>
  <si>
    <t>Q9H3S7</t>
  </si>
  <si>
    <t>Q9H3U1</t>
  </si>
  <si>
    <t>Q9H3U5-3</t>
  </si>
  <si>
    <t>Q9H3Y8</t>
  </si>
  <si>
    <t>Q9H3Z4-2</t>
  </si>
  <si>
    <t>Q9H410</t>
  </si>
  <si>
    <t>Q9H425</t>
  </si>
  <si>
    <t>Q9H444</t>
  </si>
  <si>
    <t>Q9H467</t>
  </si>
  <si>
    <t>Q9H469</t>
  </si>
  <si>
    <t>Q9H479</t>
  </si>
  <si>
    <t>Q9H488</t>
  </si>
  <si>
    <t>Q9H490-2</t>
  </si>
  <si>
    <t>Q9H496</t>
  </si>
  <si>
    <t>Q9H497</t>
  </si>
  <si>
    <t>Q9H4A4</t>
  </si>
  <si>
    <t>Q9H4A5</t>
  </si>
  <si>
    <t>Q9H4A6</t>
  </si>
  <si>
    <t>Q9H4E7</t>
  </si>
  <si>
    <t>Q9H4H8</t>
  </si>
  <si>
    <t>Q9H4L5</t>
  </si>
  <si>
    <t>Q9H4L7</t>
  </si>
  <si>
    <t>Q9H4M9</t>
  </si>
  <si>
    <t>Q9H4P4-2</t>
  </si>
  <si>
    <t>Q9H4Z3</t>
  </si>
  <si>
    <t>Q9H501</t>
  </si>
  <si>
    <t>Q9H553</t>
  </si>
  <si>
    <t>Q9H5K3</t>
  </si>
  <si>
    <t>Q9H5N1</t>
  </si>
  <si>
    <t>Q9H5Q4</t>
  </si>
  <si>
    <t>Q9H5V8</t>
  </si>
  <si>
    <t>Q9H5V9-3</t>
  </si>
  <si>
    <t>Q9H5X1</t>
  </si>
  <si>
    <t>Q9H6D7</t>
  </si>
  <si>
    <t>Q9H6E4</t>
  </si>
  <si>
    <t>Q9H6F5</t>
  </si>
  <si>
    <t>Q9H6H4</t>
  </si>
  <si>
    <t>Q9H6K1</t>
  </si>
  <si>
    <t>Q9H6K4</t>
  </si>
  <si>
    <t>Q9H6Q4</t>
  </si>
  <si>
    <t>Q9H6R6-2</t>
  </si>
  <si>
    <t>Q9H6R7-2</t>
  </si>
  <si>
    <t>Q9H6S0</t>
  </si>
  <si>
    <t>Q9H6S1</t>
  </si>
  <si>
    <t>Q9H6S3</t>
  </si>
  <si>
    <t>Q9H6T3</t>
  </si>
  <si>
    <t>Q9H6U8</t>
  </si>
  <si>
    <t>Q9H6Y2</t>
  </si>
  <si>
    <t>Q9H773</t>
  </si>
  <si>
    <t>Q9H7B4</t>
  </si>
  <si>
    <t>Q9H7D7-2</t>
  </si>
  <si>
    <t>Q9H7E2-3</t>
  </si>
  <si>
    <t>Q9H7E9</t>
  </si>
  <si>
    <t>Q9H7F0</t>
  </si>
  <si>
    <t>Q9H7L9</t>
  </si>
  <si>
    <t>Q9H7N4</t>
  </si>
  <si>
    <t>Q9H7Z6</t>
  </si>
  <si>
    <t>Q9H7Z7</t>
  </si>
  <si>
    <t>Q9H813</t>
  </si>
  <si>
    <t>Q9H814</t>
  </si>
  <si>
    <t>Q9H832</t>
  </si>
  <si>
    <t>Q9H840</t>
  </si>
  <si>
    <t>Q9H845</t>
  </si>
  <si>
    <t>Q9H871</t>
  </si>
  <si>
    <t>Q9H875</t>
  </si>
  <si>
    <t>Q9H8G2</t>
  </si>
  <si>
    <t>Q9H8H0</t>
  </si>
  <si>
    <t>Q9H8M7</t>
  </si>
  <si>
    <t>Q9H8S9</t>
  </si>
  <si>
    <t>Q9H8U3</t>
  </si>
  <si>
    <t>Q9H8W4</t>
  </si>
  <si>
    <t>Q9H8X2</t>
  </si>
  <si>
    <t>Q9H8Y5</t>
  </si>
  <si>
    <t>Q9H8Y8</t>
  </si>
  <si>
    <t>Q9H900</t>
  </si>
  <si>
    <t>Q9H910-2</t>
  </si>
  <si>
    <t>Q9H936</t>
  </si>
  <si>
    <t>Q9H939</t>
  </si>
  <si>
    <t>Q9H944</t>
  </si>
  <si>
    <t>Q9H974</t>
  </si>
  <si>
    <t>Q9H981</t>
  </si>
  <si>
    <t>Q9H993</t>
  </si>
  <si>
    <t>Q9H999</t>
  </si>
  <si>
    <t>Q9H9A5-2</t>
  </si>
  <si>
    <t>Q9H9A6</t>
  </si>
  <si>
    <t>Q9H9A7</t>
  </si>
  <si>
    <t>Q9H9B1</t>
  </si>
  <si>
    <t>Q9H9B4</t>
  </si>
  <si>
    <t>Q9H9F9</t>
  </si>
  <si>
    <t>Q9H9H4</t>
  </si>
  <si>
    <t>Q9H9P8</t>
  </si>
  <si>
    <t>Q9H9S5</t>
  </si>
  <si>
    <t>Q9H9T3-2</t>
  </si>
  <si>
    <t>Q9H9V9-2</t>
  </si>
  <si>
    <t>Q9H9Y4</t>
  </si>
  <si>
    <t>Q9H9Y6</t>
  </si>
  <si>
    <t>Q9HA47-3</t>
  </si>
  <si>
    <t>Q9HA64</t>
  </si>
  <si>
    <t>Q9HA65</t>
  </si>
  <si>
    <t>Q9HA77</t>
  </si>
  <si>
    <t>Q9HAB8</t>
  </si>
  <si>
    <t>Q9HAF1-2</t>
  </si>
  <si>
    <t>Q9HAJ7</t>
  </si>
  <si>
    <t>Q9HAN9</t>
  </si>
  <si>
    <t>Q9HAP6</t>
  </si>
  <si>
    <t>Q9HAT2-2</t>
  </si>
  <si>
    <t>Q9HAU0</t>
  </si>
  <si>
    <t>Q9HAU5</t>
  </si>
  <si>
    <t>Q9HAV0</t>
  </si>
  <si>
    <t>Q9HAV4</t>
  </si>
  <si>
    <t>Q9HAV7</t>
  </si>
  <si>
    <t>Q9HAW4</t>
  </si>
  <si>
    <t>Q9HB09</t>
  </si>
  <si>
    <t>Q9HB19</t>
  </si>
  <si>
    <t>Q9HB40</t>
  </si>
  <si>
    <t>Q9HB71</t>
  </si>
  <si>
    <t>Q9HB90</t>
  </si>
  <si>
    <t>Q9HBD4</t>
  </si>
  <si>
    <t>Q9HBH1</t>
  </si>
  <si>
    <t>Q9HBH5</t>
  </si>
  <si>
    <t>Q9HBI1</t>
  </si>
  <si>
    <t>Q9HBL7</t>
  </si>
  <si>
    <t>Q9HBL8</t>
  </si>
  <si>
    <t>Q9HBM1</t>
  </si>
  <si>
    <t>Q9HBM6</t>
  </si>
  <si>
    <t>Q9HBM8</t>
  </si>
  <si>
    <t>Q9HBR0-3</t>
  </si>
  <si>
    <t>Q9HC35</t>
  </si>
  <si>
    <t>Q9HC36</t>
  </si>
  <si>
    <t>Q9HC38-2</t>
  </si>
  <si>
    <t>Q9HC44</t>
  </si>
  <si>
    <t>Q9HC52</t>
  </si>
  <si>
    <t>Q9HCC0</t>
  </si>
  <si>
    <t>Q9HCC9-5</t>
  </si>
  <si>
    <t>Q9HCD5</t>
  </si>
  <si>
    <t>Q9HCE1</t>
  </si>
  <si>
    <t>Q9HCE5</t>
  </si>
  <si>
    <t>Q9HCK8-2</t>
  </si>
  <si>
    <t>Q9HCN3</t>
  </si>
  <si>
    <t>Q9HCN4-4</t>
  </si>
  <si>
    <t>Q9HCN8</t>
  </si>
  <si>
    <t>Q9HCP0-2</t>
  </si>
  <si>
    <t>Q9HCU5</t>
  </si>
  <si>
    <t>Q9HCU8</t>
  </si>
  <si>
    <t>Q9HD15</t>
  </si>
  <si>
    <t>Q9HD20-2</t>
  </si>
  <si>
    <t>Q9HD23</t>
  </si>
  <si>
    <t>Q9HD26</t>
  </si>
  <si>
    <t>Q9HD40-3</t>
  </si>
  <si>
    <t>Q9HD42</t>
  </si>
  <si>
    <t>Q9HD45</t>
  </si>
  <si>
    <t>Q9HD47-2</t>
  </si>
  <si>
    <t>Q9HD64</t>
  </si>
  <si>
    <t>Q9HDC5</t>
  </si>
  <si>
    <t>Q9HDC9</t>
  </si>
  <si>
    <t>Q9NNW5</t>
  </si>
  <si>
    <t>Q9NP31-3</t>
  </si>
  <si>
    <t>Q9NP58-4</t>
  </si>
  <si>
    <t>Q9NP59</t>
  </si>
  <si>
    <t>Q9NP66</t>
  </si>
  <si>
    <t>Q9NP72</t>
  </si>
  <si>
    <t>Q9NP73-2</t>
  </si>
  <si>
    <t>Q9NP74-3</t>
  </si>
  <si>
    <t>Q9NP77</t>
  </si>
  <si>
    <t>Q9NP79</t>
  </si>
  <si>
    <t>Q9NP80-3</t>
  </si>
  <si>
    <t>Q9NP92</t>
  </si>
  <si>
    <t>Q9NPA0</t>
  </si>
  <si>
    <t>Q9NPA3</t>
  </si>
  <si>
    <t>Q9NPA8-2</t>
  </si>
  <si>
    <t>Q9NPB8</t>
  </si>
  <si>
    <t>Q9NPD3</t>
  </si>
  <si>
    <t>Q9NPD8</t>
  </si>
  <si>
    <t>Q9NPE2</t>
  </si>
  <si>
    <t>Q9NPE3</t>
  </si>
  <si>
    <t>Q9NPF0</t>
  </si>
  <si>
    <t>Q9NPF4</t>
  </si>
  <si>
    <t>Q9NPF5</t>
  </si>
  <si>
    <t>Q9NPH2</t>
  </si>
  <si>
    <t>Q9NPI1</t>
  </si>
  <si>
    <t>Q9NPJ3</t>
  </si>
  <si>
    <t>Q9NPJ6</t>
  </si>
  <si>
    <t>Q9NPL8</t>
  </si>
  <si>
    <t>Q9NPQ8-4</t>
  </si>
  <si>
    <t>Q9NPR9</t>
  </si>
  <si>
    <t>Q9NQ11-3</t>
  </si>
  <si>
    <t>Q9NQ29</t>
  </si>
  <si>
    <t>Q9NQ75</t>
  </si>
  <si>
    <t>Q9NQ88</t>
  </si>
  <si>
    <t>Q9NQC3</t>
  </si>
  <si>
    <t>Q9NQE9</t>
  </si>
  <si>
    <t>Q9NQG5</t>
  </si>
  <si>
    <t>Q9NQG7-3</t>
  </si>
  <si>
    <t>Q9NQH7-2</t>
  </si>
  <si>
    <t>Q9NQP4</t>
  </si>
  <si>
    <t>Q9NQR4</t>
  </si>
  <si>
    <t>Q9NQS1</t>
  </si>
  <si>
    <t>Q9NQT4</t>
  </si>
  <si>
    <t>Q9NQT5</t>
  </si>
  <si>
    <t>Q9NQT8</t>
  </si>
  <si>
    <t>Q9NQW6</t>
  </si>
  <si>
    <t>Q9NQW7-3</t>
  </si>
  <si>
    <t>Q9NQY0</t>
  </si>
  <si>
    <t>Q9NQZ2</t>
  </si>
  <si>
    <t>Q9NQZ5</t>
  </si>
  <si>
    <t>Q9NR09</t>
  </si>
  <si>
    <t>Q9NR12</t>
  </si>
  <si>
    <t>Q9NR19</t>
  </si>
  <si>
    <t>Q9NR28-2</t>
  </si>
  <si>
    <t>Q9NR30</t>
  </si>
  <si>
    <t>Q9NR31</t>
  </si>
  <si>
    <t>Q9NR33</t>
  </si>
  <si>
    <t>Q9NR45</t>
  </si>
  <si>
    <t>Q9NR50</t>
  </si>
  <si>
    <t>Q9NRD5</t>
  </si>
  <si>
    <t>Q9NRF2-3</t>
  </si>
  <si>
    <t>Q9NRF8</t>
  </si>
  <si>
    <t>Q9NRF9</t>
  </si>
  <si>
    <t>Q9NRG0</t>
  </si>
  <si>
    <t>Q9NRG1</t>
  </si>
  <si>
    <t>Q9NRG4</t>
  </si>
  <si>
    <t>Q9NRH1</t>
  </si>
  <si>
    <t>Q9NRK6</t>
  </si>
  <si>
    <t>Q9NRL2-2</t>
  </si>
  <si>
    <t>Q9NRL3</t>
  </si>
  <si>
    <t>Q9NRN7</t>
  </si>
  <si>
    <t>Q9NRN9</t>
  </si>
  <si>
    <t>Q9NRP2</t>
  </si>
  <si>
    <t>Q9NRP4</t>
  </si>
  <si>
    <t>Q9NRR5</t>
  </si>
  <si>
    <t>Q9NRR8</t>
  </si>
  <si>
    <t>Q9NRS6-2</t>
  </si>
  <si>
    <t>Q9NRV9</t>
  </si>
  <si>
    <t>Q9NRW1</t>
  </si>
  <si>
    <t>Q9NRW3</t>
  </si>
  <si>
    <t>Q9NRW4</t>
  </si>
  <si>
    <t>Q9NRW7</t>
  </si>
  <si>
    <t>Q9NRX1</t>
  </si>
  <si>
    <t>Q9NRX4</t>
  </si>
  <si>
    <t>Q9NRX5</t>
  </si>
  <si>
    <t>Q9NRY2</t>
  </si>
  <si>
    <t>Q9NRY4</t>
  </si>
  <si>
    <t>Q9NRY5</t>
  </si>
  <si>
    <t>Q9NRZ7-2</t>
  </si>
  <si>
    <t>Q9NRZ9-4</t>
  </si>
  <si>
    <t>Q9NS18</t>
  </si>
  <si>
    <t>Q9NS23-4</t>
  </si>
  <si>
    <t>Q9NS69</t>
  </si>
  <si>
    <t>Q9NS86</t>
  </si>
  <si>
    <t>Q9NS87</t>
  </si>
  <si>
    <t>Q9NS91</t>
  </si>
  <si>
    <t>Q9NS93</t>
  </si>
  <si>
    <t>Q9NSA3</t>
  </si>
  <si>
    <t>Q9NSD9</t>
  </si>
  <si>
    <t>Q9NSE4</t>
  </si>
  <si>
    <t>Q9NSG2-3</t>
  </si>
  <si>
    <t>Q9NSI2-2</t>
  </si>
  <si>
    <t>Q9NSI8</t>
  </si>
  <si>
    <t>Q9NSK0</t>
  </si>
  <si>
    <t>Q9NSY1</t>
  </si>
  <si>
    <t>Q9NT62</t>
  </si>
  <si>
    <t>Q9NTG7</t>
  </si>
  <si>
    <t>Q9NTI5-2</t>
  </si>
  <si>
    <t>Q9NTJ3</t>
  </si>
  <si>
    <t>Q9NTJ4-3</t>
  </si>
  <si>
    <t>Q9NTJ5</t>
  </si>
  <si>
    <t>Q9NTM9</t>
  </si>
  <si>
    <t>Q9NTX5-2</t>
  </si>
  <si>
    <t>Q9NTX7-2</t>
  </si>
  <si>
    <t>Q9NTZ6</t>
  </si>
  <si>
    <t>Q9NU19</t>
  </si>
  <si>
    <t>Q9NU22</t>
  </si>
  <si>
    <t>Q9NU23</t>
  </si>
  <si>
    <t>Q9NUD5</t>
  </si>
  <si>
    <t>Q9NUE0</t>
  </si>
  <si>
    <t>Q9NUG6</t>
  </si>
  <si>
    <t>Q9NUJ1</t>
  </si>
  <si>
    <t>Q9NUM4</t>
  </si>
  <si>
    <t>Q9NUN5-3</t>
  </si>
  <si>
    <t>Q9NUP1</t>
  </si>
  <si>
    <t>Q9NUP7</t>
  </si>
  <si>
    <t>Q9NUP9</t>
  </si>
  <si>
    <t>Q9NUQ2</t>
  </si>
  <si>
    <t>Q9NUQ3</t>
  </si>
  <si>
    <t>Q9NUQ7</t>
  </si>
  <si>
    <t>Q9NUQ8</t>
  </si>
  <si>
    <t>Q9NUQ9</t>
  </si>
  <si>
    <t>Q9NUS5</t>
  </si>
  <si>
    <t>Q9NUU7</t>
  </si>
  <si>
    <t>Q9NUW8</t>
  </si>
  <si>
    <t>Q9NUY8</t>
  </si>
  <si>
    <t>Q9NV06</t>
  </si>
  <si>
    <t>Q9NV31</t>
  </si>
  <si>
    <t>Q9NV35</t>
  </si>
  <si>
    <t>Q9NV56</t>
  </si>
  <si>
    <t>Q9NV66</t>
  </si>
  <si>
    <t>Q9NV70-2</t>
  </si>
  <si>
    <t>Q9NV96-2</t>
  </si>
  <si>
    <t>Q9NVA1-2</t>
  </si>
  <si>
    <t>Q9NVC6</t>
  </si>
  <si>
    <t>Q9NVE7</t>
  </si>
  <si>
    <t>Q9NVF7</t>
  </si>
  <si>
    <t>Q9NVG8</t>
  </si>
  <si>
    <t>Q9NVH0-2</t>
  </si>
  <si>
    <t>Q9NVH1-3</t>
  </si>
  <si>
    <t>Q9NVH2-4</t>
  </si>
  <si>
    <t>Q9NVH6-4</t>
  </si>
  <si>
    <t>Q9NVI1</t>
  </si>
  <si>
    <t>Q9NVI7-2</t>
  </si>
  <si>
    <t>Q9NVJ2</t>
  </si>
  <si>
    <t>Q9NVK5</t>
  </si>
  <si>
    <t>Q9NVM1</t>
  </si>
  <si>
    <t>Q9NVM4-3</t>
  </si>
  <si>
    <t>Q9NVM6</t>
  </si>
  <si>
    <t>Q9NVM9</t>
  </si>
  <si>
    <t>Q9NVN8</t>
  </si>
  <si>
    <t>Q9NVP1</t>
  </si>
  <si>
    <t>Q9NVP2</t>
  </si>
  <si>
    <t>Q9NVR0</t>
  </si>
  <si>
    <t>Q9NVR2</t>
  </si>
  <si>
    <t>Q9NVR5</t>
  </si>
  <si>
    <t>Q9NVU0-5</t>
  </si>
  <si>
    <t>Q9NVV0</t>
  </si>
  <si>
    <t>Q9NVV4</t>
  </si>
  <si>
    <t>Q9NVW2</t>
  </si>
  <si>
    <t>Q9NVX0-3</t>
  </si>
  <si>
    <t>Q9NVX2</t>
  </si>
  <si>
    <t>Q9NVX7</t>
  </si>
  <si>
    <t>Q9NVZ3</t>
  </si>
  <si>
    <t>Q9NW08-2</t>
  </si>
  <si>
    <t>Q9NW13</t>
  </si>
  <si>
    <t>Q9NW15</t>
  </si>
  <si>
    <t>Q9NW64</t>
  </si>
  <si>
    <t>Q9NW82</t>
  </si>
  <si>
    <t>Q9NWB6</t>
  </si>
  <si>
    <t>Q9NWD8</t>
  </si>
  <si>
    <t>Q9NWD9</t>
  </si>
  <si>
    <t>Q9NWH2</t>
  </si>
  <si>
    <t>Q9NWH9</t>
  </si>
  <si>
    <t>Q9NWK9</t>
  </si>
  <si>
    <t>Q9NWM8</t>
  </si>
  <si>
    <t>Q9NWQ9</t>
  </si>
  <si>
    <t>Q9NWS0</t>
  </si>
  <si>
    <t>Q9NWS6</t>
  </si>
  <si>
    <t>Q9NWS8</t>
  </si>
  <si>
    <t>Q9NWT1</t>
  </si>
  <si>
    <t>Q9NWT6</t>
  </si>
  <si>
    <t>Q9NWT8</t>
  </si>
  <si>
    <t>Q9NWU1</t>
  </si>
  <si>
    <t>Q9NWU2</t>
  </si>
  <si>
    <t>Q9NWV4</t>
  </si>
  <si>
    <t>Q9NWX6</t>
  </si>
  <si>
    <t>Q9NWY4</t>
  </si>
  <si>
    <t>Q9NWZ3</t>
  </si>
  <si>
    <t>Q9NX01</t>
  </si>
  <si>
    <t>Q9NX02-5</t>
  </si>
  <si>
    <t>Q9NX04</t>
  </si>
  <si>
    <t>Q9NX07-2</t>
  </si>
  <si>
    <t>Q9NX08</t>
  </si>
  <si>
    <t>Q9NX09</t>
  </si>
  <si>
    <t>Q9NX14</t>
  </si>
  <si>
    <t>Q9NX20</t>
  </si>
  <si>
    <t>Q9NX24</t>
  </si>
  <si>
    <t>Q9NX38</t>
  </si>
  <si>
    <t>Q9NX40</t>
  </si>
  <si>
    <t>Q9NX46</t>
  </si>
  <si>
    <t>Q9NX47</t>
  </si>
  <si>
    <t>Q9NX55</t>
  </si>
  <si>
    <t>Q9NX58</t>
  </si>
  <si>
    <t>Q9NX62</t>
  </si>
  <si>
    <t>Q9NX70</t>
  </si>
  <si>
    <t>Q9NX74</t>
  </si>
  <si>
    <t>Q9NX94</t>
  </si>
  <si>
    <t>Q9NXA8-4</t>
  </si>
  <si>
    <t>Q9NXC5</t>
  </si>
  <si>
    <t>Q9NXE8</t>
  </si>
  <si>
    <t>Q9NXF1-2</t>
  </si>
  <si>
    <t>Q9NXF7</t>
  </si>
  <si>
    <t>Q9NXF8</t>
  </si>
  <si>
    <t>Q9NXH8</t>
  </si>
  <si>
    <t>Q9NXH9</t>
  </si>
  <si>
    <t>Q9NXK8-2</t>
  </si>
  <si>
    <t>Q9NXN4-2</t>
  </si>
  <si>
    <t>Q9NXR1-2</t>
  </si>
  <si>
    <t>Q9NXR7</t>
  </si>
  <si>
    <t>Q9NXS2</t>
  </si>
  <si>
    <t>Q9NXU5</t>
  </si>
  <si>
    <t>Q9NXV2</t>
  </si>
  <si>
    <t>Q9NXV6</t>
  </si>
  <si>
    <t>Q9NXW9</t>
  </si>
  <si>
    <t>Q9NXX6</t>
  </si>
  <si>
    <t>Q9NY27</t>
  </si>
  <si>
    <t>Q9NY97-2</t>
  </si>
  <si>
    <t>Q9NYA1-2</t>
  </si>
  <si>
    <t>Q9NYB0</t>
  </si>
  <si>
    <t>Q9NYH9</t>
  </si>
  <si>
    <t>Q9NYJ1</t>
  </si>
  <si>
    <t>Q9NYJ8</t>
  </si>
  <si>
    <t>Q9NYK5</t>
  </si>
  <si>
    <t>Q9NYL2</t>
  </si>
  <si>
    <t>Q9NYL2-2</t>
  </si>
  <si>
    <t>Q9NYL9</t>
  </si>
  <si>
    <t>Q9NYP9</t>
  </si>
  <si>
    <t>Q9NYU2-2</t>
  </si>
  <si>
    <t>Q9NYV4-2</t>
  </si>
  <si>
    <t>Q9NYY8</t>
  </si>
  <si>
    <t>Q9NYZ2-4</t>
  </si>
  <si>
    <t>Q9NYZ3</t>
  </si>
  <si>
    <t>Q9NZ01</t>
  </si>
  <si>
    <t>Q9NZ08</t>
  </si>
  <si>
    <t>Q9NZ09-2</t>
  </si>
  <si>
    <t>Q9NZ32</t>
  </si>
  <si>
    <t>Q9NZ43</t>
  </si>
  <si>
    <t>Q9NZ45</t>
  </si>
  <si>
    <t>Q9NZ53</t>
  </si>
  <si>
    <t>Q9NZ63</t>
  </si>
  <si>
    <t>Q9NZA1-3</t>
  </si>
  <si>
    <t>Q9NZC3</t>
  </si>
  <si>
    <t>Q9NZC7-5</t>
  </si>
  <si>
    <t>Q9NZC9</t>
  </si>
  <si>
    <t>Q9NZD8-2</t>
  </si>
  <si>
    <t>Q9NZI7-4</t>
  </si>
  <si>
    <t>Q9NZI8</t>
  </si>
  <si>
    <t>Q9NZJ4</t>
  </si>
  <si>
    <t>Q9NZJ6</t>
  </si>
  <si>
    <t>Q9NZJ7-2</t>
  </si>
  <si>
    <t>Q9NZJ9</t>
  </si>
  <si>
    <t>Q9NZL4</t>
  </si>
  <si>
    <t>Q9NZL9</t>
  </si>
  <si>
    <t>Q9NZL9-2</t>
  </si>
  <si>
    <t>Q9NZM3-4</t>
  </si>
  <si>
    <t>Q9NZM4-2</t>
  </si>
  <si>
    <t>Q9NZN4</t>
  </si>
  <si>
    <t>Q9NZN5-2</t>
  </si>
  <si>
    <t>Q9NZQ3-3</t>
  </si>
  <si>
    <t>Q9NZT2-2</t>
  </si>
  <si>
    <t>Q9NZW5</t>
  </si>
  <si>
    <t>Q9NZZ3</t>
  </si>
  <si>
    <t>Q9P000</t>
  </si>
  <si>
    <t>Q9P013</t>
  </si>
  <si>
    <t>Q9P016</t>
  </si>
  <si>
    <t>Q9P021</t>
  </si>
  <si>
    <t>Q9P031</t>
  </si>
  <si>
    <t>Q9P032</t>
  </si>
  <si>
    <t>Q9P035</t>
  </si>
  <si>
    <t>Q9P0B6</t>
  </si>
  <si>
    <t>Q9P0I2</t>
  </si>
  <si>
    <t>Q9P0J7</t>
  </si>
  <si>
    <t>Q9P0L0</t>
  </si>
  <si>
    <t>Q9P0N9-3</t>
  </si>
  <si>
    <t>Q9P0P0</t>
  </si>
  <si>
    <t>Q9P0R6</t>
  </si>
  <si>
    <t>Q9P0U4</t>
  </si>
  <si>
    <t>Q9P0W2</t>
  </si>
  <si>
    <t>Q9P1U0</t>
  </si>
  <si>
    <t>Q9P1U1</t>
  </si>
  <si>
    <t>Q9P1W9</t>
  </si>
  <si>
    <t>Q9P1Z2-2</t>
  </si>
  <si>
    <t>Q9P206-2</t>
  </si>
  <si>
    <t>Q9P209</t>
  </si>
  <si>
    <t>Q9P215</t>
  </si>
  <si>
    <t>Q9P253</t>
  </si>
  <si>
    <t>Q9P258</t>
  </si>
  <si>
    <t>Q9P260</t>
  </si>
  <si>
    <t>Q9P265</t>
  </si>
  <si>
    <t>Q9P270</t>
  </si>
  <si>
    <t>Q9P287</t>
  </si>
  <si>
    <t>Q9P287-2</t>
  </si>
  <si>
    <t>Q9P2B2</t>
  </si>
  <si>
    <t>Q9P2D1</t>
  </si>
  <si>
    <t>Q9P2D3-3</t>
  </si>
  <si>
    <t>Q9P2D7-5</t>
  </si>
  <si>
    <t>Q9P2E3</t>
  </si>
  <si>
    <t>Q9P2E9</t>
  </si>
  <si>
    <t>Q9P2I0</t>
  </si>
  <si>
    <t>Q9P2J8</t>
  </si>
  <si>
    <t>Q9P2J9</t>
  </si>
  <si>
    <t>Q9P2K8-2</t>
  </si>
  <si>
    <t>Q9P2M4</t>
  </si>
  <si>
    <t>Q9P2N5</t>
  </si>
  <si>
    <t>Q9P2R3</t>
  </si>
  <si>
    <t>Q9P2R6</t>
  </si>
  <si>
    <t>Q9P2W1</t>
  </si>
  <si>
    <t>Q9P2X0</t>
  </si>
  <si>
    <t>Q9P2Y5</t>
  </si>
  <si>
    <t>Q9UBB4</t>
  </si>
  <si>
    <t>Q9UBB5</t>
  </si>
  <si>
    <t>Q9UBB6</t>
  </si>
  <si>
    <t>Q9UBB9</t>
  </si>
  <si>
    <t>Q9UBC2-2</t>
  </si>
  <si>
    <t>Q9UBC3-4</t>
  </si>
  <si>
    <t>Q9UBD5</t>
  </si>
  <si>
    <t>Q9UBE0</t>
  </si>
  <si>
    <t>Q9UBF1</t>
  </si>
  <si>
    <t>Q9UBF2</t>
  </si>
  <si>
    <t>Q9UBF6</t>
  </si>
  <si>
    <t>Q9UBF8-2</t>
  </si>
  <si>
    <t>Q9UBH6-2</t>
  </si>
  <si>
    <t>Q9UBI1</t>
  </si>
  <si>
    <t>Q9UBI6</t>
  </si>
  <si>
    <t>Q9UBK8-2</t>
  </si>
  <si>
    <t>Q9UBK9</t>
  </si>
  <si>
    <t>Q9UBL3-3</t>
  </si>
  <si>
    <t>Q9UBM7</t>
  </si>
  <si>
    <t>Q9UBP0-3</t>
  </si>
  <si>
    <t>Q9UBP6</t>
  </si>
  <si>
    <t>Q9UBP9</t>
  </si>
  <si>
    <t>Q9UBQ7</t>
  </si>
  <si>
    <t>Q9UBR2</t>
  </si>
  <si>
    <t>Q9UBS0</t>
  </si>
  <si>
    <t>Q9UBS4</t>
  </si>
  <si>
    <t>Q9UBS8</t>
  </si>
  <si>
    <t>Q9UBT2</t>
  </si>
  <si>
    <t>Q9UBU6</t>
  </si>
  <si>
    <t>Q9UBU9</t>
  </si>
  <si>
    <t>Q9UBV2</t>
  </si>
  <si>
    <t>Q9UBV7</t>
  </si>
  <si>
    <t>Q9UBV8</t>
  </si>
  <si>
    <t>Q9UBW7</t>
  </si>
  <si>
    <t>Q9UBW8</t>
  </si>
  <si>
    <t>Q9UBX3</t>
  </si>
  <si>
    <t>Q9UBY8</t>
  </si>
  <si>
    <t>Q9UDX5</t>
  </si>
  <si>
    <t>Q9UDY2</t>
  </si>
  <si>
    <t>Q9UDY4</t>
  </si>
  <si>
    <t>Q9UEE9</t>
  </si>
  <si>
    <t>Q9UEG4</t>
  </si>
  <si>
    <t>Q9UEL6</t>
  </si>
  <si>
    <t>Q9UER7-2</t>
  </si>
  <si>
    <t>Q9UET6-2</t>
  </si>
  <si>
    <t>Q9UEU0</t>
  </si>
  <si>
    <t>Q9UEU5</t>
  </si>
  <si>
    <t>Q9UEY8-2</t>
  </si>
  <si>
    <t>Q9UFC0</t>
  </si>
  <si>
    <t>Q9UFG5</t>
  </si>
  <si>
    <t>Q9UFN0</t>
  </si>
  <si>
    <t>Q9UFW8</t>
  </si>
  <si>
    <t>Q9UG52</t>
  </si>
  <si>
    <t>Q9UG63</t>
  </si>
  <si>
    <t>Q9UGC7-4</t>
  </si>
  <si>
    <t>Q9UGI8</t>
  </si>
  <si>
    <t>Q9UGJ1-2</t>
  </si>
  <si>
    <t>Q9UGM6</t>
  </si>
  <si>
    <t>Q9UGP4</t>
  </si>
  <si>
    <t>Q9UGP8</t>
  </si>
  <si>
    <t>Q9UGR2-2</t>
  </si>
  <si>
    <t>Q9UH62</t>
  </si>
  <si>
    <t>Q9UH65</t>
  </si>
  <si>
    <t>Q9UH99</t>
  </si>
  <si>
    <t>Q9UHA2</t>
  </si>
  <si>
    <t>Q9UHA4</t>
  </si>
  <si>
    <t>Q9UHB7</t>
  </si>
  <si>
    <t>Q9UHB9-4</t>
  </si>
  <si>
    <t>Q9UHD1</t>
  </si>
  <si>
    <t>Q9UHD2</t>
  </si>
  <si>
    <t>Q9UHD8-7</t>
  </si>
  <si>
    <t>Q9UHD9</t>
  </si>
  <si>
    <t>Q9UHF1</t>
  </si>
  <si>
    <t>Q9UHG3</t>
  </si>
  <si>
    <t>Q9UHI6</t>
  </si>
  <si>
    <t>Q9UHJ6</t>
  </si>
  <si>
    <t>Q9UHK0</t>
  </si>
  <si>
    <t>Q9UHL4</t>
  </si>
  <si>
    <t>Q9UHN1</t>
  </si>
  <si>
    <t>Q9UHN6-2</t>
  </si>
  <si>
    <t>Q9UHP3</t>
  </si>
  <si>
    <t>Q9UHQ1</t>
  </si>
  <si>
    <t>Q9UHQ4</t>
  </si>
  <si>
    <t>Q9UHQ9</t>
  </si>
  <si>
    <t>Q9UHR4</t>
  </si>
  <si>
    <t>Q9UHR6</t>
  </si>
  <si>
    <t>Q9UHV9</t>
  </si>
  <si>
    <t>Q9UHW5</t>
  </si>
  <si>
    <t>Q9UHX1-4</t>
  </si>
  <si>
    <t>Q9UHX3-5</t>
  </si>
  <si>
    <t>Q9UHY1</t>
  </si>
  <si>
    <t>Q9UHY7</t>
  </si>
  <si>
    <t>Q9UHY8</t>
  </si>
  <si>
    <t>Q9UI09</t>
  </si>
  <si>
    <t>Q9UI10</t>
  </si>
  <si>
    <t>Q9UI10-3</t>
  </si>
  <si>
    <t>Q9UI12-2</t>
  </si>
  <si>
    <t>Q9UI26</t>
  </si>
  <si>
    <t>Q9UI30</t>
  </si>
  <si>
    <t>Q9UI43</t>
  </si>
  <si>
    <t>Q9UIC8</t>
  </si>
  <si>
    <t>Q9UID3</t>
  </si>
  <si>
    <t>Q9UIG0-2</t>
  </si>
  <si>
    <t>Q9UII2</t>
  </si>
  <si>
    <t>Q9UIJ7</t>
  </si>
  <si>
    <t>Q9UIL1-3</t>
  </si>
  <si>
    <t>Q9UIM3</t>
  </si>
  <si>
    <t>Q9UIQ6-3</t>
  </si>
  <si>
    <t>Q9UIV1-2</t>
  </si>
  <si>
    <t>Q9UJ14-5</t>
  </si>
  <si>
    <t>Q9UJA2-2</t>
  </si>
  <si>
    <t>Q9UJA5</t>
  </si>
  <si>
    <t>Q9UJJ9</t>
  </si>
  <si>
    <t>Q9UJK0</t>
  </si>
  <si>
    <t>Q9UJN7</t>
  </si>
  <si>
    <t>Q9UJS0</t>
  </si>
  <si>
    <t>Q9UJT0</t>
  </si>
  <si>
    <t>Q9UJU6</t>
  </si>
  <si>
    <t>Q9UJU6-2</t>
  </si>
  <si>
    <t>Q9UJW0-2</t>
  </si>
  <si>
    <t>Q9UJX2</t>
  </si>
  <si>
    <t>Q9UJX3-2</t>
  </si>
  <si>
    <t>Q9UJX5</t>
  </si>
  <si>
    <t>Q9UJX6-2</t>
  </si>
  <si>
    <t>Q9UJY4</t>
  </si>
  <si>
    <t>Q9UJY5-4</t>
  </si>
  <si>
    <t>Q9UJZ1</t>
  </si>
  <si>
    <t>Q9UK23-2</t>
  </si>
  <si>
    <t>Q9UK41</t>
  </si>
  <si>
    <t>Q9UK45</t>
  </si>
  <si>
    <t>Q9UK53-3</t>
  </si>
  <si>
    <t>Q9UK59</t>
  </si>
  <si>
    <t>Q9UK61-2</t>
  </si>
  <si>
    <t>Q9UK73</t>
  </si>
  <si>
    <t>Q9UK97-3</t>
  </si>
  <si>
    <t>Q9UKA4</t>
  </si>
  <si>
    <t>Q9UKB3-2</t>
  </si>
  <si>
    <t>Q9UKD2</t>
  </si>
  <si>
    <t>Q9UKE5-2</t>
  </si>
  <si>
    <t>Q9UKE5-6</t>
  </si>
  <si>
    <t>Q9UKF6</t>
  </si>
  <si>
    <t>Q9UKG1</t>
  </si>
  <si>
    <t>Q9UKI8</t>
  </si>
  <si>
    <t>Q9UKJ3-2</t>
  </si>
  <si>
    <t>Q9UKL0</t>
  </si>
  <si>
    <t>Q9UKN8</t>
  </si>
  <si>
    <t>Q9UKS6</t>
  </si>
  <si>
    <t>Q9UKT4-2</t>
  </si>
  <si>
    <t>Q9UKT5</t>
  </si>
  <si>
    <t>Q9UKU7</t>
  </si>
  <si>
    <t>Q9UKV5</t>
  </si>
  <si>
    <t>Q9UKV8</t>
  </si>
  <si>
    <t>Q9UKX7-2</t>
  </si>
  <si>
    <t>Q9UKY1</t>
  </si>
  <si>
    <t>Q9UKY7</t>
  </si>
  <si>
    <t>Q9UKZ1</t>
  </si>
  <si>
    <t>Q9UL15</t>
  </si>
  <si>
    <t>Q9UL25</t>
  </si>
  <si>
    <t>Q9UL26</t>
  </si>
  <si>
    <t>Q9UL33-2</t>
  </si>
  <si>
    <t>Q9UL46</t>
  </si>
  <si>
    <t>Q9UL54-2</t>
  </si>
  <si>
    <t>Q9ULC3</t>
  </si>
  <si>
    <t>Q9ULC4</t>
  </si>
  <si>
    <t>Q9ULE0</t>
  </si>
  <si>
    <t>Q9ULF5</t>
  </si>
  <si>
    <t>Q9ULG6-4</t>
  </si>
  <si>
    <t>Q9ULH0-4</t>
  </si>
  <si>
    <t>Q9ULH1</t>
  </si>
  <si>
    <t>Q9ULI2-2</t>
  </si>
  <si>
    <t>Q9ULJ3-2</t>
  </si>
  <si>
    <t>Q9ULJ6</t>
  </si>
  <si>
    <t>Q9ULJ7</t>
  </si>
  <si>
    <t>Q9ULM6</t>
  </si>
  <si>
    <t>Q9ULP9-2</t>
  </si>
  <si>
    <t>Q9ULR0</t>
  </si>
  <si>
    <t>Q9ULR3</t>
  </si>
  <si>
    <t>Q9ULT8</t>
  </si>
  <si>
    <t>Q9ULU4-9</t>
  </si>
  <si>
    <t>Q9ULV4</t>
  </si>
  <si>
    <t>Q9ULW0</t>
  </si>
  <si>
    <t>Q9ULX3</t>
  </si>
  <si>
    <t>Q9ULX6-2</t>
  </si>
  <si>
    <t>Q9ULZ3-2</t>
  </si>
  <si>
    <t>Q9UM13</t>
  </si>
  <si>
    <t>Q9UMF0</t>
  </si>
  <si>
    <t>Q9UMS0-3</t>
  </si>
  <si>
    <t>Q9UMS4</t>
  </si>
  <si>
    <t>Q9UMX0</t>
  </si>
  <si>
    <t>Q9UMX1-2</t>
  </si>
  <si>
    <t>Q9UMX5</t>
  </si>
  <si>
    <t>Q9UMY4-2</t>
  </si>
  <si>
    <t>Q9UMZ2-6</t>
  </si>
  <si>
    <t>Q9UN36-2</t>
  </si>
  <si>
    <t>Q9UN37</t>
  </si>
  <si>
    <t>Q9UN86-2</t>
  </si>
  <si>
    <t>Q9UNE7</t>
  </si>
  <si>
    <t>Q9UNF0-2</t>
  </si>
  <si>
    <t>Q9UNF1</t>
  </si>
  <si>
    <t>Q9UNH7</t>
  </si>
  <si>
    <t>Q9UNI6</t>
  </si>
  <si>
    <t>Q9UNK0</t>
  </si>
  <si>
    <t>Q9UNM6</t>
  </si>
  <si>
    <t>Q9UNN5</t>
  </si>
  <si>
    <t>Q9UNN8</t>
  </si>
  <si>
    <t>Q9UNP9</t>
  </si>
  <si>
    <t>Q9UNQ2</t>
  </si>
  <si>
    <t>Q9UNS1-2</t>
  </si>
  <si>
    <t>Q9UNS2</t>
  </si>
  <si>
    <t>Q9UNW1</t>
  </si>
  <si>
    <t>Q9UNX4</t>
  </si>
  <si>
    <t>Q9UNY4</t>
  </si>
  <si>
    <t>Q9UNZ2</t>
  </si>
  <si>
    <t>Q9UNZ5</t>
  </si>
  <si>
    <t>Q9UP52-3</t>
  </si>
  <si>
    <t>Q9UP83</t>
  </si>
  <si>
    <t>Q9UP95-3</t>
  </si>
  <si>
    <t>Q9UPM8-2</t>
  </si>
  <si>
    <t>Q9UPN3</t>
  </si>
  <si>
    <t>Q9UPN6</t>
  </si>
  <si>
    <t>Q9UPN7</t>
  </si>
  <si>
    <t>Q9UPN9</t>
  </si>
  <si>
    <t>Q9UPN9-2</t>
  </si>
  <si>
    <t>Q9UPR3</t>
  </si>
  <si>
    <t>Q9UPT5-2</t>
  </si>
  <si>
    <t>Q9UPT9-2</t>
  </si>
  <si>
    <t>Q9UPU5</t>
  </si>
  <si>
    <t>Q9UPY8</t>
  </si>
  <si>
    <t>Q9UPY8-2</t>
  </si>
  <si>
    <t>Q9UPZ3-2</t>
  </si>
  <si>
    <t>Q9UQ13-2</t>
  </si>
  <si>
    <t>Q9UQ35</t>
  </si>
  <si>
    <t>Q9UQ53-2</t>
  </si>
  <si>
    <t>Q9UQ80</t>
  </si>
  <si>
    <t>Q9UQ88-4</t>
  </si>
  <si>
    <t>Q9UQ90</t>
  </si>
  <si>
    <t>Q9UQB8-3</t>
  </si>
  <si>
    <t>Q9UQC2-2</t>
  </si>
  <si>
    <t>Q9UQE7</t>
  </si>
  <si>
    <t>Q9UQL0</t>
  </si>
  <si>
    <t>Q9UQQ2</t>
  </si>
  <si>
    <t>Q9UQR0</t>
  </si>
  <si>
    <t>Q9UQR1</t>
  </si>
  <si>
    <t>Q9Y217</t>
  </si>
  <si>
    <t>Q9Y219</t>
  </si>
  <si>
    <t>Q9Y223</t>
  </si>
  <si>
    <t>Q9Y224</t>
  </si>
  <si>
    <t>Q9Y225</t>
  </si>
  <si>
    <t>Q9Y230</t>
  </si>
  <si>
    <t>Q9Y232-2</t>
  </si>
  <si>
    <t>Q9Y237</t>
  </si>
  <si>
    <t>Q9Y240</t>
  </si>
  <si>
    <t>Q9Y241</t>
  </si>
  <si>
    <t>Q9Y244</t>
  </si>
  <si>
    <t>Q9Y248</t>
  </si>
  <si>
    <t>Q9Y250-5</t>
  </si>
  <si>
    <t>Q9Y263</t>
  </si>
  <si>
    <t>Q9Y265</t>
  </si>
  <si>
    <t>Q9Y266</t>
  </si>
  <si>
    <t>Q9Y276</t>
  </si>
  <si>
    <t>Q9Y277</t>
  </si>
  <si>
    <t>Q9Y281</t>
  </si>
  <si>
    <t>Q9Y289</t>
  </si>
  <si>
    <t>Q9Y294</t>
  </si>
  <si>
    <t>Q9Y295</t>
  </si>
  <si>
    <t>Q9Y2A7</t>
  </si>
  <si>
    <t>Q9Y2B0</t>
  </si>
  <si>
    <t>Q9Y2D8-2</t>
  </si>
  <si>
    <t>Q9Y2G2-4</t>
  </si>
  <si>
    <t>Q9Y2G3</t>
  </si>
  <si>
    <t>Q9Y2G5</t>
  </si>
  <si>
    <t>Q9Y2H0-3</t>
  </si>
  <si>
    <t>Q9Y2H6-2</t>
  </si>
  <si>
    <t>Q9Y2I1</t>
  </si>
  <si>
    <t>Q9Y2I7</t>
  </si>
  <si>
    <t>Q9Y2I8</t>
  </si>
  <si>
    <t>Q9Y2K6</t>
  </si>
  <si>
    <t>Q9Y2K7</t>
  </si>
  <si>
    <t>Q9Y2L1</t>
  </si>
  <si>
    <t>Q9Y2Q3</t>
  </si>
  <si>
    <t>Q9Y2Q5</t>
  </si>
  <si>
    <t>Q9Y2Q9</t>
  </si>
  <si>
    <t>Q9Y2R0</t>
  </si>
  <si>
    <t>Q9Y2S0</t>
  </si>
  <si>
    <t>Q9Y2S6</t>
  </si>
  <si>
    <t>Q9Y2S7</t>
  </si>
  <si>
    <t>Q9Y2T2</t>
  </si>
  <si>
    <t>Q9Y2U5</t>
  </si>
  <si>
    <t>Q9Y2U8</t>
  </si>
  <si>
    <t>Q9Y2V2</t>
  </si>
  <si>
    <t>Q9Y2V7-2</t>
  </si>
  <si>
    <t>Q9Y2W1</t>
  </si>
  <si>
    <t>Q9Y2X3</t>
  </si>
  <si>
    <t>Q9Y2Y1</t>
  </si>
  <si>
    <t>Q9Y2Z0</t>
  </si>
  <si>
    <t>Q9Y2Z0-2</t>
  </si>
  <si>
    <t>Q9Y2Z2-5</t>
  </si>
  <si>
    <t>Q9Y2Z4</t>
  </si>
  <si>
    <t>Q9Y2Z9-3</t>
  </si>
  <si>
    <t>Q9Y303</t>
  </si>
  <si>
    <t>Q9Y303-2</t>
  </si>
  <si>
    <t>Q9Y305</t>
  </si>
  <si>
    <t>Q9Y314</t>
  </si>
  <si>
    <t>Q9Y316</t>
  </si>
  <si>
    <t>Q9Y320-2</t>
  </si>
  <si>
    <t>Q9Y333</t>
  </si>
  <si>
    <t>Q9Y371</t>
  </si>
  <si>
    <t>Q9Y375</t>
  </si>
  <si>
    <t>Q9Y376</t>
  </si>
  <si>
    <t>Q9Y383</t>
  </si>
  <si>
    <t>Q9Y385</t>
  </si>
  <si>
    <t>Q9Y388</t>
  </si>
  <si>
    <t>Q9Y394-2</t>
  </si>
  <si>
    <t>Q9Y399</t>
  </si>
  <si>
    <t>Q9Y3A3</t>
  </si>
  <si>
    <t>Q9Y3A5</t>
  </si>
  <si>
    <t>Q9Y3A6</t>
  </si>
  <si>
    <t>Q9Y3B3</t>
  </si>
  <si>
    <t>Q9Y3B4</t>
  </si>
  <si>
    <t>Q9Y3B7</t>
  </si>
  <si>
    <t>Q9Y3B9</t>
  </si>
  <si>
    <t>Q9Y3C1</t>
  </si>
  <si>
    <t>Q9Y3C4-2</t>
  </si>
  <si>
    <t>Q9Y3C5</t>
  </si>
  <si>
    <t>Q9Y3C6</t>
  </si>
  <si>
    <t>Q9Y3C8</t>
  </si>
  <si>
    <t>Q9Y3D0</t>
  </si>
  <si>
    <t>Q9Y3D2</t>
  </si>
  <si>
    <t>Q9Y3D6</t>
  </si>
  <si>
    <t>Q9Y3D8-2</t>
  </si>
  <si>
    <t>Q9Y3D9</t>
  </si>
  <si>
    <t>Q9Y3E1</t>
  </si>
  <si>
    <t>Q9Y3E7-4</t>
  </si>
  <si>
    <t>Q9Y3F4</t>
  </si>
  <si>
    <t>Q9Y3I0</t>
  </si>
  <si>
    <t>Q9Y3I1</t>
  </si>
  <si>
    <t>Q9Y3L3</t>
  </si>
  <si>
    <t>Q9Y3L5</t>
  </si>
  <si>
    <t>Q9Y3P9</t>
  </si>
  <si>
    <t>Q9Y3Q3</t>
  </si>
  <si>
    <t>Q9Y3Q8</t>
  </si>
  <si>
    <t>Q9Y3S2</t>
  </si>
  <si>
    <t>Q9Y3T6</t>
  </si>
  <si>
    <t>Q9Y3T9</t>
  </si>
  <si>
    <t>Q9Y3U8</t>
  </si>
  <si>
    <t>Q9Y3X0</t>
  </si>
  <si>
    <t>Q9Y3Y2-4</t>
  </si>
  <si>
    <t>Q9Y3Z3</t>
  </si>
  <si>
    <t>Q9Y426-2</t>
  </si>
  <si>
    <t>Q9Y446</t>
  </si>
  <si>
    <t>Q9Y448</t>
  </si>
  <si>
    <t>Q9Y450-4</t>
  </si>
  <si>
    <t>Q9Y467</t>
  </si>
  <si>
    <t>Q9Y478</t>
  </si>
  <si>
    <t>Q9Y483-2</t>
  </si>
  <si>
    <t>Q9Y487</t>
  </si>
  <si>
    <t>Q9Y490</t>
  </si>
  <si>
    <t>Q9Y4B6-3</t>
  </si>
  <si>
    <t>Q9Y4C2-2</t>
  </si>
  <si>
    <t>Q9Y4D7-2</t>
  </si>
  <si>
    <t>Q9Y4E8</t>
  </si>
  <si>
    <t>Q9Y4G6</t>
  </si>
  <si>
    <t>Q9Y4G8</t>
  </si>
  <si>
    <t>Q9Y4K3</t>
  </si>
  <si>
    <t>Q9Y4K4</t>
  </si>
  <si>
    <t>Q9Y4P1-6</t>
  </si>
  <si>
    <t>Q9Y4P8-3</t>
  </si>
  <si>
    <t>Q9Y4P8-4</t>
  </si>
  <si>
    <t>Q9Y4R8</t>
  </si>
  <si>
    <t>Q9Y4U1</t>
  </si>
  <si>
    <t>Q9Y4W2-2</t>
  </si>
  <si>
    <t>Q9Y4W6</t>
  </si>
  <si>
    <t>Q9Y4X0</t>
  </si>
  <si>
    <t>Q9Y4X5</t>
  </si>
  <si>
    <t>Q9Y4Z0</t>
  </si>
  <si>
    <t>Q9Y508</t>
  </si>
  <si>
    <t>Q9Y512</t>
  </si>
  <si>
    <t>Q9Y546</t>
  </si>
  <si>
    <t>Q9Y570</t>
  </si>
  <si>
    <t>Q9Y584</t>
  </si>
  <si>
    <t>Q9Y597-2</t>
  </si>
  <si>
    <t>Q9Y5A9</t>
  </si>
  <si>
    <t>Q9Y5B0</t>
  </si>
  <si>
    <t>Q9Y5B6</t>
  </si>
  <si>
    <t>Q9Y5B8-2</t>
  </si>
  <si>
    <t>Q9Y5B9</t>
  </si>
  <si>
    <t>Q9Y5J6</t>
  </si>
  <si>
    <t>Q9Y5J7</t>
  </si>
  <si>
    <t>Q9Y5K6</t>
  </si>
  <si>
    <t>Q9Y5K8</t>
  </si>
  <si>
    <t>Q9Y5L0</t>
  </si>
  <si>
    <t>Q9Y5L4</t>
  </si>
  <si>
    <t>Q9Y5M8</t>
  </si>
  <si>
    <t>Q9Y5N5</t>
  </si>
  <si>
    <t>Q9Y5N6</t>
  </si>
  <si>
    <t>Q9Y5P4-2</t>
  </si>
  <si>
    <t>Q9Y5P6</t>
  </si>
  <si>
    <t>Q9Y5Q8</t>
  </si>
  <si>
    <t>Q9Y5Q9</t>
  </si>
  <si>
    <t>Q9Y5R8</t>
  </si>
  <si>
    <t>Q9Y5S1</t>
  </si>
  <si>
    <t>Q9Y5S2</t>
  </si>
  <si>
    <t>Q9Y5S9</t>
  </si>
  <si>
    <t>Q9Y5T5-2</t>
  </si>
  <si>
    <t>Q9Y5U2-2</t>
  </si>
  <si>
    <t>Q9Y5U9</t>
  </si>
  <si>
    <t>Q9Y5V0</t>
  </si>
  <si>
    <t>Q9Y5X1</t>
  </si>
  <si>
    <t>Q9Y5X2</t>
  </si>
  <si>
    <t>Q9Y5X3</t>
  </si>
  <si>
    <t>Q9Y5Y0</t>
  </si>
  <si>
    <t>Q9Y5Y2</t>
  </si>
  <si>
    <t>Q9Y5Z4</t>
  </si>
  <si>
    <t>Q9Y5Z9-2</t>
  </si>
  <si>
    <t>Q9Y605</t>
  </si>
  <si>
    <t>Q9Y608-4</t>
  </si>
  <si>
    <t>Q9Y613</t>
  </si>
  <si>
    <t>Q9Y617</t>
  </si>
  <si>
    <t>Q9Y619</t>
  </si>
  <si>
    <t>Q9Y620</t>
  </si>
  <si>
    <t>Q9Y639-1</t>
  </si>
  <si>
    <t>Q9Y646</t>
  </si>
  <si>
    <t>Q9Y657</t>
  </si>
  <si>
    <t>Q9Y673</t>
  </si>
  <si>
    <t>Q9Y676</t>
  </si>
  <si>
    <t>Q9Y678</t>
  </si>
  <si>
    <t>Q9Y679-2</t>
  </si>
  <si>
    <t>Q9Y680-3</t>
  </si>
  <si>
    <t>Q9Y689-2</t>
  </si>
  <si>
    <t>Q9Y692-2</t>
  </si>
  <si>
    <t>Q9Y696</t>
  </si>
  <si>
    <t>Q9Y697-2</t>
  </si>
  <si>
    <t>Q9Y6A4</t>
  </si>
  <si>
    <t>Q9Y6A5</t>
  </si>
  <si>
    <t>Q9Y6B6</t>
  </si>
  <si>
    <t>Q9Y6B7</t>
  </si>
  <si>
    <t>Q9Y6C9</t>
  </si>
  <si>
    <t>Q9Y6D5</t>
  </si>
  <si>
    <t>Q9Y6D6</t>
  </si>
  <si>
    <t>Q9Y6D9</t>
  </si>
  <si>
    <t>Q9Y6G9</t>
  </si>
  <si>
    <t>Q9Y6H1</t>
  </si>
  <si>
    <t>Q9Y6H3</t>
  </si>
  <si>
    <t>Q9Y6I3-3</t>
  </si>
  <si>
    <t>Q9Y6I9</t>
  </si>
  <si>
    <t>Q9Y6J9</t>
  </si>
  <si>
    <t>Q9Y6K0</t>
  </si>
  <si>
    <t>Q9Y6K9</t>
  </si>
  <si>
    <t>Q9Y6M0-2</t>
  </si>
  <si>
    <t>Q9Y6M4-3</t>
  </si>
  <si>
    <t>Q9Y6M5</t>
  </si>
  <si>
    <t>Q9Y6P5-3</t>
  </si>
  <si>
    <t>Q9Y6Q9-2</t>
  </si>
  <si>
    <t>Q9Y6R0</t>
  </si>
  <si>
    <t>Q9Y6V7</t>
  </si>
  <si>
    <t>Q9Y6W3</t>
  </si>
  <si>
    <t>Q9Y6W5</t>
  </si>
  <si>
    <t>Q9Y6X9</t>
  </si>
  <si>
    <t>Q9Y6Y0</t>
  </si>
  <si>
    <t>R4GMN1</t>
  </si>
  <si>
    <t>R4GMR5</t>
  </si>
  <si>
    <t>R4GMX3</t>
  </si>
  <si>
    <t>R4GN33</t>
  </si>
  <si>
    <t>R4GN55</t>
  </si>
  <si>
    <t>R4GNB1</t>
  </si>
  <si>
    <t>R4GNB2</t>
  </si>
  <si>
    <t>R4GND1</t>
  </si>
  <si>
    <t>R4GNF5</t>
  </si>
  <si>
    <t>R4GNH3</t>
  </si>
  <si>
    <t>R4GNJ5</t>
  </si>
  <si>
    <t>norm_FC_TMT126_H.sapiens_K562_P018889</t>
  </si>
  <si>
    <t>norm_FC_TMT127L_H.sapiens_K562_P018889</t>
  </si>
  <si>
    <t>norm_FC_TMT127H_H.sapiens_K562_P018889</t>
  </si>
  <si>
    <t>norm_FC_TMT128L_H.sapiens_K562_P018889</t>
  </si>
  <si>
    <t>norm_FC_TMT128H_H.sapiens_K562_P018889</t>
  </si>
  <si>
    <t>norm_FC_TMT129L_H.sapiens_K562_P018889</t>
  </si>
  <si>
    <t>norm_FC_TMT129H_H.sapiens_K562_P018889</t>
  </si>
  <si>
    <t>norm_FC_TMT130L_H.sapiens_K562_P018889</t>
  </si>
  <si>
    <t>norm_FC_TMT130H_H.sapiens_K562_P018889</t>
  </si>
  <si>
    <t>norm_FC_TMT131L_H.sapiens_K562_P018889</t>
  </si>
  <si>
    <t>a_H.sapiens_K562_P018889</t>
  </si>
  <si>
    <t>b_H.sapiens_K562_P018889</t>
  </si>
  <si>
    <t>meltPoint_H.sapiens_K562_P018889</t>
  </si>
  <si>
    <t>inflPoint_H.sapiens_K562_P018889</t>
  </si>
  <si>
    <t>slope_H.sapiens_K562_P018889</t>
  </si>
  <si>
    <t>plateau_H.sapiens_K562_P018889</t>
  </si>
  <si>
    <t>R_sq_H.sapiens_K562_P018889</t>
  </si>
  <si>
    <t>protein_identified_in_H.sapiens_K562_P018889</t>
  </si>
  <si>
    <t>model_converged_H.sapiens_K562_P018889</t>
  </si>
  <si>
    <t>sufficient_data_for_fit_H.sapiens_K562_P018889</t>
  </si>
  <si>
    <t>Proteinname_H.sapiens_K562_P018889</t>
  </si>
  <si>
    <t>numSpec_H.sapiens_K562_P018889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</si>
</sst>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6565"/>
  <sheetViews>
    <sheetView tabSelected="1" workbookViewId="0">
      <selection sqref="A1:XFD1"/>
    </sheetView>
  </sheetViews>
  <sheetFormatPr defaultRowHeight="15" x14ac:dyDescent="0.25"/>
  <sheetData>
    <row r="1" spans="1:28" s="2" customFormat="1" ht="75" x14ac:dyDescent="0.25">
      <c r="A1" s="1" t="s">
        <v>0</v>
      </c>
      <c r="B1" s="1" t="s">
        <v>32534</v>
      </c>
      <c r="C1" s="1" t="s">
        <v>32535</v>
      </c>
      <c r="D1" s="1" t="s">
        <v>32536</v>
      </c>
      <c r="E1" s="1" t="s">
        <v>32537</v>
      </c>
      <c r="F1" s="1" t="s">
        <v>32538</v>
      </c>
      <c r="G1" s="1" t="s">
        <v>32539</v>
      </c>
      <c r="H1" s="1" t="s">
        <v>32540</v>
      </c>
      <c r="I1" s="1" t="s">
        <v>32541</v>
      </c>
      <c r="J1" s="1" t="s">
        <v>32542</v>
      </c>
      <c r="K1" s="1" t="s">
        <v>32543</v>
      </c>
      <c r="L1" s="1" t="s">
        <v>32544</v>
      </c>
      <c r="M1" s="1" t="s">
        <v>32545</v>
      </c>
      <c r="N1" s="1" t="s">
        <v>32546</v>
      </c>
      <c r="O1" s="1" t="s">
        <v>32547</v>
      </c>
      <c r="P1" s="1" t="s">
        <v>32548</v>
      </c>
      <c r="Q1" s="1" t="s">
        <v>32549</v>
      </c>
      <c r="R1" s="1" t="s">
        <v>32550</v>
      </c>
      <c r="S1" s="1" t="s">
        <v>1</v>
      </c>
      <c r="T1" s="1" t="s">
        <v>32551</v>
      </c>
      <c r="U1" s="1" t="s">
        <v>32552</v>
      </c>
      <c r="V1" s="1" t="s">
        <v>32553</v>
      </c>
      <c r="W1" s="1" t="s">
        <v>32554</v>
      </c>
      <c r="X1" s="1" t="s">
        <v>32555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0.99472303558308395</v>
      </c>
      <c r="C2">
        <v>0.94949144671824304</v>
      </c>
      <c r="D2">
        <v>0.98232701892449004</v>
      </c>
      <c r="E2">
        <v>0.742340357206415</v>
      </c>
      <c r="F2">
        <v>0.20687697652595199</v>
      </c>
      <c r="G2">
        <v>9.9928831847104299E-2</v>
      </c>
      <c r="H2">
        <v>6.0293394946207002E-2</v>
      </c>
      <c r="I2">
        <v>4.4274218095991101E-2</v>
      </c>
      <c r="J2">
        <v>5.2911067435205197E-2</v>
      </c>
      <c r="K2">
        <v>4.3441178841646798E-2</v>
      </c>
      <c r="L2">
        <v>1658.15469610692</v>
      </c>
      <c r="M2">
        <v>34.616512182821701</v>
      </c>
      <c r="N2">
        <v>48.059299003270297</v>
      </c>
      <c r="O2">
        <v>47.741675276933996</v>
      </c>
      <c r="P2">
        <v>-0.171485371253283</v>
      </c>
      <c r="Q2">
        <v>5.3981094551921197E-2</v>
      </c>
      <c r="R2">
        <v>0.99801676284513496</v>
      </c>
      <c r="S2" t="s">
        <v>6570</v>
      </c>
      <c r="T2" t="s">
        <v>13134</v>
      </c>
      <c r="U2" t="s">
        <v>13134</v>
      </c>
      <c r="V2" t="s">
        <v>13134</v>
      </c>
      <c r="W2" t="s">
        <v>13136</v>
      </c>
      <c r="X2">
        <v>39</v>
      </c>
      <c r="Y2" t="s">
        <v>19628</v>
      </c>
      <c r="Z2" t="s">
        <v>25970</v>
      </c>
      <c r="AA2">
        <v>0.40191514960577929</v>
      </c>
      <c r="AB2" t="str">
        <f>HYPERLINK("Melting_Curves/meltCurve_A0AVT1_UBA6.pdf", "Melting_Curves/meltCurve_A0AVT1_UBA6.pdf")</f>
        <v>Melting_Curves/meltCurve_A0AVT1_UBA6.pdf</v>
      </c>
    </row>
    <row r="3" spans="1:28" x14ac:dyDescent="0.25">
      <c r="A3" t="s">
        <v>7</v>
      </c>
      <c r="B3">
        <v>0.99472303558308395</v>
      </c>
      <c r="C3">
        <v>1.13392947390062</v>
      </c>
      <c r="D3">
        <v>1.1034782680997599</v>
      </c>
      <c r="E3">
        <v>0.75567016851526203</v>
      </c>
      <c r="F3">
        <v>0.37416016926551798</v>
      </c>
      <c r="G3">
        <v>0.13167000096664699</v>
      </c>
      <c r="H3">
        <v>0</v>
      </c>
      <c r="I3">
        <v>0</v>
      </c>
      <c r="J3">
        <v>0</v>
      </c>
      <c r="K3">
        <v>0</v>
      </c>
      <c r="L3">
        <v>1247.5089913613599</v>
      </c>
      <c r="M3">
        <v>25.387177491826499</v>
      </c>
      <c r="N3">
        <v>49.1393338588273</v>
      </c>
      <c r="O3">
        <v>48.837480863819302</v>
      </c>
      <c r="P3">
        <v>-0.12995909679086701</v>
      </c>
      <c r="Q3">
        <v>0</v>
      </c>
      <c r="R3">
        <v>0.98222757219285395</v>
      </c>
      <c r="S3" t="s">
        <v>6571</v>
      </c>
      <c r="T3" t="s">
        <v>13134</v>
      </c>
      <c r="U3" t="s">
        <v>13134</v>
      </c>
      <c r="V3" t="s">
        <v>13134</v>
      </c>
      <c r="W3" t="s">
        <v>13137</v>
      </c>
      <c r="X3">
        <v>24</v>
      </c>
      <c r="Y3" t="s">
        <v>19629</v>
      </c>
      <c r="Z3" t="s">
        <v>25971</v>
      </c>
      <c r="AA3">
        <v>0.41304679178563469</v>
      </c>
      <c r="AB3" t="str">
        <f>HYPERLINK("Melting_Curves/meltCurve_A0FGR8_2_ESYT2.pdf", "Melting_Curves/meltCurve_A0FGR8_2_ESYT2.pdf")</f>
        <v>Melting_Curves/meltCurve_A0FGR8_2_ESYT2.pdf</v>
      </c>
    </row>
    <row r="4" spans="1:28" x14ac:dyDescent="0.25">
      <c r="A4" t="s">
        <v>8</v>
      </c>
      <c r="B4">
        <v>0.99472303558308395</v>
      </c>
      <c r="C4">
        <v>1.03862868403733</v>
      </c>
      <c r="D4">
        <v>0.78742970160613202</v>
      </c>
      <c r="E4">
        <v>0.61340046007312898</v>
      </c>
      <c r="F4">
        <v>0.73401472807418899</v>
      </c>
      <c r="G4">
        <v>0.290043180095925</v>
      </c>
      <c r="H4">
        <v>4.6037564676843001E-2</v>
      </c>
      <c r="I4">
        <v>2.3682052000279001E-2</v>
      </c>
      <c r="J4">
        <v>1.6038829387684299E-2</v>
      </c>
      <c r="K4">
        <v>1.5036693294083201E-2</v>
      </c>
      <c r="L4">
        <v>688.49914077734297</v>
      </c>
      <c r="M4">
        <v>13.676233108278</v>
      </c>
      <c r="N4">
        <v>50.342751187583701</v>
      </c>
      <c r="O4">
        <v>49.302987876029398</v>
      </c>
      <c r="P4">
        <v>-6.9357946587823294E-2</v>
      </c>
      <c r="Q4">
        <v>0</v>
      </c>
      <c r="R4">
        <v>0.93414545859353004</v>
      </c>
      <c r="S4" t="s">
        <v>6572</v>
      </c>
      <c r="T4" t="s">
        <v>13134</v>
      </c>
      <c r="U4" t="s">
        <v>13134</v>
      </c>
      <c r="V4" t="s">
        <v>13134</v>
      </c>
      <c r="W4" t="s">
        <v>13138</v>
      </c>
      <c r="X4">
        <v>2</v>
      </c>
      <c r="Y4" t="s">
        <v>19630</v>
      </c>
      <c r="Z4" t="s">
        <v>25972</v>
      </c>
      <c r="AA4">
        <v>0.46814612317130172</v>
      </c>
      <c r="AB4" t="str">
        <f>HYPERLINK("Melting_Curves/meltCurve_A0JNW5_UHRF1BP1L.pdf", "Melting_Curves/meltCurve_A0JNW5_UHRF1BP1L.pdf")</f>
        <v>Melting_Curves/meltCurve_A0JNW5_UHRF1BP1L.pdf</v>
      </c>
    </row>
    <row r="5" spans="1:28" x14ac:dyDescent="0.25">
      <c r="A5" t="s">
        <v>9</v>
      </c>
      <c r="B5">
        <v>0.99472303558308395</v>
      </c>
      <c r="C5">
        <v>0.997286620342275</v>
      </c>
      <c r="D5">
        <v>0.97752400586127997</v>
      </c>
      <c r="E5">
        <v>0.65443835321154498</v>
      </c>
      <c r="F5">
        <v>0.19516844653582499</v>
      </c>
      <c r="G5">
        <v>0.10699726453352</v>
      </c>
      <c r="H5">
        <v>7.0840637151953295E-2</v>
      </c>
      <c r="I5">
        <v>5.6230884585209397E-2</v>
      </c>
      <c r="J5">
        <v>8.2297998448441198E-2</v>
      </c>
      <c r="K5">
        <v>5.2937620345354597E-2</v>
      </c>
      <c r="L5">
        <v>1538.61716475086</v>
      </c>
      <c r="M5">
        <v>32.480592117353197</v>
      </c>
      <c r="N5">
        <v>47.587058177114997</v>
      </c>
      <c r="O5">
        <v>47.191878075303599</v>
      </c>
      <c r="P5">
        <v>-0.160238538704677</v>
      </c>
      <c r="Q5">
        <v>6.87458724186292E-2</v>
      </c>
      <c r="R5">
        <v>0.99932661102471698</v>
      </c>
      <c r="S5" t="s">
        <v>6573</v>
      </c>
      <c r="T5" t="s">
        <v>13134</v>
      </c>
      <c r="U5" t="s">
        <v>13134</v>
      </c>
      <c r="V5" t="s">
        <v>13134</v>
      </c>
      <c r="W5" t="s">
        <v>13139</v>
      </c>
      <c r="X5">
        <v>22</v>
      </c>
      <c r="Y5" t="s">
        <v>19631</v>
      </c>
      <c r="Z5" t="s">
        <v>25973</v>
      </c>
      <c r="AA5">
        <v>0.3953033918748004</v>
      </c>
      <c r="AB5" t="str">
        <f>HYPERLINK("Melting_Curves/meltCurve_A0MZ66_KIAA1598.pdf", "Melting_Curves/meltCurve_A0MZ66_KIAA1598.pdf")</f>
        <v>Melting_Curves/meltCurve_A0MZ66_KIAA1598.pdf</v>
      </c>
    </row>
    <row r="6" spans="1:28" x14ac:dyDescent="0.25">
      <c r="A6" t="s">
        <v>10</v>
      </c>
      <c r="B6">
        <v>0.99472303558308395</v>
      </c>
      <c r="C6">
        <v>0.95804451605868901</v>
      </c>
      <c r="D6">
        <v>0.90910149782917704</v>
      </c>
      <c r="E6">
        <v>0.86689829360852</v>
      </c>
      <c r="F6">
        <v>0.72206626120821504</v>
      </c>
      <c r="G6">
        <v>0.33700836852869298</v>
      </c>
      <c r="H6">
        <v>0.20779890233461801</v>
      </c>
      <c r="I6">
        <v>0.273894443711305</v>
      </c>
      <c r="J6">
        <v>0.20204346610671001</v>
      </c>
      <c r="K6">
        <v>0.172455913733983</v>
      </c>
      <c r="L6">
        <v>1162.4663168618399</v>
      </c>
      <c r="M6">
        <v>22.808165155693999</v>
      </c>
      <c r="N6">
        <v>52.051966069201598</v>
      </c>
      <c r="O6">
        <v>50.580162394537297</v>
      </c>
      <c r="P6">
        <v>-9.1408865693794902E-2</v>
      </c>
      <c r="Q6">
        <v>0.189169984302343</v>
      </c>
      <c r="R6">
        <v>0.98088178981824103</v>
      </c>
      <c r="S6" t="s">
        <v>6574</v>
      </c>
      <c r="T6" t="s">
        <v>13134</v>
      </c>
      <c r="U6" t="s">
        <v>13134</v>
      </c>
      <c r="V6" t="s">
        <v>13134</v>
      </c>
      <c r="W6" t="s">
        <v>13140</v>
      </c>
      <c r="X6">
        <v>2</v>
      </c>
      <c r="Y6" t="s">
        <v>19632</v>
      </c>
      <c r="Z6" t="s">
        <v>25974</v>
      </c>
      <c r="AA6">
        <v>0.57512562148640711</v>
      </c>
      <c r="AB6" t="str">
        <f>HYPERLINK("Melting_Curves/meltCurve_A0PJW6_TMEM223.pdf", "Melting_Curves/meltCurve_A0PJW6_TMEM223.pdf")</f>
        <v>Melting_Curves/meltCurve_A0PJW6_TMEM223.pdf</v>
      </c>
    </row>
    <row r="7" spans="1:28" x14ac:dyDescent="0.25">
      <c r="A7" t="s">
        <v>11</v>
      </c>
      <c r="B7">
        <v>0.99472303558308395</v>
      </c>
      <c r="C7">
        <v>1.0550486166147299</v>
      </c>
      <c r="D7">
        <v>0.83581293473589202</v>
      </c>
      <c r="E7">
        <v>0.63587953305948497</v>
      </c>
      <c r="F7">
        <v>0.48876590026753602</v>
      </c>
      <c r="G7">
        <v>0.29937247523014698</v>
      </c>
      <c r="H7">
        <v>9.0440907147083499E-2</v>
      </c>
      <c r="I7">
        <v>5.5743502688300403E-2</v>
      </c>
      <c r="J7">
        <v>5.9806825281746703E-2</v>
      </c>
      <c r="K7">
        <v>5.63951648452879E-2</v>
      </c>
      <c r="L7">
        <v>634.37436737631197</v>
      </c>
      <c r="M7">
        <v>12.838446027755399</v>
      </c>
      <c r="N7">
        <v>49.412062088407701</v>
      </c>
      <c r="O7">
        <v>48.259313011119801</v>
      </c>
      <c r="P7">
        <v>-6.6519967092827703E-2</v>
      </c>
      <c r="Q7">
        <v>0</v>
      </c>
      <c r="R7">
        <v>0.98577076740804803</v>
      </c>
      <c r="S7" t="s">
        <v>6575</v>
      </c>
      <c r="T7" t="s">
        <v>13134</v>
      </c>
      <c r="U7" t="s">
        <v>13134</v>
      </c>
      <c r="V7" t="s">
        <v>13134</v>
      </c>
      <c r="W7" t="s">
        <v>13141</v>
      </c>
      <c r="X7">
        <v>6</v>
      </c>
      <c r="Y7" t="s">
        <v>19633</v>
      </c>
      <c r="Z7" t="s">
        <v>25975</v>
      </c>
      <c r="AA7">
        <v>0.44032240062200517</v>
      </c>
      <c r="AB7" t="str">
        <f>HYPERLINK("Melting_Curves/meltCurve_A1A5A9_KIAA0999.pdf", "Melting_Curves/meltCurve_A1A5A9_KIAA0999.pdf")</f>
        <v>Melting_Curves/meltCurve_A1A5A9_KIAA0999.pdf</v>
      </c>
    </row>
    <row r="8" spans="1:28" x14ac:dyDescent="0.25">
      <c r="A8" t="s">
        <v>12</v>
      </c>
      <c r="B8">
        <v>0.99472303558308395</v>
      </c>
      <c r="C8">
        <v>1.01986048251821</v>
      </c>
      <c r="D8">
        <v>1.02948788860814</v>
      </c>
      <c r="E8">
        <v>0.92340683980485605</v>
      </c>
      <c r="F8">
        <v>0.65052037033336296</v>
      </c>
      <c r="G8">
        <v>0.347898758816853</v>
      </c>
      <c r="H8">
        <v>0.20479677871014901</v>
      </c>
      <c r="I8">
        <v>0.105711187842047</v>
      </c>
      <c r="J8">
        <v>9.5246576761448098E-2</v>
      </c>
      <c r="K8">
        <v>9.5036544519588304E-2</v>
      </c>
      <c r="L8">
        <v>1100.2623648450301</v>
      </c>
      <c r="M8">
        <v>21.373278324268501</v>
      </c>
      <c r="N8">
        <v>51.951387296535003</v>
      </c>
      <c r="O8">
        <v>51.0341404043659</v>
      </c>
      <c r="P8">
        <v>-9.5446532449190005E-2</v>
      </c>
      <c r="Q8">
        <v>8.8411628797512798E-2</v>
      </c>
      <c r="R8">
        <v>0.99771897430786505</v>
      </c>
      <c r="S8" t="s">
        <v>6576</v>
      </c>
      <c r="T8" t="s">
        <v>13134</v>
      </c>
      <c r="U8" t="s">
        <v>13134</v>
      </c>
      <c r="V8" t="s">
        <v>13134</v>
      </c>
      <c r="W8" t="s">
        <v>13142</v>
      </c>
      <c r="X8">
        <v>13</v>
      </c>
      <c r="Y8" t="s">
        <v>19634</v>
      </c>
      <c r="Z8" t="s">
        <v>25976</v>
      </c>
      <c r="AA8">
        <v>0.53899073335301262</v>
      </c>
      <c r="AB8" t="str">
        <f>HYPERLINK("Melting_Curves/meltCurve_A1L0T0_ILVBL.pdf", "Melting_Curves/meltCurve_A1L0T0_ILVBL.pdf")</f>
        <v>Melting_Curves/meltCurve_A1L0T0_ILVBL.pdf</v>
      </c>
    </row>
    <row r="9" spans="1:28" x14ac:dyDescent="0.25">
      <c r="A9" t="s">
        <v>13</v>
      </c>
      <c r="B9">
        <v>0.99472303558308395</v>
      </c>
      <c r="C9">
        <v>1.01633139213048</v>
      </c>
      <c r="D9">
        <v>0.98151680844627698</v>
      </c>
      <c r="E9">
        <v>0.89287478401139997</v>
      </c>
      <c r="F9">
        <v>0.40080365879292901</v>
      </c>
      <c r="G9">
        <v>0.10441418876663699</v>
      </c>
      <c r="H9">
        <v>6.5677599010916604E-2</v>
      </c>
      <c r="I9">
        <v>4.3322672970756801E-2</v>
      </c>
      <c r="J9">
        <v>4.6536820620552803E-2</v>
      </c>
      <c r="K9">
        <v>3.6359591754244497E-2</v>
      </c>
      <c r="L9">
        <v>1656.02076259363</v>
      </c>
      <c r="M9">
        <v>33.502377754150601</v>
      </c>
      <c r="N9">
        <v>49.569633918110803</v>
      </c>
      <c r="O9">
        <v>49.2548240919485</v>
      </c>
      <c r="P9">
        <v>-0.16238710327704001</v>
      </c>
      <c r="Q9">
        <v>4.5045027358435401E-2</v>
      </c>
      <c r="R9">
        <v>0.99962901599965004</v>
      </c>
      <c r="S9" t="s">
        <v>6577</v>
      </c>
      <c r="T9" t="s">
        <v>13134</v>
      </c>
      <c r="U9" t="s">
        <v>13134</v>
      </c>
      <c r="V9" t="s">
        <v>13134</v>
      </c>
      <c r="W9" t="s">
        <v>13143</v>
      </c>
      <c r="X9">
        <v>35</v>
      </c>
      <c r="Y9" t="s">
        <v>19635</v>
      </c>
      <c r="Z9" t="s">
        <v>25977</v>
      </c>
      <c r="AA9">
        <v>0.44536926371371133</v>
      </c>
      <c r="AB9" t="str">
        <f>HYPERLINK("Melting_Curves/meltCurve_A2A274_ACO2.pdf", "Melting_Curves/meltCurve_A2A274_ACO2.pdf")</f>
        <v>Melting_Curves/meltCurve_A2A274_ACO2.pdf</v>
      </c>
    </row>
    <row r="10" spans="1:28" x14ac:dyDescent="0.25">
      <c r="A10" t="s">
        <v>14</v>
      </c>
      <c r="B10">
        <v>0.99472303558308395</v>
      </c>
      <c r="C10">
        <v>1.1154987705061099</v>
      </c>
      <c r="D10">
        <v>0.77233890561850005</v>
      </c>
      <c r="E10">
        <v>0.56120174587047</v>
      </c>
      <c r="F10">
        <v>0.21732549416898</v>
      </c>
      <c r="G10">
        <v>0.13835892925267099</v>
      </c>
      <c r="H10">
        <v>7.2058247432458603E-2</v>
      </c>
      <c r="I10">
        <v>8.2117277395927099E-2</v>
      </c>
      <c r="J10">
        <v>5.8924966720011303E-2</v>
      </c>
      <c r="K10">
        <v>5.2822748839202099E-2</v>
      </c>
      <c r="L10">
        <v>939.21301164934005</v>
      </c>
      <c r="M10">
        <v>20.161693092761301</v>
      </c>
      <c r="N10">
        <v>46.882794272488802</v>
      </c>
      <c r="O10">
        <v>46.1330070619887</v>
      </c>
      <c r="P10">
        <v>-0.10267515564129701</v>
      </c>
      <c r="Q10">
        <v>6.0284247222393401E-2</v>
      </c>
      <c r="R10">
        <v>0.980881916017036</v>
      </c>
      <c r="S10" t="s">
        <v>6578</v>
      </c>
      <c r="T10" t="s">
        <v>13134</v>
      </c>
      <c r="U10" t="s">
        <v>13134</v>
      </c>
      <c r="V10" t="s">
        <v>13134</v>
      </c>
      <c r="W10" t="s">
        <v>13144</v>
      </c>
      <c r="X10">
        <v>4</v>
      </c>
      <c r="Y10" t="s">
        <v>19636</v>
      </c>
      <c r="Z10" t="s">
        <v>25978</v>
      </c>
      <c r="AA10">
        <v>0.37258760784188549</v>
      </c>
      <c r="AB10" t="str">
        <f>HYPERLINK("Melting_Curves/meltCurve_A2A2F0_RALGAPB.pdf", "Melting_Curves/meltCurve_A2A2F0_RALGAPB.pdf")</f>
        <v>Melting_Curves/meltCurve_A2A2F0_RALGAPB.pdf</v>
      </c>
    </row>
    <row r="11" spans="1:28" x14ac:dyDescent="0.25">
      <c r="A11" t="s">
        <v>15</v>
      </c>
      <c r="B11">
        <v>0.99472303558308395</v>
      </c>
      <c r="C11">
        <v>0.86729190327021599</v>
      </c>
      <c r="D11">
        <v>1.0209999896892501</v>
      </c>
      <c r="E11">
        <v>0.72370761187713495</v>
      </c>
      <c r="F11">
        <v>0.49409277074039099</v>
      </c>
      <c r="G11">
        <v>0.24648908552026999</v>
      </c>
      <c r="H11">
        <v>7.7725436449640403E-2</v>
      </c>
      <c r="I11">
        <v>4.2071198667821399E-2</v>
      </c>
      <c r="J11">
        <v>8.0063377784750991E-3</v>
      </c>
      <c r="K11">
        <v>2.88989189817857E-2</v>
      </c>
      <c r="L11">
        <v>830.57393543270405</v>
      </c>
      <c r="M11">
        <v>16.637322698941698</v>
      </c>
      <c r="N11">
        <v>49.922333141087002</v>
      </c>
      <c r="O11">
        <v>49.217818623162401</v>
      </c>
      <c r="P11">
        <v>-8.4514320110084598E-2</v>
      </c>
      <c r="Q11">
        <v>0</v>
      </c>
      <c r="R11">
        <v>0.984585836736251</v>
      </c>
      <c r="S11" t="s">
        <v>6579</v>
      </c>
      <c r="T11" t="s">
        <v>13134</v>
      </c>
      <c r="U11" t="s">
        <v>13134</v>
      </c>
      <c r="V11" t="s">
        <v>13134</v>
      </c>
      <c r="W11" t="s">
        <v>13145</v>
      </c>
      <c r="X11">
        <v>1</v>
      </c>
      <c r="Y11" t="s">
        <v>19637</v>
      </c>
      <c r="Z11" t="s">
        <v>25979</v>
      </c>
      <c r="AA11">
        <v>0.44865356008169949</v>
      </c>
      <c r="AB11" t="str">
        <f>HYPERLINK("Melting_Curves/meltCurve_A2A2G4_ALG6.pdf", "Melting_Curves/meltCurve_A2A2G4_ALG6.pdf")</f>
        <v>Melting_Curves/meltCurve_A2A2G4_ALG6.pdf</v>
      </c>
    </row>
    <row r="12" spans="1:28" x14ac:dyDescent="0.25">
      <c r="A12" t="s">
        <v>16</v>
      </c>
      <c r="B12">
        <v>0.99472303558308395</v>
      </c>
      <c r="C12">
        <v>0.711564505028913</v>
      </c>
      <c r="D12">
        <v>0.47195266575148798</v>
      </c>
      <c r="E12">
        <v>0.27853218306871402</v>
      </c>
      <c r="F12">
        <v>0.226746739248193</v>
      </c>
      <c r="G12">
        <v>0.107173193350663</v>
      </c>
      <c r="H12">
        <v>4.1159020354559803E-2</v>
      </c>
      <c r="I12">
        <v>2.7507372231419899E-2</v>
      </c>
      <c r="J12">
        <v>3.3155240325062299E-2</v>
      </c>
      <c r="K12">
        <v>2.8141749053500399E-2</v>
      </c>
      <c r="L12">
        <v>574.23250410055903</v>
      </c>
      <c r="M12">
        <v>13.368037923567901</v>
      </c>
      <c r="N12">
        <v>43.154122324586098</v>
      </c>
      <c r="O12">
        <v>42.028549075256798</v>
      </c>
      <c r="P12">
        <v>-7.7158823334130294E-2</v>
      </c>
      <c r="Q12">
        <v>2.98176580738919E-2</v>
      </c>
      <c r="R12">
        <v>0.98166739626568</v>
      </c>
      <c r="S12" t="s">
        <v>6580</v>
      </c>
      <c r="T12" t="s">
        <v>13134</v>
      </c>
      <c r="U12" t="s">
        <v>13134</v>
      </c>
      <c r="V12" t="s">
        <v>13134</v>
      </c>
      <c r="W12" t="s">
        <v>13146</v>
      </c>
      <c r="X12">
        <v>3</v>
      </c>
      <c r="Y12" t="s">
        <v>19638</v>
      </c>
      <c r="Z12" t="s">
        <v>25980</v>
      </c>
      <c r="AA12">
        <v>0.25512223028860509</v>
      </c>
      <c r="AB12" t="str">
        <f>HYPERLINK("Melting_Curves/meltCurve_A2A2Q9_AAR2.pdf", "Melting_Curves/meltCurve_A2A2Q9_AAR2.pdf")</f>
        <v>Melting_Curves/meltCurve_A2A2Q9_AAR2.pdf</v>
      </c>
    </row>
    <row r="13" spans="1:28" x14ac:dyDescent="0.25">
      <c r="A13" t="s">
        <v>17</v>
      </c>
      <c r="B13">
        <v>0.99472303558308395</v>
      </c>
      <c r="C13">
        <v>0.97732644945706004</v>
      </c>
      <c r="D13">
        <v>0.73096317814640599</v>
      </c>
      <c r="E13">
        <v>0.86407484076803998</v>
      </c>
      <c r="F13">
        <v>0.81608976203877304</v>
      </c>
      <c r="G13">
        <v>0.418019658983108</v>
      </c>
      <c r="H13">
        <v>0.32795368485531301</v>
      </c>
      <c r="I13">
        <v>0.215062178469202</v>
      </c>
      <c r="J13">
        <v>0.22875626621440201</v>
      </c>
      <c r="K13">
        <v>0.29938644701167899</v>
      </c>
      <c r="L13">
        <v>686.13273289775202</v>
      </c>
      <c r="M13">
        <v>13.2539847203834</v>
      </c>
      <c r="N13">
        <v>53.545707905588301</v>
      </c>
      <c r="O13">
        <v>50.632127414862602</v>
      </c>
      <c r="P13">
        <v>-5.3803336314307199E-2</v>
      </c>
      <c r="Q13">
        <v>0.17798869779728699</v>
      </c>
      <c r="R13">
        <v>0.90768631798128996</v>
      </c>
      <c r="S13" t="s">
        <v>6581</v>
      </c>
      <c r="T13" t="s">
        <v>13134</v>
      </c>
      <c r="U13" t="s">
        <v>13134</v>
      </c>
      <c r="V13" t="s">
        <v>13134</v>
      </c>
      <c r="W13" t="s">
        <v>13147</v>
      </c>
      <c r="X13">
        <v>1</v>
      </c>
      <c r="Y13" t="s">
        <v>19639</v>
      </c>
      <c r="Z13" t="s">
        <v>25981</v>
      </c>
      <c r="AA13">
        <v>0.60088743257249733</v>
      </c>
      <c r="AB13" t="str">
        <f>HYPERLINK("Melting_Curves/meltCurve_A2A2V1_PRNP.pdf", "Melting_Curves/meltCurve_A2A2V1_PRNP.pdf")</f>
        <v>Melting_Curves/meltCurve_A2A2V1_PRNP.pdf</v>
      </c>
    </row>
    <row r="14" spans="1:28" x14ac:dyDescent="0.25">
      <c r="A14" t="s">
        <v>18</v>
      </c>
      <c r="B14">
        <v>0.99472303558308395</v>
      </c>
      <c r="C14">
        <v>0.86025740319965305</v>
      </c>
      <c r="D14">
        <v>0.94654090317085504</v>
      </c>
      <c r="E14">
        <v>0.84926406399744003</v>
      </c>
      <c r="F14">
        <v>0.63157841606347898</v>
      </c>
      <c r="G14">
        <v>0.36506966117946599</v>
      </c>
      <c r="H14">
        <v>0.15987966879458901</v>
      </c>
      <c r="I14">
        <v>7.2028623481875595E-2</v>
      </c>
      <c r="J14">
        <v>0.118603821567248</v>
      </c>
      <c r="K14">
        <v>2.7754516216449102E-2</v>
      </c>
      <c r="L14">
        <v>794.36078991312399</v>
      </c>
      <c r="M14">
        <v>15.380564737972</v>
      </c>
      <c r="N14">
        <v>51.745691684639901</v>
      </c>
      <c r="O14">
        <v>50.797593575859501</v>
      </c>
      <c r="P14">
        <v>-7.4608600159523697E-2</v>
      </c>
      <c r="Q14">
        <v>1.4447040306300001E-2</v>
      </c>
      <c r="R14">
        <v>0.98413919979383702</v>
      </c>
      <c r="S14" t="s">
        <v>6582</v>
      </c>
      <c r="T14" t="s">
        <v>13134</v>
      </c>
      <c r="U14" t="s">
        <v>13134</v>
      </c>
      <c r="V14" t="s">
        <v>13134</v>
      </c>
      <c r="W14" t="s">
        <v>13148</v>
      </c>
      <c r="X14">
        <v>6</v>
      </c>
      <c r="Y14" t="s">
        <v>19640</v>
      </c>
      <c r="Z14" t="s">
        <v>25982</v>
      </c>
      <c r="AA14">
        <v>0.51428005374464736</v>
      </c>
      <c r="AB14" t="str">
        <f>HYPERLINK("Melting_Curves/meltCurve_A2A3N6_PIPSL.pdf", "Melting_Curves/meltCurve_A2A3N6_PIPSL.pdf")</f>
        <v>Melting_Curves/meltCurve_A2A3N6_PIPSL.pdf</v>
      </c>
    </row>
    <row r="15" spans="1:28" x14ac:dyDescent="0.25">
      <c r="A15" t="s">
        <v>19</v>
      </c>
      <c r="B15">
        <v>0.99472303558308395</v>
      </c>
      <c r="C15">
        <v>0.79813613659022997</v>
      </c>
      <c r="D15">
        <v>0.66238291665908899</v>
      </c>
      <c r="E15">
        <v>0.32843938697403202</v>
      </c>
      <c r="F15">
        <v>0.180979202217324</v>
      </c>
      <c r="G15">
        <v>9.4134948728137297E-2</v>
      </c>
      <c r="H15">
        <v>5.32158237202843E-2</v>
      </c>
      <c r="I15">
        <v>3.7364918687581003E-2</v>
      </c>
      <c r="J15">
        <v>4.4097596303060697E-2</v>
      </c>
      <c r="K15">
        <v>4.10407402723676E-2</v>
      </c>
      <c r="L15">
        <v>668.01351702503098</v>
      </c>
      <c r="M15">
        <v>15.056006730329001</v>
      </c>
      <c r="N15">
        <v>44.545448312354097</v>
      </c>
      <c r="O15">
        <v>43.607902879634899</v>
      </c>
      <c r="P15">
        <v>-8.3818385169242199E-2</v>
      </c>
      <c r="Q15">
        <v>2.90168673884987E-2</v>
      </c>
      <c r="R15">
        <v>0.99499719344065596</v>
      </c>
      <c r="S15" t="s">
        <v>6583</v>
      </c>
      <c r="T15" t="s">
        <v>13134</v>
      </c>
      <c r="U15" t="s">
        <v>13134</v>
      </c>
      <c r="V15" t="s">
        <v>13134</v>
      </c>
      <c r="W15" t="s">
        <v>13149</v>
      </c>
      <c r="X15">
        <v>17</v>
      </c>
      <c r="Y15" t="s">
        <v>19641</v>
      </c>
      <c r="Z15" t="s">
        <v>25983</v>
      </c>
      <c r="AA15">
        <v>0.2910215054708265</v>
      </c>
      <c r="AB15" t="str">
        <f>HYPERLINK("Melting_Curves/meltCurve_A2RRP1_NBAS.pdf", "Melting_Curves/meltCurve_A2RRP1_NBAS.pdf")</f>
        <v>Melting_Curves/meltCurve_A2RRP1_NBAS.pdf</v>
      </c>
    </row>
    <row r="16" spans="1:28" x14ac:dyDescent="0.25">
      <c r="A16" t="s">
        <v>20</v>
      </c>
      <c r="B16">
        <v>0.99472303558308395</v>
      </c>
      <c r="C16">
        <v>1.00614837164846</v>
      </c>
      <c r="D16">
        <v>0.86250580270166399</v>
      </c>
      <c r="E16">
        <v>0.74106951231026097</v>
      </c>
      <c r="F16">
        <v>0.61218226366361495</v>
      </c>
      <c r="G16">
        <v>0.48580129450843301</v>
      </c>
      <c r="H16">
        <v>0.343940557030671</v>
      </c>
      <c r="I16">
        <v>0.15190427709284501</v>
      </c>
      <c r="J16">
        <v>0.15893892286883701</v>
      </c>
      <c r="K16">
        <v>0.150654193514423</v>
      </c>
      <c r="L16">
        <v>488.55739326463203</v>
      </c>
      <c r="M16">
        <v>9.2748835153143006</v>
      </c>
      <c r="N16">
        <v>52.679595251628001</v>
      </c>
      <c r="O16">
        <v>50.400311855222903</v>
      </c>
      <c r="P16">
        <v>-4.60185440481133E-2</v>
      </c>
      <c r="Q16">
        <v>3.7681946933490002E-4</v>
      </c>
      <c r="R16">
        <v>0.98854483370415702</v>
      </c>
      <c r="S16" t="s">
        <v>6584</v>
      </c>
      <c r="T16" t="s">
        <v>13134</v>
      </c>
      <c r="U16" t="s">
        <v>13134</v>
      </c>
      <c r="V16" t="s">
        <v>13134</v>
      </c>
      <c r="W16" t="s">
        <v>13150</v>
      </c>
      <c r="X16">
        <v>2</v>
      </c>
      <c r="Y16" t="s">
        <v>19642</v>
      </c>
      <c r="Z16" t="s">
        <v>25984</v>
      </c>
      <c r="AA16">
        <v>0.54685688165259794</v>
      </c>
      <c r="AB16" t="str">
        <f>HYPERLINK("Melting_Curves/meltCurve_A2VDF0_2_FUOM.pdf", "Melting_Curves/meltCurve_A2VDF0_2_FUOM.pdf")</f>
        <v>Melting_Curves/meltCurve_A2VDF0_2_FUOM.pdf</v>
      </c>
    </row>
    <row r="17" spans="1:28" x14ac:dyDescent="0.25">
      <c r="A17" t="s">
        <v>21</v>
      </c>
      <c r="B17">
        <v>0.99472303558308395</v>
      </c>
      <c r="C17">
        <v>0.94987562262921399</v>
      </c>
      <c r="D17">
        <v>0.91571554616654904</v>
      </c>
      <c r="E17">
        <v>0.78536770704582504</v>
      </c>
      <c r="F17">
        <v>0.55779725545798498</v>
      </c>
      <c r="G17">
        <v>0.163432890777468</v>
      </c>
      <c r="H17">
        <v>6.8752980613802805E-2</v>
      </c>
      <c r="I17">
        <v>5.8736093375868798E-2</v>
      </c>
      <c r="J17">
        <v>6.5477186200338905E-2</v>
      </c>
      <c r="K17">
        <v>5.5042445121265597E-2</v>
      </c>
      <c r="L17">
        <v>997.75423083495195</v>
      </c>
      <c r="M17">
        <v>19.972189387154799</v>
      </c>
      <c r="N17">
        <v>50.1146828412978</v>
      </c>
      <c r="O17">
        <v>49.464433894347302</v>
      </c>
      <c r="P17">
        <v>-9.7874688395555395E-2</v>
      </c>
      <c r="Q17">
        <v>3.0420341313098901E-2</v>
      </c>
      <c r="R17">
        <v>0.99100285751106698</v>
      </c>
      <c r="S17" t="s">
        <v>6585</v>
      </c>
      <c r="T17" t="s">
        <v>13134</v>
      </c>
      <c r="U17" t="s">
        <v>13134</v>
      </c>
      <c r="V17" t="s">
        <v>13134</v>
      </c>
      <c r="W17" t="s">
        <v>13151</v>
      </c>
      <c r="X17">
        <v>27</v>
      </c>
      <c r="Y17" t="s">
        <v>19643</v>
      </c>
      <c r="Z17" t="s">
        <v>25985</v>
      </c>
      <c r="AA17">
        <v>0.46198860274893122</v>
      </c>
      <c r="AB17" t="str">
        <f>HYPERLINK("Melting_Curves/meltCurve_A3KN83_3_SBNO1.pdf", "Melting_Curves/meltCurve_A3KN83_3_SBNO1.pdf")</f>
        <v>Melting_Curves/meltCurve_A3KN83_3_SBNO1.pdf</v>
      </c>
    </row>
    <row r="18" spans="1:28" x14ac:dyDescent="0.25">
      <c r="A18" t="s">
        <v>22</v>
      </c>
      <c r="B18">
        <v>0.99472303558308395</v>
      </c>
      <c r="C18">
        <v>0.99992387909089597</v>
      </c>
      <c r="D18">
        <v>0.98606147951210998</v>
      </c>
      <c r="E18">
        <v>0.84899752699075803</v>
      </c>
      <c r="F18">
        <v>0.69105027554619902</v>
      </c>
      <c r="G18">
        <v>0.53075752132909704</v>
      </c>
      <c r="H18">
        <v>0.49876512602288497</v>
      </c>
      <c r="I18">
        <v>0.41635921542661097</v>
      </c>
      <c r="J18">
        <v>0.60713420260113604</v>
      </c>
      <c r="K18">
        <v>0.361743137861746</v>
      </c>
      <c r="L18">
        <v>955.21811920232904</v>
      </c>
      <c r="M18">
        <v>19.400651976271799</v>
      </c>
      <c r="N18">
        <v>56.278503023432499</v>
      </c>
      <c r="O18">
        <v>48.722220368371701</v>
      </c>
      <c r="P18">
        <v>-5.4168069426052103E-2</v>
      </c>
      <c r="Q18">
        <v>0.45587565932943303</v>
      </c>
      <c r="R18">
        <v>0.937993932117277</v>
      </c>
      <c r="S18" t="s">
        <v>6586</v>
      </c>
      <c r="T18" t="s">
        <v>13134</v>
      </c>
      <c r="U18" t="s">
        <v>13134</v>
      </c>
      <c r="V18" t="s">
        <v>13134</v>
      </c>
      <c r="W18" t="s">
        <v>13152</v>
      </c>
      <c r="X18">
        <v>7</v>
      </c>
      <c r="Y18" t="s">
        <v>19644</v>
      </c>
      <c r="Z18" t="s">
        <v>25986</v>
      </c>
      <c r="AA18">
        <v>0.68538613805161785</v>
      </c>
      <c r="AB18" t="str">
        <f>HYPERLINK("Melting_Curves/meltCurve_A4D126_ISPD.pdf", "Melting_Curves/meltCurve_A4D126_ISPD.pdf")</f>
        <v>Melting_Curves/meltCurve_A4D126_ISPD.pdf</v>
      </c>
    </row>
    <row r="19" spans="1:28" x14ac:dyDescent="0.25">
      <c r="A19" t="s">
        <v>23</v>
      </c>
      <c r="B19">
        <v>0.99472303558308395</v>
      </c>
      <c r="C19">
        <v>1.05024209831369</v>
      </c>
      <c r="D19">
        <v>1.00965058490355</v>
      </c>
      <c r="E19">
        <v>0.78598524289026594</v>
      </c>
      <c r="F19">
        <v>0.330541769485522</v>
      </c>
      <c r="G19">
        <v>0.10242637507171</v>
      </c>
      <c r="H19">
        <v>4.7464982873499498E-2</v>
      </c>
      <c r="I19">
        <v>1.7351413880766099E-2</v>
      </c>
      <c r="J19">
        <v>9.3850166552930606E-3</v>
      </c>
      <c r="K19">
        <v>1.5379045089025E-2</v>
      </c>
      <c r="L19">
        <v>1341.69194767983</v>
      </c>
      <c r="M19">
        <v>27.4757232974396</v>
      </c>
      <c r="N19">
        <v>48.900328639495797</v>
      </c>
      <c r="O19">
        <v>48.575447311134297</v>
      </c>
      <c r="P19">
        <v>-0.13874222035967401</v>
      </c>
      <c r="Q19">
        <v>1.88574430630669E-2</v>
      </c>
      <c r="R19">
        <v>0.99776744382045301</v>
      </c>
      <c r="S19" t="s">
        <v>6587</v>
      </c>
      <c r="T19" t="s">
        <v>13134</v>
      </c>
      <c r="U19" t="s">
        <v>13134</v>
      </c>
      <c r="V19" t="s">
        <v>13134</v>
      </c>
      <c r="W19" t="s">
        <v>13153</v>
      </c>
      <c r="X19">
        <v>5</v>
      </c>
      <c r="Y19" t="s">
        <v>19645</v>
      </c>
      <c r="Z19" t="s">
        <v>25987</v>
      </c>
      <c r="AA19">
        <v>0.41284358428410167</v>
      </c>
      <c r="AB19" t="str">
        <f>HYPERLINK("Melting_Curves/meltCurve_A4D1E9_GTPBP10.pdf", "Melting_Curves/meltCurve_A4D1E9_GTPBP10.pdf")</f>
        <v>Melting_Curves/meltCurve_A4D1E9_GTPBP10.pdf</v>
      </c>
    </row>
    <row r="20" spans="1:28" x14ac:dyDescent="0.25">
      <c r="A20" t="s">
        <v>24</v>
      </c>
      <c r="B20">
        <v>0.99472303558308395</v>
      </c>
      <c r="C20">
        <v>0.79394757276369199</v>
      </c>
      <c r="D20">
        <v>0.65443390776423505</v>
      </c>
      <c r="E20">
        <v>0.38541348121154601</v>
      </c>
      <c r="F20">
        <v>0.18289981730618601</v>
      </c>
      <c r="G20">
        <v>9.9484334086373999E-2</v>
      </c>
      <c r="H20">
        <v>5.9603124466024997E-2</v>
      </c>
      <c r="I20">
        <v>4.7852404904052098E-2</v>
      </c>
      <c r="J20">
        <v>5.7416875532848501E-2</v>
      </c>
      <c r="K20">
        <v>4.9484180775994799E-2</v>
      </c>
      <c r="L20">
        <v>631.74109791168996</v>
      </c>
      <c r="M20">
        <v>14.1753945928346</v>
      </c>
      <c r="N20">
        <v>44.769262739411502</v>
      </c>
      <c r="O20">
        <v>43.707255157274403</v>
      </c>
      <c r="P20">
        <v>-7.8565078841779906E-2</v>
      </c>
      <c r="Q20">
        <v>3.1157804577076301E-2</v>
      </c>
      <c r="R20">
        <v>0.99492797758652796</v>
      </c>
      <c r="S20" t="s">
        <v>6588</v>
      </c>
      <c r="T20" t="s">
        <v>13134</v>
      </c>
      <c r="U20" t="s">
        <v>13134</v>
      </c>
      <c r="V20" t="s">
        <v>13134</v>
      </c>
      <c r="W20" t="s">
        <v>13154</v>
      </c>
      <c r="X20">
        <v>12</v>
      </c>
      <c r="Y20" t="s">
        <v>19646</v>
      </c>
      <c r="Z20" t="s">
        <v>25988</v>
      </c>
      <c r="AA20">
        <v>0.30176169441397099</v>
      </c>
      <c r="AB20" t="str">
        <f>HYPERLINK("Melting_Curves/meltCurve_A4D212_DKFZP586J0619.pdf", "Melting_Curves/meltCurve_A4D212_DKFZP586J0619.pdf")</f>
        <v>Melting_Curves/meltCurve_A4D212_DKFZP586J0619.pdf</v>
      </c>
    </row>
    <row r="21" spans="1:28" x14ac:dyDescent="0.25">
      <c r="A21" t="s">
        <v>25</v>
      </c>
      <c r="B21">
        <v>0.99472303558308395</v>
      </c>
      <c r="C21">
        <v>1.03225833341189</v>
      </c>
      <c r="D21">
        <v>0.962337774483913</v>
      </c>
      <c r="E21">
        <v>0.89853822201981404</v>
      </c>
      <c r="F21">
        <v>0.72023653383004305</v>
      </c>
      <c r="G21">
        <v>0.54672946522126797</v>
      </c>
      <c r="H21">
        <v>0.40071510503163499</v>
      </c>
      <c r="I21">
        <v>0.45182290720135698</v>
      </c>
      <c r="J21">
        <v>0.50009753085087705</v>
      </c>
      <c r="K21">
        <v>0.41373460945304602</v>
      </c>
      <c r="L21">
        <v>1118.4810241105299</v>
      </c>
      <c r="M21">
        <v>22.338755489444001</v>
      </c>
      <c r="N21">
        <v>55.068174062421001</v>
      </c>
      <c r="O21">
        <v>49.673025348459902</v>
      </c>
      <c r="P21">
        <v>-6.3614226969257504E-2</v>
      </c>
      <c r="Q21">
        <v>0.434195033302964</v>
      </c>
      <c r="R21">
        <v>0.98223732627406102</v>
      </c>
      <c r="S21" t="s">
        <v>6589</v>
      </c>
      <c r="T21" t="s">
        <v>13134</v>
      </c>
      <c r="U21" t="s">
        <v>13134</v>
      </c>
      <c r="V21" t="s">
        <v>13134</v>
      </c>
      <c r="W21" t="s">
        <v>13155</v>
      </c>
      <c r="X21">
        <v>4</v>
      </c>
      <c r="Y21" t="s">
        <v>19647</v>
      </c>
      <c r="Z21" t="s">
        <v>25989</v>
      </c>
      <c r="AA21">
        <v>0.6867914811365371</v>
      </c>
      <c r="AB21" t="str">
        <f>HYPERLINK("Melting_Curves/meltCurve_A4D2B0_MBLAC1.pdf", "Melting_Curves/meltCurve_A4D2B0_MBLAC1.pdf")</f>
        <v>Melting_Curves/meltCurve_A4D2B0_MBLAC1.pdf</v>
      </c>
    </row>
    <row r="22" spans="1:28" x14ac:dyDescent="0.25">
      <c r="A22" t="s">
        <v>26</v>
      </c>
      <c r="B22">
        <v>0.99472303558308395</v>
      </c>
      <c r="C22">
        <v>0.79015395832594604</v>
      </c>
      <c r="D22">
        <v>0.80448615226494702</v>
      </c>
      <c r="E22">
        <v>0.58813545603885697</v>
      </c>
      <c r="F22">
        <v>0.38636222464897901</v>
      </c>
      <c r="G22">
        <v>0.125662419878282</v>
      </c>
      <c r="H22">
        <v>0.13771518510952599</v>
      </c>
      <c r="I22">
        <v>5.7140075438855603E-2</v>
      </c>
      <c r="J22">
        <v>0.101335685484052</v>
      </c>
      <c r="K22">
        <v>0.22914034311964801</v>
      </c>
      <c r="L22">
        <v>624.79320041623498</v>
      </c>
      <c r="M22">
        <v>13.3901644773673</v>
      </c>
      <c r="N22">
        <v>47.338447990766099</v>
      </c>
      <c r="O22">
        <v>45.656755155852203</v>
      </c>
      <c r="P22">
        <v>-6.6934085350628794E-2</v>
      </c>
      <c r="Q22">
        <v>8.7236859730345298E-2</v>
      </c>
      <c r="R22">
        <v>0.95383369657511097</v>
      </c>
      <c r="S22" t="s">
        <v>6590</v>
      </c>
      <c r="T22" t="s">
        <v>13134</v>
      </c>
      <c r="U22" t="s">
        <v>13134</v>
      </c>
      <c r="V22" t="s">
        <v>13134</v>
      </c>
      <c r="W22" t="s">
        <v>13156</v>
      </c>
      <c r="X22">
        <v>2</v>
      </c>
      <c r="Y22" t="s">
        <v>19648</v>
      </c>
      <c r="Z22" t="s">
        <v>25990</v>
      </c>
      <c r="AA22">
        <v>0.40651519343677078</v>
      </c>
      <c r="AB22" t="str">
        <f>HYPERLINK("Melting_Curves/meltCurve_A4UGR9_2_XIRP2.pdf", "Melting_Curves/meltCurve_A4UGR9_2_XIRP2.pdf")</f>
        <v>Melting_Curves/meltCurve_A4UGR9_2_XIRP2.pdf</v>
      </c>
    </row>
    <row r="23" spans="1:28" x14ac:dyDescent="0.25">
      <c r="A23" t="s">
        <v>27</v>
      </c>
      <c r="B23">
        <v>0.99472303558308395</v>
      </c>
      <c r="C23">
        <v>0.89745250126334497</v>
      </c>
      <c r="D23">
        <v>0.66614645235368297</v>
      </c>
      <c r="E23">
        <v>0.481020805236615</v>
      </c>
      <c r="F23">
        <v>0.30991104351406701</v>
      </c>
      <c r="G23">
        <v>9.0074570414951996E-2</v>
      </c>
      <c r="H23">
        <v>5.8027513321992401E-2</v>
      </c>
      <c r="I23">
        <v>4.0652929422773099E-2</v>
      </c>
      <c r="J23">
        <v>4.5307582334994302E-2</v>
      </c>
      <c r="K23">
        <v>3.7444079141226098E-2</v>
      </c>
      <c r="L23">
        <v>594.17246552878305</v>
      </c>
      <c r="M23">
        <v>12.9010601635505</v>
      </c>
      <c r="N23">
        <v>46.090755063941202</v>
      </c>
      <c r="O23">
        <v>44.991625679783198</v>
      </c>
      <c r="P23">
        <v>-7.1352860251216801E-2</v>
      </c>
      <c r="Q23">
        <v>4.8271812491987301E-3</v>
      </c>
      <c r="R23">
        <v>0.99213340605366995</v>
      </c>
      <c r="S23" t="s">
        <v>6591</v>
      </c>
      <c r="T23" t="s">
        <v>13134</v>
      </c>
      <c r="U23" t="s">
        <v>13134</v>
      </c>
      <c r="V23" t="s">
        <v>13134</v>
      </c>
      <c r="W23" t="s">
        <v>13157</v>
      </c>
      <c r="X23">
        <v>39</v>
      </c>
      <c r="Y23" t="s">
        <v>19649</v>
      </c>
      <c r="Z23" t="s">
        <v>25991</v>
      </c>
      <c r="AA23">
        <v>0.33543901039566648</v>
      </c>
      <c r="AB23" t="str">
        <f>HYPERLINK("Melting_Curves/meltCurve_A5YKK6_CNOT1.pdf", "Melting_Curves/meltCurve_A5YKK6_CNOT1.pdf")</f>
        <v>Melting_Curves/meltCurve_A5YKK6_CNOT1.pdf</v>
      </c>
    </row>
    <row r="24" spans="1:28" x14ac:dyDescent="0.25">
      <c r="A24" t="s">
        <v>28</v>
      </c>
      <c r="B24">
        <v>0.99472303558308395</v>
      </c>
      <c r="C24">
        <v>1.7228239135907899</v>
      </c>
      <c r="D24">
        <v>1.1605148364965401</v>
      </c>
      <c r="E24">
        <v>1.17886612332302</v>
      </c>
      <c r="F24">
        <v>0.76516376732874403</v>
      </c>
      <c r="G24">
        <v>0.36479179435303499</v>
      </c>
      <c r="H24">
        <v>0.39631646720713098</v>
      </c>
      <c r="I24">
        <v>0.114250794141471</v>
      </c>
      <c r="J24">
        <v>0.11810867446206599</v>
      </c>
      <c r="K24">
        <v>0</v>
      </c>
      <c r="L24">
        <v>1223.1848894949701</v>
      </c>
      <c r="M24">
        <v>23.088211015894402</v>
      </c>
      <c r="N24">
        <v>53.425033988671203</v>
      </c>
      <c r="O24">
        <v>52.586125138048402</v>
      </c>
      <c r="P24">
        <v>-0.100139174313939</v>
      </c>
      <c r="Q24">
        <v>8.7701673648695105E-2</v>
      </c>
      <c r="R24">
        <v>0.78015570758919905</v>
      </c>
      <c r="S24" t="s">
        <v>6592</v>
      </c>
      <c r="T24" t="s">
        <v>13134</v>
      </c>
      <c r="U24" t="s">
        <v>13134</v>
      </c>
      <c r="V24" t="s">
        <v>13134</v>
      </c>
      <c r="W24" t="s">
        <v>13158</v>
      </c>
      <c r="X24">
        <v>5</v>
      </c>
      <c r="Y24" t="s">
        <v>19650</v>
      </c>
      <c r="Z24" t="s">
        <v>25992</v>
      </c>
      <c r="AA24">
        <v>0.58282970485671981</v>
      </c>
      <c r="AB24" t="str">
        <f>HYPERLINK("Melting_Curves/meltCurve_A6NCS9_SDCCAG8.pdf", "Melting_Curves/meltCurve_A6NCS9_SDCCAG8.pdf")</f>
        <v>Melting_Curves/meltCurve_A6NCS9_SDCCAG8.pdf</v>
      </c>
    </row>
    <row r="25" spans="1:28" x14ac:dyDescent="0.25">
      <c r="A25" t="s">
        <v>29</v>
      </c>
      <c r="B25">
        <v>0.99472303558308395</v>
      </c>
      <c r="C25">
        <v>0.67181537343527598</v>
      </c>
      <c r="D25">
        <v>0.58274154824940405</v>
      </c>
      <c r="E25">
        <v>0.38601927952690401</v>
      </c>
      <c r="F25">
        <v>0.27220182531555498</v>
      </c>
      <c r="G25">
        <v>0.13380920848660099</v>
      </c>
      <c r="H25">
        <v>6.6635200569397202E-2</v>
      </c>
      <c r="I25">
        <v>7.0483386109377405E-2</v>
      </c>
      <c r="J25">
        <v>6.8063643730705101E-2</v>
      </c>
      <c r="K25">
        <v>6.8803016783515095E-2</v>
      </c>
      <c r="L25">
        <v>480.21234135454802</v>
      </c>
      <c r="M25">
        <v>10.906646341755099</v>
      </c>
      <c r="N25">
        <v>44.291500757275898</v>
      </c>
      <c r="O25">
        <v>42.626753293795197</v>
      </c>
      <c r="P25">
        <v>-6.1988188300637001E-2</v>
      </c>
      <c r="Q25">
        <v>3.1256958385533599E-2</v>
      </c>
      <c r="R25">
        <v>0.97608180268436695</v>
      </c>
      <c r="S25" t="s">
        <v>6593</v>
      </c>
      <c r="T25" t="s">
        <v>13134</v>
      </c>
      <c r="U25" t="s">
        <v>13134</v>
      </c>
      <c r="V25" t="s">
        <v>13134</v>
      </c>
      <c r="W25" t="s">
        <v>13159</v>
      </c>
      <c r="X25">
        <v>2</v>
      </c>
      <c r="Y25" t="s">
        <v>19651</v>
      </c>
      <c r="Z25" t="s">
        <v>25993</v>
      </c>
      <c r="AA25">
        <v>0.30269690740155342</v>
      </c>
      <c r="AB25" t="str">
        <f>HYPERLINK("Melting_Curves/meltCurve_A6ND22_MRPS16.pdf", "Melting_Curves/meltCurve_A6ND22_MRPS16.pdf")</f>
        <v>Melting_Curves/meltCurve_A6ND22_MRPS16.pdf</v>
      </c>
    </row>
    <row r="26" spans="1:28" x14ac:dyDescent="0.25">
      <c r="A26" t="s">
        <v>30</v>
      </c>
      <c r="B26">
        <v>0.99472303558308395</v>
      </c>
      <c r="C26">
        <v>0.90468544572589604</v>
      </c>
      <c r="D26">
        <v>0.79211884239587205</v>
      </c>
      <c r="E26">
        <v>0.63791061569671004</v>
      </c>
      <c r="F26">
        <v>0.37204964322642198</v>
      </c>
      <c r="G26">
        <v>0.21685977446555699</v>
      </c>
      <c r="H26">
        <v>0.14561518647496899</v>
      </c>
      <c r="I26">
        <v>0.104380981500877</v>
      </c>
      <c r="J26">
        <v>0.121995467258527</v>
      </c>
      <c r="K26">
        <v>0.12100477847600399</v>
      </c>
      <c r="L26">
        <v>641.15291864721598</v>
      </c>
      <c r="M26">
        <v>13.5143599297332</v>
      </c>
      <c r="N26">
        <v>48.061878463090302</v>
      </c>
      <c r="O26">
        <v>46.439688041379199</v>
      </c>
      <c r="P26">
        <v>-6.6946732097239697E-2</v>
      </c>
      <c r="Q26">
        <v>7.9937504203464696E-2</v>
      </c>
      <c r="R26">
        <v>0.99546845819398999</v>
      </c>
      <c r="S26" t="s">
        <v>6594</v>
      </c>
      <c r="T26" t="s">
        <v>13134</v>
      </c>
      <c r="U26" t="s">
        <v>13134</v>
      </c>
      <c r="V26" t="s">
        <v>13134</v>
      </c>
      <c r="W26" t="s">
        <v>13160</v>
      </c>
      <c r="X26">
        <v>1</v>
      </c>
      <c r="Y26" t="s">
        <v>19652</v>
      </c>
      <c r="Z26" t="s">
        <v>25994</v>
      </c>
      <c r="AA26">
        <v>0.42467980931877469</v>
      </c>
      <c r="AB26" t="str">
        <f>HYPERLINK("Melting_Curves/meltCurve_A6ND36_2_FAM83G.pdf", "Melting_Curves/meltCurve_A6ND36_2_FAM83G.pdf")</f>
        <v>Melting_Curves/meltCurve_A6ND36_2_FAM83G.pdf</v>
      </c>
    </row>
    <row r="27" spans="1:28" x14ac:dyDescent="0.25">
      <c r="A27" t="s">
        <v>31</v>
      </c>
      <c r="B27">
        <v>0.99472303558308395</v>
      </c>
      <c r="C27">
        <v>1.0926875522380599</v>
      </c>
      <c r="D27">
        <v>0.97574474760424201</v>
      </c>
      <c r="E27">
        <v>0.81581400415635497</v>
      </c>
      <c r="F27">
        <v>0.59914510820247102</v>
      </c>
      <c r="G27">
        <v>0.42195309576099999</v>
      </c>
      <c r="H27">
        <v>0.33891106191148501</v>
      </c>
      <c r="I27">
        <v>0.32645575094909601</v>
      </c>
      <c r="J27">
        <v>0.46861127909170303</v>
      </c>
      <c r="K27">
        <v>0.395983254046262</v>
      </c>
      <c r="L27">
        <v>1192.8852213380501</v>
      </c>
      <c r="M27">
        <v>24.558320708645098</v>
      </c>
      <c r="N27">
        <v>51.550781421982599</v>
      </c>
      <c r="O27">
        <v>48.254931283903304</v>
      </c>
      <c r="P27">
        <v>-7.9019967915627903E-2</v>
      </c>
      <c r="Q27">
        <v>0.37893995597708002</v>
      </c>
      <c r="R27">
        <v>0.96928369679982396</v>
      </c>
      <c r="S27" t="s">
        <v>6595</v>
      </c>
      <c r="T27" t="s">
        <v>13134</v>
      </c>
      <c r="U27" t="s">
        <v>13134</v>
      </c>
      <c r="V27" t="s">
        <v>13134</v>
      </c>
      <c r="W27" t="s">
        <v>13161</v>
      </c>
      <c r="X27">
        <v>13</v>
      </c>
      <c r="Y27" t="s">
        <v>19653</v>
      </c>
      <c r="Z27" t="s">
        <v>25995</v>
      </c>
      <c r="AA27">
        <v>0.62406111697644351</v>
      </c>
      <c r="AB27" t="str">
        <f>HYPERLINK("Melting_Curves/meltCurve_A6NDB9_PALM3.pdf", "Melting_Curves/meltCurve_A6NDB9_PALM3.pdf")</f>
        <v>Melting_Curves/meltCurve_A6NDB9_PALM3.pdf</v>
      </c>
    </row>
    <row r="28" spans="1:28" x14ac:dyDescent="0.25">
      <c r="A28" t="s">
        <v>32</v>
      </c>
      <c r="B28">
        <v>0.99472303558308395</v>
      </c>
      <c r="C28">
        <v>0.88761421851864797</v>
      </c>
      <c r="D28">
        <v>0.99413829417852295</v>
      </c>
      <c r="E28">
        <v>0.94420797886507102</v>
      </c>
      <c r="F28">
        <v>0.76576519998090398</v>
      </c>
      <c r="G28">
        <v>0.69327683130569495</v>
      </c>
      <c r="H28">
        <v>0.56486347380518998</v>
      </c>
      <c r="I28">
        <v>0.56681273803496401</v>
      </c>
      <c r="J28">
        <v>0.49327007789389898</v>
      </c>
      <c r="K28">
        <v>0.17380417435529699</v>
      </c>
      <c r="L28">
        <v>452.845980531679</v>
      </c>
      <c r="M28">
        <v>7.5114569106295903</v>
      </c>
      <c r="N28">
        <v>60.287368164873598</v>
      </c>
      <c r="O28">
        <v>56.458296222821097</v>
      </c>
      <c r="P28">
        <v>-3.3308638691939299E-2</v>
      </c>
      <c r="Q28">
        <v>0</v>
      </c>
      <c r="R28">
        <v>0.91101312363611897</v>
      </c>
      <c r="S28" t="s">
        <v>6596</v>
      </c>
      <c r="T28" t="s">
        <v>13134</v>
      </c>
      <c r="U28" t="s">
        <v>13134</v>
      </c>
      <c r="V28" t="s">
        <v>13134</v>
      </c>
      <c r="W28" t="s">
        <v>13162</v>
      </c>
      <c r="X28">
        <v>12</v>
      </c>
      <c r="Y28" t="s">
        <v>19654</v>
      </c>
      <c r="Z28" t="s">
        <v>25996</v>
      </c>
      <c r="AA28">
        <v>0.72387731142375633</v>
      </c>
      <c r="AB28" t="str">
        <f>HYPERLINK("Melting_Curves/meltCurve_A6NDG6_PGP.pdf", "Melting_Curves/meltCurve_A6NDG6_PGP.pdf")</f>
        <v>Melting_Curves/meltCurve_A6NDG6_PGP.pdf</v>
      </c>
    </row>
    <row r="29" spans="1:28" x14ac:dyDescent="0.25">
      <c r="A29" t="s">
        <v>33</v>
      </c>
      <c r="B29">
        <v>0.99472303558308395</v>
      </c>
      <c r="C29">
        <v>1.0550829680839999</v>
      </c>
      <c r="D29">
        <v>0.97766974479244995</v>
      </c>
      <c r="E29">
        <v>0.88939204496844804</v>
      </c>
      <c r="F29">
        <v>0.72311289779660903</v>
      </c>
      <c r="G29">
        <v>0.56068501055970699</v>
      </c>
      <c r="H29">
        <v>0.37960477113552898</v>
      </c>
      <c r="I29">
        <v>0.22547134111541201</v>
      </c>
      <c r="J29">
        <v>8.5797879354119005E-2</v>
      </c>
      <c r="K29">
        <v>8.8811910903547106E-2</v>
      </c>
      <c r="L29">
        <v>689.76529787414904</v>
      </c>
      <c r="M29">
        <v>12.6231110284885</v>
      </c>
      <c r="N29">
        <v>54.643050875232802</v>
      </c>
      <c r="O29">
        <v>53.326103536094102</v>
      </c>
      <c r="P29">
        <v>-5.9190580261260797E-2</v>
      </c>
      <c r="Q29">
        <v>0</v>
      </c>
      <c r="R29">
        <v>0.99344995728535201</v>
      </c>
      <c r="S29" t="s">
        <v>6597</v>
      </c>
      <c r="T29" t="s">
        <v>13134</v>
      </c>
      <c r="U29" t="s">
        <v>13134</v>
      </c>
      <c r="V29" t="s">
        <v>13134</v>
      </c>
      <c r="W29" t="s">
        <v>13163</v>
      </c>
      <c r="X29">
        <v>2</v>
      </c>
      <c r="Z29" t="s">
        <v>25997</v>
      </c>
      <c r="AA29">
        <v>0.60374130417356975</v>
      </c>
      <c r="AB29" t="str">
        <f>HYPERLINK("Melting_Curves/meltCurve_A6NDJ8_.pdf", "Melting_Curves/meltCurve_A6NDJ8_.pdf")</f>
        <v>Melting_Curves/meltCurve_A6NDJ8_.pdf</v>
      </c>
    </row>
    <row r="30" spans="1:28" x14ac:dyDescent="0.25">
      <c r="A30" t="s">
        <v>34</v>
      </c>
      <c r="B30">
        <v>0.99472303558308395</v>
      </c>
      <c r="C30">
        <v>1.0089138325440401</v>
      </c>
      <c r="D30">
        <v>0.97410650779952601</v>
      </c>
      <c r="E30">
        <v>0.75720960102929502</v>
      </c>
      <c r="F30">
        <v>0.25813379135439601</v>
      </c>
      <c r="G30">
        <v>7.8516191973934904E-2</v>
      </c>
      <c r="H30">
        <v>5.0225587893241802E-2</v>
      </c>
      <c r="I30">
        <v>2.8006393075622499E-2</v>
      </c>
      <c r="J30">
        <v>3.65048846002844E-2</v>
      </c>
      <c r="K30">
        <v>3.7800127777388899E-2</v>
      </c>
      <c r="L30">
        <v>1478.5249751170099</v>
      </c>
      <c r="M30">
        <v>30.6474530102101</v>
      </c>
      <c r="N30">
        <v>48.361690096201698</v>
      </c>
      <c r="O30">
        <v>48.0389934173296</v>
      </c>
      <c r="P30">
        <v>-0.15371614480745799</v>
      </c>
      <c r="Q30">
        <v>3.6223378100678397E-2</v>
      </c>
      <c r="R30">
        <v>0.99982974019985904</v>
      </c>
      <c r="S30" t="s">
        <v>6598</v>
      </c>
      <c r="T30" t="s">
        <v>13134</v>
      </c>
      <c r="U30" t="s">
        <v>13134</v>
      </c>
      <c r="V30" t="s">
        <v>13134</v>
      </c>
      <c r="W30" t="s">
        <v>13164</v>
      </c>
      <c r="X30">
        <v>4</v>
      </c>
      <c r="Y30" t="s">
        <v>19655</v>
      </c>
      <c r="Z30" t="s">
        <v>25998</v>
      </c>
      <c r="AA30">
        <v>0.40290810599560289</v>
      </c>
      <c r="AB30" t="str">
        <f>HYPERLINK("Melting_Curves/meltCurve_A6NDU8_C5orf51.pdf", "Melting_Curves/meltCurve_A6NDU8_C5orf51.pdf")</f>
        <v>Melting_Curves/meltCurve_A6NDU8_C5orf51.pdf</v>
      </c>
    </row>
    <row r="31" spans="1:28" x14ac:dyDescent="0.25">
      <c r="A31" t="s">
        <v>35</v>
      </c>
      <c r="B31">
        <v>0.99472303558308395</v>
      </c>
      <c r="C31">
        <v>1.0402567005571099</v>
      </c>
      <c r="D31">
        <v>0.96333794142450202</v>
      </c>
      <c r="E31">
        <v>0.81543218564110098</v>
      </c>
      <c r="F31">
        <v>0.69617469688913203</v>
      </c>
      <c r="G31">
        <v>0.38643647345166598</v>
      </c>
      <c r="H31">
        <v>0.14273648530161501</v>
      </c>
      <c r="I31">
        <v>0.11469513531284301</v>
      </c>
      <c r="J31">
        <v>0.114865356141597</v>
      </c>
      <c r="K31">
        <v>7.4458699309342097E-2</v>
      </c>
      <c r="L31">
        <v>897.67568106429405</v>
      </c>
      <c r="M31">
        <v>17.348152253923899</v>
      </c>
      <c r="N31">
        <v>52.080945304351602</v>
      </c>
      <c r="O31">
        <v>51.071875037010898</v>
      </c>
      <c r="P31">
        <v>-8.0426420308818802E-2</v>
      </c>
      <c r="Q31">
        <v>5.2972801600706998E-2</v>
      </c>
      <c r="R31">
        <v>0.99171527684356797</v>
      </c>
      <c r="S31" t="s">
        <v>6599</v>
      </c>
      <c r="T31" t="s">
        <v>13134</v>
      </c>
      <c r="U31" t="s">
        <v>13134</v>
      </c>
      <c r="V31" t="s">
        <v>13134</v>
      </c>
      <c r="W31" t="s">
        <v>13165</v>
      </c>
      <c r="X31">
        <v>10</v>
      </c>
      <c r="Y31" t="s">
        <v>19656</v>
      </c>
      <c r="Z31" t="s">
        <v>25999</v>
      </c>
      <c r="AA31">
        <v>0.53364090260566355</v>
      </c>
      <c r="AB31" t="str">
        <f>HYPERLINK("Melting_Curves/meltCurve_A6NED2_RCCD1.pdf", "Melting_Curves/meltCurve_A6NED2_RCCD1.pdf")</f>
        <v>Melting_Curves/meltCurve_A6NED2_RCCD1.pdf</v>
      </c>
    </row>
    <row r="32" spans="1:28" x14ac:dyDescent="0.25">
      <c r="A32" t="s">
        <v>36</v>
      </c>
      <c r="B32">
        <v>0.99472303558308395</v>
      </c>
      <c r="C32">
        <v>0.93769927682300602</v>
      </c>
      <c r="D32">
        <v>0.90751825409891995</v>
      </c>
      <c r="E32">
        <v>0.79821972466007396</v>
      </c>
      <c r="F32">
        <v>0.53835631486401003</v>
      </c>
      <c r="G32">
        <v>0.37593970017108402</v>
      </c>
      <c r="H32">
        <v>0.14731737256031699</v>
      </c>
      <c r="I32">
        <v>8.4417442539861706E-2</v>
      </c>
      <c r="J32">
        <v>9.8758920891263202E-2</v>
      </c>
      <c r="K32">
        <v>8.2660797581059597E-2</v>
      </c>
      <c r="L32">
        <v>701.11986616815102</v>
      </c>
      <c r="M32">
        <v>13.8129929419469</v>
      </c>
      <c r="N32">
        <v>50.968984726441597</v>
      </c>
      <c r="O32">
        <v>49.729646128850099</v>
      </c>
      <c r="P32">
        <v>-6.7520342061278896E-2</v>
      </c>
      <c r="Q32">
        <v>2.77868695065559E-2</v>
      </c>
      <c r="R32">
        <v>0.994065627401722</v>
      </c>
      <c r="S32" t="s">
        <v>6600</v>
      </c>
      <c r="T32" t="s">
        <v>13134</v>
      </c>
      <c r="U32" t="s">
        <v>13134</v>
      </c>
      <c r="V32" t="s">
        <v>13134</v>
      </c>
      <c r="W32" t="s">
        <v>13166</v>
      </c>
      <c r="X32">
        <v>42</v>
      </c>
      <c r="Y32" t="s">
        <v>19657</v>
      </c>
      <c r="Z32" t="s">
        <v>26000</v>
      </c>
      <c r="AA32">
        <v>0.49563120331517679</v>
      </c>
      <c r="AB32" t="str">
        <f>HYPERLINK("Melting_Curves/meltCurve_A6NEM2_HCFC1.pdf", "Melting_Curves/meltCurve_A6NEM2_HCFC1.pdf")</f>
        <v>Melting_Curves/meltCurve_A6NEM2_HCFC1.pdf</v>
      </c>
    </row>
    <row r="33" spans="1:28" x14ac:dyDescent="0.25">
      <c r="A33" t="s">
        <v>37</v>
      </c>
      <c r="B33">
        <v>0.99472303558308395</v>
      </c>
      <c r="C33">
        <v>0.892022651990521</v>
      </c>
      <c r="D33">
        <v>0.73968949561121999</v>
      </c>
      <c r="E33">
        <v>0.64363074676323195</v>
      </c>
      <c r="F33">
        <v>0.62491665635961802</v>
      </c>
      <c r="G33">
        <v>0.160946043236317</v>
      </c>
      <c r="H33">
        <v>7.94047088871489E-2</v>
      </c>
      <c r="I33">
        <v>5.9488846056709101E-2</v>
      </c>
      <c r="J33">
        <v>4.3459018068045301E-2</v>
      </c>
      <c r="K33">
        <v>3.8710852538010897E-2</v>
      </c>
      <c r="L33">
        <v>582.68268730964996</v>
      </c>
      <c r="M33">
        <v>11.888181363515301</v>
      </c>
      <c r="N33">
        <v>49.013610209867601</v>
      </c>
      <c r="O33">
        <v>47.688464531235702</v>
      </c>
      <c r="P33">
        <v>-6.2337680406013701E-2</v>
      </c>
      <c r="Q33">
        <v>0</v>
      </c>
      <c r="R33">
        <v>0.95115269997872698</v>
      </c>
      <c r="S33" t="s">
        <v>6601</v>
      </c>
      <c r="T33" t="s">
        <v>13134</v>
      </c>
      <c r="U33" t="s">
        <v>13134</v>
      </c>
      <c r="V33" t="s">
        <v>13134</v>
      </c>
      <c r="W33" t="s">
        <v>13167</v>
      </c>
      <c r="X33">
        <v>6</v>
      </c>
      <c r="Y33" t="s">
        <v>19658</v>
      </c>
      <c r="Z33" t="s">
        <v>26001</v>
      </c>
      <c r="AA33">
        <v>0.43051926905113952</v>
      </c>
      <c r="AB33" t="str">
        <f>HYPERLINK("Melting_Curves/meltCurve_A6NEM5_PIGK.pdf", "Melting_Curves/meltCurve_A6NEM5_PIGK.pdf")</f>
        <v>Melting_Curves/meltCurve_A6NEM5_PIGK.pdf</v>
      </c>
    </row>
    <row r="34" spans="1:28" x14ac:dyDescent="0.25">
      <c r="A34" t="s">
        <v>38</v>
      </c>
      <c r="B34">
        <v>0.99472303558308395</v>
      </c>
      <c r="C34">
        <v>0.88393712589036</v>
      </c>
      <c r="D34">
        <v>0.849574306924333</v>
      </c>
      <c r="E34">
        <v>0.63306924249446805</v>
      </c>
      <c r="F34">
        <v>0.682134353280337</v>
      </c>
      <c r="G34">
        <v>0.26864823599910198</v>
      </c>
      <c r="H34">
        <v>0.17422954723658099</v>
      </c>
      <c r="I34">
        <v>6.5335121518536196E-2</v>
      </c>
      <c r="J34">
        <v>9.2097512028334105E-2</v>
      </c>
      <c r="K34">
        <v>0.13754912041655401</v>
      </c>
      <c r="L34">
        <v>538.50331355913102</v>
      </c>
      <c r="M34">
        <v>10.6946810187249</v>
      </c>
      <c r="N34">
        <v>50.352441021722001</v>
      </c>
      <c r="O34">
        <v>48.687710302124003</v>
      </c>
      <c r="P34">
        <v>-5.4935331324037898E-2</v>
      </c>
      <c r="Q34">
        <v>0</v>
      </c>
      <c r="R34">
        <v>0.95465163184281299</v>
      </c>
      <c r="S34" t="s">
        <v>6602</v>
      </c>
      <c r="T34" t="s">
        <v>13134</v>
      </c>
      <c r="U34" t="s">
        <v>13134</v>
      </c>
      <c r="V34" t="s">
        <v>13134</v>
      </c>
      <c r="W34" t="s">
        <v>13168</v>
      </c>
      <c r="X34">
        <v>3</v>
      </c>
      <c r="Y34" t="s">
        <v>19659</v>
      </c>
      <c r="Z34" t="s">
        <v>26002</v>
      </c>
      <c r="AA34">
        <v>0.47587427625281509</v>
      </c>
      <c r="AB34" t="str">
        <f>HYPERLINK("Melting_Curves/meltCurve_A6NF31_OFD1.pdf", "Melting_Curves/meltCurve_A6NF31_OFD1.pdf")</f>
        <v>Melting_Curves/meltCurve_A6NF31_OFD1.pdf</v>
      </c>
    </row>
    <row r="35" spans="1:28" x14ac:dyDescent="0.25">
      <c r="A35" t="s">
        <v>39</v>
      </c>
      <c r="B35">
        <v>0.99472303558308395</v>
      </c>
      <c r="C35">
        <v>0.59776888098341197</v>
      </c>
      <c r="D35">
        <v>0.32760481791020502</v>
      </c>
      <c r="E35">
        <v>0.15264250601252199</v>
      </c>
      <c r="F35">
        <v>8.0643789398912105E-2</v>
      </c>
      <c r="G35">
        <v>4.3990493479717598E-2</v>
      </c>
      <c r="H35">
        <v>5.4911397021806897E-2</v>
      </c>
      <c r="I35">
        <v>2.6273164951171098E-2</v>
      </c>
      <c r="J35">
        <v>3.4052779223405598E-2</v>
      </c>
      <c r="K35">
        <v>0</v>
      </c>
      <c r="L35">
        <v>823.93540197293703</v>
      </c>
      <c r="M35">
        <v>20.062057161665599</v>
      </c>
      <c r="N35">
        <v>41.2316681393485</v>
      </c>
      <c r="O35">
        <v>40.667814898818499</v>
      </c>
      <c r="P35">
        <v>-0.118649657286408</v>
      </c>
      <c r="Q35">
        <v>3.7971595648024298E-2</v>
      </c>
      <c r="R35">
        <v>0.98430422682208396</v>
      </c>
      <c r="S35" t="s">
        <v>6603</v>
      </c>
      <c r="T35" t="s">
        <v>13134</v>
      </c>
      <c r="U35" t="s">
        <v>13134</v>
      </c>
      <c r="V35" t="s">
        <v>13134</v>
      </c>
      <c r="W35" t="s">
        <v>13169</v>
      </c>
      <c r="X35">
        <v>1</v>
      </c>
      <c r="Y35" t="s">
        <v>19660</v>
      </c>
      <c r="Z35" t="s">
        <v>26003</v>
      </c>
      <c r="AA35">
        <v>0.18465460476348181</v>
      </c>
      <c r="AB35" t="str">
        <f>HYPERLINK("Melting_Curves/meltCurve_A6NF48_ZNF281.pdf", "Melting_Curves/meltCurve_A6NF48_ZNF281.pdf")</f>
        <v>Melting_Curves/meltCurve_A6NF48_ZNF281.pdf</v>
      </c>
    </row>
    <row r="36" spans="1:28" x14ac:dyDescent="0.25">
      <c r="A36" t="s">
        <v>40</v>
      </c>
      <c r="B36">
        <v>0.99472303558308395</v>
      </c>
      <c r="C36">
        <v>0.99035173765904305</v>
      </c>
      <c r="D36">
        <v>0.95990898206000996</v>
      </c>
      <c r="E36">
        <v>0.79506395996525803</v>
      </c>
      <c r="F36">
        <v>0.53631240365586197</v>
      </c>
      <c r="G36">
        <v>0.46190216852068999</v>
      </c>
      <c r="H36">
        <v>0.44115921364622301</v>
      </c>
      <c r="I36">
        <v>0.37198858489471898</v>
      </c>
      <c r="J36">
        <v>0.564705388800262</v>
      </c>
      <c r="K36">
        <v>0.22400916026469</v>
      </c>
      <c r="L36">
        <v>1045.20032791841</v>
      </c>
      <c r="M36">
        <v>21.815113041347701</v>
      </c>
      <c r="N36">
        <v>51.5919092061119</v>
      </c>
      <c r="O36">
        <v>47.5145890664473</v>
      </c>
      <c r="P36">
        <v>-6.9498876368706594E-2</v>
      </c>
      <c r="Q36">
        <v>0.39452339695421301</v>
      </c>
      <c r="R36">
        <v>0.91484920521629398</v>
      </c>
      <c r="S36" t="s">
        <v>6604</v>
      </c>
      <c r="T36" t="s">
        <v>13134</v>
      </c>
      <c r="U36" t="s">
        <v>13134</v>
      </c>
      <c r="V36" t="s">
        <v>13134</v>
      </c>
      <c r="W36" t="s">
        <v>13170</v>
      </c>
      <c r="X36">
        <v>16</v>
      </c>
      <c r="Y36" t="s">
        <v>19661</v>
      </c>
      <c r="Z36" t="s">
        <v>26004</v>
      </c>
      <c r="AA36">
        <v>0.62148232361785694</v>
      </c>
      <c r="AB36" t="str">
        <f>HYPERLINK("Melting_Curves/meltCurve_A6NF51_BPNT1.pdf", "Melting_Curves/meltCurve_A6NF51_BPNT1.pdf")</f>
        <v>Melting_Curves/meltCurve_A6NF51_BPNT1.pdf</v>
      </c>
    </row>
    <row r="37" spans="1:28" x14ac:dyDescent="0.25">
      <c r="A37" t="s">
        <v>41</v>
      </c>
      <c r="B37">
        <v>0.99472303558308395</v>
      </c>
      <c r="C37">
        <v>1.0686731400698199</v>
      </c>
      <c r="D37">
        <v>0.77055745340630799</v>
      </c>
      <c r="E37">
        <v>0.597529842412166</v>
      </c>
      <c r="F37">
        <v>0.24234579176213</v>
      </c>
      <c r="G37">
        <v>0.14785020977927099</v>
      </c>
      <c r="H37">
        <v>0.128022340653004</v>
      </c>
      <c r="I37">
        <v>8.6140020828629094E-2</v>
      </c>
      <c r="J37">
        <v>0.12712485414152699</v>
      </c>
      <c r="K37">
        <v>9.7171991472287195E-2</v>
      </c>
      <c r="L37">
        <v>919.58414567071895</v>
      </c>
      <c r="M37">
        <v>19.742419463889298</v>
      </c>
      <c r="N37">
        <v>47.091235637750302</v>
      </c>
      <c r="O37">
        <v>46.109075633838003</v>
      </c>
      <c r="P37">
        <v>-9.6703868909814694E-2</v>
      </c>
      <c r="Q37">
        <v>9.6610203970443204E-2</v>
      </c>
      <c r="R37">
        <v>0.984428395837602</v>
      </c>
      <c r="S37" t="s">
        <v>6605</v>
      </c>
      <c r="T37" t="s">
        <v>13134</v>
      </c>
      <c r="U37" t="s">
        <v>13134</v>
      </c>
      <c r="V37" t="s">
        <v>13134</v>
      </c>
      <c r="W37" t="s">
        <v>13171</v>
      </c>
      <c r="X37">
        <v>3</v>
      </c>
      <c r="Y37" t="s">
        <v>19662</v>
      </c>
      <c r="Z37" t="s">
        <v>26005</v>
      </c>
      <c r="AA37">
        <v>0.39718786803557421</v>
      </c>
      <c r="AB37" t="str">
        <f>HYPERLINK("Melting_Curves/meltCurve_A6NFI3_ZNF316.pdf", "Melting_Curves/meltCurve_A6NFI3_ZNF316.pdf")</f>
        <v>Melting_Curves/meltCurve_A6NFI3_ZNF316.pdf</v>
      </c>
    </row>
    <row r="38" spans="1:28" x14ac:dyDescent="0.25">
      <c r="A38" t="s">
        <v>42</v>
      </c>
      <c r="B38">
        <v>0.99472303558308395</v>
      </c>
      <c r="C38">
        <v>0.98678872628949499</v>
      </c>
      <c r="D38">
        <v>0.66513976813793196</v>
      </c>
      <c r="E38">
        <v>0.294607779195109</v>
      </c>
      <c r="F38">
        <v>0.16630520826463899</v>
      </c>
      <c r="G38">
        <v>9.7069865958702303E-2</v>
      </c>
      <c r="H38">
        <v>8.46911382662143E-2</v>
      </c>
      <c r="I38">
        <v>6.82322252536013E-2</v>
      </c>
      <c r="J38">
        <v>8.33891621063753E-2</v>
      </c>
      <c r="K38">
        <v>8.3981119544937505E-2</v>
      </c>
      <c r="L38">
        <v>1060.18184574425</v>
      </c>
      <c r="M38">
        <v>23.988303640343101</v>
      </c>
      <c r="N38">
        <v>44.543820970414401</v>
      </c>
      <c r="O38">
        <v>43.892057141499997</v>
      </c>
      <c r="P38">
        <v>-0.12495816890106</v>
      </c>
      <c r="Q38">
        <v>8.5456452364468E-2</v>
      </c>
      <c r="R38">
        <v>0.99648362875121699</v>
      </c>
      <c r="S38" t="s">
        <v>6606</v>
      </c>
      <c r="T38" t="s">
        <v>13134</v>
      </c>
      <c r="U38" t="s">
        <v>13134</v>
      </c>
      <c r="V38" t="s">
        <v>13134</v>
      </c>
      <c r="W38" t="s">
        <v>13172</v>
      </c>
      <c r="X38">
        <v>10</v>
      </c>
      <c r="Y38" t="s">
        <v>19663</v>
      </c>
      <c r="Z38" t="s">
        <v>26006</v>
      </c>
      <c r="AA38">
        <v>0.31302016120492387</v>
      </c>
      <c r="AB38" t="str">
        <f>HYPERLINK("Melting_Curves/meltCurve_A6NFQ2_3_FAM115C.pdf", "Melting_Curves/meltCurve_A6NFQ2_3_FAM115C.pdf")</f>
        <v>Melting_Curves/meltCurve_A6NFQ2_3_FAM115C.pdf</v>
      </c>
    </row>
    <row r="39" spans="1:28" x14ac:dyDescent="0.25">
      <c r="A39" t="s">
        <v>43</v>
      </c>
      <c r="B39">
        <v>0.99472303558308395</v>
      </c>
      <c r="C39">
        <v>0.98325571442113402</v>
      </c>
      <c r="D39">
        <v>0.895118605601958</v>
      </c>
      <c r="E39">
        <v>0.82416155637108202</v>
      </c>
      <c r="F39">
        <v>0.79118092250140304</v>
      </c>
      <c r="G39">
        <v>0.52634577120966497</v>
      </c>
      <c r="H39">
        <v>0.460652328430881</v>
      </c>
      <c r="I39">
        <v>0.41007718576082303</v>
      </c>
      <c r="J39">
        <v>0.75679374637517005</v>
      </c>
      <c r="K39">
        <v>0.839656411602556</v>
      </c>
      <c r="L39">
        <v>957.20223042655402</v>
      </c>
      <c r="M39">
        <v>20.368200544777899</v>
      </c>
      <c r="O39">
        <v>46.548952184582497</v>
      </c>
      <c r="P39">
        <v>-4.2987107534810401E-2</v>
      </c>
      <c r="Q39">
        <v>0.60704530663543799</v>
      </c>
      <c r="R39">
        <v>0.58775227436080302</v>
      </c>
      <c r="S39" t="s">
        <v>6607</v>
      </c>
      <c r="T39" t="s">
        <v>13134</v>
      </c>
      <c r="U39" t="s">
        <v>13134</v>
      </c>
      <c r="V39" t="s">
        <v>13134</v>
      </c>
      <c r="W39" t="s">
        <v>13173</v>
      </c>
      <c r="X39">
        <v>12</v>
      </c>
      <c r="Y39" t="s">
        <v>19664</v>
      </c>
      <c r="Z39" t="s">
        <v>26007</v>
      </c>
      <c r="AA39">
        <v>0.74292737896262817</v>
      </c>
      <c r="AB39" t="str">
        <f>HYPERLINK("Melting_Curves/meltCurve_A6NFX8_NUDT5.pdf", "Melting_Curves/meltCurve_A6NFX8_NUDT5.pdf")</f>
        <v>Melting_Curves/meltCurve_A6NFX8_NUDT5.pdf</v>
      </c>
    </row>
    <row r="40" spans="1:28" x14ac:dyDescent="0.25">
      <c r="A40" t="s">
        <v>44</v>
      </c>
      <c r="B40">
        <v>0.99472303558308395</v>
      </c>
      <c r="C40">
        <v>1.05275801118041</v>
      </c>
      <c r="D40">
        <v>1.0014124050370401</v>
      </c>
      <c r="E40">
        <v>0.84527727030002398</v>
      </c>
      <c r="F40">
        <v>0.58767569682791998</v>
      </c>
      <c r="G40">
        <v>0.40457853090419299</v>
      </c>
      <c r="H40">
        <v>0.32985844461384101</v>
      </c>
      <c r="I40">
        <v>0.34831276350358698</v>
      </c>
      <c r="J40">
        <v>0.452621808746689</v>
      </c>
      <c r="K40">
        <v>0.35906360433267598</v>
      </c>
      <c r="L40">
        <v>1334.3017451733799</v>
      </c>
      <c r="M40">
        <v>27.3469137439122</v>
      </c>
      <c r="N40">
        <v>51.305058029130898</v>
      </c>
      <c r="O40">
        <v>48.533004204960001</v>
      </c>
      <c r="P40">
        <v>-8.8883004136707494E-2</v>
      </c>
      <c r="Q40">
        <v>0.36903753124530497</v>
      </c>
      <c r="R40">
        <v>0.983025559591447</v>
      </c>
      <c r="S40" t="s">
        <v>6608</v>
      </c>
      <c r="T40" t="s">
        <v>13134</v>
      </c>
      <c r="U40" t="s">
        <v>13134</v>
      </c>
      <c r="V40" t="s">
        <v>13134</v>
      </c>
      <c r="W40" t="s">
        <v>13174</v>
      </c>
      <c r="X40">
        <v>10</v>
      </c>
      <c r="Y40" t="s">
        <v>19665</v>
      </c>
      <c r="Z40" t="s">
        <v>26008</v>
      </c>
      <c r="AA40">
        <v>0.62159897459142843</v>
      </c>
      <c r="AB40" t="str">
        <f>HYPERLINK("Melting_Curves/meltCurve_A6NG32_CHMP1A.pdf", "Melting_Curves/meltCurve_A6NG32_CHMP1A.pdf")</f>
        <v>Melting_Curves/meltCurve_A6NG32_CHMP1A.pdf</v>
      </c>
    </row>
    <row r="41" spans="1:28" x14ac:dyDescent="0.25">
      <c r="A41" t="s">
        <v>45</v>
      </c>
      <c r="B41">
        <v>0.99472303558308395</v>
      </c>
      <c r="C41">
        <v>1.0329003455404899</v>
      </c>
      <c r="D41">
        <v>0.84986498337627703</v>
      </c>
      <c r="E41">
        <v>0.71875183468368498</v>
      </c>
      <c r="F41">
        <v>0.56153953237867305</v>
      </c>
      <c r="G41">
        <v>0.196977118187557</v>
      </c>
      <c r="H41">
        <v>0.104831040745002</v>
      </c>
      <c r="I41">
        <v>7.97073248254168E-2</v>
      </c>
      <c r="J41">
        <v>8.7894279990437293E-2</v>
      </c>
      <c r="K41">
        <v>7.5805530901647405E-2</v>
      </c>
      <c r="L41">
        <v>773.00601348603197</v>
      </c>
      <c r="M41">
        <v>15.583699254100701</v>
      </c>
      <c r="N41">
        <v>49.844181977233902</v>
      </c>
      <c r="O41">
        <v>48.8082260849216</v>
      </c>
      <c r="P41">
        <v>-7.6934502965859602E-2</v>
      </c>
      <c r="Q41">
        <v>3.6246832832822103E-2</v>
      </c>
      <c r="R41">
        <v>0.98505027586565796</v>
      </c>
      <c r="S41" t="s">
        <v>6609</v>
      </c>
      <c r="T41" t="s">
        <v>13134</v>
      </c>
      <c r="U41" t="s">
        <v>13134</v>
      </c>
      <c r="V41" t="s">
        <v>13134</v>
      </c>
      <c r="W41" t="s">
        <v>13175</v>
      </c>
      <c r="X41">
        <v>24</v>
      </c>
      <c r="Y41" t="s">
        <v>19666</v>
      </c>
      <c r="Z41" t="s">
        <v>26009</v>
      </c>
      <c r="AA41">
        <v>0.46038100431436862</v>
      </c>
      <c r="AB41" t="str">
        <f>HYPERLINK("Melting_Curves/meltCurve_A6NG51_SPTAN1.pdf", "Melting_Curves/meltCurve_A6NG51_SPTAN1.pdf")</f>
        <v>Melting_Curves/meltCurve_A6NG51_SPTAN1.pdf</v>
      </c>
    </row>
    <row r="42" spans="1:28" x14ac:dyDescent="0.25">
      <c r="A42" t="s">
        <v>46</v>
      </c>
      <c r="B42">
        <v>0.99472303558308395</v>
      </c>
      <c r="C42">
        <v>1.1318170086274</v>
      </c>
      <c r="D42">
        <v>0.97701590907075497</v>
      </c>
      <c r="E42">
        <v>0.81146721677775102</v>
      </c>
      <c r="F42">
        <v>0.564868688961081</v>
      </c>
      <c r="G42">
        <v>0.47565148369467802</v>
      </c>
      <c r="H42">
        <v>0.37036493498267498</v>
      </c>
      <c r="I42">
        <v>0.44081161274358599</v>
      </c>
      <c r="J42">
        <v>0.64307143560478397</v>
      </c>
      <c r="K42">
        <v>0.43222778171319798</v>
      </c>
      <c r="L42">
        <v>1534.9923829796301</v>
      </c>
      <c r="M42">
        <v>32.303735443412798</v>
      </c>
      <c r="N42">
        <v>52.144916646323601</v>
      </c>
      <c r="O42">
        <v>47.336502703235404</v>
      </c>
      <c r="P42">
        <v>-9.0156545450845005E-2</v>
      </c>
      <c r="Q42">
        <v>0.47155648891305002</v>
      </c>
      <c r="R42">
        <v>0.910869036433688</v>
      </c>
      <c r="S42" t="s">
        <v>6610</v>
      </c>
      <c r="T42" t="s">
        <v>13134</v>
      </c>
      <c r="U42" t="s">
        <v>13134</v>
      </c>
      <c r="V42" t="s">
        <v>13134</v>
      </c>
      <c r="W42" t="s">
        <v>13176</v>
      </c>
      <c r="X42">
        <v>9</v>
      </c>
      <c r="Y42" t="s">
        <v>19667</v>
      </c>
      <c r="Z42" t="s">
        <v>26010</v>
      </c>
      <c r="AA42">
        <v>0.65949142701731378</v>
      </c>
      <c r="AB42" t="str">
        <f>HYPERLINK("Melting_Curves/meltCurve_A6NG79_PRCC.pdf", "Melting_Curves/meltCurve_A6NG79_PRCC.pdf")</f>
        <v>Melting_Curves/meltCurve_A6NG79_PRCC.pdf</v>
      </c>
    </row>
    <row r="43" spans="1:28" x14ac:dyDescent="0.25">
      <c r="A43" t="s">
        <v>47</v>
      </c>
      <c r="B43">
        <v>0.99472303558308395</v>
      </c>
      <c r="C43">
        <v>1.4066701454380499</v>
      </c>
      <c r="D43">
        <v>1.2159572899210001</v>
      </c>
      <c r="E43">
        <v>1.0999986510363999</v>
      </c>
      <c r="F43">
        <v>1.2746726121898799</v>
      </c>
      <c r="G43">
        <v>0.96140024634224197</v>
      </c>
      <c r="H43">
        <v>0.72793139696058096</v>
      </c>
      <c r="I43">
        <v>0.77060757205918196</v>
      </c>
      <c r="J43">
        <v>1.1642638794814</v>
      </c>
      <c r="K43">
        <v>0.830823208037067</v>
      </c>
      <c r="L43">
        <v>13494.331834389401</v>
      </c>
      <c r="M43">
        <v>250</v>
      </c>
      <c r="O43">
        <v>53.973856215835902</v>
      </c>
      <c r="P43">
        <v>-0.14659114289001601</v>
      </c>
      <c r="Q43">
        <v>0.87340653194123796</v>
      </c>
      <c r="R43">
        <v>9.8881846467355303E-2</v>
      </c>
      <c r="S43" t="s">
        <v>6611</v>
      </c>
      <c r="T43" t="s">
        <v>13134</v>
      </c>
      <c r="U43" t="s">
        <v>13134</v>
      </c>
      <c r="V43" t="s">
        <v>13134</v>
      </c>
      <c r="W43" t="s">
        <v>13177</v>
      </c>
      <c r="X43">
        <v>8</v>
      </c>
      <c r="Y43" t="s">
        <v>19668</v>
      </c>
      <c r="Z43" t="s">
        <v>26011</v>
      </c>
      <c r="AA43">
        <v>0.94505914892831278</v>
      </c>
      <c r="AB43" t="str">
        <f>HYPERLINK("Melting_Curves/meltCurve_A6NGB9_WIPF3.pdf", "Melting_Curves/meltCurve_A6NGB9_WIPF3.pdf")</f>
        <v>Melting_Curves/meltCurve_A6NGB9_WIPF3.pdf</v>
      </c>
    </row>
    <row r="44" spans="1:28" x14ac:dyDescent="0.25">
      <c r="A44" t="s">
        <v>48</v>
      </c>
      <c r="B44">
        <v>0.99472303558308395</v>
      </c>
      <c r="C44">
        <v>0.97747094444857197</v>
      </c>
      <c r="D44">
        <v>1.2196206236471301</v>
      </c>
      <c r="E44">
        <v>0.76211282045514295</v>
      </c>
      <c r="F44">
        <v>0.14797498834744</v>
      </c>
      <c r="G44">
        <v>8.83175185581761E-2</v>
      </c>
      <c r="H44">
        <v>4.9647799811880597E-2</v>
      </c>
      <c r="I44">
        <v>5.5094148197318102E-2</v>
      </c>
      <c r="J44">
        <v>6.8013840586317001E-2</v>
      </c>
      <c r="K44">
        <v>3.5334920505639598E-2</v>
      </c>
      <c r="L44">
        <v>2356.7738791781699</v>
      </c>
      <c r="M44">
        <v>49.426590926479101</v>
      </c>
      <c r="N44">
        <v>47.807831700154601</v>
      </c>
      <c r="O44">
        <v>47.604444317280802</v>
      </c>
      <c r="P44">
        <v>-0.243774014656154</v>
      </c>
      <c r="Q44">
        <v>6.0852333708222198E-2</v>
      </c>
      <c r="R44">
        <v>0.97524996337818504</v>
      </c>
      <c r="S44" t="s">
        <v>6612</v>
      </c>
      <c r="T44" t="s">
        <v>13134</v>
      </c>
      <c r="U44" t="s">
        <v>13134</v>
      </c>
      <c r="V44" t="s">
        <v>13134</v>
      </c>
      <c r="W44" t="s">
        <v>13178</v>
      </c>
      <c r="X44">
        <v>1</v>
      </c>
      <c r="Y44" t="s">
        <v>19669</v>
      </c>
      <c r="Z44" t="s">
        <v>26012</v>
      </c>
      <c r="AA44">
        <v>0.39728275305531541</v>
      </c>
      <c r="AB44" t="str">
        <f>HYPERLINK("Melting_Curves/meltCurve_A6NGH7_CCDC160.pdf", "Melting_Curves/meltCurve_A6NGH7_CCDC160.pdf")</f>
        <v>Melting_Curves/meltCurve_A6NGH7_CCDC160.pdf</v>
      </c>
    </row>
    <row r="45" spans="1:28" x14ac:dyDescent="0.25">
      <c r="A45" t="s">
        <v>49</v>
      </c>
      <c r="B45">
        <v>0.99472303558308395</v>
      </c>
      <c r="C45">
        <v>1.2922326320270801</v>
      </c>
      <c r="D45">
        <v>0.92742764891540097</v>
      </c>
      <c r="E45">
        <v>1.0228061410746001</v>
      </c>
      <c r="F45">
        <v>0.77983669720846505</v>
      </c>
      <c r="G45">
        <v>0.74182001408071596</v>
      </c>
      <c r="H45">
        <v>0.59581309838183505</v>
      </c>
      <c r="I45">
        <v>0.81492762715201505</v>
      </c>
      <c r="J45">
        <v>1.2067298666516599</v>
      </c>
      <c r="K45">
        <v>0.86434592055348802</v>
      </c>
      <c r="L45">
        <v>4677.7172868871703</v>
      </c>
      <c r="M45">
        <v>97.112858729441399</v>
      </c>
      <c r="O45">
        <v>48.147423352726001</v>
      </c>
      <c r="P45">
        <v>-8.3835965184301101E-2</v>
      </c>
      <c r="Q45">
        <v>0.83374040533402105</v>
      </c>
      <c r="R45">
        <v>0.26305499926603698</v>
      </c>
      <c r="S45" t="s">
        <v>6613</v>
      </c>
      <c r="T45" t="s">
        <v>13134</v>
      </c>
      <c r="U45" t="s">
        <v>13134</v>
      </c>
      <c r="V45" t="s">
        <v>13134</v>
      </c>
      <c r="W45" t="s">
        <v>13179</v>
      </c>
      <c r="X45">
        <v>18</v>
      </c>
      <c r="Y45" t="s">
        <v>19670</v>
      </c>
      <c r="Z45" t="s">
        <v>26013</v>
      </c>
      <c r="AA45">
        <v>0.89572571847486582</v>
      </c>
      <c r="AB45" t="str">
        <f>HYPERLINK("Melting_Curves/meltCurve_A6NGP5_HN1L.pdf", "Melting_Curves/meltCurve_A6NGP5_HN1L.pdf")</f>
        <v>Melting_Curves/meltCurve_A6NGP5_HN1L.pdf</v>
      </c>
    </row>
    <row r="46" spans="1:28" x14ac:dyDescent="0.25">
      <c r="A46" t="s">
        <v>50</v>
      </c>
      <c r="B46">
        <v>0.99472303558308395</v>
      </c>
      <c r="C46">
        <v>0.99668440676755099</v>
      </c>
      <c r="D46">
        <v>0.910205027923771</v>
      </c>
      <c r="E46">
        <v>0.79570921984899701</v>
      </c>
      <c r="F46">
        <v>0.99680037553714795</v>
      </c>
      <c r="G46">
        <v>0.71438611261680995</v>
      </c>
      <c r="H46">
        <v>0.57621094544612805</v>
      </c>
      <c r="I46">
        <v>0.28548170802749301</v>
      </c>
      <c r="J46">
        <v>0.23148272011465601</v>
      </c>
      <c r="K46">
        <v>0.27872651000100901</v>
      </c>
      <c r="L46">
        <v>993.07274734023804</v>
      </c>
      <c r="M46">
        <v>17.6503571424503</v>
      </c>
      <c r="N46">
        <v>57.719181766544501</v>
      </c>
      <c r="O46">
        <v>55.556288127302302</v>
      </c>
      <c r="P46">
        <v>-6.51623780330986E-2</v>
      </c>
      <c r="Q46">
        <v>0.17962295374109499</v>
      </c>
      <c r="R46">
        <v>0.93281869383426397</v>
      </c>
      <c r="S46" t="s">
        <v>6614</v>
      </c>
      <c r="T46" t="s">
        <v>13134</v>
      </c>
      <c r="U46" t="s">
        <v>13134</v>
      </c>
      <c r="V46" t="s">
        <v>13134</v>
      </c>
      <c r="W46" t="s">
        <v>13180</v>
      </c>
      <c r="X46">
        <v>5</v>
      </c>
      <c r="Y46" t="s">
        <v>19671</v>
      </c>
      <c r="Z46" t="s">
        <v>26014</v>
      </c>
      <c r="AA46">
        <v>0.71511130551920155</v>
      </c>
      <c r="AB46" t="str">
        <f>HYPERLINK("Melting_Curves/meltCurve_A6NGU5_GGT3P.pdf", "Melting_Curves/meltCurve_A6NGU5_GGT3P.pdf")</f>
        <v>Melting_Curves/meltCurve_A6NGU5_GGT3P.pdf</v>
      </c>
    </row>
    <row r="47" spans="1:28" x14ac:dyDescent="0.25">
      <c r="A47" t="s">
        <v>51</v>
      </c>
      <c r="B47">
        <v>0.99472303558308395</v>
      </c>
      <c r="C47">
        <v>0.884557651972674</v>
      </c>
      <c r="D47">
        <v>0.80818235436914798</v>
      </c>
      <c r="E47">
        <v>0.745435564740205</v>
      </c>
      <c r="F47">
        <v>0.99342602637585697</v>
      </c>
      <c r="G47">
        <v>0.55646832205277297</v>
      </c>
      <c r="H47">
        <v>0.413402225339424</v>
      </c>
      <c r="I47">
        <v>0.11455558965700099</v>
      </c>
      <c r="J47">
        <v>5.5848122791449101E-2</v>
      </c>
      <c r="K47">
        <v>0.114094159617194</v>
      </c>
      <c r="L47">
        <v>880.13224129213302</v>
      </c>
      <c r="M47">
        <v>15.922192990898999</v>
      </c>
      <c r="N47">
        <v>55.277074970219402</v>
      </c>
      <c r="O47">
        <v>54.427169996566199</v>
      </c>
      <c r="P47">
        <v>-7.3141162543959207E-2</v>
      </c>
      <c r="Q47">
        <v>0</v>
      </c>
      <c r="R47">
        <v>0.89664969891000001</v>
      </c>
      <c r="S47" t="s">
        <v>6615</v>
      </c>
      <c r="T47" t="s">
        <v>13134</v>
      </c>
      <c r="U47" t="s">
        <v>13134</v>
      </c>
      <c r="V47" t="s">
        <v>13134</v>
      </c>
      <c r="W47" t="s">
        <v>13181</v>
      </c>
      <c r="X47">
        <v>8</v>
      </c>
      <c r="Y47" t="s">
        <v>19672</v>
      </c>
      <c r="Z47" t="s">
        <v>26015</v>
      </c>
      <c r="AA47">
        <v>0.62237918899521383</v>
      </c>
      <c r="AB47" t="str">
        <f>HYPERLINK("Melting_Curves/meltCurve_A6NHL2_2_TUBAL3.pdf", "Melting_Curves/meltCurve_A6NHL2_2_TUBAL3.pdf")</f>
        <v>Melting_Curves/meltCurve_A6NHL2_2_TUBAL3.pdf</v>
      </c>
    </row>
    <row r="48" spans="1:28" x14ac:dyDescent="0.25">
      <c r="A48" t="s">
        <v>52</v>
      </c>
      <c r="B48">
        <v>0.99472303558308395</v>
      </c>
      <c r="C48">
        <v>0.75140374904094198</v>
      </c>
      <c r="D48">
        <v>0.59011656874233398</v>
      </c>
      <c r="E48">
        <v>0.45183816977080599</v>
      </c>
      <c r="F48">
        <v>0.28378318261554197</v>
      </c>
      <c r="G48">
        <v>0.22992963751779499</v>
      </c>
      <c r="H48">
        <v>0.189136954079062</v>
      </c>
      <c r="I48">
        <v>0.17194810482509301</v>
      </c>
      <c r="J48">
        <v>0.21044422677222599</v>
      </c>
      <c r="K48">
        <v>0.13279755729090301</v>
      </c>
      <c r="L48">
        <v>546.46651816302403</v>
      </c>
      <c r="M48">
        <v>12.5478554917047</v>
      </c>
      <c r="N48">
        <v>44.895098145595803</v>
      </c>
      <c r="O48">
        <v>42.4888587399264</v>
      </c>
      <c r="P48">
        <v>-6.2279349366067702E-2</v>
      </c>
      <c r="Q48">
        <v>0.156623342345969</v>
      </c>
      <c r="R48">
        <v>0.98325016815004995</v>
      </c>
      <c r="S48" t="s">
        <v>6616</v>
      </c>
      <c r="T48" t="s">
        <v>13134</v>
      </c>
      <c r="U48" t="s">
        <v>13134</v>
      </c>
      <c r="V48" t="s">
        <v>13134</v>
      </c>
      <c r="W48" t="s">
        <v>13182</v>
      </c>
      <c r="X48">
        <v>7</v>
      </c>
      <c r="Y48" t="s">
        <v>19673</v>
      </c>
      <c r="Z48" t="s">
        <v>26016</v>
      </c>
      <c r="AA48">
        <v>0.37163767591076419</v>
      </c>
      <c r="AB48" t="str">
        <f>HYPERLINK("Melting_Curves/meltCurve_A6NHN7_ZMYM3.pdf", "Melting_Curves/meltCurve_A6NHN7_ZMYM3.pdf")</f>
        <v>Melting_Curves/meltCurve_A6NHN7_ZMYM3.pdf</v>
      </c>
    </row>
    <row r="49" spans="1:28" x14ac:dyDescent="0.25">
      <c r="A49" t="s">
        <v>53</v>
      </c>
      <c r="B49">
        <v>0.99472303558308395</v>
      </c>
      <c r="C49">
        <v>0.98544362640639105</v>
      </c>
      <c r="D49">
        <v>0.70042991928038201</v>
      </c>
      <c r="E49">
        <v>0.54785434132990496</v>
      </c>
      <c r="F49">
        <v>0.54843979729127001</v>
      </c>
      <c r="G49">
        <v>0.14246386411040499</v>
      </c>
      <c r="H49">
        <v>6.0574573829336897E-2</v>
      </c>
      <c r="I49">
        <v>3.8000476870009299E-2</v>
      </c>
      <c r="J49">
        <v>3.1642630065048701E-2</v>
      </c>
      <c r="K49">
        <v>2.91156897870028E-2</v>
      </c>
      <c r="L49">
        <v>581.91293080745595</v>
      </c>
      <c r="M49">
        <v>12.127127105665</v>
      </c>
      <c r="N49">
        <v>47.984383346425197</v>
      </c>
      <c r="O49">
        <v>46.735527294574098</v>
      </c>
      <c r="P49">
        <v>-6.4886032102082603E-2</v>
      </c>
      <c r="Q49">
        <v>0</v>
      </c>
      <c r="R49">
        <v>0.95861486082404901</v>
      </c>
      <c r="S49" t="s">
        <v>6617</v>
      </c>
      <c r="T49" t="s">
        <v>13134</v>
      </c>
      <c r="U49" t="s">
        <v>13134</v>
      </c>
      <c r="V49" t="s">
        <v>13134</v>
      </c>
      <c r="W49" t="s">
        <v>13183</v>
      </c>
      <c r="X49">
        <v>1</v>
      </c>
      <c r="Y49" t="s">
        <v>19674</v>
      </c>
      <c r="Z49" t="s">
        <v>26017</v>
      </c>
      <c r="AA49">
        <v>0.39699636838773478</v>
      </c>
      <c r="AB49" t="str">
        <f>HYPERLINK("Melting_Curves/meltCurve_A6NHQ2_FBLL1.pdf", "Melting_Curves/meltCurve_A6NHQ2_FBLL1.pdf")</f>
        <v>Melting_Curves/meltCurve_A6NHQ2_FBLL1.pdf</v>
      </c>
    </row>
    <row r="50" spans="1:28" x14ac:dyDescent="0.25">
      <c r="A50" t="s">
        <v>54</v>
      </c>
      <c r="B50">
        <v>0.99472303558308395</v>
      </c>
      <c r="C50">
        <v>0.97037051437604704</v>
      </c>
      <c r="D50">
        <v>0.81500926570394605</v>
      </c>
      <c r="E50">
        <v>0.36916677282101601</v>
      </c>
      <c r="F50">
        <v>0.14660365087885099</v>
      </c>
      <c r="G50">
        <v>8.7763919517798605E-2</v>
      </c>
      <c r="H50">
        <v>5.2869042549506001E-2</v>
      </c>
      <c r="I50">
        <v>3.9576563395778301E-2</v>
      </c>
      <c r="J50">
        <v>4.6306064847667097E-2</v>
      </c>
      <c r="K50">
        <v>3.7942223450322499E-2</v>
      </c>
      <c r="L50">
        <v>1104.04898325415</v>
      </c>
      <c r="M50">
        <v>24.3082479200175</v>
      </c>
      <c r="N50">
        <v>45.607654350169597</v>
      </c>
      <c r="O50">
        <v>45.114681430954498</v>
      </c>
      <c r="P50">
        <v>-0.128251892448285</v>
      </c>
      <c r="Q50">
        <v>4.7902742899752701E-2</v>
      </c>
      <c r="R50">
        <v>0.99934842655609601</v>
      </c>
      <c r="S50" t="s">
        <v>6618</v>
      </c>
      <c r="T50" t="s">
        <v>13134</v>
      </c>
      <c r="U50" t="s">
        <v>13134</v>
      </c>
      <c r="V50" t="s">
        <v>13134</v>
      </c>
      <c r="W50" t="s">
        <v>13184</v>
      </c>
      <c r="X50">
        <v>52</v>
      </c>
      <c r="Y50" t="s">
        <v>19675</v>
      </c>
      <c r="Z50" t="s">
        <v>26018</v>
      </c>
      <c r="AA50">
        <v>0.32339454148770691</v>
      </c>
      <c r="AB50" t="str">
        <f>HYPERLINK("Melting_Curves/meltCurve_A6NHR9_SMCHD1.pdf", "Melting_Curves/meltCurve_A6NHR9_SMCHD1.pdf")</f>
        <v>Melting_Curves/meltCurve_A6NHR9_SMCHD1.pdf</v>
      </c>
    </row>
    <row r="51" spans="1:28" x14ac:dyDescent="0.25">
      <c r="A51" t="s">
        <v>55</v>
      </c>
      <c r="B51">
        <v>0.99472303558308395</v>
      </c>
      <c r="C51">
        <v>1.02807713253698</v>
      </c>
      <c r="D51">
        <v>0.99848638054115102</v>
      </c>
      <c r="E51">
        <v>0.85129449998185402</v>
      </c>
      <c r="F51">
        <v>0.63962221407337405</v>
      </c>
      <c r="G51">
        <v>0.33514010650154302</v>
      </c>
      <c r="H51">
        <v>0.24423889536969501</v>
      </c>
      <c r="I51">
        <v>0.22908892142018999</v>
      </c>
      <c r="J51">
        <v>0.273751472450392</v>
      </c>
      <c r="K51">
        <v>0.231701917271702</v>
      </c>
      <c r="L51">
        <v>1188.0427821943699</v>
      </c>
      <c r="M51">
        <v>23.709379012577699</v>
      </c>
      <c r="N51">
        <v>51.445925718580902</v>
      </c>
      <c r="O51">
        <v>49.756155298648501</v>
      </c>
      <c r="P51">
        <v>-9.1725015910410407E-2</v>
      </c>
      <c r="Q51">
        <v>0.23004145154616801</v>
      </c>
      <c r="R51">
        <v>0.99448556138444</v>
      </c>
      <c r="S51" t="s">
        <v>6619</v>
      </c>
      <c r="T51" t="s">
        <v>13134</v>
      </c>
      <c r="U51" t="s">
        <v>13134</v>
      </c>
      <c r="V51" t="s">
        <v>13134</v>
      </c>
      <c r="W51" t="s">
        <v>13185</v>
      </c>
      <c r="X51">
        <v>5</v>
      </c>
      <c r="Y51" t="s">
        <v>19676</v>
      </c>
      <c r="Z51" t="s">
        <v>26019</v>
      </c>
      <c r="AA51">
        <v>0.57392617511007227</v>
      </c>
      <c r="AB51" t="str">
        <f>HYPERLINK("Melting_Curves/meltCurve_A6NIH7_UNC119B.pdf", "Melting_Curves/meltCurve_A6NIH7_UNC119B.pdf")</f>
        <v>Melting_Curves/meltCurve_A6NIH7_UNC119B.pdf</v>
      </c>
    </row>
    <row r="52" spans="1:28" x14ac:dyDescent="0.25">
      <c r="A52" t="s">
        <v>56</v>
      </c>
      <c r="B52">
        <v>0.99472303558308395</v>
      </c>
      <c r="C52">
        <v>0.94111082814051705</v>
      </c>
      <c r="D52">
        <v>0.68472469742303399</v>
      </c>
      <c r="E52">
        <v>0.54335788073922298</v>
      </c>
      <c r="F52">
        <v>0.26871950986929799</v>
      </c>
      <c r="G52">
        <v>0.124487026508825</v>
      </c>
      <c r="H52">
        <v>7.5285760551726394E-2</v>
      </c>
      <c r="I52">
        <v>5.8093458258260497E-2</v>
      </c>
      <c r="J52">
        <v>6.4853892922176401E-2</v>
      </c>
      <c r="K52">
        <v>5.7039306478876999E-2</v>
      </c>
      <c r="L52">
        <v>654.27004260468004</v>
      </c>
      <c r="M52">
        <v>14.1444410642313</v>
      </c>
      <c r="N52">
        <v>46.471617456047703</v>
      </c>
      <c r="O52">
        <v>45.361192438670599</v>
      </c>
      <c r="P52">
        <v>-7.5492044946276704E-2</v>
      </c>
      <c r="Q52">
        <v>3.1711763642756803E-2</v>
      </c>
      <c r="R52">
        <v>0.992056708974419</v>
      </c>
      <c r="S52" t="s">
        <v>6620</v>
      </c>
      <c r="T52" t="s">
        <v>13134</v>
      </c>
      <c r="U52" t="s">
        <v>13134</v>
      </c>
      <c r="V52" t="s">
        <v>13134</v>
      </c>
      <c r="W52" t="s">
        <v>13186</v>
      </c>
      <c r="X52">
        <v>15</v>
      </c>
      <c r="Y52" t="s">
        <v>19677</v>
      </c>
      <c r="Z52" t="s">
        <v>26020</v>
      </c>
      <c r="AA52">
        <v>0.35519638961311911</v>
      </c>
      <c r="AB52" t="str">
        <f>HYPERLINK("Melting_Curves/meltCurve_A6NIW2_DOCK11.pdf", "Melting_Curves/meltCurve_A6NIW2_DOCK11.pdf")</f>
        <v>Melting_Curves/meltCurve_A6NIW2_DOCK11.pdf</v>
      </c>
    </row>
    <row r="53" spans="1:28" x14ac:dyDescent="0.25">
      <c r="A53" t="s">
        <v>57</v>
      </c>
      <c r="B53">
        <v>0.99472303558308395</v>
      </c>
      <c r="C53">
        <v>0.89451042624100796</v>
      </c>
      <c r="D53">
        <v>0.87955729077532196</v>
      </c>
      <c r="E53">
        <v>0.78033033491788795</v>
      </c>
      <c r="F53">
        <v>0.55519994391336702</v>
      </c>
      <c r="G53">
        <v>0.25509134218681501</v>
      </c>
      <c r="H53">
        <v>0.17303088269233699</v>
      </c>
      <c r="I53">
        <v>0.127736532959706</v>
      </c>
      <c r="J53">
        <v>0.191872795702413</v>
      </c>
      <c r="K53">
        <v>0.141884655607382</v>
      </c>
      <c r="L53">
        <v>799.90960687201402</v>
      </c>
      <c r="M53">
        <v>16.173635121454701</v>
      </c>
      <c r="N53">
        <v>50.282870586081202</v>
      </c>
      <c r="O53">
        <v>48.720081873865702</v>
      </c>
      <c r="P53">
        <v>-7.3324057952732405E-2</v>
      </c>
      <c r="Q53">
        <v>0.116565841856974</v>
      </c>
      <c r="R53">
        <v>0.98263240567402399</v>
      </c>
      <c r="S53" t="s">
        <v>6621</v>
      </c>
      <c r="T53" t="s">
        <v>13134</v>
      </c>
      <c r="U53" t="s">
        <v>13134</v>
      </c>
      <c r="V53" t="s">
        <v>13134</v>
      </c>
      <c r="W53" t="s">
        <v>13187</v>
      </c>
      <c r="X53">
        <v>3</v>
      </c>
      <c r="Y53" t="s">
        <v>19678</v>
      </c>
      <c r="Z53" t="s">
        <v>26021</v>
      </c>
      <c r="AA53">
        <v>0.50011277731286785</v>
      </c>
      <c r="AB53" t="str">
        <f>HYPERLINK("Melting_Curves/meltCurve_A6NIZ0_NDEL1.pdf", "Melting_Curves/meltCurve_A6NIZ0_NDEL1.pdf")</f>
        <v>Melting_Curves/meltCurve_A6NIZ0_NDEL1.pdf</v>
      </c>
    </row>
    <row r="54" spans="1:28" x14ac:dyDescent="0.25">
      <c r="A54" t="s">
        <v>58</v>
      </c>
      <c r="B54">
        <v>0.99472303558308395</v>
      </c>
      <c r="C54">
        <v>1.07568966684056</v>
      </c>
      <c r="D54">
        <v>0.93561002475955701</v>
      </c>
      <c r="E54">
        <v>0.57138564356634103</v>
      </c>
      <c r="F54">
        <v>0.106974278104963</v>
      </c>
      <c r="G54">
        <v>7.3573771006136102E-2</v>
      </c>
      <c r="H54">
        <v>5.3168836438332798E-2</v>
      </c>
      <c r="I54">
        <v>4.8484724045038403E-2</v>
      </c>
      <c r="J54">
        <v>4.4462596003622498E-2</v>
      </c>
      <c r="K54">
        <v>3.5167015927709197E-2</v>
      </c>
      <c r="L54">
        <v>1695.38250242204</v>
      </c>
      <c r="M54">
        <v>36.211199650138298</v>
      </c>
      <c r="N54">
        <v>46.945777721015602</v>
      </c>
      <c r="O54">
        <v>46.677184697183201</v>
      </c>
      <c r="P54">
        <v>-0.18493090727989001</v>
      </c>
      <c r="Q54">
        <v>4.6479812149318303E-2</v>
      </c>
      <c r="R54">
        <v>0.99581985919369298</v>
      </c>
      <c r="S54" t="s">
        <v>6622</v>
      </c>
      <c r="T54" t="s">
        <v>13134</v>
      </c>
      <c r="U54" t="s">
        <v>13134</v>
      </c>
      <c r="V54" t="s">
        <v>13134</v>
      </c>
      <c r="W54" t="s">
        <v>13188</v>
      </c>
      <c r="X54">
        <v>4</v>
      </c>
      <c r="Y54" t="s">
        <v>19679</v>
      </c>
      <c r="Z54" t="s">
        <v>26022</v>
      </c>
      <c r="AA54">
        <v>0.36234992802269639</v>
      </c>
      <c r="AB54" t="str">
        <f>HYPERLINK("Melting_Curves/meltCurve_A6NJ78_METTL15.pdf", "Melting_Curves/meltCurve_A6NJ78_METTL15.pdf")</f>
        <v>Melting_Curves/meltCurve_A6NJ78_METTL15.pdf</v>
      </c>
    </row>
    <row r="55" spans="1:28" x14ac:dyDescent="0.25">
      <c r="A55" t="s">
        <v>59</v>
      </c>
      <c r="B55">
        <v>0.99472303558308395</v>
      </c>
      <c r="C55">
        <v>0.91146892874637198</v>
      </c>
      <c r="D55">
        <v>0.87008188822241495</v>
      </c>
      <c r="E55">
        <v>0.73321352642359205</v>
      </c>
      <c r="F55">
        <v>0.494134630214634</v>
      </c>
      <c r="G55">
        <v>0.34221584319472298</v>
      </c>
      <c r="H55">
        <v>0.182890481525528</v>
      </c>
      <c r="I55">
        <v>0.16021057138032899</v>
      </c>
      <c r="J55">
        <v>0.19861245103951999</v>
      </c>
      <c r="K55">
        <v>0.19242604420543799</v>
      </c>
      <c r="L55">
        <v>679.75849408743795</v>
      </c>
      <c r="M55">
        <v>13.9229230589381</v>
      </c>
      <c r="N55">
        <v>50.014096020623398</v>
      </c>
      <c r="O55">
        <v>47.8488520015785</v>
      </c>
      <c r="P55">
        <v>-6.24881244089684E-2</v>
      </c>
      <c r="Q55">
        <v>0.14110539416503601</v>
      </c>
      <c r="R55">
        <v>0.99077285284924599</v>
      </c>
      <c r="S55" t="s">
        <v>6623</v>
      </c>
      <c r="T55" t="s">
        <v>13134</v>
      </c>
      <c r="U55" t="s">
        <v>13134</v>
      </c>
      <c r="V55" t="s">
        <v>13134</v>
      </c>
      <c r="W55" t="s">
        <v>13189</v>
      </c>
      <c r="X55">
        <v>2</v>
      </c>
      <c r="Y55" t="s">
        <v>19680</v>
      </c>
      <c r="Z55" t="s">
        <v>26023</v>
      </c>
      <c r="AA55">
        <v>0.50042846511530159</v>
      </c>
      <c r="AB55" t="str">
        <f>HYPERLINK("Melting_Curves/meltCurve_A6NJX6_CHCHD1.pdf", "Melting_Curves/meltCurve_A6NJX6_CHCHD1.pdf")</f>
        <v>Melting_Curves/meltCurve_A6NJX6_CHCHD1.pdf</v>
      </c>
    </row>
    <row r="56" spans="1:28" x14ac:dyDescent="0.25">
      <c r="A56" t="s">
        <v>60</v>
      </c>
      <c r="B56">
        <v>0.99472303558308395</v>
      </c>
      <c r="C56">
        <v>0.84847756882038605</v>
      </c>
      <c r="D56">
        <v>0.77595164628563795</v>
      </c>
      <c r="E56">
        <v>0.53430544768106303</v>
      </c>
      <c r="F56">
        <v>0.23245614847618401</v>
      </c>
      <c r="G56">
        <v>9.0216506225692203E-2</v>
      </c>
      <c r="H56">
        <v>5.17887732442808E-2</v>
      </c>
      <c r="I56">
        <v>3.96411928645223E-2</v>
      </c>
      <c r="J56">
        <v>6.9565892224262696E-2</v>
      </c>
      <c r="K56">
        <v>3.84603970079508E-2</v>
      </c>
      <c r="L56">
        <v>702.30525047649496</v>
      </c>
      <c r="M56">
        <v>15.151683534991101</v>
      </c>
      <c r="N56">
        <v>46.466060638631497</v>
      </c>
      <c r="O56">
        <v>45.566718646325</v>
      </c>
      <c r="P56">
        <v>-8.1614721112628005E-2</v>
      </c>
      <c r="Q56">
        <v>1.8312795292823699E-2</v>
      </c>
      <c r="R56">
        <v>0.99155832409488798</v>
      </c>
      <c r="S56" t="s">
        <v>6624</v>
      </c>
      <c r="T56" t="s">
        <v>13134</v>
      </c>
      <c r="U56" t="s">
        <v>13134</v>
      </c>
      <c r="V56" t="s">
        <v>13134</v>
      </c>
      <c r="W56" t="s">
        <v>13190</v>
      </c>
      <c r="X56">
        <v>1</v>
      </c>
      <c r="Y56" t="s">
        <v>19681</v>
      </c>
      <c r="Z56" t="s">
        <v>26024</v>
      </c>
      <c r="AA56">
        <v>0.34634537907751167</v>
      </c>
      <c r="AB56" t="str">
        <f>HYPERLINK("Melting_Curves/meltCurve_A6NK28_MAP2K5.pdf", "Melting_Curves/meltCurve_A6NK28_MAP2K5.pdf")</f>
        <v>Melting_Curves/meltCurve_A6NK28_MAP2K5.pdf</v>
      </c>
    </row>
    <row r="57" spans="1:28" x14ac:dyDescent="0.25">
      <c r="A57" t="s">
        <v>61</v>
      </c>
      <c r="B57">
        <v>0.99472303558308395</v>
      </c>
      <c r="C57">
        <v>1.10010371015084</v>
      </c>
      <c r="D57">
        <v>0.96888924056213399</v>
      </c>
      <c r="E57">
        <v>0.93764364317156201</v>
      </c>
      <c r="F57">
        <v>0.71345266321441003</v>
      </c>
      <c r="G57">
        <v>0.35914481842159901</v>
      </c>
      <c r="H57">
        <v>0.22223020423942599</v>
      </c>
      <c r="I57">
        <v>0.15933095888475099</v>
      </c>
      <c r="J57">
        <v>0.17162243026683899</v>
      </c>
      <c r="K57">
        <v>0.15509159000921999</v>
      </c>
      <c r="L57">
        <v>1303.18090209299</v>
      </c>
      <c r="M57">
        <v>25.325814859353699</v>
      </c>
      <c r="N57">
        <v>52.226600298138401</v>
      </c>
      <c r="O57">
        <v>51.139013899585997</v>
      </c>
      <c r="P57">
        <v>-0.104520889490527</v>
      </c>
      <c r="Q57">
        <v>0.155797808586877</v>
      </c>
      <c r="R57">
        <v>0.99217497379850295</v>
      </c>
      <c r="S57" t="s">
        <v>6625</v>
      </c>
      <c r="T57" t="s">
        <v>13134</v>
      </c>
      <c r="U57" t="s">
        <v>13134</v>
      </c>
      <c r="V57" t="s">
        <v>13134</v>
      </c>
      <c r="W57" t="s">
        <v>13191</v>
      </c>
      <c r="X57">
        <v>3</v>
      </c>
      <c r="Y57" t="s">
        <v>19682</v>
      </c>
      <c r="Z57" t="s">
        <v>26025</v>
      </c>
      <c r="AA57">
        <v>0.5699000235734929</v>
      </c>
      <c r="AB57" t="str">
        <f>HYPERLINK("Melting_Curves/meltCurve_A6NK88_CDKN1C.pdf", "Melting_Curves/meltCurve_A6NK88_CDKN1C.pdf")</f>
        <v>Melting_Curves/meltCurve_A6NK88_CDKN1C.pdf</v>
      </c>
    </row>
    <row r="58" spans="1:28" x14ac:dyDescent="0.25">
      <c r="A58" t="s">
        <v>62</v>
      </c>
      <c r="B58">
        <v>0.99472303558308395</v>
      </c>
      <c r="C58">
        <v>1.0356337076803199</v>
      </c>
      <c r="D58">
        <v>0.82861614336568801</v>
      </c>
      <c r="E58">
        <v>0.54295009369992497</v>
      </c>
      <c r="F58">
        <v>0.25209475138614901</v>
      </c>
      <c r="G58">
        <v>0.14778277015065</v>
      </c>
      <c r="H58">
        <v>0.110790191571338</v>
      </c>
      <c r="I58">
        <v>0.101305292710468</v>
      </c>
      <c r="J58">
        <v>0.13314672212743101</v>
      </c>
      <c r="K58">
        <v>0.134130017130169</v>
      </c>
      <c r="L58">
        <v>1013.48305776937</v>
      </c>
      <c r="M58">
        <v>21.8736273399848</v>
      </c>
      <c r="N58">
        <v>46.8880771732452</v>
      </c>
      <c r="O58">
        <v>45.951516615335798</v>
      </c>
      <c r="P58">
        <v>-0.10544389358013199</v>
      </c>
      <c r="Q58">
        <v>0.113965717423445</v>
      </c>
      <c r="R58">
        <v>0.99533294366085301</v>
      </c>
      <c r="S58" t="s">
        <v>6626</v>
      </c>
      <c r="T58" t="s">
        <v>13134</v>
      </c>
      <c r="U58" t="s">
        <v>13134</v>
      </c>
      <c r="V58" t="s">
        <v>13134</v>
      </c>
      <c r="W58" t="s">
        <v>13192</v>
      </c>
      <c r="X58">
        <v>7</v>
      </c>
      <c r="Y58" t="s">
        <v>19683</v>
      </c>
      <c r="Z58" t="s">
        <v>26026</v>
      </c>
      <c r="AA58">
        <v>0.39929881190735977</v>
      </c>
      <c r="AB58" t="str">
        <f>HYPERLINK("Melting_Curves/meltCurve_A6NKD9_CCDC85C.pdf", "Melting_Curves/meltCurve_A6NKD9_CCDC85C.pdf")</f>
        <v>Melting_Curves/meltCurve_A6NKD9_CCDC85C.pdf</v>
      </c>
    </row>
    <row r="59" spans="1:28" x14ac:dyDescent="0.25">
      <c r="A59" t="s">
        <v>63</v>
      </c>
      <c r="B59">
        <v>0.99472303558308395</v>
      </c>
      <c r="C59">
        <v>0.81875759137279902</v>
      </c>
      <c r="D59">
        <v>0.70252910778590805</v>
      </c>
      <c r="E59">
        <v>0.57318983656635902</v>
      </c>
      <c r="F59">
        <v>0.52064960808373495</v>
      </c>
      <c r="G59">
        <v>0.21902151360254199</v>
      </c>
      <c r="H59">
        <v>0.10594855259455099</v>
      </c>
      <c r="I59">
        <v>6.4004729309230401E-2</v>
      </c>
      <c r="J59">
        <v>6.4732082678833805E-2</v>
      </c>
      <c r="K59">
        <v>6.2764243884433496E-2</v>
      </c>
      <c r="L59">
        <v>471.04662216656101</v>
      </c>
      <c r="M59">
        <v>9.8358917958810306</v>
      </c>
      <c r="N59">
        <v>47.890598593711097</v>
      </c>
      <c r="O59">
        <v>46.0369667898429</v>
      </c>
      <c r="P59">
        <v>-5.3440684301644198E-2</v>
      </c>
      <c r="Q59">
        <v>0</v>
      </c>
      <c r="R59">
        <v>0.97115140751339002</v>
      </c>
      <c r="S59" t="s">
        <v>6627</v>
      </c>
      <c r="T59" t="s">
        <v>13134</v>
      </c>
      <c r="U59" t="s">
        <v>13134</v>
      </c>
      <c r="V59" t="s">
        <v>13134</v>
      </c>
      <c r="W59" t="s">
        <v>13193</v>
      </c>
      <c r="X59">
        <v>3</v>
      </c>
      <c r="Y59" t="s">
        <v>19684</v>
      </c>
      <c r="Z59" t="s">
        <v>26027</v>
      </c>
      <c r="AA59">
        <v>0.40437171218300427</v>
      </c>
      <c r="AB59" t="str">
        <f>HYPERLINK("Melting_Curves/meltCurve_A6NKF9_GPR89C.pdf", "Melting_Curves/meltCurve_A6NKF9_GPR89C.pdf")</f>
        <v>Melting_Curves/meltCurve_A6NKF9_GPR89C.pdf</v>
      </c>
    </row>
    <row r="60" spans="1:28" x14ac:dyDescent="0.25">
      <c r="A60" t="s">
        <v>64</v>
      </c>
      <c r="B60">
        <v>0.99472303558308395</v>
      </c>
      <c r="C60">
        <v>0.99595034709006203</v>
      </c>
      <c r="D60">
        <v>0.94915882312477295</v>
      </c>
      <c r="E60">
        <v>0.84785956021634801</v>
      </c>
      <c r="F60">
        <v>0.74148964012941398</v>
      </c>
      <c r="G60">
        <v>0.49628586699723398</v>
      </c>
      <c r="H60">
        <v>0.35046755344409303</v>
      </c>
      <c r="I60">
        <v>0.17160810553852701</v>
      </c>
      <c r="J60">
        <v>0.14930272025754199</v>
      </c>
      <c r="K60">
        <v>0.11486845775726</v>
      </c>
      <c r="L60">
        <v>666.61646641340201</v>
      </c>
      <c r="M60">
        <v>12.405902411559399</v>
      </c>
      <c r="N60">
        <v>53.971430795015401</v>
      </c>
      <c r="O60">
        <v>52.394909659804398</v>
      </c>
      <c r="P60">
        <v>-5.7633227435649401E-2</v>
      </c>
      <c r="Q60">
        <v>2.6576889750508599E-2</v>
      </c>
      <c r="R60">
        <v>0.99696479011376105</v>
      </c>
      <c r="S60" t="s">
        <v>6628</v>
      </c>
      <c r="T60" t="s">
        <v>13134</v>
      </c>
      <c r="U60" t="s">
        <v>13134</v>
      </c>
      <c r="V60" t="s">
        <v>13134</v>
      </c>
      <c r="W60" t="s">
        <v>13194</v>
      </c>
      <c r="X60">
        <v>5</v>
      </c>
      <c r="Y60" t="s">
        <v>19685</v>
      </c>
      <c r="Z60" t="s">
        <v>26028</v>
      </c>
      <c r="AA60">
        <v>0.58766478322170002</v>
      </c>
      <c r="AB60" t="str">
        <f>HYPERLINK("Melting_Curves/meltCurve_A6NKZ2_RENBP.pdf", "Melting_Curves/meltCurve_A6NKZ2_RENBP.pdf")</f>
        <v>Melting_Curves/meltCurve_A6NKZ2_RENBP.pdf</v>
      </c>
    </row>
    <row r="61" spans="1:28" x14ac:dyDescent="0.25">
      <c r="A61" t="s">
        <v>65</v>
      </c>
      <c r="B61">
        <v>0.99472303558308395</v>
      </c>
      <c r="C61">
        <v>0.91508597823192805</v>
      </c>
      <c r="D61">
        <v>0.82896799704992796</v>
      </c>
      <c r="E61">
        <v>0.566452877333673</v>
      </c>
      <c r="F61">
        <v>0.53036213377477404</v>
      </c>
      <c r="G61">
        <v>0.26205313249333301</v>
      </c>
      <c r="H61">
        <v>0.29140649436487198</v>
      </c>
      <c r="I61">
        <v>5.6855899640564901E-2</v>
      </c>
      <c r="J61">
        <v>8.4098175498255101E-2</v>
      </c>
      <c r="K61">
        <v>0.10466211567152001</v>
      </c>
      <c r="L61">
        <v>480.83059180775899</v>
      </c>
      <c r="M61">
        <v>9.7392736599210803</v>
      </c>
      <c r="N61">
        <v>49.384718309026901</v>
      </c>
      <c r="O61">
        <v>47.423738220631201</v>
      </c>
      <c r="P61">
        <v>-5.1296284394162998E-2</v>
      </c>
      <c r="Q61">
        <v>1.4231756971418001E-3</v>
      </c>
      <c r="R61">
        <v>0.97442382672766603</v>
      </c>
      <c r="S61" t="s">
        <v>6629</v>
      </c>
      <c r="T61" t="s">
        <v>13134</v>
      </c>
      <c r="U61" t="s">
        <v>13134</v>
      </c>
      <c r="V61" t="s">
        <v>13134</v>
      </c>
      <c r="W61" t="s">
        <v>13195</v>
      </c>
      <c r="X61">
        <v>1</v>
      </c>
      <c r="Y61" t="s">
        <v>19686</v>
      </c>
      <c r="Z61" t="s">
        <v>26029</v>
      </c>
      <c r="AA61">
        <v>0.45010187240446531</v>
      </c>
      <c r="AB61" t="str">
        <f>HYPERLINK("Melting_Curves/meltCurve_A6NLH6_CNIH4.pdf", "Melting_Curves/meltCurve_A6NLH6_CNIH4.pdf")</f>
        <v>Melting_Curves/meltCurve_A6NLH6_CNIH4.pdf</v>
      </c>
    </row>
    <row r="62" spans="1:28" x14ac:dyDescent="0.25">
      <c r="A62" t="s">
        <v>66</v>
      </c>
      <c r="B62">
        <v>0.99472303558308395</v>
      </c>
      <c r="C62">
        <v>0.96151755421274998</v>
      </c>
      <c r="D62">
        <v>0.91690682442361104</v>
      </c>
      <c r="E62">
        <v>0.78773073310420305</v>
      </c>
      <c r="F62">
        <v>0.70374442419455596</v>
      </c>
      <c r="G62">
        <v>0.471470565662785</v>
      </c>
      <c r="H62">
        <v>0.26421940917178999</v>
      </c>
      <c r="I62">
        <v>0.23472183348996201</v>
      </c>
      <c r="J62">
        <v>0.21261336862984001</v>
      </c>
      <c r="K62">
        <v>9.1784606023402202E-2</v>
      </c>
      <c r="L62">
        <v>570.832441861284</v>
      </c>
      <c r="M62">
        <v>10.7980131987389</v>
      </c>
      <c r="N62">
        <v>53.2122629654828</v>
      </c>
      <c r="O62">
        <v>51.148292432572497</v>
      </c>
      <c r="P62">
        <v>-5.0998769412174502E-2</v>
      </c>
      <c r="Q62">
        <v>3.4060748686959803E-2</v>
      </c>
      <c r="R62">
        <v>0.98979590543555795</v>
      </c>
      <c r="S62" t="s">
        <v>6630</v>
      </c>
      <c r="T62" t="s">
        <v>13134</v>
      </c>
      <c r="U62" t="s">
        <v>13134</v>
      </c>
      <c r="V62" t="s">
        <v>13134</v>
      </c>
      <c r="W62" t="s">
        <v>13196</v>
      </c>
      <c r="X62">
        <v>23</v>
      </c>
      <c r="Y62" t="s">
        <v>19687</v>
      </c>
      <c r="Z62" t="s">
        <v>26030</v>
      </c>
      <c r="AA62">
        <v>0.56662788460526103</v>
      </c>
      <c r="AB62" t="str">
        <f>HYPERLINK("Melting_Curves/meltCurve_A6NMH6_SEPT8.pdf", "Melting_Curves/meltCurve_A6NMH6_SEPT8.pdf")</f>
        <v>Melting_Curves/meltCurve_A6NMH6_SEPT8.pdf</v>
      </c>
    </row>
    <row r="63" spans="1:28" x14ac:dyDescent="0.25">
      <c r="A63" t="s">
        <v>67</v>
      </c>
      <c r="B63">
        <v>0.99472303558308395</v>
      </c>
      <c r="C63">
        <v>0.95429804232384297</v>
      </c>
      <c r="D63">
        <v>0.74458398196138498</v>
      </c>
      <c r="E63">
        <v>0.48328055596200697</v>
      </c>
      <c r="F63">
        <v>0.168215714118676</v>
      </c>
      <c r="G63">
        <v>5.7889432062653297E-2</v>
      </c>
      <c r="H63">
        <v>3.8655920075933603E-2</v>
      </c>
      <c r="I63">
        <v>2.8990840501548099E-2</v>
      </c>
      <c r="J63">
        <v>3.42168580510257E-2</v>
      </c>
      <c r="K63">
        <v>2.5844222912472702E-2</v>
      </c>
      <c r="L63">
        <v>835.19065729423505</v>
      </c>
      <c r="M63">
        <v>18.178643055641299</v>
      </c>
      <c r="N63">
        <v>46.020364592604501</v>
      </c>
      <c r="O63">
        <v>45.398365473049203</v>
      </c>
      <c r="P63">
        <v>-9.8614229946157497E-2</v>
      </c>
      <c r="Q63">
        <v>1.49513022419665E-2</v>
      </c>
      <c r="R63">
        <v>0.99723458106502805</v>
      </c>
      <c r="S63" t="s">
        <v>6631</v>
      </c>
      <c r="T63" t="s">
        <v>13134</v>
      </c>
      <c r="U63" t="s">
        <v>13134</v>
      </c>
      <c r="V63" t="s">
        <v>13134</v>
      </c>
      <c r="W63" t="s">
        <v>13197</v>
      </c>
      <c r="X63">
        <v>24</v>
      </c>
      <c r="Y63" t="s">
        <v>19688</v>
      </c>
      <c r="Z63" t="s">
        <v>26031</v>
      </c>
      <c r="AA63">
        <v>0.32422870696524658</v>
      </c>
      <c r="AB63" t="str">
        <f>HYPERLINK("Melting_Curves/meltCurve_A6NMQ1_POLA1.pdf", "Melting_Curves/meltCurve_A6NMQ1_POLA1.pdf")</f>
        <v>Melting_Curves/meltCurve_A6NMQ1_POLA1.pdf</v>
      </c>
    </row>
    <row r="64" spans="1:28" x14ac:dyDescent="0.25">
      <c r="A64" t="s">
        <v>68</v>
      </c>
      <c r="B64">
        <v>0.99472303558308395</v>
      </c>
      <c r="C64">
        <v>0.888639182043233</v>
      </c>
      <c r="D64">
        <v>0.64531106581018105</v>
      </c>
      <c r="E64">
        <v>0.34209828720883301</v>
      </c>
      <c r="F64">
        <v>0.151926710206501</v>
      </c>
      <c r="G64">
        <v>9.863586570499E-2</v>
      </c>
      <c r="H64">
        <v>6.2724662518260699E-2</v>
      </c>
      <c r="I64">
        <v>3.5194729840065699E-2</v>
      </c>
      <c r="J64">
        <v>7.5593885303531894E-2</v>
      </c>
      <c r="K64">
        <v>5.4322746393613099E-2</v>
      </c>
      <c r="L64">
        <v>794.187819030426</v>
      </c>
      <c r="M64">
        <v>17.9067016873706</v>
      </c>
      <c r="N64">
        <v>44.622625855572302</v>
      </c>
      <c r="O64">
        <v>43.809394911968802</v>
      </c>
      <c r="P64">
        <v>-9.6921699445292997E-2</v>
      </c>
      <c r="Q64">
        <v>5.1557958374137E-2</v>
      </c>
      <c r="R64">
        <v>0.99862073324863099</v>
      </c>
      <c r="S64" t="s">
        <v>6632</v>
      </c>
      <c r="T64" t="s">
        <v>13134</v>
      </c>
      <c r="U64" t="s">
        <v>13134</v>
      </c>
      <c r="V64" t="s">
        <v>13134</v>
      </c>
      <c r="W64" t="s">
        <v>13198</v>
      </c>
      <c r="X64">
        <v>4</v>
      </c>
      <c r="Y64" t="s">
        <v>19689</v>
      </c>
      <c r="Z64" t="s">
        <v>26032</v>
      </c>
      <c r="AA64">
        <v>0.29993852809678528</v>
      </c>
      <c r="AB64" t="str">
        <f>HYPERLINK("Melting_Curves/meltCurve_A6NN40_SHROOM1.pdf", "Melting_Curves/meltCurve_A6NN40_SHROOM1.pdf")</f>
        <v>Melting_Curves/meltCurve_A6NN40_SHROOM1.pdf</v>
      </c>
    </row>
    <row r="65" spans="1:28" x14ac:dyDescent="0.25">
      <c r="A65" t="s">
        <v>69</v>
      </c>
      <c r="B65">
        <v>0.99472303558308395</v>
      </c>
      <c r="C65">
        <v>0.91305231434332501</v>
      </c>
      <c r="D65">
        <v>0.93020311268918199</v>
      </c>
      <c r="E65">
        <v>0.85011019720171799</v>
      </c>
      <c r="F65">
        <v>0.76142079229555304</v>
      </c>
      <c r="G65">
        <v>0.59598267143183503</v>
      </c>
      <c r="H65">
        <v>0.232538086702272</v>
      </c>
      <c r="I65">
        <v>6.9912976076686006E-2</v>
      </c>
      <c r="J65">
        <v>7.5436328522708998E-2</v>
      </c>
      <c r="K65">
        <v>6.4068936289588402E-2</v>
      </c>
      <c r="L65">
        <v>865.35544852022997</v>
      </c>
      <c r="M65">
        <v>16.050518281799199</v>
      </c>
      <c r="N65">
        <v>53.914486495616302</v>
      </c>
      <c r="O65">
        <v>53.098392186548999</v>
      </c>
      <c r="P65">
        <v>-7.5575537224383205E-2</v>
      </c>
      <c r="Q65">
        <v>0</v>
      </c>
      <c r="R65">
        <v>0.97898050557205896</v>
      </c>
      <c r="S65" t="s">
        <v>6633</v>
      </c>
      <c r="T65" t="s">
        <v>13134</v>
      </c>
      <c r="U65" t="s">
        <v>13134</v>
      </c>
      <c r="V65" t="s">
        <v>13134</v>
      </c>
      <c r="W65" t="s">
        <v>13199</v>
      </c>
      <c r="X65">
        <v>9</v>
      </c>
      <c r="Y65" t="s">
        <v>19690</v>
      </c>
      <c r="Z65" t="s">
        <v>26033</v>
      </c>
      <c r="AA65">
        <v>0.57929251652543223</v>
      </c>
      <c r="AB65" t="str">
        <f>HYPERLINK("Melting_Curves/meltCurve_A6PVN5_PPP2R4.pdf", "Melting_Curves/meltCurve_A6PVN5_PPP2R4.pdf")</f>
        <v>Melting_Curves/meltCurve_A6PVN5_PPP2R4.pdf</v>
      </c>
    </row>
    <row r="66" spans="1:28" x14ac:dyDescent="0.25">
      <c r="A66" t="s">
        <v>70</v>
      </c>
      <c r="B66">
        <v>0.99472303558308395</v>
      </c>
      <c r="C66">
        <v>0.88590255879383795</v>
      </c>
      <c r="D66">
        <v>0.61414296005892</v>
      </c>
      <c r="E66">
        <v>0.38690853591716601</v>
      </c>
      <c r="F66">
        <v>0.65062918606629405</v>
      </c>
      <c r="G66">
        <v>0.287206625327739</v>
      </c>
      <c r="H66">
        <v>0.27575332560582599</v>
      </c>
      <c r="I66">
        <v>0.103157911963269</v>
      </c>
      <c r="J66">
        <v>0.179186469921469</v>
      </c>
      <c r="K66">
        <v>0.13389120676567701</v>
      </c>
      <c r="L66">
        <v>368.61409601159897</v>
      </c>
      <c r="M66">
        <v>7.7592743984415398</v>
      </c>
      <c r="N66">
        <v>48.073977118134202</v>
      </c>
      <c r="O66">
        <v>44.660264943990398</v>
      </c>
      <c r="P66">
        <v>-4.1586086691498998E-2</v>
      </c>
      <c r="Q66">
        <v>4.37792718216218E-2</v>
      </c>
      <c r="R66">
        <v>0.877476106980007</v>
      </c>
      <c r="S66" t="s">
        <v>6634</v>
      </c>
      <c r="T66" t="s">
        <v>13134</v>
      </c>
      <c r="U66" t="s">
        <v>13134</v>
      </c>
      <c r="V66" t="s">
        <v>13134</v>
      </c>
      <c r="W66" t="s">
        <v>13200</v>
      </c>
      <c r="X66">
        <v>1</v>
      </c>
      <c r="Y66" t="s">
        <v>19691</v>
      </c>
      <c r="Z66" t="s">
        <v>26034</v>
      </c>
      <c r="AA66">
        <v>0.43261463581633608</v>
      </c>
      <c r="AB66" t="str">
        <f>HYPERLINK("Melting_Curves/meltCurve_A6PW58_PIP5K1A.pdf", "Melting_Curves/meltCurve_A6PW58_PIP5K1A.pdf")</f>
        <v>Melting_Curves/meltCurve_A6PW58_PIP5K1A.pdf</v>
      </c>
    </row>
    <row r="67" spans="1:28" x14ac:dyDescent="0.25">
      <c r="A67" t="s">
        <v>71</v>
      </c>
      <c r="B67">
        <v>0.99472303558308395</v>
      </c>
      <c r="C67">
        <v>0.87936579100652401</v>
      </c>
      <c r="D67">
        <v>0.73165965682678102</v>
      </c>
      <c r="E67">
        <v>0.59234058817572999</v>
      </c>
      <c r="F67">
        <v>0.66481740029542402</v>
      </c>
      <c r="G67">
        <v>0.21351486528320901</v>
      </c>
      <c r="H67">
        <v>4.2362306296107301E-2</v>
      </c>
      <c r="I67">
        <v>8.7216855559079196E-2</v>
      </c>
      <c r="J67">
        <v>8.7965908063980094E-2</v>
      </c>
      <c r="K67">
        <v>8.28220441515609E-2</v>
      </c>
      <c r="L67">
        <v>516.31472216075099</v>
      </c>
      <c r="M67">
        <v>10.5417777308853</v>
      </c>
      <c r="N67">
        <v>48.977941248232597</v>
      </c>
      <c r="O67">
        <v>47.313986234227102</v>
      </c>
      <c r="P67">
        <v>-5.5723305673864201E-2</v>
      </c>
      <c r="Q67">
        <v>0</v>
      </c>
      <c r="R67">
        <v>0.93090678608341604</v>
      </c>
      <c r="S67" t="s">
        <v>6635</v>
      </c>
      <c r="T67" t="s">
        <v>13134</v>
      </c>
      <c r="U67" t="s">
        <v>13134</v>
      </c>
      <c r="V67" t="s">
        <v>13134</v>
      </c>
      <c r="W67" t="s">
        <v>13201</v>
      </c>
      <c r="X67">
        <v>2</v>
      </c>
      <c r="Y67" t="s">
        <v>19692</v>
      </c>
      <c r="Z67" t="s">
        <v>26035</v>
      </c>
      <c r="AA67">
        <v>0.43426979263889998</v>
      </c>
      <c r="AB67" t="str">
        <f>HYPERLINK("Melting_Curves/meltCurve_A6ZJ12_TRIM39R.pdf", "Melting_Curves/meltCurve_A6ZJ12_TRIM39R.pdf")</f>
        <v>Melting_Curves/meltCurve_A6ZJ12_TRIM39R.pdf</v>
      </c>
    </row>
    <row r="68" spans="1:28" x14ac:dyDescent="0.25">
      <c r="A68" t="s">
        <v>72</v>
      </c>
      <c r="B68">
        <v>0.99472303558308395</v>
      </c>
      <c r="C68">
        <v>0.93947223334465602</v>
      </c>
      <c r="D68">
        <v>0.77537750465825395</v>
      </c>
      <c r="E68">
        <v>0.52496985574131705</v>
      </c>
      <c r="F68">
        <v>0.35109392152862801</v>
      </c>
      <c r="G68">
        <v>0.190634853283973</v>
      </c>
      <c r="H68">
        <v>0.147364575404312</v>
      </c>
      <c r="I68">
        <v>9.3394524489368302E-2</v>
      </c>
      <c r="J68">
        <v>0.109325458722779</v>
      </c>
      <c r="K68">
        <v>0.184270433689669</v>
      </c>
      <c r="L68">
        <v>708.98714680953901</v>
      </c>
      <c r="M68">
        <v>15.327034277720999</v>
      </c>
      <c r="N68">
        <v>47.052198787213797</v>
      </c>
      <c r="O68">
        <v>45.491317052421799</v>
      </c>
      <c r="P68">
        <v>-7.46298409435317E-2</v>
      </c>
      <c r="Q68">
        <v>0.114063726500319</v>
      </c>
      <c r="R68">
        <v>0.99299683236325598</v>
      </c>
      <c r="S68" t="s">
        <v>6636</v>
      </c>
      <c r="T68" t="s">
        <v>13134</v>
      </c>
      <c r="U68" t="s">
        <v>13134</v>
      </c>
      <c r="V68" t="s">
        <v>13134</v>
      </c>
      <c r="W68" t="s">
        <v>13202</v>
      </c>
      <c r="X68">
        <v>2</v>
      </c>
      <c r="Y68" t="s">
        <v>19693</v>
      </c>
      <c r="Z68" t="s">
        <v>26036</v>
      </c>
      <c r="AA68">
        <v>0.40693363312961511</v>
      </c>
      <c r="AB68" t="str">
        <f>HYPERLINK("Melting_Curves/meltCurve_A6ZKI3_FAM127A.pdf", "Melting_Curves/meltCurve_A6ZKI3_FAM127A.pdf")</f>
        <v>Melting_Curves/meltCurve_A6ZKI3_FAM127A.pdf</v>
      </c>
    </row>
    <row r="69" spans="1:28" x14ac:dyDescent="0.25">
      <c r="A69" t="s">
        <v>73</v>
      </c>
      <c r="B69">
        <v>0.99472303558308395</v>
      </c>
      <c r="C69">
        <v>0.93522557468927703</v>
      </c>
      <c r="D69">
        <v>1.0755780158673101</v>
      </c>
      <c r="E69">
        <v>0.84647662820988401</v>
      </c>
      <c r="F69">
        <v>0.54949080810152795</v>
      </c>
      <c r="G69">
        <v>0.350366230514146</v>
      </c>
      <c r="H69">
        <v>6.1194837239847998E-2</v>
      </c>
      <c r="I69">
        <v>4.3601185473438102E-2</v>
      </c>
      <c r="J69">
        <v>4.1713344592222201E-2</v>
      </c>
      <c r="K69">
        <v>3.8928664471086102E-2</v>
      </c>
      <c r="L69">
        <v>975.75765864359403</v>
      </c>
      <c r="M69">
        <v>19.116881082445101</v>
      </c>
      <c r="N69">
        <v>51.108252497545401</v>
      </c>
      <c r="O69">
        <v>50.492994060633301</v>
      </c>
      <c r="P69">
        <v>-9.3490825784634093E-2</v>
      </c>
      <c r="Q69">
        <v>1.22974530715742E-2</v>
      </c>
      <c r="R69">
        <v>0.986118171849517</v>
      </c>
      <c r="S69" t="s">
        <v>6637</v>
      </c>
      <c r="T69" t="s">
        <v>13134</v>
      </c>
      <c r="U69" t="s">
        <v>13134</v>
      </c>
      <c r="V69" t="s">
        <v>13134</v>
      </c>
      <c r="W69" t="s">
        <v>13203</v>
      </c>
      <c r="X69">
        <v>2</v>
      </c>
      <c r="Y69" t="s">
        <v>19694</v>
      </c>
      <c r="Z69" t="s">
        <v>26037</v>
      </c>
      <c r="AA69">
        <v>0.48851615778994029</v>
      </c>
      <c r="AB69" t="str">
        <f>HYPERLINK("Melting_Curves/meltCurve_A8K0B5_ZBTB8OS.pdf", "Melting_Curves/meltCurve_A8K0B5_ZBTB8OS.pdf")</f>
        <v>Melting_Curves/meltCurve_A8K0B5_ZBTB8OS.pdf</v>
      </c>
    </row>
    <row r="70" spans="1:28" x14ac:dyDescent="0.25">
      <c r="A70" t="s">
        <v>74</v>
      </c>
      <c r="B70">
        <v>0.99472303558308395</v>
      </c>
      <c r="C70">
        <v>0.88136801327423597</v>
      </c>
      <c r="D70">
        <v>0.95554322571601702</v>
      </c>
      <c r="E70">
        <v>0.74161228638259602</v>
      </c>
      <c r="F70">
        <v>0.51510963561345002</v>
      </c>
      <c r="G70">
        <v>0.30992040172794599</v>
      </c>
      <c r="H70">
        <v>0.14794963640776801</v>
      </c>
      <c r="I70">
        <v>0.116182491985737</v>
      </c>
      <c r="J70">
        <v>0.24474785122599199</v>
      </c>
      <c r="K70">
        <v>0.18576844841586601</v>
      </c>
      <c r="L70">
        <v>866.76184536591802</v>
      </c>
      <c r="M70">
        <v>17.692167477709699</v>
      </c>
      <c r="N70">
        <v>50.033800095167301</v>
      </c>
      <c r="O70">
        <v>48.378230265988698</v>
      </c>
      <c r="P70">
        <v>-7.73357954447665E-2</v>
      </c>
      <c r="Q70">
        <v>0.15416326840293401</v>
      </c>
      <c r="R70">
        <v>0.97583800386171704</v>
      </c>
      <c r="S70" t="s">
        <v>6638</v>
      </c>
      <c r="T70" t="s">
        <v>13134</v>
      </c>
      <c r="U70" t="s">
        <v>13134</v>
      </c>
      <c r="V70" t="s">
        <v>13134</v>
      </c>
      <c r="W70" t="s">
        <v>13204</v>
      </c>
      <c r="X70">
        <v>4</v>
      </c>
      <c r="Y70" t="s">
        <v>19695</v>
      </c>
      <c r="Z70" t="s">
        <v>26038</v>
      </c>
      <c r="AA70">
        <v>0.50610955184966022</v>
      </c>
      <c r="AB70" t="str">
        <f>HYPERLINK("Melting_Curves/meltCurve_A8K0M9_SELK.pdf", "Melting_Curves/meltCurve_A8K0M9_SELK.pdf")</f>
        <v>Melting_Curves/meltCurve_A8K0M9_SELK.pdf</v>
      </c>
    </row>
    <row r="71" spans="1:28" x14ac:dyDescent="0.25">
      <c r="A71" t="s">
        <v>75</v>
      </c>
      <c r="B71">
        <v>0.99472303558308395</v>
      </c>
      <c r="C71">
        <v>0.87029360871008499</v>
      </c>
      <c r="D71">
        <v>0.90782646300703496</v>
      </c>
      <c r="E71">
        <v>0.778664289140789</v>
      </c>
      <c r="F71">
        <v>0.354940325782238</v>
      </c>
      <c r="G71">
        <v>0.122801049085661</v>
      </c>
      <c r="H71">
        <v>7.0345367602007297E-2</v>
      </c>
      <c r="I71">
        <v>6.3923452538598102E-2</v>
      </c>
      <c r="J71">
        <v>0</v>
      </c>
      <c r="K71">
        <v>0</v>
      </c>
      <c r="L71">
        <v>1015.94804191446</v>
      </c>
      <c r="M71">
        <v>20.787310822289101</v>
      </c>
      <c r="N71">
        <v>48.927709411796897</v>
      </c>
      <c r="O71">
        <v>48.427917773105698</v>
      </c>
      <c r="P71">
        <v>-0.10609155568063899</v>
      </c>
      <c r="Q71">
        <v>1.1387411108373499E-2</v>
      </c>
      <c r="R71">
        <v>0.98713381993959404</v>
      </c>
      <c r="S71" t="s">
        <v>6639</v>
      </c>
      <c r="T71" t="s">
        <v>13134</v>
      </c>
      <c r="U71" t="s">
        <v>13134</v>
      </c>
      <c r="V71" t="s">
        <v>13134</v>
      </c>
      <c r="W71" t="s">
        <v>13205</v>
      </c>
      <c r="X71">
        <v>4</v>
      </c>
      <c r="Y71" t="s">
        <v>19696</v>
      </c>
      <c r="Z71" t="s">
        <v>26039</v>
      </c>
      <c r="AA71">
        <v>0.41478912937427281</v>
      </c>
      <c r="AB71" t="str">
        <f>HYPERLINK("Melting_Curves/meltCurve_A8MPP1_DDX11L8.pdf", "Melting_Curves/meltCurve_A8MPP1_DDX11L8.pdf")</f>
        <v>Melting_Curves/meltCurve_A8MPP1_DDX11L8.pdf</v>
      </c>
    </row>
    <row r="72" spans="1:28" x14ac:dyDescent="0.25">
      <c r="A72" t="s">
        <v>76</v>
      </c>
      <c r="B72">
        <v>0.99472303558308395</v>
      </c>
      <c r="C72">
        <v>0.89050044171485898</v>
      </c>
      <c r="D72">
        <v>0.993449866774337</v>
      </c>
      <c r="E72">
        <v>0.80889278344874604</v>
      </c>
      <c r="F72">
        <v>0.54860419399949001</v>
      </c>
      <c r="G72">
        <v>0.32850303198398301</v>
      </c>
      <c r="H72">
        <v>0.117485806057295</v>
      </c>
      <c r="I72">
        <v>5.2952327890332197E-2</v>
      </c>
      <c r="J72">
        <v>4.3037922980655702E-2</v>
      </c>
      <c r="K72">
        <v>4.4602604535742899E-2</v>
      </c>
      <c r="L72">
        <v>818.95089274767201</v>
      </c>
      <c r="M72">
        <v>16.090529401295299</v>
      </c>
      <c r="N72">
        <v>50.9284632769672</v>
      </c>
      <c r="O72">
        <v>50.129782074624401</v>
      </c>
      <c r="P72">
        <v>-7.9846778204767002E-2</v>
      </c>
      <c r="Q72">
        <v>5.0309046255085296E-3</v>
      </c>
      <c r="R72">
        <v>0.99100608463001405</v>
      </c>
      <c r="S72" t="s">
        <v>6640</v>
      </c>
      <c r="T72" t="s">
        <v>13134</v>
      </c>
      <c r="U72" t="s">
        <v>13134</v>
      </c>
      <c r="V72" t="s">
        <v>13134</v>
      </c>
      <c r="W72" t="s">
        <v>13206</v>
      </c>
      <c r="X72">
        <v>8</v>
      </c>
      <c r="Y72" t="s">
        <v>19697</v>
      </c>
      <c r="Z72" t="s">
        <v>26040</v>
      </c>
      <c r="AA72">
        <v>0.48418845106583203</v>
      </c>
      <c r="AB72" t="str">
        <f>HYPERLINK("Melting_Curves/meltCurve_A8MPS7_YDJC.pdf", "Melting_Curves/meltCurve_A8MPS7_YDJC.pdf")</f>
        <v>Melting_Curves/meltCurve_A8MPS7_YDJC.pdf</v>
      </c>
    </row>
    <row r="73" spans="1:28" x14ac:dyDescent="0.25">
      <c r="A73" t="s">
        <v>77</v>
      </c>
      <c r="B73">
        <v>0.99472303558308395</v>
      </c>
      <c r="C73">
        <v>1.0121497467028</v>
      </c>
      <c r="D73">
        <v>1.0357284668668101</v>
      </c>
      <c r="E73">
        <v>0.93569315448448698</v>
      </c>
      <c r="F73">
        <v>0.72444821773863899</v>
      </c>
      <c r="G73">
        <v>0.50119744591757598</v>
      </c>
      <c r="H73">
        <v>0.43252092362806899</v>
      </c>
      <c r="I73">
        <v>0.422006652788042</v>
      </c>
      <c r="J73">
        <v>0.58075101247039096</v>
      </c>
      <c r="K73">
        <v>0.44945842951904402</v>
      </c>
      <c r="L73">
        <v>1729.66784870164</v>
      </c>
      <c r="M73">
        <v>34.611426931393503</v>
      </c>
      <c r="N73">
        <v>54.309228368242799</v>
      </c>
      <c r="O73">
        <v>49.807954078351401</v>
      </c>
      <c r="P73">
        <v>-9.2344177167046099E-2</v>
      </c>
      <c r="Q73">
        <v>0.46844635017186298</v>
      </c>
      <c r="R73">
        <v>0.96874390340827699</v>
      </c>
      <c r="S73" t="s">
        <v>6641</v>
      </c>
      <c r="T73" t="s">
        <v>13134</v>
      </c>
      <c r="U73" t="s">
        <v>13134</v>
      </c>
      <c r="V73" t="s">
        <v>13134</v>
      </c>
      <c r="W73" t="s">
        <v>13207</v>
      </c>
      <c r="X73">
        <v>1</v>
      </c>
      <c r="Y73" t="s">
        <v>19698</v>
      </c>
      <c r="Z73" t="s">
        <v>26041</v>
      </c>
      <c r="AA73">
        <v>0.70077674560213177</v>
      </c>
      <c r="AB73" t="str">
        <f>HYPERLINK("Melting_Curves/meltCurve_A8MRB1_S100B.pdf", "Melting_Curves/meltCurve_A8MRB1_S100B.pdf")</f>
        <v>Melting_Curves/meltCurve_A8MRB1_S100B.pdf</v>
      </c>
    </row>
    <row r="74" spans="1:28" x14ac:dyDescent="0.25">
      <c r="A74" t="s">
        <v>78</v>
      </c>
      <c r="B74">
        <v>0.99472303558308395</v>
      </c>
      <c r="C74">
        <v>0.97037327527694905</v>
      </c>
      <c r="D74">
        <v>0.94854178713939297</v>
      </c>
      <c r="E74">
        <v>0.85896430323226403</v>
      </c>
      <c r="F74">
        <v>0.73683316611807004</v>
      </c>
      <c r="G74">
        <v>0.50844599132678303</v>
      </c>
      <c r="H74">
        <v>0.13638119960224501</v>
      </c>
      <c r="I74">
        <v>8.0574487182221502E-2</v>
      </c>
      <c r="J74">
        <v>8.1189294884524504E-2</v>
      </c>
      <c r="K74">
        <v>7.9498471634474405E-2</v>
      </c>
      <c r="L74">
        <v>940.86606300925303</v>
      </c>
      <c r="M74">
        <v>17.782640140724201</v>
      </c>
      <c r="N74">
        <v>53.040717155661703</v>
      </c>
      <c r="O74">
        <v>52.2537735052315</v>
      </c>
      <c r="P74">
        <v>-8.32479993415286E-2</v>
      </c>
      <c r="Q74">
        <v>2.1563659771931799E-2</v>
      </c>
      <c r="R74">
        <v>0.98725216366989799</v>
      </c>
      <c r="S74" t="s">
        <v>6642</v>
      </c>
      <c r="T74" t="s">
        <v>13134</v>
      </c>
      <c r="U74" t="s">
        <v>13134</v>
      </c>
      <c r="V74" t="s">
        <v>13134</v>
      </c>
      <c r="W74" t="s">
        <v>13208</v>
      </c>
      <c r="X74">
        <v>9</v>
      </c>
      <c r="Y74" t="s">
        <v>19699</v>
      </c>
      <c r="Z74" t="s">
        <v>26042</v>
      </c>
      <c r="AA74">
        <v>0.5549492268800692</v>
      </c>
      <c r="AB74" t="str">
        <f>HYPERLINK("Melting_Curves/meltCurve_A8MT40_PDPR.pdf", "Melting_Curves/meltCurve_A8MT40_PDPR.pdf")</f>
        <v>Melting_Curves/meltCurve_A8MT40_PDPR.pdf</v>
      </c>
    </row>
    <row r="75" spans="1:28" x14ac:dyDescent="0.25">
      <c r="A75" t="s">
        <v>79</v>
      </c>
      <c r="B75">
        <v>0.99472303558308395</v>
      </c>
      <c r="C75">
        <v>1.1317252881520099</v>
      </c>
      <c r="D75">
        <v>0.81332764511489097</v>
      </c>
      <c r="E75">
        <v>0.61444572014321797</v>
      </c>
      <c r="F75">
        <v>0.34503388999962098</v>
      </c>
      <c r="G75">
        <v>9.8727118033703307E-2</v>
      </c>
      <c r="H75">
        <v>4.3786581823883897E-2</v>
      </c>
      <c r="I75">
        <v>4.9509796531629201E-2</v>
      </c>
      <c r="J75">
        <v>4.2337161071736497E-2</v>
      </c>
      <c r="K75">
        <v>3.8885300657969697E-2</v>
      </c>
      <c r="L75">
        <v>877.86263123882702</v>
      </c>
      <c r="M75">
        <v>18.394928268964001</v>
      </c>
      <c r="N75">
        <v>47.8498355373696</v>
      </c>
      <c r="O75">
        <v>47.1698014882693</v>
      </c>
      <c r="P75">
        <v>-9.5179039498574994E-2</v>
      </c>
      <c r="Q75">
        <v>2.37802520074443E-2</v>
      </c>
      <c r="R75">
        <v>0.98028833257042802</v>
      </c>
      <c r="S75" t="s">
        <v>6643</v>
      </c>
      <c r="T75" t="s">
        <v>13134</v>
      </c>
      <c r="U75" t="s">
        <v>13134</v>
      </c>
      <c r="V75" t="s">
        <v>13134</v>
      </c>
      <c r="W75" t="s">
        <v>13209</v>
      </c>
      <c r="X75">
        <v>1</v>
      </c>
      <c r="Y75" t="s">
        <v>19700</v>
      </c>
      <c r="Z75" t="s">
        <v>26043</v>
      </c>
      <c r="AA75">
        <v>0.38772117638631121</v>
      </c>
      <c r="AB75" t="str">
        <f>HYPERLINK("Melting_Curves/meltCurve_A8MTK3_POT1.pdf", "Melting_Curves/meltCurve_A8MTK3_POT1.pdf")</f>
        <v>Melting_Curves/meltCurve_A8MTK3_POT1.pdf</v>
      </c>
    </row>
    <row r="76" spans="1:28" x14ac:dyDescent="0.25">
      <c r="A76" t="s">
        <v>80</v>
      </c>
      <c r="B76">
        <v>0.99472303558308395</v>
      </c>
      <c r="C76">
        <v>1.0694358538737301</v>
      </c>
      <c r="D76">
        <v>0.86126773572571502</v>
      </c>
      <c r="E76">
        <v>0.610847463410089</v>
      </c>
      <c r="F76">
        <v>0.338975091107377</v>
      </c>
      <c r="G76">
        <v>0.191856205580901</v>
      </c>
      <c r="H76">
        <v>0.11075082774375</v>
      </c>
      <c r="I76">
        <v>6.29672057825853E-2</v>
      </c>
      <c r="J76">
        <v>7.0433502053540598E-2</v>
      </c>
      <c r="K76">
        <v>7.9684087102822099E-2</v>
      </c>
      <c r="L76">
        <v>856.20196494776701</v>
      </c>
      <c r="M76">
        <v>17.975178897640301</v>
      </c>
      <c r="N76">
        <v>48.014755180793799</v>
      </c>
      <c r="O76">
        <v>47.054663202707303</v>
      </c>
      <c r="P76">
        <v>-8.9138459568580894E-2</v>
      </c>
      <c r="Q76">
        <v>6.6674741123882095E-2</v>
      </c>
      <c r="R76">
        <v>0.99260390615213701</v>
      </c>
      <c r="S76" t="s">
        <v>6644</v>
      </c>
      <c r="T76" t="s">
        <v>13134</v>
      </c>
      <c r="U76" t="s">
        <v>13134</v>
      </c>
      <c r="V76" t="s">
        <v>13134</v>
      </c>
      <c r="W76" t="s">
        <v>13210</v>
      </c>
      <c r="X76">
        <v>2</v>
      </c>
      <c r="Y76" t="s">
        <v>19701</v>
      </c>
      <c r="Z76" t="s">
        <v>26044</v>
      </c>
      <c r="AA76">
        <v>0.41243899006157031</v>
      </c>
      <c r="AB76" t="str">
        <f>HYPERLINK("Melting_Curves/meltCurve_A8MTK4_TRAF3IP1.pdf", "Melting_Curves/meltCurve_A8MTK4_TRAF3IP1.pdf")</f>
        <v>Melting_Curves/meltCurve_A8MTK4_TRAF3IP1.pdf</v>
      </c>
    </row>
    <row r="77" spans="1:28" x14ac:dyDescent="0.25">
      <c r="A77" t="s">
        <v>81</v>
      </c>
      <c r="B77">
        <v>0.99472303558308395</v>
      </c>
      <c r="C77">
        <v>0.96159734928687501</v>
      </c>
      <c r="D77">
        <v>0.95436568220335005</v>
      </c>
      <c r="E77">
        <v>0.65744425983663202</v>
      </c>
      <c r="F77">
        <v>0.35233929441763101</v>
      </c>
      <c r="G77">
        <v>0.108710159840134</v>
      </c>
      <c r="H77">
        <v>4.5988714141247097E-2</v>
      </c>
      <c r="I77">
        <v>3.2098877568091003E-2</v>
      </c>
      <c r="J77">
        <v>3.7869851803165801E-2</v>
      </c>
      <c r="K77">
        <v>2.4493248095399801E-2</v>
      </c>
      <c r="L77">
        <v>982.89106914541901</v>
      </c>
      <c r="M77">
        <v>20.3621941062808</v>
      </c>
      <c r="N77">
        <v>48.362386856666099</v>
      </c>
      <c r="O77">
        <v>47.812056192928601</v>
      </c>
      <c r="P77">
        <v>-0.10445060732056401</v>
      </c>
      <c r="Q77">
        <v>1.8996267531777199E-2</v>
      </c>
      <c r="R77">
        <v>0.99803084172354195</v>
      </c>
      <c r="S77" t="s">
        <v>6645</v>
      </c>
      <c r="T77" t="s">
        <v>13134</v>
      </c>
      <c r="U77" t="s">
        <v>13134</v>
      </c>
      <c r="V77" t="s">
        <v>13134</v>
      </c>
      <c r="W77" t="s">
        <v>13211</v>
      </c>
      <c r="X77">
        <v>3</v>
      </c>
      <c r="Y77" t="s">
        <v>19702</v>
      </c>
      <c r="Z77" t="s">
        <v>26045</v>
      </c>
      <c r="AA77">
        <v>0.40001265516425072</v>
      </c>
      <c r="AB77" t="str">
        <f>HYPERLINK("Melting_Curves/meltCurve_A8MTP9_DDX52.pdf", "Melting_Curves/meltCurve_A8MTP9_DDX52.pdf")</f>
        <v>Melting_Curves/meltCurve_A8MTP9_DDX52.pdf</v>
      </c>
    </row>
    <row r="78" spans="1:28" x14ac:dyDescent="0.25">
      <c r="A78" t="s">
        <v>82</v>
      </c>
      <c r="B78">
        <v>0.99472303558308395</v>
      </c>
      <c r="C78">
        <v>0.81392092396207305</v>
      </c>
      <c r="D78">
        <v>0.65845038576197601</v>
      </c>
      <c r="E78">
        <v>0.51489819210291299</v>
      </c>
      <c r="F78">
        <v>0.32408954276827101</v>
      </c>
      <c r="G78">
        <v>0.17562998845157901</v>
      </c>
      <c r="H78">
        <v>0.134705050329331</v>
      </c>
      <c r="I78">
        <v>0.12680000262546101</v>
      </c>
      <c r="J78">
        <v>0.20334613239202301</v>
      </c>
      <c r="K78">
        <v>0.14251021502195099</v>
      </c>
      <c r="L78">
        <v>562.84403778791796</v>
      </c>
      <c r="M78">
        <v>12.509484992169901</v>
      </c>
      <c r="N78">
        <v>45.996173107631201</v>
      </c>
      <c r="O78">
        <v>43.890008484542498</v>
      </c>
      <c r="P78">
        <v>-6.2763551333286094E-2</v>
      </c>
      <c r="Q78">
        <v>0.119347355719594</v>
      </c>
      <c r="R78">
        <v>0.98302962123656501</v>
      </c>
      <c r="S78" t="s">
        <v>6646</v>
      </c>
      <c r="T78" t="s">
        <v>13134</v>
      </c>
      <c r="U78" t="s">
        <v>13134</v>
      </c>
      <c r="V78" t="s">
        <v>13134</v>
      </c>
      <c r="W78" t="s">
        <v>13212</v>
      </c>
      <c r="X78">
        <v>1</v>
      </c>
      <c r="Y78" t="s">
        <v>19703</v>
      </c>
      <c r="Z78" t="s">
        <v>26046</v>
      </c>
      <c r="AA78">
        <v>0.3836962531151123</v>
      </c>
      <c r="AB78" t="str">
        <f>HYPERLINK("Melting_Curves/meltCurve_A8MTQ3_TFPT.pdf", "Melting_Curves/meltCurve_A8MTQ3_TFPT.pdf")</f>
        <v>Melting_Curves/meltCurve_A8MTQ3_TFPT.pdf</v>
      </c>
    </row>
    <row r="79" spans="1:28" x14ac:dyDescent="0.25">
      <c r="A79" t="s">
        <v>83</v>
      </c>
      <c r="B79">
        <v>0.99472303558308395</v>
      </c>
      <c r="C79">
        <v>0.98694958647661402</v>
      </c>
      <c r="D79">
        <v>0.82666432145525803</v>
      </c>
      <c r="E79">
        <v>0.60578172190538304</v>
      </c>
      <c r="F79">
        <v>0.39149047760703698</v>
      </c>
      <c r="G79">
        <v>0.134437982034084</v>
      </c>
      <c r="H79">
        <v>7.2834142512187894E-2</v>
      </c>
      <c r="I79">
        <v>6.2921500520069895E-2</v>
      </c>
      <c r="J79">
        <v>8.2919105666110896E-2</v>
      </c>
      <c r="K79">
        <v>7.0639619189366995E-2</v>
      </c>
      <c r="L79">
        <v>761.46942228636397</v>
      </c>
      <c r="M79">
        <v>15.958185449859499</v>
      </c>
      <c r="N79">
        <v>47.9799571118755</v>
      </c>
      <c r="O79">
        <v>46.986105677704799</v>
      </c>
      <c r="P79">
        <v>-8.13542589667135E-2</v>
      </c>
      <c r="Q79">
        <v>4.1941975020214101E-2</v>
      </c>
      <c r="R79">
        <v>0.99428235138211696</v>
      </c>
      <c r="S79" t="s">
        <v>6647</v>
      </c>
      <c r="T79" t="s">
        <v>13134</v>
      </c>
      <c r="U79" t="s">
        <v>13134</v>
      </c>
      <c r="V79" t="s">
        <v>13134</v>
      </c>
      <c r="W79" t="s">
        <v>13213</v>
      </c>
      <c r="X79">
        <v>5</v>
      </c>
      <c r="Y79" t="s">
        <v>19704</v>
      </c>
      <c r="Z79" t="s">
        <v>26047</v>
      </c>
      <c r="AA79">
        <v>0.40324142629787152</v>
      </c>
      <c r="AB79" t="str">
        <f>HYPERLINK("Melting_Curves/meltCurve_A8MTY9_DSCR3.pdf", "Melting_Curves/meltCurve_A8MTY9_DSCR3.pdf")</f>
        <v>Melting_Curves/meltCurve_A8MTY9_DSCR3.pdf</v>
      </c>
    </row>
    <row r="80" spans="1:28" x14ac:dyDescent="0.25">
      <c r="A80" t="s">
        <v>84</v>
      </c>
      <c r="B80">
        <v>0.99472303558308395</v>
      </c>
      <c r="C80">
        <v>0.90276336954802405</v>
      </c>
      <c r="D80">
        <v>0.86990264782109095</v>
      </c>
      <c r="E80">
        <v>0.63757094577729401</v>
      </c>
      <c r="F80">
        <v>0.52677828606628396</v>
      </c>
      <c r="G80">
        <v>0.43631936325887499</v>
      </c>
      <c r="H80">
        <v>0.348939389774444</v>
      </c>
      <c r="I80">
        <v>0.33967467751244901</v>
      </c>
      <c r="J80">
        <v>0.43957656467050199</v>
      </c>
      <c r="K80">
        <v>0.34593302841008799</v>
      </c>
      <c r="L80">
        <v>679.14079868716306</v>
      </c>
      <c r="M80">
        <v>14.6966917546657</v>
      </c>
      <c r="N80">
        <v>50.474239186489399</v>
      </c>
      <c r="O80">
        <v>45.380183032459399</v>
      </c>
      <c r="P80">
        <v>-5.2185226498354498E-2</v>
      </c>
      <c r="Q80">
        <v>0.355524052441481</v>
      </c>
      <c r="R80">
        <v>0.97900109112657197</v>
      </c>
      <c r="S80" t="s">
        <v>6648</v>
      </c>
      <c r="T80" t="s">
        <v>13134</v>
      </c>
      <c r="U80" t="s">
        <v>13134</v>
      </c>
      <c r="V80" t="s">
        <v>13134</v>
      </c>
      <c r="W80" t="s">
        <v>13214</v>
      </c>
      <c r="X80">
        <v>3</v>
      </c>
      <c r="Y80" t="s">
        <v>19705</v>
      </c>
      <c r="Z80" t="s">
        <v>26048</v>
      </c>
      <c r="AA80">
        <v>0.56874400229988453</v>
      </c>
      <c r="AB80" t="str">
        <f>HYPERLINK("Melting_Curves/meltCurve_A8MTZ6_S100PBP.pdf", "Melting_Curves/meltCurve_A8MTZ6_S100PBP.pdf")</f>
        <v>Melting_Curves/meltCurve_A8MTZ6_S100PBP.pdf</v>
      </c>
    </row>
    <row r="81" spans="1:28" x14ac:dyDescent="0.25">
      <c r="A81" t="s">
        <v>85</v>
      </c>
      <c r="B81">
        <v>0.99472303558308395</v>
      </c>
      <c r="C81">
        <v>1.0835679426059901</v>
      </c>
      <c r="D81">
        <v>0.96538494996014701</v>
      </c>
      <c r="E81">
        <v>0.73530176841772599</v>
      </c>
      <c r="F81">
        <v>0.32978838371505098</v>
      </c>
      <c r="G81">
        <v>0.26744514801751301</v>
      </c>
      <c r="H81">
        <v>0.27688811214147202</v>
      </c>
      <c r="I81">
        <v>0.29278880928734902</v>
      </c>
      <c r="J81">
        <v>0.41148744287455102</v>
      </c>
      <c r="K81">
        <v>0.25894159339999401</v>
      </c>
      <c r="L81">
        <v>2286.5328112976799</v>
      </c>
      <c r="M81">
        <v>48.5836246721313</v>
      </c>
      <c r="N81">
        <v>47.972119397996003</v>
      </c>
      <c r="O81">
        <v>46.984328263008301</v>
      </c>
      <c r="P81">
        <v>-0.18077270787170699</v>
      </c>
      <c r="Q81">
        <v>0.300712884532224</v>
      </c>
      <c r="R81">
        <v>0.97768888923249297</v>
      </c>
      <c r="S81" t="s">
        <v>6649</v>
      </c>
      <c r="T81" t="s">
        <v>13134</v>
      </c>
      <c r="U81" t="s">
        <v>13134</v>
      </c>
      <c r="V81" t="s">
        <v>13134</v>
      </c>
      <c r="W81" t="s">
        <v>13215</v>
      </c>
      <c r="X81">
        <v>3</v>
      </c>
      <c r="Y81" t="s">
        <v>19706</v>
      </c>
      <c r="Z81" t="s">
        <v>26049</v>
      </c>
      <c r="AA81">
        <v>0.53683520853865441</v>
      </c>
      <c r="AB81" t="str">
        <f>HYPERLINK("Melting_Curves/meltCurve_A8MUA9_SUMO3.pdf", "Melting_Curves/meltCurve_A8MUA9_SUMO3.pdf")</f>
        <v>Melting_Curves/meltCurve_A8MUA9_SUMO3.pdf</v>
      </c>
    </row>
    <row r="82" spans="1:28" x14ac:dyDescent="0.25">
      <c r="A82" t="s">
        <v>86</v>
      </c>
      <c r="B82">
        <v>0.99472303558308395</v>
      </c>
      <c r="C82">
        <v>0.90176413441495096</v>
      </c>
      <c r="D82">
        <v>0.93006954047870005</v>
      </c>
      <c r="E82">
        <v>0.86064722922166703</v>
      </c>
      <c r="F82">
        <v>0.77543392225716301</v>
      </c>
      <c r="G82">
        <v>0.515738000509539</v>
      </c>
      <c r="H82">
        <v>0.33481200173354703</v>
      </c>
      <c r="I82">
        <v>0.16830215918876101</v>
      </c>
      <c r="J82">
        <v>8.4023274891595195E-2</v>
      </c>
      <c r="K82">
        <v>8.8700582411337103E-2</v>
      </c>
      <c r="L82">
        <v>706.37755996937301</v>
      </c>
      <c r="M82">
        <v>13.05333379166</v>
      </c>
      <c r="N82">
        <v>54.114736373756799</v>
      </c>
      <c r="O82">
        <v>52.891915474194199</v>
      </c>
      <c r="P82">
        <v>-6.1708880587681203E-2</v>
      </c>
      <c r="Q82">
        <v>0</v>
      </c>
      <c r="R82">
        <v>0.98900617496631804</v>
      </c>
      <c r="S82" t="s">
        <v>6650</v>
      </c>
      <c r="T82" t="s">
        <v>13134</v>
      </c>
      <c r="U82" t="s">
        <v>13134</v>
      </c>
      <c r="V82" t="s">
        <v>13134</v>
      </c>
      <c r="W82" t="s">
        <v>13216</v>
      </c>
      <c r="X82">
        <v>28</v>
      </c>
      <c r="Y82" t="s">
        <v>19707</v>
      </c>
      <c r="Z82" t="s">
        <v>26050</v>
      </c>
      <c r="AA82">
        <v>0.58766933544268207</v>
      </c>
      <c r="AB82" t="str">
        <f>HYPERLINK("Melting_Curves/meltCurve_A8MUB1_TUBA4A.pdf", "Melting_Curves/meltCurve_A8MUB1_TUBA4A.pdf")</f>
        <v>Melting_Curves/meltCurve_A8MUB1_TUBA4A.pdf</v>
      </c>
    </row>
    <row r="83" spans="1:28" x14ac:dyDescent="0.25">
      <c r="A83" t="s">
        <v>87</v>
      </c>
      <c r="B83">
        <v>0.99472303558308395</v>
      </c>
      <c r="C83">
        <v>0.976379842104937</v>
      </c>
      <c r="D83">
        <v>0.78286601079232998</v>
      </c>
      <c r="E83">
        <v>0.75791612450368995</v>
      </c>
      <c r="F83">
        <v>0.91966555617718504</v>
      </c>
      <c r="G83">
        <v>0.45406003792334798</v>
      </c>
      <c r="H83">
        <v>0.58025112935810996</v>
      </c>
      <c r="I83">
        <v>0.32274054514814299</v>
      </c>
      <c r="J83">
        <v>0.56962749339886798</v>
      </c>
      <c r="K83">
        <v>0.69758915019267898</v>
      </c>
      <c r="L83">
        <v>528.401537074305</v>
      </c>
      <c r="M83">
        <v>11.1164782260013</v>
      </c>
      <c r="O83">
        <v>46.072755410934398</v>
      </c>
      <c r="P83">
        <v>-2.9749466855118499E-2</v>
      </c>
      <c r="Q83">
        <v>0.50696758970189204</v>
      </c>
      <c r="R83">
        <v>0.618369574358268</v>
      </c>
      <c r="S83" t="s">
        <v>6651</v>
      </c>
      <c r="T83" t="s">
        <v>13134</v>
      </c>
      <c r="U83" t="s">
        <v>13134</v>
      </c>
      <c r="V83" t="s">
        <v>13134</v>
      </c>
      <c r="W83" t="s">
        <v>13217</v>
      </c>
      <c r="X83">
        <v>9</v>
      </c>
      <c r="Y83" t="s">
        <v>19708</v>
      </c>
      <c r="Z83" t="s">
        <v>26051</v>
      </c>
      <c r="AA83">
        <v>0.69776414205884429</v>
      </c>
      <c r="AB83" t="str">
        <f>HYPERLINK("Melting_Curves/meltCurve_A8MUF7_HBE1.pdf", "Melting_Curves/meltCurve_A8MUF7_HBE1.pdf")</f>
        <v>Melting_Curves/meltCurve_A8MUF7_HBE1.pdf</v>
      </c>
    </row>
    <row r="84" spans="1:28" x14ac:dyDescent="0.25">
      <c r="A84" t="s">
        <v>88</v>
      </c>
      <c r="B84">
        <v>0.99472303558308395</v>
      </c>
      <c r="C84">
        <v>0.85608082985360101</v>
      </c>
      <c r="D84">
        <v>0.81121494946986605</v>
      </c>
      <c r="E84">
        <v>0.74036655988829203</v>
      </c>
      <c r="F84">
        <v>0.53554648797302395</v>
      </c>
      <c r="G84">
        <v>0.55294194050270296</v>
      </c>
      <c r="H84">
        <v>0.208091218619467</v>
      </c>
      <c r="I84">
        <v>6.3046606469650698E-2</v>
      </c>
      <c r="J84">
        <v>4.6912868545520098E-2</v>
      </c>
      <c r="K84">
        <v>4.4677356444961E-2</v>
      </c>
      <c r="L84">
        <v>532.64280964929299</v>
      </c>
      <c r="M84">
        <v>10.409665366333501</v>
      </c>
      <c r="N84">
        <v>51.168100812894899</v>
      </c>
      <c r="O84">
        <v>49.387849120248198</v>
      </c>
      <c r="P84">
        <v>-5.2715430869830202E-2</v>
      </c>
      <c r="Q84">
        <v>0</v>
      </c>
      <c r="R84">
        <v>0.95031952963210498</v>
      </c>
      <c r="S84" t="s">
        <v>6652</v>
      </c>
      <c r="T84" t="s">
        <v>13134</v>
      </c>
      <c r="U84" t="s">
        <v>13134</v>
      </c>
      <c r="V84" t="s">
        <v>13134</v>
      </c>
      <c r="W84" t="s">
        <v>13218</v>
      </c>
      <c r="X84">
        <v>10</v>
      </c>
      <c r="Y84" t="s">
        <v>19709</v>
      </c>
      <c r="Z84" t="s">
        <v>26052</v>
      </c>
      <c r="AA84">
        <v>0.50127425935568515</v>
      </c>
      <c r="AB84" t="str">
        <f>HYPERLINK("Melting_Curves/meltCurve_A8MUM1_TSSC1.pdf", "Melting_Curves/meltCurve_A8MUM1_TSSC1.pdf")</f>
        <v>Melting_Curves/meltCurve_A8MUM1_TSSC1.pdf</v>
      </c>
    </row>
    <row r="85" spans="1:28" x14ac:dyDescent="0.25">
      <c r="A85" t="s">
        <v>89</v>
      </c>
      <c r="B85">
        <v>0.99472303558308395</v>
      </c>
      <c r="C85">
        <v>0.88539097577479198</v>
      </c>
      <c r="D85">
        <v>0.65190687963438798</v>
      </c>
      <c r="E85">
        <v>0.41800155176999598</v>
      </c>
      <c r="F85">
        <v>0.429625445893066</v>
      </c>
      <c r="G85">
        <v>0.1334123139393</v>
      </c>
      <c r="H85">
        <v>0.10903661511928101</v>
      </c>
      <c r="I85">
        <v>9.9103756572317903E-2</v>
      </c>
      <c r="J85">
        <v>0.17009052285394899</v>
      </c>
      <c r="K85">
        <v>4.8962884829359697E-2</v>
      </c>
      <c r="L85">
        <v>549.72121939317003</v>
      </c>
      <c r="M85">
        <v>12.0747122067941</v>
      </c>
      <c r="N85">
        <v>46.1014614039211</v>
      </c>
      <c r="O85">
        <v>44.331882912858397</v>
      </c>
      <c r="P85">
        <v>-6.3349056543820406E-2</v>
      </c>
      <c r="Q85">
        <v>6.9883425279748904E-2</v>
      </c>
      <c r="R85">
        <v>0.96565821504455396</v>
      </c>
      <c r="S85" t="s">
        <v>6653</v>
      </c>
      <c r="T85" t="s">
        <v>13134</v>
      </c>
      <c r="U85" t="s">
        <v>13134</v>
      </c>
      <c r="V85" t="s">
        <v>13134</v>
      </c>
      <c r="W85" t="s">
        <v>13219</v>
      </c>
      <c r="X85">
        <v>1</v>
      </c>
      <c r="Y85" t="s">
        <v>19710</v>
      </c>
      <c r="Z85" t="s">
        <v>26053</v>
      </c>
      <c r="AA85">
        <v>0.36676014153321718</v>
      </c>
      <c r="AB85" t="str">
        <f>HYPERLINK("Melting_Curves/meltCurve_A8MVF6_NPRL3.pdf", "Melting_Curves/meltCurve_A8MVF6_NPRL3.pdf")</f>
        <v>Melting_Curves/meltCurve_A8MVF6_NPRL3.pdf</v>
      </c>
    </row>
    <row r="86" spans="1:28" x14ac:dyDescent="0.25">
      <c r="A86" t="s">
        <v>90</v>
      </c>
      <c r="B86">
        <v>0.99472303558308395</v>
      </c>
      <c r="C86">
        <v>0.97490226379368505</v>
      </c>
      <c r="D86">
        <v>0.88292684179546199</v>
      </c>
      <c r="E86">
        <v>0.77420116606383504</v>
      </c>
      <c r="F86">
        <v>0.467220958126423</v>
      </c>
      <c r="G86">
        <v>0.171671513645857</v>
      </c>
      <c r="H86">
        <v>9.9184476249061196E-2</v>
      </c>
      <c r="I86">
        <v>5.47612099098026E-2</v>
      </c>
      <c r="J86">
        <v>6.0138696173722E-2</v>
      </c>
      <c r="K86">
        <v>6.3013541591144195E-2</v>
      </c>
      <c r="L86">
        <v>914.84342758618595</v>
      </c>
      <c r="M86">
        <v>18.5408361892</v>
      </c>
      <c r="N86">
        <v>49.5479591707334</v>
      </c>
      <c r="O86">
        <v>48.778830418765999</v>
      </c>
      <c r="P86">
        <v>-9.1505805717769395E-2</v>
      </c>
      <c r="Q86">
        <v>3.7076822585737003E-2</v>
      </c>
      <c r="R86">
        <v>0.99586835254913098</v>
      </c>
      <c r="S86" t="s">
        <v>6654</v>
      </c>
      <c r="T86" t="s">
        <v>13134</v>
      </c>
      <c r="U86" t="s">
        <v>13134</v>
      </c>
      <c r="V86" t="s">
        <v>13134</v>
      </c>
      <c r="W86" t="s">
        <v>13220</v>
      </c>
      <c r="X86">
        <v>10</v>
      </c>
      <c r="Y86" t="s">
        <v>19711</v>
      </c>
      <c r="Z86" t="s">
        <v>26054</v>
      </c>
      <c r="AA86">
        <v>0.4477364152362675</v>
      </c>
      <c r="AB86" t="str">
        <f>HYPERLINK("Melting_Curves/meltCurve_A8MVN1_DGKZ.pdf", "Melting_Curves/meltCurve_A8MVN1_DGKZ.pdf")</f>
        <v>Melting_Curves/meltCurve_A8MVN1_DGKZ.pdf</v>
      </c>
    </row>
    <row r="87" spans="1:28" x14ac:dyDescent="0.25">
      <c r="A87" t="s">
        <v>91</v>
      </c>
      <c r="B87">
        <v>0.99472303558308395</v>
      </c>
      <c r="C87">
        <v>1.11794551879705</v>
      </c>
      <c r="D87">
        <v>0.98833999430292996</v>
      </c>
      <c r="E87">
        <v>0.90922172606096296</v>
      </c>
      <c r="F87">
        <v>0.66764834838961995</v>
      </c>
      <c r="G87">
        <v>0.450507160048293</v>
      </c>
      <c r="H87">
        <v>0.30772616699460198</v>
      </c>
      <c r="I87">
        <v>0.15483420258250999</v>
      </c>
      <c r="J87">
        <v>0.189575613526026</v>
      </c>
      <c r="K87">
        <v>0.17311064134675</v>
      </c>
      <c r="L87">
        <v>930.10650148676802</v>
      </c>
      <c r="M87">
        <v>17.956628101205201</v>
      </c>
      <c r="N87">
        <v>52.857409200655098</v>
      </c>
      <c r="O87">
        <v>51.167801862625403</v>
      </c>
      <c r="P87">
        <v>-7.4472414041978005E-2</v>
      </c>
      <c r="Q87">
        <v>0.15119923384665601</v>
      </c>
      <c r="R87">
        <v>0.98534754695015803</v>
      </c>
      <c r="S87" t="s">
        <v>6655</v>
      </c>
      <c r="T87" t="s">
        <v>13134</v>
      </c>
      <c r="U87" t="s">
        <v>13134</v>
      </c>
      <c r="V87" t="s">
        <v>13134</v>
      </c>
      <c r="W87" t="s">
        <v>13221</v>
      </c>
      <c r="X87">
        <v>6</v>
      </c>
      <c r="Y87" t="s">
        <v>19712</v>
      </c>
      <c r="Z87" t="s">
        <v>26055</v>
      </c>
      <c r="AA87">
        <v>0.58282527871315148</v>
      </c>
      <c r="AB87" t="str">
        <f>HYPERLINK("Melting_Curves/meltCurve_A8MVZ6_BICD1.pdf", "Melting_Curves/meltCurve_A8MVZ6_BICD1.pdf")</f>
        <v>Melting_Curves/meltCurve_A8MVZ6_BICD1.pdf</v>
      </c>
    </row>
    <row r="88" spans="1:28" x14ac:dyDescent="0.25">
      <c r="A88" t="s">
        <v>92</v>
      </c>
      <c r="B88">
        <v>0.99472303558308395</v>
      </c>
      <c r="C88">
        <v>1.0521673723335201</v>
      </c>
      <c r="D88">
        <v>0.74987554130784095</v>
      </c>
      <c r="E88">
        <v>0.68224933149093503</v>
      </c>
      <c r="F88">
        <v>0.66702038843994305</v>
      </c>
      <c r="G88">
        <v>0.402919608076657</v>
      </c>
      <c r="H88">
        <v>0.26451054310441602</v>
      </c>
      <c r="I88">
        <v>0.237985361347062</v>
      </c>
      <c r="J88">
        <v>0.32250821260101498</v>
      </c>
      <c r="K88">
        <v>0.188118091273351</v>
      </c>
      <c r="L88">
        <v>514.48001939435005</v>
      </c>
      <c r="M88">
        <v>10.3580352726183</v>
      </c>
      <c r="N88">
        <v>51.608621516748599</v>
      </c>
      <c r="O88">
        <v>47.925274173855598</v>
      </c>
      <c r="P88">
        <v>-4.5342257124677203E-2</v>
      </c>
      <c r="Q88">
        <v>0.161186098850223</v>
      </c>
      <c r="R88">
        <v>0.942245411903884</v>
      </c>
      <c r="S88" t="s">
        <v>6656</v>
      </c>
      <c r="T88" t="s">
        <v>13134</v>
      </c>
      <c r="U88" t="s">
        <v>13134</v>
      </c>
      <c r="V88" t="s">
        <v>13134</v>
      </c>
      <c r="W88" t="s">
        <v>13222</v>
      </c>
      <c r="X88">
        <v>11</v>
      </c>
      <c r="Y88" t="s">
        <v>19713</v>
      </c>
      <c r="Z88" t="s">
        <v>26056</v>
      </c>
      <c r="AA88">
        <v>0.54376558569976308</v>
      </c>
      <c r="AB88" t="str">
        <f>HYPERLINK("Melting_Curves/meltCurve_A8MW61_PLRG1.pdf", "Melting_Curves/meltCurve_A8MW61_PLRG1.pdf")</f>
        <v>Melting_Curves/meltCurve_A8MW61_PLRG1.pdf</v>
      </c>
    </row>
    <row r="89" spans="1:28" x14ac:dyDescent="0.25">
      <c r="A89" t="s">
        <v>93</v>
      </c>
      <c r="B89">
        <v>0.99472303558308395</v>
      </c>
      <c r="C89">
        <v>1.1134636686841599</v>
      </c>
      <c r="D89">
        <v>0.89326641659470096</v>
      </c>
      <c r="E89">
        <v>0.817228904238125</v>
      </c>
      <c r="F89">
        <v>0.65607296549419802</v>
      </c>
      <c r="G89">
        <v>0.37646311894391199</v>
      </c>
      <c r="H89">
        <v>0.20763487695400901</v>
      </c>
      <c r="I89">
        <v>0.10838698794806501</v>
      </c>
      <c r="J89">
        <v>0.107327634745809</v>
      </c>
      <c r="K89">
        <v>0.134181193821657</v>
      </c>
      <c r="L89">
        <v>812.48396112070702</v>
      </c>
      <c r="M89">
        <v>15.8222316031109</v>
      </c>
      <c r="N89">
        <v>51.868119023966102</v>
      </c>
      <c r="O89">
        <v>50.551495527872703</v>
      </c>
      <c r="P89">
        <v>-7.2542418371989298E-2</v>
      </c>
      <c r="Q89">
        <v>7.29936620555523E-2</v>
      </c>
      <c r="R89">
        <v>0.98278534187334199</v>
      </c>
      <c r="S89" t="s">
        <v>6657</v>
      </c>
      <c r="T89" t="s">
        <v>13134</v>
      </c>
      <c r="U89" t="s">
        <v>13134</v>
      </c>
      <c r="V89" t="s">
        <v>13134</v>
      </c>
      <c r="W89" t="s">
        <v>13223</v>
      </c>
      <c r="X89">
        <v>7</v>
      </c>
      <c r="Y89" t="s">
        <v>19714</v>
      </c>
      <c r="Z89" t="s">
        <v>26057</v>
      </c>
      <c r="AA89">
        <v>0.53357434699801964</v>
      </c>
      <c r="AB89" t="str">
        <f>HYPERLINK("Melting_Curves/meltCurve_A8MWY0_KIAA1324L.pdf", "Melting_Curves/meltCurve_A8MWY0_KIAA1324L.pdf")</f>
        <v>Melting_Curves/meltCurve_A8MWY0_KIAA1324L.pdf</v>
      </c>
    </row>
    <row r="90" spans="1:28" x14ac:dyDescent="0.25">
      <c r="A90" t="s">
        <v>94</v>
      </c>
      <c r="B90">
        <v>0.99472303558308395</v>
      </c>
      <c r="C90">
        <v>0.96831171602375399</v>
      </c>
      <c r="D90">
        <v>0.936047280257579</v>
      </c>
      <c r="E90">
        <v>0.75147181788974104</v>
      </c>
      <c r="F90">
        <v>0.406677386863601</v>
      </c>
      <c r="G90">
        <v>0.134199259762596</v>
      </c>
      <c r="H90">
        <v>6.6367056029082203E-2</v>
      </c>
      <c r="I90">
        <v>5.5656998322575299E-2</v>
      </c>
      <c r="J90">
        <v>6.8742139979497893E-2</v>
      </c>
      <c r="K90">
        <v>5.1889978041431702E-2</v>
      </c>
      <c r="L90">
        <v>1061.14082124529</v>
      </c>
      <c r="M90">
        <v>21.714097917142301</v>
      </c>
      <c r="N90">
        <v>49.075508531455803</v>
      </c>
      <c r="O90">
        <v>48.4599385677596</v>
      </c>
      <c r="P90">
        <v>-0.107126790292455</v>
      </c>
      <c r="Q90">
        <v>4.3711482026964302E-2</v>
      </c>
      <c r="R90">
        <v>0.99845684005787705</v>
      </c>
      <c r="S90" t="s">
        <v>6658</v>
      </c>
      <c r="T90" t="s">
        <v>13134</v>
      </c>
      <c r="U90" t="s">
        <v>13134</v>
      </c>
      <c r="V90" t="s">
        <v>13134</v>
      </c>
      <c r="W90" t="s">
        <v>13224</v>
      </c>
      <c r="X90">
        <v>8</v>
      </c>
      <c r="Y90" t="s">
        <v>19715</v>
      </c>
      <c r="Z90" t="s">
        <v>26058</v>
      </c>
      <c r="AA90">
        <v>0.43285331231020802</v>
      </c>
      <c r="AB90" t="str">
        <f>HYPERLINK("Melting_Curves/meltCurve_A8MXB9_SUMF2.pdf", "Melting_Curves/meltCurve_A8MXB9_SUMF2.pdf")</f>
        <v>Melting_Curves/meltCurve_A8MXB9_SUMF2.pdf</v>
      </c>
    </row>
    <row r="91" spans="1:28" x14ac:dyDescent="0.25">
      <c r="A91" t="s">
        <v>95</v>
      </c>
      <c r="B91">
        <v>0.99472303558308395</v>
      </c>
      <c r="C91">
        <v>0.82333288529958204</v>
      </c>
      <c r="D91">
        <v>0.75379356417266796</v>
      </c>
      <c r="E91">
        <v>0.43103212791983198</v>
      </c>
      <c r="F91">
        <v>0.31954784357284099</v>
      </c>
      <c r="G91">
        <v>0.24592950601588301</v>
      </c>
      <c r="H91">
        <v>5.8811820787858897E-2</v>
      </c>
      <c r="I91">
        <v>0</v>
      </c>
      <c r="J91">
        <v>0</v>
      </c>
      <c r="K91">
        <v>0</v>
      </c>
      <c r="L91">
        <v>549.35534279849901</v>
      </c>
      <c r="M91">
        <v>11.8447737000354</v>
      </c>
      <c r="N91">
        <v>46.379555791182597</v>
      </c>
      <c r="O91">
        <v>45.116853878102198</v>
      </c>
      <c r="P91">
        <v>-6.5650538842764006E-2</v>
      </c>
      <c r="Q91">
        <v>0</v>
      </c>
      <c r="R91">
        <v>0.98228222733591497</v>
      </c>
      <c r="S91" t="s">
        <v>6659</v>
      </c>
      <c r="T91" t="s">
        <v>13134</v>
      </c>
      <c r="U91" t="s">
        <v>13134</v>
      </c>
      <c r="V91" t="s">
        <v>13134</v>
      </c>
      <c r="W91" t="s">
        <v>13225</v>
      </c>
      <c r="X91">
        <v>1</v>
      </c>
      <c r="Y91" t="s">
        <v>19716</v>
      </c>
      <c r="Z91" t="s">
        <v>26059</v>
      </c>
      <c r="AA91">
        <v>0.34724624549403138</v>
      </c>
      <c r="AB91" t="str">
        <f>HYPERLINK("Melting_Curves/meltCurve_A8MXE8_RAI1.pdf", "Melting_Curves/meltCurve_A8MXE8_RAI1.pdf")</f>
        <v>Melting_Curves/meltCurve_A8MXE8_RAI1.pdf</v>
      </c>
    </row>
    <row r="92" spans="1:28" x14ac:dyDescent="0.25">
      <c r="A92" t="s">
        <v>96</v>
      </c>
      <c r="B92">
        <v>0.99472303558308395</v>
      </c>
      <c r="C92">
        <v>0.91295389699157803</v>
      </c>
      <c r="D92">
        <v>0.72180090214430703</v>
      </c>
      <c r="E92">
        <v>0.36202859068143101</v>
      </c>
      <c r="F92">
        <v>0.21831398006945599</v>
      </c>
      <c r="G92">
        <v>0.121939820310459</v>
      </c>
      <c r="H92">
        <v>8.6616625208931999E-2</v>
      </c>
      <c r="I92">
        <v>6.6101483165539293E-2</v>
      </c>
      <c r="J92">
        <v>7.8693032480721098E-2</v>
      </c>
      <c r="K92">
        <v>7.4427118675569906E-2</v>
      </c>
      <c r="L92">
        <v>820.067372067772</v>
      </c>
      <c r="M92">
        <v>18.2726117698918</v>
      </c>
      <c r="N92">
        <v>45.272333118723601</v>
      </c>
      <c r="O92">
        <v>44.352407077120503</v>
      </c>
      <c r="P92">
        <v>-9.5451882725284001E-2</v>
      </c>
      <c r="Q92">
        <v>7.3295955515807504E-2</v>
      </c>
      <c r="R92">
        <v>0.99846448218388795</v>
      </c>
      <c r="S92" t="s">
        <v>6660</v>
      </c>
      <c r="T92" t="s">
        <v>13134</v>
      </c>
      <c r="U92" t="s">
        <v>13134</v>
      </c>
      <c r="V92" t="s">
        <v>13134</v>
      </c>
      <c r="W92" t="s">
        <v>13226</v>
      </c>
      <c r="X92">
        <v>16</v>
      </c>
      <c r="Y92" t="s">
        <v>19717</v>
      </c>
      <c r="Z92" t="s">
        <v>26060</v>
      </c>
      <c r="AA92">
        <v>0.33144973500701241</v>
      </c>
      <c r="AB92" t="str">
        <f>HYPERLINK("Melting_Curves/meltCurve_A8MXP9_MATR3.pdf", "Melting_Curves/meltCurve_A8MXP9_MATR3.pdf")</f>
        <v>Melting_Curves/meltCurve_A8MXP9_MATR3.pdf</v>
      </c>
    </row>
    <row r="93" spans="1:28" x14ac:dyDescent="0.25">
      <c r="A93" t="s">
        <v>97</v>
      </c>
      <c r="B93">
        <v>0.99472303558308395</v>
      </c>
      <c r="C93">
        <v>0.96179514632887697</v>
      </c>
      <c r="D93">
        <v>0.96114345459279105</v>
      </c>
      <c r="E93">
        <v>0.81507936650571</v>
      </c>
      <c r="F93">
        <v>0.513187154329517</v>
      </c>
      <c r="G93">
        <v>0.41695715286026502</v>
      </c>
      <c r="H93">
        <v>0.36647715151121202</v>
      </c>
      <c r="I93">
        <v>0.42956648790608398</v>
      </c>
      <c r="J93">
        <v>0.52752878421692295</v>
      </c>
      <c r="K93">
        <v>0.56611541952746602</v>
      </c>
      <c r="L93">
        <v>1906.8781887222999</v>
      </c>
      <c r="M93">
        <v>40.296282935984301</v>
      </c>
      <c r="N93">
        <v>50.526545586384799</v>
      </c>
      <c r="O93">
        <v>47.205347963917298</v>
      </c>
      <c r="P93">
        <v>-0.114985562417211</v>
      </c>
      <c r="Q93">
        <v>0.46119869087585003</v>
      </c>
      <c r="R93">
        <v>0.94648609391625005</v>
      </c>
      <c r="S93" t="s">
        <v>6661</v>
      </c>
      <c r="T93" t="s">
        <v>13134</v>
      </c>
      <c r="U93" t="s">
        <v>13134</v>
      </c>
      <c r="V93" t="s">
        <v>13134</v>
      </c>
      <c r="W93" t="s">
        <v>13227</v>
      </c>
      <c r="X93">
        <v>3</v>
      </c>
      <c r="Y93" t="s">
        <v>19718</v>
      </c>
      <c r="Z93" t="s">
        <v>26061</v>
      </c>
      <c r="AA93">
        <v>0.64830892832894804</v>
      </c>
      <c r="AB93" t="str">
        <f>HYPERLINK("Melting_Curves/meltCurve_A8MXQ1_PTTG1IP.pdf", "Melting_Curves/meltCurve_A8MXQ1_PTTG1IP.pdf")</f>
        <v>Melting_Curves/meltCurve_A8MXQ1_PTTG1IP.pdf</v>
      </c>
    </row>
    <row r="94" spans="1:28" x14ac:dyDescent="0.25">
      <c r="A94" t="s">
        <v>98</v>
      </c>
      <c r="B94">
        <v>0.99472303558308395</v>
      </c>
      <c r="C94">
        <v>1.05648573061405</v>
      </c>
      <c r="D94">
        <v>1.00453557591398</v>
      </c>
      <c r="E94">
        <v>0.91398973858803001</v>
      </c>
      <c r="F94">
        <v>0.75907919334740503</v>
      </c>
      <c r="G94">
        <v>0.44191199269142301</v>
      </c>
      <c r="H94">
        <v>0.15988419709340901</v>
      </c>
      <c r="I94">
        <v>6.8221378232141E-2</v>
      </c>
      <c r="J94">
        <v>5.9450326629840802E-2</v>
      </c>
      <c r="K94">
        <v>5.7295059241920798E-2</v>
      </c>
      <c r="L94">
        <v>1119.5141523580501</v>
      </c>
      <c r="M94">
        <v>21.196296361068399</v>
      </c>
      <c r="N94">
        <v>52.972727784891298</v>
      </c>
      <c r="O94">
        <v>52.353129776744701</v>
      </c>
      <c r="P94">
        <v>-9.8153395103144997E-2</v>
      </c>
      <c r="Q94">
        <v>3.0301446687467801E-2</v>
      </c>
      <c r="R94">
        <v>0.99658229838904699</v>
      </c>
      <c r="S94" t="s">
        <v>6662</v>
      </c>
      <c r="T94" t="s">
        <v>13134</v>
      </c>
      <c r="U94" t="s">
        <v>13134</v>
      </c>
      <c r="V94" t="s">
        <v>13134</v>
      </c>
      <c r="W94" t="s">
        <v>13228</v>
      </c>
      <c r="X94">
        <v>5</v>
      </c>
      <c r="Y94" t="s">
        <v>19719</v>
      </c>
      <c r="Z94" t="s">
        <v>26062</v>
      </c>
      <c r="AA94">
        <v>0.5527964843463703</v>
      </c>
      <c r="AB94" t="str">
        <f>HYPERLINK("Melting_Curves/meltCurve_A8MXV4_NUDT19.pdf", "Melting_Curves/meltCurve_A8MXV4_NUDT19.pdf")</f>
        <v>Melting_Curves/meltCurve_A8MXV4_NUDT19.pdf</v>
      </c>
    </row>
    <row r="95" spans="1:28" x14ac:dyDescent="0.25">
      <c r="A95" t="s">
        <v>99</v>
      </c>
      <c r="B95">
        <v>0.99472303558308395</v>
      </c>
      <c r="C95">
        <v>0.98352265795398097</v>
      </c>
      <c r="D95">
        <v>0.94095180270075895</v>
      </c>
      <c r="E95">
        <v>0.84103420351867797</v>
      </c>
      <c r="F95">
        <v>0.64285488540633795</v>
      </c>
      <c r="G95">
        <v>0.39416779302654498</v>
      </c>
      <c r="H95">
        <v>0.19786565420068</v>
      </c>
      <c r="I95">
        <v>0.115686974824913</v>
      </c>
      <c r="J95">
        <v>9.4899895699722597E-2</v>
      </c>
      <c r="K95">
        <v>8.9637332395334196E-2</v>
      </c>
      <c r="L95">
        <v>793.05097710870405</v>
      </c>
      <c r="M95">
        <v>15.338036898696499</v>
      </c>
      <c r="N95">
        <v>52.026743935553903</v>
      </c>
      <c r="O95">
        <v>50.849852112421999</v>
      </c>
      <c r="P95">
        <v>-7.2001664875427293E-2</v>
      </c>
      <c r="Q95">
        <v>4.5266274775981101E-2</v>
      </c>
      <c r="R95">
        <v>0.99890231176318001</v>
      </c>
      <c r="S95" t="s">
        <v>6663</v>
      </c>
      <c r="T95" t="s">
        <v>13134</v>
      </c>
      <c r="U95" t="s">
        <v>13134</v>
      </c>
      <c r="V95" t="s">
        <v>13134</v>
      </c>
      <c r="W95" t="s">
        <v>13229</v>
      </c>
      <c r="X95">
        <v>9</v>
      </c>
      <c r="Y95" t="s">
        <v>19720</v>
      </c>
      <c r="Z95" t="s">
        <v>26063</v>
      </c>
      <c r="AA95">
        <v>0.53131896148900004</v>
      </c>
      <c r="AB95" t="str">
        <f>HYPERLINK("Melting_Curves/meltCurve_A9UHW6_MIF4GD.pdf", "Melting_Curves/meltCurve_A9UHW6_MIF4GD.pdf")</f>
        <v>Melting_Curves/meltCurve_A9UHW6_MIF4GD.pdf</v>
      </c>
    </row>
    <row r="96" spans="1:28" x14ac:dyDescent="0.25">
      <c r="A96" t="s">
        <v>100</v>
      </c>
      <c r="B96">
        <v>0.99472303558308395</v>
      </c>
      <c r="C96">
        <v>0.94309689859533996</v>
      </c>
      <c r="D96">
        <v>0.92989243849627801</v>
      </c>
      <c r="E96">
        <v>0.78597448188178998</v>
      </c>
      <c r="F96">
        <v>0.60079182991992297</v>
      </c>
      <c r="G96">
        <v>0.36244543126383599</v>
      </c>
      <c r="H96">
        <v>0.192841326916667</v>
      </c>
      <c r="I96">
        <v>0.13969074676943599</v>
      </c>
      <c r="J96">
        <v>0.161096322942168</v>
      </c>
      <c r="K96">
        <v>0.12408213138713201</v>
      </c>
      <c r="L96">
        <v>741.46678856389701</v>
      </c>
      <c r="M96">
        <v>14.6534211826489</v>
      </c>
      <c r="N96">
        <v>51.306106803719899</v>
      </c>
      <c r="O96">
        <v>49.685892599182203</v>
      </c>
      <c r="P96">
        <v>-6.7007000352312995E-2</v>
      </c>
      <c r="Q96">
        <v>9.1288220881812293E-2</v>
      </c>
      <c r="R96">
        <v>0.995713637546362</v>
      </c>
      <c r="S96" t="s">
        <v>6664</v>
      </c>
      <c r="T96" t="s">
        <v>13134</v>
      </c>
      <c r="U96" t="s">
        <v>13134</v>
      </c>
      <c r="V96" t="s">
        <v>13134</v>
      </c>
      <c r="W96" t="s">
        <v>13230</v>
      </c>
      <c r="X96">
        <v>11</v>
      </c>
      <c r="Y96" t="s">
        <v>19721</v>
      </c>
      <c r="Z96" t="s">
        <v>26064</v>
      </c>
      <c r="AA96">
        <v>0.52243713410907755</v>
      </c>
      <c r="AB96" t="str">
        <f>HYPERLINK("Melting_Curves/meltCurve_A9Z1X7_SRRM1.pdf", "Melting_Curves/meltCurve_A9Z1X7_SRRM1.pdf")</f>
        <v>Melting_Curves/meltCurve_A9Z1X7_SRRM1.pdf</v>
      </c>
    </row>
    <row r="97" spans="1:28" x14ac:dyDescent="0.25">
      <c r="A97" t="s">
        <v>101</v>
      </c>
      <c r="B97">
        <v>0.99472303558308395</v>
      </c>
      <c r="C97">
        <v>1.0111169870743399</v>
      </c>
      <c r="D97">
        <v>0.93830340269926105</v>
      </c>
      <c r="E97">
        <v>0.88378563395520704</v>
      </c>
      <c r="F97">
        <v>0.76776805186445896</v>
      </c>
      <c r="G97">
        <v>0.44086187380488701</v>
      </c>
      <c r="H97">
        <v>0.161178019184473</v>
      </c>
      <c r="I97">
        <v>6.1741616876410201E-2</v>
      </c>
      <c r="J97">
        <v>5.8517495757082399E-2</v>
      </c>
      <c r="K97">
        <v>5.26585763247139E-2</v>
      </c>
      <c r="L97">
        <v>1039.31798882167</v>
      </c>
      <c r="M97">
        <v>19.659106240973198</v>
      </c>
      <c r="N97">
        <v>52.958535762313801</v>
      </c>
      <c r="O97">
        <v>52.329091960384602</v>
      </c>
      <c r="P97">
        <v>-9.2354886765626101E-2</v>
      </c>
      <c r="Q97">
        <v>1.6704227009629299E-2</v>
      </c>
      <c r="R97">
        <v>0.99505128404064203</v>
      </c>
      <c r="S97" t="s">
        <v>6665</v>
      </c>
      <c r="T97" t="s">
        <v>13134</v>
      </c>
      <c r="U97" t="s">
        <v>13134</v>
      </c>
      <c r="V97" t="s">
        <v>13134</v>
      </c>
      <c r="W97" t="s">
        <v>13231</v>
      </c>
      <c r="X97">
        <v>21</v>
      </c>
      <c r="Y97" t="s">
        <v>19722</v>
      </c>
      <c r="Z97" t="s">
        <v>26065</v>
      </c>
      <c r="AA97">
        <v>0.54951991029923741</v>
      </c>
      <c r="AB97" t="str">
        <f>HYPERLINK("Melting_Curves/meltCurve_B0FLL2_PFKFB2.pdf", "Melting_Curves/meltCurve_B0FLL2_PFKFB2.pdf")</f>
        <v>Melting_Curves/meltCurve_B0FLL2_PFKFB2.pdf</v>
      </c>
    </row>
    <row r="98" spans="1:28" x14ac:dyDescent="0.25">
      <c r="A98" t="s">
        <v>102</v>
      </c>
      <c r="B98">
        <v>0.99472303558308395</v>
      </c>
      <c r="C98">
        <v>1.29250514359408</v>
      </c>
      <c r="D98">
        <v>0.83567143570086</v>
      </c>
      <c r="E98">
        <v>0.81457268645176595</v>
      </c>
      <c r="F98">
        <v>0.63571639712354799</v>
      </c>
      <c r="G98">
        <v>0.42145895021683799</v>
      </c>
      <c r="H98">
        <v>0.28719538673674799</v>
      </c>
      <c r="I98">
        <v>0.22945735080476901</v>
      </c>
      <c r="J98">
        <v>0.31147398650671199</v>
      </c>
      <c r="K98">
        <v>0.28315331782384001</v>
      </c>
      <c r="L98">
        <v>875.10395480613295</v>
      </c>
      <c r="M98">
        <v>17.555165870222801</v>
      </c>
      <c r="N98">
        <v>51.9338516347254</v>
      </c>
      <c r="O98">
        <v>49.215455582424099</v>
      </c>
      <c r="P98">
        <v>-6.66264604088843E-2</v>
      </c>
      <c r="Q98">
        <v>0.252898416965396</v>
      </c>
      <c r="R98">
        <v>0.90453519989134201</v>
      </c>
      <c r="S98" t="s">
        <v>6666</v>
      </c>
      <c r="T98" t="s">
        <v>13134</v>
      </c>
      <c r="U98" t="s">
        <v>13134</v>
      </c>
      <c r="V98" t="s">
        <v>13134</v>
      </c>
      <c r="W98" t="s">
        <v>13232</v>
      </c>
      <c r="X98">
        <v>1</v>
      </c>
      <c r="Y98" t="s">
        <v>19723</v>
      </c>
      <c r="Z98" t="s">
        <v>26066</v>
      </c>
      <c r="AA98">
        <v>0.58516537434512716</v>
      </c>
      <c r="AB98" t="str">
        <f>HYPERLINK("Melting_Curves/meltCurve_B0QXZ8_HMGXB4.pdf", "Melting_Curves/meltCurve_B0QXZ8_HMGXB4.pdf")</f>
        <v>Melting_Curves/meltCurve_B0QXZ8_HMGXB4.pdf</v>
      </c>
    </row>
    <row r="99" spans="1:28" x14ac:dyDescent="0.25">
      <c r="A99" t="s">
        <v>103</v>
      </c>
      <c r="B99">
        <v>0.99472303558308395</v>
      </c>
      <c r="C99">
        <v>0.84445169576663903</v>
      </c>
      <c r="D99">
        <v>0.69954902251671802</v>
      </c>
      <c r="E99">
        <v>0.60663032813273199</v>
      </c>
      <c r="F99">
        <v>0.93206645738474303</v>
      </c>
      <c r="G99">
        <v>0.25308195054184501</v>
      </c>
      <c r="H99">
        <v>7.3149417450294907E-2</v>
      </c>
      <c r="I99">
        <v>4.6713597551738803E-2</v>
      </c>
      <c r="J99">
        <v>4.1794115908886403E-2</v>
      </c>
      <c r="K99">
        <v>3.7934007077116902E-2</v>
      </c>
      <c r="L99">
        <v>593.23363267220395</v>
      </c>
      <c r="M99">
        <v>11.6984499620539</v>
      </c>
      <c r="N99">
        <v>50.710446652463297</v>
      </c>
      <c r="O99">
        <v>49.2966485932944</v>
      </c>
      <c r="P99">
        <v>-5.9342585353174701E-2</v>
      </c>
      <c r="Q99">
        <v>0</v>
      </c>
      <c r="R99">
        <v>0.82049325238800097</v>
      </c>
      <c r="S99" t="s">
        <v>6667</v>
      </c>
      <c r="T99" t="s">
        <v>13134</v>
      </c>
      <c r="U99" t="s">
        <v>13134</v>
      </c>
      <c r="V99" t="s">
        <v>13134</v>
      </c>
      <c r="W99" t="s">
        <v>13233</v>
      </c>
      <c r="X99">
        <v>20</v>
      </c>
      <c r="Y99" t="s">
        <v>19724</v>
      </c>
      <c r="Z99" t="s">
        <v>26067</v>
      </c>
      <c r="AA99">
        <v>0.48435091061582219</v>
      </c>
      <c r="AB99" t="str">
        <f>HYPERLINK("Melting_Curves/meltCurve_B0QY89_EIF3L.pdf", "Melting_Curves/meltCurve_B0QY89_EIF3L.pdf")</f>
        <v>Melting_Curves/meltCurve_B0QY89_EIF3L.pdf</v>
      </c>
    </row>
    <row r="100" spans="1:28" x14ac:dyDescent="0.25">
      <c r="A100" t="s">
        <v>104</v>
      </c>
      <c r="B100">
        <v>0.99472303558308395</v>
      </c>
      <c r="C100">
        <v>0.93573770253118704</v>
      </c>
      <c r="D100">
        <v>0.93252135006704595</v>
      </c>
      <c r="E100">
        <v>0.74553798919953795</v>
      </c>
      <c r="F100">
        <v>0.53160568600464997</v>
      </c>
      <c r="G100">
        <v>0.28784464813337901</v>
      </c>
      <c r="H100">
        <v>0.104181521212259</v>
      </c>
      <c r="I100">
        <v>7.5277186324701706E-2</v>
      </c>
      <c r="J100">
        <v>9.2938795975139696E-2</v>
      </c>
      <c r="K100">
        <v>0.105921064396408</v>
      </c>
      <c r="L100">
        <v>793.60157098642901</v>
      </c>
      <c r="M100">
        <v>15.917012213237999</v>
      </c>
      <c r="N100">
        <v>50.2037594584055</v>
      </c>
      <c r="O100">
        <v>49.091620671027698</v>
      </c>
      <c r="P100">
        <v>-7.6863675486086802E-2</v>
      </c>
      <c r="Q100">
        <v>5.1816927062266198E-2</v>
      </c>
      <c r="R100">
        <v>0.99370364361996799</v>
      </c>
      <c r="S100" t="s">
        <v>6668</v>
      </c>
      <c r="T100" t="s">
        <v>13134</v>
      </c>
      <c r="U100" t="s">
        <v>13134</v>
      </c>
      <c r="V100" t="s">
        <v>13134</v>
      </c>
      <c r="W100" t="s">
        <v>13234</v>
      </c>
      <c r="X100">
        <v>10</v>
      </c>
      <c r="Y100" t="s">
        <v>19725</v>
      </c>
      <c r="Z100" t="s">
        <v>26068</v>
      </c>
      <c r="AA100">
        <v>0.47644567037998531</v>
      </c>
      <c r="AB100" t="str">
        <f>HYPERLINK("Melting_Curves/meltCurve_B0QY95_SMCR7L.pdf", "Melting_Curves/meltCurve_B0QY95_SMCR7L.pdf")</f>
        <v>Melting_Curves/meltCurve_B0QY95_SMCR7L.pdf</v>
      </c>
    </row>
    <row r="101" spans="1:28" x14ac:dyDescent="0.25">
      <c r="A101" t="s">
        <v>105</v>
      </c>
      <c r="B101">
        <v>0.99472303558308395</v>
      </c>
      <c r="C101">
        <v>0.92032145971770696</v>
      </c>
      <c r="D101">
        <v>0.83356938253359203</v>
      </c>
      <c r="E101">
        <v>0.76349999440747696</v>
      </c>
      <c r="F101">
        <v>0.73111207007964896</v>
      </c>
      <c r="G101">
        <v>0.39255152353782202</v>
      </c>
      <c r="H101">
        <v>0.22630993751478201</v>
      </c>
      <c r="I101">
        <v>9.5580919593148406E-2</v>
      </c>
      <c r="J101">
        <v>7.5980138627313898E-2</v>
      </c>
      <c r="K101">
        <v>8.6230384308814995E-2</v>
      </c>
      <c r="L101">
        <v>626.82188298931806</v>
      </c>
      <c r="M101">
        <v>12.031004620799299</v>
      </c>
      <c r="N101">
        <v>52.100543776906399</v>
      </c>
      <c r="O101">
        <v>50.723739775936401</v>
      </c>
      <c r="P101">
        <v>-5.93108676783526E-2</v>
      </c>
      <c r="Q101">
        <v>0</v>
      </c>
      <c r="R101">
        <v>0.97454667075160994</v>
      </c>
      <c r="S101" t="s">
        <v>6669</v>
      </c>
      <c r="T101" t="s">
        <v>13134</v>
      </c>
      <c r="U101" t="s">
        <v>13134</v>
      </c>
      <c r="V101" t="s">
        <v>13134</v>
      </c>
      <c r="W101" t="s">
        <v>13235</v>
      </c>
      <c r="X101">
        <v>4</v>
      </c>
      <c r="Y101" t="s">
        <v>19726</v>
      </c>
      <c r="Z101" t="s">
        <v>26069</v>
      </c>
      <c r="AA101">
        <v>0.52681155501293941</v>
      </c>
      <c r="AB101" t="str">
        <f>HYPERLINK("Melting_Curves/meltCurve_B0QYI3_TBC1D22A.pdf", "Melting_Curves/meltCurve_B0QYI3_TBC1D22A.pdf")</f>
        <v>Melting_Curves/meltCurve_B0QYI3_TBC1D22A.pdf</v>
      </c>
    </row>
    <row r="102" spans="1:28" x14ac:dyDescent="0.25">
      <c r="A102" t="s">
        <v>106</v>
      </c>
      <c r="B102">
        <v>0.99472303558308395</v>
      </c>
      <c r="C102">
        <v>0.88584325222390603</v>
      </c>
      <c r="D102">
        <v>0.95316655057935296</v>
      </c>
      <c r="E102">
        <v>0.79144383536020801</v>
      </c>
      <c r="F102">
        <v>0.58975366167835197</v>
      </c>
      <c r="G102">
        <v>0.455498018698348</v>
      </c>
      <c r="H102">
        <v>0.41278902693863401</v>
      </c>
      <c r="I102">
        <v>0.43026107762341897</v>
      </c>
      <c r="J102">
        <v>0.48119661280533099</v>
      </c>
      <c r="K102">
        <v>0.37954031468508798</v>
      </c>
      <c r="L102">
        <v>912.74615806613497</v>
      </c>
      <c r="M102">
        <v>19.064760411708399</v>
      </c>
      <c r="N102">
        <v>52.704006475060602</v>
      </c>
      <c r="O102">
        <v>47.358669669333203</v>
      </c>
      <c r="P102">
        <v>-5.9098198999249903E-2</v>
      </c>
      <c r="Q102">
        <v>0.41280103376253602</v>
      </c>
      <c r="R102">
        <v>0.96797857635925999</v>
      </c>
      <c r="S102" t="s">
        <v>6670</v>
      </c>
      <c r="T102" t="s">
        <v>13134</v>
      </c>
      <c r="U102" t="s">
        <v>13134</v>
      </c>
      <c r="V102" t="s">
        <v>13134</v>
      </c>
      <c r="W102" t="s">
        <v>13236</v>
      </c>
      <c r="X102">
        <v>8</v>
      </c>
      <c r="Y102" t="s">
        <v>19727</v>
      </c>
      <c r="Z102" t="s">
        <v>26070</v>
      </c>
      <c r="AA102">
        <v>0.63412264824771214</v>
      </c>
      <c r="AB102" t="str">
        <f>HYPERLINK("Melting_Curves/meltCurve_B0QYK0_EWSR1.pdf", "Melting_Curves/meltCurve_B0QYK0_EWSR1.pdf")</f>
        <v>Melting_Curves/meltCurve_B0QYK0_EWSR1.pdf</v>
      </c>
    </row>
    <row r="103" spans="1:28" x14ac:dyDescent="0.25">
      <c r="A103" t="s">
        <v>107</v>
      </c>
      <c r="B103">
        <v>0.99472303558308395</v>
      </c>
      <c r="C103">
        <v>0.84557951534574904</v>
      </c>
      <c r="D103">
        <v>0.80462334482906595</v>
      </c>
      <c r="E103">
        <v>0.74126297904331895</v>
      </c>
      <c r="F103">
        <v>0.61037161137314899</v>
      </c>
      <c r="G103">
        <v>0.63392130618513598</v>
      </c>
      <c r="H103">
        <v>0.57750580037604404</v>
      </c>
      <c r="I103">
        <v>0.54619238291323602</v>
      </c>
      <c r="J103">
        <v>0.96519567447349996</v>
      </c>
      <c r="K103">
        <v>0.80927314801763395</v>
      </c>
      <c r="L103">
        <v>865.55294876286803</v>
      </c>
      <c r="M103">
        <v>21.261074281829998</v>
      </c>
      <c r="O103">
        <v>40.355667013673298</v>
      </c>
      <c r="P103">
        <v>-4.0041135592426398E-2</v>
      </c>
      <c r="Q103">
        <v>0.69599928928308297</v>
      </c>
      <c r="R103">
        <v>0.38933194041971397</v>
      </c>
      <c r="S103" t="s">
        <v>6671</v>
      </c>
      <c r="T103" t="s">
        <v>13134</v>
      </c>
      <c r="U103" t="s">
        <v>13134</v>
      </c>
      <c r="V103" t="s">
        <v>13134</v>
      </c>
      <c r="W103" t="s">
        <v>13237</v>
      </c>
      <c r="X103">
        <v>2</v>
      </c>
      <c r="Y103" t="s">
        <v>19728</v>
      </c>
      <c r="Z103" t="s">
        <v>26071</v>
      </c>
      <c r="AA103">
        <v>0.73834301604493868</v>
      </c>
      <c r="AB103" t="str">
        <f>HYPERLINK("Melting_Curves/meltCurve_B0QYW5_SLC25A17.pdf", "Melting_Curves/meltCurve_B0QYW5_SLC25A17.pdf")</f>
        <v>Melting_Curves/meltCurve_B0QYW5_SLC25A17.pdf</v>
      </c>
    </row>
    <row r="104" spans="1:28" x14ac:dyDescent="0.25">
      <c r="A104" t="s">
        <v>108</v>
      </c>
      <c r="B104">
        <v>0.99472303558308395</v>
      </c>
      <c r="C104">
        <v>0.94287282014874696</v>
      </c>
      <c r="D104">
        <v>0.74926657132713703</v>
      </c>
      <c r="E104">
        <v>0.43048158131362302</v>
      </c>
      <c r="F104">
        <v>0.21527179544431399</v>
      </c>
      <c r="G104">
        <v>0.123397020396425</v>
      </c>
      <c r="H104">
        <v>5.9613439803301999E-2</v>
      </c>
      <c r="I104">
        <v>9.5554382176931296E-2</v>
      </c>
      <c r="J104">
        <v>5.9039066635174699E-2</v>
      </c>
      <c r="K104">
        <v>3.0841576945076998E-2</v>
      </c>
      <c r="L104">
        <v>802.60649574073602</v>
      </c>
      <c r="M104">
        <v>17.610831740378799</v>
      </c>
      <c r="N104">
        <v>45.866391218421803</v>
      </c>
      <c r="O104">
        <v>44.999131645147301</v>
      </c>
      <c r="P104">
        <v>-9.2659793550746994E-2</v>
      </c>
      <c r="Q104">
        <v>5.2995078643764799E-2</v>
      </c>
      <c r="R104">
        <v>0.99812439874075598</v>
      </c>
      <c r="S104" t="s">
        <v>6672</v>
      </c>
      <c r="T104" t="s">
        <v>13134</v>
      </c>
      <c r="U104" t="s">
        <v>13134</v>
      </c>
      <c r="V104" t="s">
        <v>13134</v>
      </c>
      <c r="W104" t="s">
        <v>13238</v>
      </c>
      <c r="X104">
        <v>2</v>
      </c>
      <c r="Y104" t="s">
        <v>19729</v>
      </c>
      <c r="Z104" t="s">
        <v>26072</v>
      </c>
      <c r="AA104">
        <v>0.33974318919033147</v>
      </c>
      <c r="AB104" t="str">
        <f>HYPERLINK("Melting_Curves/meltCurve_B0S7V7_CCHCR1.pdf", "Melting_Curves/meltCurve_B0S7V7_CCHCR1.pdf")</f>
        <v>Melting_Curves/meltCurve_B0S7V7_CCHCR1.pdf</v>
      </c>
    </row>
    <row r="105" spans="1:28" x14ac:dyDescent="0.25">
      <c r="A105" t="s">
        <v>109</v>
      </c>
      <c r="B105">
        <v>0.99472303558308395</v>
      </c>
      <c r="C105">
        <v>0.93271387440247</v>
      </c>
      <c r="D105">
        <v>0.85740740243275704</v>
      </c>
      <c r="E105">
        <v>0.59035768108718201</v>
      </c>
      <c r="F105">
        <v>0.235738310741051</v>
      </c>
      <c r="G105">
        <v>0.102936332573211</v>
      </c>
      <c r="H105">
        <v>6.0391945484698902E-2</v>
      </c>
      <c r="I105">
        <v>4.7114647301082002E-2</v>
      </c>
      <c r="J105">
        <v>4.6995108465181998E-2</v>
      </c>
      <c r="K105">
        <v>3.9367636591299202E-2</v>
      </c>
      <c r="L105">
        <v>919.46695203522995</v>
      </c>
      <c r="M105">
        <v>19.5308786101821</v>
      </c>
      <c r="N105">
        <v>47.244637165761802</v>
      </c>
      <c r="O105">
        <v>46.592397544062699</v>
      </c>
      <c r="P105">
        <v>-0.101304018077327</v>
      </c>
      <c r="Q105">
        <v>3.3360774570219097E-2</v>
      </c>
      <c r="R105">
        <v>0.99810307079826799</v>
      </c>
      <c r="S105" t="s">
        <v>6673</v>
      </c>
      <c r="T105" t="s">
        <v>13134</v>
      </c>
      <c r="U105" t="s">
        <v>13134</v>
      </c>
      <c r="V105" t="s">
        <v>13134</v>
      </c>
      <c r="W105" t="s">
        <v>13239</v>
      </c>
      <c r="X105">
        <v>33</v>
      </c>
      <c r="Y105" t="s">
        <v>19730</v>
      </c>
      <c r="Z105" t="s">
        <v>26073</v>
      </c>
      <c r="AA105">
        <v>0.37133139409715549</v>
      </c>
      <c r="AB105" t="str">
        <f>HYPERLINK("Melting_Curves/meltCurve_B0UX83_BAG6.pdf", "Melting_Curves/meltCurve_B0UX83_BAG6.pdf")</f>
        <v>Melting_Curves/meltCurve_B0UX83_BAG6.pdf</v>
      </c>
    </row>
    <row r="106" spans="1:28" x14ac:dyDescent="0.25">
      <c r="A106" t="s">
        <v>110</v>
      </c>
      <c r="B106">
        <v>0.99472303558308395</v>
      </c>
      <c r="C106">
        <v>0.94664245543705305</v>
      </c>
      <c r="D106">
        <v>0.95203052237626495</v>
      </c>
      <c r="E106">
        <v>0.77056018028978901</v>
      </c>
      <c r="F106">
        <v>0.35356600572943397</v>
      </c>
      <c r="G106">
        <v>0.16659926836764799</v>
      </c>
      <c r="H106">
        <v>0.128963748722174</v>
      </c>
      <c r="I106">
        <v>8.4717146409485897E-2</v>
      </c>
      <c r="J106">
        <v>0.11686939814146199</v>
      </c>
      <c r="K106">
        <v>9.8725318916042498E-2</v>
      </c>
      <c r="L106">
        <v>1242.02581430239</v>
      </c>
      <c r="M106">
        <v>25.641438636826202</v>
      </c>
      <c r="N106">
        <v>48.867915055943797</v>
      </c>
      <c r="O106">
        <v>48.146491457398803</v>
      </c>
      <c r="P106">
        <v>-0.119706690597916</v>
      </c>
      <c r="Q106">
        <v>0.100926097450682</v>
      </c>
      <c r="R106">
        <v>0.99750540118578102</v>
      </c>
      <c r="S106" t="s">
        <v>6674</v>
      </c>
      <c r="T106" t="s">
        <v>13134</v>
      </c>
      <c r="U106" t="s">
        <v>13134</v>
      </c>
      <c r="V106" t="s">
        <v>13134</v>
      </c>
      <c r="W106" t="s">
        <v>13240</v>
      </c>
      <c r="X106">
        <v>15</v>
      </c>
      <c r="Y106" t="s">
        <v>19731</v>
      </c>
      <c r="Z106" t="s">
        <v>26074</v>
      </c>
      <c r="AA106">
        <v>0.45105473120558398</v>
      </c>
      <c r="AB106" t="str">
        <f>HYPERLINK("Melting_Curves/meltCurve_B0UXB6_ABHD16A.pdf", "Melting_Curves/meltCurve_B0UXB6_ABHD16A.pdf")</f>
        <v>Melting_Curves/meltCurve_B0UXB6_ABHD16A.pdf</v>
      </c>
    </row>
    <row r="107" spans="1:28" x14ac:dyDescent="0.25">
      <c r="A107" t="s">
        <v>111</v>
      </c>
      <c r="B107">
        <v>0.99472303558308395</v>
      </c>
      <c r="C107">
        <v>0.95727772377987497</v>
      </c>
      <c r="D107">
        <v>0.69317539949884699</v>
      </c>
      <c r="E107">
        <v>0.50743824572333096</v>
      </c>
      <c r="F107">
        <v>0.28151241866265297</v>
      </c>
      <c r="G107">
        <v>0.15258671342543501</v>
      </c>
      <c r="H107">
        <v>8.9682630608874006E-2</v>
      </c>
      <c r="I107">
        <v>6.9417187266392302E-2</v>
      </c>
      <c r="J107">
        <v>8.6086601840457799E-2</v>
      </c>
      <c r="K107">
        <v>6.9411221497741205E-2</v>
      </c>
      <c r="L107">
        <v>671.35616603811798</v>
      </c>
      <c r="M107">
        <v>14.590759152151501</v>
      </c>
      <c r="N107">
        <v>46.3864185719681</v>
      </c>
      <c r="O107">
        <v>45.174025694336301</v>
      </c>
      <c r="P107">
        <v>-7.6275254332238002E-2</v>
      </c>
      <c r="Q107">
        <v>5.5491937720790897E-2</v>
      </c>
      <c r="R107">
        <v>0.99414196024217205</v>
      </c>
      <c r="S107" t="s">
        <v>6675</v>
      </c>
      <c r="T107" t="s">
        <v>13134</v>
      </c>
      <c r="U107" t="s">
        <v>13134</v>
      </c>
      <c r="V107" t="s">
        <v>13134</v>
      </c>
      <c r="W107" t="s">
        <v>13241</v>
      </c>
      <c r="X107">
        <v>11</v>
      </c>
      <c r="Y107" t="s">
        <v>19732</v>
      </c>
      <c r="Z107" t="s">
        <v>26075</v>
      </c>
      <c r="AA107">
        <v>0.36217525943403461</v>
      </c>
      <c r="AB107" t="str">
        <f>HYPERLINK("Melting_Curves/meltCurve_B0UZY3_EHMT2.pdf", "Melting_Curves/meltCurve_B0UZY3_EHMT2.pdf")</f>
        <v>Melting_Curves/meltCurve_B0UZY3_EHMT2.pdf</v>
      </c>
    </row>
    <row r="108" spans="1:28" x14ac:dyDescent="0.25">
      <c r="A108" t="s">
        <v>112</v>
      </c>
      <c r="B108">
        <v>0.99472303558308395</v>
      </c>
      <c r="C108">
        <v>1.03664184549014</v>
      </c>
      <c r="D108">
        <v>1.0379898209729199</v>
      </c>
      <c r="E108">
        <v>0.935013323587361</v>
      </c>
      <c r="F108">
        <v>0.75485704820296295</v>
      </c>
      <c r="G108">
        <v>0.59698084794804196</v>
      </c>
      <c r="H108">
        <v>0.547806850045222</v>
      </c>
      <c r="I108">
        <v>0.61635767144615905</v>
      </c>
      <c r="J108">
        <v>0.94236443658691704</v>
      </c>
      <c r="K108">
        <v>0.68687067467282503</v>
      </c>
      <c r="L108">
        <v>2067.4994006274901</v>
      </c>
      <c r="M108">
        <v>42.749886757036201</v>
      </c>
      <c r="O108">
        <v>48.257224203213298</v>
      </c>
      <c r="P108">
        <v>-7.0816121845506994E-2</v>
      </c>
      <c r="Q108">
        <v>0.680243953157879</v>
      </c>
      <c r="R108">
        <v>0.70141531617741903</v>
      </c>
      <c r="S108" t="s">
        <v>6676</v>
      </c>
      <c r="T108" t="s">
        <v>13134</v>
      </c>
      <c r="U108" t="s">
        <v>13134</v>
      </c>
      <c r="V108" t="s">
        <v>13134</v>
      </c>
      <c r="W108" t="s">
        <v>13242</v>
      </c>
      <c r="X108">
        <v>1</v>
      </c>
      <c r="Y108" t="s">
        <v>19733</v>
      </c>
      <c r="Z108" t="s">
        <v>26076</v>
      </c>
      <c r="AA108">
        <v>0.80228846697465606</v>
      </c>
      <c r="AB108" t="str">
        <f>HYPERLINK("Melting_Curves/meltCurve_B0YIW2_APOC3.pdf", "Melting_Curves/meltCurve_B0YIW2_APOC3.pdf")</f>
        <v>Melting_Curves/meltCurve_B0YIW2_APOC3.pdf</v>
      </c>
    </row>
    <row r="109" spans="1:28" x14ac:dyDescent="0.25">
      <c r="A109" t="s">
        <v>113</v>
      </c>
      <c r="B109">
        <v>0.99472303558308395</v>
      </c>
      <c r="C109">
        <v>0.91417828875140195</v>
      </c>
      <c r="D109">
        <v>1.0338103468743101</v>
      </c>
      <c r="E109">
        <v>0.70646084034088996</v>
      </c>
      <c r="F109">
        <v>0.60586092189852103</v>
      </c>
      <c r="G109">
        <v>0.45523442111918699</v>
      </c>
      <c r="H109">
        <v>0.42737275108171302</v>
      </c>
      <c r="I109">
        <v>0.301295937517222</v>
      </c>
      <c r="J109">
        <v>0.37852049626916501</v>
      </c>
      <c r="K109">
        <v>0.25810180771910202</v>
      </c>
      <c r="L109">
        <v>688.27280633431997</v>
      </c>
      <c r="M109">
        <v>14.000381683678</v>
      </c>
      <c r="N109">
        <v>52.523736004242899</v>
      </c>
      <c r="O109">
        <v>48.190586154592701</v>
      </c>
      <c r="P109">
        <v>-5.1140554905824698E-2</v>
      </c>
      <c r="Q109">
        <v>0.29597105067357699</v>
      </c>
      <c r="R109">
        <v>0.95743350379359204</v>
      </c>
      <c r="S109" t="s">
        <v>6677</v>
      </c>
      <c r="T109" t="s">
        <v>13134</v>
      </c>
      <c r="U109" t="s">
        <v>13134</v>
      </c>
      <c r="V109" t="s">
        <v>13134</v>
      </c>
      <c r="W109" t="s">
        <v>13243</v>
      </c>
      <c r="X109">
        <v>1</v>
      </c>
      <c r="Y109" t="s">
        <v>19734</v>
      </c>
      <c r="Z109" t="s">
        <v>26077</v>
      </c>
      <c r="AA109">
        <v>0.59810160451489858</v>
      </c>
      <c r="AB109" t="str">
        <f>HYPERLINK("Melting_Curves/meltCurve_B1AH87_TSPO.pdf", "Melting_Curves/meltCurve_B1AH87_TSPO.pdf")</f>
        <v>Melting_Curves/meltCurve_B1AH87_TSPO.pdf</v>
      </c>
    </row>
    <row r="110" spans="1:28" x14ac:dyDescent="0.25">
      <c r="A110" t="s">
        <v>114</v>
      </c>
      <c r="B110">
        <v>0.99472303558308395</v>
      </c>
      <c r="C110">
        <v>1.06170775907496</v>
      </c>
      <c r="D110">
        <v>0.97164584713039603</v>
      </c>
      <c r="E110">
        <v>0.89490216903591802</v>
      </c>
      <c r="F110">
        <v>0.73130076658684795</v>
      </c>
      <c r="G110">
        <v>0.58841174165101195</v>
      </c>
      <c r="H110">
        <v>0.30627108430161598</v>
      </c>
      <c r="I110">
        <v>0.17607967603142799</v>
      </c>
      <c r="J110">
        <v>0.16173097296366501</v>
      </c>
      <c r="K110">
        <v>0.141176306833904</v>
      </c>
      <c r="L110">
        <v>798.904733895101</v>
      </c>
      <c r="M110">
        <v>14.877670275321</v>
      </c>
      <c r="N110">
        <v>54.3023893045875</v>
      </c>
      <c r="O110">
        <v>52.756093208983401</v>
      </c>
      <c r="P110">
        <v>-6.5131482152428602E-2</v>
      </c>
      <c r="Q110">
        <v>7.62736347014146E-2</v>
      </c>
      <c r="R110">
        <v>0.991347307835311</v>
      </c>
      <c r="S110" t="s">
        <v>6678</v>
      </c>
      <c r="T110" t="s">
        <v>13134</v>
      </c>
      <c r="U110" t="s">
        <v>13134</v>
      </c>
      <c r="V110" t="s">
        <v>13134</v>
      </c>
      <c r="W110" t="s">
        <v>13244</v>
      </c>
      <c r="X110">
        <v>5</v>
      </c>
      <c r="Y110" t="s">
        <v>19735</v>
      </c>
      <c r="Z110" t="s">
        <v>26078</v>
      </c>
      <c r="AA110">
        <v>0.60598924273636556</v>
      </c>
      <c r="AB110" t="str">
        <f>HYPERLINK("Melting_Curves/meltCurve_B1AHD1_NHP2L1.pdf", "Melting_Curves/meltCurve_B1AHD1_NHP2L1.pdf")</f>
        <v>Melting_Curves/meltCurve_B1AHD1_NHP2L1.pdf</v>
      </c>
    </row>
    <row r="111" spans="1:28" x14ac:dyDescent="0.25">
      <c r="A111" t="s">
        <v>115</v>
      </c>
      <c r="B111">
        <v>0.99472303558308395</v>
      </c>
      <c r="C111">
        <v>1.21602042872817</v>
      </c>
      <c r="D111">
        <v>0.75831721233273297</v>
      </c>
      <c r="E111">
        <v>0.68166546286031304</v>
      </c>
      <c r="F111">
        <v>0.356714767576155</v>
      </c>
      <c r="G111">
        <v>0.13675199578964201</v>
      </c>
      <c r="H111">
        <v>6.3529548837987199E-2</v>
      </c>
      <c r="I111">
        <v>5.5391569084480001E-2</v>
      </c>
      <c r="J111">
        <v>8.9380308061584604E-2</v>
      </c>
      <c r="K111">
        <v>5.9314922269362802E-2</v>
      </c>
      <c r="L111">
        <v>886.98406404554396</v>
      </c>
      <c r="M111">
        <v>18.490884314332899</v>
      </c>
      <c r="N111">
        <v>48.2259874386747</v>
      </c>
      <c r="O111">
        <v>47.418242004367301</v>
      </c>
      <c r="P111">
        <v>-9.2913701734381404E-2</v>
      </c>
      <c r="Q111">
        <v>4.6966318366861999E-2</v>
      </c>
      <c r="R111">
        <v>0.95334961679596297</v>
      </c>
      <c r="S111" t="s">
        <v>6679</v>
      </c>
      <c r="T111" t="s">
        <v>13134</v>
      </c>
      <c r="U111" t="s">
        <v>13134</v>
      </c>
      <c r="V111" t="s">
        <v>13134</v>
      </c>
      <c r="W111" t="s">
        <v>13245</v>
      </c>
      <c r="X111">
        <v>3</v>
      </c>
      <c r="Y111" t="s">
        <v>19736</v>
      </c>
      <c r="Z111" t="s">
        <v>26079</v>
      </c>
      <c r="AA111">
        <v>0.40991813256260218</v>
      </c>
      <c r="AB111" t="str">
        <f>HYPERLINK("Melting_Curves/meltCurve_B1AJY7_PSMD10.pdf", "Melting_Curves/meltCurve_B1AJY7_PSMD10.pdf")</f>
        <v>Melting_Curves/meltCurve_B1AJY7_PSMD10.pdf</v>
      </c>
    </row>
    <row r="112" spans="1:28" x14ac:dyDescent="0.25">
      <c r="A112" t="s">
        <v>116</v>
      </c>
      <c r="B112">
        <v>0.99472303558308395</v>
      </c>
      <c r="C112">
        <v>0.95402906568826495</v>
      </c>
      <c r="D112">
        <v>1.12260888191917</v>
      </c>
      <c r="E112">
        <v>0.91977880018092795</v>
      </c>
      <c r="F112">
        <v>0.62341752871640199</v>
      </c>
      <c r="G112">
        <v>0.52632389202866203</v>
      </c>
      <c r="H112">
        <v>0.24073151972992099</v>
      </c>
      <c r="I112">
        <v>0.16884815576147399</v>
      </c>
      <c r="J112">
        <v>0.21693134717099299</v>
      </c>
      <c r="K112">
        <v>0.17619032215299901</v>
      </c>
      <c r="L112">
        <v>966.92585845822998</v>
      </c>
      <c r="M112">
        <v>18.673463054017901</v>
      </c>
      <c r="N112">
        <v>52.886088246596003</v>
      </c>
      <c r="O112">
        <v>51.197882937069501</v>
      </c>
      <c r="P112">
        <v>-7.6453764073280694E-2</v>
      </c>
      <c r="Q112">
        <v>0.16156896380598501</v>
      </c>
      <c r="R112">
        <v>0.96982244156503095</v>
      </c>
      <c r="S112" t="s">
        <v>6680</v>
      </c>
      <c r="T112" t="s">
        <v>13134</v>
      </c>
      <c r="U112" t="s">
        <v>13134</v>
      </c>
      <c r="V112" t="s">
        <v>13134</v>
      </c>
      <c r="W112" t="s">
        <v>13246</v>
      </c>
      <c r="X112">
        <v>12</v>
      </c>
      <c r="Y112" t="s">
        <v>19737</v>
      </c>
      <c r="Z112" t="s">
        <v>26080</v>
      </c>
      <c r="AA112">
        <v>0.58674334832000929</v>
      </c>
      <c r="AB112" t="str">
        <f>HYPERLINK("Melting_Curves/meltCurve_B1AK13_HMGCL.pdf", "Melting_Curves/meltCurve_B1AK13_HMGCL.pdf")</f>
        <v>Melting_Curves/meltCurve_B1AK13_HMGCL.pdf</v>
      </c>
    </row>
    <row r="113" spans="1:28" x14ac:dyDescent="0.25">
      <c r="A113" t="s">
        <v>117</v>
      </c>
      <c r="B113">
        <v>0.99472303558308395</v>
      </c>
      <c r="C113">
        <v>0.96931101577531398</v>
      </c>
      <c r="D113">
        <v>0.97774709485154199</v>
      </c>
      <c r="E113">
        <v>0.88458582539711905</v>
      </c>
      <c r="F113">
        <v>0.70862718533014701</v>
      </c>
      <c r="G113">
        <v>0.150357508278225</v>
      </c>
      <c r="H113">
        <v>0.102034367772089</v>
      </c>
      <c r="I113">
        <v>8.57054377296496E-2</v>
      </c>
      <c r="J113">
        <v>0.12833911144868701</v>
      </c>
      <c r="K113">
        <v>0.10107143227259099</v>
      </c>
      <c r="L113">
        <v>2316.2936399894402</v>
      </c>
      <c r="M113">
        <v>45.472021914368</v>
      </c>
      <c r="N113">
        <v>51.186052542120301</v>
      </c>
      <c r="O113">
        <v>50.8406499064087</v>
      </c>
      <c r="P113">
        <v>-0.20155978731068699</v>
      </c>
      <c r="Q113">
        <v>9.8573815071032703E-2</v>
      </c>
      <c r="R113">
        <v>0.99160324812564804</v>
      </c>
      <c r="S113" t="s">
        <v>6681</v>
      </c>
      <c r="T113" t="s">
        <v>13134</v>
      </c>
      <c r="U113" t="s">
        <v>13134</v>
      </c>
      <c r="V113" t="s">
        <v>13134</v>
      </c>
      <c r="W113" t="s">
        <v>13247</v>
      </c>
      <c r="X113">
        <v>3</v>
      </c>
      <c r="Y113" t="s">
        <v>19738</v>
      </c>
      <c r="Z113" t="s">
        <v>26081</v>
      </c>
      <c r="AA113">
        <v>0.5198533726796627</v>
      </c>
      <c r="AB113" t="str">
        <f>HYPERLINK("Melting_Curves/meltCurve_B1AKD8_CROCC.pdf", "Melting_Curves/meltCurve_B1AKD8_CROCC.pdf")</f>
        <v>Melting_Curves/meltCurve_B1AKD8_CROCC.pdf</v>
      </c>
    </row>
    <row r="114" spans="1:28" x14ac:dyDescent="0.25">
      <c r="A114" t="s">
        <v>118</v>
      </c>
      <c r="B114">
        <v>0.99472303558308395</v>
      </c>
      <c r="C114">
        <v>0.94886228045851795</v>
      </c>
      <c r="D114">
        <v>0.93177018006612999</v>
      </c>
      <c r="E114">
        <v>0.82827363152416</v>
      </c>
      <c r="F114">
        <v>0.37591744606883798</v>
      </c>
      <c r="G114">
        <v>0.123507852872805</v>
      </c>
      <c r="H114">
        <v>6.9778671363630904E-2</v>
      </c>
      <c r="I114">
        <v>5.0827345659303302E-2</v>
      </c>
      <c r="J114">
        <v>5.9424376769641699E-2</v>
      </c>
      <c r="K114">
        <v>4.4573111436842901E-2</v>
      </c>
      <c r="L114">
        <v>1324.0801469584901</v>
      </c>
      <c r="M114">
        <v>27.002608950709998</v>
      </c>
      <c r="N114">
        <v>49.221269375911298</v>
      </c>
      <c r="O114">
        <v>48.7687028773598</v>
      </c>
      <c r="P114">
        <v>-0.13170922155485701</v>
      </c>
      <c r="Q114">
        <v>4.8503247560352798E-2</v>
      </c>
      <c r="R114">
        <v>0.99694338233761304</v>
      </c>
      <c r="S114" t="s">
        <v>6682</v>
      </c>
      <c r="T114" t="s">
        <v>13134</v>
      </c>
      <c r="U114" t="s">
        <v>13134</v>
      </c>
      <c r="V114" t="s">
        <v>13134</v>
      </c>
      <c r="W114" t="s">
        <v>13248</v>
      </c>
      <c r="X114">
        <v>38</v>
      </c>
      <c r="Y114" t="s">
        <v>19739</v>
      </c>
      <c r="Z114" t="s">
        <v>26082</v>
      </c>
      <c r="AA114">
        <v>0.43729521237651242</v>
      </c>
      <c r="AB114" t="str">
        <f>HYPERLINK("Melting_Curves/meltCurve_B1AKJ5_NRD1.pdf", "Melting_Curves/meltCurve_B1AKJ5_NRD1.pdf")</f>
        <v>Melting_Curves/meltCurve_B1AKJ5_NRD1.pdf</v>
      </c>
    </row>
    <row r="115" spans="1:28" x14ac:dyDescent="0.25">
      <c r="A115" t="s">
        <v>119</v>
      </c>
      <c r="B115">
        <v>0.99472303558308395</v>
      </c>
      <c r="C115">
        <v>0.99799345150077401</v>
      </c>
      <c r="D115">
        <v>0.77140287846819799</v>
      </c>
      <c r="E115">
        <v>0.31164265860368201</v>
      </c>
      <c r="F115">
        <v>0.18481092233808799</v>
      </c>
      <c r="G115">
        <v>9.5789678344630799E-2</v>
      </c>
      <c r="H115">
        <v>6.6583954811957696E-2</v>
      </c>
      <c r="I115">
        <v>4.9259477647006403E-2</v>
      </c>
      <c r="J115">
        <v>6.6928081700363504E-2</v>
      </c>
      <c r="K115">
        <v>6.2777357358519401E-2</v>
      </c>
      <c r="L115">
        <v>1135.4454014156099</v>
      </c>
      <c r="M115">
        <v>25.289534346990301</v>
      </c>
      <c r="N115">
        <v>45.172552918624397</v>
      </c>
      <c r="O115">
        <v>44.619922193994398</v>
      </c>
      <c r="P115">
        <v>-0.131596479844244</v>
      </c>
      <c r="Q115">
        <v>7.1275949150882201E-2</v>
      </c>
      <c r="R115">
        <v>0.99618119085883094</v>
      </c>
      <c r="S115" t="s">
        <v>6683</v>
      </c>
      <c r="T115" t="s">
        <v>13134</v>
      </c>
      <c r="U115" t="s">
        <v>13134</v>
      </c>
      <c r="V115" t="s">
        <v>13134</v>
      </c>
      <c r="W115" t="s">
        <v>13249</v>
      </c>
      <c r="X115">
        <v>15</v>
      </c>
      <c r="Y115" t="s">
        <v>19740</v>
      </c>
      <c r="Z115" t="s">
        <v>26083</v>
      </c>
      <c r="AA115">
        <v>0.32321055706988838</v>
      </c>
      <c r="AB115" t="str">
        <f>HYPERLINK("Melting_Curves/meltCurve_B1AKJ6_OSBPL9.pdf", "Melting_Curves/meltCurve_B1AKJ6_OSBPL9.pdf")</f>
        <v>Melting_Curves/meltCurve_B1AKJ6_OSBPL9.pdf</v>
      </c>
    </row>
    <row r="116" spans="1:28" x14ac:dyDescent="0.25">
      <c r="A116" t="s">
        <v>120</v>
      </c>
      <c r="B116">
        <v>0.99472303558308395</v>
      </c>
      <c r="C116">
        <v>0.90628129107022004</v>
      </c>
      <c r="D116">
        <v>0.78279275580690699</v>
      </c>
      <c r="E116">
        <v>0.62127502910675003</v>
      </c>
      <c r="F116">
        <v>0.3943102583452</v>
      </c>
      <c r="G116">
        <v>0.238009860355231</v>
      </c>
      <c r="H116">
        <v>0.17418890978108001</v>
      </c>
      <c r="I116">
        <v>0.123410136316373</v>
      </c>
      <c r="J116">
        <v>0.14002924052065999</v>
      </c>
      <c r="K116">
        <v>0.16832739780639899</v>
      </c>
      <c r="L116">
        <v>622.50488243059203</v>
      </c>
      <c r="M116">
        <v>13.197217525711499</v>
      </c>
      <c r="N116">
        <v>48.077361007575099</v>
      </c>
      <c r="O116">
        <v>46.125823654041099</v>
      </c>
      <c r="P116">
        <v>-6.3649330020476805E-2</v>
      </c>
      <c r="Q116">
        <v>0.110301046967031</v>
      </c>
      <c r="R116">
        <v>0.99497067479071599</v>
      </c>
      <c r="S116" t="s">
        <v>6684</v>
      </c>
      <c r="T116" t="s">
        <v>13134</v>
      </c>
      <c r="U116" t="s">
        <v>13134</v>
      </c>
      <c r="V116" t="s">
        <v>13134</v>
      </c>
      <c r="W116" t="s">
        <v>13250</v>
      </c>
      <c r="X116">
        <v>4</v>
      </c>
      <c r="Y116" t="s">
        <v>19741</v>
      </c>
      <c r="Z116" t="s">
        <v>26084</v>
      </c>
      <c r="AA116">
        <v>0.43675852642443991</v>
      </c>
      <c r="AB116" t="str">
        <f>HYPERLINK("Melting_Curves/meltCurve_B1AKL4_EIF4ENIF1.pdf", "Melting_Curves/meltCurve_B1AKL4_EIF4ENIF1.pdf")</f>
        <v>Melting_Curves/meltCurve_B1AKL4_EIF4ENIF1.pdf</v>
      </c>
    </row>
    <row r="117" spans="1:28" x14ac:dyDescent="0.25">
      <c r="A117" t="s">
        <v>121</v>
      </c>
      <c r="B117">
        <v>0.99472303558308395</v>
      </c>
      <c r="C117">
        <v>0.86627173204162</v>
      </c>
      <c r="D117">
        <v>0.84066616853759002</v>
      </c>
      <c r="E117">
        <v>0.79441315273980195</v>
      </c>
      <c r="F117">
        <v>0.47693724361872902</v>
      </c>
      <c r="G117">
        <v>0.12615047093940099</v>
      </c>
      <c r="H117">
        <v>0.13522826411184</v>
      </c>
      <c r="I117">
        <v>5.4686093413060299E-2</v>
      </c>
      <c r="J117">
        <v>9.8746426304404999E-2</v>
      </c>
      <c r="K117">
        <v>0.145541964095705</v>
      </c>
      <c r="L117">
        <v>957.95129203328395</v>
      </c>
      <c r="M117">
        <v>19.546649634669102</v>
      </c>
      <c r="N117">
        <v>49.428157220858502</v>
      </c>
      <c r="O117">
        <v>48.504159701258203</v>
      </c>
      <c r="P117">
        <v>-9.3047117462032605E-2</v>
      </c>
      <c r="Q117">
        <v>7.6463435563758897E-2</v>
      </c>
      <c r="R117">
        <v>0.96722072851268304</v>
      </c>
      <c r="S117" t="s">
        <v>6685</v>
      </c>
      <c r="T117" t="s">
        <v>13134</v>
      </c>
      <c r="U117" t="s">
        <v>13134</v>
      </c>
      <c r="V117" t="s">
        <v>13134</v>
      </c>
      <c r="W117" t="s">
        <v>13251</v>
      </c>
      <c r="X117">
        <v>3</v>
      </c>
      <c r="Y117" t="s">
        <v>19742</v>
      </c>
      <c r="Z117" t="s">
        <v>26085</v>
      </c>
      <c r="AA117">
        <v>0.45882307339138528</v>
      </c>
      <c r="AB117" t="str">
        <f>HYPERLINK("Melting_Curves/meltCurve_B1AL69_CDC37L1.pdf", "Melting_Curves/meltCurve_B1AL69_CDC37L1.pdf")</f>
        <v>Melting_Curves/meltCurve_B1AL69_CDC37L1.pdf</v>
      </c>
    </row>
    <row r="118" spans="1:28" x14ac:dyDescent="0.25">
      <c r="A118" t="s">
        <v>122</v>
      </c>
      <c r="B118">
        <v>0.99472303558308395</v>
      </c>
      <c r="C118">
        <v>0.99539905482468805</v>
      </c>
      <c r="D118">
        <v>0.95761484060847601</v>
      </c>
      <c r="E118">
        <v>0.79821828252405902</v>
      </c>
      <c r="F118">
        <v>0.71481299162762302</v>
      </c>
      <c r="G118">
        <v>0.428374308024151</v>
      </c>
      <c r="H118">
        <v>0.27933819544233901</v>
      </c>
      <c r="I118">
        <v>0.19939171671942499</v>
      </c>
      <c r="J118">
        <v>0.22298424514236601</v>
      </c>
      <c r="K118">
        <v>0.21149267499234201</v>
      </c>
      <c r="L118">
        <v>795.37687125802699</v>
      </c>
      <c r="M118">
        <v>15.503681930499299</v>
      </c>
      <c r="N118">
        <v>52.684267378996402</v>
      </c>
      <c r="O118">
        <v>50.471646817289802</v>
      </c>
      <c r="P118">
        <v>-6.3970771809719801E-2</v>
      </c>
      <c r="Q118">
        <v>0.16705618130108699</v>
      </c>
      <c r="R118">
        <v>0.99094129611234305</v>
      </c>
      <c r="S118" t="s">
        <v>6686</v>
      </c>
      <c r="T118" t="s">
        <v>13134</v>
      </c>
      <c r="U118" t="s">
        <v>13134</v>
      </c>
      <c r="V118" t="s">
        <v>13134</v>
      </c>
      <c r="W118" t="s">
        <v>13252</v>
      </c>
      <c r="X118">
        <v>5</v>
      </c>
      <c r="Y118" t="s">
        <v>19743</v>
      </c>
      <c r="Z118" t="s">
        <v>26086</v>
      </c>
      <c r="AA118">
        <v>0.58001176919793085</v>
      </c>
      <c r="AB118" t="str">
        <f>HYPERLINK("Melting_Curves/meltCurve_B1ALM5_TMEM9.pdf", "Melting_Curves/meltCurve_B1ALM5_TMEM9.pdf")</f>
        <v>Melting_Curves/meltCurve_B1ALM5_TMEM9.pdf</v>
      </c>
    </row>
    <row r="119" spans="1:28" x14ac:dyDescent="0.25">
      <c r="A119" t="s">
        <v>123</v>
      </c>
      <c r="B119">
        <v>0.99472303558308395</v>
      </c>
      <c r="C119">
        <v>1.0741813620460401</v>
      </c>
      <c r="D119">
        <v>0.96899932258653398</v>
      </c>
      <c r="E119">
        <v>0.91579816400589498</v>
      </c>
      <c r="F119">
        <v>0.52108605804841501</v>
      </c>
      <c r="G119">
        <v>0.255154495959871</v>
      </c>
      <c r="H119">
        <v>0.18121170841808801</v>
      </c>
      <c r="I119">
        <v>0.16425405343257499</v>
      </c>
      <c r="J119">
        <v>0.11996309192897001</v>
      </c>
      <c r="K119">
        <v>0.17160777718337999</v>
      </c>
      <c r="L119">
        <v>1454.5308886656901</v>
      </c>
      <c r="M119">
        <v>29.1919160280863</v>
      </c>
      <c r="N119">
        <v>50.4683435498401</v>
      </c>
      <c r="O119">
        <v>49.5944306309597</v>
      </c>
      <c r="P119">
        <v>-0.124335506389975</v>
      </c>
      <c r="Q119">
        <v>0.155066961732577</v>
      </c>
      <c r="R119">
        <v>0.99439015699190003</v>
      </c>
      <c r="S119" t="s">
        <v>6687</v>
      </c>
      <c r="T119" t="s">
        <v>13134</v>
      </c>
      <c r="U119" t="s">
        <v>13134</v>
      </c>
      <c r="V119" t="s">
        <v>13134</v>
      </c>
      <c r="W119" t="s">
        <v>13253</v>
      </c>
      <c r="X119">
        <v>4</v>
      </c>
      <c r="Y119" t="s">
        <v>19744</v>
      </c>
      <c r="Z119" t="s">
        <v>26087</v>
      </c>
      <c r="AA119">
        <v>0.52177379730749596</v>
      </c>
      <c r="AB119" t="str">
        <f>HYPERLINK("Melting_Curves/meltCurve_B1AMF0_UBE2J2.pdf", "Melting_Curves/meltCurve_B1AMF0_UBE2J2.pdf")</f>
        <v>Melting_Curves/meltCurve_B1AMF0_UBE2J2.pdf</v>
      </c>
    </row>
    <row r="120" spans="1:28" x14ac:dyDescent="0.25">
      <c r="A120" t="s">
        <v>124</v>
      </c>
      <c r="B120">
        <v>0.99472303558308395</v>
      </c>
      <c r="C120">
        <v>0.93937058543185104</v>
      </c>
      <c r="D120">
        <v>0.85941292503458899</v>
      </c>
      <c r="E120">
        <v>0.78584091354933605</v>
      </c>
      <c r="F120">
        <v>0.82869737456106596</v>
      </c>
      <c r="G120">
        <v>0.47034044196205599</v>
      </c>
      <c r="H120">
        <v>0.33544185614565902</v>
      </c>
      <c r="I120">
        <v>0.20513675395075501</v>
      </c>
      <c r="J120">
        <v>0.2098788476483</v>
      </c>
      <c r="K120">
        <v>0.115710697215305</v>
      </c>
      <c r="L120">
        <v>549.95516212900702</v>
      </c>
      <c r="M120">
        <v>10.165452497878601</v>
      </c>
      <c r="N120">
        <v>54.100411388834097</v>
      </c>
      <c r="O120">
        <v>52.132071324086397</v>
      </c>
      <c r="P120">
        <v>-4.8770830113970098E-2</v>
      </c>
      <c r="Q120">
        <v>0</v>
      </c>
      <c r="R120">
        <v>0.96723262982434999</v>
      </c>
      <c r="S120" t="s">
        <v>6688</v>
      </c>
      <c r="T120" t="s">
        <v>13134</v>
      </c>
      <c r="U120" t="s">
        <v>13134</v>
      </c>
      <c r="V120" t="s">
        <v>13134</v>
      </c>
      <c r="W120" t="s">
        <v>13254</v>
      </c>
      <c r="X120">
        <v>16</v>
      </c>
      <c r="Y120" t="s">
        <v>19745</v>
      </c>
      <c r="Z120" t="s">
        <v>26088</v>
      </c>
      <c r="AA120">
        <v>0.58720955814965592</v>
      </c>
      <c r="AB120" t="str">
        <f>HYPERLINK("Melting_Curves/meltCurve_B1AMS2_SEPT6.pdf", "Melting_Curves/meltCurve_B1AMS2_SEPT6.pdf")</f>
        <v>Melting_Curves/meltCurve_B1AMS2_SEPT6.pdf</v>
      </c>
    </row>
    <row r="121" spans="1:28" x14ac:dyDescent="0.25">
      <c r="A121" t="s">
        <v>125</v>
      </c>
      <c r="B121">
        <v>0.99472303558308395</v>
      </c>
      <c r="C121">
        <v>1.1479138878163799</v>
      </c>
      <c r="D121">
        <v>1.31111031091721</v>
      </c>
      <c r="E121">
        <v>1.2005490000351</v>
      </c>
      <c r="F121">
        <v>0.38219220297374801</v>
      </c>
      <c r="G121">
        <v>0.18117974652457899</v>
      </c>
      <c r="H121">
        <v>8.3679160170354497E-2</v>
      </c>
      <c r="I121">
        <v>7.5196533636192997E-2</v>
      </c>
      <c r="J121">
        <v>6.5924727864126995E-2</v>
      </c>
      <c r="K121">
        <v>4.5045542738720197E-2</v>
      </c>
      <c r="L121">
        <v>11838.797247114901</v>
      </c>
      <c r="M121">
        <v>236.58208210214201</v>
      </c>
      <c r="N121">
        <v>50.083088553820602</v>
      </c>
      <c r="O121">
        <v>50.037396972008601</v>
      </c>
      <c r="P121">
        <v>-1.07540152050089</v>
      </c>
      <c r="Q121">
        <v>9.0205125229536401E-2</v>
      </c>
      <c r="R121">
        <v>0.93591596036924396</v>
      </c>
      <c r="S121" t="s">
        <v>6689</v>
      </c>
      <c r="T121" t="s">
        <v>13134</v>
      </c>
      <c r="U121" t="s">
        <v>13134</v>
      </c>
      <c r="V121" t="s">
        <v>13134</v>
      </c>
      <c r="W121" t="s">
        <v>13255</v>
      </c>
      <c r="X121">
        <v>4</v>
      </c>
      <c r="Y121" t="s">
        <v>19746</v>
      </c>
      <c r="Z121" t="s">
        <v>26089</v>
      </c>
      <c r="AA121">
        <v>0.48578131705404543</v>
      </c>
      <c r="AB121" t="str">
        <f>HYPERLINK("Melting_Curves/meltCurve_B1AMU7_EXOSC1.pdf", "Melting_Curves/meltCurve_B1AMU7_EXOSC1.pdf")</f>
        <v>Melting_Curves/meltCurve_B1AMU7_EXOSC1.pdf</v>
      </c>
    </row>
    <row r="122" spans="1:28" x14ac:dyDescent="0.25">
      <c r="A122" t="s">
        <v>126</v>
      </c>
      <c r="B122">
        <v>0.99472303558308395</v>
      </c>
      <c r="C122">
        <v>0.937509553510944</v>
      </c>
      <c r="D122">
        <v>0.94973758001012298</v>
      </c>
      <c r="E122">
        <v>0.807236282919221</v>
      </c>
      <c r="F122">
        <v>0.60279820759316605</v>
      </c>
      <c r="G122">
        <v>0.46497981541949401</v>
      </c>
      <c r="H122">
        <v>0.388494746426362</v>
      </c>
      <c r="I122">
        <v>0.384851485076661</v>
      </c>
      <c r="J122">
        <v>0.44238046477005399</v>
      </c>
      <c r="K122">
        <v>0.48839357972199099</v>
      </c>
      <c r="L122">
        <v>1035.99983104784</v>
      </c>
      <c r="M122">
        <v>21.544822545911</v>
      </c>
      <c r="N122">
        <v>52.566440863855199</v>
      </c>
      <c r="O122">
        <v>47.677256766847698</v>
      </c>
      <c r="P122">
        <v>-6.5490655884028706E-2</v>
      </c>
      <c r="Q122">
        <v>0.42030802993715599</v>
      </c>
      <c r="R122">
        <v>0.97778576325657895</v>
      </c>
      <c r="S122" t="s">
        <v>6690</v>
      </c>
      <c r="T122" t="s">
        <v>13134</v>
      </c>
      <c r="U122" t="s">
        <v>13134</v>
      </c>
      <c r="V122" t="s">
        <v>13134</v>
      </c>
      <c r="W122" t="s">
        <v>13256</v>
      </c>
      <c r="X122">
        <v>5</v>
      </c>
      <c r="Y122" t="s">
        <v>19747</v>
      </c>
      <c r="Z122" t="s">
        <v>26090</v>
      </c>
      <c r="AA122">
        <v>0.6411313306651133</v>
      </c>
      <c r="AB122" t="str">
        <f>HYPERLINK("Melting_Curves/meltCurve_B1AMW1_CD58.pdf", "Melting_Curves/meltCurve_B1AMW1_CD58.pdf")</f>
        <v>Melting_Curves/meltCurve_B1AMW1_CD58.pdf</v>
      </c>
    </row>
    <row r="123" spans="1:28" x14ac:dyDescent="0.25">
      <c r="A123" t="s">
        <v>127</v>
      </c>
      <c r="B123">
        <v>0.99472303558308395</v>
      </c>
      <c r="C123">
        <v>0.96876140482515904</v>
      </c>
      <c r="D123">
        <v>0.74612491782068902</v>
      </c>
      <c r="E123">
        <v>0.79713579806866997</v>
      </c>
      <c r="F123">
        <v>1.33918566227416</v>
      </c>
      <c r="G123">
        <v>0.73404763539145601</v>
      </c>
      <c r="H123">
        <v>1.2031527519079801</v>
      </c>
      <c r="I123">
        <v>0.64069537746747096</v>
      </c>
      <c r="J123">
        <v>1.38093032310424</v>
      </c>
      <c r="K123">
        <v>2.1826994101695698</v>
      </c>
      <c r="L123">
        <v>15000</v>
      </c>
      <c r="M123">
        <v>235.17230755758499</v>
      </c>
      <c r="O123">
        <v>63.778407514172201</v>
      </c>
      <c r="P123">
        <v>0.46091678454611801</v>
      </c>
      <c r="Q123">
        <v>1.5</v>
      </c>
      <c r="R123">
        <v>0.51346956705541902</v>
      </c>
      <c r="S123" t="s">
        <v>6691</v>
      </c>
      <c r="T123" t="s">
        <v>13134</v>
      </c>
      <c r="U123" t="s">
        <v>13134</v>
      </c>
      <c r="V123" t="s">
        <v>13134</v>
      </c>
      <c r="W123" t="s">
        <v>13257</v>
      </c>
      <c r="X123">
        <v>1</v>
      </c>
      <c r="Y123" t="s">
        <v>19748</v>
      </c>
      <c r="Z123" t="s">
        <v>26091</v>
      </c>
      <c r="AA123">
        <v>1.0535531447058719</v>
      </c>
      <c r="AB123" t="str">
        <f>HYPERLINK("Melting_Curves/meltCurve_B1AN99_PRSS3.pdf", "Melting_Curves/meltCurve_B1AN99_PRSS3.pdf")</f>
        <v>Melting_Curves/meltCurve_B1AN99_PRSS3.pdf</v>
      </c>
    </row>
    <row r="124" spans="1:28" x14ac:dyDescent="0.25">
      <c r="A124" t="s">
        <v>128</v>
      </c>
      <c r="B124">
        <v>0.99472303558308395</v>
      </c>
      <c r="C124">
        <v>0.98483111445284</v>
      </c>
      <c r="D124">
        <v>1.0823355905560601</v>
      </c>
      <c r="E124">
        <v>0.81189653353400404</v>
      </c>
      <c r="F124">
        <v>0.23184993884615099</v>
      </c>
      <c r="G124">
        <v>0.120784085388146</v>
      </c>
      <c r="H124">
        <v>6.3372665757491606E-2</v>
      </c>
      <c r="I124">
        <v>4.5342536478280702E-2</v>
      </c>
      <c r="J124">
        <v>5.4679039594699302E-2</v>
      </c>
      <c r="K124">
        <v>4.6283810180535498E-2</v>
      </c>
      <c r="L124">
        <v>1885.8458479670001</v>
      </c>
      <c r="M124">
        <v>39.0460401531925</v>
      </c>
      <c r="N124">
        <v>48.460631692689901</v>
      </c>
      <c r="O124">
        <v>48.171840133489802</v>
      </c>
      <c r="P124">
        <v>-0.19019661637879001</v>
      </c>
      <c r="Q124">
        <v>6.1405466278778298E-2</v>
      </c>
      <c r="R124">
        <v>0.99436238848902703</v>
      </c>
      <c r="S124" t="s">
        <v>6692</v>
      </c>
      <c r="T124" t="s">
        <v>13134</v>
      </c>
      <c r="U124" t="s">
        <v>13134</v>
      </c>
      <c r="V124" t="s">
        <v>13134</v>
      </c>
      <c r="W124" t="s">
        <v>13258</v>
      </c>
      <c r="X124">
        <v>10</v>
      </c>
      <c r="Y124" t="s">
        <v>19749</v>
      </c>
      <c r="Z124" t="s">
        <v>26092</v>
      </c>
      <c r="AA124">
        <v>0.41816986572105658</v>
      </c>
      <c r="AB124" t="str">
        <f>HYPERLINK("Melting_Curves/meltCurve_B1ANH0_GUK1.pdf", "Melting_Curves/meltCurve_B1ANH0_GUK1.pdf")</f>
        <v>Melting_Curves/meltCurve_B1ANH0_GUK1.pdf</v>
      </c>
    </row>
    <row r="125" spans="1:28" x14ac:dyDescent="0.25">
      <c r="A125" t="s">
        <v>129</v>
      </c>
      <c r="B125">
        <v>0.99472303558308395</v>
      </c>
      <c r="C125">
        <v>1.1546612821230799</v>
      </c>
      <c r="D125">
        <v>0.72244612629621197</v>
      </c>
      <c r="E125">
        <v>0.70444877068396194</v>
      </c>
      <c r="F125">
        <v>0.49052915698536298</v>
      </c>
      <c r="G125">
        <v>0.143074890729017</v>
      </c>
      <c r="H125">
        <v>8.1258975760260102E-2</v>
      </c>
      <c r="I125">
        <v>5.8495538474489801E-2</v>
      </c>
      <c r="J125">
        <v>5.4507738770451203E-2</v>
      </c>
      <c r="K125">
        <v>4.3305218905683597E-2</v>
      </c>
      <c r="L125">
        <v>728.69202618166901</v>
      </c>
      <c r="M125">
        <v>14.882969327718399</v>
      </c>
      <c r="N125">
        <v>49.006800838504397</v>
      </c>
      <c r="O125">
        <v>48.103021098267</v>
      </c>
      <c r="P125">
        <v>-7.6828635929066094E-2</v>
      </c>
      <c r="Q125">
        <v>6.8367657232250604E-3</v>
      </c>
      <c r="R125">
        <v>0.95405884845714595</v>
      </c>
      <c r="S125" t="s">
        <v>6693</v>
      </c>
      <c r="T125" t="s">
        <v>13134</v>
      </c>
      <c r="U125" t="s">
        <v>13134</v>
      </c>
      <c r="V125" t="s">
        <v>13134</v>
      </c>
      <c r="W125" t="s">
        <v>13259</v>
      </c>
      <c r="X125">
        <v>4</v>
      </c>
      <c r="Y125" t="s">
        <v>19750</v>
      </c>
      <c r="Z125" t="s">
        <v>26093</v>
      </c>
      <c r="AA125">
        <v>0.42447719136899631</v>
      </c>
      <c r="AB125" t="str">
        <f>HYPERLINK("Melting_Curves/meltCurve_B1APM4_SOAT1.pdf", "Melting_Curves/meltCurve_B1APM4_SOAT1.pdf")</f>
        <v>Melting_Curves/meltCurve_B1APM4_SOAT1.pdf</v>
      </c>
    </row>
    <row r="126" spans="1:28" x14ac:dyDescent="0.25">
      <c r="A126" t="s">
        <v>130</v>
      </c>
      <c r="B126">
        <v>0.99472303558308395</v>
      </c>
      <c r="C126">
        <v>1.01797284903888</v>
      </c>
      <c r="D126">
        <v>1.0675486039344999</v>
      </c>
      <c r="E126">
        <v>0.95982821933775297</v>
      </c>
      <c r="F126">
        <v>0.85195507951551297</v>
      </c>
      <c r="G126">
        <v>0.62323866872953404</v>
      </c>
      <c r="H126">
        <v>0.45496979193081899</v>
      </c>
      <c r="I126">
        <v>0.42567871708746702</v>
      </c>
      <c r="J126">
        <v>0.47770090713834901</v>
      </c>
      <c r="K126">
        <v>0.45627921661057003</v>
      </c>
      <c r="L126">
        <v>1463.3879097471699</v>
      </c>
      <c r="M126">
        <v>28.088246394751501</v>
      </c>
      <c r="N126">
        <v>56.497908764173701</v>
      </c>
      <c r="O126">
        <v>51.837717231724199</v>
      </c>
      <c r="P126">
        <v>-7.5337782917911197E-2</v>
      </c>
      <c r="Q126">
        <v>0.44385198301670498</v>
      </c>
      <c r="R126">
        <v>0.98704315092436401</v>
      </c>
      <c r="S126" t="s">
        <v>6694</v>
      </c>
      <c r="T126" t="s">
        <v>13134</v>
      </c>
      <c r="U126" t="s">
        <v>13134</v>
      </c>
      <c r="V126" t="s">
        <v>13134</v>
      </c>
      <c r="W126" t="s">
        <v>13260</v>
      </c>
      <c r="X126">
        <v>2</v>
      </c>
      <c r="Y126" t="s">
        <v>19751</v>
      </c>
      <c r="Z126" t="s">
        <v>26094</v>
      </c>
      <c r="AA126">
        <v>0.72775276116354137</v>
      </c>
      <c r="AB126" t="str">
        <f>HYPERLINK("Melting_Curves/meltCurve_B1AQ61_UBE4B.pdf", "Melting_Curves/meltCurve_B1AQ61_UBE4B.pdf")</f>
        <v>Melting_Curves/meltCurve_B1AQ61_UBE4B.pdf</v>
      </c>
    </row>
    <row r="127" spans="1:28" x14ac:dyDescent="0.25">
      <c r="A127" t="s">
        <v>131</v>
      </c>
      <c r="B127">
        <v>0.99472303558308395</v>
      </c>
      <c r="C127">
        <v>0.948267501645219</v>
      </c>
      <c r="D127">
        <v>0.89659239584320105</v>
      </c>
      <c r="E127">
        <v>0.59824378667496103</v>
      </c>
      <c r="F127">
        <v>0.43164960697763299</v>
      </c>
      <c r="G127">
        <v>0.28834939146197203</v>
      </c>
      <c r="H127">
        <v>0.19742935249320301</v>
      </c>
      <c r="I127">
        <v>0.132772424955482</v>
      </c>
      <c r="J127">
        <v>0.15594735423543801</v>
      </c>
      <c r="K127">
        <v>0.15638486305454299</v>
      </c>
      <c r="L127">
        <v>709.028643916227</v>
      </c>
      <c r="M127">
        <v>14.8617635769267</v>
      </c>
      <c r="N127">
        <v>48.721168390152897</v>
      </c>
      <c r="O127">
        <v>46.8694502204483</v>
      </c>
      <c r="P127">
        <v>-6.8743939269158602E-2</v>
      </c>
      <c r="Q127">
        <v>0.132901524597445</v>
      </c>
      <c r="R127">
        <v>0.99510042833948098</v>
      </c>
      <c r="S127" t="s">
        <v>6695</v>
      </c>
      <c r="T127" t="s">
        <v>13134</v>
      </c>
      <c r="U127" t="s">
        <v>13134</v>
      </c>
      <c r="V127" t="s">
        <v>13134</v>
      </c>
      <c r="W127" t="s">
        <v>13261</v>
      </c>
      <c r="X127">
        <v>3</v>
      </c>
      <c r="Y127" t="s">
        <v>19752</v>
      </c>
      <c r="Z127" t="s">
        <v>26095</v>
      </c>
      <c r="AA127">
        <v>0.46193192580365888</v>
      </c>
      <c r="AB127" t="str">
        <f>HYPERLINK("Melting_Curves/meltCurve_B1AQP1_USF1.pdf", "Melting_Curves/meltCurve_B1AQP1_USF1.pdf")</f>
        <v>Melting_Curves/meltCurve_B1AQP1_USF1.pdf</v>
      </c>
    </row>
    <row r="128" spans="1:28" x14ac:dyDescent="0.25">
      <c r="A128" t="s">
        <v>132</v>
      </c>
      <c r="B128">
        <v>0.99472303558308395</v>
      </c>
      <c r="C128">
        <v>0.93099804153198995</v>
      </c>
      <c r="D128">
        <v>0.94970842796111499</v>
      </c>
      <c r="E128">
        <v>0.93442434673862895</v>
      </c>
      <c r="F128">
        <v>0.71557738041110297</v>
      </c>
      <c r="G128">
        <v>0.557558789855088</v>
      </c>
      <c r="H128">
        <v>0.50246755911487495</v>
      </c>
      <c r="I128">
        <v>0.49665606608228802</v>
      </c>
      <c r="J128">
        <v>0.62574132498845503</v>
      </c>
      <c r="K128">
        <v>0.62339657419455896</v>
      </c>
      <c r="L128">
        <v>1688.24573702875</v>
      </c>
      <c r="M128">
        <v>34.341485152847703</v>
      </c>
      <c r="O128">
        <v>48.994723701264597</v>
      </c>
      <c r="P128">
        <v>-7.7504058167163506E-2</v>
      </c>
      <c r="Q128">
        <v>0.55770392641114996</v>
      </c>
      <c r="R128">
        <v>0.93369123268080501</v>
      </c>
      <c r="S128" t="s">
        <v>6696</v>
      </c>
      <c r="T128" t="s">
        <v>13134</v>
      </c>
      <c r="U128" t="s">
        <v>13134</v>
      </c>
      <c r="V128" t="s">
        <v>13134</v>
      </c>
      <c r="W128" t="s">
        <v>13262</v>
      </c>
      <c r="X128">
        <v>4</v>
      </c>
      <c r="Y128" t="s">
        <v>19753</v>
      </c>
      <c r="Z128" t="s">
        <v>26096</v>
      </c>
      <c r="AA128">
        <v>0.73903090764595281</v>
      </c>
      <c r="AB128" t="str">
        <f>HYPERLINK("Melting_Curves/meltCurve_B1AVQ5_MUC1.pdf", "Melting_Curves/meltCurve_B1AVQ5_MUC1.pdf")</f>
        <v>Melting_Curves/meltCurve_B1AVQ5_MUC1.pdf</v>
      </c>
    </row>
    <row r="129" spans="1:28" x14ac:dyDescent="0.25">
      <c r="A129" t="s">
        <v>133</v>
      </c>
      <c r="B129">
        <v>0.99472303558308395</v>
      </c>
      <c r="C129">
        <v>0.93645637825429295</v>
      </c>
      <c r="D129">
        <v>0.81984574172733804</v>
      </c>
      <c r="E129">
        <v>0.65952722887322401</v>
      </c>
      <c r="F129">
        <v>0.56716301755936005</v>
      </c>
      <c r="G129">
        <v>0.34883716921111302</v>
      </c>
      <c r="H129">
        <v>0.249125209671506</v>
      </c>
      <c r="I129">
        <v>0.13745559920902001</v>
      </c>
      <c r="J129">
        <v>0.12892143673836401</v>
      </c>
      <c r="K129">
        <v>0.14258916875371799</v>
      </c>
      <c r="L129">
        <v>493.07203618692</v>
      </c>
      <c r="M129">
        <v>9.8414970310045007</v>
      </c>
      <c r="N129">
        <v>50.470308362897001</v>
      </c>
      <c r="O129">
        <v>48.164200071458701</v>
      </c>
      <c r="P129">
        <v>-4.9335341572049198E-2</v>
      </c>
      <c r="Q129">
        <v>3.4712007089904198E-2</v>
      </c>
      <c r="R129">
        <v>0.99268319035658603</v>
      </c>
      <c r="S129" t="s">
        <v>6697</v>
      </c>
      <c r="T129" t="s">
        <v>13134</v>
      </c>
      <c r="U129" t="s">
        <v>13134</v>
      </c>
      <c r="V129" t="s">
        <v>13134</v>
      </c>
      <c r="W129" t="s">
        <v>13263</v>
      </c>
      <c r="X129">
        <v>3</v>
      </c>
      <c r="Y129" t="s">
        <v>19754</v>
      </c>
      <c r="Z129" t="s">
        <v>26097</v>
      </c>
      <c r="AA129">
        <v>0.4891755655676156</v>
      </c>
      <c r="AB129" t="str">
        <f>HYPERLINK("Melting_Curves/meltCurve_B1B1H9_FGF13.pdf", "Melting_Curves/meltCurve_B1B1H9_FGF13.pdf")</f>
        <v>Melting_Curves/meltCurve_B1B1H9_FGF13.pdf</v>
      </c>
    </row>
    <row r="130" spans="1:28" x14ac:dyDescent="0.25">
      <c r="A130" t="s">
        <v>134</v>
      </c>
      <c r="B130">
        <v>0.99472303558308395</v>
      </c>
      <c r="C130">
        <v>0.93146074314127303</v>
      </c>
      <c r="D130">
        <v>0.91155477509785099</v>
      </c>
      <c r="E130">
        <v>0.50652645907246197</v>
      </c>
      <c r="F130">
        <v>0.21616438922960199</v>
      </c>
      <c r="G130">
        <v>0.110077427425453</v>
      </c>
      <c r="H130">
        <v>7.3883545778158796E-2</v>
      </c>
      <c r="I130">
        <v>6.1723111441057001E-2</v>
      </c>
      <c r="J130">
        <v>6.6460531540144502E-2</v>
      </c>
      <c r="K130">
        <v>5.2267357272826602E-2</v>
      </c>
      <c r="L130">
        <v>1084.19244061225</v>
      </c>
      <c r="M130">
        <v>23.299347022346701</v>
      </c>
      <c r="N130">
        <v>46.799683382911603</v>
      </c>
      <c r="O130">
        <v>46.1944462439915</v>
      </c>
      <c r="P130">
        <v>-0.118261865349247</v>
      </c>
      <c r="Q130">
        <v>6.2129215945966501E-2</v>
      </c>
      <c r="R130">
        <v>0.99724738884993103</v>
      </c>
      <c r="S130" t="s">
        <v>6698</v>
      </c>
      <c r="T130" t="s">
        <v>13134</v>
      </c>
      <c r="U130" t="s">
        <v>13134</v>
      </c>
      <c r="V130" t="s">
        <v>13134</v>
      </c>
      <c r="W130" t="s">
        <v>13264</v>
      </c>
      <c r="X130">
        <v>7</v>
      </c>
      <c r="Y130" t="s">
        <v>19755</v>
      </c>
      <c r="Z130" t="s">
        <v>26098</v>
      </c>
      <c r="AA130">
        <v>0.36918375401042602</v>
      </c>
      <c r="AB130" t="str">
        <f>HYPERLINK("Melting_Curves/meltCurve_B2WTI3_JMJD6.pdf", "Melting_Curves/meltCurve_B2WTI3_JMJD6.pdf")</f>
        <v>Melting_Curves/meltCurve_B2WTI3_JMJD6.pdf</v>
      </c>
    </row>
    <row r="131" spans="1:28" x14ac:dyDescent="0.25">
      <c r="A131" t="s">
        <v>135</v>
      </c>
      <c r="B131">
        <v>0.99472303558308395</v>
      </c>
      <c r="C131">
        <v>0.87657374829886603</v>
      </c>
      <c r="D131">
        <v>0.89727042080097097</v>
      </c>
      <c r="E131">
        <v>0.58449500687698097</v>
      </c>
      <c r="F131">
        <v>0.32459706532635302</v>
      </c>
      <c r="G131">
        <v>0.215294581279979</v>
      </c>
      <c r="H131">
        <v>0.13147262837279899</v>
      </c>
      <c r="I131">
        <v>0.114118300743501</v>
      </c>
      <c r="J131">
        <v>0.12723610353902301</v>
      </c>
      <c r="K131">
        <v>9.25854781152054E-2</v>
      </c>
      <c r="L131">
        <v>785.88102654677903</v>
      </c>
      <c r="M131">
        <v>16.672000847869899</v>
      </c>
      <c r="N131">
        <v>47.7605786196144</v>
      </c>
      <c r="O131">
        <v>46.475254393569102</v>
      </c>
      <c r="P131">
        <v>-8.0925796557041393E-2</v>
      </c>
      <c r="Q131">
        <v>9.7697645683091805E-2</v>
      </c>
      <c r="R131">
        <v>0.99168357365438997</v>
      </c>
      <c r="S131" t="s">
        <v>6699</v>
      </c>
      <c r="T131" t="s">
        <v>13134</v>
      </c>
      <c r="U131" t="s">
        <v>13134</v>
      </c>
      <c r="V131" t="s">
        <v>13134</v>
      </c>
      <c r="W131" t="s">
        <v>13265</v>
      </c>
      <c r="X131">
        <v>4</v>
      </c>
      <c r="Y131" t="s">
        <v>19756</v>
      </c>
      <c r="Z131" t="s">
        <v>26099</v>
      </c>
      <c r="AA131">
        <v>0.41932346086078909</v>
      </c>
      <c r="AB131" t="str">
        <f>HYPERLINK("Melting_Curves/meltCurve_B3KPJ4_PHC2.pdf", "Melting_Curves/meltCurve_B3KPJ4_PHC2.pdf")</f>
        <v>Melting_Curves/meltCurve_B3KPJ4_PHC2.pdf</v>
      </c>
    </row>
    <row r="132" spans="1:28" x14ac:dyDescent="0.25">
      <c r="A132" t="s">
        <v>136</v>
      </c>
      <c r="B132">
        <v>0.99472303558308395</v>
      </c>
      <c r="C132">
        <v>0.87685517072371699</v>
      </c>
      <c r="D132">
        <v>0.88134116912378302</v>
      </c>
      <c r="E132">
        <v>0.75654462217233598</v>
      </c>
      <c r="F132">
        <v>1.0116341403220901</v>
      </c>
      <c r="G132">
        <v>0.36552551016676499</v>
      </c>
      <c r="H132">
        <v>0.44924278964630499</v>
      </c>
      <c r="I132">
        <v>0.17500648279912301</v>
      </c>
      <c r="J132">
        <v>0.248256414347338</v>
      </c>
      <c r="K132">
        <v>0.837261818679369</v>
      </c>
      <c r="L132">
        <v>12948.9421573954</v>
      </c>
      <c r="M132">
        <v>250</v>
      </c>
      <c r="N132">
        <v>52.165632010200198</v>
      </c>
      <c r="O132">
        <v>51.792447154877301</v>
      </c>
      <c r="P132">
        <v>-0.70588253324925399</v>
      </c>
      <c r="Q132">
        <v>0.41504978190370001</v>
      </c>
      <c r="R132">
        <v>0.60805687976963496</v>
      </c>
      <c r="S132" t="s">
        <v>6700</v>
      </c>
      <c r="T132" t="s">
        <v>13134</v>
      </c>
      <c r="U132" t="s">
        <v>13134</v>
      </c>
      <c r="V132" t="s">
        <v>13134</v>
      </c>
      <c r="W132" t="s">
        <v>13266</v>
      </c>
      <c r="X132">
        <v>16</v>
      </c>
      <c r="Y132" t="s">
        <v>19757</v>
      </c>
      <c r="Z132" t="s">
        <v>26100</v>
      </c>
      <c r="AA132">
        <v>0.70359589055353788</v>
      </c>
      <c r="AB132" t="str">
        <f>HYPERLINK("Melting_Curves/meltCurve_B3KQ25_PSME3.pdf", "Melting_Curves/meltCurve_B3KQ25_PSME3.pdf")</f>
        <v>Melting_Curves/meltCurve_B3KQ25_PSME3.pdf</v>
      </c>
    </row>
    <row r="133" spans="1:28" x14ac:dyDescent="0.25">
      <c r="A133" t="s">
        <v>137</v>
      </c>
      <c r="B133">
        <v>0.99472303558308395</v>
      </c>
      <c r="C133">
        <v>0.92709708136061797</v>
      </c>
      <c r="D133">
        <v>0.80931830568960395</v>
      </c>
      <c r="E133">
        <v>0.71826114096986005</v>
      </c>
      <c r="F133">
        <v>0.49420048234983399</v>
      </c>
      <c r="G133">
        <v>0.18096689923751999</v>
      </c>
      <c r="H133">
        <v>0.119710374041</v>
      </c>
      <c r="I133">
        <v>8.0523184367949002E-2</v>
      </c>
      <c r="J133">
        <v>0.119303425278208</v>
      </c>
      <c r="K133">
        <v>0.15117732103872999</v>
      </c>
      <c r="L133">
        <v>720.92571614538804</v>
      </c>
      <c r="M133">
        <v>14.826545516965799</v>
      </c>
      <c r="N133">
        <v>49.138556468333199</v>
      </c>
      <c r="O133">
        <v>47.765152049627098</v>
      </c>
      <c r="P133">
        <v>-7.2029045774286607E-2</v>
      </c>
      <c r="Q133">
        <v>7.1904136964609205E-2</v>
      </c>
      <c r="R133">
        <v>0.98003775039009999</v>
      </c>
      <c r="S133" t="s">
        <v>6701</v>
      </c>
      <c r="T133" t="s">
        <v>13134</v>
      </c>
      <c r="U133" t="s">
        <v>13134</v>
      </c>
      <c r="V133" t="s">
        <v>13134</v>
      </c>
      <c r="W133" t="s">
        <v>13267</v>
      </c>
      <c r="X133">
        <v>3</v>
      </c>
      <c r="Y133" t="s">
        <v>19758</v>
      </c>
      <c r="Z133" t="s">
        <v>26101</v>
      </c>
      <c r="AA133">
        <v>0.45204153520272899</v>
      </c>
      <c r="AB133" t="str">
        <f>HYPERLINK("Melting_Curves/meltCurve_B3KQC5_MAN1B1.pdf", "Melting_Curves/meltCurve_B3KQC5_MAN1B1.pdf")</f>
        <v>Melting_Curves/meltCurve_B3KQC5_MAN1B1.pdf</v>
      </c>
    </row>
    <row r="134" spans="1:28" x14ac:dyDescent="0.25">
      <c r="A134" t="s">
        <v>138</v>
      </c>
      <c r="B134">
        <v>0.99472303558308395</v>
      </c>
      <c r="C134">
        <v>0.90797599497735104</v>
      </c>
      <c r="D134">
        <v>0.71989085910096595</v>
      </c>
      <c r="E134">
        <v>0.55936697165539095</v>
      </c>
      <c r="F134">
        <v>0.43100547291309199</v>
      </c>
      <c r="G134">
        <v>0.20334770926389101</v>
      </c>
      <c r="H134">
        <v>0.111627853128574</v>
      </c>
      <c r="I134">
        <v>6.9256966221409103E-2</v>
      </c>
      <c r="J134">
        <v>7.2388243933544302E-2</v>
      </c>
      <c r="K134">
        <v>5.2374176974776102E-2</v>
      </c>
      <c r="L134">
        <v>517.72807143707405</v>
      </c>
      <c r="M134">
        <v>10.8492260744818</v>
      </c>
      <c r="N134">
        <v>47.720290354144502</v>
      </c>
      <c r="O134">
        <v>46.1848420804087</v>
      </c>
      <c r="P134">
        <v>-5.8748096050945303E-2</v>
      </c>
      <c r="Q134">
        <v>0</v>
      </c>
      <c r="R134">
        <v>0.99214148423924398</v>
      </c>
      <c r="S134" t="s">
        <v>6702</v>
      </c>
      <c r="T134" t="s">
        <v>13134</v>
      </c>
      <c r="U134" t="s">
        <v>13134</v>
      </c>
      <c r="V134" t="s">
        <v>13134</v>
      </c>
      <c r="W134" t="s">
        <v>13268</v>
      </c>
      <c r="X134">
        <v>16</v>
      </c>
      <c r="Y134" t="s">
        <v>19759</v>
      </c>
      <c r="Z134" t="s">
        <v>26102</v>
      </c>
      <c r="AA134">
        <v>0.39406859392208299</v>
      </c>
      <c r="AB134" t="str">
        <f>HYPERLINK("Melting_Curves/meltCurve_B3KS98_EIF3S3.pdf", "Melting_Curves/meltCurve_B3KS98_EIF3S3.pdf")</f>
        <v>Melting_Curves/meltCurve_B3KS98_EIF3S3.pdf</v>
      </c>
    </row>
    <row r="135" spans="1:28" x14ac:dyDescent="0.25">
      <c r="A135" t="s">
        <v>139</v>
      </c>
      <c r="B135">
        <v>0.99472303558308395</v>
      </c>
      <c r="C135">
        <v>0.83469190230061696</v>
      </c>
      <c r="D135">
        <v>0.82144035328274201</v>
      </c>
      <c r="E135">
        <v>0.56145932714597402</v>
      </c>
      <c r="F135">
        <v>0.315915916842821</v>
      </c>
      <c r="G135">
        <v>9.3978342346268395E-2</v>
      </c>
      <c r="H135">
        <v>6.08583736491888E-2</v>
      </c>
      <c r="I135">
        <v>4.5072609216553802E-2</v>
      </c>
      <c r="J135">
        <v>5.07332530566664E-2</v>
      </c>
      <c r="K135">
        <v>4.2535666150738602E-2</v>
      </c>
      <c r="L135">
        <v>672.80430453618601</v>
      </c>
      <c r="M135">
        <v>14.290775178799599</v>
      </c>
      <c r="N135">
        <v>47.130216573720801</v>
      </c>
      <c r="O135">
        <v>46.186528658899498</v>
      </c>
      <c r="P135">
        <v>-7.67741723271399E-2</v>
      </c>
      <c r="Q135">
        <v>7.6117028831355999E-3</v>
      </c>
      <c r="R135">
        <v>0.98876756657894604</v>
      </c>
      <c r="S135" t="s">
        <v>6703</v>
      </c>
      <c r="T135" t="s">
        <v>13134</v>
      </c>
      <c r="U135" t="s">
        <v>13134</v>
      </c>
      <c r="V135" t="s">
        <v>13134</v>
      </c>
      <c r="W135" t="s">
        <v>13269</v>
      </c>
      <c r="X135">
        <v>11</v>
      </c>
      <c r="Y135" t="s">
        <v>19760</v>
      </c>
      <c r="Z135" t="s">
        <v>26103</v>
      </c>
      <c r="AA135">
        <v>0.36533130630990129</v>
      </c>
      <c r="AB135" t="str">
        <f>HYPERLINK("Melting_Curves/meltCurve_B3KSH1_EIF3F.pdf", "Melting_Curves/meltCurve_B3KSH1_EIF3F.pdf")</f>
        <v>Melting_Curves/meltCurve_B3KSH1_EIF3F.pdf</v>
      </c>
    </row>
    <row r="136" spans="1:28" x14ac:dyDescent="0.25">
      <c r="A136" t="s">
        <v>140</v>
      </c>
      <c r="B136">
        <v>0.99472303558308395</v>
      </c>
      <c r="C136">
        <v>1.0085356180729701</v>
      </c>
      <c r="D136">
        <v>1.0114834149582701</v>
      </c>
      <c r="E136">
        <v>0.89177817859281405</v>
      </c>
      <c r="F136">
        <v>0.70433781880575896</v>
      </c>
      <c r="G136">
        <v>0.31741893761624501</v>
      </c>
      <c r="H136">
        <v>9.0425943407810794E-2</v>
      </c>
      <c r="I136">
        <v>5.5830095250223699E-2</v>
      </c>
      <c r="J136">
        <v>6.1591032855016999E-2</v>
      </c>
      <c r="K136">
        <v>5.9927955993559698E-2</v>
      </c>
      <c r="L136">
        <v>1250.8420576211699</v>
      </c>
      <c r="M136">
        <v>24.186293059126299</v>
      </c>
      <c r="N136">
        <v>51.897233741083802</v>
      </c>
      <c r="O136">
        <v>51.367311840862499</v>
      </c>
      <c r="P136">
        <v>-0.11297191460563499</v>
      </c>
      <c r="Q136">
        <v>4.0286825878224401E-2</v>
      </c>
      <c r="R136">
        <v>0.99759398727772497</v>
      </c>
      <c r="S136" t="s">
        <v>6704</v>
      </c>
      <c r="T136" t="s">
        <v>13134</v>
      </c>
      <c r="U136" t="s">
        <v>13134</v>
      </c>
      <c r="V136" t="s">
        <v>13134</v>
      </c>
      <c r="W136" t="s">
        <v>13270</v>
      </c>
      <c r="X136">
        <v>10</v>
      </c>
      <c r="Y136" t="s">
        <v>19761</v>
      </c>
      <c r="Z136" t="s">
        <v>26104</v>
      </c>
      <c r="AA136">
        <v>0.52010902570651085</v>
      </c>
      <c r="AB136" t="str">
        <f>HYPERLINK("Melting_Curves/meltCurve_B3KSI9_LZTFL1.pdf", "Melting_Curves/meltCurve_B3KSI9_LZTFL1.pdf")</f>
        <v>Melting_Curves/meltCurve_B3KSI9_LZTFL1.pdf</v>
      </c>
    </row>
    <row r="137" spans="1:28" x14ac:dyDescent="0.25">
      <c r="A137" t="s">
        <v>141</v>
      </c>
      <c r="B137">
        <v>0.99472303558308395</v>
      </c>
      <c r="C137">
        <v>1.0430705149992801</v>
      </c>
      <c r="D137">
        <v>0.93555231372192105</v>
      </c>
      <c r="E137">
        <v>0.83739784796927597</v>
      </c>
      <c r="F137">
        <v>0.60730591555326396</v>
      </c>
      <c r="G137">
        <v>0.34656648494090803</v>
      </c>
      <c r="H137">
        <v>0.23624775583115301</v>
      </c>
      <c r="I137">
        <v>0.18724853420506901</v>
      </c>
      <c r="J137">
        <v>0.22623093507651101</v>
      </c>
      <c r="K137">
        <v>0.28809401023239101</v>
      </c>
      <c r="L137">
        <v>1056.91345749373</v>
      </c>
      <c r="M137">
        <v>21.203745516095999</v>
      </c>
      <c r="N137">
        <v>51.231120384773597</v>
      </c>
      <c r="O137">
        <v>49.408602425297403</v>
      </c>
      <c r="P137">
        <v>-8.3878697407741704E-2</v>
      </c>
      <c r="Q137">
        <v>0.21820945318325899</v>
      </c>
      <c r="R137">
        <v>0.98908884673176301</v>
      </c>
      <c r="S137" t="s">
        <v>6705</v>
      </c>
      <c r="T137" t="s">
        <v>13134</v>
      </c>
      <c r="U137" t="s">
        <v>13134</v>
      </c>
      <c r="V137" t="s">
        <v>13134</v>
      </c>
      <c r="W137" t="s">
        <v>13271</v>
      </c>
      <c r="X137">
        <v>2</v>
      </c>
      <c r="Y137" t="s">
        <v>19762</v>
      </c>
      <c r="Z137" t="s">
        <v>26105</v>
      </c>
      <c r="AA137">
        <v>0.56224009557174659</v>
      </c>
      <c r="AB137" t="str">
        <f>HYPERLINK("Melting_Curves/meltCurve_B3KTR6_MXRA8.pdf", "Melting_Curves/meltCurve_B3KTR6_MXRA8.pdf")</f>
        <v>Melting_Curves/meltCurve_B3KTR6_MXRA8.pdf</v>
      </c>
    </row>
    <row r="138" spans="1:28" x14ac:dyDescent="0.25">
      <c r="A138" t="s">
        <v>142</v>
      </c>
      <c r="B138">
        <v>0.99472303558308395</v>
      </c>
      <c r="C138">
        <v>1.1756366212595699</v>
      </c>
      <c r="D138">
        <v>1.04417454442629</v>
      </c>
      <c r="E138">
        <v>1.1439707170700599</v>
      </c>
      <c r="F138">
        <v>1.4338216232407199</v>
      </c>
      <c r="G138">
        <v>1.1828124460387599</v>
      </c>
      <c r="H138">
        <v>0.36258740361130098</v>
      </c>
      <c r="I138">
        <v>1.64449422706532</v>
      </c>
      <c r="J138">
        <v>0.82996789313757502</v>
      </c>
      <c r="K138">
        <v>0.78991202751340195</v>
      </c>
      <c r="L138">
        <v>15000</v>
      </c>
      <c r="M138">
        <v>235.449368205063</v>
      </c>
      <c r="O138">
        <v>63.703368079761603</v>
      </c>
      <c r="P138">
        <v>-0.19419710223352399</v>
      </c>
      <c r="Q138">
        <v>0.78983151084992698</v>
      </c>
      <c r="R138">
        <v>3.2450809229753297E-2</v>
      </c>
      <c r="S138" t="s">
        <v>6706</v>
      </c>
      <c r="T138" t="s">
        <v>13134</v>
      </c>
      <c r="U138" t="s">
        <v>13134</v>
      </c>
      <c r="V138" t="s">
        <v>13134</v>
      </c>
      <c r="W138" t="s">
        <v>13272</v>
      </c>
      <c r="X138">
        <v>5</v>
      </c>
      <c r="Y138" t="s">
        <v>19763</v>
      </c>
      <c r="Z138" t="s">
        <v>26106</v>
      </c>
      <c r="AA138">
        <v>0.97696373572205919</v>
      </c>
      <c r="AB138" t="str">
        <f>HYPERLINK("Melting_Curves/meltCurve_B3KUK2_SOD2.pdf", "Melting_Curves/meltCurve_B3KUK2_SOD2.pdf")</f>
        <v>Melting_Curves/meltCurve_B3KUK2_SOD2.pdf</v>
      </c>
    </row>
    <row r="139" spans="1:28" x14ac:dyDescent="0.25">
      <c r="A139" t="s">
        <v>143</v>
      </c>
      <c r="B139">
        <v>0.99472303558308395</v>
      </c>
      <c r="C139">
        <v>0.92652947666689001</v>
      </c>
      <c r="D139">
        <v>0.92662786298940802</v>
      </c>
      <c r="E139">
        <v>0.77948293613763797</v>
      </c>
      <c r="F139">
        <v>0.50560475643090297</v>
      </c>
      <c r="G139">
        <v>0.36113925782388201</v>
      </c>
      <c r="H139">
        <v>0.289108417554377</v>
      </c>
      <c r="I139">
        <v>0.24790840632904401</v>
      </c>
      <c r="J139">
        <v>0.28910659275254702</v>
      </c>
      <c r="K139">
        <v>0.233317965963316</v>
      </c>
      <c r="L139">
        <v>853.21730159615902</v>
      </c>
      <c r="M139">
        <v>17.552548255765299</v>
      </c>
      <c r="N139">
        <v>50.522840332242701</v>
      </c>
      <c r="O139">
        <v>47.9915353201119</v>
      </c>
      <c r="P139">
        <v>-6.9237809411014095E-2</v>
      </c>
      <c r="Q139">
        <v>0.242811310161549</v>
      </c>
      <c r="R139">
        <v>0.99366245301374001</v>
      </c>
      <c r="S139" t="s">
        <v>6707</v>
      </c>
      <c r="T139" t="s">
        <v>13134</v>
      </c>
      <c r="U139" t="s">
        <v>13134</v>
      </c>
      <c r="V139" t="s">
        <v>13134</v>
      </c>
      <c r="W139" t="s">
        <v>13273</v>
      </c>
      <c r="X139">
        <v>7</v>
      </c>
      <c r="Y139" t="s">
        <v>19764</v>
      </c>
      <c r="Z139" t="s">
        <v>26107</v>
      </c>
      <c r="AA139">
        <v>0.54844187473946471</v>
      </c>
      <c r="AB139" t="str">
        <f>HYPERLINK("Melting_Curves/meltCurve_B3KVH8_PHF23.pdf", "Melting_Curves/meltCurve_B3KVH8_PHF23.pdf")</f>
        <v>Melting_Curves/meltCurve_B3KVH8_PHF23.pdf</v>
      </c>
    </row>
    <row r="140" spans="1:28" x14ac:dyDescent="0.25">
      <c r="A140" t="s">
        <v>144</v>
      </c>
      <c r="B140">
        <v>0.99472303558308395</v>
      </c>
      <c r="C140">
        <v>0.95150828374222796</v>
      </c>
      <c r="D140">
        <v>0.91491005784381196</v>
      </c>
      <c r="E140">
        <v>0.62029023227089897</v>
      </c>
      <c r="F140">
        <v>0.463923449042355</v>
      </c>
      <c r="G140">
        <v>0.14767625157152101</v>
      </c>
      <c r="H140">
        <v>9.0110645655841703E-2</v>
      </c>
      <c r="I140">
        <v>3.9082789547712098E-2</v>
      </c>
      <c r="J140">
        <v>5.3393006851797403E-2</v>
      </c>
      <c r="K140">
        <v>3.0559242082195098E-2</v>
      </c>
      <c r="L140">
        <v>750.16091598017397</v>
      </c>
      <c r="M140">
        <v>15.3979850920704</v>
      </c>
      <c r="N140">
        <v>48.772253234460401</v>
      </c>
      <c r="O140">
        <v>47.918588854807403</v>
      </c>
      <c r="P140">
        <v>-7.9660714843149294E-2</v>
      </c>
      <c r="Q140">
        <v>8.4723341834219094E-3</v>
      </c>
      <c r="R140">
        <v>0.99230452511453904</v>
      </c>
      <c r="S140" t="s">
        <v>6708</v>
      </c>
      <c r="T140" t="s">
        <v>13134</v>
      </c>
      <c r="U140" t="s">
        <v>13134</v>
      </c>
      <c r="V140" t="s">
        <v>13134</v>
      </c>
      <c r="W140" t="s">
        <v>13274</v>
      </c>
      <c r="X140">
        <v>4</v>
      </c>
      <c r="Y140" t="s">
        <v>19765</v>
      </c>
      <c r="Z140" t="s">
        <v>26108</v>
      </c>
      <c r="AA140">
        <v>0.41635784473142229</v>
      </c>
      <c r="AB140" t="str">
        <f>HYPERLINK("Melting_Curves/meltCurve_B3KWN8_PYROXD1.pdf", "Melting_Curves/meltCurve_B3KWN8_PYROXD1.pdf")</f>
        <v>Melting_Curves/meltCurve_B3KWN8_PYROXD1.pdf</v>
      </c>
    </row>
    <row r="141" spans="1:28" x14ac:dyDescent="0.25">
      <c r="A141" t="s">
        <v>145</v>
      </c>
      <c r="B141">
        <v>0.99472303558308395</v>
      </c>
      <c r="C141">
        <v>1.08574752155702</v>
      </c>
      <c r="D141">
        <v>0.87022404916239504</v>
      </c>
      <c r="E141">
        <v>0.89567615107816201</v>
      </c>
      <c r="F141">
        <v>0.49283170370115598</v>
      </c>
      <c r="G141">
        <v>0.28101228771964798</v>
      </c>
      <c r="H141">
        <v>0.17070763192832</v>
      </c>
      <c r="I141">
        <v>0.104219409231044</v>
      </c>
      <c r="J141">
        <v>0.11427782874407</v>
      </c>
      <c r="K141">
        <v>0.11547106930959899</v>
      </c>
      <c r="L141">
        <v>1080.5658070694101</v>
      </c>
      <c r="M141">
        <v>21.651295618643999</v>
      </c>
      <c r="N141">
        <v>50.474220555127097</v>
      </c>
      <c r="O141">
        <v>49.487772676348101</v>
      </c>
      <c r="P141">
        <v>-9.7580431532030207E-2</v>
      </c>
      <c r="Q141">
        <v>0.107873418029289</v>
      </c>
      <c r="R141">
        <v>0.98414460885226196</v>
      </c>
      <c r="S141" t="s">
        <v>6709</v>
      </c>
      <c r="T141" t="s">
        <v>13134</v>
      </c>
      <c r="U141" t="s">
        <v>13134</v>
      </c>
      <c r="V141" t="s">
        <v>13134</v>
      </c>
      <c r="W141" t="s">
        <v>13275</v>
      </c>
      <c r="X141">
        <v>4</v>
      </c>
      <c r="Y141" t="s">
        <v>19766</v>
      </c>
      <c r="Z141" t="s">
        <v>26109</v>
      </c>
      <c r="AA141">
        <v>0.50191178440281436</v>
      </c>
      <c r="AB141" t="str">
        <f>HYPERLINK("Melting_Curves/meltCurve_B3KXX3_SLC12A6.pdf", "Melting_Curves/meltCurve_B3KXX3_SLC12A6.pdf")</f>
        <v>Melting_Curves/meltCurve_B3KXX3_SLC12A6.pdf</v>
      </c>
    </row>
    <row r="142" spans="1:28" x14ac:dyDescent="0.25">
      <c r="A142" t="s">
        <v>146</v>
      </c>
      <c r="B142">
        <v>0.99472303558308395</v>
      </c>
      <c r="C142">
        <v>0.92553893073937599</v>
      </c>
      <c r="D142">
        <v>0.93992839989692401</v>
      </c>
      <c r="E142">
        <v>0.47540510250969797</v>
      </c>
      <c r="F142">
        <v>0.21232234335522299</v>
      </c>
      <c r="G142">
        <v>0.108126338389275</v>
      </c>
      <c r="H142">
        <v>6.9844019885823602E-2</v>
      </c>
      <c r="I142">
        <v>5.0627273730441999E-2</v>
      </c>
      <c r="J142">
        <v>6.6900844863207201E-2</v>
      </c>
      <c r="K142">
        <v>7.4877071268025397E-2</v>
      </c>
      <c r="L142">
        <v>1206.69231999614</v>
      </c>
      <c r="M142">
        <v>26.024779093907298</v>
      </c>
      <c r="N142">
        <v>46.638525891848097</v>
      </c>
      <c r="O142">
        <v>46.095883983509601</v>
      </c>
      <c r="P142">
        <v>-0.131226245140662</v>
      </c>
      <c r="Q142">
        <v>7.0283006974328002E-2</v>
      </c>
      <c r="R142">
        <v>0.99435870837445295</v>
      </c>
      <c r="S142" t="s">
        <v>6710</v>
      </c>
      <c r="T142" t="s">
        <v>13134</v>
      </c>
      <c r="U142" t="s">
        <v>13134</v>
      </c>
      <c r="V142" t="s">
        <v>13134</v>
      </c>
      <c r="W142" t="s">
        <v>13276</v>
      </c>
      <c r="X142">
        <v>8</v>
      </c>
      <c r="Y142" t="s">
        <v>19767</v>
      </c>
      <c r="Z142" t="s">
        <v>26110</v>
      </c>
      <c r="AA142">
        <v>0.36770505227281991</v>
      </c>
      <c r="AB142" t="str">
        <f>HYPERLINK("Melting_Curves/meltCurve_B3KY83_RXRA.pdf", "Melting_Curves/meltCurve_B3KY83_RXRA.pdf")</f>
        <v>Melting_Curves/meltCurve_B3KY83_RXRA.pdf</v>
      </c>
    </row>
    <row r="143" spans="1:28" x14ac:dyDescent="0.25">
      <c r="A143" t="s">
        <v>147</v>
      </c>
      <c r="B143">
        <v>0.99472303558308395</v>
      </c>
      <c r="C143">
        <v>1.68583847110146</v>
      </c>
      <c r="D143">
        <v>1.0708904972208499</v>
      </c>
      <c r="E143">
        <v>1.33697877372614</v>
      </c>
      <c r="F143">
        <v>1.1096768333107201</v>
      </c>
      <c r="G143">
        <v>0.96344838396545096</v>
      </c>
      <c r="H143">
        <v>0.59155428940756105</v>
      </c>
      <c r="I143">
        <v>0.97345828196661099</v>
      </c>
      <c r="J143">
        <v>1.4243222117549199</v>
      </c>
      <c r="K143">
        <v>0.68176142517052896</v>
      </c>
      <c r="L143">
        <v>13461.9865807551</v>
      </c>
      <c r="M143">
        <v>250</v>
      </c>
      <c r="O143">
        <v>53.844478574710401</v>
      </c>
      <c r="P143">
        <v>-9.5443719902162605E-2</v>
      </c>
      <c r="Q143">
        <v>0.91777408923589898</v>
      </c>
      <c r="R143">
        <v>-4.1706506684353398E-2</v>
      </c>
      <c r="S143" t="s">
        <v>6711</v>
      </c>
      <c r="T143" t="s">
        <v>13134</v>
      </c>
      <c r="U143" t="s">
        <v>13134</v>
      </c>
      <c r="V143" t="s">
        <v>13134</v>
      </c>
      <c r="W143" t="s">
        <v>13277</v>
      </c>
      <c r="X143">
        <v>9</v>
      </c>
      <c r="Y143" t="s">
        <v>19768</v>
      </c>
      <c r="Z143" t="s">
        <v>26111</v>
      </c>
      <c r="AA143">
        <v>0.9639597841380565</v>
      </c>
      <c r="AB143" t="str">
        <f>HYPERLINK("Melting_Curves/meltCurve_B3V0L1_ARL6IP4.pdf", "Melting_Curves/meltCurve_B3V0L1_ARL6IP4.pdf")</f>
        <v>Melting_Curves/meltCurve_B3V0L1_ARL6IP4.pdf</v>
      </c>
    </row>
    <row r="144" spans="1:28" x14ac:dyDescent="0.25">
      <c r="A144" t="s">
        <v>148</v>
      </c>
      <c r="B144">
        <v>0.99472303558308395</v>
      </c>
      <c r="C144">
        <v>0.93910947023660396</v>
      </c>
      <c r="D144">
        <v>1.0498014800920601</v>
      </c>
      <c r="E144">
        <v>0.66860928915511597</v>
      </c>
      <c r="F144">
        <v>0.17413708673448899</v>
      </c>
      <c r="G144">
        <v>0.100602201766328</v>
      </c>
      <c r="H144">
        <v>6.4043800138300397E-2</v>
      </c>
      <c r="I144">
        <v>4.93140209466639E-2</v>
      </c>
      <c r="J144">
        <v>6.3153867863800797E-2</v>
      </c>
      <c r="K144">
        <v>4.8272057378133899E-2</v>
      </c>
      <c r="L144">
        <v>1802.66449044401</v>
      </c>
      <c r="M144">
        <v>38.029824611442898</v>
      </c>
      <c r="N144">
        <v>47.572609980932</v>
      </c>
      <c r="O144">
        <v>47.270846213445402</v>
      </c>
      <c r="P144">
        <v>-0.18826106706381901</v>
      </c>
      <c r="Q144">
        <v>6.3972993721212706E-2</v>
      </c>
      <c r="R144">
        <v>0.99443572260625901</v>
      </c>
      <c r="S144" t="s">
        <v>6712</v>
      </c>
      <c r="T144" t="s">
        <v>13134</v>
      </c>
      <c r="U144" t="s">
        <v>13134</v>
      </c>
      <c r="V144" t="s">
        <v>13134</v>
      </c>
      <c r="W144" t="s">
        <v>13278</v>
      </c>
      <c r="X144">
        <v>16</v>
      </c>
      <c r="Y144" t="s">
        <v>19769</v>
      </c>
      <c r="Z144" t="s">
        <v>26112</v>
      </c>
      <c r="AA144">
        <v>0.39190042186513452</v>
      </c>
      <c r="AB144" t="str">
        <f>HYPERLINK("Melting_Curves/meltCurve_B4DDF4_CNN2.pdf", "Melting_Curves/meltCurve_B4DDF4_CNN2.pdf")</f>
        <v>Melting_Curves/meltCurve_B4DDF4_CNN2.pdf</v>
      </c>
    </row>
    <row r="145" spans="1:28" x14ac:dyDescent="0.25">
      <c r="A145" t="s">
        <v>149</v>
      </c>
      <c r="B145">
        <v>0.99472303558308395</v>
      </c>
      <c r="C145">
        <v>1.0880319210690399</v>
      </c>
      <c r="D145">
        <v>0.56744942468191495</v>
      </c>
      <c r="E145">
        <v>0.58432440611182301</v>
      </c>
      <c r="F145">
        <v>0.32134096730753298</v>
      </c>
      <c r="G145">
        <v>0.20674900225374099</v>
      </c>
      <c r="H145">
        <v>8.37272151489276E-2</v>
      </c>
      <c r="I145">
        <v>3.0543886583098999E-2</v>
      </c>
      <c r="J145">
        <v>3.1949505132459602E-2</v>
      </c>
      <c r="K145">
        <v>8.4498927142988095E-2</v>
      </c>
      <c r="L145">
        <v>596.600076033606</v>
      </c>
      <c r="M145">
        <v>12.7509367402045</v>
      </c>
      <c r="N145">
        <v>46.948596856230999</v>
      </c>
      <c r="O145">
        <v>45.682691064177902</v>
      </c>
      <c r="P145">
        <v>-6.8310412952574603E-2</v>
      </c>
      <c r="Q145">
        <v>2.1245466084470001E-2</v>
      </c>
      <c r="R145">
        <v>0.94227012832161505</v>
      </c>
      <c r="S145" t="s">
        <v>6713</v>
      </c>
      <c r="T145" t="s">
        <v>13134</v>
      </c>
      <c r="U145" t="s">
        <v>13134</v>
      </c>
      <c r="V145" t="s">
        <v>13134</v>
      </c>
      <c r="W145" t="s">
        <v>13279</v>
      </c>
      <c r="X145">
        <v>3</v>
      </c>
      <c r="Y145" t="s">
        <v>19770</v>
      </c>
      <c r="Z145" t="s">
        <v>26113</v>
      </c>
      <c r="AA145">
        <v>0.37000574116549101</v>
      </c>
      <c r="AB145" t="str">
        <f>HYPERLINK("Melting_Curves/meltCurve_B4DDR8_MED24.pdf", "Melting_Curves/meltCurve_B4DDR8_MED24.pdf")</f>
        <v>Melting_Curves/meltCurve_B4DDR8_MED24.pdf</v>
      </c>
    </row>
    <row r="146" spans="1:28" x14ac:dyDescent="0.25">
      <c r="A146" t="s">
        <v>150</v>
      </c>
      <c r="B146">
        <v>0.99472303558308395</v>
      </c>
      <c r="C146">
        <v>1.03799738885561</v>
      </c>
      <c r="D146">
        <v>0.83385839116181704</v>
      </c>
      <c r="E146">
        <v>0.72216294767983102</v>
      </c>
      <c r="F146">
        <v>0.58151488191521405</v>
      </c>
      <c r="G146">
        <v>0.39219516381660702</v>
      </c>
      <c r="H146">
        <v>0.27950655982724298</v>
      </c>
      <c r="I146">
        <v>0.18942045308670899</v>
      </c>
      <c r="J146">
        <v>0.15840179880296201</v>
      </c>
      <c r="K146">
        <v>0.12370351472930199</v>
      </c>
      <c r="L146">
        <v>544.31843804383197</v>
      </c>
      <c r="M146">
        <v>10.716055767457901</v>
      </c>
      <c r="N146">
        <v>51.4341717061005</v>
      </c>
      <c r="O146">
        <v>49.121641230839003</v>
      </c>
      <c r="P146">
        <v>-5.1155755524462797E-2</v>
      </c>
      <c r="Q146">
        <v>6.2372381360650903E-2</v>
      </c>
      <c r="R146">
        <v>0.99028491510571304</v>
      </c>
      <c r="S146" t="s">
        <v>6714</v>
      </c>
      <c r="T146" t="s">
        <v>13134</v>
      </c>
      <c r="U146" t="s">
        <v>13134</v>
      </c>
      <c r="V146" t="s">
        <v>13134</v>
      </c>
      <c r="W146" t="s">
        <v>13280</v>
      </c>
      <c r="X146">
        <v>14</v>
      </c>
      <c r="Y146" t="s">
        <v>19771</v>
      </c>
      <c r="Z146" t="s">
        <v>26114</v>
      </c>
      <c r="AA146">
        <v>0.52114886301282326</v>
      </c>
      <c r="AB146" t="str">
        <f>HYPERLINK("Melting_Curves/meltCurve_B4DDY8_HARS2.pdf", "Melting_Curves/meltCurve_B4DDY8_HARS2.pdf")</f>
        <v>Melting_Curves/meltCurve_B4DDY8_HARS2.pdf</v>
      </c>
    </row>
    <row r="147" spans="1:28" x14ac:dyDescent="0.25">
      <c r="A147" t="s">
        <v>151</v>
      </c>
      <c r="B147">
        <v>0.99472303558308395</v>
      </c>
      <c r="C147">
        <v>0.85327143114183501</v>
      </c>
      <c r="D147">
        <v>0.74492214822111902</v>
      </c>
      <c r="E147">
        <v>0.67251678217563904</v>
      </c>
      <c r="F147">
        <v>0.62554291782276905</v>
      </c>
      <c r="G147">
        <v>0.42492406345654399</v>
      </c>
      <c r="H147">
        <v>0.336155085436525</v>
      </c>
      <c r="I147">
        <v>0.22798607521509201</v>
      </c>
      <c r="J147">
        <v>0.17424640386290199</v>
      </c>
      <c r="K147">
        <v>0.169933069508655</v>
      </c>
      <c r="L147">
        <v>363.118352919931</v>
      </c>
      <c r="M147">
        <v>7.0382753053154099</v>
      </c>
      <c r="N147">
        <v>51.591950669440898</v>
      </c>
      <c r="O147">
        <v>47.9120631343281</v>
      </c>
      <c r="P147">
        <v>-3.6791702705935202E-2</v>
      </c>
      <c r="Q147">
        <v>0</v>
      </c>
      <c r="R147">
        <v>0.981276833617578</v>
      </c>
      <c r="S147" t="s">
        <v>6715</v>
      </c>
      <c r="T147" t="s">
        <v>13134</v>
      </c>
      <c r="U147" t="s">
        <v>13134</v>
      </c>
      <c r="V147" t="s">
        <v>13134</v>
      </c>
      <c r="W147" t="s">
        <v>13281</v>
      </c>
      <c r="X147">
        <v>1</v>
      </c>
      <c r="Y147" t="s">
        <v>19772</v>
      </c>
      <c r="Z147" t="s">
        <v>26115</v>
      </c>
      <c r="AA147">
        <v>0.51840151541619939</v>
      </c>
      <c r="AB147" t="str">
        <f>HYPERLINK("Melting_Curves/meltCurve_B4DE11_SLC35A2.pdf", "Melting_Curves/meltCurve_B4DE11_SLC35A2.pdf")</f>
        <v>Melting_Curves/meltCurve_B4DE11_SLC35A2.pdf</v>
      </c>
    </row>
    <row r="148" spans="1:28" x14ac:dyDescent="0.25">
      <c r="A148" t="s">
        <v>152</v>
      </c>
      <c r="B148">
        <v>0.99472303558308395</v>
      </c>
      <c r="C148">
        <v>0.98972574437697602</v>
      </c>
      <c r="D148">
        <v>0.82876347026525099</v>
      </c>
      <c r="E148">
        <v>0.33001111902594399</v>
      </c>
      <c r="F148">
        <v>0.211234110241069</v>
      </c>
      <c r="G148">
        <v>0.13218524672572901</v>
      </c>
      <c r="H148">
        <v>8.7833528039508502E-2</v>
      </c>
      <c r="I148">
        <v>6.0306894563154002E-2</v>
      </c>
      <c r="J148">
        <v>8.1042051030991699E-2</v>
      </c>
      <c r="K148">
        <v>5.99256787937925E-2</v>
      </c>
      <c r="L148">
        <v>1206.098763084</v>
      </c>
      <c r="M148">
        <v>26.709293631709802</v>
      </c>
      <c r="N148">
        <v>45.4891273903973</v>
      </c>
      <c r="O148">
        <v>44.905665734985199</v>
      </c>
      <c r="P148">
        <v>-0.135508223368762</v>
      </c>
      <c r="Q148">
        <v>8.8703102611188106E-2</v>
      </c>
      <c r="R148">
        <v>0.99385224536838002</v>
      </c>
      <c r="S148" t="s">
        <v>6716</v>
      </c>
      <c r="T148" t="s">
        <v>13134</v>
      </c>
      <c r="U148" t="s">
        <v>13134</v>
      </c>
      <c r="V148" t="s">
        <v>13134</v>
      </c>
      <c r="W148" t="s">
        <v>13282</v>
      </c>
      <c r="X148">
        <v>16</v>
      </c>
      <c r="Y148" t="s">
        <v>19773</v>
      </c>
      <c r="Z148" t="s">
        <v>26116</v>
      </c>
      <c r="AA148">
        <v>0.34299316688566678</v>
      </c>
      <c r="AB148" t="str">
        <f>HYPERLINK("Melting_Curves/meltCurve_B4DE16_CTNNBL1.pdf", "Melting_Curves/meltCurve_B4DE16_CTNNBL1.pdf")</f>
        <v>Melting_Curves/meltCurve_B4DE16_CTNNBL1.pdf</v>
      </c>
    </row>
    <row r="149" spans="1:28" x14ac:dyDescent="0.25">
      <c r="A149" t="s">
        <v>153</v>
      </c>
      <c r="B149">
        <v>0.99472303558308395</v>
      </c>
      <c r="C149">
        <v>0.98789010533479604</v>
      </c>
      <c r="D149">
        <v>0.67622237240719796</v>
      </c>
      <c r="E149">
        <v>0.63712113541234405</v>
      </c>
      <c r="F149">
        <v>0.27844180413185898</v>
      </c>
      <c r="G149">
        <v>0.140170947742322</v>
      </c>
      <c r="H149">
        <v>7.4443752901607901E-2</v>
      </c>
      <c r="I149">
        <v>1.4438636654646101E-2</v>
      </c>
      <c r="J149">
        <v>8.5519719346962703E-2</v>
      </c>
      <c r="K149">
        <v>2.3371018301278201E-2</v>
      </c>
      <c r="L149">
        <v>654.67655334913104</v>
      </c>
      <c r="M149">
        <v>13.8903020375159</v>
      </c>
      <c r="N149">
        <v>47.185396395216998</v>
      </c>
      <c r="O149">
        <v>46.187270152831303</v>
      </c>
      <c r="P149">
        <v>-7.4607697046021298E-2</v>
      </c>
      <c r="Q149">
        <v>7.8099028138786499E-3</v>
      </c>
      <c r="R149">
        <v>0.97746785323421703</v>
      </c>
      <c r="S149" t="s">
        <v>6717</v>
      </c>
      <c r="T149" t="s">
        <v>13134</v>
      </c>
      <c r="U149" t="s">
        <v>13134</v>
      </c>
      <c r="V149" t="s">
        <v>13134</v>
      </c>
      <c r="W149" t="s">
        <v>13283</v>
      </c>
      <c r="X149">
        <v>1</v>
      </c>
      <c r="Y149" t="s">
        <v>19774</v>
      </c>
      <c r="Z149" t="s">
        <v>26117</v>
      </c>
      <c r="AA149">
        <v>0.36837157808903848</v>
      </c>
      <c r="AB149" t="str">
        <f>HYPERLINK("Melting_Curves/meltCurve_B4DE92_TBC1D25.pdf", "Melting_Curves/meltCurve_B4DE92_TBC1D25.pdf")</f>
        <v>Melting_Curves/meltCurve_B4DE92_TBC1D25.pdf</v>
      </c>
    </row>
    <row r="150" spans="1:28" x14ac:dyDescent="0.25">
      <c r="A150" t="s">
        <v>154</v>
      </c>
      <c r="B150">
        <v>0.99472303558308395</v>
      </c>
      <c r="C150">
        <v>0.87147836555822999</v>
      </c>
      <c r="D150">
        <v>0.92538383837203897</v>
      </c>
      <c r="E150">
        <v>0.97697533988690999</v>
      </c>
      <c r="F150">
        <v>0.77057211330556197</v>
      </c>
      <c r="G150">
        <v>0.495391438784339</v>
      </c>
      <c r="H150">
        <v>0.26134544015310102</v>
      </c>
      <c r="I150">
        <v>8.2438802454998697E-2</v>
      </c>
      <c r="J150">
        <v>8.7178899325114301E-2</v>
      </c>
      <c r="K150">
        <v>5.27748907272736E-2</v>
      </c>
      <c r="L150">
        <v>981.11321765295497</v>
      </c>
      <c r="M150">
        <v>18.307374389113701</v>
      </c>
      <c r="N150">
        <v>53.730930419760099</v>
      </c>
      <c r="O150">
        <v>52.963996983350199</v>
      </c>
      <c r="P150">
        <v>-8.4408545653154796E-2</v>
      </c>
      <c r="Q150">
        <v>2.32553209585919E-2</v>
      </c>
      <c r="R150">
        <v>0.98373402955932898</v>
      </c>
      <c r="S150" t="s">
        <v>6718</v>
      </c>
      <c r="T150" t="s">
        <v>13134</v>
      </c>
      <c r="U150" t="s">
        <v>13134</v>
      </c>
      <c r="V150" t="s">
        <v>13134</v>
      </c>
      <c r="W150" t="s">
        <v>13284</v>
      </c>
      <c r="X150">
        <v>3</v>
      </c>
      <c r="Y150" t="s">
        <v>19775</v>
      </c>
      <c r="Z150" t="s">
        <v>26118</v>
      </c>
      <c r="AA150">
        <v>0.57691606266815454</v>
      </c>
      <c r="AB150" t="str">
        <f>HYPERLINK("Melting_Curves/meltCurve_B4DEX5_PRNPIP.pdf", "Melting_Curves/meltCurve_B4DEX5_PRNPIP.pdf")</f>
        <v>Melting_Curves/meltCurve_B4DEX5_PRNPIP.pdf</v>
      </c>
    </row>
    <row r="151" spans="1:28" x14ac:dyDescent="0.25">
      <c r="A151" t="s">
        <v>155</v>
      </c>
      <c r="B151">
        <v>0.99472303558308395</v>
      </c>
      <c r="C151">
        <v>1.01251779100928</v>
      </c>
      <c r="D151">
        <v>0.64992954769518096</v>
      </c>
      <c r="E151">
        <v>0.57159615426114696</v>
      </c>
      <c r="F151">
        <v>0.50670689738574703</v>
      </c>
      <c r="G151">
        <v>0.2083581648792</v>
      </c>
      <c r="H151">
        <v>0.12812418851715901</v>
      </c>
      <c r="I151">
        <v>5.08098818869165E-2</v>
      </c>
      <c r="J151">
        <v>4.1543270438826399E-2</v>
      </c>
      <c r="K151">
        <v>5.4416094467785399E-2</v>
      </c>
      <c r="L151">
        <v>526.30684043700796</v>
      </c>
      <c r="M151">
        <v>10.939322401198501</v>
      </c>
      <c r="N151">
        <v>48.1114662931518</v>
      </c>
      <c r="O151">
        <v>46.5875287391274</v>
      </c>
      <c r="P151">
        <v>-5.8723305484720399E-2</v>
      </c>
      <c r="Q151">
        <v>0</v>
      </c>
      <c r="R151">
        <v>0.962780236313586</v>
      </c>
      <c r="S151" t="s">
        <v>6719</v>
      </c>
      <c r="T151" t="s">
        <v>13134</v>
      </c>
      <c r="U151" t="s">
        <v>13134</v>
      </c>
      <c r="V151" t="s">
        <v>13134</v>
      </c>
      <c r="W151" t="s">
        <v>13285</v>
      </c>
      <c r="X151">
        <v>3</v>
      </c>
      <c r="Y151" t="s">
        <v>19776</v>
      </c>
      <c r="Z151" t="s">
        <v>26119</v>
      </c>
      <c r="AA151">
        <v>0.40582035795466609</v>
      </c>
      <c r="AB151" t="str">
        <f>HYPERLINK("Melting_Curves/meltCurve_B4DEZ3_NDUFA13.pdf", "Melting_Curves/meltCurve_B4DEZ3_NDUFA13.pdf")</f>
        <v>Melting_Curves/meltCurve_B4DEZ3_NDUFA13.pdf</v>
      </c>
    </row>
    <row r="152" spans="1:28" x14ac:dyDescent="0.25">
      <c r="A152" t="s">
        <v>156</v>
      </c>
      <c r="B152">
        <v>0.99472303558308395</v>
      </c>
      <c r="C152">
        <v>0.889412040219143</v>
      </c>
      <c r="D152">
        <v>0.680648553816393</v>
      </c>
      <c r="E152">
        <v>0.35824142969291001</v>
      </c>
      <c r="F152">
        <v>0.198103580937699</v>
      </c>
      <c r="G152">
        <v>0.111812399874417</v>
      </c>
      <c r="H152">
        <v>7.2004556078973603E-2</v>
      </c>
      <c r="I152">
        <v>5.32473002586379E-2</v>
      </c>
      <c r="J152">
        <v>5.32260189952476E-2</v>
      </c>
      <c r="K152">
        <v>4.20007325065824E-2</v>
      </c>
      <c r="L152">
        <v>745.35218564127297</v>
      </c>
      <c r="M152">
        <v>16.652563312960801</v>
      </c>
      <c r="N152">
        <v>45.0289866280147</v>
      </c>
      <c r="O152">
        <v>44.128488159843002</v>
      </c>
      <c r="P152">
        <v>-8.9865115670301698E-2</v>
      </c>
      <c r="Q152">
        <v>4.7510989285178599E-2</v>
      </c>
      <c r="R152">
        <v>0.99904060782909399</v>
      </c>
      <c r="S152" t="s">
        <v>6720</v>
      </c>
      <c r="T152" t="s">
        <v>13134</v>
      </c>
      <c r="U152" t="s">
        <v>13134</v>
      </c>
      <c r="V152" t="s">
        <v>13134</v>
      </c>
      <c r="W152" t="s">
        <v>13286</v>
      </c>
      <c r="X152">
        <v>4</v>
      </c>
      <c r="Y152" t="s">
        <v>19777</v>
      </c>
      <c r="Z152" t="s">
        <v>26120</v>
      </c>
      <c r="AA152">
        <v>0.31231745583840509</v>
      </c>
      <c r="AB152" t="str">
        <f>HYPERLINK("Melting_Curves/meltCurve_B4DF64_HAUS3.pdf", "Melting_Curves/meltCurve_B4DF64_HAUS3.pdf")</f>
        <v>Melting_Curves/meltCurve_B4DF64_HAUS3.pdf</v>
      </c>
    </row>
    <row r="153" spans="1:28" x14ac:dyDescent="0.25">
      <c r="A153" t="s">
        <v>157</v>
      </c>
      <c r="B153">
        <v>0.99472303558308395</v>
      </c>
      <c r="C153">
        <v>0.81744786257659896</v>
      </c>
      <c r="D153">
        <v>1.08709323741029</v>
      </c>
      <c r="E153">
        <v>0.86598081601846999</v>
      </c>
      <c r="F153">
        <v>0.47081446270171801</v>
      </c>
      <c r="G153">
        <v>0.30701361960576501</v>
      </c>
      <c r="H153">
        <v>0.17296906132828699</v>
      </c>
      <c r="I153">
        <v>0.16039206206326601</v>
      </c>
      <c r="J153">
        <v>0.18625842017429001</v>
      </c>
      <c r="K153">
        <v>0.19315953141040901</v>
      </c>
      <c r="L153">
        <v>1377.68275367826</v>
      </c>
      <c r="M153">
        <v>27.936132500965801</v>
      </c>
      <c r="N153">
        <v>50.127292183785698</v>
      </c>
      <c r="O153">
        <v>49.0648203347167</v>
      </c>
      <c r="P153">
        <v>-0.116442558320204</v>
      </c>
      <c r="Q153">
        <v>0.181964968703028</v>
      </c>
      <c r="R153">
        <v>0.96252679863670298</v>
      </c>
      <c r="S153" t="s">
        <v>6721</v>
      </c>
      <c r="T153" t="s">
        <v>13134</v>
      </c>
      <c r="U153" t="s">
        <v>13134</v>
      </c>
      <c r="V153" t="s">
        <v>13134</v>
      </c>
      <c r="W153" t="s">
        <v>13287</v>
      </c>
      <c r="X153">
        <v>1</v>
      </c>
      <c r="Y153" t="s">
        <v>19778</v>
      </c>
      <c r="Z153" t="s">
        <v>26121</v>
      </c>
      <c r="AA153">
        <v>0.52349398783495205</v>
      </c>
      <c r="AB153" t="str">
        <f>HYPERLINK("Melting_Curves/meltCurve_B4DFF2_SLC17A5.pdf", "Melting_Curves/meltCurve_B4DFF2_SLC17A5.pdf")</f>
        <v>Melting_Curves/meltCurve_B4DFF2_SLC17A5.pdf</v>
      </c>
    </row>
    <row r="154" spans="1:28" x14ac:dyDescent="0.25">
      <c r="A154" t="s">
        <v>158</v>
      </c>
      <c r="B154">
        <v>0.99472303558308395</v>
      </c>
      <c r="C154">
        <v>1.03110504201622</v>
      </c>
      <c r="D154">
        <v>1.0243570265123501</v>
      </c>
      <c r="E154">
        <v>0.87659374344125796</v>
      </c>
      <c r="F154">
        <v>0.69916540163917096</v>
      </c>
      <c r="G154">
        <v>0.55310733767448395</v>
      </c>
      <c r="H154">
        <v>0.34925944632279898</v>
      </c>
      <c r="I154">
        <v>0.186503278873137</v>
      </c>
      <c r="J154">
        <v>0.13216200901232</v>
      </c>
      <c r="K154">
        <v>0.10012754576932401</v>
      </c>
      <c r="L154">
        <v>695.60789546921296</v>
      </c>
      <c r="M154">
        <v>12.850800422729201</v>
      </c>
      <c r="N154">
        <v>54.279851677509598</v>
      </c>
      <c r="O154">
        <v>52.869028017110601</v>
      </c>
      <c r="P154">
        <v>-5.97158125986193E-2</v>
      </c>
      <c r="Q154">
        <v>1.74826426852875E-2</v>
      </c>
      <c r="R154">
        <v>0.99399447355023196</v>
      </c>
      <c r="S154" t="s">
        <v>6722</v>
      </c>
      <c r="T154" t="s">
        <v>13134</v>
      </c>
      <c r="U154" t="s">
        <v>13134</v>
      </c>
      <c r="V154" t="s">
        <v>13134</v>
      </c>
      <c r="W154" t="s">
        <v>13288</v>
      </c>
      <c r="X154">
        <v>2</v>
      </c>
      <c r="Y154" t="s">
        <v>19779</v>
      </c>
      <c r="Z154" t="s">
        <v>26122</v>
      </c>
      <c r="AA154">
        <v>0.59540619716929444</v>
      </c>
      <c r="AB154" t="str">
        <f>HYPERLINK("Melting_Curves/meltCurve_B4DFI9_HUS1.pdf", "Melting_Curves/meltCurve_B4DFI9_HUS1.pdf")</f>
        <v>Melting_Curves/meltCurve_B4DFI9_HUS1.pdf</v>
      </c>
    </row>
    <row r="155" spans="1:28" x14ac:dyDescent="0.25">
      <c r="A155" t="s">
        <v>159</v>
      </c>
      <c r="B155">
        <v>0.99472303558308395</v>
      </c>
      <c r="C155">
        <v>1.01911191479067</v>
      </c>
      <c r="D155">
        <v>0.73193620509230395</v>
      </c>
      <c r="E155">
        <v>0.535571104316243</v>
      </c>
      <c r="F155">
        <v>0.31589471551272502</v>
      </c>
      <c r="G155">
        <v>0.21653835050242901</v>
      </c>
      <c r="H155">
        <v>0.14144019128097099</v>
      </c>
      <c r="I155">
        <v>0.105612025348215</v>
      </c>
      <c r="J155">
        <v>8.6590673480363006E-2</v>
      </c>
      <c r="K155">
        <v>7.2922417418941093E-2</v>
      </c>
      <c r="L155">
        <v>684.58509874348795</v>
      </c>
      <c r="M155">
        <v>14.70688829238</v>
      </c>
      <c r="N155">
        <v>47.101367148755301</v>
      </c>
      <c r="O155">
        <v>45.713384259120097</v>
      </c>
      <c r="P155">
        <v>-7.4063041820900802E-2</v>
      </c>
      <c r="Q155">
        <v>7.9260645284516998E-2</v>
      </c>
      <c r="R155">
        <v>0.98961523198928003</v>
      </c>
      <c r="S155" t="s">
        <v>6723</v>
      </c>
      <c r="T155" t="s">
        <v>13134</v>
      </c>
      <c r="U155" t="s">
        <v>13134</v>
      </c>
      <c r="V155" t="s">
        <v>13134</v>
      </c>
      <c r="W155" t="s">
        <v>13289</v>
      </c>
      <c r="X155">
        <v>2</v>
      </c>
      <c r="Y155" t="s">
        <v>19780</v>
      </c>
      <c r="Z155" t="s">
        <v>26123</v>
      </c>
      <c r="AA155">
        <v>0.39403421441100178</v>
      </c>
      <c r="AB155" t="str">
        <f>HYPERLINK("Melting_Curves/meltCurve_B4DFQ4_COMMD1.pdf", "Melting_Curves/meltCurve_B4DFQ4_COMMD1.pdf")</f>
        <v>Melting_Curves/meltCurve_B4DFQ4_COMMD1.pdf</v>
      </c>
    </row>
    <row r="156" spans="1:28" x14ac:dyDescent="0.25">
      <c r="A156" t="s">
        <v>160</v>
      </c>
      <c r="B156">
        <v>0.99472303558308395</v>
      </c>
      <c r="C156">
        <v>1.0574021186001401</v>
      </c>
      <c r="D156">
        <v>0.82101211358965698</v>
      </c>
      <c r="E156">
        <v>0.755088603630796</v>
      </c>
      <c r="F156">
        <v>0.74347749329742896</v>
      </c>
      <c r="G156">
        <v>0.68728406351035098</v>
      </c>
      <c r="H156">
        <v>0.74755267696858196</v>
      </c>
      <c r="I156">
        <v>0.70886571183913505</v>
      </c>
      <c r="J156">
        <v>0.83546925723595999</v>
      </c>
      <c r="K156">
        <v>0.59878617971443604</v>
      </c>
      <c r="L156">
        <v>10723.1201044275</v>
      </c>
      <c r="M156">
        <v>250</v>
      </c>
      <c r="O156">
        <v>42.8897420528818</v>
      </c>
      <c r="P156">
        <v>-0.40041965225723303</v>
      </c>
      <c r="Q156">
        <v>0.72521771210087604</v>
      </c>
      <c r="R156">
        <v>0.80069523342577298</v>
      </c>
      <c r="S156" t="s">
        <v>6724</v>
      </c>
      <c r="T156" t="s">
        <v>13134</v>
      </c>
      <c r="U156" t="s">
        <v>13134</v>
      </c>
      <c r="V156" t="s">
        <v>13134</v>
      </c>
      <c r="W156" t="s">
        <v>13290</v>
      </c>
      <c r="X156">
        <v>4</v>
      </c>
      <c r="Y156" t="s">
        <v>19781</v>
      </c>
      <c r="Z156" t="s">
        <v>26124</v>
      </c>
      <c r="AA156">
        <v>0.77921003819821477</v>
      </c>
      <c r="AB156" t="str">
        <f>HYPERLINK("Melting_Curves/meltCurve_B4DFR2_DYNLRB1.pdf", "Melting_Curves/meltCurve_B4DFR2_DYNLRB1.pdf")</f>
        <v>Melting_Curves/meltCurve_B4DFR2_DYNLRB1.pdf</v>
      </c>
    </row>
    <row r="157" spans="1:28" x14ac:dyDescent="0.25">
      <c r="A157" t="s">
        <v>161</v>
      </c>
      <c r="B157">
        <v>0.99472303558308395</v>
      </c>
      <c r="C157">
        <v>0.93534471470011205</v>
      </c>
      <c r="D157">
        <v>0.60810440437036895</v>
      </c>
      <c r="E157">
        <v>0.33060174268752002</v>
      </c>
      <c r="F157">
        <v>0.160881941926064</v>
      </c>
      <c r="G157">
        <v>7.2634183172061204E-2</v>
      </c>
      <c r="H157">
        <v>5.8629096831972698E-2</v>
      </c>
      <c r="I157">
        <v>4.1025211715003597E-2</v>
      </c>
      <c r="J157">
        <v>0.13805367981012301</v>
      </c>
      <c r="K157">
        <v>3.8189687161671801E-2</v>
      </c>
      <c r="L157">
        <v>864.54308287321703</v>
      </c>
      <c r="M157">
        <v>19.602462975231099</v>
      </c>
      <c r="N157">
        <v>44.421847937475299</v>
      </c>
      <c r="O157">
        <v>43.652500315101399</v>
      </c>
      <c r="P157">
        <v>-0.104917747385755</v>
      </c>
      <c r="Q157">
        <v>6.54724097777548E-2</v>
      </c>
      <c r="R157">
        <v>0.99085518691148899</v>
      </c>
      <c r="S157" t="s">
        <v>6725</v>
      </c>
      <c r="T157" t="s">
        <v>13134</v>
      </c>
      <c r="U157" t="s">
        <v>13134</v>
      </c>
      <c r="V157" t="s">
        <v>13134</v>
      </c>
      <c r="W157" t="s">
        <v>13291</v>
      </c>
      <c r="X157">
        <v>13</v>
      </c>
      <c r="Y157" t="s">
        <v>19782</v>
      </c>
      <c r="Z157" t="s">
        <v>26125</v>
      </c>
      <c r="AA157">
        <v>0.29979264271497269</v>
      </c>
      <c r="AB157" t="str">
        <f>HYPERLINK("Melting_Curves/meltCurve_B4DGM3_SMARCE1.pdf", "Melting_Curves/meltCurve_B4DGM3_SMARCE1.pdf")</f>
        <v>Melting_Curves/meltCurve_B4DGM3_SMARCE1.pdf</v>
      </c>
    </row>
    <row r="158" spans="1:28" x14ac:dyDescent="0.25">
      <c r="A158" t="s">
        <v>162</v>
      </c>
      <c r="B158">
        <v>0.99472303558308395</v>
      </c>
      <c r="C158">
        <v>0.44527293906452498</v>
      </c>
      <c r="D158">
        <v>1.0257417316827999</v>
      </c>
      <c r="E158">
        <v>0.522182250319843</v>
      </c>
      <c r="F158">
        <v>0.27425837095853201</v>
      </c>
      <c r="G158">
        <v>0.185170079684393</v>
      </c>
      <c r="H158">
        <v>7.9822206833371795E-2</v>
      </c>
      <c r="I158">
        <v>5.8282017117128201E-2</v>
      </c>
      <c r="J158">
        <v>8.6645556586702505E-2</v>
      </c>
      <c r="K158">
        <v>5.8696588680832697E-2</v>
      </c>
      <c r="L158">
        <v>479.45285153876699</v>
      </c>
      <c r="M158">
        <v>10.2581955086862</v>
      </c>
      <c r="N158">
        <v>46.738495373175901</v>
      </c>
      <c r="O158">
        <v>45.066838079212999</v>
      </c>
      <c r="P158">
        <v>-5.6930561416713002E-2</v>
      </c>
      <c r="Q158">
        <v>0</v>
      </c>
      <c r="R158">
        <v>0.77805727488972198</v>
      </c>
      <c r="S158" t="s">
        <v>6726</v>
      </c>
      <c r="T158" t="s">
        <v>13134</v>
      </c>
      <c r="U158" t="s">
        <v>13134</v>
      </c>
      <c r="V158" t="s">
        <v>13134</v>
      </c>
      <c r="W158" t="s">
        <v>13292</v>
      </c>
      <c r="X158">
        <v>1</v>
      </c>
      <c r="Y158" t="s">
        <v>19783</v>
      </c>
      <c r="Z158" t="s">
        <v>26126</v>
      </c>
      <c r="AA158">
        <v>0.36697833051181289</v>
      </c>
      <c r="AB158" t="str">
        <f>HYPERLINK("Melting_Curves/meltCurve_B4DGU4_CTNNB1.pdf", "Melting_Curves/meltCurve_B4DGU4_CTNNB1.pdf")</f>
        <v>Melting_Curves/meltCurve_B4DGU4_CTNNB1.pdf</v>
      </c>
    </row>
    <row r="159" spans="1:28" x14ac:dyDescent="0.25">
      <c r="A159" t="s">
        <v>163</v>
      </c>
      <c r="B159">
        <v>0.99472303558308395</v>
      </c>
      <c r="C159">
        <v>0.90032474043688004</v>
      </c>
      <c r="D159">
        <v>0.96865245195588701</v>
      </c>
      <c r="E159">
        <v>0.86639021677601902</v>
      </c>
      <c r="F159">
        <v>0.52060972565980901</v>
      </c>
      <c r="G159">
        <v>0.24167963904673501</v>
      </c>
      <c r="H159">
        <v>9.76039278411822E-2</v>
      </c>
      <c r="I159">
        <v>7.3044435697401197E-2</v>
      </c>
      <c r="J159">
        <v>8.8797328681051793E-2</v>
      </c>
      <c r="K159">
        <v>6.4419032350302899E-2</v>
      </c>
      <c r="L159">
        <v>1121.7835094571501</v>
      </c>
      <c r="M159">
        <v>22.3677290408639</v>
      </c>
      <c r="N159">
        <v>50.454597280083597</v>
      </c>
      <c r="O159">
        <v>49.756186182302599</v>
      </c>
      <c r="P159">
        <v>-0.105331634059179</v>
      </c>
      <c r="Q159">
        <v>6.2794537447869503E-2</v>
      </c>
      <c r="R159">
        <v>0.99316524782948401</v>
      </c>
      <c r="S159" t="s">
        <v>6727</v>
      </c>
      <c r="T159" t="s">
        <v>13134</v>
      </c>
      <c r="U159" t="s">
        <v>13134</v>
      </c>
      <c r="V159" t="s">
        <v>13134</v>
      </c>
      <c r="W159" t="s">
        <v>13293</v>
      </c>
      <c r="X159">
        <v>11</v>
      </c>
      <c r="Y159" t="s">
        <v>19784</v>
      </c>
      <c r="Z159" t="s">
        <v>26127</v>
      </c>
      <c r="AA159">
        <v>0.48376408199199838</v>
      </c>
      <c r="AB159" t="str">
        <f>HYPERLINK("Melting_Curves/meltCurve_B4DGX2_PIP4K2A.pdf", "Melting_Curves/meltCurve_B4DGX2_PIP4K2A.pdf")</f>
        <v>Melting_Curves/meltCurve_B4DGX2_PIP4K2A.pdf</v>
      </c>
    </row>
    <row r="160" spans="1:28" x14ac:dyDescent="0.25">
      <c r="A160" t="s">
        <v>164</v>
      </c>
      <c r="B160">
        <v>0.99472303558308395</v>
      </c>
      <c r="C160">
        <v>1.0441778846876</v>
      </c>
      <c r="D160">
        <v>0.93736436103538001</v>
      </c>
      <c r="E160">
        <v>0.66324956221841902</v>
      </c>
      <c r="F160">
        <v>0.21860879568111399</v>
      </c>
      <c r="G160">
        <v>9.1005616872117195E-2</v>
      </c>
      <c r="H160">
        <v>6.3682819949243102E-2</v>
      </c>
      <c r="I160">
        <v>4.4751572065394499E-2</v>
      </c>
      <c r="J160">
        <v>0.10947508998941601</v>
      </c>
      <c r="K160">
        <v>6.0643111159051098E-2</v>
      </c>
      <c r="L160">
        <v>1408.5993305346201</v>
      </c>
      <c r="M160">
        <v>29.6801416170157</v>
      </c>
      <c r="N160">
        <v>47.689896758221799</v>
      </c>
      <c r="O160">
        <v>47.245440708672703</v>
      </c>
      <c r="P160">
        <v>-0.14655657718742399</v>
      </c>
      <c r="Q160">
        <v>6.6839732134604604E-2</v>
      </c>
      <c r="R160">
        <v>0.99689953554917499</v>
      </c>
      <c r="S160" t="s">
        <v>6728</v>
      </c>
      <c r="T160" t="s">
        <v>13134</v>
      </c>
      <c r="U160" t="s">
        <v>13134</v>
      </c>
      <c r="V160" t="s">
        <v>13134</v>
      </c>
      <c r="W160" t="s">
        <v>13294</v>
      </c>
      <c r="X160">
        <v>2</v>
      </c>
      <c r="Y160" t="s">
        <v>19785</v>
      </c>
      <c r="Z160" t="s">
        <v>26128</v>
      </c>
      <c r="AA160">
        <v>0.39777075038055071</v>
      </c>
      <c r="AB160" t="str">
        <f>HYPERLINK("Melting_Curves/meltCurve_B4DH26_DCUN1D4.pdf", "Melting_Curves/meltCurve_B4DH26_DCUN1D4.pdf")</f>
        <v>Melting_Curves/meltCurve_B4DH26_DCUN1D4.pdf</v>
      </c>
    </row>
    <row r="161" spans="1:28" x14ac:dyDescent="0.25">
      <c r="A161" t="s">
        <v>165</v>
      </c>
      <c r="B161">
        <v>0.99472303558308395</v>
      </c>
      <c r="C161">
        <v>0.95920413989073094</v>
      </c>
      <c r="D161">
        <v>0.98429055896081397</v>
      </c>
      <c r="E161">
        <v>0.80649533773205595</v>
      </c>
      <c r="F161">
        <v>0.36088552736697299</v>
      </c>
      <c r="G161">
        <v>0.13820921863112401</v>
      </c>
      <c r="H161">
        <v>7.6538896184070407E-2</v>
      </c>
      <c r="I161">
        <v>6.9147227678081805E-2</v>
      </c>
      <c r="J161">
        <v>5.1440594632587801E-2</v>
      </c>
      <c r="K161">
        <v>7.9888791912899396E-2</v>
      </c>
      <c r="L161">
        <v>1357.9077805361401</v>
      </c>
      <c r="M161">
        <v>27.8066459537127</v>
      </c>
      <c r="N161">
        <v>49.081102251264603</v>
      </c>
      <c r="O161">
        <v>48.583435871064701</v>
      </c>
      <c r="P161">
        <v>-0.133739937341677</v>
      </c>
      <c r="Q161">
        <v>6.5332631759042803E-2</v>
      </c>
      <c r="R161">
        <v>0.99875504266205695</v>
      </c>
      <c r="S161" t="s">
        <v>6729</v>
      </c>
      <c r="T161" t="s">
        <v>13134</v>
      </c>
      <c r="U161" t="s">
        <v>13134</v>
      </c>
      <c r="V161" t="s">
        <v>13134</v>
      </c>
      <c r="W161" t="s">
        <v>13295</v>
      </c>
      <c r="X161">
        <v>16</v>
      </c>
      <c r="Y161" t="s">
        <v>19786</v>
      </c>
      <c r="Z161" t="s">
        <v>26129</v>
      </c>
      <c r="AA161">
        <v>0.44056271078296461</v>
      </c>
      <c r="AB161" t="str">
        <f>HYPERLINK("Melting_Curves/meltCurve_B4DH53_MAP1S.pdf", "Melting_Curves/meltCurve_B4DH53_MAP1S.pdf")</f>
        <v>Melting_Curves/meltCurve_B4DH53_MAP1S.pdf</v>
      </c>
    </row>
    <row r="162" spans="1:28" x14ac:dyDescent="0.25">
      <c r="A162" t="s">
        <v>166</v>
      </c>
      <c r="B162">
        <v>0.99472303558308395</v>
      </c>
      <c r="C162">
        <v>0.91252151742838505</v>
      </c>
      <c r="D162">
        <v>0.69532680984402295</v>
      </c>
      <c r="E162">
        <v>0.57300125083409603</v>
      </c>
      <c r="F162">
        <v>0.39047242850013902</v>
      </c>
      <c r="G162">
        <v>0.20186190749312</v>
      </c>
      <c r="H162">
        <v>9.5200530288854598E-2</v>
      </c>
      <c r="I162">
        <v>5.44021015067883E-2</v>
      </c>
      <c r="J162">
        <v>7.3228351011862702E-2</v>
      </c>
      <c r="K162">
        <v>5.74089594858418E-2</v>
      </c>
      <c r="L162">
        <v>526.30766747526604</v>
      </c>
      <c r="M162">
        <v>11.088290212844001</v>
      </c>
      <c r="N162">
        <v>47.465177820877997</v>
      </c>
      <c r="O162">
        <v>45.999797273991497</v>
      </c>
      <c r="P162">
        <v>-6.0282428138006397E-2</v>
      </c>
      <c r="Q162">
        <v>0</v>
      </c>
      <c r="R162">
        <v>0.99144320613766102</v>
      </c>
      <c r="S162" t="s">
        <v>6730</v>
      </c>
      <c r="T162" t="s">
        <v>13134</v>
      </c>
      <c r="U162" t="s">
        <v>13134</v>
      </c>
      <c r="V162" t="s">
        <v>13134</v>
      </c>
      <c r="W162" t="s">
        <v>13296</v>
      </c>
      <c r="X162">
        <v>4</v>
      </c>
      <c r="Y162" t="s">
        <v>19787</v>
      </c>
      <c r="Z162" t="s">
        <v>26130</v>
      </c>
      <c r="AA162">
        <v>0.38499396035657918</v>
      </c>
      <c r="AB162" t="str">
        <f>HYPERLINK("Melting_Curves/meltCurve_B4DH70_FBXW11.pdf", "Melting_Curves/meltCurve_B4DH70_FBXW11.pdf")</f>
        <v>Melting_Curves/meltCurve_B4DH70_FBXW11.pdf</v>
      </c>
    </row>
    <row r="163" spans="1:28" x14ac:dyDescent="0.25">
      <c r="A163" t="s">
        <v>167</v>
      </c>
      <c r="B163">
        <v>0.99472303558308395</v>
      </c>
      <c r="C163">
        <v>0.95150688980007603</v>
      </c>
      <c r="D163">
        <v>0.784926104934207</v>
      </c>
      <c r="E163">
        <v>0.72762548302498697</v>
      </c>
      <c r="F163">
        <v>0.730462492793302</v>
      </c>
      <c r="G163">
        <v>0.457491988705099</v>
      </c>
      <c r="H163">
        <v>0.37939194476225302</v>
      </c>
      <c r="I163">
        <v>0.33302969510471297</v>
      </c>
      <c r="J163">
        <v>0.36798705880591598</v>
      </c>
      <c r="K163">
        <v>0.34365065404656298</v>
      </c>
      <c r="L163">
        <v>458.88445394449099</v>
      </c>
      <c r="M163">
        <v>9.2172575090419606</v>
      </c>
      <c r="N163">
        <v>53.930620766640303</v>
      </c>
      <c r="O163">
        <v>47.610129697265002</v>
      </c>
      <c r="P163">
        <v>-3.6139758148598398E-2</v>
      </c>
      <c r="Q163">
        <v>0.25380082525624698</v>
      </c>
      <c r="R163">
        <v>0.95471360507910197</v>
      </c>
      <c r="S163" t="s">
        <v>6731</v>
      </c>
      <c r="T163" t="s">
        <v>13134</v>
      </c>
      <c r="U163" t="s">
        <v>13134</v>
      </c>
      <c r="V163" t="s">
        <v>13134</v>
      </c>
      <c r="W163" t="s">
        <v>13297</v>
      </c>
      <c r="X163">
        <v>2</v>
      </c>
      <c r="Y163" t="s">
        <v>19788</v>
      </c>
      <c r="Z163" t="s">
        <v>26131</v>
      </c>
      <c r="AA163">
        <v>0.59971780947507713</v>
      </c>
      <c r="AB163" t="str">
        <f>HYPERLINK("Melting_Curves/meltCurve_B4DHW1_TMEM165.pdf", "Melting_Curves/meltCurve_B4DHW1_TMEM165.pdf")</f>
        <v>Melting_Curves/meltCurve_B4DHW1_TMEM165.pdf</v>
      </c>
    </row>
    <row r="164" spans="1:28" x14ac:dyDescent="0.25">
      <c r="A164" t="s">
        <v>168</v>
      </c>
      <c r="B164">
        <v>0.99472303558308395</v>
      </c>
      <c r="C164">
        <v>0.89849022018879199</v>
      </c>
      <c r="D164">
        <v>0.91830637823356198</v>
      </c>
      <c r="E164">
        <v>0.46140711357840802</v>
      </c>
      <c r="F164">
        <v>0.13609277765358599</v>
      </c>
      <c r="G164">
        <v>0.12593581096530401</v>
      </c>
      <c r="H164">
        <v>0.102594493276277</v>
      </c>
      <c r="I164">
        <v>5.8599481242467603E-2</v>
      </c>
      <c r="J164">
        <v>7.2815959736804006E-2</v>
      </c>
      <c r="K164">
        <v>6.3097829115280293E-2</v>
      </c>
      <c r="L164">
        <v>1365.2935967169601</v>
      </c>
      <c r="M164">
        <v>29.637275138282099</v>
      </c>
      <c r="N164">
        <v>46.333372782718399</v>
      </c>
      <c r="O164">
        <v>45.858567103102899</v>
      </c>
      <c r="P164">
        <v>-0.14890485067100701</v>
      </c>
      <c r="Q164">
        <v>7.8388098208557397E-2</v>
      </c>
      <c r="R164">
        <v>0.99206345842649402</v>
      </c>
      <c r="S164" t="s">
        <v>6732</v>
      </c>
      <c r="T164" t="s">
        <v>13134</v>
      </c>
      <c r="U164" t="s">
        <v>13134</v>
      </c>
      <c r="V164" t="s">
        <v>13134</v>
      </c>
      <c r="W164" t="s">
        <v>13298</v>
      </c>
      <c r="X164">
        <v>1</v>
      </c>
      <c r="Y164" t="s">
        <v>19789</v>
      </c>
      <c r="Z164" t="s">
        <v>26132</v>
      </c>
      <c r="AA164">
        <v>0.36231976522928833</v>
      </c>
      <c r="AB164" t="str">
        <f>HYPERLINK("Melting_Curves/meltCurve_B4DHX2_AGTPBP1.pdf", "Melting_Curves/meltCurve_B4DHX2_AGTPBP1.pdf")</f>
        <v>Melting_Curves/meltCurve_B4DHX2_AGTPBP1.pdf</v>
      </c>
    </row>
    <row r="165" spans="1:28" x14ac:dyDescent="0.25">
      <c r="A165" t="s">
        <v>169</v>
      </c>
      <c r="B165">
        <v>0.99472303558308395</v>
      </c>
      <c r="C165">
        <v>1.0230876129817299</v>
      </c>
      <c r="D165">
        <v>0.97075515973068904</v>
      </c>
      <c r="E165">
        <v>0.87833833777161596</v>
      </c>
      <c r="F165">
        <v>0.66141764553503701</v>
      </c>
      <c r="G165">
        <v>0.49566774539247499</v>
      </c>
      <c r="H165">
        <v>0.459986522904346</v>
      </c>
      <c r="I165">
        <v>0.62875911187437905</v>
      </c>
      <c r="J165">
        <v>1.12291245700334</v>
      </c>
      <c r="K165">
        <v>0.94495276832466402</v>
      </c>
      <c r="L165">
        <v>11662.586824235899</v>
      </c>
      <c r="M165">
        <v>250</v>
      </c>
      <c r="O165">
        <v>46.647367263505899</v>
      </c>
      <c r="P165">
        <v>-0.37656286121771698</v>
      </c>
      <c r="Q165">
        <v>0.71894937472125497</v>
      </c>
      <c r="R165">
        <v>0.31432885931274701</v>
      </c>
      <c r="S165" t="s">
        <v>6733</v>
      </c>
      <c r="T165" t="s">
        <v>13134</v>
      </c>
      <c r="U165" t="s">
        <v>13134</v>
      </c>
      <c r="V165" t="s">
        <v>13134</v>
      </c>
      <c r="W165" t="s">
        <v>13299</v>
      </c>
      <c r="X165">
        <v>1</v>
      </c>
      <c r="Y165" t="s">
        <v>19790</v>
      </c>
      <c r="Z165" t="s">
        <v>26133</v>
      </c>
      <c r="AA165">
        <v>0.80938025591274765</v>
      </c>
      <c r="AB165" t="str">
        <f>HYPERLINK("Melting_Curves/meltCurve_B4DIG7_PIP5K1B.pdf", "Melting_Curves/meltCurve_B4DIG7_PIP5K1B.pdf")</f>
        <v>Melting_Curves/meltCurve_B4DIG7_PIP5K1B.pdf</v>
      </c>
    </row>
    <row r="166" spans="1:28" x14ac:dyDescent="0.25">
      <c r="A166" t="s">
        <v>170</v>
      </c>
      <c r="B166">
        <v>0.99472303558308395</v>
      </c>
      <c r="C166">
        <v>1.05670668008506</v>
      </c>
      <c r="D166">
        <v>0.98475283464011898</v>
      </c>
      <c r="E166">
        <v>0.97309664968312803</v>
      </c>
      <c r="F166">
        <v>0.87899542837339695</v>
      </c>
      <c r="G166">
        <v>0.70822717326047402</v>
      </c>
      <c r="H166">
        <v>0.57104582443832896</v>
      </c>
      <c r="I166">
        <v>0.49370057051017502</v>
      </c>
      <c r="J166">
        <v>0.38925839423166397</v>
      </c>
      <c r="K166">
        <v>0.22878520980959399</v>
      </c>
      <c r="L166">
        <v>586.35218683920698</v>
      </c>
      <c r="M166">
        <v>9.8459150603178092</v>
      </c>
      <c r="N166">
        <v>59.859465179966399</v>
      </c>
      <c r="O166">
        <v>57.252223373800398</v>
      </c>
      <c r="P166">
        <v>-4.1957957313915002E-2</v>
      </c>
      <c r="Q166">
        <v>2.45915667738635E-2</v>
      </c>
      <c r="R166">
        <v>0.98364210933047402</v>
      </c>
      <c r="S166" t="s">
        <v>6734</v>
      </c>
      <c r="T166" t="s">
        <v>13134</v>
      </c>
      <c r="U166" t="s">
        <v>13134</v>
      </c>
      <c r="V166" t="s">
        <v>13134</v>
      </c>
      <c r="W166" t="s">
        <v>13300</v>
      </c>
      <c r="X166">
        <v>9</v>
      </c>
      <c r="Y166" t="s">
        <v>19791</v>
      </c>
      <c r="Z166" t="s">
        <v>26134</v>
      </c>
      <c r="AA166">
        <v>0.73502708416548868</v>
      </c>
      <c r="AB166" t="str">
        <f>HYPERLINK("Melting_Curves/meltCurve_B4DJA5_RAB5A.pdf", "Melting_Curves/meltCurve_B4DJA5_RAB5A.pdf")</f>
        <v>Melting_Curves/meltCurve_B4DJA5_RAB5A.pdf</v>
      </c>
    </row>
    <row r="167" spans="1:28" x14ac:dyDescent="0.25">
      <c r="A167" t="s">
        <v>171</v>
      </c>
      <c r="B167">
        <v>0.99472303558308395</v>
      </c>
      <c r="C167">
        <v>1.00131420128645</v>
      </c>
      <c r="D167">
        <v>0.75519002147177605</v>
      </c>
      <c r="E167">
        <v>0.70032859853216201</v>
      </c>
      <c r="F167">
        <v>0.69257476084228198</v>
      </c>
      <c r="G167">
        <v>0.41384128761670003</v>
      </c>
      <c r="H167">
        <v>0.28016077021764602</v>
      </c>
      <c r="I167">
        <v>0.26306394263381999</v>
      </c>
      <c r="J167">
        <v>0.373387604162699</v>
      </c>
      <c r="K167">
        <v>0.313993472981274</v>
      </c>
      <c r="L167">
        <v>534.47236356242695</v>
      </c>
      <c r="M167">
        <v>10.9766022747342</v>
      </c>
      <c r="N167">
        <v>51.963415782506701</v>
      </c>
      <c r="O167">
        <v>47.1595322368495</v>
      </c>
      <c r="P167">
        <v>-4.3686862675194303E-2</v>
      </c>
      <c r="Q167">
        <v>0.24947547232380099</v>
      </c>
      <c r="R167">
        <v>0.93174003422210105</v>
      </c>
      <c r="S167" t="s">
        <v>6735</v>
      </c>
      <c r="T167" t="s">
        <v>13134</v>
      </c>
      <c r="U167" t="s">
        <v>13134</v>
      </c>
      <c r="V167" t="s">
        <v>13134</v>
      </c>
      <c r="W167" t="s">
        <v>13301</v>
      </c>
      <c r="X167">
        <v>6</v>
      </c>
      <c r="Y167" t="s">
        <v>19792</v>
      </c>
      <c r="Z167" t="s">
        <v>26135</v>
      </c>
      <c r="AA167">
        <v>0.56748906660282339</v>
      </c>
      <c r="AB167" t="str">
        <f>HYPERLINK("Melting_Curves/meltCurve_B4DJP7_SNRPD3.pdf", "Melting_Curves/meltCurve_B4DJP7_SNRPD3.pdf")</f>
        <v>Melting_Curves/meltCurve_B4DJP7_SNRPD3.pdf</v>
      </c>
    </row>
    <row r="168" spans="1:28" x14ac:dyDescent="0.25">
      <c r="A168" t="s">
        <v>172</v>
      </c>
      <c r="B168">
        <v>0.99472303558308395</v>
      </c>
      <c r="C168">
        <v>0.97495261875869399</v>
      </c>
      <c r="D168">
        <v>1.03129250039662</v>
      </c>
      <c r="E168">
        <v>0.82732405414520505</v>
      </c>
      <c r="F168">
        <v>0.46816286429445297</v>
      </c>
      <c r="G168">
        <v>0.21963161080974999</v>
      </c>
      <c r="H168">
        <v>6.1819191600148697E-2</v>
      </c>
      <c r="I168">
        <v>3.6907676066256598E-2</v>
      </c>
      <c r="J168">
        <v>3.8265399650864999E-2</v>
      </c>
      <c r="K168">
        <v>3.26219007093606E-2</v>
      </c>
      <c r="L168">
        <v>1110.02063255129</v>
      </c>
      <c r="M168">
        <v>22.238263984423799</v>
      </c>
      <c r="N168">
        <v>50.041886434111603</v>
      </c>
      <c r="O168">
        <v>49.5165273225414</v>
      </c>
      <c r="P168">
        <v>-0.109198945077199</v>
      </c>
      <c r="Q168">
        <v>2.74354277507558E-2</v>
      </c>
      <c r="R168">
        <v>0.99699985289288895</v>
      </c>
      <c r="S168" t="s">
        <v>6736</v>
      </c>
      <c r="T168" t="s">
        <v>13134</v>
      </c>
      <c r="U168" t="s">
        <v>13134</v>
      </c>
      <c r="V168" t="s">
        <v>13134</v>
      </c>
      <c r="W168" t="s">
        <v>13302</v>
      </c>
      <c r="X168">
        <v>19</v>
      </c>
      <c r="Y168" t="s">
        <v>19793</v>
      </c>
      <c r="Z168" t="s">
        <v>26136</v>
      </c>
      <c r="AA168">
        <v>0.45670548822136248</v>
      </c>
      <c r="AB168" t="str">
        <f>HYPERLINK("Melting_Curves/meltCurve_B4DJV2_CS.pdf", "Melting_Curves/meltCurve_B4DJV2_CS.pdf")</f>
        <v>Melting_Curves/meltCurve_B4DJV2_CS.pdf</v>
      </c>
    </row>
    <row r="169" spans="1:28" x14ac:dyDescent="0.25">
      <c r="A169" t="s">
        <v>173</v>
      </c>
      <c r="B169">
        <v>0.99472303558308395</v>
      </c>
      <c r="C169">
        <v>1.05070948136997</v>
      </c>
      <c r="D169">
        <v>0.69320091292528296</v>
      </c>
      <c r="E169">
        <v>0.28773952246349399</v>
      </c>
      <c r="F169">
        <v>0.138329300868617</v>
      </c>
      <c r="G169">
        <v>8.5066570356547702E-2</v>
      </c>
      <c r="H169">
        <v>4.9224918941336702E-2</v>
      </c>
      <c r="I169">
        <v>2.91638847372407E-2</v>
      </c>
      <c r="J169">
        <v>1.0469131895828499E-2</v>
      </c>
      <c r="K169">
        <v>4.7091835128944E-2</v>
      </c>
      <c r="L169">
        <v>1120.6943400810301</v>
      </c>
      <c r="M169">
        <v>25.141207217116499</v>
      </c>
      <c r="N169">
        <v>44.7511583816787</v>
      </c>
      <c r="O169">
        <v>44.2968443819315</v>
      </c>
      <c r="P169">
        <v>-0.135243324783861</v>
      </c>
      <c r="Q169">
        <v>4.6859813114493498E-2</v>
      </c>
      <c r="R169">
        <v>0.990466487494846</v>
      </c>
      <c r="S169" t="s">
        <v>6737</v>
      </c>
      <c r="T169" t="s">
        <v>13134</v>
      </c>
      <c r="U169" t="s">
        <v>13134</v>
      </c>
      <c r="V169" t="s">
        <v>13134</v>
      </c>
      <c r="W169" t="s">
        <v>13303</v>
      </c>
      <c r="X169">
        <v>3</v>
      </c>
      <c r="Y169" t="s">
        <v>19794</v>
      </c>
      <c r="Z169" t="s">
        <v>26137</v>
      </c>
      <c r="AA169">
        <v>0.29527951112104539</v>
      </c>
      <c r="AB169" t="str">
        <f>HYPERLINK("Melting_Curves/meltCurve_B4DK80_TOP3A.pdf", "Melting_Curves/meltCurve_B4DK80_TOP3A.pdf")</f>
        <v>Melting_Curves/meltCurve_B4DK80_TOP3A.pdf</v>
      </c>
    </row>
    <row r="170" spans="1:28" x14ac:dyDescent="0.25">
      <c r="A170" t="s">
        <v>174</v>
      </c>
      <c r="B170">
        <v>0.99472303558308395</v>
      </c>
      <c r="C170">
        <v>1.00425605965012</v>
      </c>
      <c r="D170">
        <v>0.84331329307909497</v>
      </c>
      <c r="E170">
        <v>0.657427958604059</v>
      </c>
      <c r="F170">
        <v>0.51077550954183704</v>
      </c>
      <c r="G170">
        <v>0.353498431567007</v>
      </c>
      <c r="H170">
        <v>0.25832770111754999</v>
      </c>
      <c r="I170">
        <v>0.22707283861823299</v>
      </c>
      <c r="J170">
        <v>0.39652606975763</v>
      </c>
      <c r="K170">
        <v>0.38733759623312403</v>
      </c>
      <c r="L170">
        <v>832.88947670494895</v>
      </c>
      <c r="M170">
        <v>17.8509578650796</v>
      </c>
      <c r="N170">
        <v>49.355671661827401</v>
      </c>
      <c r="O170">
        <v>46.084251659091599</v>
      </c>
      <c r="P170">
        <v>-6.6673308947190202E-2</v>
      </c>
      <c r="Q170">
        <v>0.31153655176970302</v>
      </c>
      <c r="R170">
        <v>0.95971479054339903</v>
      </c>
      <c r="S170" t="s">
        <v>6738</v>
      </c>
      <c r="T170" t="s">
        <v>13134</v>
      </c>
      <c r="U170" t="s">
        <v>13134</v>
      </c>
      <c r="V170" t="s">
        <v>13134</v>
      </c>
      <c r="W170" t="s">
        <v>13304</v>
      </c>
      <c r="X170">
        <v>3</v>
      </c>
      <c r="Y170" t="s">
        <v>19795</v>
      </c>
      <c r="Z170" t="s">
        <v>26138</v>
      </c>
      <c r="AA170">
        <v>0.54442741867808808</v>
      </c>
      <c r="AB170" t="str">
        <f>HYPERLINK("Melting_Curves/meltCurve_B4DKB2_ECE1.pdf", "Melting_Curves/meltCurve_B4DKB2_ECE1.pdf")</f>
        <v>Melting_Curves/meltCurve_B4DKB2_ECE1.pdf</v>
      </c>
    </row>
    <row r="171" spans="1:28" x14ac:dyDescent="0.25">
      <c r="A171" t="s">
        <v>175</v>
      </c>
      <c r="B171">
        <v>0.99472303558308395</v>
      </c>
      <c r="C171">
        <v>0.96858580676012496</v>
      </c>
      <c r="D171">
        <v>0.85783915111174902</v>
      </c>
      <c r="E171">
        <v>0.73082741494636905</v>
      </c>
      <c r="F171">
        <v>0.56144416268679098</v>
      </c>
      <c r="G171">
        <v>0.40216228060375098</v>
      </c>
      <c r="H171">
        <v>0.32199256804924198</v>
      </c>
      <c r="I171">
        <v>0.29465007037338098</v>
      </c>
      <c r="J171">
        <v>0.42620605998129302</v>
      </c>
      <c r="K171">
        <v>0.353012737044054</v>
      </c>
      <c r="L171">
        <v>748.71727853729396</v>
      </c>
      <c r="M171">
        <v>15.7647062886684</v>
      </c>
      <c r="N171">
        <v>51.006808349352902</v>
      </c>
      <c r="O171">
        <v>46.748759249325602</v>
      </c>
      <c r="P171">
        <v>-5.6387681011104598E-2</v>
      </c>
      <c r="Q171">
        <v>0.33120617407306602</v>
      </c>
      <c r="R171">
        <v>0.97680532758899596</v>
      </c>
      <c r="S171" t="s">
        <v>6739</v>
      </c>
      <c r="T171" t="s">
        <v>13134</v>
      </c>
      <c r="U171" t="s">
        <v>13134</v>
      </c>
      <c r="V171" t="s">
        <v>13134</v>
      </c>
      <c r="W171" t="s">
        <v>13305</v>
      </c>
      <c r="X171">
        <v>3</v>
      </c>
      <c r="Y171" t="s">
        <v>19796</v>
      </c>
      <c r="Z171" t="s">
        <v>26139</v>
      </c>
      <c r="AA171">
        <v>0.57878064739454771</v>
      </c>
      <c r="AB171" t="str">
        <f>HYPERLINK("Melting_Curves/meltCurve_B4DKF9_ZNF286A.pdf", "Melting_Curves/meltCurve_B4DKF9_ZNF286A.pdf")</f>
        <v>Melting_Curves/meltCurve_B4DKF9_ZNF286A.pdf</v>
      </c>
    </row>
    <row r="172" spans="1:28" x14ac:dyDescent="0.25">
      <c r="A172" t="s">
        <v>176</v>
      </c>
      <c r="B172">
        <v>0.99472303558308395</v>
      </c>
      <c r="C172">
        <v>1.02690432253014</v>
      </c>
      <c r="D172">
        <v>0.94994226236310098</v>
      </c>
      <c r="E172">
        <v>0.798342013856842</v>
      </c>
      <c r="F172">
        <v>0.53134078683947805</v>
      </c>
      <c r="G172">
        <v>0.44343336578347903</v>
      </c>
      <c r="H172">
        <v>0.34270266675600403</v>
      </c>
      <c r="I172">
        <v>0.37875779150745997</v>
      </c>
      <c r="J172">
        <v>0.52832239090177702</v>
      </c>
      <c r="K172">
        <v>0.375179972938954</v>
      </c>
      <c r="L172">
        <v>1283.2411633008001</v>
      </c>
      <c r="M172">
        <v>26.903071700586899</v>
      </c>
      <c r="N172">
        <v>50.878409674113897</v>
      </c>
      <c r="O172">
        <v>47.437472712927999</v>
      </c>
      <c r="P172">
        <v>-8.4086131670762607E-2</v>
      </c>
      <c r="Q172">
        <v>0.40693851152057597</v>
      </c>
      <c r="R172">
        <v>0.96661099300316899</v>
      </c>
      <c r="S172" t="s">
        <v>6740</v>
      </c>
      <c r="T172" t="s">
        <v>13134</v>
      </c>
      <c r="U172" t="s">
        <v>13134</v>
      </c>
      <c r="V172" t="s">
        <v>13134</v>
      </c>
      <c r="W172" t="s">
        <v>13306</v>
      </c>
      <c r="X172">
        <v>17</v>
      </c>
      <c r="Y172" t="s">
        <v>19797</v>
      </c>
      <c r="Z172" t="s">
        <v>26140</v>
      </c>
      <c r="AA172">
        <v>0.62278438093834176</v>
      </c>
      <c r="AB172" t="str">
        <f>HYPERLINK("Melting_Curves/meltCurve_B4DKL4_LSR.pdf", "Melting_Curves/meltCurve_B4DKL4_LSR.pdf")</f>
        <v>Melting_Curves/meltCurve_B4DKL4_LSR.pdf</v>
      </c>
    </row>
    <row r="173" spans="1:28" x14ac:dyDescent="0.25">
      <c r="A173" t="s">
        <v>177</v>
      </c>
      <c r="B173">
        <v>0.99472303558308395</v>
      </c>
      <c r="C173">
        <v>0.991394708653071</v>
      </c>
      <c r="D173">
        <v>0.94011278587158897</v>
      </c>
      <c r="E173">
        <v>0.82337129524975405</v>
      </c>
      <c r="F173">
        <v>0.57044278382604197</v>
      </c>
      <c r="G173">
        <v>0.31482549747566202</v>
      </c>
      <c r="H173">
        <v>0.1277910357248</v>
      </c>
      <c r="I173">
        <v>7.5556514914266404E-2</v>
      </c>
      <c r="J173">
        <v>8.1749890064586703E-2</v>
      </c>
      <c r="K173">
        <v>6.9026626242515501E-2</v>
      </c>
      <c r="L173">
        <v>874.19894771784698</v>
      </c>
      <c r="M173">
        <v>17.237908595856801</v>
      </c>
      <c r="N173">
        <v>50.970257655538099</v>
      </c>
      <c r="O173">
        <v>50.045994516146799</v>
      </c>
      <c r="P173">
        <v>-8.2537645635704093E-2</v>
      </c>
      <c r="Q173">
        <v>4.1545600754776597E-2</v>
      </c>
      <c r="R173">
        <v>0.998681125834603</v>
      </c>
      <c r="S173" t="s">
        <v>6741</v>
      </c>
      <c r="T173" t="s">
        <v>13134</v>
      </c>
      <c r="U173" t="s">
        <v>13134</v>
      </c>
      <c r="V173" t="s">
        <v>13134</v>
      </c>
      <c r="W173" t="s">
        <v>13307</v>
      </c>
      <c r="X173">
        <v>6</v>
      </c>
      <c r="Y173" t="s">
        <v>19798</v>
      </c>
      <c r="Z173" t="s">
        <v>26141</v>
      </c>
      <c r="AA173">
        <v>0.49566153371922961</v>
      </c>
      <c r="AB173" t="str">
        <f>HYPERLINK("Melting_Curves/meltCurve_B4DL54_CHURC1_FNTB.pdf", "Melting_Curves/meltCurve_B4DL54_CHURC1_FNTB.pdf")</f>
        <v>Melting_Curves/meltCurve_B4DL54_CHURC1_FNTB.pdf</v>
      </c>
    </row>
    <row r="174" spans="1:28" x14ac:dyDescent="0.25">
      <c r="A174" t="s">
        <v>178</v>
      </c>
      <c r="B174">
        <v>0.99472303558308395</v>
      </c>
      <c r="C174">
        <v>0.98681365660939002</v>
      </c>
      <c r="D174">
        <v>0.83840527666438602</v>
      </c>
      <c r="E174">
        <v>0.38621400062363298</v>
      </c>
      <c r="F174">
        <v>3.0999279850729901E-2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1317.06545255126</v>
      </c>
      <c r="M174">
        <v>28.8221927788118</v>
      </c>
      <c r="N174">
        <v>45.696226690941202</v>
      </c>
      <c r="O174">
        <v>45.477958212988298</v>
      </c>
      <c r="P174">
        <v>-0.158441710628622</v>
      </c>
      <c r="Q174">
        <v>0</v>
      </c>
      <c r="R174">
        <v>0.99850276612794797</v>
      </c>
      <c r="S174" t="s">
        <v>6742</v>
      </c>
      <c r="T174" t="s">
        <v>13134</v>
      </c>
      <c r="U174" t="s">
        <v>13134</v>
      </c>
      <c r="V174" t="s">
        <v>13134</v>
      </c>
      <c r="W174" t="s">
        <v>13308</v>
      </c>
      <c r="X174">
        <v>4</v>
      </c>
      <c r="Y174" t="s">
        <v>19799</v>
      </c>
      <c r="Z174" t="s">
        <v>26142</v>
      </c>
      <c r="AA174">
        <v>0.29603510783345471</v>
      </c>
      <c r="AB174" t="str">
        <f>HYPERLINK("Melting_Curves/meltCurve_B4DL79_KIF20A.pdf", "Melting_Curves/meltCurve_B4DL79_KIF20A.pdf")</f>
        <v>Melting_Curves/meltCurve_B4DL79_KIF20A.pdf</v>
      </c>
    </row>
    <row r="175" spans="1:28" x14ac:dyDescent="0.25">
      <c r="A175" t="s">
        <v>179</v>
      </c>
      <c r="B175">
        <v>0.99472303558308395</v>
      </c>
      <c r="C175">
        <v>0.76910134348274095</v>
      </c>
      <c r="D175">
        <v>0.84125036448476898</v>
      </c>
      <c r="E175">
        <v>0.67849474919480202</v>
      </c>
      <c r="F175">
        <v>0.58296722120462796</v>
      </c>
      <c r="G175">
        <v>0.38683110287873701</v>
      </c>
      <c r="H175">
        <v>0.423919777728192</v>
      </c>
      <c r="I175">
        <v>0.40530610868019901</v>
      </c>
      <c r="J175">
        <v>0.66678275242893104</v>
      </c>
      <c r="K175">
        <v>0.54780210375383498</v>
      </c>
      <c r="L175">
        <v>587.98117938161602</v>
      </c>
      <c r="M175">
        <v>13.4537453373402</v>
      </c>
      <c r="N175">
        <v>58.486958236648299</v>
      </c>
      <c r="O175">
        <v>42.772213516976798</v>
      </c>
      <c r="P175">
        <v>-4.0635740890809902E-2</v>
      </c>
      <c r="Q175">
        <v>0.48332242951304399</v>
      </c>
      <c r="R175">
        <v>0.75223322719859398</v>
      </c>
      <c r="S175" t="s">
        <v>6743</v>
      </c>
      <c r="T175" t="s">
        <v>13134</v>
      </c>
      <c r="U175" t="s">
        <v>13134</v>
      </c>
      <c r="V175" t="s">
        <v>13134</v>
      </c>
      <c r="W175" t="s">
        <v>13309</v>
      </c>
      <c r="X175">
        <v>3</v>
      </c>
      <c r="Y175" t="s">
        <v>19800</v>
      </c>
      <c r="Z175" t="s">
        <v>26143</v>
      </c>
      <c r="AA175">
        <v>0.61508670996304227</v>
      </c>
      <c r="AB175" t="str">
        <f>HYPERLINK("Melting_Curves/meltCurve_B4DLH2_C2orf18.pdf", "Melting_Curves/meltCurve_B4DLH2_C2orf18.pdf")</f>
        <v>Melting_Curves/meltCurve_B4DLH2_C2orf18.pdf</v>
      </c>
    </row>
    <row r="176" spans="1:28" x14ac:dyDescent="0.25">
      <c r="A176" t="s">
        <v>180</v>
      </c>
      <c r="B176">
        <v>0.99472303558308395</v>
      </c>
      <c r="C176">
        <v>0.91736527504631904</v>
      </c>
      <c r="D176">
        <v>0.96598201491722102</v>
      </c>
      <c r="E176">
        <v>0.83099659958191396</v>
      </c>
      <c r="F176">
        <v>0.64370161058999298</v>
      </c>
      <c r="G176">
        <v>0.49900578525750799</v>
      </c>
      <c r="H176">
        <v>0.32160013147504402</v>
      </c>
      <c r="I176">
        <v>0.38181669056103301</v>
      </c>
      <c r="J176">
        <v>0.42335353436240603</v>
      </c>
      <c r="K176">
        <v>0.54356251270761602</v>
      </c>
      <c r="L176">
        <v>1072.43612139524</v>
      </c>
      <c r="M176">
        <v>22.008162344333801</v>
      </c>
      <c r="N176">
        <v>53.075838575246102</v>
      </c>
      <c r="O176">
        <v>48.332026665603003</v>
      </c>
      <c r="P176">
        <v>-6.6306436749082903E-2</v>
      </c>
      <c r="Q176">
        <v>0.41755163751389301</v>
      </c>
      <c r="R176">
        <v>0.93522522676709596</v>
      </c>
      <c r="S176" t="s">
        <v>6744</v>
      </c>
      <c r="T176" t="s">
        <v>13134</v>
      </c>
      <c r="U176" t="s">
        <v>13134</v>
      </c>
      <c r="V176" t="s">
        <v>13134</v>
      </c>
      <c r="W176" t="s">
        <v>13310</v>
      </c>
      <c r="X176">
        <v>20</v>
      </c>
      <c r="Y176" t="s">
        <v>19801</v>
      </c>
      <c r="Z176" t="s">
        <v>26144</v>
      </c>
      <c r="AA176">
        <v>0.65168184035204912</v>
      </c>
      <c r="AB176" t="str">
        <f>HYPERLINK("Melting_Curves/meltCurve_B4DLN1_SLC25A10.pdf", "Melting_Curves/meltCurve_B4DLN1_SLC25A10.pdf")</f>
        <v>Melting_Curves/meltCurve_B4DLN1_SLC25A10.pdf</v>
      </c>
    </row>
    <row r="177" spans="1:28" x14ac:dyDescent="0.25">
      <c r="A177" t="s">
        <v>181</v>
      </c>
      <c r="B177">
        <v>0.99472303558308395</v>
      </c>
      <c r="C177">
        <v>0.98880473649064404</v>
      </c>
      <c r="D177">
        <v>1.12663292887044</v>
      </c>
      <c r="E177">
        <v>0.90585804482941601</v>
      </c>
      <c r="F177">
        <v>0.49224769329734103</v>
      </c>
      <c r="G177">
        <v>0.21125925816521501</v>
      </c>
      <c r="H177">
        <v>9.1657602818777495E-2</v>
      </c>
      <c r="I177">
        <v>5.81439697238414E-2</v>
      </c>
      <c r="J177">
        <v>8.6438826140261202E-2</v>
      </c>
      <c r="K177">
        <v>6.3080846742018595E-2</v>
      </c>
      <c r="L177">
        <v>1468.0285059110699</v>
      </c>
      <c r="M177">
        <v>29.356194828409599</v>
      </c>
      <c r="N177">
        <v>50.279705277890997</v>
      </c>
      <c r="O177">
        <v>49.777121231674997</v>
      </c>
      <c r="P177">
        <v>-0.136604873957859</v>
      </c>
      <c r="Q177">
        <v>7.3483590261707601E-2</v>
      </c>
      <c r="R177">
        <v>0.98899719907974104</v>
      </c>
      <c r="S177" t="s">
        <v>6745</v>
      </c>
      <c r="T177" t="s">
        <v>13134</v>
      </c>
      <c r="U177" t="s">
        <v>13134</v>
      </c>
      <c r="V177" t="s">
        <v>13134</v>
      </c>
      <c r="W177" t="s">
        <v>13311</v>
      </c>
      <c r="X177">
        <v>7</v>
      </c>
      <c r="Y177" t="s">
        <v>19802</v>
      </c>
      <c r="Z177" t="s">
        <v>26145</v>
      </c>
      <c r="AA177">
        <v>0.481138092416872</v>
      </c>
      <c r="AB177" t="str">
        <f>HYPERLINK("Melting_Curves/meltCurve_B4DLR8_NQO1.pdf", "Melting_Curves/meltCurve_B4DLR8_NQO1.pdf")</f>
        <v>Melting_Curves/meltCurve_B4DLR8_NQO1.pdf</v>
      </c>
    </row>
    <row r="178" spans="1:28" x14ac:dyDescent="0.25">
      <c r="A178" t="s">
        <v>182</v>
      </c>
      <c r="B178">
        <v>0.99472303558308395</v>
      </c>
      <c r="C178">
        <v>0.90761409334052101</v>
      </c>
      <c r="D178">
        <v>1.0052780981284599</v>
      </c>
      <c r="E178">
        <v>0.74950981778487502</v>
      </c>
      <c r="F178">
        <v>0.34593810401248998</v>
      </c>
      <c r="G178">
        <v>0.12711286907695901</v>
      </c>
      <c r="H178">
        <v>4.8448999608413403E-2</v>
      </c>
      <c r="I178">
        <v>4.0797944817351599E-2</v>
      </c>
      <c r="J178">
        <v>5.0884727085502499E-2</v>
      </c>
      <c r="K178">
        <v>4.1714375978798901E-2</v>
      </c>
      <c r="L178">
        <v>1211.4915984320201</v>
      </c>
      <c r="M178">
        <v>24.902921763801999</v>
      </c>
      <c r="N178">
        <v>48.809705408637697</v>
      </c>
      <c r="O178">
        <v>48.338126377760602</v>
      </c>
      <c r="P178">
        <v>-0.123714795443629</v>
      </c>
      <c r="Q178">
        <v>3.94606367290272E-2</v>
      </c>
      <c r="R178">
        <v>0.99410165238677695</v>
      </c>
      <c r="S178" t="s">
        <v>6746</v>
      </c>
      <c r="T178" t="s">
        <v>13134</v>
      </c>
      <c r="U178" t="s">
        <v>13134</v>
      </c>
      <c r="V178" t="s">
        <v>13134</v>
      </c>
      <c r="W178" t="s">
        <v>13312</v>
      </c>
      <c r="X178">
        <v>7</v>
      </c>
      <c r="Y178" t="s">
        <v>19803</v>
      </c>
      <c r="Z178" t="s">
        <v>26146</v>
      </c>
      <c r="AA178">
        <v>0.42074852810907948</v>
      </c>
      <c r="AB178" t="str">
        <f>HYPERLINK("Melting_Curves/meltCurve_B4DLT4_RPS6KB1.pdf", "Melting_Curves/meltCurve_B4DLT4_RPS6KB1.pdf")</f>
        <v>Melting_Curves/meltCurve_B4DLT4_RPS6KB1.pdf</v>
      </c>
    </row>
    <row r="179" spans="1:28" x14ac:dyDescent="0.25">
      <c r="A179" t="s">
        <v>183</v>
      </c>
      <c r="B179">
        <v>0.99472303558308395</v>
      </c>
      <c r="C179">
        <v>1.0273833229746201</v>
      </c>
      <c r="D179">
        <v>0.96767950137327297</v>
      </c>
      <c r="E179">
        <v>0.83064283503869096</v>
      </c>
      <c r="F179">
        <v>0.54316453481397298</v>
      </c>
      <c r="G179">
        <v>0.24326367496880599</v>
      </c>
      <c r="H179">
        <v>0.12560617778243199</v>
      </c>
      <c r="I179">
        <v>7.7605387462552203E-2</v>
      </c>
      <c r="J179">
        <v>7.8054392659927196E-2</v>
      </c>
      <c r="K179">
        <v>6.7238556381051098E-2</v>
      </c>
      <c r="L179">
        <v>1031.97592573108</v>
      </c>
      <c r="M179">
        <v>20.548875460736099</v>
      </c>
      <c r="N179">
        <v>50.533716329549399</v>
      </c>
      <c r="O179">
        <v>49.752196596270302</v>
      </c>
      <c r="P179">
        <v>-9.7085875856882303E-2</v>
      </c>
      <c r="Q179">
        <v>5.9784207126334997E-2</v>
      </c>
      <c r="R179">
        <v>0.99908820094297501</v>
      </c>
      <c r="S179" t="s">
        <v>6747</v>
      </c>
      <c r="T179" t="s">
        <v>13134</v>
      </c>
      <c r="U179" t="s">
        <v>13134</v>
      </c>
      <c r="V179" t="s">
        <v>13134</v>
      </c>
      <c r="W179" t="s">
        <v>13313</v>
      </c>
      <c r="X179">
        <v>6</v>
      </c>
      <c r="Y179" t="s">
        <v>19804</v>
      </c>
      <c r="Z179" t="s">
        <v>26147</v>
      </c>
      <c r="AA179">
        <v>0.48592506993290041</v>
      </c>
      <c r="AB179" t="str">
        <f>HYPERLINK("Melting_Curves/meltCurve_B4DLZ9_RNF220.pdf", "Melting_Curves/meltCurve_B4DLZ9_RNF220.pdf")</f>
        <v>Melting_Curves/meltCurve_B4DLZ9_RNF220.pdf</v>
      </c>
    </row>
    <row r="180" spans="1:28" x14ac:dyDescent="0.25">
      <c r="A180" t="s">
        <v>184</v>
      </c>
      <c r="B180">
        <v>0.99472303558308395</v>
      </c>
      <c r="C180">
        <v>0.90039936194028802</v>
      </c>
      <c r="D180">
        <v>0.67850455181252201</v>
      </c>
      <c r="E180">
        <v>0.59112404518096096</v>
      </c>
      <c r="F180">
        <v>0.50407364242563601</v>
      </c>
      <c r="G180">
        <v>0.26254117739775201</v>
      </c>
      <c r="H180">
        <v>0.146972646477428</v>
      </c>
      <c r="I180">
        <v>7.6848153739027703E-2</v>
      </c>
      <c r="J180">
        <v>8.4380015506018605E-2</v>
      </c>
      <c r="K180">
        <v>7.82579470671005E-2</v>
      </c>
      <c r="L180">
        <v>463.95373550903201</v>
      </c>
      <c r="M180">
        <v>9.5985196107302304</v>
      </c>
      <c r="N180">
        <v>48.335942908655703</v>
      </c>
      <c r="O180">
        <v>46.377638448461497</v>
      </c>
      <c r="P180">
        <v>-5.1770529635264101E-2</v>
      </c>
      <c r="Q180">
        <v>0</v>
      </c>
      <c r="R180">
        <v>0.98025569653287903</v>
      </c>
      <c r="S180" t="s">
        <v>6748</v>
      </c>
      <c r="T180" t="s">
        <v>13134</v>
      </c>
      <c r="U180" t="s">
        <v>13134</v>
      </c>
      <c r="V180" t="s">
        <v>13134</v>
      </c>
      <c r="W180" t="s">
        <v>13314</v>
      </c>
      <c r="X180">
        <v>2</v>
      </c>
      <c r="Y180" t="s">
        <v>19805</v>
      </c>
      <c r="Z180" t="s">
        <v>26148</v>
      </c>
      <c r="AA180">
        <v>0.41898944267238342</v>
      </c>
      <c r="AB180" t="str">
        <f>HYPERLINK("Melting_Curves/meltCurve_B4DMU4_FAM45A.pdf", "Melting_Curves/meltCurve_B4DMU4_FAM45A.pdf")</f>
        <v>Melting_Curves/meltCurve_B4DMU4_FAM45A.pdf</v>
      </c>
    </row>
    <row r="181" spans="1:28" x14ac:dyDescent="0.25">
      <c r="A181" t="s">
        <v>185</v>
      </c>
      <c r="B181">
        <v>0.99472303558308395</v>
      </c>
      <c r="C181">
        <v>1.1376628947727201</v>
      </c>
      <c r="D181">
        <v>0.97495672961744195</v>
      </c>
      <c r="E181">
        <v>0.99818755260081704</v>
      </c>
      <c r="F181">
        <v>0.81062093112657796</v>
      </c>
      <c r="G181">
        <v>0.66860537348713101</v>
      </c>
      <c r="H181">
        <v>0.57798026844698203</v>
      </c>
      <c r="I181">
        <v>0.60405592249532103</v>
      </c>
      <c r="J181">
        <v>0.70221324816249997</v>
      </c>
      <c r="K181">
        <v>0.52015172193744097</v>
      </c>
      <c r="L181">
        <v>1684.9836241615999</v>
      </c>
      <c r="M181">
        <v>33.362449332861701</v>
      </c>
      <c r="O181">
        <v>50.324971502460301</v>
      </c>
      <c r="P181">
        <v>-6.5861049594340706E-2</v>
      </c>
      <c r="Q181">
        <v>0.60261415888529202</v>
      </c>
      <c r="R181">
        <v>0.90785515497512204</v>
      </c>
      <c r="S181" t="s">
        <v>6749</v>
      </c>
      <c r="T181" t="s">
        <v>13134</v>
      </c>
      <c r="U181" t="s">
        <v>13134</v>
      </c>
      <c r="V181" t="s">
        <v>13134</v>
      </c>
      <c r="W181" t="s">
        <v>13315</v>
      </c>
      <c r="X181">
        <v>4</v>
      </c>
      <c r="Y181" t="s">
        <v>19806</v>
      </c>
      <c r="Z181" t="s">
        <v>26149</v>
      </c>
      <c r="AA181">
        <v>0.78350151011267988</v>
      </c>
      <c r="AB181" t="str">
        <f>HYPERLINK("Melting_Curves/meltCurve_B4DMX0_KDSR.pdf", "Melting_Curves/meltCurve_B4DMX0_KDSR.pdf")</f>
        <v>Melting_Curves/meltCurve_B4DMX0_KDSR.pdf</v>
      </c>
    </row>
    <row r="182" spans="1:28" x14ac:dyDescent="0.25">
      <c r="A182" t="s">
        <v>186</v>
      </c>
      <c r="B182">
        <v>0.99472303558308395</v>
      </c>
      <c r="C182">
        <v>1.04555694083484</v>
      </c>
      <c r="D182">
        <v>1.0007472507509301</v>
      </c>
      <c r="E182">
        <v>0.62950520826188605</v>
      </c>
      <c r="F182">
        <v>0.28021955556834799</v>
      </c>
      <c r="G182">
        <v>6.9787531371602304E-2</v>
      </c>
      <c r="H182">
        <v>4.0834274268752697E-2</v>
      </c>
      <c r="I182">
        <v>2.9853644404506101E-2</v>
      </c>
      <c r="J182">
        <v>3.2333475184842898E-2</v>
      </c>
      <c r="K182">
        <v>2.9621880974767499E-2</v>
      </c>
      <c r="L182">
        <v>1215.53848480286</v>
      </c>
      <c r="M182">
        <v>25.443164941758301</v>
      </c>
      <c r="N182">
        <v>47.887875251508</v>
      </c>
      <c r="O182">
        <v>47.482461527806002</v>
      </c>
      <c r="P182">
        <v>-0.13005223447574099</v>
      </c>
      <c r="Q182">
        <v>2.9189503602483902E-2</v>
      </c>
      <c r="R182">
        <v>0.99556497548599099</v>
      </c>
      <c r="S182" t="s">
        <v>6750</v>
      </c>
      <c r="T182" t="s">
        <v>13134</v>
      </c>
      <c r="U182" t="s">
        <v>13134</v>
      </c>
      <c r="V182" t="s">
        <v>13134</v>
      </c>
      <c r="W182" t="s">
        <v>13316</v>
      </c>
      <c r="X182">
        <v>3</v>
      </c>
      <c r="Y182" t="s">
        <v>19807</v>
      </c>
      <c r="Z182" t="s">
        <v>26150</v>
      </c>
      <c r="AA182">
        <v>0.38582399452006128</v>
      </c>
      <c r="AB182" t="str">
        <f>HYPERLINK("Melting_Curves/meltCurve_B4DN34_MRPL48.pdf", "Melting_Curves/meltCurve_B4DN34_MRPL48.pdf")</f>
        <v>Melting_Curves/meltCurve_B4DN34_MRPL48.pdf</v>
      </c>
    </row>
    <row r="183" spans="1:28" x14ac:dyDescent="0.25">
      <c r="A183" t="s">
        <v>187</v>
      </c>
      <c r="B183">
        <v>0.99472303558308395</v>
      </c>
      <c r="C183">
        <v>0.79203495052490602</v>
      </c>
      <c r="D183">
        <v>0.645955712232261</v>
      </c>
      <c r="E183">
        <v>0.331779899023251</v>
      </c>
      <c r="F183">
        <v>0.20112424301596199</v>
      </c>
      <c r="G183">
        <v>0.146875654956066</v>
      </c>
      <c r="H183">
        <v>0.132905293102587</v>
      </c>
      <c r="I183">
        <v>3.8323280731156997E-2</v>
      </c>
      <c r="J183">
        <v>5.8894540030210801E-2</v>
      </c>
      <c r="K183">
        <v>6.3123617400343293E-2</v>
      </c>
      <c r="L183">
        <v>637.21122295538896</v>
      </c>
      <c r="M183">
        <v>14.438625964440799</v>
      </c>
      <c r="N183">
        <v>44.522116297010797</v>
      </c>
      <c r="O183">
        <v>43.311757350001898</v>
      </c>
      <c r="P183">
        <v>-7.8403121389185704E-2</v>
      </c>
      <c r="Q183">
        <v>5.9362573799731297E-2</v>
      </c>
      <c r="R183">
        <v>0.99127496735929499</v>
      </c>
      <c r="S183" t="s">
        <v>6751</v>
      </c>
      <c r="T183" t="s">
        <v>13134</v>
      </c>
      <c r="U183" t="s">
        <v>13134</v>
      </c>
      <c r="V183" t="s">
        <v>13134</v>
      </c>
      <c r="W183" t="s">
        <v>13317</v>
      </c>
      <c r="X183">
        <v>3</v>
      </c>
      <c r="Y183" t="s">
        <v>19808</v>
      </c>
      <c r="Z183" t="s">
        <v>26151</v>
      </c>
      <c r="AA183">
        <v>0.30809513531844068</v>
      </c>
      <c r="AB183" t="str">
        <f>HYPERLINK("Melting_Curves/meltCurve_B4DNX9_ZNF460.pdf", "Melting_Curves/meltCurve_B4DNX9_ZNF460.pdf")</f>
        <v>Melting_Curves/meltCurve_B4DNX9_ZNF460.pdf</v>
      </c>
    </row>
    <row r="184" spans="1:28" x14ac:dyDescent="0.25">
      <c r="A184" t="s">
        <v>188</v>
      </c>
      <c r="B184">
        <v>0.99472303558308395</v>
      </c>
      <c r="C184">
        <v>0.79077989586699404</v>
      </c>
      <c r="D184">
        <v>1.0536647958494401</v>
      </c>
      <c r="E184">
        <v>0.73936070370533402</v>
      </c>
      <c r="F184">
        <v>0.18357579071072899</v>
      </c>
      <c r="G184">
        <v>8.6992693381061803E-2</v>
      </c>
      <c r="H184">
        <v>4.68735433330583E-2</v>
      </c>
      <c r="I184">
        <v>3.1292461850415197E-2</v>
      </c>
      <c r="J184">
        <v>3.1816946882618803E-2</v>
      </c>
      <c r="K184">
        <v>2.7294942086503401E-2</v>
      </c>
      <c r="L184">
        <v>1792.81000331884</v>
      </c>
      <c r="M184">
        <v>37.4532013487173</v>
      </c>
      <c r="N184">
        <v>47.977563859516799</v>
      </c>
      <c r="O184">
        <v>47.732151914187199</v>
      </c>
      <c r="P184">
        <v>-0.18812400895533299</v>
      </c>
      <c r="Q184">
        <v>4.0985642732740198E-2</v>
      </c>
      <c r="R184">
        <v>0.97137753084551903</v>
      </c>
      <c r="S184" t="s">
        <v>6752</v>
      </c>
      <c r="T184" t="s">
        <v>13134</v>
      </c>
      <c r="U184" t="s">
        <v>13134</v>
      </c>
      <c r="V184" t="s">
        <v>13134</v>
      </c>
      <c r="W184" t="s">
        <v>13318</v>
      </c>
      <c r="X184">
        <v>10</v>
      </c>
      <c r="Y184" t="s">
        <v>19809</v>
      </c>
      <c r="Z184" t="s">
        <v>26152</v>
      </c>
      <c r="AA184">
        <v>0.39202811463420151</v>
      </c>
      <c r="AB184" t="str">
        <f>HYPERLINK("Melting_Curves/meltCurve_B4DP21_PTGES3.pdf", "Melting_Curves/meltCurve_B4DP21_PTGES3.pdf")</f>
        <v>Melting_Curves/meltCurve_B4DP21_PTGES3.pdf</v>
      </c>
    </row>
    <row r="185" spans="1:28" x14ac:dyDescent="0.25">
      <c r="A185" t="s">
        <v>189</v>
      </c>
      <c r="B185">
        <v>0.99472303558308395</v>
      </c>
      <c r="C185">
        <v>1.04280764530745</v>
      </c>
      <c r="D185">
        <v>1.0556272021861</v>
      </c>
      <c r="E185">
        <v>0.76164579448477598</v>
      </c>
      <c r="F185">
        <v>0.57759036598344005</v>
      </c>
      <c r="G185">
        <v>0.320783944491358</v>
      </c>
      <c r="H185">
        <v>0.17536664597787799</v>
      </c>
      <c r="I185">
        <v>0.11963037066042501</v>
      </c>
      <c r="J185">
        <v>0.16665765409362901</v>
      </c>
      <c r="K185">
        <v>0.108765475149185</v>
      </c>
      <c r="L185">
        <v>934.14393961000496</v>
      </c>
      <c r="M185">
        <v>18.617276449250401</v>
      </c>
      <c r="N185">
        <v>50.874661364933601</v>
      </c>
      <c r="O185">
        <v>49.608021250277297</v>
      </c>
      <c r="P185">
        <v>-8.3244733259535506E-2</v>
      </c>
      <c r="Q185">
        <v>0.112775035504021</v>
      </c>
      <c r="R185">
        <v>0.98704706782790497</v>
      </c>
      <c r="S185" t="s">
        <v>6753</v>
      </c>
      <c r="T185" t="s">
        <v>13134</v>
      </c>
      <c r="U185" t="s">
        <v>13134</v>
      </c>
      <c r="V185" t="s">
        <v>13134</v>
      </c>
      <c r="W185" t="s">
        <v>13319</v>
      </c>
      <c r="X185">
        <v>7</v>
      </c>
      <c r="Y185" t="s">
        <v>19810</v>
      </c>
      <c r="Z185" t="s">
        <v>26153</v>
      </c>
      <c r="AA185">
        <v>0.51564182863034902</v>
      </c>
      <c r="AB185" t="str">
        <f>HYPERLINK("Melting_Curves/meltCurve_B4DPY5_SNX11.pdf", "Melting_Curves/meltCurve_B4DPY5_SNX11.pdf")</f>
        <v>Melting_Curves/meltCurve_B4DPY5_SNX11.pdf</v>
      </c>
    </row>
    <row r="186" spans="1:28" x14ac:dyDescent="0.25">
      <c r="A186" t="s">
        <v>190</v>
      </c>
      <c r="B186">
        <v>0.99472303558308395</v>
      </c>
      <c r="C186">
        <v>1.0135853838464299</v>
      </c>
      <c r="D186">
        <v>0.78433025935648304</v>
      </c>
      <c r="E186">
        <v>0.58012971575970296</v>
      </c>
      <c r="F186">
        <v>0.32576183280204801</v>
      </c>
      <c r="G186">
        <v>0.16387074583936601</v>
      </c>
      <c r="H186">
        <v>9.0559608728861304E-2</v>
      </c>
      <c r="I186">
        <v>6.8993650124910405E-2</v>
      </c>
      <c r="J186">
        <v>8.4901698259218797E-2</v>
      </c>
      <c r="K186">
        <v>7.5591529758626305E-2</v>
      </c>
      <c r="L186">
        <v>756.91465558903099</v>
      </c>
      <c r="M186">
        <v>16.0712502602154</v>
      </c>
      <c r="N186">
        <v>47.459670786645503</v>
      </c>
      <c r="O186">
        <v>46.386325356005997</v>
      </c>
      <c r="P186">
        <v>-8.1623141563869503E-2</v>
      </c>
      <c r="Q186">
        <v>5.7719533651982402E-2</v>
      </c>
      <c r="R186">
        <v>0.99465058522924499</v>
      </c>
      <c r="S186" t="s">
        <v>6754</v>
      </c>
      <c r="T186" t="s">
        <v>13134</v>
      </c>
      <c r="U186" t="s">
        <v>13134</v>
      </c>
      <c r="V186" t="s">
        <v>13134</v>
      </c>
      <c r="W186" t="s">
        <v>13320</v>
      </c>
      <c r="X186">
        <v>7</v>
      </c>
      <c r="Y186" t="s">
        <v>19811</v>
      </c>
      <c r="Z186" t="s">
        <v>26154</v>
      </c>
      <c r="AA186">
        <v>0.39355966105854701</v>
      </c>
      <c r="AB186" t="str">
        <f>HYPERLINK("Melting_Curves/meltCurve_B4DPY8_TOX4.pdf", "Melting_Curves/meltCurve_B4DPY8_TOX4.pdf")</f>
        <v>Melting_Curves/meltCurve_B4DPY8_TOX4.pdf</v>
      </c>
    </row>
    <row r="187" spans="1:28" x14ac:dyDescent="0.25">
      <c r="A187" t="s">
        <v>191</v>
      </c>
      <c r="B187">
        <v>0.99472303558308395</v>
      </c>
      <c r="C187">
        <v>0.97615245476953705</v>
      </c>
      <c r="D187">
        <v>1.0146671408410499</v>
      </c>
      <c r="E187">
        <v>0.94999650149552795</v>
      </c>
      <c r="F187">
        <v>0.76460863739579699</v>
      </c>
      <c r="G187">
        <v>0.470827717129084</v>
      </c>
      <c r="H187">
        <v>6.7229109179746602E-2</v>
      </c>
      <c r="I187">
        <v>4.79949874920991E-2</v>
      </c>
      <c r="J187">
        <v>4.2019091165855102E-2</v>
      </c>
      <c r="K187">
        <v>3.9058002753836599E-2</v>
      </c>
      <c r="L187">
        <v>1304.7868163144899</v>
      </c>
      <c r="M187">
        <v>24.632512916737699</v>
      </c>
      <c r="N187">
        <v>53.021941160226902</v>
      </c>
      <c r="O187">
        <v>52.624708735718599</v>
      </c>
      <c r="P187">
        <v>-0.115629226065403</v>
      </c>
      <c r="Q187">
        <v>1.18968303455155E-2</v>
      </c>
      <c r="R187">
        <v>0.99352539951957097</v>
      </c>
      <c r="S187" t="s">
        <v>6755</v>
      </c>
      <c r="T187" t="s">
        <v>13134</v>
      </c>
      <c r="U187" t="s">
        <v>13134</v>
      </c>
      <c r="V187" t="s">
        <v>13134</v>
      </c>
      <c r="W187" t="s">
        <v>13321</v>
      </c>
      <c r="X187">
        <v>27</v>
      </c>
      <c r="Y187" t="s">
        <v>19812</v>
      </c>
      <c r="Z187" t="s">
        <v>26155</v>
      </c>
      <c r="AA187">
        <v>0.54685860226396532</v>
      </c>
      <c r="AB187" t="str">
        <f>HYPERLINK("Melting_Curves/meltCurve_B4DQJ8_PGD.pdf", "Melting_Curves/meltCurve_B4DQJ8_PGD.pdf")</f>
        <v>Melting_Curves/meltCurve_B4DQJ8_PGD.pdf</v>
      </c>
    </row>
    <row r="188" spans="1:28" x14ac:dyDescent="0.25">
      <c r="A188" t="s">
        <v>192</v>
      </c>
      <c r="B188">
        <v>0.99472303558308395</v>
      </c>
      <c r="C188">
        <v>0.72575175561948901</v>
      </c>
      <c r="D188">
        <v>0.79310076834166299</v>
      </c>
      <c r="E188">
        <v>0.42805326425759199</v>
      </c>
      <c r="F188">
        <v>0.165722867141812</v>
      </c>
      <c r="G188">
        <v>9.7416446596803805E-2</v>
      </c>
      <c r="H188">
        <v>6.2400873976676097E-2</v>
      </c>
      <c r="I188">
        <v>7.0596243987510396E-2</v>
      </c>
      <c r="J188">
        <v>6.7574782046225204E-2</v>
      </c>
      <c r="K188">
        <v>9.6390200523029795E-2</v>
      </c>
      <c r="L188">
        <v>680.38977780081598</v>
      </c>
      <c r="M188">
        <v>15.074283097578901</v>
      </c>
      <c r="N188">
        <v>45.423968943129402</v>
      </c>
      <c r="O188">
        <v>44.363824655418703</v>
      </c>
      <c r="P188">
        <v>-8.1081038071448994E-2</v>
      </c>
      <c r="Q188">
        <v>4.5604163628675802E-2</v>
      </c>
      <c r="R188">
        <v>0.964058983434122</v>
      </c>
      <c r="S188" t="s">
        <v>6756</v>
      </c>
      <c r="T188" t="s">
        <v>13134</v>
      </c>
      <c r="U188" t="s">
        <v>13134</v>
      </c>
      <c r="V188" t="s">
        <v>13134</v>
      </c>
      <c r="W188" t="s">
        <v>13322</v>
      </c>
      <c r="X188">
        <v>6</v>
      </c>
      <c r="Y188" t="s">
        <v>19813</v>
      </c>
      <c r="Z188" t="s">
        <v>26156</v>
      </c>
      <c r="AA188">
        <v>0.32680314287597828</v>
      </c>
      <c r="AB188" t="str">
        <f>HYPERLINK("Melting_Curves/meltCurve_B4DR52_HIST2H2BF.pdf", "Melting_Curves/meltCurve_B4DR52_HIST2H2BF.pdf")</f>
        <v>Melting_Curves/meltCurve_B4DR52_HIST2H2BF.pdf</v>
      </c>
    </row>
    <row r="189" spans="1:28" x14ac:dyDescent="0.25">
      <c r="A189" t="s">
        <v>193</v>
      </c>
      <c r="B189">
        <v>0.99472303558308395</v>
      </c>
      <c r="C189">
        <v>0.85152216284899596</v>
      </c>
      <c r="D189">
        <v>0.80224864686293995</v>
      </c>
      <c r="E189">
        <v>0.63914653652019104</v>
      </c>
      <c r="F189">
        <v>0.50609881632888598</v>
      </c>
      <c r="G189">
        <v>0.38266461052970502</v>
      </c>
      <c r="H189">
        <v>0.29416161806756602</v>
      </c>
      <c r="I189">
        <v>0.23106730680268001</v>
      </c>
      <c r="J189">
        <v>0.267278289121336</v>
      </c>
      <c r="K189">
        <v>0.220620467968178</v>
      </c>
      <c r="L189">
        <v>467.02143001808702</v>
      </c>
      <c r="M189">
        <v>9.7635714772198199</v>
      </c>
      <c r="N189">
        <v>49.9877203868189</v>
      </c>
      <c r="O189">
        <v>45.955897177934297</v>
      </c>
      <c r="P189">
        <v>-4.4014698050553303E-2</v>
      </c>
      <c r="Q189">
        <v>0.17175490885846201</v>
      </c>
      <c r="R189">
        <v>0.99193470020712404</v>
      </c>
      <c r="S189" t="s">
        <v>6757</v>
      </c>
      <c r="T189" t="s">
        <v>13134</v>
      </c>
      <c r="U189" t="s">
        <v>13134</v>
      </c>
      <c r="V189" t="s">
        <v>13134</v>
      </c>
      <c r="W189" t="s">
        <v>13323</v>
      </c>
      <c r="X189">
        <v>7</v>
      </c>
      <c r="Y189" t="s">
        <v>19814</v>
      </c>
      <c r="Z189" t="s">
        <v>26157</v>
      </c>
      <c r="AA189">
        <v>0.50555897625969581</v>
      </c>
      <c r="AB189" t="str">
        <f>HYPERLINK("Melting_Curves/meltCurve_B4DR61_SEC61A1.pdf", "Melting_Curves/meltCurve_B4DR61_SEC61A1.pdf")</f>
        <v>Melting_Curves/meltCurve_B4DR61_SEC61A1.pdf</v>
      </c>
    </row>
    <row r="190" spans="1:28" x14ac:dyDescent="0.25">
      <c r="A190" t="s">
        <v>194</v>
      </c>
      <c r="B190">
        <v>0.99472303558308395</v>
      </c>
      <c r="C190">
        <v>0.96434322460200095</v>
      </c>
      <c r="D190">
        <v>0.96801214060531404</v>
      </c>
      <c r="E190">
        <v>0.84094014134575201</v>
      </c>
      <c r="F190">
        <v>0.52634271924113496</v>
      </c>
      <c r="G190">
        <v>0.28155363058878802</v>
      </c>
      <c r="H190">
        <v>0.1047801441531</v>
      </c>
      <c r="I190">
        <v>4.3951609790572901E-2</v>
      </c>
      <c r="J190">
        <v>4.6456560915985601E-2</v>
      </c>
      <c r="K190">
        <v>4.1635563748897701E-2</v>
      </c>
      <c r="L190">
        <v>941.50234379619997</v>
      </c>
      <c r="M190">
        <v>18.6312087754741</v>
      </c>
      <c r="N190">
        <v>50.654429826001703</v>
      </c>
      <c r="O190">
        <v>49.962258274838803</v>
      </c>
      <c r="P190">
        <v>-9.1204396976356794E-2</v>
      </c>
      <c r="Q190">
        <v>2.1731766776942201E-2</v>
      </c>
      <c r="R190">
        <v>0.99866662400304795</v>
      </c>
      <c r="S190" t="s">
        <v>6758</v>
      </c>
      <c r="T190" t="s">
        <v>13134</v>
      </c>
      <c r="U190" t="s">
        <v>13134</v>
      </c>
      <c r="V190" t="s">
        <v>13134</v>
      </c>
      <c r="W190" t="s">
        <v>13324</v>
      </c>
      <c r="X190">
        <v>23</v>
      </c>
      <c r="Y190" t="s">
        <v>19815</v>
      </c>
      <c r="Z190" t="s">
        <v>26158</v>
      </c>
      <c r="AA190">
        <v>0.47751885124890248</v>
      </c>
      <c r="AB190" t="str">
        <f>HYPERLINK("Melting_Curves/meltCurve_B4DR80_STK24.pdf", "Melting_Curves/meltCurve_B4DR80_STK24.pdf")</f>
        <v>Melting_Curves/meltCurve_B4DR80_STK24.pdf</v>
      </c>
    </row>
    <row r="191" spans="1:28" x14ac:dyDescent="0.25">
      <c r="A191" t="s">
        <v>195</v>
      </c>
      <c r="B191">
        <v>0.99472303558308395</v>
      </c>
      <c r="C191">
        <v>0.88968563452884197</v>
      </c>
      <c r="D191">
        <v>1.20051557854573</v>
      </c>
      <c r="E191">
        <v>0.90448984050093095</v>
      </c>
      <c r="F191">
        <v>0.49727465208309901</v>
      </c>
      <c r="G191">
        <v>0.16635037612322801</v>
      </c>
      <c r="H191">
        <v>7.4697735817755503E-2</v>
      </c>
      <c r="I191">
        <v>0.101035116121203</v>
      </c>
      <c r="J191">
        <v>8.9969965761450596E-2</v>
      </c>
      <c r="K191">
        <v>0.15808789278879901</v>
      </c>
      <c r="L191">
        <v>1783.9932803883901</v>
      </c>
      <c r="M191">
        <v>35.810158892819402</v>
      </c>
      <c r="N191">
        <v>50.147160302929699</v>
      </c>
      <c r="O191">
        <v>49.663503549367498</v>
      </c>
      <c r="P191">
        <v>-0.16138860245592901</v>
      </c>
      <c r="Q191">
        <v>0.10471272255615099</v>
      </c>
      <c r="R191">
        <v>0.96706947949525701</v>
      </c>
      <c r="S191" t="s">
        <v>6759</v>
      </c>
      <c r="T191" t="s">
        <v>13134</v>
      </c>
      <c r="U191" t="s">
        <v>13134</v>
      </c>
      <c r="V191" t="s">
        <v>13134</v>
      </c>
      <c r="W191" t="s">
        <v>13325</v>
      </c>
      <c r="X191">
        <v>3</v>
      </c>
      <c r="Y191" t="s">
        <v>19816</v>
      </c>
      <c r="Z191" t="s">
        <v>26159</v>
      </c>
      <c r="AA191">
        <v>0.49108943619594458</v>
      </c>
      <c r="AB191" t="str">
        <f>HYPERLINK("Melting_Curves/meltCurve_B4DRC4_ASB6.pdf", "Melting_Curves/meltCurve_B4DRC4_ASB6.pdf")</f>
        <v>Melting_Curves/meltCurve_B4DRC4_ASB6.pdf</v>
      </c>
    </row>
    <row r="192" spans="1:28" x14ac:dyDescent="0.25">
      <c r="A192" t="s">
        <v>196</v>
      </c>
      <c r="B192">
        <v>0.99472303558308395</v>
      </c>
      <c r="C192">
        <v>1.1273946937915</v>
      </c>
      <c r="D192">
        <v>0.92333509629782695</v>
      </c>
      <c r="E192">
        <v>0.875735450825186</v>
      </c>
      <c r="F192">
        <v>0.71745934672403999</v>
      </c>
      <c r="G192">
        <v>0.34375347203338202</v>
      </c>
      <c r="H192">
        <v>0.12636656507379801</v>
      </c>
      <c r="I192">
        <v>8.5076918388204095E-2</v>
      </c>
      <c r="J192">
        <v>7.1537428268191303E-2</v>
      </c>
      <c r="K192">
        <v>0.116820613683672</v>
      </c>
      <c r="L192">
        <v>1165.6983348276401</v>
      </c>
      <c r="M192">
        <v>22.543564642299</v>
      </c>
      <c r="N192">
        <v>52.048672711330497</v>
      </c>
      <c r="O192">
        <v>51.306963955317897</v>
      </c>
      <c r="P192">
        <v>-0.10232830836477801</v>
      </c>
      <c r="Q192">
        <v>6.8461587226488305E-2</v>
      </c>
      <c r="R192">
        <v>0.98322355478589796</v>
      </c>
      <c r="S192" t="s">
        <v>6760</v>
      </c>
      <c r="T192" t="s">
        <v>13134</v>
      </c>
      <c r="U192" t="s">
        <v>13134</v>
      </c>
      <c r="V192" t="s">
        <v>13134</v>
      </c>
      <c r="W192" t="s">
        <v>13326</v>
      </c>
      <c r="X192">
        <v>6</v>
      </c>
      <c r="Y192" t="s">
        <v>19817</v>
      </c>
      <c r="Z192" t="s">
        <v>26160</v>
      </c>
      <c r="AA192">
        <v>0.53509274286991915</v>
      </c>
      <c r="AB192" t="str">
        <f>HYPERLINK("Melting_Curves/meltCurve_B4DRL9_CHM.pdf", "Melting_Curves/meltCurve_B4DRL9_CHM.pdf")</f>
        <v>Melting_Curves/meltCurve_B4DRL9_CHM.pdf</v>
      </c>
    </row>
    <row r="193" spans="1:28" x14ac:dyDescent="0.25">
      <c r="A193" t="s">
        <v>197</v>
      </c>
      <c r="B193">
        <v>0.99472303558308395</v>
      </c>
      <c r="C193">
        <v>1.00524165737087</v>
      </c>
      <c r="D193">
        <v>0.80706967404269103</v>
      </c>
      <c r="E193">
        <v>0.68676193490013404</v>
      </c>
      <c r="F193">
        <v>0.477907939534153</v>
      </c>
      <c r="G193">
        <v>0.215036817068297</v>
      </c>
      <c r="H193">
        <v>0.110238679203538</v>
      </c>
      <c r="I193">
        <v>8.1825102949054998E-2</v>
      </c>
      <c r="J193">
        <v>6.7737761885691597E-2</v>
      </c>
      <c r="K193">
        <v>6.1422072460937199E-2</v>
      </c>
      <c r="L193">
        <v>666.644794782791</v>
      </c>
      <c r="M193">
        <v>13.5947685544905</v>
      </c>
      <c r="N193">
        <v>49.1785295295292</v>
      </c>
      <c r="O193">
        <v>48.012319782926099</v>
      </c>
      <c r="P193">
        <v>-6.9438912040894196E-2</v>
      </c>
      <c r="Q193">
        <v>1.9202559773115399E-2</v>
      </c>
      <c r="R193">
        <v>0.99219977627567202</v>
      </c>
      <c r="S193" t="s">
        <v>6761</v>
      </c>
      <c r="T193" t="s">
        <v>13134</v>
      </c>
      <c r="U193" t="s">
        <v>13134</v>
      </c>
      <c r="V193" t="s">
        <v>13134</v>
      </c>
      <c r="W193" t="s">
        <v>13327</v>
      </c>
      <c r="X193">
        <v>2</v>
      </c>
      <c r="Y193" t="s">
        <v>19818</v>
      </c>
      <c r="Z193" t="s">
        <v>26161</v>
      </c>
      <c r="AA193">
        <v>0.4371868915038124</v>
      </c>
      <c r="AB193" t="str">
        <f>HYPERLINK("Melting_Curves/meltCurve_B4DRS7_SH2D3A.pdf", "Melting_Curves/meltCurve_B4DRS7_SH2D3A.pdf")</f>
        <v>Melting_Curves/meltCurve_B4DRS7_SH2D3A.pdf</v>
      </c>
    </row>
    <row r="194" spans="1:28" x14ac:dyDescent="0.25">
      <c r="A194" t="s">
        <v>198</v>
      </c>
      <c r="B194">
        <v>0.99472303558308395</v>
      </c>
      <c r="C194">
        <v>1.1112361490059299</v>
      </c>
      <c r="D194">
        <v>0.96936772462812504</v>
      </c>
      <c r="E194">
        <v>0.79829130154781003</v>
      </c>
      <c r="F194">
        <v>0.59291006710128102</v>
      </c>
      <c r="G194">
        <v>0.28630467724834302</v>
      </c>
      <c r="H194">
        <v>0.11273577113609599</v>
      </c>
      <c r="I194">
        <v>7.6967376515759106E-2</v>
      </c>
      <c r="J194">
        <v>5.5526495979715901E-2</v>
      </c>
      <c r="K194">
        <v>4.1104298971961897E-2</v>
      </c>
      <c r="L194">
        <v>917.61243670209797</v>
      </c>
      <c r="M194">
        <v>18.062120296116799</v>
      </c>
      <c r="N194">
        <v>50.956050947908203</v>
      </c>
      <c r="O194">
        <v>50.192684585293499</v>
      </c>
      <c r="P194">
        <v>-8.7595025501974302E-2</v>
      </c>
      <c r="Q194">
        <v>2.63788720957541E-2</v>
      </c>
      <c r="R194">
        <v>0.990061191511175</v>
      </c>
      <c r="S194" t="s">
        <v>6762</v>
      </c>
      <c r="T194" t="s">
        <v>13134</v>
      </c>
      <c r="U194" t="s">
        <v>13134</v>
      </c>
      <c r="V194" t="s">
        <v>13134</v>
      </c>
      <c r="W194" t="s">
        <v>13328</v>
      </c>
      <c r="X194">
        <v>3</v>
      </c>
      <c r="Y194" t="s">
        <v>19819</v>
      </c>
      <c r="Z194" t="s">
        <v>26162</v>
      </c>
      <c r="AA194">
        <v>0.48942146603461462</v>
      </c>
      <c r="AB194" t="str">
        <f>HYPERLINK("Melting_Curves/meltCurve_B4DSD4_C9orf41.pdf", "Melting_Curves/meltCurve_B4DSD4_C9orf41.pdf")</f>
        <v>Melting_Curves/meltCurve_B4DSD4_C9orf41.pdf</v>
      </c>
    </row>
    <row r="195" spans="1:28" x14ac:dyDescent="0.25">
      <c r="A195" t="s">
        <v>199</v>
      </c>
      <c r="B195">
        <v>0.99472303558308395</v>
      </c>
      <c r="C195">
        <v>0.91209736802465202</v>
      </c>
      <c r="D195">
        <v>0.89043220446510296</v>
      </c>
      <c r="E195">
        <v>0.62573442245886701</v>
      </c>
      <c r="F195">
        <v>0.29291736820518699</v>
      </c>
      <c r="G195">
        <v>6.8676123715239595E-2</v>
      </c>
      <c r="H195">
        <v>3.07304237354242E-2</v>
      </c>
      <c r="I195">
        <v>2.2571846296067202E-2</v>
      </c>
      <c r="J195">
        <v>2.65077230944008E-2</v>
      </c>
      <c r="K195">
        <v>2.3687761281501699E-2</v>
      </c>
      <c r="L195">
        <v>925.78250596849705</v>
      </c>
      <c r="M195">
        <v>19.407271651653399</v>
      </c>
      <c r="N195">
        <v>47.730191196078401</v>
      </c>
      <c r="O195">
        <v>47.205043560865498</v>
      </c>
      <c r="P195">
        <v>-0.102217728278581</v>
      </c>
      <c r="Q195">
        <v>5.5242143187940298E-3</v>
      </c>
      <c r="R195">
        <v>0.99590521644007501</v>
      </c>
      <c r="S195" t="s">
        <v>6763</v>
      </c>
      <c r="T195" t="s">
        <v>13134</v>
      </c>
      <c r="U195" t="s">
        <v>13134</v>
      </c>
      <c r="V195" t="s">
        <v>13134</v>
      </c>
      <c r="W195" t="s">
        <v>13329</v>
      </c>
      <c r="X195">
        <v>2</v>
      </c>
      <c r="Y195" t="s">
        <v>19820</v>
      </c>
      <c r="Z195" t="s">
        <v>26163</v>
      </c>
      <c r="AA195">
        <v>0.37413655473513707</v>
      </c>
      <c r="AB195" t="str">
        <f>HYPERLINK("Melting_Curves/meltCurve_B4DSF9_AGPAT4.pdf", "Melting_Curves/meltCurve_B4DSF9_AGPAT4.pdf")</f>
        <v>Melting_Curves/meltCurve_B4DSF9_AGPAT4.pdf</v>
      </c>
    </row>
    <row r="196" spans="1:28" x14ac:dyDescent="0.25">
      <c r="A196" t="s">
        <v>200</v>
      </c>
      <c r="B196">
        <v>0.99472303558308395</v>
      </c>
      <c r="C196">
        <v>0.92747739314505495</v>
      </c>
      <c r="D196">
        <v>0.84630543172329897</v>
      </c>
      <c r="E196">
        <v>0.68518548456009098</v>
      </c>
      <c r="F196">
        <v>0.17669522239942001</v>
      </c>
      <c r="G196">
        <v>8.8979500835702899E-2</v>
      </c>
      <c r="H196">
        <v>4.2742463245983499E-2</v>
      </c>
      <c r="I196">
        <v>4.3546308636111197E-2</v>
      </c>
      <c r="J196">
        <v>3.4295775817523799E-2</v>
      </c>
      <c r="K196">
        <v>3.2058634007163397E-2</v>
      </c>
      <c r="L196">
        <v>1164.41112844195</v>
      </c>
      <c r="M196">
        <v>24.530450457132702</v>
      </c>
      <c r="N196">
        <v>47.582825952003503</v>
      </c>
      <c r="O196">
        <v>47.155903327388003</v>
      </c>
      <c r="P196">
        <v>-0.12631369876120499</v>
      </c>
      <c r="Q196">
        <v>2.8741814895099201E-2</v>
      </c>
      <c r="R196">
        <v>0.98864531611565398</v>
      </c>
      <c r="S196" t="s">
        <v>6764</v>
      </c>
      <c r="T196" t="s">
        <v>13134</v>
      </c>
      <c r="U196" t="s">
        <v>13134</v>
      </c>
      <c r="V196" t="s">
        <v>13134</v>
      </c>
      <c r="W196" t="s">
        <v>13330</v>
      </c>
      <c r="X196">
        <v>3</v>
      </c>
      <c r="Y196" t="s">
        <v>19821</v>
      </c>
      <c r="Z196" t="s">
        <v>26164</v>
      </c>
      <c r="AA196">
        <v>0.37617485919610222</v>
      </c>
      <c r="AB196" t="str">
        <f>HYPERLINK("Melting_Curves/meltCurve_B4DSS5_KIAA0513.pdf", "Melting_Curves/meltCurve_B4DSS5_KIAA0513.pdf")</f>
        <v>Melting_Curves/meltCurve_B4DSS5_KIAA0513.pdf</v>
      </c>
    </row>
    <row r="197" spans="1:28" x14ac:dyDescent="0.25">
      <c r="A197" t="s">
        <v>201</v>
      </c>
      <c r="B197">
        <v>0.99472303558308395</v>
      </c>
      <c r="C197">
        <v>1.0816196506030999</v>
      </c>
      <c r="D197">
        <v>0.941885260210925</v>
      </c>
      <c r="E197">
        <v>0.62744719972324103</v>
      </c>
      <c r="F197">
        <v>0.19871831362318401</v>
      </c>
      <c r="G197">
        <v>0.112038085195811</v>
      </c>
      <c r="H197">
        <v>6.7361929492373296E-2</v>
      </c>
      <c r="I197">
        <v>5.1797175648664297E-2</v>
      </c>
      <c r="J197">
        <v>5.8783176737035002E-2</v>
      </c>
      <c r="K197">
        <v>4.9678974343220897E-2</v>
      </c>
      <c r="L197">
        <v>1374.8702854411399</v>
      </c>
      <c r="M197">
        <v>29.0862656772908</v>
      </c>
      <c r="N197">
        <v>47.476944336273299</v>
      </c>
      <c r="O197">
        <v>47.046943214853897</v>
      </c>
      <c r="P197">
        <v>-0.145305007125406</v>
      </c>
      <c r="Q197">
        <v>5.9884895901776002E-2</v>
      </c>
      <c r="R197">
        <v>0.99522417283042197</v>
      </c>
      <c r="S197" t="s">
        <v>6765</v>
      </c>
      <c r="T197" t="s">
        <v>13134</v>
      </c>
      <c r="U197" t="s">
        <v>13134</v>
      </c>
      <c r="V197" t="s">
        <v>13134</v>
      </c>
      <c r="W197" t="s">
        <v>13331</v>
      </c>
      <c r="X197">
        <v>3</v>
      </c>
      <c r="Y197" t="s">
        <v>19822</v>
      </c>
      <c r="Z197" t="s">
        <v>26165</v>
      </c>
      <c r="AA197">
        <v>0.38752273897462308</v>
      </c>
      <c r="AB197" t="str">
        <f>HYPERLINK("Melting_Curves/meltCurve_B4DSS8_PTBP2.pdf", "Melting_Curves/meltCurve_B4DSS8_PTBP2.pdf")</f>
        <v>Melting_Curves/meltCurve_B4DSS8_PTBP2.pdf</v>
      </c>
    </row>
    <row r="198" spans="1:28" x14ac:dyDescent="0.25">
      <c r="A198" t="s">
        <v>202</v>
      </c>
      <c r="B198">
        <v>0.99472303558308395</v>
      </c>
      <c r="C198">
        <v>1.0172363645031199</v>
      </c>
      <c r="D198">
        <v>0.93818120774901503</v>
      </c>
      <c r="E198">
        <v>0.85022013332526003</v>
      </c>
      <c r="F198">
        <v>0.58015581246880499</v>
      </c>
      <c r="G198">
        <v>0.31817705840987298</v>
      </c>
      <c r="H198">
        <v>0.12289564107824399</v>
      </c>
      <c r="I198">
        <v>6.4212123401722901E-2</v>
      </c>
      <c r="J198">
        <v>4.8371631888213001E-2</v>
      </c>
      <c r="K198">
        <v>4.2560259373441697E-2</v>
      </c>
      <c r="L198">
        <v>894.43153209087905</v>
      </c>
      <c r="M198">
        <v>17.513084963730101</v>
      </c>
      <c r="N198">
        <v>51.174912864824002</v>
      </c>
      <c r="O198">
        <v>50.420240271873901</v>
      </c>
      <c r="P198">
        <v>-8.5340446454031299E-2</v>
      </c>
      <c r="Q198">
        <v>1.7272072303043898E-2</v>
      </c>
      <c r="R198">
        <v>0.99871476610448395</v>
      </c>
      <c r="S198" t="s">
        <v>6766</v>
      </c>
      <c r="T198" t="s">
        <v>13134</v>
      </c>
      <c r="U198" t="s">
        <v>13134</v>
      </c>
      <c r="V198" t="s">
        <v>13134</v>
      </c>
      <c r="W198" t="s">
        <v>13332</v>
      </c>
      <c r="X198">
        <v>5</v>
      </c>
      <c r="Y198" t="s">
        <v>19823</v>
      </c>
      <c r="Z198" t="s">
        <v>26166</v>
      </c>
      <c r="AA198">
        <v>0.49411060463283718</v>
      </c>
      <c r="AB198" t="str">
        <f>HYPERLINK("Melting_Curves/meltCurve_B4DT55_WDR41.pdf", "Melting_Curves/meltCurve_B4DT55_WDR41.pdf")</f>
        <v>Melting_Curves/meltCurve_B4DT55_WDR41.pdf</v>
      </c>
    </row>
    <row r="199" spans="1:28" x14ac:dyDescent="0.25">
      <c r="A199" t="s">
        <v>203</v>
      </c>
      <c r="B199">
        <v>0.99472303558308395</v>
      </c>
      <c r="C199">
        <v>0.96547552685570404</v>
      </c>
      <c r="D199">
        <v>1.02631234967692</v>
      </c>
      <c r="E199">
        <v>0.91481862311551099</v>
      </c>
      <c r="F199">
        <v>0.61368549312311105</v>
      </c>
      <c r="G199">
        <v>0.110098627827175</v>
      </c>
      <c r="H199">
        <v>7.0123233896467893E-2</v>
      </c>
      <c r="I199">
        <v>4.0254395652541498E-2</v>
      </c>
      <c r="J199">
        <v>4.4645139976168702E-2</v>
      </c>
      <c r="K199">
        <v>4.0289057099570598E-2</v>
      </c>
      <c r="L199">
        <v>1894.14618747849</v>
      </c>
      <c r="M199">
        <v>37.406610984812801</v>
      </c>
      <c r="N199">
        <v>50.751755415093299</v>
      </c>
      <c r="O199">
        <v>50.492615601192902</v>
      </c>
      <c r="P199">
        <v>-0.177678775556703</v>
      </c>
      <c r="Q199">
        <v>4.0657342005443999E-2</v>
      </c>
      <c r="R199">
        <v>0.99699665828466</v>
      </c>
      <c r="S199" t="s">
        <v>6767</v>
      </c>
      <c r="T199" t="s">
        <v>13134</v>
      </c>
      <c r="U199" t="s">
        <v>13134</v>
      </c>
      <c r="V199" t="s">
        <v>13134</v>
      </c>
      <c r="W199" t="s">
        <v>13333</v>
      </c>
      <c r="X199">
        <v>26</v>
      </c>
      <c r="Y199" t="s">
        <v>19824</v>
      </c>
      <c r="Z199" t="s">
        <v>26167</v>
      </c>
      <c r="AA199">
        <v>0.48056878235756539</v>
      </c>
      <c r="AB199" t="str">
        <f>HYPERLINK("Melting_Curves/meltCurve_B4DT77_ANXA7.pdf", "Melting_Curves/meltCurve_B4DT77_ANXA7.pdf")</f>
        <v>Melting_Curves/meltCurve_B4DT77_ANXA7.pdf</v>
      </c>
    </row>
    <row r="200" spans="1:28" x14ac:dyDescent="0.25">
      <c r="A200" t="s">
        <v>204</v>
      </c>
      <c r="B200">
        <v>0.99472303558308395</v>
      </c>
      <c r="C200">
        <v>0.90421735048207696</v>
      </c>
      <c r="D200">
        <v>1.02505698809662</v>
      </c>
      <c r="E200">
        <v>0.89518340014476905</v>
      </c>
      <c r="F200">
        <v>0.69763420297086098</v>
      </c>
      <c r="G200">
        <v>0.56349687094399903</v>
      </c>
      <c r="H200">
        <v>0.26531222319367898</v>
      </c>
      <c r="I200">
        <v>0.14972287646768401</v>
      </c>
      <c r="J200">
        <v>0.124068925902066</v>
      </c>
      <c r="K200">
        <v>0.145524168655324</v>
      </c>
      <c r="L200">
        <v>821.07896326156003</v>
      </c>
      <c r="M200">
        <v>15.4307268677635</v>
      </c>
      <c r="N200">
        <v>53.7343930281762</v>
      </c>
      <c r="O200">
        <v>52.340986505030202</v>
      </c>
      <c r="P200">
        <v>-6.8563193424138302E-2</v>
      </c>
      <c r="Q200">
        <v>6.9819129907100402E-2</v>
      </c>
      <c r="R200">
        <v>0.983883235449175</v>
      </c>
      <c r="S200" t="s">
        <v>6768</v>
      </c>
      <c r="T200" t="s">
        <v>13134</v>
      </c>
      <c r="U200" t="s">
        <v>13134</v>
      </c>
      <c r="V200" t="s">
        <v>13134</v>
      </c>
      <c r="W200" t="s">
        <v>13334</v>
      </c>
      <c r="X200">
        <v>4</v>
      </c>
      <c r="Y200" t="s">
        <v>19825</v>
      </c>
      <c r="Z200" t="s">
        <v>26168</v>
      </c>
      <c r="AA200">
        <v>0.58832666111533249</v>
      </c>
      <c r="AB200" t="str">
        <f>HYPERLINK("Melting_Curves/meltCurve_B4DTA3_SLC25A46.pdf", "Melting_Curves/meltCurve_B4DTA3_SLC25A46.pdf")</f>
        <v>Melting_Curves/meltCurve_B4DTA3_SLC25A46.pdf</v>
      </c>
    </row>
    <row r="201" spans="1:28" x14ac:dyDescent="0.25">
      <c r="A201" t="s">
        <v>205</v>
      </c>
      <c r="B201">
        <v>0.99472303558308395</v>
      </c>
      <c r="C201">
        <v>1.03084115396856</v>
      </c>
      <c r="D201">
        <v>0.96341769623580298</v>
      </c>
      <c r="E201">
        <v>0.773998727750001</v>
      </c>
      <c r="F201">
        <v>0.235040900511649</v>
      </c>
      <c r="G201">
        <v>0.111226752128452</v>
      </c>
      <c r="H201">
        <v>6.5601129894783394E-2</v>
      </c>
      <c r="I201">
        <v>5.0339994223951003E-2</v>
      </c>
      <c r="J201">
        <v>5.7707343344863403E-2</v>
      </c>
      <c r="K201">
        <v>4.9034099742397398E-2</v>
      </c>
      <c r="L201">
        <v>1632.16675626906</v>
      </c>
      <c r="M201">
        <v>33.9123674850049</v>
      </c>
      <c r="N201">
        <v>48.308249296590802</v>
      </c>
      <c r="O201">
        <v>47.962519481465797</v>
      </c>
      <c r="P201">
        <v>-0.166312901567579</v>
      </c>
      <c r="Q201">
        <v>5.9133352740343599E-2</v>
      </c>
      <c r="R201">
        <v>0.99859584263027901</v>
      </c>
      <c r="S201" t="s">
        <v>6769</v>
      </c>
      <c r="T201" t="s">
        <v>13134</v>
      </c>
      <c r="U201" t="s">
        <v>13134</v>
      </c>
      <c r="V201" t="s">
        <v>13134</v>
      </c>
      <c r="W201" t="s">
        <v>13335</v>
      </c>
      <c r="X201">
        <v>37</v>
      </c>
      <c r="Y201" t="s">
        <v>19826</v>
      </c>
      <c r="Z201" t="s">
        <v>26169</v>
      </c>
      <c r="AA201">
        <v>0.41252757483993502</v>
      </c>
      <c r="AB201" t="str">
        <f>HYPERLINK("Melting_Curves/meltCurve_B4DTU4_LIG1.pdf", "Melting_Curves/meltCurve_B4DTU4_LIG1.pdf")</f>
        <v>Melting_Curves/meltCurve_B4DTU4_LIG1.pdf</v>
      </c>
    </row>
    <row r="202" spans="1:28" x14ac:dyDescent="0.25">
      <c r="A202" t="s">
        <v>206</v>
      </c>
      <c r="B202">
        <v>0.99472303558308395</v>
      </c>
      <c r="C202">
        <v>1.03130045559846</v>
      </c>
      <c r="D202">
        <v>0.84707762573471801</v>
      </c>
      <c r="E202">
        <v>0.767427577365694</v>
      </c>
      <c r="F202">
        <v>0.57009435891211602</v>
      </c>
      <c r="G202">
        <v>0.29335778752306002</v>
      </c>
      <c r="H202">
        <v>0.250848527450799</v>
      </c>
      <c r="I202">
        <v>0.23173722974836</v>
      </c>
      <c r="J202">
        <v>0.299150682700625</v>
      </c>
      <c r="K202">
        <v>0.30927401056666098</v>
      </c>
      <c r="L202">
        <v>880.75328383760404</v>
      </c>
      <c r="M202">
        <v>18.173906141496499</v>
      </c>
      <c r="N202">
        <v>50.389214239033798</v>
      </c>
      <c r="O202">
        <v>47.887188932042498</v>
      </c>
      <c r="P202">
        <v>-7.1120786272062503E-2</v>
      </c>
      <c r="Q202">
        <v>0.25043899912010198</v>
      </c>
      <c r="R202">
        <v>0.97396807613452296</v>
      </c>
      <c r="S202" t="s">
        <v>6770</v>
      </c>
      <c r="T202" t="s">
        <v>13134</v>
      </c>
      <c r="U202" t="s">
        <v>13134</v>
      </c>
      <c r="V202" t="s">
        <v>13134</v>
      </c>
      <c r="W202" t="s">
        <v>13336</v>
      </c>
      <c r="X202">
        <v>2</v>
      </c>
      <c r="Y202" t="s">
        <v>19827</v>
      </c>
      <c r="Z202" t="s">
        <v>26170</v>
      </c>
      <c r="AA202">
        <v>0.54858514100275479</v>
      </c>
      <c r="AB202" t="str">
        <f>HYPERLINK("Melting_Curves/meltCurve_B4DUE9_SERINC3.pdf", "Melting_Curves/meltCurve_B4DUE9_SERINC3.pdf")</f>
        <v>Melting_Curves/meltCurve_B4DUE9_SERINC3.pdf</v>
      </c>
    </row>
    <row r="203" spans="1:28" x14ac:dyDescent="0.25">
      <c r="A203" t="s">
        <v>207</v>
      </c>
      <c r="B203">
        <v>0.99472303558308395</v>
      </c>
      <c r="C203">
        <v>0.96614114677865903</v>
      </c>
      <c r="D203">
        <v>1.01767682469601</v>
      </c>
      <c r="E203">
        <v>0.95703722011984005</v>
      </c>
      <c r="F203">
        <v>0.716762146712141</v>
      </c>
      <c r="G203">
        <v>0.65260901450437003</v>
      </c>
      <c r="H203">
        <v>0.50596763192091698</v>
      </c>
      <c r="I203">
        <v>0.66192704232551802</v>
      </c>
      <c r="J203">
        <v>0.72908827311089097</v>
      </c>
      <c r="K203">
        <v>0.218482072606446</v>
      </c>
      <c r="S203" t="s">
        <v>6771</v>
      </c>
      <c r="T203" t="s">
        <v>13134</v>
      </c>
      <c r="U203" t="s">
        <v>13135</v>
      </c>
      <c r="V203" t="s">
        <v>13134</v>
      </c>
      <c r="W203" t="s">
        <v>13170</v>
      </c>
      <c r="X203">
        <v>20</v>
      </c>
      <c r="Y203" t="s">
        <v>19661</v>
      </c>
      <c r="Z203" t="s">
        <v>26171</v>
      </c>
      <c r="AB203" t="str">
        <f>HYPERLINK("Melting_Curves/meltCurve_B4DUS9_BPNT1.pdf", "Melting_Curves/meltCurve_B4DUS9_BPNT1.pdf")</f>
        <v>Melting_Curves/meltCurve_B4DUS9_BPNT1.pdf</v>
      </c>
    </row>
    <row r="204" spans="1:28" x14ac:dyDescent="0.25">
      <c r="A204" t="s">
        <v>208</v>
      </c>
      <c r="B204">
        <v>0.99472303558308395</v>
      </c>
      <c r="C204">
        <v>0.95051174395462701</v>
      </c>
      <c r="D204">
        <v>1.0233229873748699</v>
      </c>
      <c r="E204">
        <v>0.90938892521739201</v>
      </c>
      <c r="F204">
        <v>0.33440927949716198</v>
      </c>
      <c r="G204">
        <v>0.107097626683197</v>
      </c>
      <c r="H204">
        <v>5.8377015976521403E-2</v>
      </c>
      <c r="I204">
        <v>4.3084385237520499E-2</v>
      </c>
      <c r="J204">
        <v>4.5560412424828799E-2</v>
      </c>
      <c r="K204">
        <v>3.3065875470675098E-2</v>
      </c>
      <c r="L204">
        <v>1942.93360983205</v>
      </c>
      <c r="M204">
        <v>39.517176534488499</v>
      </c>
      <c r="N204">
        <v>49.296955389916803</v>
      </c>
      <c r="O204">
        <v>49.041407117294597</v>
      </c>
      <c r="P204">
        <v>-0.191469991609278</v>
      </c>
      <c r="Q204">
        <v>4.9533545292788403E-2</v>
      </c>
      <c r="R204">
        <v>0.99767504769660298</v>
      </c>
      <c r="S204" t="s">
        <v>6772</v>
      </c>
      <c r="T204" t="s">
        <v>13134</v>
      </c>
      <c r="U204" t="s">
        <v>13134</v>
      </c>
      <c r="V204" t="s">
        <v>13134</v>
      </c>
      <c r="W204" t="s">
        <v>13333</v>
      </c>
      <c r="X204">
        <v>25</v>
      </c>
      <c r="Y204" t="s">
        <v>19828</v>
      </c>
      <c r="Z204" t="s">
        <v>26172</v>
      </c>
      <c r="AA204">
        <v>0.43831433873093673</v>
      </c>
      <c r="AB204" t="str">
        <f>HYPERLINK("Melting_Curves/meltCurve_B4DVE7_ANXA11.pdf", "Melting_Curves/meltCurve_B4DVE7_ANXA11.pdf")</f>
        <v>Melting_Curves/meltCurve_B4DVE7_ANXA11.pdf</v>
      </c>
    </row>
    <row r="205" spans="1:28" x14ac:dyDescent="0.25">
      <c r="A205" t="s">
        <v>209</v>
      </c>
      <c r="B205">
        <v>0.99472303558308395</v>
      </c>
      <c r="C205">
        <v>0.98911966212511404</v>
      </c>
      <c r="D205">
        <v>0.88680629607472305</v>
      </c>
      <c r="E205">
        <v>0.75562586360028505</v>
      </c>
      <c r="F205">
        <v>0.42952399995648899</v>
      </c>
      <c r="G205">
        <v>0.17372404095186</v>
      </c>
      <c r="H205">
        <v>7.1640237076950997E-2</v>
      </c>
      <c r="I205">
        <v>4.3696231142990802E-2</v>
      </c>
      <c r="J205">
        <v>5.7666906231652E-2</v>
      </c>
      <c r="K205">
        <v>4.6410467454237402E-2</v>
      </c>
      <c r="L205">
        <v>911.16905902279098</v>
      </c>
      <c r="M205">
        <v>18.549659503277599</v>
      </c>
      <c r="N205">
        <v>49.268768676788802</v>
      </c>
      <c r="O205">
        <v>48.560329664678498</v>
      </c>
      <c r="P205">
        <v>-9.2909949651716797E-2</v>
      </c>
      <c r="Q205">
        <v>2.7143305787868999E-2</v>
      </c>
      <c r="R205">
        <v>0.99752997492351503</v>
      </c>
      <c r="S205" t="s">
        <v>6773</v>
      </c>
      <c r="T205" t="s">
        <v>13134</v>
      </c>
      <c r="U205" t="s">
        <v>13134</v>
      </c>
      <c r="V205" t="s">
        <v>13134</v>
      </c>
      <c r="W205" t="s">
        <v>13337</v>
      </c>
      <c r="X205">
        <v>6</v>
      </c>
      <c r="Y205" t="s">
        <v>19829</v>
      </c>
      <c r="Z205" t="s">
        <v>26173</v>
      </c>
      <c r="AA205">
        <v>0.43485915946883458</v>
      </c>
      <c r="AB205" t="str">
        <f>HYPERLINK("Melting_Curves/meltCurve_B4DVT3_VWA9.pdf", "Melting_Curves/meltCurve_B4DVT3_VWA9.pdf")</f>
        <v>Melting_Curves/meltCurve_B4DVT3_VWA9.pdf</v>
      </c>
    </row>
    <row r="206" spans="1:28" x14ac:dyDescent="0.25">
      <c r="A206" t="s">
        <v>210</v>
      </c>
      <c r="B206">
        <v>0.99472303558308395</v>
      </c>
      <c r="C206">
        <v>0.81952335896837403</v>
      </c>
      <c r="D206">
        <v>0.682629324616431</v>
      </c>
      <c r="E206">
        <v>0.41557111550614501</v>
      </c>
      <c r="F206">
        <v>0.108170159347237</v>
      </c>
      <c r="G206">
        <v>5.6863562645682202E-2</v>
      </c>
      <c r="H206">
        <v>3.1981075466866002E-2</v>
      </c>
      <c r="I206">
        <v>2.25022802334825E-2</v>
      </c>
      <c r="J206">
        <v>2.50450709711172E-2</v>
      </c>
      <c r="K206">
        <v>2.55785844391072E-2</v>
      </c>
      <c r="L206">
        <v>704.25621115367403</v>
      </c>
      <c r="M206">
        <v>15.667347003803499</v>
      </c>
      <c r="N206">
        <v>44.963146250222998</v>
      </c>
      <c r="O206">
        <v>44.237367022025602</v>
      </c>
      <c r="P206">
        <v>-8.8355338566194999E-2</v>
      </c>
      <c r="Q206">
        <v>2.1859197631717599E-3</v>
      </c>
      <c r="R206">
        <v>0.99166606438195104</v>
      </c>
      <c r="S206" t="s">
        <v>6774</v>
      </c>
      <c r="T206" t="s">
        <v>13134</v>
      </c>
      <c r="U206" t="s">
        <v>13134</v>
      </c>
      <c r="V206" t="s">
        <v>13134</v>
      </c>
      <c r="W206" t="s">
        <v>13338</v>
      </c>
      <c r="X206">
        <v>22</v>
      </c>
      <c r="Y206" t="s">
        <v>19830</v>
      </c>
      <c r="Z206" t="s">
        <v>26174</v>
      </c>
      <c r="AA206">
        <v>0.28841004653869923</v>
      </c>
      <c r="AB206" t="str">
        <f>HYPERLINK("Melting_Curves/meltCurve_B4DVY1_EIF3D.pdf", "Melting_Curves/meltCurve_B4DVY1_EIF3D.pdf")</f>
        <v>Melting_Curves/meltCurve_B4DVY1_EIF3D.pdf</v>
      </c>
    </row>
    <row r="207" spans="1:28" x14ac:dyDescent="0.25">
      <c r="A207" t="s">
        <v>211</v>
      </c>
      <c r="B207">
        <v>0.99472303558308395</v>
      </c>
      <c r="C207">
        <v>0.97209378300246096</v>
      </c>
      <c r="D207">
        <v>0.76322738219703601</v>
      </c>
      <c r="E207">
        <v>0.47540358741432498</v>
      </c>
      <c r="F207">
        <v>0.240857527270852</v>
      </c>
      <c r="G207">
        <v>0.118442489696582</v>
      </c>
      <c r="H207">
        <v>7.3850233491431397E-2</v>
      </c>
      <c r="I207">
        <v>8.48469822294904E-2</v>
      </c>
      <c r="J207">
        <v>0.103287451880629</v>
      </c>
      <c r="K207">
        <v>0.14002031161169501</v>
      </c>
      <c r="L207">
        <v>875.86326232767101</v>
      </c>
      <c r="M207">
        <v>19.171210193194899</v>
      </c>
      <c r="N207">
        <v>46.173086117997101</v>
      </c>
      <c r="O207">
        <v>45.198008627087198</v>
      </c>
      <c r="P207">
        <v>-9.6342736631559595E-2</v>
      </c>
      <c r="Q207">
        <v>9.1485335820354702E-2</v>
      </c>
      <c r="R207">
        <v>0.99549516360610601</v>
      </c>
      <c r="S207" t="s">
        <v>6775</v>
      </c>
      <c r="T207" t="s">
        <v>13134</v>
      </c>
      <c r="U207" t="s">
        <v>13134</v>
      </c>
      <c r="V207" t="s">
        <v>13134</v>
      </c>
      <c r="W207" t="s">
        <v>13339</v>
      </c>
      <c r="X207">
        <v>2</v>
      </c>
      <c r="Y207" t="s">
        <v>19831</v>
      </c>
      <c r="Z207" t="s">
        <v>26175</v>
      </c>
      <c r="AA207">
        <v>0.36750301862444329</v>
      </c>
      <c r="AB207" t="str">
        <f>HYPERLINK("Melting_Curves/meltCurve_B4DVZ6_FOXO3.pdf", "Melting_Curves/meltCurve_B4DVZ6_FOXO3.pdf")</f>
        <v>Melting_Curves/meltCurve_B4DVZ6_FOXO3.pdf</v>
      </c>
    </row>
    <row r="208" spans="1:28" x14ac:dyDescent="0.25">
      <c r="A208" t="s">
        <v>212</v>
      </c>
      <c r="B208">
        <v>0.99472303558308395</v>
      </c>
      <c r="C208">
        <v>0.94601502688338102</v>
      </c>
      <c r="D208">
        <v>0.74755903777337396</v>
      </c>
      <c r="E208">
        <v>0.67570728770275001</v>
      </c>
      <c r="F208">
        <v>0.60870820961216698</v>
      </c>
      <c r="G208">
        <v>0.30213157237683202</v>
      </c>
      <c r="H208">
        <v>0.19019242431262801</v>
      </c>
      <c r="I208">
        <v>0.104998987266421</v>
      </c>
      <c r="J208">
        <v>0.109320936584547</v>
      </c>
      <c r="K208">
        <v>8.1810237653639303E-2</v>
      </c>
      <c r="L208">
        <v>502.57341243413401</v>
      </c>
      <c r="M208">
        <v>10.024319083682601</v>
      </c>
      <c r="N208">
        <v>50.135414241983497</v>
      </c>
      <c r="O208">
        <v>48.262780771386197</v>
      </c>
      <c r="P208">
        <v>-5.19507639472431E-2</v>
      </c>
      <c r="Q208">
        <v>0</v>
      </c>
      <c r="R208">
        <v>0.97792156394289798</v>
      </c>
      <c r="S208" t="s">
        <v>6776</v>
      </c>
      <c r="T208" t="s">
        <v>13134</v>
      </c>
      <c r="U208" t="s">
        <v>13134</v>
      </c>
      <c r="V208" t="s">
        <v>13134</v>
      </c>
      <c r="W208" t="s">
        <v>13340</v>
      </c>
      <c r="X208">
        <v>14</v>
      </c>
      <c r="Y208" t="s">
        <v>19832</v>
      </c>
      <c r="Z208" t="s">
        <v>26176</v>
      </c>
      <c r="AA208">
        <v>0.47125815448333169</v>
      </c>
      <c r="AB208" t="str">
        <f>HYPERLINK("Melting_Curves/meltCurve_B4DWI1_HACL1.pdf", "Melting_Curves/meltCurve_B4DWI1_HACL1.pdf")</f>
        <v>Melting_Curves/meltCurve_B4DWI1_HACL1.pdf</v>
      </c>
    </row>
    <row r="209" spans="1:28" x14ac:dyDescent="0.25">
      <c r="A209" t="s">
        <v>213</v>
      </c>
      <c r="B209">
        <v>0.99472303558308395</v>
      </c>
      <c r="C209">
        <v>0.77168478971325405</v>
      </c>
      <c r="D209">
        <v>0.48916347254345399</v>
      </c>
      <c r="E209">
        <v>0.23966588061966099</v>
      </c>
      <c r="F209">
        <v>0.121798921339271</v>
      </c>
      <c r="G209">
        <v>1.7124767560129799E-2</v>
      </c>
      <c r="H209">
        <v>1.9740242039353099E-2</v>
      </c>
      <c r="I209">
        <v>1.45874103900707E-2</v>
      </c>
      <c r="J209">
        <v>0</v>
      </c>
      <c r="K209">
        <v>0</v>
      </c>
      <c r="L209">
        <v>704.77646316834</v>
      </c>
      <c r="M209">
        <v>16.360532136751399</v>
      </c>
      <c r="N209">
        <v>43.090173197520798</v>
      </c>
      <c r="O209">
        <v>42.449680027101103</v>
      </c>
      <c r="P209">
        <v>-9.6134433883052095E-2</v>
      </c>
      <c r="Q209">
        <v>2.3349780515483998E-3</v>
      </c>
      <c r="R209">
        <v>0.99521946819629503</v>
      </c>
      <c r="S209" t="s">
        <v>6777</v>
      </c>
      <c r="T209" t="s">
        <v>13134</v>
      </c>
      <c r="U209" t="s">
        <v>13134</v>
      </c>
      <c r="V209" t="s">
        <v>13134</v>
      </c>
      <c r="W209" t="s">
        <v>13341</v>
      </c>
      <c r="X209">
        <v>1</v>
      </c>
      <c r="Y209" t="s">
        <v>19833</v>
      </c>
      <c r="Z209" t="s">
        <v>26177</v>
      </c>
      <c r="AA209">
        <v>0.2261825608887871</v>
      </c>
      <c r="AB209" t="str">
        <f>HYPERLINK("Melting_Curves/meltCurve_B4DXK0_DBF4.pdf", "Melting_Curves/meltCurve_B4DXK0_DBF4.pdf")</f>
        <v>Melting_Curves/meltCurve_B4DXK0_DBF4.pdf</v>
      </c>
    </row>
    <row r="210" spans="1:28" x14ac:dyDescent="0.25">
      <c r="A210" t="s">
        <v>214</v>
      </c>
      <c r="B210">
        <v>0.99472303558308395</v>
      </c>
      <c r="C210">
        <v>0.88421948625477997</v>
      </c>
      <c r="D210">
        <v>0.89031554477571895</v>
      </c>
      <c r="E210">
        <v>0.38533220708308602</v>
      </c>
      <c r="F210">
        <v>0.133517642165256</v>
      </c>
      <c r="G210">
        <v>8.4450932305867393E-2</v>
      </c>
      <c r="H210">
        <v>4.4571147887480803E-2</v>
      </c>
      <c r="I210">
        <v>4.0209182597512903E-2</v>
      </c>
      <c r="J210">
        <v>3.9336861053254499E-2</v>
      </c>
      <c r="K210">
        <v>3.3691405049319702E-2</v>
      </c>
      <c r="L210">
        <v>1229.2663449632601</v>
      </c>
      <c r="M210">
        <v>26.8871509501624</v>
      </c>
      <c r="N210">
        <v>45.877595107892802</v>
      </c>
      <c r="O210">
        <v>45.468809765763297</v>
      </c>
      <c r="P210">
        <v>-0.14129236506625101</v>
      </c>
      <c r="Q210">
        <v>4.4252647065341801E-2</v>
      </c>
      <c r="R210">
        <v>0.99194580996876303</v>
      </c>
      <c r="S210" t="s">
        <v>6778</v>
      </c>
      <c r="T210" t="s">
        <v>13134</v>
      </c>
      <c r="U210" t="s">
        <v>13134</v>
      </c>
      <c r="V210" t="s">
        <v>13134</v>
      </c>
      <c r="W210" t="s">
        <v>13342</v>
      </c>
      <c r="X210">
        <v>20</v>
      </c>
      <c r="Y210" t="s">
        <v>19834</v>
      </c>
      <c r="Z210" t="s">
        <v>26178</v>
      </c>
      <c r="AA210">
        <v>0.32883437838323598</v>
      </c>
      <c r="AB210" t="str">
        <f>HYPERLINK("Melting_Curves/meltCurve_B4DXZ6_FXR1.pdf", "Melting_Curves/meltCurve_B4DXZ6_FXR1.pdf")</f>
        <v>Melting_Curves/meltCurve_B4DXZ6_FXR1.pdf</v>
      </c>
    </row>
    <row r="211" spans="1:28" x14ac:dyDescent="0.25">
      <c r="A211" t="s">
        <v>215</v>
      </c>
      <c r="B211">
        <v>0.99472303558308395</v>
      </c>
      <c r="C211">
        <v>1.05442339275886</v>
      </c>
      <c r="D211">
        <v>0.65866477363519604</v>
      </c>
      <c r="E211">
        <v>0.39736376145643199</v>
      </c>
      <c r="F211">
        <v>0.29865382003016999</v>
      </c>
      <c r="G211">
        <v>0.19097824111377701</v>
      </c>
      <c r="H211">
        <v>0.115723395777311</v>
      </c>
      <c r="I211">
        <v>9.6826329628236896E-2</v>
      </c>
      <c r="J211">
        <v>0.115626281755473</v>
      </c>
      <c r="K211">
        <v>7.5960047953159707E-2</v>
      </c>
      <c r="L211">
        <v>809.33332249916202</v>
      </c>
      <c r="M211">
        <v>17.9873591285087</v>
      </c>
      <c r="N211">
        <v>45.627236974591298</v>
      </c>
      <c r="O211">
        <v>44.4494879716827</v>
      </c>
      <c r="P211">
        <v>-9.0005711681967901E-2</v>
      </c>
      <c r="Q211">
        <v>0.110373050643574</v>
      </c>
      <c r="R211">
        <v>0.97432145234077305</v>
      </c>
      <c r="S211" t="s">
        <v>6779</v>
      </c>
      <c r="T211" t="s">
        <v>13134</v>
      </c>
      <c r="U211" t="s">
        <v>13134</v>
      </c>
      <c r="V211" t="s">
        <v>13134</v>
      </c>
      <c r="W211" t="s">
        <v>13343</v>
      </c>
      <c r="X211">
        <v>4</v>
      </c>
      <c r="Y211" t="s">
        <v>19835</v>
      </c>
      <c r="Z211" t="s">
        <v>26179</v>
      </c>
      <c r="AA211">
        <v>0.36204815114877392</v>
      </c>
      <c r="AB211" t="str">
        <f>HYPERLINK("Melting_Curves/meltCurve_B4DY13_GTPBP4.pdf", "Melting_Curves/meltCurve_B4DY13_GTPBP4.pdf")</f>
        <v>Melting_Curves/meltCurve_B4DY13_GTPBP4.pdf</v>
      </c>
    </row>
    <row r="212" spans="1:28" x14ac:dyDescent="0.25">
      <c r="A212" t="s">
        <v>216</v>
      </c>
      <c r="B212">
        <v>0.99472303558308395</v>
      </c>
      <c r="C212">
        <v>0.94058142953476898</v>
      </c>
      <c r="D212">
        <v>0.79843844670945296</v>
      </c>
      <c r="E212">
        <v>0.70306218797168496</v>
      </c>
      <c r="F212">
        <v>0.52888153763879397</v>
      </c>
      <c r="G212">
        <v>0.19828674524659801</v>
      </c>
      <c r="H212">
        <v>0.124350697625096</v>
      </c>
      <c r="I212">
        <v>0.109150089482502</v>
      </c>
      <c r="J212">
        <v>0.117746021236005</v>
      </c>
      <c r="K212">
        <v>0.10945630765167599</v>
      </c>
      <c r="L212">
        <v>650.08936539841295</v>
      </c>
      <c r="M212">
        <v>13.284666165470499</v>
      </c>
      <c r="N212">
        <v>49.343753947801197</v>
      </c>
      <c r="O212">
        <v>47.866346485499903</v>
      </c>
      <c r="P212">
        <v>-6.5782301223767395E-2</v>
      </c>
      <c r="Q212">
        <v>5.2065832251297801E-2</v>
      </c>
      <c r="R212">
        <v>0.98253259137066096</v>
      </c>
      <c r="S212" t="s">
        <v>6780</v>
      </c>
      <c r="T212" t="s">
        <v>13134</v>
      </c>
      <c r="U212" t="s">
        <v>13134</v>
      </c>
      <c r="V212" t="s">
        <v>13134</v>
      </c>
      <c r="W212" t="s">
        <v>13344</v>
      </c>
      <c r="X212">
        <v>4</v>
      </c>
      <c r="Y212" t="s">
        <v>19836</v>
      </c>
      <c r="Z212" t="s">
        <v>26180</v>
      </c>
      <c r="AA212">
        <v>0.45374001793160668</v>
      </c>
      <c r="AB212" t="str">
        <f>HYPERLINK("Melting_Curves/meltCurve_B4DY26_TGFBR1.pdf", "Melting_Curves/meltCurve_B4DY26_TGFBR1.pdf")</f>
        <v>Melting_Curves/meltCurve_B4DY26_TGFBR1.pdf</v>
      </c>
    </row>
    <row r="213" spans="1:28" x14ac:dyDescent="0.25">
      <c r="A213" t="s">
        <v>217</v>
      </c>
      <c r="B213">
        <v>0.99472303558308395</v>
      </c>
      <c r="C213">
        <v>0.94836703994550398</v>
      </c>
      <c r="D213">
        <v>0.894017824369707</v>
      </c>
      <c r="E213">
        <v>0.67252946661632096</v>
      </c>
      <c r="F213">
        <v>0.94453955096000597</v>
      </c>
      <c r="G213">
        <v>0.74610599846602399</v>
      </c>
      <c r="H213">
        <v>0.21141977805142401</v>
      </c>
      <c r="I213">
        <v>0.131248025771146</v>
      </c>
      <c r="J213">
        <v>0.155088478086817</v>
      </c>
      <c r="K213">
        <v>0.107675158514625</v>
      </c>
      <c r="L213">
        <v>2527.6392662613698</v>
      </c>
      <c r="M213">
        <v>46.132945276216098</v>
      </c>
      <c r="N213">
        <v>55.1368995474187</v>
      </c>
      <c r="O213">
        <v>54.687693639375397</v>
      </c>
      <c r="P213">
        <v>-0.18435038912437501</v>
      </c>
      <c r="Q213">
        <v>0.12585836372574299</v>
      </c>
      <c r="R213">
        <v>0.90569751138395704</v>
      </c>
      <c r="S213" t="s">
        <v>6781</v>
      </c>
      <c r="T213" t="s">
        <v>13134</v>
      </c>
      <c r="U213" t="s">
        <v>13134</v>
      </c>
      <c r="V213" t="s">
        <v>13134</v>
      </c>
      <c r="W213" t="s">
        <v>13345</v>
      </c>
      <c r="X213">
        <v>5</v>
      </c>
      <c r="Y213" t="s">
        <v>19837</v>
      </c>
      <c r="Z213" t="s">
        <v>26181</v>
      </c>
      <c r="AA213">
        <v>0.64670585397293101</v>
      </c>
      <c r="AB213" t="str">
        <f>HYPERLINK("Melting_Curves/meltCurve_B4DYB4_NUP35.pdf", "Melting_Curves/meltCurve_B4DYB4_NUP35.pdf")</f>
        <v>Melting_Curves/meltCurve_B4DYB4_NUP35.pdf</v>
      </c>
    </row>
    <row r="214" spans="1:28" x14ac:dyDescent="0.25">
      <c r="A214" t="s">
        <v>218</v>
      </c>
      <c r="B214">
        <v>0.99472303558308395</v>
      </c>
      <c r="C214">
        <v>1.00058400194151</v>
      </c>
      <c r="D214">
        <v>0.90117869587254595</v>
      </c>
      <c r="E214">
        <v>0.85981472015442795</v>
      </c>
      <c r="F214">
        <v>0.69294973592075004</v>
      </c>
      <c r="G214">
        <v>0.35600792271588899</v>
      </c>
      <c r="H214">
        <v>0.133095532436527</v>
      </c>
      <c r="I214">
        <v>8.6779873178882694E-2</v>
      </c>
      <c r="J214">
        <v>6.7632157434962106E-2</v>
      </c>
      <c r="K214">
        <v>5.6728711015270598E-2</v>
      </c>
      <c r="L214">
        <v>936.550394752074</v>
      </c>
      <c r="M214">
        <v>18.06788068338</v>
      </c>
      <c r="N214">
        <v>51.993371518129599</v>
      </c>
      <c r="O214">
        <v>51.212629591410703</v>
      </c>
      <c r="P214">
        <v>-8.5844470032090794E-2</v>
      </c>
      <c r="Q214">
        <v>2.6757444758037902E-2</v>
      </c>
      <c r="R214">
        <v>0.99355233490832995</v>
      </c>
      <c r="S214" t="s">
        <v>6782</v>
      </c>
      <c r="T214" t="s">
        <v>13134</v>
      </c>
      <c r="U214" t="s">
        <v>13134</v>
      </c>
      <c r="V214" t="s">
        <v>13134</v>
      </c>
      <c r="W214" t="s">
        <v>13346</v>
      </c>
      <c r="X214">
        <v>4</v>
      </c>
      <c r="Y214" t="s">
        <v>19838</v>
      </c>
      <c r="Z214" t="s">
        <v>26182</v>
      </c>
      <c r="AA214">
        <v>0.52273842961239803</v>
      </c>
      <c r="AB214" t="str">
        <f>HYPERLINK("Melting_Curves/meltCurve_B4DZG7_ARL1.pdf", "Melting_Curves/meltCurve_B4DZG7_ARL1.pdf")</f>
        <v>Melting_Curves/meltCurve_B4DZG7_ARL1.pdf</v>
      </c>
    </row>
    <row r="215" spans="1:28" x14ac:dyDescent="0.25">
      <c r="A215" t="s">
        <v>219</v>
      </c>
      <c r="B215">
        <v>0.99472303558308395</v>
      </c>
      <c r="C215">
        <v>0.94653516892058798</v>
      </c>
      <c r="D215">
        <v>0.953519682775538</v>
      </c>
      <c r="E215">
        <v>0.75767286050221405</v>
      </c>
      <c r="F215">
        <v>0.447703731035904</v>
      </c>
      <c r="G215">
        <v>0.25337949724328501</v>
      </c>
      <c r="H215">
        <v>0.11506366746561</v>
      </c>
      <c r="I215">
        <v>6.1382897618742202E-2</v>
      </c>
      <c r="J215">
        <v>8.1133491262850299E-2</v>
      </c>
      <c r="K215">
        <v>5.8598816531466598E-2</v>
      </c>
      <c r="L215">
        <v>865.28013157052703</v>
      </c>
      <c r="M215">
        <v>17.5051185048981</v>
      </c>
      <c r="N215">
        <v>49.715312930076799</v>
      </c>
      <c r="O215">
        <v>48.798576085560498</v>
      </c>
      <c r="P215">
        <v>-8.5401112038627103E-2</v>
      </c>
      <c r="Q215">
        <v>4.7770359664548602E-2</v>
      </c>
      <c r="R215">
        <v>0.99783368739737999</v>
      </c>
      <c r="S215" t="s">
        <v>6783</v>
      </c>
      <c r="T215" t="s">
        <v>13134</v>
      </c>
      <c r="U215" t="s">
        <v>13134</v>
      </c>
      <c r="V215" t="s">
        <v>13134</v>
      </c>
      <c r="W215" t="s">
        <v>13347</v>
      </c>
      <c r="X215">
        <v>8</v>
      </c>
      <c r="Y215" t="s">
        <v>19839</v>
      </c>
      <c r="Z215" t="s">
        <v>26183</v>
      </c>
      <c r="AA215">
        <v>0.45813262337869581</v>
      </c>
      <c r="AB215" t="str">
        <f>HYPERLINK("Melting_Curves/meltCurve_B4DZH6_HDAC6.pdf", "Melting_Curves/meltCurve_B4DZH6_HDAC6.pdf")</f>
        <v>Melting_Curves/meltCurve_B4DZH6_HDAC6.pdf</v>
      </c>
    </row>
    <row r="216" spans="1:28" x14ac:dyDescent="0.25">
      <c r="A216" t="s">
        <v>220</v>
      </c>
      <c r="B216">
        <v>0.99472303558308395</v>
      </c>
      <c r="C216">
        <v>0.82843602101222003</v>
      </c>
      <c r="D216">
        <v>0.88350920780293696</v>
      </c>
      <c r="E216">
        <v>0.58326024219563399</v>
      </c>
      <c r="F216">
        <v>0.43010685549452099</v>
      </c>
      <c r="G216">
        <v>0.39771691508971302</v>
      </c>
      <c r="H216">
        <v>0.12671174635771301</v>
      </c>
      <c r="I216">
        <v>0.27093933631436601</v>
      </c>
      <c r="J216">
        <v>0.36979243493015501</v>
      </c>
      <c r="K216">
        <v>0.34569335858067302</v>
      </c>
      <c r="L216">
        <v>742.05881359736702</v>
      </c>
      <c r="M216">
        <v>16.167212216546599</v>
      </c>
      <c r="N216">
        <v>48.363784480117999</v>
      </c>
      <c r="O216">
        <v>45.213985113587597</v>
      </c>
      <c r="P216">
        <v>-6.4309498055394099E-2</v>
      </c>
      <c r="Q216">
        <v>0.28065026580170599</v>
      </c>
      <c r="R216">
        <v>0.91442028609748904</v>
      </c>
      <c r="S216" t="s">
        <v>6784</v>
      </c>
      <c r="T216" t="s">
        <v>13134</v>
      </c>
      <c r="U216" t="s">
        <v>13134</v>
      </c>
      <c r="V216" t="s">
        <v>13134</v>
      </c>
      <c r="W216" t="s">
        <v>13348</v>
      </c>
      <c r="X216">
        <v>2</v>
      </c>
      <c r="Y216" t="s">
        <v>19840</v>
      </c>
      <c r="Z216" t="s">
        <v>26184</v>
      </c>
      <c r="AA216">
        <v>0.50842854927705627</v>
      </c>
      <c r="AB216" t="str">
        <f>HYPERLINK("Melting_Curves/meltCurve_B4E0E3_TMEM134.pdf", "Melting_Curves/meltCurve_B4E0E3_TMEM134.pdf")</f>
        <v>Melting_Curves/meltCurve_B4E0E3_TMEM134.pdf</v>
      </c>
    </row>
    <row r="217" spans="1:28" x14ac:dyDescent="0.25">
      <c r="A217" t="s">
        <v>221</v>
      </c>
      <c r="B217">
        <v>0.99472303558308395</v>
      </c>
      <c r="C217">
        <v>0.92108051495194998</v>
      </c>
      <c r="D217">
        <v>0.57955673287285903</v>
      </c>
      <c r="E217">
        <v>0.335560251789635</v>
      </c>
      <c r="F217">
        <v>0.26560211396281003</v>
      </c>
      <c r="G217">
        <v>0.175267007332645</v>
      </c>
      <c r="H217">
        <v>0.130215508308727</v>
      </c>
      <c r="I217">
        <v>8.9522447077841405E-2</v>
      </c>
      <c r="J217">
        <v>7.0762639321143905E-2</v>
      </c>
      <c r="K217">
        <v>7.37509383796838E-2</v>
      </c>
      <c r="L217">
        <v>723.02028676773796</v>
      </c>
      <c r="M217">
        <v>16.430525730794798</v>
      </c>
      <c r="N217">
        <v>44.594512150878302</v>
      </c>
      <c r="O217">
        <v>43.3683325446598</v>
      </c>
      <c r="P217">
        <v>-8.5471040742391494E-2</v>
      </c>
      <c r="Q217">
        <v>9.7661196251689605E-2</v>
      </c>
      <c r="R217">
        <v>0.98572894086399299</v>
      </c>
      <c r="S217" t="s">
        <v>6785</v>
      </c>
      <c r="T217" t="s">
        <v>13134</v>
      </c>
      <c r="U217" t="s">
        <v>13134</v>
      </c>
      <c r="V217" t="s">
        <v>13134</v>
      </c>
      <c r="W217" t="s">
        <v>13349</v>
      </c>
      <c r="X217">
        <v>7</v>
      </c>
      <c r="Y217" t="s">
        <v>19841</v>
      </c>
      <c r="Z217" t="s">
        <v>26185</v>
      </c>
      <c r="AA217">
        <v>0.32684400231117999</v>
      </c>
      <c r="AB217" t="str">
        <f>HYPERLINK("Melting_Curves/meltCurve_B4E0T2_PEX5.pdf", "Melting_Curves/meltCurve_B4E0T2_PEX5.pdf")</f>
        <v>Melting_Curves/meltCurve_B4E0T2_PEX5.pdf</v>
      </c>
    </row>
    <row r="218" spans="1:28" x14ac:dyDescent="0.25">
      <c r="A218" t="s">
        <v>222</v>
      </c>
      <c r="B218">
        <v>0.99472303558308395</v>
      </c>
      <c r="C218">
        <v>0.82060767691572001</v>
      </c>
      <c r="D218">
        <v>0.659643031462672</v>
      </c>
      <c r="E218">
        <v>0.32129999781783303</v>
      </c>
      <c r="F218">
        <v>0.19504473164560701</v>
      </c>
      <c r="G218">
        <v>9.8010147843515305E-2</v>
      </c>
      <c r="H218">
        <v>5.9605459428062897E-2</v>
      </c>
      <c r="I218">
        <v>5.5765530848653801E-2</v>
      </c>
      <c r="J218">
        <v>6.0556685843559298E-2</v>
      </c>
      <c r="K218">
        <v>4.6971630964326397E-2</v>
      </c>
      <c r="L218">
        <v>698.49699281714004</v>
      </c>
      <c r="M218">
        <v>15.7699442586985</v>
      </c>
      <c r="N218">
        <v>44.558444069530402</v>
      </c>
      <c r="O218">
        <v>43.5990249868237</v>
      </c>
      <c r="P218">
        <v>-8.6378017360195E-2</v>
      </c>
      <c r="Q218">
        <v>4.4844874613682299E-2</v>
      </c>
      <c r="R218">
        <v>0.99616704628083097</v>
      </c>
      <c r="S218" t="s">
        <v>6786</v>
      </c>
      <c r="T218" t="s">
        <v>13134</v>
      </c>
      <c r="U218" t="s">
        <v>13134</v>
      </c>
      <c r="V218" t="s">
        <v>13134</v>
      </c>
      <c r="W218" t="s">
        <v>13350</v>
      </c>
      <c r="X218">
        <v>6</v>
      </c>
      <c r="Y218" t="s">
        <v>19842</v>
      </c>
      <c r="Z218" t="s">
        <v>26186</v>
      </c>
      <c r="AA218">
        <v>0.2981255024903649</v>
      </c>
      <c r="AB218" t="str">
        <f>HYPERLINK("Melting_Curves/meltCurve_B4E0T7_LRCH3.pdf", "Melting_Curves/meltCurve_B4E0T7_LRCH3.pdf")</f>
        <v>Melting_Curves/meltCurve_B4E0T7_LRCH3.pdf</v>
      </c>
    </row>
    <row r="219" spans="1:28" x14ac:dyDescent="0.25">
      <c r="A219" t="s">
        <v>223</v>
      </c>
      <c r="B219">
        <v>0.99472303558308395</v>
      </c>
      <c r="C219">
        <v>1.0571984956511</v>
      </c>
      <c r="D219">
        <v>0.96173879884587399</v>
      </c>
      <c r="E219">
        <v>0.86631808028456403</v>
      </c>
      <c r="F219">
        <v>0.51941874543300204</v>
      </c>
      <c r="G219">
        <v>0.34062269503332598</v>
      </c>
      <c r="H219">
        <v>0.12030015343624</v>
      </c>
      <c r="I219">
        <v>9.4078634935595498E-2</v>
      </c>
      <c r="J219">
        <v>8.4907618266390095E-2</v>
      </c>
      <c r="K219">
        <v>6.2248199534073102E-2</v>
      </c>
      <c r="L219">
        <v>949.54382513714904</v>
      </c>
      <c r="M219">
        <v>18.773690758974698</v>
      </c>
      <c r="N219">
        <v>50.913635147086403</v>
      </c>
      <c r="O219">
        <v>50.015052717681897</v>
      </c>
      <c r="P219">
        <v>-8.8388676850177497E-2</v>
      </c>
      <c r="Q219">
        <v>5.8133339088135901E-2</v>
      </c>
      <c r="R219">
        <v>0.993688307686589</v>
      </c>
      <c r="S219" t="s">
        <v>6787</v>
      </c>
      <c r="T219" t="s">
        <v>13134</v>
      </c>
      <c r="U219" t="s">
        <v>13134</v>
      </c>
      <c r="V219" t="s">
        <v>13134</v>
      </c>
      <c r="W219" t="s">
        <v>13351</v>
      </c>
      <c r="X219">
        <v>7</v>
      </c>
      <c r="Y219" t="s">
        <v>19843</v>
      </c>
      <c r="Z219" t="s">
        <v>26187</v>
      </c>
      <c r="AA219">
        <v>0.49818738333873058</v>
      </c>
      <c r="AB219" t="str">
        <f>HYPERLINK("Melting_Curves/meltCurve_B4E0V0_PNPO.pdf", "Melting_Curves/meltCurve_B4E0V0_PNPO.pdf")</f>
        <v>Melting_Curves/meltCurve_B4E0V0_PNPO.pdf</v>
      </c>
    </row>
    <row r="220" spans="1:28" x14ac:dyDescent="0.25">
      <c r="A220" t="s">
        <v>224</v>
      </c>
      <c r="B220">
        <v>0.99472303558308395</v>
      </c>
      <c r="C220">
        <v>1.0803868344629299</v>
      </c>
      <c r="D220">
        <v>0.84448061523935103</v>
      </c>
      <c r="E220">
        <v>0.808971873127182</v>
      </c>
      <c r="F220">
        <v>0.57164002791507595</v>
      </c>
      <c r="G220">
        <v>0.23562045521091901</v>
      </c>
      <c r="H220">
        <v>0.154091360559895</v>
      </c>
      <c r="I220">
        <v>0.12796633479212699</v>
      </c>
      <c r="J220">
        <v>0.12809113977322401</v>
      </c>
      <c r="K220">
        <v>0.113512649163918</v>
      </c>
      <c r="L220">
        <v>910.73530174561699</v>
      </c>
      <c r="M220">
        <v>18.254583169129699</v>
      </c>
      <c r="N220">
        <v>50.468493489023899</v>
      </c>
      <c r="O220">
        <v>49.303614642954201</v>
      </c>
      <c r="P220">
        <v>-8.3838611501098503E-2</v>
      </c>
      <c r="Q220">
        <v>9.4286989662949697E-2</v>
      </c>
      <c r="R220">
        <v>0.98190633456741105</v>
      </c>
      <c r="S220" t="s">
        <v>6788</v>
      </c>
      <c r="T220" t="s">
        <v>13134</v>
      </c>
      <c r="U220" t="s">
        <v>13134</v>
      </c>
      <c r="V220" t="s">
        <v>13134</v>
      </c>
      <c r="W220" t="s">
        <v>13352</v>
      </c>
      <c r="X220">
        <v>6</v>
      </c>
      <c r="Y220" t="s">
        <v>19844</v>
      </c>
      <c r="Z220" t="s">
        <v>26188</v>
      </c>
      <c r="AA220">
        <v>0.49742154550811363</v>
      </c>
      <c r="AB220" t="str">
        <f>HYPERLINK("Melting_Curves/meltCurve_B4E107_ATE1.pdf", "Melting_Curves/meltCurve_B4E107_ATE1.pdf")</f>
        <v>Melting_Curves/meltCurve_B4E107_ATE1.pdf</v>
      </c>
    </row>
    <row r="221" spans="1:28" x14ac:dyDescent="0.25">
      <c r="A221" t="s">
        <v>225</v>
      </c>
      <c r="B221">
        <v>0.99472303558308395</v>
      </c>
      <c r="C221">
        <v>0.91772820085309004</v>
      </c>
      <c r="D221">
        <v>0.87605390850038101</v>
      </c>
      <c r="E221">
        <v>0.71595976233565894</v>
      </c>
      <c r="F221">
        <v>0.69912281459828796</v>
      </c>
      <c r="G221">
        <v>0.41071742443847797</v>
      </c>
      <c r="H221">
        <v>0.33102815538080599</v>
      </c>
      <c r="I221">
        <v>0.22325460929597801</v>
      </c>
      <c r="J221">
        <v>0.29748665207297198</v>
      </c>
      <c r="K221">
        <v>0.25152286410075703</v>
      </c>
      <c r="L221">
        <v>533.376835363331</v>
      </c>
      <c r="M221">
        <v>10.582749187820101</v>
      </c>
      <c r="N221">
        <v>52.511079754199102</v>
      </c>
      <c r="O221">
        <v>48.700791827227903</v>
      </c>
      <c r="P221">
        <v>-4.4932470792985103E-2</v>
      </c>
      <c r="Q221">
        <v>0.17322407270065099</v>
      </c>
      <c r="R221">
        <v>0.97219054739213895</v>
      </c>
      <c r="S221" t="s">
        <v>6789</v>
      </c>
      <c r="T221" t="s">
        <v>13134</v>
      </c>
      <c r="U221" t="s">
        <v>13134</v>
      </c>
      <c r="V221" t="s">
        <v>13134</v>
      </c>
      <c r="W221" t="s">
        <v>13353</v>
      </c>
      <c r="X221">
        <v>8</v>
      </c>
      <c r="Y221" t="s">
        <v>19845</v>
      </c>
      <c r="Z221" t="s">
        <v>26189</v>
      </c>
      <c r="AA221">
        <v>0.56813398291083472</v>
      </c>
      <c r="AB221" t="str">
        <f>HYPERLINK("Melting_Curves/meltCurve_B4E1J0_PBXIP1.pdf", "Melting_Curves/meltCurve_B4E1J0_PBXIP1.pdf")</f>
        <v>Melting_Curves/meltCurve_B4E1J0_PBXIP1.pdf</v>
      </c>
    </row>
    <row r="222" spans="1:28" x14ac:dyDescent="0.25">
      <c r="A222" t="s">
        <v>226</v>
      </c>
      <c r="B222">
        <v>0.99472303558308395</v>
      </c>
      <c r="C222">
        <v>0.88738234565630403</v>
      </c>
      <c r="D222">
        <v>0.72861017111320203</v>
      </c>
      <c r="E222">
        <v>0.59015607754093202</v>
      </c>
      <c r="F222">
        <v>0.42843495698932699</v>
      </c>
      <c r="G222">
        <v>0.210353920920273</v>
      </c>
      <c r="H222">
        <v>0.14001096493705001</v>
      </c>
      <c r="I222">
        <v>8.2947350061531394E-2</v>
      </c>
      <c r="J222">
        <v>8.5074807409179706E-2</v>
      </c>
      <c r="K222">
        <v>0.109354320371758</v>
      </c>
      <c r="L222">
        <v>522.24183142791298</v>
      </c>
      <c r="M222">
        <v>10.972475286870599</v>
      </c>
      <c r="N222">
        <v>47.869516657297702</v>
      </c>
      <c r="O222">
        <v>46.096645824826801</v>
      </c>
      <c r="P222">
        <v>-5.7717113174219299E-2</v>
      </c>
      <c r="Q222">
        <v>3.0425051247346201E-2</v>
      </c>
      <c r="R222">
        <v>0.99147826440662801</v>
      </c>
      <c r="S222" t="s">
        <v>6790</v>
      </c>
      <c r="T222" t="s">
        <v>13134</v>
      </c>
      <c r="U222" t="s">
        <v>13134</v>
      </c>
      <c r="V222" t="s">
        <v>13134</v>
      </c>
      <c r="W222" t="s">
        <v>13354</v>
      </c>
      <c r="X222">
        <v>2</v>
      </c>
      <c r="Y222" t="s">
        <v>19846</v>
      </c>
      <c r="Z222" t="s">
        <v>26190</v>
      </c>
      <c r="AA222">
        <v>0.40818087603516529</v>
      </c>
      <c r="AB222" t="str">
        <f>HYPERLINK("Melting_Curves/meltCurve_B4E1M0_MSANTD2.pdf", "Melting_Curves/meltCurve_B4E1M0_MSANTD2.pdf")</f>
        <v>Melting_Curves/meltCurve_B4E1M0_MSANTD2.pdf</v>
      </c>
    </row>
    <row r="223" spans="1:28" x14ac:dyDescent="0.25">
      <c r="A223" t="s">
        <v>227</v>
      </c>
      <c r="B223">
        <v>0.99472303558308395</v>
      </c>
      <c r="C223">
        <v>0.93504477145820697</v>
      </c>
      <c r="D223">
        <v>0.91090440658395799</v>
      </c>
      <c r="E223">
        <v>0.72867121335241403</v>
      </c>
      <c r="F223">
        <v>0.47312602073981502</v>
      </c>
      <c r="G223">
        <v>0.374701658275438</v>
      </c>
      <c r="H223">
        <v>0.21002553150560699</v>
      </c>
      <c r="I223">
        <v>0.191634388050511</v>
      </c>
      <c r="J223">
        <v>0.17488560453407401</v>
      </c>
      <c r="K223">
        <v>8.6820991399272393E-2</v>
      </c>
      <c r="L223">
        <v>625.450414092134</v>
      </c>
      <c r="M223">
        <v>12.6161471152034</v>
      </c>
      <c r="N223">
        <v>50.410117477565798</v>
      </c>
      <c r="O223">
        <v>48.379311934938002</v>
      </c>
      <c r="P223">
        <v>-5.9060154655538703E-2</v>
      </c>
      <c r="Q223">
        <v>9.4264724292532201E-2</v>
      </c>
      <c r="R223">
        <v>0.99328269374897904</v>
      </c>
      <c r="S223" t="s">
        <v>6791</v>
      </c>
      <c r="T223" t="s">
        <v>13134</v>
      </c>
      <c r="U223" t="s">
        <v>13134</v>
      </c>
      <c r="V223" t="s">
        <v>13134</v>
      </c>
      <c r="W223" t="s">
        <v>13355</v>
      </c>
      <c r="X223">
        <v>14</v>
      </c>
      <c r="Y223" t="s">
        <v>19847</v>
      </c>
      <c r="Z223" t="s">
        <v>26191</v>
      </c>
      <c r="AA223">
        <v>0.49836869916790361</v>
      </c>
      <c r="AB223" t="str">
        <f>HYPERLINK("Melting_Curves/meltCurve_B4E1Q4_RIOK3.pdf", "Melting_Curves/meltCurve_B4E1Q4_RIOK3.pdf")</f>
        <v>Melting_Curves/meltCurve_B4E1Q4_RIOK3.pdf</v>
      </c>
    </row>
    <row r="224" spans="1:28" x14ac:dyDescent="0.25">
      <c r="A224" t="s">
        <v>228</v>
      </c>
      <c r="B224">
        <v>0.99472303558308395</v>
      </c>
      <c r="C224">
        <v>0.84792258218500705</v>
      </c>
      <c r="D224">
        <v>1.0841849249232001</v>
      </c>
      <c r="E224">
        <v>0.92398754451004705</v>
      </c>
      <c r="F224">
        <v>0.75897518928663898</v>
      </c>
      <c r="G224">
        <v>0.71193035315992304</v>
      </c>
      <c r="H224">
        <v>0.34566048907730401</v>
      </c>
      <c r="I224">
        <v>0.47414502276281201</v>
      </c>
      <c r="J224">
        <v>0.52225043347481803</v>
      </c>
      <c r="K224">
        <v>0.45988457253695503</v>
      </c>
      <c r="L224">
        <v>1103.35456602149</v>
      </c>
      <c r="M224">
        <v>21.4549712047586</v>
      </c>
      <c r="N224">
        <v>57.556845100573803</v>
      </c>
      <c r="O224">
        <v>50.9860084431225</v>
      </c>
      <c r="P224">
        <v>-5.79541132908424E-2</v>
      </c>
      <c r="Q224">
        <v>0.44912048039553198</v>
      </c>
      <c r="R224">
        <v>0.87131861053085502</v>
      </c>
      <c r="S224" t="s">
        <v>6792</v>
      </c>
      <c r="T224" t="s">
        <v>13134</v>
      </c>
      <c r="U224" t="s">
        <v>13134</v>
      </c>
      <c r="V224" t="s">
        <v>13134</v>
      </c>
      <c r="W224" t="s">
        <v>13356</v>
      </c>
      <c r="X224">
        <v>8</v>
      </c>
      <c r="Y224" t="s">
        <v>19848</v>
      </c>
      <c r="Z224" t="s">
        <v>26192</v>
      </c>
      <c r="AA224">
        <v>0.72041676271539645</v>
      </c>
      <c r="AB224" t="str">
        <f>HYPERLINK("Melting_Curves/meltCurve_B4E241_SFRS3.pdf", "Melting_Curves/meltCurve_B4E241_SFRS3.pdf")</f>
        <v>Melting_Curves/meltCurve_B4E241_SFRS3.pdf</v>
      </c>
    </row>
    <row r="225" spans="1:28" x14ac:dyDescent="0.25">
      <c r="A225" t="s">
        <v>229</v>
      </c>
      <c r="B225">
        <v>0.99472303558308395</v>
      </c>
      <c r="C225">
        <v>1.0261156813443499</v>
      </c>
      <c r="D225">
        <v>0.83885178867771004</v>
      </c>
      <c r="E225">
        <v>0.75721132098129296</v>
      </c>
      <c r="F225">
        <v>0.55313349217751195</v>
      </c>
      <c r="G225">
        <v>0.25788877025398199</v>
      </c>
      <c r="H225">
        <v>0.14886235626415301</v>
      </c>
      <c r="I225">
        <v>0.102792466336226</v>
      </c>
      <c r="J225">
        <v>0.18848665619588001</v>
      </c>
      <c r="K225">
        <v>0.144615772113488</v>
      </c>
      <c r="L225">
        <v>799.14566249465304</v>
      </c>
      <c r="M225">
        <v>16.1913181845268</v>
      </c>
      <c r="N225">
        <v>50.112370226532299</v>
      </c>
      <c r="O225">
        <v>48.621959657674999</v>
      </c>
      <c r="P225">
        <v>-7.4236252334974606E-2</v>
      </c>
      <c r="Q225">
        <v>0.108351311604954</v>
      </c>
      <c r="R225">
        <v>0.98248640852795699</v>
      </c>
      <c r="S225" t="s">
        <v>6793</v>
      </c>
      <c r="T225" t="s">
        <v>13134</v>
      </c>
      <c r="U225" t="s">
        <v>13134</v>
      </c>
      <c r="V225" t="s">
        <v>13134</v>
      </c>
      <c r="W225" t="s">
        <v>13357</v>
      </c>
      <c r="X225">
        <v>8</v>
      </c>
      <c r="Y225" t="s">
        <v>19849</v>
      </c>
      <c r="Z225" t="s">
        <v>26193</v>
      </c>
      <c r="AA225">
        <v>0.49246015196338461</v>
      </c>
      <c r="AB225" t="str">
        <f>HYPERLINK("Melting_Curves/meltCurve_B4E2B6_PUM2.pdf", "Melting_Curves/meltCurve_B4E2B6_PUM2.pdf")</f>
        <v>Melting_Curves/meltCurve_B4E2B6_PUM2.pdf</v>
      </c>
    </row>
    <row r="226" spans="1:28" x14ac:dyDescent="0.25">
      <c r="A226" t="s">
        <v>230</v>
      </c>
      <c r="B226">
        <v>0.99472303558308395</v>
      </c>
      <c r="C226">
        <v>0.98143289686216395</v>
      </c>
      <c r="D226">
        <v>0.67484397061363</v>
      </c>
      <c r="E226">
        <v>0.58513838372604399</v>
      </c>
      <c r="F226">
        <v>0.55032317460429603</v>
      </c>
      <c r="G226">
        <v>0.22654208363599501</v>
      </c>
      <c r="H226">
        <v>0.19080711529949301</v>
      </c>
      <c r="I226">
        <v>0.108873248763989</v>
      </c>
      <c r="J226">
        <v>0.159294733741282</v>
      </c>
      <c r="K226">
        <v>0.13921938518539501</v>
      </c>
      <c r="L226">
        <v>506.56307444511799</v>
      </c>
      <c r="M226">
        <v>10.577738996924699</v>
      </c>
      <c r="N226">
        <v>48.583233972901198</v>
      </c>
      <c r="O226">
        <v>46.272960521444404</v>
      </c>
      <c r="P226">
        <v>-5.3163839415691402E-2</v>
      </c>
      <c r="Q226">
        <v>7.0090522510352096E-2</v>
      </c>
      <c r="R226">
        <v>0.958411311267241</v>
      </c>
      <c r="S226" t="s">
        <v>6794</v>
      </c>
      <c r="T226" t="s">
        <v>13134</v>
      </c>
      <c r="U226" t="s">
        <v>13134</v>
      </c>
      <c r="V226" t="s">
        <v>13134</v>
      </c>
      <c r="W226" t="s">
        <v>13358</v>
      </c>
      <c r="X226">
        <v>11</v>
      </c>
      <c r="Y226" t="s">
        <v>19850</v>
      </c>
      <c r="Z226" t="s">
        <v>26194</v>
      </c>
      <c r="AA226">
        <v>0.44260987194373858</v>
      </c>
      <c r="AB226" t="str">
        <f>HYPERLINK("Melting_Curves/meltCurve_B4E2V5_STOM.pdf", "Melting_Curves/meltCurve_B4E2V5_STOM.pdf")</f>
        <v>Melting_Curves/meltCurve_B4E2V5_STOM.pdf</v>
      </c>
    </row>
    <row r="227" spans="1:28" x14ac:dyDescent="0.25">
      <c r="A227" t="s">
        <v>231</v>
      </c>
      <c r="B227">
        <v>0.99472303558308395</v>
      </c>
      <c r="C227">
        <v>0.88655094472321505</v>
      </c>
      <c r="D227">
        <v>0.92779986439976203</v>
      </c>
      <c r="E227">
        <v>0.79667600993788301</v>
      </c>
      <c r="F227">
        <v>0.24305449671139001</v>
      </c>
      <c r="G227">
        <v>0.103803494951026</v>
      </c>
      <c r="H227">
        <v>7.0938686452722097E-2</v>
      </c>
      <c r="I227">
        <v>5.1022496930420699E-2</v>
      </c>
      <c r="J227">
        <v>5.9399965459985403E-2</v>
      </c>
      <c r="K227">
        <v>4.8393838440593001E-2</v>
      </c>
      <c r="L227">
        <v>1635.5811917543999</v>
      </c>
      <c r="M227">
        <v>33.902163388632097</v>
      </c>
      <c r="N227">
        <v>48.421483799238402</v>
      </c>
      <c r="O227">
        <v>48.077221569334597</v>
      </c>
      <c r="P227">
        <v>-0.16599910409806901</v>
      </c>
      <c r="Q227">
        <v>5.8379408715291597E-2</v>
      </c>
      <c r="R227">
        <v>0.98941537305011895</v>
      </c>
      <c r="S227" t="s">
        <v>6795</v>
      </c>
      <c r="T227" t="s">
        <v>13134</v>
      </c>
      <c r="U227" t="s">
        <v>13134</v>
      </c>
      <c r="V227" t="s">
        <v>13134</v>
      </c>
      <c r="W227" t="s">
        <v>13359</v>
      </c>
      <c r="X227">
        <v>21</v>
      </c>
      <c r="Y227" t="s">
        <v>19851</v>
      </c>
      <c r="Z227" t="s">
        <v>26195</v>
      </c>
      <c r="AA227">
        <v>0.4156853011447994</v>
      </c>
      <c r="AB227" t="str">
        <f>HYPERLINK("Melting_Curves/meltCurve_B4E2W0_HADHB.pdf", "Melting_Curves/meltCurve_B4E2W0_HADHB.pdf")</f>
        <v>Melting_Curves/meltCurve_B4E2W0_HADHB.pdf</v>
      </c>
    </row>
    <row r="228" spans="1:28" x14ac:dyDescent="0.25">
      <c r="A228" t="s">
        <v>232</v>
      </c>
      <c r="B228">
        <v>0.99472303558308395</v>
      </c>
      <c r="C228">
        <v>0.96515134666529501</v>
      </c>
      <c r="D228">
        <v>0.94770993048357</v>
      </c>
      <c r="E228">
        <v>0.70482993562995</v>
      </c>
      <c r="F228">
        <v>0.20218759610478401</v>
      </c>
      <c r="G228">
        <v>0.110907221362526</v>
      </c>
      <c r="H228">
        <v>7.0046501375273698E-2</v>
      </c>
      <c r="I228">
        <v>5.14554349789915E-2</v>
      </c>
      <c r="J228">
        <v>6.2077598284697999E-2</v>
      </c>
      <c r="K228">
        <v>4.7912204278749801E-2</v>
      </c>
      <c r="L228">
        <v>1512.29137084687</v>
      </c>
      <c r="M228">
        <v>31.723402326268399</v>
      </c>
      <c r="N228">
        <v>47.864537848955401</v>
      </c>
      <c r="O228">
        <v>47.482927386000704</v>
      </c>
      <c r="P228">
        <v>-0.156980822653359</v>
      </c>
      <c r="Q228">
        <v>6.0142391481155501E-2</v>
      </c>
      <c r="R228">
        <v>0.998197900086912</v>
      </c>
      <c r="S228" t="s">
        <v>6796</v>
      </c>
      <c r="T228" t="s">
        <v>13134</v>
      </c>
      <c r="U228" t="s">
        <v>13134</v>
      </c>
      <c r="V228" t="s">
        <v>13134</v>
      </c>
      <c r="W228" t="s">
        <v>13360</v>
      </c>
      <c r="X228">
        <v>20</v>
      </c>
      <c r="Y228" t="s">
        <v>19852</v>
      </c>
      <c r="Z228" t="s">
        <v>26196</v>
      </c>
      <c r="AA228">
        <v>0.39939817989275189</v>
      </c>
      <c r="AB228" t="str">
        <f>HYPERLINK("Melting_Curves/meltCurve_B4E2X3_METTL13.pdf", "Melting_Curves/meltCurve_B4E2X3_METTL13.pdf")</f>
        <v>Melting_Curves/meltCurve_B4E2X3_METTL13.pdf</v>
      </c>
    </row>
    <row r="229" spans="1:28" x14ac:dyDescent="0.25">
      <c r="A229" t="s">
        <v>233</v>
      </c>
      <c r="B229">
        <v>0.99472303558308395</v>
      </c>
      <c r="C229">
        <v>1.0910842832752601</v>
      </c>
      <c r="D229">
        <v>0.86895680564056699</v>
      </c>
      <c r="E229">
        <v>0.80442682501507501</v>
      </c>
      <c r="F229">
        <v>0.736717988632273</v>
      </c>
      <c r="G229">
        <v>0.58979612911193502</v>
      </c>
      <c r="H229">
        <v>0.391050657399094</v>
      </c>
      <c r="I229">
        <v>0.49379432896689301</v>
      </c>
      <c r="J229">
        <v>0.60783496610788701</v>
      </c>
      <c r="K229">
        <v>0.56370310705370297</v>
      </c>
      <c r="L229">
        <v>820.14690652496404</v>
      </c>
      <c r="M229">
        <v>17.0778288663072</v>
      </c>
      <c r="O229">
        <v>47.380096694691503</v>
      </c>
      <c r="P229">
        <v>-4.3823603683499399E-2</v>
      </c>
      <c r="Q229">
        <v>0.51369919617877702</v>
      </c>
      <c r="R229">
        <v>0.87998164288034697</v>
      </c>
      <c r="S229" t="s">
        <v>6797</v>
      </c>
      <c r="T229" t="s">
        <v>13134</v>
      </c>
      <c r="U229" t="s">
        <v>13134</v>
      </c>
      <c r="V229" t="s">
        <v>13134</v>
      </c>
      <c r="W229" t="s">
        <v>13361</v>
      </c>
      <c r="X229">
        <v>2</v>
      </c>
      <c r="Y229" t="s">
        <v>19853</v>
      </c>
      <c r="Z229" t="s">
        <v>26197</v>
      </c>
      <c r="AA229">
        <v>0.70094656982924874</v>
      </c>
      <c r="AB229" t="str">
        <f>HYPERLINK("Melting_Curves/meltCurve_B5MBW9_CHCHD10.pdf", "Melting_Curves/meltCurve_B5MBW9_CHCHD10.pdf")</f>
        <v>Melting_Curves/meltCurve_B5MBW9_CHCHD10.pdf</v>
      </c>
    </row>
    <row r="230" spans="1:28" x14ac:dyDescent="0.25">
      <c r="A230" t="s">
        <v>234</v>
      </c>
      <c r="B230">
        <v>0.99472303558308395</v>
      </c>
      <c r="C230">
        <v>1.09280052293415</v>
      </c>
      <c r="D230">
        <v>0.84116844936960999</v>
      </c>
      <c r="E230">
        <v>0.60735516202978101</v>
      </c>
      <c r="F230">
        <v>0.38218030791908503</v>
      </c>
      <c r="G230">
        <v>0.207960725878307</v>
      </c>
      <c r="H230">
        <v>0.13198089246831601</v>
      </c>
      <c r="I230">
        <v>0.130572437084645</v>
      </c>
      <c r="J230">
        <v>0.19362392007659901</v>
      </c>
      <c r="K230">
        <v>0.12996015273964601</v>
      </c>
      <c r="L230">
        <v>891.13417571054401</v>
      </c>
      <c r="M230">
        <v>18.879077206907098</v>
      </c>
      <c r="N230">
        <v>48.017756234639798</v>
      </c>
      <c r="O230">
        <v>46.682172482604301</v>
      </c>
      <c r="P230">
        <v>-8.7240636303781996E-2</v>
      </c>
      <c r="Q230">
        <v>0.13715783448928101</v>
      </c>
      <c r="R230">
        <v>0.98370890826973301</v>
      </c>
      <c r="S230" t="s">
        <v>6798</v>
      </c>
      <c r="T230" t="s">
        <v>13134</v>
      </c>
      <c r="U230" t="s">
        <v>13134</v>
      </c>
      <c r="V230" t="s">
        <v>13134</v>
      </c>
      <c r="W230" t="s">
        <v>13362</v>
      </c>
      <c r="X230">
        <v>5</v>
      </c>
      <c r="Y230" t="s">
        <v>19854</v>
      </c>
      <c r="Z230" t="s">
        <v>26198</v>
      </c>
      <c r="AA230">
        <v>0.44322358935182199</v>
      </c>
      <c r="AB230" t="str">
        <f>HYPERLINK("Melting_Curves/meltCurve_B5MBX0_CDCA5.pdf", "Melting_Curves/meltCurve_B5MBX0_CDCA5.pdf")</f>
        <v>Melting_Curves/meltCurve_B5MBX0_CDCA5.pdf</v>
      </c>
    </row>
    <row r="231" spans="1:28" x14ac:dyDescent="0.25">
      <c r="A231" t="s">
        <v>235</v>
      </c>
      <c r="B231">
        <v>0.99472303558308395</v>
      </c>
      <c r="C231">
        <v>1.06273828082646</v>
      </c>
      <c r="D231">
        <v>0.84466411267891905</v>
      </c>
      <c r="E231">
        <v>0.81766072799162404</v>
      </c>
      <c r="F231">
        <v>0.67091841899552895</v>
      </c>
      <c r="G231">
        <v>0.40316886002215202</v>
      </c>
      <c r="H231">
        <v>0.34795839378381799</v>
      </c>
      <c r="I231">
        <v>0.32583081771446598</v>
      </c>
      <c r="J231">
        <v>0.35572042768800699</v>
      </c>
      <c r="K231">
        <v>0.31884089756057898</v>
      </c>
      <c r="L231">
        <v>785.76156463775601</v>
      </c>
      <c r="M231">
        <v>15.876877712116499</v>
      </c>
      <c r="N231">
        <v>52.5477850379906</v>
      </c>
      <c r="O231">
        <v>48.7257598909191</v>
      </c>
      <c r="P231">
        <v>-5.6908208936127899E-2</v>
      </c>
      <c r="Q231">
        <v>0.30145673683980101</v>
      </c>
      <c r="R231">
        <v>0.97029539982708601</v>
      </c>
      <c r="S231" t="s">
        <v>6799</v>
      </c>
      <c r="T231" t="s">
        <v>13134</v>
      </c>
      <c r="U231" t="s">
        <v>13134</v>
      </c>
      <c r="V231" t="s">
        <v>13134</v>
      </c>
      <c r="W231" t="s">
        <v>13363</v>
      </c>
      <c r="X231">
        <v>1</v>
      </c>
      <c r="Y231" t="s">
        <v>19855</v>
      </c>
      <c r="Z231" t="s">
        <v>26199</v>
      </c>
      <c r="AA231">
        <v>0.60589169110887797</v>
      </c>
      <c r="AB231" t="str">
        <f>HYPERLINK("Melting_Curves/meltCurve_B5MBX5_LBH.pdf", "Melting_Curves/meltCurve_B5MBX5_LBH.pdf")</f>
        <v>Melting_Curves/meltCurve_B5MBX5_LBH.pdf</v>
      </c>
    </row>
    <row r="232" spans="1:28" x14ac:dyDescent="0.25">
      <c r="A232" t="s">
        <v>236</v>
      </c>
      <c r="B232">
        <v>0.99472303558308395</v>
      </c>
      <c r="C232">
        <v>1.00335596130726</v>
      </c>
      <c r="D232">
        <v>0.88066887028723395</v>
      </c>
      <c r="E232">
        <v>0.79692460080080096</v>
      </c>
      <c r="F232">
        <v>0.64990438084429902</v>
      </c>
      <c r="G232">
        <v>0.37213371951718299</v>
      </c>
      <c r="H232">
        <v>0.20270428857572301</v>
      </c>
      <c r="I232">
        <v>0.14836215781116199</v>
      </c>
      <c r="J232">
        <v>0.172337369655962</v>
      </c>
      <c r="K232">
        <v>0.23418107617136499</v>
      </c>
      <c r="L232">
        <v>805.85848606579998</v>
      </c>
      <c r="M232">
        <v>15.9728349246002</v>
      </c>
      <c r="N232">
        <v>51.557779687572101</v>
      </c>
      <c r="O232">
        <v>49.680885626178899</v>
      </c>
      <c r="P232">
        <v>-6.8723847020033299E-2</v>
      </c>
      <c r="Q232">
        <v>0.14505043627658901</v>
      </c>
      <c r="R232">
        <v>0.98308870511959701</v>
      </c>
      <c r="S232" t="s">
        <v>6800</v>
      </c>
      <c r="T232" t="s">
        <v>13134</v>
      </c>
      <c r="U232" t="s">
        <v>13134</v>
      </c>
      <c r="V232" t="s">
        <v>13134</v>
      </c>
      <c r="W232" t="s">
        <v>13364</v>
      </c>
      <c r="X232">
        <v>10</v>
      </c>
      <c r="Y232" t="s">
        <v>19856</v>
      </c>
      <c r="Z232" t="s">
        <v>26200</v>
      </c>
      <c r="AA232">
        <v>0.54448973147665436</v>
      </c>
      <c r="AB232" t="str">
        <f>HYPERLINK("Melting_Curves/meltCurve_B5MCA4_EPCAM.pdf", "Melting_Curves/meltCurve_B5MCA4_EPCAM.pdf")</f>
        <v>Melting_Curves/meltCurve_B5MCA4_EPCAM.pdf</v>
      </c>
    </row>
    <row r="233" spans="1:28" x14ac:dyDescent="0.25">
      <c r="A233" t="s">
        <v>237</v>
      </c>
      <c r="B233">
        <v>0.99472303558308395</v>
      </c>
      <c r="C233">
        <v>0.85417765187753403</v>
      </c>
      <c r="D233">
        <v>0.76209559743611199</v>
      </c>
      <c r="E233">
        <v>0.308727727339622</v>
      </c>
      <c r="F233">
        <v>0.17783607534228099</v>
      </c>
      <c r="G233">
        <v>9.9096265384195595E-2</v>
      </c>
      <c r="H233">
        <v>5.9242953694223603E-2</v>
      </c>
      <c r="I233">
        <v>4.6983730190205297E-2</v>
      </c>
      <c r="J233">
        <v>5.7873565509606498E-2</v>
      </c>
      <c r="K233">
        <v>5.83084369045467E-2</v>
      </c>
      <c r="L233">
        <v>876.10234162487404</v>
      </c>
      <c r="M233">
        <v>19.5747912638728</v>
      </c>
      <c r="N233">
        <v>45.017644348190103</v>
      </c>
      <c r="O233">
        <v>44.297434396164903</v>
      </c>
      <c r="P233">
        <v>-0.104551619119751</v>
      </c>
      <c r="Q233">
        <v>5.3639585411144497E-2</v>
      </c>
      <c r="R233">
        <v>0.99196862297857702</v>
      </c>
      <c r="S233" t="s">
        <v>6801</v>
      </c>
      <c r="T233" t="s">
        <v>13134</v>
      </c>
      <c r="U233" t="s">
        <v>13134</v>
      </c>
      <c r="V233" t="s">
        <v>13134</v>
      </c>
      <c r="W233" t="s">
        <v>13365</v>
      </c>
      <c r="X233">
        <v>14</v>
      </c>
      <c r="Y233" t="s">
        <v>19857</v>
      </c>
      <c r="Z233" t="s">
        <v>26201</v>
      </c>
      <c r="AA233">
        <v>0.31138103900423392</v>
      </c>
      <c r="AB233" t="str">
        <f>HYPERLINK("Melting_Curves/meltCurve_B5MCF9_PES1.pdf", "Melting_Curves/meltCurve_B5MCF9_PES1.pdf")</f>
        <v>Melting_Curves/meltCurve_B5MCF9_PES1.pdf</v>
      </c>
    </row>
    <row r="234" spans="1:28" x14ac:dyDescent="0.25">
      <c r="A234" t="s">
        <v>238</v>
      </c>
      <c r="B234">
        <v>0.99472303558308395</v>
      </c>
      <c r="C234">
        <v>0.89476971204548605</v>
      </c>
      <c r="D234">
        <v>0.88538174008532899</v>
      </c>
      <c r="E234">
        <v>0.642081873421255</v>
      </c>
      <c r="F234">
        <v>0.41023482573539</v>
      </c>
      <c r="G234">
        <v>0.196062561427013</v>
      </c>
      <c r="H234">
        <v>9.6214429577308205E-2</v>
      </c>
      <c r="I234">
        <v>7.1071481886117796E-2</v>
      </c>
      <c r="J234">
        <v>6.9215164640244894E-2</v>
      </c>
      <c r="K234">
        <v>8.1005291431259896E-2</v>
      </c>
      <c r="L234">
        <v>716.74181131532703</v>
      </c>
      <c r="M234">
        <v>14.84315699551</v>
      </c>
      <c r="N234">
        <v>48.554003334603799</v>
      </c>
      <c r="O234">
        <v>47.436644348444403</v>
      </c>
      <c r="P234">
        <v>-7.5176031662277501E-2</v>
      </c>
      <c r="Q234">
        <v>3.9093030228821601E-2</v>
      </c>
      <c r="R234">
        <v>0.99485603589382698</v>
      </c>
      <c r="S234" t="s">
        <v>6802</v>
      </c>
      <c r="T234" t="s">
        <v>13134</v>
      </c>
      <c r="U234" t="s">
        <v>13134</v>
      </c>
      <c r="V234" t="s">
        <v>13134</v>
      </c>
      <c r="W234" t="s">
        <v>13366</v>
      </c>
      <c r="X234">
        <v>4</v>
      </c>
      <c r="Y234" t="s">
        <v>19858</v>
      </c>
      <c r="Z234" t="s">
        <v>26202</v>
      </c>
      <c r="AA234">
        <v>0.42203517888441872</v>
      </c>
      <c r="AB234" t="str">
        <f>HYPERLINK("Melting_Curves/meltCurve_B5MCN7_NCOA1.pdf", "Melting_Curves/meltCurve_B5MCN7_NCOA1.pdf")</f>
        <v>Melting_Curves/meltCurve_B5MCN7_NCOA1.pdf</v>
      </c>
    </row>
    <row r="235" spans="1:28" x14ac:dyDescent="0.25">
      <c r="A235" t="s">
        <v>239</v>
      </c>
      <c r="B235">
        <v>0.99472303558308395</v>
      </c>
      <c r="C235">
        <v>1.1477338132322501</v>
      </c>
      <c r="D235">
        <v>0.75995879903253405</v>
      </c>
      <c r="E235">
        <v>0.59706133772807002</v>
      </c>
      <c r="F235">
        <v>0.52182891283423904</v>
      </c>
      <c r="G235">
        <v>0.24879852490878901</v>
      </c>
      <c r="H235">
        <v>0.15836117571231201</v>
      </c>
      <c r="I235">
        <v>9.8904389203581106E-2</v>
      </c>
      <c r="J235">
        <v>0.120577926909443</v>
      </c>
      <c r="K235">
        <v>9.3995124428836202E-2</v>
      </c>
      <c r="L235">
        <v>640.21578728544</v>
      </c>
      <c r="M235">
        <v>13.190756117586901</v>
      </c>
      <c r="N235">
        <v>49.055729122094803</v>
      </c>
      <c r="O235">
        <v>47.460357242934201</v>
      </c>
      <c r="P235">
        <v>-6.4956058998508606E-2</v>
      </c>
      <c r="Q235">
        <v>6.5308096067608706E-2</v>
      </c>
      <c r="R235">
        <v>0.95526439789572504</v>
      </c>
      <c r="S235" t="s">
        <v>6803</v>
      </c>
      <c r="T235" t="s">
        <v>13134</v>
      </c>
      <c r="U235" t="s">
        <v>13134</v>
      </c>
      <c r="V235" t="s">
        <v>13134</v>
      </c>
      <c r="W235" t="s">
        <v>13367</v>
      </c>
      <c r="X235">
        <v>4</v>
      </c>
      <c r="Y235" t="s">
        <v>19859</v>
      </c>
      <c r="Z235" t="s">
        <v>26203</v>
      </c>
      <c r="AA235">
        <v>0.44955095970694042</v>
      </c>
      <c r="AB235" t="str">
        <f>HYPERLINK("Melting_Curves/meltCurve_B5MD58_SREBF1.pdf", "Melting_Curves/meltCurve_B5MD58_SREBF1.pdf")</f>
        <v>Melting_Curves/meltCurve_B5MD58_SREBF1.pdf</v>
      </c>
    </row>
    <row r="236" spans="1:28" x14ac:dyDescent="0.25">
      <c r="A236" t="s">
        <v>240</v>
      </c>
      <c r="B236">
        <v>0.99472303558308395</v>
      </c>
      <c r="C236">
        <v>0.84202178812944595</v>
      </c>
      <c r="D236">
        <v>0.81989534839113098</v>
      </c>
      <c r="E236">
        <v>0.69668867280000801</v>
      </c>
      <c r="F236">
        <v>0.57392564599492701</v>
      </c>
      <c r="G236">
        <v>0.47526257029039298</v>
      </c>
      <c r="H236">
        <v>0.34827489897763297</v>
      </c>
      <c r="I236">
        <v>0.30365191565525401</v>
      </c>
      <c r="J236">
        <v>0.37883941339264798</v>
      </c>
      <c r="K236">
        <v>0.29421143316744203</v>
      </c>
      <c r="L236">
        <v>430.46073793595502</v>
      </c>
      <c r="M236">
        <v>8.8974691262253707</v>
      </c>
      <c r="N236">
        <v>52.238150510615696</v>
      </c>
      <c r="O236">
        <v>46.123375525811703</v>
      </c>
      <c r="P236">
        <v>-3.66399121420726E-2</v>
      </c>
      <c r="Q236">
        <v>0.24082884439914501</v>
      </c>
      <c r="R236">
        <v>0.97735944768421201</v>
      </c>
      <c r="S236" t="s">
        <v>6804</v>
      </c>
      <c r="T236" t="s">
        <v>13134</v>
      </c>
      <c r="U236" t="s">
        <v>13134</v>
      </c>
      <c r="V236" t="s">
        <v>13134</v>
      </c>
      <c r="W236" t="s">
        <v>13368</v>
      </c>
      <c r="X236">
        <v>3</v>
      </c>
      <c r="Y236" t="s">
        <v>19860</v>
      </c>
      <c r="Z236" t="s">
        <v>26204</v>
      </c>
      <c r="AA236">
        <v>0.56269752371054382</v>
      </c>
      <c r="AB236" t="str">
        <f>HYPERLINK("Melting_Curves/meltCurve_B5MDE0_RFT1.pdf", "Melting_Curves/meltCurve_B5MDE0_RFT1.pdf")</f>
        <v>Melting_Curves/meltCurve_B5MDE0_RFT1.pdf</v>
      </c>
    </row>
    <row r="237" spans="1:28" x14ac:dyDescent="0.25">
      <c r="A237" t="s">
        <v>241</v>
      </c>
      <c r="B237">
        <v>0.99472303558308395</v>
      </c>
      <c r="C237">
        <v>0.89504538824828295</v>
      </c>
      <c r="D237">
        <v>0.948648786750799</v>
      </c>
      <c r="E237">
        <v>0.86508033804335305</v>
      </c>
      <c r="F237">
        <v>0.63782686073748796</v>
      </c>
      <c r="G237">
        <v>0.63407949148552001</v>
      </c>
      <c r="H237">
        <v>0.43733147051468602</v>
      </c>
      <c r="I237">
        <v>0.202251918532111</v>
      </c>
      <c r="J237">
        <v>6.5748150418594095E-2</v>
      </c>
      <c r="K237">
        <v>7.6040538289493295E-2</v>
      </c>
      <c r="L237">
        <v>621.70459815914001</v>
      </c>
      <c r="M237">
        <v>11.3946576158423</v>
      </c>
      <c r="N237">
        <v>54.561048776672301</v>
      </c>
      <c r="O237">
        <v>52.9616713592929</v>
      </c>
      <c r="P237">
        <v>-5.3803123433331899E-2</v>
      </c>
      <c r="Q237">
        <v>0</v>
      </c>
      <c r="R237">
        <v>0.965357199090905</v>
      </c>
      <c r="S237" t="s">
        <v>6805</v>
      </c>
      <c r="T237" t="s">
        <v>13134</v>
      </c>
      <c r="U237" t="s">
        <v>13134</v>
      </c>
      <c r="V237" t="s">
        <v>13134</v>
      </c>
      <c r="W237" t="s">
        <v>13369</v>
      </c>
      <c r="X237">
        <v>14</v>
      </c>
      <c r="Y237" t="s">
        <v>19861</v>
      </c>
      <c r="Z237" t="s">
        <v>26205</v>
      </c>
      <c r="AA237">
        <v>0.60110479291646546</v>
      </c>
      <c r="AB237" t="str">
        <f>HYPERLINK("Melting_Curves/meltCurve_B5MDF5_RAN.pdf", "Melting_Curves/meltCurve_B5MDF5_RAN.pdf")</f>
        <v>Melting_Curves/meltCurve_B5MDF5_RAN.pdf</v>
      </c>
    </row>
    <row r="238" spans="1:28" x14ac:dyDescent="0.25">
      <c r="A238" t="s">
        <v>242</v>
      </c>
      <c r="B238">
        <v>0.99472303558308395</v>
      </c>
      <c r="C238">
        <v>1.00764747663983</v>
      </c>
      <c r="D238">
        <v>0.99797326711559298</v>
      </c>
      <c r="E238">
        <v>0.77087664759658103</v>
      </c>
      <c r="F238">
        <v>0.40407663793403598</v>
      </c>
      <c r="G238">
        <v>0.16696725592675599</v>
      </c>
      <c r="H238">
        <v>0.105982018190309</v>
      </c>
      <c r="I238">
        <v>6.6845637819771805E-2</v>
      </c>
      <c r="J238">
        <v>7.7284150993527007E-2</v>
      </c>
      <c r="K238">
        <v>6.8738979159651104E-2</v>
      </c>
      <c r="L238">
        <v>1165.2383444044301</v>
      </c>
      <c r="M238">
        <v>23.8105347985076</v>
      </c>
      <c r="N238">
        <v>49.249475701903798</v>
      </c>
      <c r="O238">
        <v>48.596649781431502</v>
      </c>
      <c r="P238">
        <v>-0.11392890545246299</v>
      </c>
      <c r="Q238">
        <v>6.9911838201513699E-2</v>
      </c>
      <c r="R238">
        <v>0.99904023575241196</v>
      </c>
      <c r="S238" t="s">
        <v>6806</v>
      </c>
      <c r="T238" t="s">
        <v>13134</v>
      </c>
      <c r="U238" t="s">
        <v>13134</v>
      </c>
      <c r="V238" t="s">
        <v>13134</v>
      </c>
      <c r="W238" t="s">
        <v>13370</v>
      </c>
      <c r="X238">
        <v>11</v>
      </c>
      <c r="Y238" t="s">
        <v>19862</v>
      </c>
      <c r="Z238" t="s">
        <v>26206</v>
      </c>
      <c r="AA238">
        <v>0.44884851197159659</v>
      </c>
      <c r="AB238" t="str">
        <f>HYPERLINK("Melting_Curves/meltCurve_B5MDU6_C2orf43.pdf", "Melting_Curves/meltCurve_B5MDU6_C2orf43.pdf")</f>
        <v>Melting_Curves/meltCurve_B5MDU6_C2orf43.pdf</v>
      </c>
    </row>
    <row r="239" spans="1:28" x14ac:dyDescent="0.25">
      <c r="A239" t="s">
        <v>243</v>
      </c>
      <c r="B239">
        <v>0.99472303558308395</v>
      </c>
      <c r="C239">
        <v>1.1662997223738001</v>
      </c>
      <c r="D239">
        <v>0.67964915104733203</v>
      </c>
      <c r="E239">
        <v>0.40979047345963898</v>
      </c>
      <c r="F239">
        <v>9.9751963252270606E-2</v>
      </c>
      <c r="G239">
        <v>6.6025401500859199E-2</v>
      </c>
      <c r="H239">
        <v>5.6041813792152499E-2</v>
      </c>
      <c r="I239">
        <v>2.4113430199787698E-2</v>
      </c>
      <c r="J239">
        <v>2.3668873096582901E-2</v>
      </c>
      <c r="K239">
        <v>6.7250128696735106E-2</v>
      </c>
      <c r="L239">
        <v>1069.6437263712801</v>
      </c>
      <c r="M239">
        <v>23.6600468168524</v>
      </c>
      <c r="N239">
        <v>45.371995850265101</v>
      </c>
      <c r="O239">
        <v>44.889608828633897</v>
      </c>
      <c r="P239">
        <v>-0.12639703900895999</v>
      </c>
      <c r="Q239">
        <v>4.07762397743874E-2</v>
      </c>
      <c r="R239">
        <v>0.96661040428740597</v>
      </c>
      <c r="S239" t="s">
        <v>6807</v>
      </c>
      <c r="T239" t="s">
        <v>13134</v>
      </c>
      <c r="U239" t="s">
        <v>13134</v>
      </c>
      <c r="V239" t="s">
        <v>13134</v>
      </c>
      <c r="W239" t="s">
        <v>13371</v>
      </c>
      <c r="X239">
        <v>2</v>
      </c>
      <c r="Y239" t="s">
        <v>19863</v>
      </c>
      <c r="Z239" t="s">
        <v>26207</v>
      </c>
      <c r="AA239">
        <v>0.31209544785251903</v>
      </c>
      <c r="AB239" t="str">
        <f>HYPERLINK("Melting_Curves/meltCurve_B5ME25_METTL8.pdf", "Melting_Curves/meltCurve_B5ME25_METTL8.pdf")</f>
        <v>Melting_Curves/meltCurve_B5ME25_METTL8.pdf</v>
      </c>
    </row>
    <row r="240" spans="1:28" x14ac:dyDescent="0.25">
      <c r="A240" t="s">
        <v>244</v>
      </c>
      <c r="B240">
        <v>0.99472303558308395</v>
      </c>
      <c r="C240">
        <v>0.80620158408057196</v>
      </c>
      <c r="D240">
        <v>0.69463088387836502</v>
      </c>
      <c r="E240">
        <v>0.51621197981320799</v>
      </c>
      <c r="F240">
        <v>0.31571847892657601</v>
      </c>
      <c r="G240">
        <v>0.184070530005569</v>
      </c>
      <c r="H240">
        <v>9.5492954900469801E-2</v>
      </c>
      <c r="I240">
        <v>5.9912685631353602E-2</v>
      </c>
      <c r="J240">
        <v>5.8787096153913899E-2</v>
      </c>
      <c r="K240">
        <v>4.1564764955820302E-2</v>
      </c>
      <c r="L240">
        <v>499.07774159675301</v>
      </c>
      <c r="M240">
        <v>10.7421017778642</v>
      </c>
      <c r="N240">
        <v>46.459950011835602</v>
      </c>
      <c r="O240">
        <v>44.936736608345299</v>
      </c>
      <c r="P240">
        <v>-5.9784453065671803E-2</v>
      </c>
      <c r="Q240">
        <v>0</v>
      </c>
      <c r="R240">
        <v>0.99407671301249501</v>
      </c>
      <c r="S240" t="s">
        <v>6808</v>
      </c>
      <c r="T240" t="s">
        <v>13134</v>
      </c>
      <c r="U240" t="s">
        <v>13134</v>
      </c>
      <c r="V240" t="s">
        <v>13134</v>
      </c>
      <c r="W240" t="s">
        <v>13372</v>
      </c>
      <c r="X240">
        <v>7</v>
      </c>
      <c r="Y240" t="s">
        <v>19864</v>
      </c>
      <c r="Z240" t="s">
        <v>26208</v>
      </c>
      <c r="AA240">
        <v>0.3555760463286855</v>
      </c>
      <c r="AB240" t="str">
        <f>HYPERLINK("Melting_Curves/meltCurve_B7WNQ9_GATA1.pdf", "Melting_Curves/meltCurve_B7WNQ9_GATA1.pdf")</f>
        <v>Melting_Curves/meltCurve_B7WNQ9_GATA1.pdf</v>
      </c>
    </row>
    <row r="241" spans="1:28" x14ac:dyDescent="0.25">
      <c r="A241" t="s">
        <v>245</v>
      </c>
      <c r="B241">
        <v>0.99472303558308395</v>
      </c>
      <c r="C241">
        <v>0.937307081939177</v>
      </c>
      <c r="D241">
        <v>0.77436086565530804</v>
      </c>
      <c r="E241">
        <v>0.32516363843653201</v>
      </c>
      <c r="F241">
        <v>0.144676226310022</v>
      </c>
      <c r="G241">
        <v>8.5648541924982405E-2</v>
      </c>
      <c r="H241">
        <v>5.9739383962937903E-2</v>
      </c>
      <c r="I241">
        <v>4.7810122643808302E-2</v>
      </c>
      <c r="J241">
        <v>5.6072534348966703E-2</v>
      </c>
      <c r="K241">
        <v>3.9234714926733298E-2</v>
      </c>
      <c r="L241">
        <v>1055.88078954051</v>
      </c>
      <c r="M241">
        <v>23.481316060815399</v>
      </c>
      <c r="N241">
        <v>45.183126051163299</v>
      </c>
      <c r="O241">
        <v>44.644518779818299</v>
      </c>
      <c r="P241">
        <v>-0.124502721800464</v>
      </c>
      <c r="Q241">
        <v>5.3158935916605601E-2</v>
      </c>
      <c r="R241">
        <v>0.99893372804499403</v>
      </c>
      <c r="S241" t="s">
        <v>6809</v>
      </c>
      <c r="T241" t="s">
        <v>13134</v>
      </c>
      <c r="U241" t="s">
        <v>13134</v>
      </c>
      <c r="V241" t="s">
        <v>13134</v>
      </c>
      <c r="W241" t="s">
        <v>13373</v>
      </c>
      <c r="X241">
        <v>19</v>
      </c>
      <c r="Y241" t="s">
        <v>19865</v>
      </c>
      <c r="Z241" t="s">
        <v>26209</v>
      </c>
      <c r="AA241">
        <v>0.31347169547023079</v>
      </c>
      <c r="AB241" t="str">
        <f>HYPERLINK("Melting_Curves/meltCurve_B7WP27_CWC22.pdf", "Melting_Curves/meltCurve_B7WP27_CWC22.pdf")</f>
        <v>Melting_Curves/meltCurve_B7WP27_CWC22.pdf</v>
      </c>
    </row>
    <row r="242" spans="1:28" x14ac:dyDescent="0.25">
      <c r="A242" t="s">
        <v>246</v>
      </c>
      <c r="B242">
        <v>0.99472303558308395</v>
      </c>
      <c r="C242">
        <v>0.97765699558764096</v>
      </c>
      <c r="D242">
        <v>0.78114132828945204</v>
      </c>
      <c r="E242">
        <v>0.62227451815433998</v>
      </c>
      <c r="F242">
        <v>0.412948022959714</v>
      </c>
      <c r="G242">
        <v>0.15494621534768599</v>
      </c>
      <c r="H242">
        <v>8.8961511649970099E-2</v>
      </c>
      <c r="I242">
        <v>5.7199050862882801E-2</v>
      </c>
      <c r="J242">
        <v>7.7677385454372902E-2</v>
      </c>
      <c r="K242">
        <v>5.7320717351572403E-2</v>
      </c>
      <c r="L242">
        <v>668.37301023092903</v>
      </c>
      <c r="M242">
        <v>13.9348111694606</v>
      </c>
      <c r="N242">
        <v>48.126396025696799</v>
      </c>
      <c r="O242">
        <v>47.008859734492503</v>
      </c>
      <c r="P242">
        <v>-7.2417671401874897E-2</v>
      </c>
      <c r="Q242">
        <v>2.29323103343721E-2</v>
      </c>
      <c r="R242">
        <v>0.99236754538876404</v>
      </c>
      <c r="S242" t="s">
        <v>6810</v>
      </c>
      <c r="T242" t="s">
        <v>13134</v>
      </c>
      <c r="U242" t="s">
        <v>13134</v>
      </c>
      <c r="V242" t="s">
        <v>13134</v>
      </c>
      <c r="W242" t="s">
        <v>13374</v>
      </c>
      <c r="X242">
        <v>10</v>
      </c>
      <c r="Y242" t="s">
        <v>19866</v>
      </c>
      <c r="Z242" t="s">
        <v>26210</v>
      </c>
      <c r="AA242">
        <v>0.40435235019994381</v>
      </c>
      <c r="AB242" t="str">
        <f>HYPERLINK("Melting_Curves/meltCurve_B7WPE2_EML3.pdf", "Melting_Curves/meltCurve_B7WPE2_EML3.pdf")</f>
        <v>Melting_Curves/meltCurve_B7WPE2_EML3.pdf</v>
      </c>
    </row>
    <row r="243" spans="1:28" x14ac:dyDescent="0.25">
      <c r="A243" t="s">
        <v>247</v>
      </c>
      <c r="B243">
        <v>0.99472303558308395</v>
      </c>
      <c r="C243">
        <v>0.99511804291888695</v>
      </c>
      <c r="D243">
        <v>0.90927026307093395</v>
      </c>
      <c r="E243">
        <v>0.55161551036832901</v>
      </c>
      <c r="F243">
        <v>0.20630282592421001</v>
      </c>
      <c r="G243">
        <v>0.106056296363122</v>
      </c>
      <c r="H243">
        <v>7.4165247120505901E-2</v>
      </c>
      <c r="I243">
        <v>5.1739090115605998E-2</v>
      </c>
      <c r="J243">
        <v>5.8502401525452198E-2</v>
      </c>
      <c r="K243">
        <v>4.85411134772624E-2</v>
      </c>
      <c r="L243">
        <v>1151.5840075932399</v>
      </c>
      <c r="M243">
        <v>24.5988489900034</v>
      </c>
      <c r="N243">
        <v>47.045392297572398</v>
      </c>
      <c r="O243">
        <v>46.5084581499571</v>
      </c>
      <c r="P243">
        <v>-0.124712355323074</v>
      </c>
      <c r="Q243">
        <v>5.6850954922467903E-2</v>
      </c>
      <c r="R243">
        <v>0.99970581649393497</v>
      </c>
      <c r="S243" t="s">
        <v>6811</v>
      </c>
      <c r="T243" t="s">
        <v>13134</v>
      </c>
      <c r="U243" t="s">
        <v>13134</v>
      </c>
      <c r="V243" t="s">
        <v>13134</v>
      </c>
      <c r="W243" t="s">
        <v>13375</v>
      </c>
      <c r="X243">
        <v>19</v>
      </c>
      <c r="Y243" t="s">
        <v>19867</v>
      </c>
      <c r="Z243" t="s">
        <v>26211</v>
      </c>
      <c r="AA243">
        <v>0.37356554775556561</v>
      </c>
      <c r="AB243" t="str">
        <f>HYPERLINK("Melting_Curves/meltCurve_B7WPG3_HNRPLL.pdf", "Melting_Curves/meltCurve_B7WPG3_HNRPLL.pdf")</f>
        <v>Melting_Curves/meltCurve_B7WPG3_HNRPLL.pdf</v>
      </c>
    </row>
    <row r="244" spans="1:28" x14ac:dyDescent="0.25">
      <c r="A244" t="s">
        <v>248</v>
      </c>
      <c r="B244">
        <v>0.99472303558308395</v>
      </c>
      <c r="C244">
        <v>0.95726006077103898</v>
      </c>
      <c r="D244">
        <v>0.82705095162124398</v>
      </c>
      <c r="E244">
        <v>0.53144059666411703</v>
      </c>
      <c r="F244">
        <v>0.24998365113920201</v>
      </c>
      <c r="G244">
        <v>0.150741594676751</v>
      </c>
      <c r="H244">
        <v>6.7373833708482697E-2</v>
      </c>
      <c r="I244">
        <v>6.7893828376188597E-2</v>
      </c>
      <c r="J244">
        <v>5.74157267682638E-2</v>
      </c>
      <c r="K244">
        <v>7.6672406287598402E-2</v>
      </c>
      <c r="L244">
        <v>846.70552837552998</v>
      </c>
      <c r="M244">
        <v>18.175342332383099</v>
      </c>
      <c r="N244">
        <v>46.899237909644597</v>
      </c>
      <c r="O244">
        <v>46.032436337325102</v>
      </c>
      <c r="P244">
        <v>-9.3061719348506905E-2</v>
      </c>
      <c r="Q244">
        <v>5.7260276931099301E-2</v>
      </c>
      <c r="R244">
        <v>0.99921767678322304</v>
      </c>
      <c r="S244" t="s">
        <v>6812</v>
      </c>
      <c r="T244" t="s">
        <v>13134</v>
      </c>
      <c r="U244" t="s">
        <v>13134</v>
      </c>
      <c r="V244" t="s">
        <v>13134</v>
      </c>
      <c r="W244" t="s">
        <v>13376</v>
      </c>
      <c r="X244">
        <v>2</v>
      </c>
      <c r="Y244" t="s">
        <v>19868</v>
      </c>
      <c r="Z244" t="s">
        <v>26212</v>
      </c>
      <c r="AA244">
        <v>0.37336297685006081</v>
      </c>
      <c r="AB244" t="str">
        <f>HYPERLINK("Melting_Curves/meltCurve_B7WPL0_RIC8B.pdf", "Melting_Curves/meltCurve_B7WPL0_RIC8B.pdf")</f>
        <v>Melting_Curves/meltCurve_B7WPL0_RIC8B.pdf</v>
      </c>
    </row>
    <row r="245" spans="1:28" x14ac:dyDescent="0.25">
      <c r="A245" t="s">
        <v>249</v>
      </c>
      <c r="B245">
        <v>0.99472303558308395</v>
      </c>
      <c r="C245">
        <v>0.94929586692977297</v>
      </c>
      <c r="D245">
        <v>1.00600630636475</v>
      </c>
      <c r="E245">
        <v>0.93354629955942003</v>
      </c>
      <c r="F245">
        <v>0.71020201647731895</v>
      </c>
      <c r="G245">
        <v>0.53550321664987</v>
      </c>
      <c r="H245">
        <v>0.162023742052257</v>
      </c>
      <c r="I245">
        <v>5.0830591279883798E-2</v>
      </c>
      <c r="J245">
        <v>4.3440050005412401E-2</v>
      </c>
      <c r="K245">
        <v>4.4863626655910697E-2</v>
      </c>
      <c r="L245">
        <v>1000.05600954457</v>
      </c>
      <c r="M245">
        <v>18.757919179639501</v>
      </c>
      <c r="N245">
        <v>53.313803025118602</v>
      </c>
      <c r="O245">
        <v>52.718960909502201</v>
      </c>
      <c r="P245">
        <v>-8.8956162027082605E-2</v>
      </c>
      <c r="Q245">
        <v>0</v>
      </c>
      <c r="R245">
        <v>0.990668411221718</v>
      </c>
      <c r="S245" t="s">
        <v>6813</v>
      </c>
      <c r="T245" t="s">
        <v>13134</v>
      </c>
      <c r="U245" t="s">
        <v>13134</v>
      </c>
      <c r="V245" t="s">
        <v>13134</v>
      </c>
      <c r="W245" t="s">
        <v>13377</v>
      </c>
      <c r="X245">
        <v>17</v>
      </c>
      <c r="Y245" t="s">
        <v>19869</v>
      </c>
      <c r="Z245" t="s">
        <v>26213</v>
      </c>
      <c r="AA245">
        <v>0.55737880390137085</v>
      </c>
      <c r="AB245" t="str">
        <f>HYPERLINK("Melting_Curves/meltCurve_B7Z254_PDIA6.pdf", "Melting_Curves/meltCurve_B7Z254_PDIA6.pdf")</f>
        <v>Melting_Curves/meltCurve_B7Z254_PDIA6.pdf</v>
      </c>
    </row>
    <row r="246" spans="1:28" x14ac:dyDescent="0.25">
      <c r="A246" t="s">
        <v>250</v>
      </c>
      <c r="B246">
        <v>0.99472303558308395</v>
      </c>
      <c r="C246">
        <v>0.94476508269328197</v>
      </c>
      <c r="D246">
        <v>0.80082787592024096</v>
      </c>
      <c r="E246">
        <v>0.85234688849912599</v>
      </c>
      <c r="F246">
        <v>0.55224042935859097</v>
      </c>
      <c r="G246">
        <v>0.60172192481847697</v>
      </c>
      <c r="H246">
        <v>0.445941449129234</v>
      </c>
      <c r="I246">
        <v>0.497360116691073</v>
      </c>
      <c r="J246">
        <v>0.57452002798135904</v>
      </c>
      <c r="K246">
        <v>0.53005674018346505</v>
      </c>
      <c r="L246">
        <v>642.52907365360898</v>
      </c>
      <c r="M246">
        <v>13.879178655630801</v>
      </c>
      <c r="O246">
        <v>45.365150043545803</v>
      </c>
      <c r="P246">
        <v>-3.8171568053402299E-2</v>
      </c>
      <c r="Q246">
        <v>0.50100161549670197</v>
      </c>
      <c r="R246">
        <v>0.89496336405528698</v>
      </c>
      <c r="S246" t="s">
        <v>6814</v>
      </c>
      <c r="T246" t="s">
        <v>13134</v>
      </c>
      <c r="U246" t="s">
        <v>13134</v>
      </c>
      <c r="V246" t="s">
        <v>13134</v>
      </c>
      <c r="W246" t="s">
        <v>13378</v>
      </c>
      <c r="X246">
        <v>1</v>
      </c>
      <c r="Y246" t="s">
        <v>19870</v>
      </c>
      <c r="Z246" t="s">
        <v>26214</v>
      </c>
      <c r="AA246">
        <v>0.66876967783133856</v>
      </c>
      <c r="AB246" t="str">
        <f>HYPERLINK("Melting_Curves/meltCurve_B7Z2B2_MFSD8.pdf", "Melting_Curves/meltCurve_B7Z2B2_MFSD8.pdf")</f>
        <v>Melting_Curves/meltCurve_B7Z2B2_MFSD8.pdf</v>
      </c>
    </row>
    <row r="247" spans="1:28" x14ac:dyDescent="0.25">
      <c r="A247" t="s">
        <v>251</v>
      </c>
      <c r="B247">
        <v>0.99472303558308395</v>
      </c>
      <c r="C247">
        <v>1.0116744206583499</v>
      </c>
      <c r="D247">
        <v>0.82143136163086905</v>
      </c>
      <c r="E247">
        <v>0.64290889467099699</v>
      </c>
      <c r="F247">
        <v>0.27984367792165099</v>
      </c>
      <c r="G247">
        <v>0.122482740370285</v>
      </c>
      <c r="H247">
        <v>0.12688184137766401</v>
      </c>
      <c r="I247">
        <v>6.6924416430316505E-2</v>
      </c>
      <c r="J247">
        <v>5.0065651686798898E-2</v>
      </c>
      <c r="K247">
        <v>0.110617178451705</v>
      </c>
      <c r="L247">
        <v>917.494709492879</v>
      </c>
      <c r="M247">
        <v>19.405003180607299</v>
      </c>
      <c r="N247">
        <v>47.647812647176202</v>
      </c>
      <c r="O247">
        <v>46.787809359265601</v>
      </c>
      <c r="P247">
        <v>-9.6502086218082497E-2</v>
      </c>
      <c r="Q247">
        <v>6.9321325239886794E-2</v>
      </c>
      <c r="R247">
        <v>0.99237468761359005</v>
      </c>
      <c r="S247" t="s">
        <v>6815</v>
      </c>
      <c r="T247" t="s">
        <v>13134</v>
      </c>
      <c r="U247" t="s">
        <v>13134</v>
      </c>
      <c r="V247" t="s">
        <v>13134</v>
      </c>
      <c r="W247" t="s">
        <v>13379</v>
      </c>
      <c r="X247">
        <v>1</v>
      </c>
      <c r="Y247" t="s">
        <v>19871</v>
      </c>
      <c r="Z247" t="s">
        <v>26215</v>
      </c>
      <c r="AA247">
        <v>0.40120421973905152</v>
      </c>
      <c r="AB247" t="str">
        <f>HYPERLINK("Melting_Curves/meltCurve_B7Z2Y5_RPS6KA5.pdf", "Melting_Curves/meltCurve_B7Z2Y5_RPS6KA5.pdf")</f>
        <v>Melting_Curves/meltCurve_B7Z2Y5_RPS6KA5.pdf</v>
      </c>
    </row>
    <row r="248" spans="1:28" x14ac:dyDescent="0.25">
      <c r="A248" t="s">
        <v>252</v>
      </c>
      <c r="B248">
        <v>0.99472303558308395</v>
      </c>
      <c r="C248">
        <v>0.86641885701786403</v>
      </c>
      <c r="D248">
        <v>1.2098737934078401</v>
      </c>
      <c r="E248">
        <v>0.826182459172774</v>
      </c>
      <c r="F248">
        <v>0.50506922694449596</v>
      </c>
      <c r="G248">
        <v>0.33070395925756302</v>
      </c>
      <c r="H248">
        <v>0.417819004712154</v>
      </c>
      <c r="I248">
        <v>0.31585933290062101</v>
      </c>
      <c r="J248">
        <v>0.45362846253012201</v>
      </c>
      <c r="K248">
        <v>0.31088966091259002</v>
      </c>
      <c r="L248">
        <v>1814.7532475394701</v>
      </c>
      <c r="M248">
        <v>37.703531889000097</v>
      </c>
      <c r="N248">
        <v>49.8828036866094</v>
      </c>
      <c r="O248">
        <v>47.997378145124898</v>
      </c>
      <c r="P248">
        <v>-0.124339180743599</v>
      </c>
      <c r="Q248">
        <v>0.366856233657952</v>
      </c>
      <c r="R248">
        <v>0.91047239297211902</v>
      </c>
      <c r="S248" t="s">
        <v>6816</v>
      </c>
      <c r="T248" t="s">
        <v>13134</v>
      </c>
      <c r="U248" t="s">
        <v>13134</v>
      </c>
      <c r="V248" t="s">
        <v>13134</v>
      </c>
      <c r="W248" t="s">
        <v>13380</v>
      </c>
      <c r="X248">
        <v>3</v>
      </c>
      <c r="Y248" t="s">
        <v>19872</v>
      </c>
      <c r="Z248" t="s">
        <v>26216</v>
      </c>
      <c r="AA248">
        <v>0.60417166871394123</v>
      </c>
      <c r="AB248" t="str">
        <f>HYPERLINK("Melting_Curves/meltCurve_B7Z3I9_ALAD.pdf", "Melting_Curves/meltCurve_B7Z3I9_ALAD.pdf")</f>
        <v>Melting_Curves/meltCurve_B7Z3I9_ALAD.pdf</v>
      </c>
    </row>
    <row r="249" spans="1:28" x14ac:dyDescent="0.25">
      <c r="A249" t="s">
        <v>253</v>
      </c>
      <c r="B249">
        <v>0.99472303558308395</v>
      </c>
      <c r="C249">
        <v>0.97386729384215398</v>
      </c>
      <c r="D249">
        <v>0.93486095554541804</v>
      </c>
      <c r="E249">
        <v>0.41391638578842499</v>
      </c>
      <c r="F249">
        <v>0.14403027639426999</v>
      </c>
      <c r="G249">
        <v>9.7366756067673504E-2</v>
      </c>
      <c r="H249">
        <v>6.7731853134556902E-2</v>
      </c>
      <c r="I249">
        <v>4.8579086423821402E-2</v>
      </c>
      <c r="J249">
        <v>5.8760522943817901E-2</v>
      </c>
      <c r="K249">
        <v>4.0664052324349498E-2</v>
      </c>
      <c r="L249">
        <v>1525.4399213092399</v>
      </c>
      <c r="M249">
        <v>33.189559914481997</v>
      </c>
      <c r="N249">
        <v>46.153188132922203</v>
      </c>
      <c r="O249">
        <v>45.795545072650199</v>
      </c>
      <c r="P249">
        <v>-0.169516543887541</v>
      </c>
      <c r="Q249">
        <v>6.4396331265054702E-2</v>
      </c>
      <c r="R249">
        <v>0.99796005608655403</v>
      </c>
      <c r="S249" t="s">
        <v>6817</v>
      </c>
      <c r="T249" t="s">
        <v>13134</v>
      </c>
      <c r="U249" t="s">
        <v>13134</v>
      </c>
      <c r="V249" t="s">
        <v>13134</v>
      </c>
      <c r="W249" t="s">
        <v>13381</v>
      </c>
      <c r="X249">
        <v>24</v>
      </c>
      <c r="Y249" t="s">
        <v>19873</v>
      </c>
      <c r="Z249" t="s">
        <v>26217</v>
      </c>
      <c r="AA249">
        <v>0.34821669117841442</v>
      </c>
      <c r="AB249" t="str">
        <f>HYPERLINK("Melting_Curves/meltCurve_B7Z3P1_TBCE.pdf", "Melting_Curves/meltCurve_B7Z3P1_TBCE.pdf")</f>
        <v>Melting_Curves/meltCurve_B7Z3P1_TBCE.pdf</v>
      </c>
    </row>
    <row r="250" spans="1:28" x14ac:dyDescent="0.25">
      <c r="A250" t="s">
        <v>254</v>
      </c>
      <c r="B250">
        <v>0.99472303558308395</v>
      </c>
      <c r="C250">
        <v>1.0592658009011</v>
      </c>
      <c r="D250">
        <v>0.62355883203525297</v>
      </c>
      <c r="E250">
        <v>0.55190790111445298</v>
      </c>
      <c r="F250">
        <v>0.58543392704984298</v>
      </c>
      <c r="G250">
        <v>0.34359927310684402</v>
      </c>
      <c r="H250">
        <v>0.29571851739840699</v>
      </c>
      <c r="I250">
        <v>0.239959918194766</v>
      </c>
      <c r="J250">
        <v>6.1624239797462101E-2</v>
      </c>
      <c r="K250">
        <v>0</v>
      </c>
      <c r="L250">
        <v>421.6489366838</v>
      </c>
      <c r="M250">
        <v>8.4806953336174793</v>
      </c>
      <c r="N250">
        <v>49.718672695693101</v>
      </c>
      <c r="O250">
        <v>47.185286760766402</v>
      </c>
      <c r="P250">
        <v>-4.4973793356205501E-2</v>
      </c>
      <c r="Q250">
        <v>0</v>
      </c>
      <c r="R250">
        <v>0.91378972360272603</v>
      </c>
      <c r="S250" t="s">
        <v>6818</v>
      </c>
      <c r="T250" t="s">
        <v>13134</v>
      </c>
      <c r="U250" t="s">
        <v>13134</v>
      </c>
      <c r="V250" t="s">
        <v>13134</v>
      </c>
      <c r="W250" t="s">
        <v>13382</v>
      </c>
      <c r="X250">
        <v>1</v>
      </c>
      <c r="Y250" t="s">
        <v>19874</v>
      </c>
      <c r="Z250" t="s">
        <v>26218</v>
      </c>
      <c r="AA250">
        <v>0.46441627507479782</v>
      </c>
      <c r="AB250" t="str">
        <f>HYPERLINK("Melting_Curves/meltCurve_B7Z3R2_TPCN1.pdf", "Melting_Curves/meltCurve_B7Z3R2_TPCN1.pdf")</f>
        <v>Melting_Curves/meltCurve_B7Z3R2_TPCN1.pdf</v>
      </c>
    </row>
    <row r="251" spans="1:28" x14ac:dyDescent="0.25">
      <c r="A251" t="s">
        <v>255</v>
      </c>
      <c r="B251">
        <v>0.99472303558308395</v>
      </c>
      <c r="C251">
        <v>1.0433504115688901</v>
      </c>
      <c r="D251">
        <v>1.05567490261595</v>
      </c>
      <c r="E251">
        <v>0.91393531927690297</v>
      </c>
      <c r="F251">
        <v>0.76685856634348104</v>
      </c>
      <c r="G251">
        <v>0.62305956363053505</v>
      </c>
      <c r="H251">
        <v>0.53014186046820999</v>
      </c>
      <c r="I251">
        <v>0.64070964021060295</v>
      </c>
      <c r="J251">
        <v>0.85324910723141001</v>
      </c>
      <c r="K251">
        <v>0.67710237431397102</v>
      </c>
      <c r="L251">
        <v>1743.73872095969</v>
      </c>
      <c r="M251">
        <v>35.995506173810199</v>
      </c>
      <c r="O251">
        <v>48.294421583530401</v>
      </c>
      <c r="P251">
        <v>-6.21281956649345E-2</v>
      </c>
      <c r="Q251">
        <v>0.66657645885481798</v>
      </c>
      <c r="R251">
        <v>0.80219231250068002</v>
      </c>
      <c r="S251" t="s">
        <v>6819</v>
      </c>
      <c r="T251" t="s">
        <v>13134</v>
      </c>
      <c r="U251" t="s">
        <v>13134</v>
      </c>
      <c r="V251" t="s">
        <v>13134</v>
      </c>
      <c r="W251" t="s">
        <v>13383</v>
      </c>
      <c r="X251">
        <v>7</v>
      </c>
      <c r="Y251" t="s">
        <v>19875</v>
      </c>
      <c r="Z251" t="s">
        <v>26219</v>
      </c>
      <c r="AA251">
        <v>0.79513859073346371</v>
      </c>
      <c r="AB251" t="str">
        <f>HYPERLINK("Melting_Curves/meltCurve_B7Z4K6_DNASE2.pdf", "Melting_Curves/meltCurve_B7Z4K6_DNASE2.pdf")</f>
        <v>Melting_Curves/meltCurve_B7Z4K6_DNASE2.pdf</v>
      </c>
    </row>
    <row r="252" spans="1:28" x14ac:dyDescent="0.25">
      <c r="A252" t="s">
        <v>256</v>
      </c>
      <c r="B252">
        <v>0.99472303558308395</v>
      </c>
      <c r="C252">
        <v>0.82794036113547897</v>
      </c>
      <c r="D252">
        <v>0.648674181835595</v>
      </c>
      <c r="E252">
        <v>0.41303432801120199</v>
      </c>
      <c r="F252">
        <v>0.23674662845848801</v>
      </c>
      <c r="G252">
        <v>0.13739313871856099</v>
      </c>
      <c r="H252">
        <v>0.129081516634627</v>
      </c>
      <c r="I252">
        <v>8.8850538829241502E-2</v>
      </c>
      <c r="J252">
        <v>0.15776207748256699</v>
      </c>
      <c r="K252">
        <v>0.13149090836501601</v>
      </c>
      <c r="L252">
        <v>672.24730658513704</v>
      </c>
      <c r="M252">
        <v>15.1943890678457</v>
      </c>
      <c r="N252">
        <v>44.977137712488101</v>
      </c>
      <c r="O252">
        <v>43.497981632829202</v>
      </c>
      <c r="P252">
        <v>-7.7746349988778995E-2</v>
      </c>
      <c r="Q252">
        <v>0.109806587894031</v>
      </c>
      <c r="R252">
        <v>0.99325792241559596</v>
      </c>
      <c r="S252" t="s">
        <v>6820</v>
      </c>
      <c r="T252" t="s">
        <v>13134</v>
      </c>
      <c r="U252" t="s">
        <v>13134</v>
      </c>
      <c r="V252" t="s">
        <v>13134</v>
      </c>
      <c r="W252" t="s">
        <v>13384</v>
      </c>
      <c r="X252">
        <v>4</v>
      </c>
      <c r="Y252" t="s">
        <v>19876</v>
      </c>
      <c r="Z252" t="s">
        <v>26220</v>
      </c>
      <c r="AA252">
        <v>0.34600776030665431</v>
      </c>
      <c r="AB252" t="str">
        <f>HYPERLINK("Melting_Curves/meltCurve_B7Z4R0_ERF.pdf", "Melting_Curves/meltCurve_B7Z4R0_ERF.pdf")</f>
        <v>Melting_Curves/meltCurve_B7Z4R0_ERF.pdf</v>
      </c>
    </row>
    <row r="253" spans="1:28" x14ac:dyDescent="0.25">
      <c r="A253" t="s">
        <v>257</v>
      </c>
      <c r="B253">
        <v>0.99472303558308395</v>
      </c>
      <c r="C253">
        <v>1.00106437494739</v>
      </c>
      <c r="D253">
        <v>0.90012537174492202</v>
      </c>
      <c r="E253">
        <v>0.85840189366589004</v>
      </c>
      <c r="F253">
        <v>0.69758640981919995</v>
      </c>
      <c r="G253">
        <v>0.489314629378171</v>
      </c>
      <c r="H253">
        <v>0.350031760867347</v>
      </c>
      <c r="I253">
        <v>0.261758120278065</v>
      </c>
      <c r="J253">
        <v>0.16976899681285201</v>
      </c>
      <c r="K253">
        <v>0.10876257685009499</v>
      </c>
      <c r="L253">
        <v>560.60394767261903</v>
      </c>
      <c r="M253">
        <v>10.383788121596501</v>
      </c>
      <c r="N253">
        <v>54.045999920054399</v>
      </c>
      <c r="O253">
        <v>52.101180897584698</v>
      </c>
      <c r="P253">
        <v>-4.9571733035386402E-2</v>
      </c>
      <c r="Q253">
        <v>5.50424876797767E-3</v>
      </c>
      <c r="R253">
        <v>0.99666770850568398</v>
      </c>
      <c r="S253" t="s">
        <v>6821</v>
      </c>
      <c r="T253" t="s">
        <v>13134</v>
      </c>
      <c r="U253" t="s">
        <v>13134</v>
      </c>
      <c r="V253" t="s">
        <v>13134</v>
      </c>
      <c r="W253" t="s">
        <v>13385</v>
      </c>
      <c r="X253">
        <v>5</v>
      </c>
      <c r="Y253" t="s">
        <v>19877</v>
      </c>
      <c r="Z253" t="s">
        <v>26221</v>
      </c>
      <c r="AA253">
        <v>0.58643053830777214</v>
      </c>
      <c r="AB253" t="str">
        <f>HYPERLINK("Melting_Curves/meltCurve_B7Z4W5_CCBL1.pdf", "Melting_Curves/meltCurve_B7Z4W5_CCBL1.pdf")</f>
        <v>Melting_Curves/meltCurve_B7Z4W5_CCBL1.pdf</v>
      </c>
    </row>
    <row r="254" spans="1:28" x14ac:dyDescent="0.25">
      <c r="A254" t="s">
        <v>258</v>
      </c>
      <c r="B254">
        <v>0.99472303558308395</v>
      </c>
      <c r="C254">
        <v>0.94705252076274005</v>
      </c>
      <c r="D254">
        <v>0.88408805679437996</v>
      </c>
      <c r="E254">
        <v>0.773155961110082</v>
      </c>
      <c r="F254">
        <v>0.644815755848685</v>
      </c>
      <c r="G254">
        <v>0.46447952342012999</v>
      </c>
      <c r="H254">
        <v>0.40198609850558098</v>
      </c>
      <c r="I254">
        <v>0.40955901858878002</v>
      </c>
      <c r="J254">
        <v>0.32967007585577801</v>
      </c>
      <c r="K254">
        <v>0.38400330905366897</v>
      </c>
      <c r="L254">
        <v>615.67394273318996</v>
      </c>
      <c r="M254">
        <v>12.5842362499813</v>
      </c>
      <c r="N254">
        <v>53.5569619603231</v>
      </c>
      <c r="O254">
        <v>47.738094205941898</v>
      </c>
      <c r="P254">
        <v>-4.4054881540885202E-2</v>
      </c>
      <c r="Q254">
        <v>0.33164809411269403</v>
      </c>
      <c r="R254">
        <v>0.99049644800577796</v>
      </c>
      <c r="S254" t="s">
        <v>6822</v>
      </c>
      <c r="T254" t="s">
        <v>13134</v>
      </c>
      <c r="U254" t="s">
        <v>13134</v>
      </c>
      <c r="V254" t="s">
        <v>13134</v>
      </c>
      <c r="W254" t="s">
        <v>13386</v>
      </c>
      <c r="X254">
        <v>1</v>
      </c>
      <c r="Y254" t="s">
        <v>19878</v>
      </c>
      <c r="Z254" t="s">
        <v>26222</v>
      </c>
      <c r="AA254">
        <v>0.61599631381992614</v>
      </c>
      <c r="AB254" t="str">
        <f>HYPERLINK("Melting_Curves/meltCurve_B7Z589_SLC6A9.pdf", "Melting_Curves/meltCurve_B7Z589_SLC6A9.pdf")</f>
        <v>Melting_Curves/meltCurve_B7Z589_SLC6A9.pdf</v>
      </c>
    </row>
    <row r="255" spans="1:28" x14ac:dyDescent="0.25">
      <c r="A255" t="s">
        <v>259</v>
      </c>
      <c r="B255">
        <v>0.99472303558308395</v>
      </c>
      <c r="C255">
        <v>0.99023193200069703</v>
      </c>
      <c r="D255">
        <v>0.87619959401703396</v>
      </c>
      <c r="E255">
        <v>0.70762090549303702</v>
      </c>
      <c r="F255">
        <v>0.64993019797609797</v>
      </c>
      <c r="G255">
        <v>0.444766667269413</v>
      </c>
      <c r="H255">
        <v>0.36993653169045898</v>
      </c>
      <c r="I255">
        <v>0.44501122066704102</v>
      </c>
      <c r="J255">
        <v>0.72915321568854996</v>
      </c>
      <c r="K255">
        <v>0.56220210888820399</v>
      </c>
      <c r="L255">
        <v>964.55206581959396</v>
      </c>
      <c r="M255">
        <v>21.1338809126649</v>
      </c>
      <c r="O255">
        <v>45.237339658067903</v>
      </c>
      <c r="P255">
        <v>-5.6391322253077997E-2</v>
      </c>
      <c r="Q255">
        <v>0.51718727973845402</v>
      </c>
      <c r="R255">
        <v>0.80475309151302599</v>
      </c>
      <c r="S255" t="s">
        <v>6823</v>
      </c>
      <c r="T255" t="s">
        <v>13134</v>
      </c>
      <c r="U255" t="s">
        <v>13134</v>
      </c>
      <c r="V255" t="s">
        <v>13134</v>
      </c>
      <c r="W255" t="s">
        <v>13387</v>
      </c>
      <c r="X255">
        <v>8</v>
      </c>
      <c r="Y255" t="s">
        <v>19879</v>
      </c>
      <c r="Z255" t="s">
        <v>26223</v>
      </c>
      <c r="AA255">
        <v>0.66187750670205758</v>
      </c>
      <c r="AB255" t="str">
        <f>HYPERLINK("Melting_Curves/meltCurve_B7Z5G4_STMN3.pdf", "Melting_Curves/meltCurve_B7Z5G4_STMN3.pdf")</f>
        <v>Melting_Curves/meltCurve_B7Z5G4_STMN3.pdf</v>
      </c>
    </row>
    <row r="256" spans="1:28" x14ac:dyDescent="0.25">
      <c r="A256" t="s">
        <v>260</v>
      </c>
      <c r="B256">
        <v>0.99472303558308395</v>
      </c>
      <c r="C256">
        <v>0.985143544898612</v>
      </c>
      <c r="D256">
        <v>1.0184629164932</v>
      </c>
      <c r="E256">
        <v>0.86395606992487795</v>
      </c>
      <c r="F256">
        <v>0.66778204321268297</v>
      </c>
      <c r="G256">
        <v>0.57396857764686005</v>
      </c>
      <c r="H256">
        <v>0.47984321358439502</v>
      </c>
      <c r="I256">
        <v>0.49760239065772</v>
      </c>
      <c r="J256">
        <v>0.54863564183632796</v>
      </c>
      <c r="K256">
        <v>0.45289277544932999</v>
      </c>
      <c r="L256">
        <v>1123.9511221671901</v>
      </c>
      <c r="M256">
        <v>22.996121109439699</v>
      </c>
      <c r="N256">
        <v>60.239685887575199</v>
      </c>
      <c r="O256">
        <v>48.510579526145698</v>
      </c>
      <c r="P256">
        <v>-6.0030476405455203E-2</v>
      </c>
      <c r="Q256">
        <v>0.493469568416949</v>
      </c>
      <c r="R256">
        <v>0.98363369930966604</v>
      </c>
      <c r="S256" t="s">
        <v>6824</v>
      </c>
      <c r="T256" t="s">
        <v>13134</v>
      </c>
      <c r="U256" t="s">
        <v>13134</v>
      </c>
      <c r="V256" t="s">
        <v>13134</v>
      </c>
      <c r="W256" t="s">
        <v>13388</v>
      </c>
      <c r="X256">
        <v>11</v>
      </c>
      <c r="Y256" t="s">
        <v>19880</v>
      </c>
      <c r="Z256" t="s">
        <v>26224</v>
      </c>
      <c r="AA256">
        <v>0.6991180006162282</v>
      </c>
      <c r="AB256" t="str">
        <f>HYPERLINK("Melting_Curves/meltCurve_B7Z5W1_F11R.pdf", "Melting_Curves/meltCurve_B7Z5W1_F11R.pdf")</f>
        <v>Melting_Curves/meltCurve_B7Z5W1_F11R.pdf</v>
      </c>
    </row>
    <row r="257" spans="1:28" x14ac:dyDescent="0.25">
      <c r="A257" t="s">
        <v>261</v>
      </c>
      <c r="B257">
        <v>0.99472303558308395</v>
      </c>
      <c r="C257">
        <v>0.95934359642756994</v>
      </c>
      <c r="D257">
        <v>0.70756749736265301</v>
      </c>
      <c r="E257">
        <v>0.59213467951339904</v>
      </c>
      <c r="F257">
        <v>0.53079518153269101</v>
      </c>
      <c r="G257">
        <v>0.19178363971024401</v>
      </c>
      <c r="H257">
        <v>0.117764668818225</v>
      </c>
      <c r="I257">
        <v>9.6832336925382706E-2</v>
      </c>
      <c r="J257">
        <v>0.109380407075229</v>
      </c>
      <c r="K257">
        <v>0.102133786269463</v>
      </c>
      <c r="L257">
        <v>532.17840731197396</v>
      </c>
      <c r="M257">
        <v>11.051636271185201</v>
      </c>
      <c r="N257">
        <v>48.4068998996338</v>
      </c>
      <c r="O257">
        <v>46.657802298146201</v>
      </c>
      <c r="P257">
        <v>-5.7573190983347698E-2</v>
      </c>
      <c r="Q257">
        <v>2.8072101364763999E-2</v>
      </c>
      <c r="R257">
        <v>0.96993785095579799</v>
      </c>
      <c r="S257" t="s">
        <v>6825</v>
      </c>
      <c r="T257" t="s">
        <v>13134</v>
      </c>
      <c r="U257" t="s">
        <v>13134</v>
      </c>
      <c r="V257" t="s">
        <v>13134</v>
      </c>
      <c r="W257" t="s">
        <v>13389</v>
      </c>
      <c r="X257">
        <v>6</v>
      </c>
      <c r="Y257" t="s">
        <v>19881</v>
      </c>
      <c r="Z257" t="s">
        <v>26225</v>
      </c>
      <c r="AA257">
        <v>0.4233105552782393</v>
      </c>
      <c r="AB257" t="str">
        <f>HYPERLINK("Melting_Curves/meltCurve_B7Z637_ARMC8.pdf", "Melting_Curves/meltCurve_B7Z637_ARMC8.pdf")</f>
        <v>Melting_Curves/meltCurve_B7Z637_ARMC8.pdf</v>
      </c>
    </row>
    <row r="258" spans="1:28" x14ac:dyDescent="0.25">
      <c r="A258" t="s">
        <v>262</v>
      </c>
      <c r="B258">
        <v>0.99472303558308395</v>
      </c>
      <c r="C258">
        <v>0.98679958531687295</v>
      </c>
      <c r="D258">
        <v>0.96855747297835804</v>
      </c>
      <c r="E258">
        <v>0.90009697474906902</v>
      </c>
      <c r="F258">
        <v>0.72599047820297402</v>
      </c>
      <c r="G258">
        <v>0.57077015431101896</v>
      </c>
      <c r="H258">
        <v>0.33744004743116701</v>
      </c>
      <c r="I258">
        <v>0.21074339893895999</v>
      </c>
      <c r="J258">
        <v>0.112266078694266</v>
      </c>
      <c r="K258">
        <v>0.103886819724427</v>
      </c>
      <c r="L258">
        <v>686.77133718370101</v>
      </c>
      <c r="M258">
        <v>12.5919411431663</v>
      </c>
      <c r="N258">
        <v>54.540545382417598</v>
      </c>
      <c r="O258">
        <v>53.219788934040203</v>
      </c>
      <c r="P258">
        <v>-5.9162459681081497E-2</v>
      </c>
      <c r="Q258">
        <v>0</v>
      </c>
      <c r="R258">
        <v>0.99833086134921101</v>
      </c>
      <c r="S258" t="s">
        <v>6826</v>
      </c>
      <c r="T258" t="s">
        <v>13134</v>
      </c>
      <c r="U258" t="s">
        <v>13134</v>
      </c>
      <c r="V258" t="s">
        <v>13134</v>
      </c>
      <c r="W258" t="s">
        <v>13390</v>
      </c>
      <c r="X258">
        <v>18</v>
      </c>
      <c r="Y258" t="s">
        <v>19882</v>
      </c>
      <c r="Z258" t="s">
        <v>26226</v>
      </c>
      <c r="AA258">
        <v>0.60067227695483938</v>
      </c>
      <c r="AB258" t="str">
        <f>HYPERLINK("Melting_Curves/meltCurve_B7Z6B8_DECR1.pdf", "Melting_Curves/meltCurve_B7Z6B8_DECR1.pdf")</f>
        <v>Melting_Curves/meltCurve_B7Z6B8_DECR1.pdf</v>
      </c>
    </row>
    <row r="259" spans="1:28" x14ac:dyDescent="0.25">
      <c r="A259" t="s">
        <v>263</v>
      </c>
      <c r="B259">
        <v>0.99472303558308395</v>
      </c>
      <c r="C259">
        <v>1.0856685203263601</v>
      </c>
      <c r="D259">
        <v>1.0009742192175299</v>
      </c>
      <c r="E259">
        <v>0.90681192746425698</v>
      </c>
      <c r="F259">
        <v>0.78359767117651702</v>
      </c>
      <c r="G259">
        <v>0.53393332703630003</v>
      </c>
      <c r="H259">
        <v>0.32372394613292799</v>
      </c>
      <c r="I259">
        <v>0.13918344983540001</v>
      </c>
      <c r="J259">
        <v>8.0637056978449598E-2</v>
      </c>
      <c r="K259">
        <v>6.2381877068787998E-2</v>
      </c>
      <c r="L259">
        <v>838.39126946290696</v>
      </c>
      <c r="M259">
        <v>15.4280709680346</v>
      </c>
      <c r="N259">
        <v>54.3419378285544</v>
      </c>
      <c r="O259">
        <v>53.453497467769303</v>
      </c>
      <c r="P259">
        <v>-7.2163027201509897E-2</v>
      </c>
      <c r="Q259">
        <v>0</v>
      </c>
      <c r="R259">
        <v>0.99371072142722205</v>
      </c>
      <c r="S259" t="s">
        <v>6827</v>
      </c>
      <c r="T259" t="s">
        <v>13134</v>
      </c>
      <c r="U259" t="s">
        <v>13134</v>
      </c>
      <c r="V259" t="s">
        <v>13134</v>
      </c>
      <c r="W259" t="s">
        <v>13391</v>
      </c>
      <c r="X259">
        <v>12</v>
      </c>
      <c r="Y259" t="s">
        <v>19883</v>
      </c>
      <c r="Z259" t="s">
        <v>26227</v>
      </c>
      <c r="AA259">
        <v>0.59331718435368686</v>
      </c>
      <c r="AB259" t="str">
        <f>HYPERLINK("Melting_Curves/meltCurve_B7Z7F3_RANBP3.pdf", "Melting_Curves/meltCurve_B7Z7F3_RANBP3.pdf")</f>
        <v>Melting_Curves/meltCurve_B7Z7F3_RANBP3.pdf</v>
      </c>
    </row>
    <row r="260" spans="1:28" x14ac:dyDescent="0.25">
      <c r="A260" t="s">
        <v>264</v>
      </c>
      <c r="B260">
        <v>0.99472303558308395</v>
      </c>
      <c r="C260">
        <v>1.0974450994790099</v>
      </c>
      <c r="D260">
        <v>1.05496162545009</v>
      </c>
      <c r="E260">
        <v>0.82801611643413497</v>
      </c>
      <c r="F260">
        <v>0.73452685410419505</v>
      </c>
      <c r="G260">
        <v>0.28009870581292701</v>
      </c>
      <c r="H260">
        <v>0.12902395545286</v>
      </c>
      <c r="I260">
        <v>7.3099733743087994E-2</v>
      </c>
      <c r="J260">
        <v>0.100370640608249</v>
      </c>
      <c r="K260">
        <v>9.97683428912573E-2</v>
      </c>
      <c r="L260">
        <v>1303.14882055103</v>
      </c>
      <c r="M260">
        <v>25.3232031061697</v>
      </c>
      <c r="N260">
        <v>51.800505112580403</v>
      </c>
      <c r="O260">
        <v>51.142964920558398</v>
      </c>
      <c r="P260">
        <v>-0.11431365580467601</v>
      </c>
      <c r="Q260">
        <v>7.6536304681799602E-2</v>
      </c>
      <c r="R260">
        <v>0.98249775985969301</v>
      </c>
      <c r="S260" t="s">
        <v>6828</v>
      </c>
      <c r="T260" t="s">
        <v>13134</v>
      </c>
      <c r="U260" t="s">
        <v>13134</v>
      </c>
      <c r="V260" t="s">
        <v>13134</v>
      </c>
      <c r="W260" t="s">
        <v>13392</v>
      </c>
      <c r="X260">
        <v>2</v>
      </c>
      <c r="Y260" t="s">
        <v>19884</v>
      </c>
      <c r="Z260" t="s">
        <v>26228</v>
      </c>
      <c r="AA260">
        <v>0.52964431085900843</v>
      </c>
      <c r="AB260" t="str">
        <f>HYPERLINK("Melting_Curves/meltCurve_B7Z7J3_AMN1.pdf", "Melting_Curves/meltCurve_B7Z7J3_AMN1.pdf")</f>
        <v>Melting_Curves/meltCurve_B7Z7J3_AMN1.pdf</v>
      </c>
    </row>
    <row r="261" spans="1:28" x14ac:dyDescent="0.25">
      <c r="A261" t="s">
        <v>265</v>
      </c>
      <c r="B261">
        <v>0.99472303558308395</v>
      </c>
      <c r="C261">
        <v>0.91093750647878002</v>
      </c>
      <c r="D261">
        <v>0.83731305151108304</v>
      </c>
      <c r="E261">
        <v>0.52854806822288203</v>
      </c>
      <c r="F261">
        <v>0.14341468101694199</v>
      </c>
      <c r="G261">
        <v>7.8950472789455606E-2</v>
      </c>
      <c r="H261">
        <v>5.2129327474572398E-2</v>
      </c>
      <c r="I261">
        <v>3.8038976446105599E-2</v>
      </c>
      <c r="J261">
        <v>4.5236754645098798E-2</v>
      </c>
      <c r="K261">
        <v>3.7588690792097097E-2</v>
      </c>
      <c r="L261">
        <v>997.12225770455802</v>
      </c>
      <c r="M261">
        <v>21.500255080730401</v>
      </c>
      <c r="N261">
        <v>46.518028681519098</v>
      </c>
      <c r="O261">
        <v>45.981624140866003</v>
      </c>
      <c r="P261">
        <v>-0.11321624415310499</v>
      </c>
      <c r="Q261">
        <v>3.1502017338893303E-2</v>
      </c>
      <c r="R261">
        <v>0.994979390848304</v>
      </c>
      <c r="S261" t="s">
        <v>6829</v>
      </c>
      <c r="T261" t="s">
        <v>13134</v>
      </c>
      <c r="U261" t="s">
        <v>13134</v>
      </c>
      <c r="V261" t="s">
        <v>13134</v>
      </c>
      <c r="W261" t="s">
        <v>13393</v>
      </c>
      <c r="X261">
        <v>43</v>
      </c>
      <c r="Y261" t="s">
        <v>19885</v>
      </c>
      <c r="Z261" t="s">
        <v>26229</v>
      </c>
      <c r="AA261">
        <v>0.34517823005388681</v>
      </c>
      <c r="AB261" t="str">
        <f>HYPERLINK("Melting_Curves/meltCurve_B7Z815_USP7.pdf", "Melting_Curves/meltCurve_B7Z815_USP7.pdf")</f>
        <v>Melting_Curves/meltCurve_B7Z815_USP7.pdf</v>
      </c>
    </row>
    <row r="262" spans="1:28" x14ac:dyDescent="0.25">
      <c r="A262" t="s">
        <v>266</v>
      </c>
      <c r="B262">
        <v>0.99472303558308395</v>
      </c>
      <c r="C262">
        <v>0.93317511607949799</v>
      </c>
      <c r="D262">
        <v>0.81431429841372305</v>
      </c>
      <c r="E262">
        <v>0.69503918589032199</v>
      </c>
      <c r="F262">
        <v>0.478831930279353</v>
      </c>
      <c r="G262">
        <v>0.28217468736440299</v>
      </c>
      <c r="H262">
        <v>0.20911456289838801</v>
      </c>
      <c r="I262">
        <v>0.25212437547223798</v>
      </c>
      <c r="J262">
        <v>0.275754454223469</v>
      </c>
      <c r="K262">
        <v>0.28645223507950801</v>
      </c>
      <c r="L262">
        <v>729.06481977716999</v>
      </c>
      <c r="M262">
        <v>15.450991340376101</v>
      </c>
      <c r="N262">
        <v>49.161315842725202</v>
      </c>
      <c r="O262">
        <v>46.416424616501999</v>
      </c>
      <c r="P262">
        <v>-6.3978136591309298E-2</v>
      </c>
      <c r="Q262">
        <v>0.23128059041592899</v>
      </c>
      <c r="R262">
        <v>0.981626956288292</v>
      </c>
      <c r="S262" t="s">
        <v>6830</v>
      </c>
      <c r="T262" t="s">
        <v>13134</v>
      </c>
      <c r="U262" t="s">
        <v>13134</v>
      </c>
      <c r="V262" t="s">
        <v>13134</v>
      </c>
      <c r="W262" t="s">
        <v>13394</v>
      </c>
      <c r="X262">
        <v>15</v>
      </c>
      <c r="Y262" t="s">
        <v>19886</v>
      </c>
      <c r="Z262" t="s">
        <v>26230</v>
      </c>
      <c r="AA262">
        <v>0.50862496297861526</v>
      </c>
      <c r="AB262" t="str">
        <f>HYPERLINK("Melting_Curves/meltCurve_B7Z817_DHCR24.pdf", "Melting_Curves/meltCurve_B7Z817_DHCR24.pdf")</f>
        <v>Melting_Curves/meltCurve_B7Z817_DHCR24.pdf</v>
      </c>
    </row>
    <row r="263" spans="1:28" x14ac:dyDescent="0.25">
      <c r="A263" t="s">
        <v>267</v>
      </c>
      <c r="B263">
        <v>0.99472303558308395</v>
      </c>
      <c r="C263">
        <v>0.79564932439709701</v>
      </c>
      <c r="D263">
        <v>0.63684631995005003</v>
      </c>
      <c r="E263">
        <v>0.13519530565618801</v>
      </c>
      <c r="F263">
        <v>5.5247005183532101E-2</v>
      </c>
      <c r="G263">
        <v>2.3670037529215999E-2</v>
      </c>
      <c r="H263">
        <v>2.2896555361399999E-2</v>
      </c>
      <c r="I263">
        <v>2.1720102020764201E-2</v>
      </c>
      <c r="J263">
        <v>1.54380992722384E-2</v>
      </c>
      <c r="K263">
        <v>1.0432750988525899E-2</v>
      </c>
      <c r="L263">
        <v>966.06144342707398</v>
      </c>
      <c r="M263">
        <v>22.215670006684299</v>
      </c>
      <c r="N263">
        <v>43.521442590200998</v>
      </c>
      <c r="O263">
        <v>43.137833541875104</v>
      </c>
      <c r="P263">
        <v>-0.12758342445484</v>
      </c>
      <c r="Q263">
        <v>9.0680466724209208E-3</v>
      </c>
      <c r="R263">
        <v>0.987816833638266</v>
      </c>
      <c r="S263" t="s">
        <v>6831</v>
      </c>
      <c r="T263" t="s">
        <v>13134</v>
      </c>
      <c r="U263" t="s">
        <v>13134</v>
      </c>
      <c r="V263" t="s">
        <v>13134</v>
      </c>
      <c r="W263" t="s">
        <v>13395</v>
      </c>
      <c r="X263">
        <v>3</v>
      </c>
      <c r="Y263" t="s">
        <v>19887</v>
      </c>
      <c r="Z263" t="s">
        <v>26231</v>
      </c>
      <c r="AA263">
        <v>0.23395979912214679</v>
      </c>
      <c r="AB263" t="str">
        <f>HYPERLINK("Melting_Curves/meltCurve_B7Z8H2_TRDMT1.pdf", "Melting_Curves/meltCurve_B7Z8H2_TRDMT1.pdf")</f>
        <v>Melting_Curves/meltCurve_B7Z8H2_TRDMT1.pdf</v>
      </c>
    </row>
    <row r="264" spans="1:28" x14ac:dyDescent="0.25">
      <c r="A264" t="s">
        <v>268</v>
      </c>
      <c r="B264">
        <v>0.99472303558308395</v>
      </c>
      <c r="C264">
        <v>0.92357166458085505</v>
      </c>
      <c r="D264">
        <v>1.1381117386303601</v>
      </c>
      <c r="E264">
        <v>0.78637850961751399</v>
      </c>
      <c r="F264">
        <v>0.410565113764018</v>
      </c>
      <c r="G264">
        <v>0.56926454342301802</v>
      </c>
      <c r="H264">
        <v>0.39230550950516901</v>
      </c>
      <c r="I264">
        <v>0.65365633351902996</v>
      </c>
      <c r="J264">
        <v>0.89238463368456</v>
      </c>
      <c r="K264">
        <v>0.373183263581639</v>
      </c>
      <c r="L264">
        <v>11655.000294211401</v>
      </c>
      <c r="M264">
        <v>250</v>
      </c>
      <c r="O264">
        <v>46.617017741483998</v>
      </c>
      <c r="P264">
        <v>-0.60525120780306096</v>
      </c>
      <c r="Q264">
        <v>0.54855989922905701</v>
      </c>
      <c r="R264">
        <v>0.66144621771727197</v>
      </c>
      <c r="S264" t="s">
        <v>6832</v>
      </c>
      <c r="T264" t="s">
        <v>13134</v>
      </c>
      <c r="U264" t="s">
        <v>13134</v>
      </c>
      <c r="V264" t="s">
        <v>13134</v>
      </c>
      <c r="W264" t="s">
        <v>13396</v>
      </c>
      <c r="X264">
        <v>3</v>
      </c>
      <c r="Y264" t="s">
        <v>19888</v>
      </c>
      <c r="Z264" t="s">
        <v>26232</v>
      </c>
      <c r="AA264">
        <v>0.69335864489680687</v>
      </c>
      <c r="AB264" t="str">
        <f>HYPERLINK("Melting_Curves/meltCurve_B7Z9C6_SH3PXD2A.pdf", "Melting_Curves/meltCurve_B7Z9C6_SH3PXD2A.pdf")</f>
        <v>Melting_Curves/meltCurve_B7Z9C6_SH3PXD2A.pdf</v>
      </c>
    </row>
    <row r="265" spans="1:28" x14ac:dyDescent="0.25">
      <c r="A265" t="s">
        <v>269</v>
      </c>
      <c r="B265">
        <v>0.99472303558308395</v>
      </c>
      <c r="C265">
        <v>0.96597903647302696</v>
      </c>
      <c r="D265">
        <v>0.91717192252793001</v>
      </c>
      <c r="E265">
        <v>0.70962209744562998</v>
      </c>
      <c r="F265">
        <v>0.47830857783749298</v>
      </c>
      <c r="G265">
        <v>0.16240656306239601</v>
      </c>
      <c r="H265">
        <v>7.0690648497299197E-2</v>
      </c>
      <c r="I265">
        <v>3.6946577213594997E-2</v>
      </c>
      <c r="J265">
        <v>5.6682593600708403E-2</v>
      </c>
      <c r="K265">
        <v>4.4634228914561397E-2</v>
      </c>
      <c r="L265">
        <v>854.77408383376996</v>
      </c>
      <c r="M265">
        <v>17.3613189835519</v>
      </c>
      <c r="N265">
        <v>49.329618687989999</v>
      </c>
      <c r="O265">
        <v>48.595114380930298</v>
      </c>
      <c r="P265">
        <v>-8.7849504936141201E-2</v>
      </c>
      <c r="Q265">
        <v>1.6477052166622298E-2</v>
      </c>
      <c r="R265">
        <v>0.99586265969840004</v>
      </c>
      <c r="S265" t="s">
        <v>6833</v>
      </c>
      <c r="T265" t="s">
        <v>13134</v>
      </c>
      <c r="U265" t="s">
        <v>13134</v>
      </c>
      <c r="V265" t="s">
        <v>13134</v>
      </c>
      <c r="W265" t="s">
        <v>13397</v>
      </c>
      <c r="X265">
        <v>8</v>
      </c>
      <c r="Y265" t="s">
        <v>19889</v>
      </c>
      <c r="Z265" t="s">
        <v>26233</v>
      </c>
      <c r="AA265">
        <v>0.43417315786365213</v>
      </c>
      <c r="AB265" t="str">
        <f>HYPERLINK("Melting_Curves/meltCurve_B7Z9I3_ATP6AP2.pdf", "Melting_Curves/meltCurve_B7Z9I3_ATP6AP2.pdf")</f>
        <v>Melting_Curves/meltCurve_B7Z9I3_ATP6AP2.pdf</v>
      </c>
    </row>
    <row r="266" spans="1:28" x14ac:dyDescent="0.25">
      <c r="A266" t="s">
        <v>270</v>
      </c>
      <c r="B266">
        <v>0.99472303558308395</v>
      </c>
      <c r="C266">
        <v>0.88120823465530895</v>
      </c>
      <c r="D266">
        <v>0.98230065010968604</v>
      </c>
      <c r="E266">
        <v>0.65942780853226501</v>
      </c>
      <c r="F266">
        <v>0.18168496961762801</v>
      </c>
      <c r="G266">
        <v>9.0571355720416594E-2</v>
      </c>
      <c r="H266">
        <v>7.4063546993365495E-2</v>
      </c>
      <c r="I266">
        <v>4.2518269483153202E-2</v>
      </c>
      <c r="J266">
        <v>9.3943558366300695E-2</v>
      </c>
      <c r="K266">
        <v>4.5825066706683897E-2</v>
      </c>
      <c r="L266">
        <v>1603.5318074471199</v>
      </c>
      <c r="M266">
        <v>33.855368623291099</v>
      </c>
      <c r="N266">
        <v>47.559640931803898</v>
      </c>
      <c r="O266">
        <v>47.199849228477497</v>
      </c>
      <c r="P266">
        <v>-0.16767407207450799</v>
      </c>
      <c r="Q266">
        <v>6.4944992721208197E-2</v>
      </c>
      <c r="R266">
        <v>0.99007949756713698</v>
      </c>
      <c r="S266" t="s">
        <v>6834</v>
      </c>
      <c r="T266" t="s">
        <v>13134</v>
      </c>
      <c r="U266" t="s">
        <v>13134</v>
      </c>
      <c r="V266" t="s">
        <v>13134</v>
      </c>
      <c r="W266" t="s">
        <v>13398</v>
      </c>
      <c r="X266">
        <v>14</v>
      </c>
      <c r="Y266" t="s">
        <v>19890</v>
      </c>
      <c r="Z266" t="s">
        <v>26234</v>
      </c>
      <c r="AA266">
        <v>0.3922680625842947</v>
      </c>
      <c r="AB266" t="str">
        <f>HYPERLINK("Melting_Curves/meltCurve_B7ZC38_SH3GLB2.pdf", "Melting_Curves/meltCurve_B7ZC38_SH3GLB2.pdf")</f>
        <v>Melting_Curves/meltCurve_B7ZC38_SH3GLB2.pdf</v>
      </c>
    </row>
    <row r="267" spans="1:28" x14ac:dyDescent="0.25">
      <c r="A267" t="s">
        <v>271</v>
      </c>
      <c r="B267">
        <v>0.99472303558308395</v>
      </c>
      <c r="C267">
        <v>0.94599340741290305</v>
      </c>
      <c r="D267">
        <v>0.89521339681564105</v>
      </c>
      <c r="E267">
        <v>0.71725951806413102</v>
      </c>
      <c r="F267">
        <v>0.24961746127293799</v>
      </c>
      <c r="G267">
        <v>0.10876896030750501</v>
      </c>
      <c r="H267">
        <v>6.5050083818012597E-2</v>
      </c>
      <c r="I267">
        <v>5.1990237551027697E-2</v>
      </c>
      <c r="J267">
        <v>6.7269971615478305E-2</v>
      </c>
      <c r="K267">
        <v>3.9255535952312202E-2</v>
      </c>
      <c r="L267">
        <v>1215.22338771818</v>
      </c>
      <c r="M267">
        <v>25.376805669366401</v>
      </c>
      <c r="N267">
        <v>48.082912475954103</v>
      </c>
      <c r="O267">
        <v>47.592769172602601</v>
      </c>
      <c r="P267">
        <v>-0.126761659569813</v>
      </c>
      <c r="Q267">
        <v>4.9074669061938102E-2</v>
      </c>
      <c r="R267">
        <v>0.99531171407790198</v>
      </c>
      <c r="S267" t="s">
        <v>6835</v>
      </c>
      <c r="T267" t="s">
        <v>13134</v>
      </c>
      <c r="U267" t="s">
        <v>13134</v>
      </c>
      <c r="V267" t="s">
        <v>13134</v>
      </c>
      <c r="W267" t="s">
        <v>13399</v>
      </c>
      <c r="X267">
        <v>11</v>
      </c>
      <c r="Y267" t="s">
        <v>19891</v>
      </c>
      <c r="Z267" t="s">
        <v>26235</v>
      </c>
      <c r="AA267">
        <v>0.40202447988924972</v>
      </c>
      <c r="AB267" t="str">
        <f>HYPERLINK("Melting_Curves/meltCurve_B7ZKK9_PPP2R5E.pdf", "Melting_Curves/meltCurve_B7ZKK9_PPP2R5E.pdf")</f>
        <v>Melting_Curves/meltCurve_B7ZKK9_PPP2R5E.pdf</v>
      </c>
    </row>
    <row r="268" spans="1:28" x14ac:dyDescent="0.25">
      <c r="A268" t="s">
        <v>272</v>
      </c>
      <c r="B268">
        <v>0.99472303558308395</v>
      </c>
      <c r="C268">
        <v>0.98137152264568395</v>
      </c>
      <c r="D268">
        <v>0.92421505715894003</v>
      </c>
      <c r="E268">
        <v>0.88112478618847301</v>
      </c>
      <c r="F268">
        <v>0.70326016845344796</v>
      </c>
      <c r="G268">
        <v>0.49635891336800297</v>
      </c>
      <c r="H268">
        <v>0.40090891598204997</v>
      </c>
      <c r="I268">
        <v>0.425780967272473</v>
      </c>
      <c r="J268">
        <v>0.52465829426138</v>
      </c>
      <c r="K268">
        <v>0.51639434844629595</v>
      </c>
      <c r="L268">
        <v>1207.74423579527</v>
      </c>
      <c r="M268">
        <v>24.5235062785606</v>
      </c>
      <c r="N268">
        <v>54.936472396685403</v>
      </c>
      <c r="O268">
        <v>48.924460162918898</v>
      </c>
      <c r="P268">
        <v>-6.7603372178791907E-2</v>
      </c>
      <c r="Q268">
        <v>0.46053220133644202</v>
      </c>
      <c r="R268">
        <v>0.96105546599647595</v>
      </c>
      <c r="S268" t="s">
        <v>6836</v>
      </c>
      <c r="T268" t="s">
        <v>13134</v>
      </c>
      <c r="U268" t="s">
        <v>13134</v>
      </c>
      <c r="V268" t="s">
        <v>13134</v>
      </c>
      <c r="W268" t="s">
        <v>13400</v>
      </c>
      <c r="X268">
        <v>6</v>
      </c>
      <c r="Y268" t="s">
        <v>19892</v>
      </c>
      <c r="Z268" t="s">
        <v>26236</v>
      </c>
      <c r="AA268">
        <v>0.68564038131891492</v>
      </c>
      <c r="AB268" t="str">
        <f>HYPERLINK("Melting_Curves/meltCurve_B7ZKQ9_SCARB1.pdf", "Melting_Curves/meltCurve_B7ZKQ9_SCARB1.pdf")</f>
        <v>Melting_Curves/meltCurve_B7ZKQ9_SCARB1.pdf</v>
      </c>
    </row>
    <row r="269" spans="1:28" x14ac:dyDescent="0.25">
      <c r="A269" t="s">
        <v>273</v>
      </c>
      <c r="B269">
        <v>0.99472303558308395</v>
      </c>
      <c r="C269">
        <v>1.0219948238508401</v>
      </c>
      <c r="D269">
        <v>1.00864530479379</v>
      </c>
      <c r="E269">
        <v>0.93411261580356098</v>
      </c>
      <c r="F269">
        <v>0.63212149708416399</v>
      </c>
      <c r="G269">
        <v>0.56959080306946597</v>
      </c>
      <c r="H269">
        <v>0.54196662206240098</v>
      </c>
      <c r="I269">
        <v>0.57402061658605597</v>
      </c>
      <c r="J269">
        <v>0.87947100533187095</v>
      </c>
      <c r="K269">
        <v>0.67224268799155296</v>
      </c>
      <c r="L269">
        <v>11718.931065783099</v>
      </c>
      <c r="M269">
        <v>250</v>
      </c>
      <c r="O269">
        <v>46.872725871015199</v>
      </c>
      <c r="P269">
        <v>-0.473486716094353</v>
      </c>
      <c r="Q269">
        <v>0.64490220183547597</v>
      </c>
      <c r="R269">
        <v>0.78817991048925595</v>
      </c>
      <c r="S269" t="s">
        <v>6837</v>
      </c>
      <c r="T269" t="s">
        <v>13134</v>
      </c>
      <c r="U269" t="s">
        <v>13134</v>
      </c>
      <c r="V269" t="s">
        <v>13134</v>
      </c>
      <c r="W269" t="s">
        <v>13401</v>
      </c>
      <c r="X269">
        <v>18</v>
      </c>
      <c r="Y269" t="s">
        <v>19893</v>
      </c>
      <c r="Z269" t="s">
        <v>26237</v>
      </c>
      <c r="AA269">
        <v>0.76182634574068497</v>
      </c>
      <c r="AB269" t="str">
        <f>HYPERLINK("Melting_Curves/meltCurve_B7ZKW8_RCSD1.pdf", "Melting_Curves/meltCurve_B7ZKW8_RCSD1.pdf")</f>
        <v>Melting_Curves/meltCurve_B7ZKW8_RCSD1.pdf</v>
      </c>
    </row>
    <row r="270" spans="1:28" x14ac:dyDescent="0.25">
      <c r="A270" t="s">
        <v>274</v>
      </c>
      <c r="B270">
        <v>0.99472303558308395</v>
      </c>
      <c r="C270">
        <v>0.97154496307905702</v>
      </c>
      <c r="D270">
        <v>0.90003760638047203</v>
      </c>
      <c r="E270">
        <v>0.80755006824277897</v>
      </c>
      <c r="F270">
        <v>0.60490034834832995</v>
      </c>
      <c r="G270">
        <v>0.56308776355103796</v>
      </c>
      <c r="H270">
        <v>0.41684065808786003</v>
      </c>
      <c r="I270">
        <v>0.29405069832384301</v>
      </c>
      <c r="J270">
        <v>0.184169605398532</v>
      </c>
      <c r="K270">
        <v>0.12658546180584601</v>
      </c>
      <c r="L270">
        <v>468.56257563874999</v>
      </c>
      <c r="M270">
        <v>8.6364516058092207</v>
      </c>
      <c r="N270">
        <v>54.254065746650298</v>
      </c>
      <c r="O270">
        <v>51.580460834651603</v>
      </c>
      <c r="P270">
        <v>-4.1894645990339999E-2</v>
      </c>
      <c r="Q270">
        <v>0</v>
      </c>
      <c r="R270">
        <v>0.98989772049887303</v>
      </c>
      <c r="S270" t="s">
        <v>6838</v>
      </c>
      <c r="T270" t="s">
        <v>13134</v>
      </c>
      <c r="U270" t="s">
        <v>13134</v>
      </c>
      <c r="V270" t="s">
        <v>13134</v>
      </c>
      <c r="W270" t="s">
        <v>13402</v>
      </c>
      <c r="X270">
        <v>3</v>
      </c>
      <c r="Y270" t="s">
        <v>19894</v>
      </c>
      <c r="Z270" t="s">
        <v>26238</v>
      </c>
      <c r="AA270">
        <v>0.58938057931242838</v>
      </c>
      <c r="AB270" t="str">
        <f>HYPERLINK("Melting_Curves/meltCurve_B7ZL88_COX18.pdf", "Melting_Curves/meltCurve_B7ZL88_COX18.pdf")</f>
        <v>Melting_Curves/meltCurve_B7ZL88_COX18.pdf</v>
      </c>
    </row>
    <row r="271" spans="1:28" x14ac:dyDescent="0.25">
      <c r="A271" t="s">
        <v>275</v>
      </c>
      <c r="B271">
        <v>0.99472303558308395</v>
      </c>
      <c r="C271">
        <v>1.9570209228278499</v>
      </c>
      <c r="D271">
        <v>1.2114231924041301</v>
      </c>
      <c r="E271">
        <v>0.98572833636520296</v>
      </c>
      <c r="F271">
        <v>0.98197830202618897</v>
      </c>
      <c r="G271">
        <v>0.72209104613728803</v>
      </c>
      <c r="H271">
        <v>0.41094567362539403</v>
      </c>
      <c r="I271">
        <v>0.27135242467902398</v>
      </c>
      <c r="J271">
        <v>0.213617213054621</v>
      </c>
      <c r="K271">
        <v>0.21542172185712799</v>
      </c>
      <c r="L271">
        <v>1565.68460237572</v>
      </c>
      <c r="M271">
        <v>28.408864253053199</v>
      </c>
      <c r="N271">
        <v>56.2009819032032</v>
      </c>
      <c r="O271">
        <v>54.841622486933097</v>
      </c>
      <c r="P271">
        <v>-0.102104362132018</v>
      </c>
      <c r="Q271">
        <v>0.21158079960397599</v>
      </c>
      <c r="R271">
        <v>0.64829125180505298</v>
      </c>
      <c r="S271" t="s">
        <v>6839</v>
      </c>
      <c r="T271" t="s">
        <v>13134</v>
      </c>
      <c r="U271" t="s">
        <v>13134</v>
      </c>
      <c r="V271" t="s">
        <v>13134</v>
      </c>
      <c r="W271" t="s">
        <v>13403</v>
      </c>
      <c r="X271">
        <v>4</v>
      </c>
      <c r="Y271" t="s">
        <v>19895</v>
      </c>
      <c r="Z271" t="s">
        <v>26239</v>
      </c>
      <c r="AA271">
        <v>0.69306514030467425</v>
      </c>
      <c r="AB271" t="str">
        <f>HYPERLINK("Melting_Curves/meltCurve_B7ZLP8_TARSL2.pdf", "Melting_Curves/meltCurve_B7ZLP8_TARSL2.pdf")</f>
        <v>Melting_Curves/meltCurve_B7ZLP8_TARSL2.pdf</v>
      </c>
    </row>
    <row r="272" spans="1:28" x14ac:dyDescent="0.25">
      <c r="A272" t="s">
        <v>276</v>
      </c>
      <c r="B272">
        <v>0.99472303558308395</v>
      </c>
      <c r="C272">
        <v>0.85428777105398401</v>
      </c>
      <c r="D272">
        <v>0.86204203170886395</v>
      </c>
      <c r="E272">
        <v>0.60548015122870702</v>
      </c>
      <c r="F272">
        <v>0.428947040726469</v>
      </c>
      <c r="G272">
        <v>0.16404098202232101</v>
      </c>
      <c r="H272">
        <v>9.9566932266296704E-2</v>
      </c>
      <c r="I272">
        <v>0.10280285383340899</v>
      </c>
      <c r="J272">
        <v>0.110264582786204</v>
      </c>
      <c r="K272">
        <v>0.11114552080518</v>
      </c>
      <c r="L272">
        <v>676.06405891504005</v>
      </c>
      <c r="M272">
        <v>14.171734398058399</v>
      </c>
      <c r="N272">
        <v>48.1688764437394</v>
      </c>
      <c r="O272">
        <v>46.785362790690101</v>
      </c>
      <c r="P272">
        <v>-7.0906947130943407E-2</v>
      </c>
      <c r="Q272">
        <v>6.3773388838821804E-2</v>
      </c>
      <c r="R272">
        <v>0.98462823625929796</v>
      </c>
      <c r="S272" t="s">
        <v>6840</v>
      </c>
      <c r="T272" t="s">
        <v>13134</v>
      </c>
      <c r="U272" t="s">
        <v>13134</v>
      </c>
      <c r="V272" t="s">
        <v>13134</v>
      </c>
      <c r="W272" t="s">
        <v>13404</v>
      </c>
      <c r="X272">
        <v>6</v>
      </c>
      <c r="Y272" t="s">
        <v>19896</v>
      </c>
      <c r="Z272" t="s">
        <v>26240</v>
      </c>
      <c r="AA272">
        <v>0.42069884063166102</v>
      </c>
      <c r="AB272" t="str">
        <f>HYPERLINK("Melting_Curves/meltCurve_B7ZLZ2_EDEM3.pdf", "Melting_Curves/meltCurve_B7ZLZ2_EDEM3.pdf")</f>
        <v>Melting_Curves/meltCurve_B7ZLZ2_EDEM3.pdf</v>
      </c>
    </row>
    <row r="273" spans="1:28" x14ac:dyDescent="0.25">
      <c r="A273" t="s">
        <v>277</v>
      </c>
      <c r="B273">
        <v>0.99472303558308395</v>
      </c>
      <c r="C273">
        <v>0.927843071341104</v>
      </c>
      <c r="D273">
        <v>0.84420461083514597</v>
      </c>
      <c r="E273">
        <v>0.69017248735632097</v>
      </c>
      <c r="F273">
        <v>0.43990505487612203</v>
      </c>
      <c r="G273">
        <v>0.20593880651490201</v>
      </c>
      <c r="H273">
        <v>0.161250661564972</v>
      </c>
      <c r="I273">
        <v>0.13860129913722799</v>
      </c>
      <c r="J273">
        <v>0.26417416165156699</v>
      </c>
      <c r="K273">
        <v>0.179219407230923</v>
      </c>
      <c r="L273">
        <v>814.56872542062297</v>
      </c>
      <c r="M273">
        <v>17.104139737534499</v>
      </c>
      <c r="N273">
        <v>48.731614537191597</v>
      </c>
      <c r="O273">
        <v>46.987373774218803</v>
      </c>
      <c r="P273">
        <v>-7.6352786751640894E-2</v>
      </c>
      <c r="Q273">
        <v>0.161045091082373</v>
      </c>
      <c r="R273">
        <v>0.98014734819167204</v>
      </c>
      <c r="S273" t="s">
        <v>6841</v>
      </c>
      <c r="T273" t="s">
        <v>13134</v>
      </c>
      <c r="U273" t="s">
        <v>13134</v>
      </c>
      <c r="V273" t="s">
        <v>13134</v>
      </c>
      <c r="W273" t="s">
        <v>13405</v>
      </c>
      <c r="X273">
        <v>2</v>
      </c>
      <c r="Y273" t="s">
        <v>19897</v>
      </c>
      <c r="Z273" t="s">
        <v>26241</v>
      </c>
      <c r="AA273">
        <v>0.47290421564384921</v>
      </c>
      <c r="AB273" t="str">
        <f>HYPERLINK("Melting_Curves/meltCurve_B8X2Z3_RLTPR.pdf", "Melting_Curves/meltCurve_B8X2Z3_RLTPR.pdf")</f>
        <v>Melting_Curves/meltCurve_B8X2Z3_RLTPR.pdf</v>
      </c>
    </row>
    <row r="274" spans="1:28" x14ac:dyDescent="0.25">
      <c r="A274" t="s">
        <v>278</v>
      </c>
      <c r="B274">
        <v>0.99472303558308395</v>
      </c>
      <c r="C274">
        <v>0.85866834219055099</v>
      </c>
      <c r="D274">
        <v>0.92698883192672199</v>
      </c>
      <c r="E274">
        <v>0.65482455809487805</v>
      </c>
      <c r="F274">
        <v>0.37461198090485398</v>
      </c>
      <c r="G274">
        <v>0.204446630135315</v>
      </c>
      <c r="H274">
        <v>0.160706163645019</v>
      </c>
      <c r="I274">
        <v>0.114472947571165</v>
      </c>
      <c r="J274">
        <v>0.16773577770749501</v>
      </c>
      <c r="K274">
        <v>0.162456711312253</v>
      </c>
      <c r="L274">
        <v>892.96667917903801</v>
      </c>
      <c r="M274">
        <v>18.772361808284501</v>
      </c>
      <c r="N274">
        <v>48.374889137893497</v>
      </c>
      <c r="O274">
        <v>47.038223757836903</v>
      </c>
      <c r="P274">
        <v>-8.6366640621027502E-2</v>
      </c>
      <c r="Q274">
        <v>0.13439479022063699</v>
      </c>
      <c r="R274">
        <v>0.98457919254446202</v>
      </c>
      <c r="S274" t="s">
        <v>6842</v>
      </c>
      <c r="T274" t="s">
        <v>13134</v>
      </c>
      <c r="U274" t="s">
        <v>13134</v>
      </c>
      <c r="V274" t="s">
        <v>13134</v>
      </c>
      <c r="W274" t="s">
        <v>13406</v>
      </c>
      <c r="X274">
        <v>7</v>
      </c>
      <c r="Y274" t="s">
        <v>19898</v>
      </c>
      <c r="Z274" t="s">
        <v>26242</v>
      </c>
      <c r="AA274">
        <v>0.45213364324185928</v>
      </c>
      <c r="AB274" t="str">
        <f>HYPERLINK("Melting_Curves/meltCurve_B8ZZD4_TAX1BP1.pdf", "Melting_Curves/meltCurve_B8ZZD4_TAX1BP1.pdf")</f>
        <v>Melting_Curves/meltCurve_B8ZZD4_TAX1BP1.pdf</v>
      </c>
    </row>
    <row r="275" spans="1:28" x14ac:dyDescent="0.25">
      <c r="A275" t="s">
        <v>279</v>
      </c>
      <c r="B275">
        <v>0.99472303558308395</v>
      </c>
      <c r="C275">
        <v>0.87926229984725002</v>
      </c>
      <c r="D275">
        <v>1.03025951747921</v>
      </c>
      <c r="E275">
        <v>0.55676049509620196</v>
      </c>
      <c r="F275">
        <v>0.35258140896588103</v>
      </c>
      <c r="G275">
        <v>0.28190355701229702</v>
      </c>
      <c r="H275">
        <v>0.19957827147377</v>
      </c>
      <c r="I275">
        <v>0.21573917742644499</v>
      </c>
      <c r="J275">
        <v>0.21906389642805599</v>
      </c>
      <c r="K275">
        <v>0.169898491572714</v>
      </c>
      <c r="L275">
        <v>1362.7336375841601</v>
      </c>
      <c r="M275">
        <v>29.2711907418179</v>
      </c>
      <c r="N275">
        <v>47.489430521254</v>
      </c>
      <c r="O275">
        <v>46.339787610255101</v>
      </c>
      <c r="P275">
        <v>-0.12335896635261499</v>
      </c>
      <c r="Q275">
        <v>0.21883776673640301</v>
      </c>
      <c r="R275">
        <v>0.97085256280569698</v>
      </c>
      <c r="S275" t="s">
        <v>6843</v>
      </c>
      <c r="T275" t="s">
        <v>13134</v>
      </c>
      <c r="U275" t="s">
        <v>13134</v>
      </c>
      <c r="V275" t="s">
        <v>13134</v>
      </c>
      <c r="W275" t="s">
        <v>13407</v>
      </c>
      <c r="X275">
        <v>4</v>
      </c>
      <c r="Y275" t="s">
        <v>19899</v>
      </c>
      <c r="Z275" t="s">
        <v>26243</v>
      </c>
      <c r="AA275">
        <v>0.47238277303589898</v>
      </c>
      <c r="AB275" t="str">
        <f>HYPERLINK("Melting_Curves/meltCurve_B8ZZN6_SUMO1.pdf", "Melting_Curves/meltCurve_B8ZZN6_SUMO1.pdf")</f>
        <v>Melting_Curves/meltCurve_B8ZZN6_SUMO1.pdf</v>
      </c>
    </row>
    <row r="276" spans="1:28" x14ac:dyDescent="0.25">
      <c r="A276" t="s">
        <v>280</v>
      </c>
      <c r="B276">
        <v>0.99472303558308395</v>
      </c>
      <c r="C276">
        <v>0.89985716301346896</v>
      </c>
      <c r="D276">
        <v>1.1785835723765301</v>
      </c>
      <c r="E276">
        <v>0.954091685269154</v>
      </c>
      <c r="F276">
        <v>0.586510137288623</v>
      </c>
      <c r="G276">
        <v>0.63561153650510405</v>
      </c>
      <c r="H276">
        <v>0.74913061671237602</v>
      </c>
      <c r="I276">
        <v>0.76690817314570303</v>
      </c>
      <c r="J276">
        <v>1.3104424802432799</v>
      </c>
      <c r="K276">
        <v>0.82503684305011205</v>
      </c>
      <c r="L276">
        <v>11702.5601166752</v>
      </c>
      <c r="M276">
        <v>250</v>
      </c>
      <c r="O276">
        <v>46.807244824463801</v>
      </c>
      <c r="P276">
        <v>-0.25066458769614602</v>
      </c>
      <c r="Q276">
        <v>0.81227330022779298</v>
      </c>
      <c r="R276">
        <v>0.196817880066784</v>
      </c>
      <c r="S276" t="s">
        <v>6844</v>
      </c>
      <c r="T276" t="s">
        <v>13134</v>
      </c>
      <c r="U276" t="s">
        <v>13134</v>
      </c>
      <c r="V276" t="s">
        <v>13134</v>
      </c>
      <c r="W276" t="s">
        <v>13408</v>
      </c>
      <c r="X276">
        <v>10</v>
      </c>
      <c r="Y276" t="s">
        <v>19900</v>
      </c>
      <c r="Z276" t="s">
        <v>26244</v>
      </c>
      <c r="AA276">
        <v>0.87367685776910375</v>
      </c>
      <c r="AB276" t="str">
        <f>HYPERLINK("Melting_Curves/meltCurve_B8ZZQ6_PTMA.pdf", "Melting_Curves/meltCurve_B8ZZQ6_PTMA.pdf")</f>
        <v>Melting_Curves/meltCurve_B8ZZQ6_PTMA.pdf</v>
      </c>
    </row>
    <row r="277" spans="1:28" x14ac:dyDescent="0.25">
      <c r="A277" t="s">
        <v>281</v>
      </c>
      <c r="B277">
        <v>0.99472303558308395</v>
      </c>
      <c r="C277">
        <v>0.996867882993832</v>
      </c>
      <c r="D277">
        <v>0.91106416511406296</v>
      </c>
      <c r="E277">
        <v>0.69939661988312796</v>
      </c>
      <c r="F277">
        <v>0.296562669435744</v>
      </c>
      <c r="G277">
        <v>0.18338101069336801</v>
      </c>
      <c r="H277">
        <v>0.14703324233766199</v>
      </c>
      <c r="I277">
        <v>8.6232542953730298E-2</v>
      </c>
      <c r="J277">
        <v>7.0231436514502102E-2</v>
      </c>
      <c r="K277">
        <v>6.2769610348429594E-2</v>
      </c>
      <c r="L277">
        <v>1038.70785783113</v>
      </c>
      <c r="M277">
        <v>21.681997306205901</v>
      </c>
      <c r="N277">
        <v>48.3070691299421</v>
      </c>
      <c r="O277">
        <v>47.504524977101099</v>
      </c>
      <c r="P277">
        <v>-0.104718386971384</v>
      </c>
      <c r="Q277">
        <v>8.22837249239462E-2</v>
      </c>
      <c r="R277">
        <v>0.99665703428803298</v>
      </c>
      <c r="S277" t="s">
        <v>6845</v>
      </c>
      <c r="T277" t="s">
        <v>13134</v>
      </c>
      <c r="U277" t="s">
        <v>13134</v>
      </c>
      <c r="V277" t="s">
        <v>13134</v>
      </c>
      <c r="W277" t="s">
        <v>13409</v>
      </c>
      <c r="X277">
        <v>3</v>
      </c>
      <c r="Y277" t="s">
        <v>19901</v>
      </c>
      <c r="Z277" t="s">
        <v>26245</v>
      </c>
      <c r="AA277">
        <v>0.42624304866314261</v>
      </c>
      <c r="AB277" t="str">
        <f>HYPERLINK("Melting_Curves/meltCurve_B8ZZT9_SNX13.pdf", "Melting_Curves/meltCurve_B8ZZT9_SNX13.pdf")</f>
        <v>Melting_Curves/meltCurve_B8ZZT9_SNX13.pdf</v>
      </c>
    </row>
    <row r="278" spans="1:28" x14ac:dyDescent="0.25">
      <c r="A278" t="s">
        <v>282</v>
      </c>
      <c r="B278">
        <v>0.99472303558308395</v>
      </c>
      <c r="C278">
        <v>1.2570751810173999</v>
      </c>
      <c r="D278">
        <v>0.95301358130220704</v>
      </c>
      <c r="E278">
        <v>0.91457178196808397</v>
      </c>
      <c r="F278">
        <v>0.80148863086413202</v>
      </c>
      <c r="G278">
        <v>0.48918295216600999</v>
      </c>
      <c r="H278">
        <v>0.27436606855455897</v>
      </c>
      <c r="I278">
        <v>0.25832022824823703</v>
      </c>
      <c r="J278">
        <v>0.30796307149583102</v>
      </c>
      <c r="K278">
        <v>0.37680544733414101</v>
      </c>
      <c r="L278">
        <v>1506.7427213154299</v>
      </c>
      <c r="M278">
        <v>29.1413903419256</v>
      </c>
      <c r="N278">
        <v>53.356248200011599</v>
      </c>
      <c r="O278">
        <v>51.462900729310903</v>
      </c>
      <c r="P278">
        <v>-9.9500711875030595E-2</v>
      </c>
      <c r="Q278">
        <v>0.29714277753081397</v>
      </c>
      <c r="R278">
        <v>0.928875210082027</v>
      </c>
      <c r="S278" t="s">
        <v>6846</v>
      </c>
      <c r="T278" t="s">
        <v>13134</v>
      </c>
      <c r="U278" t="s">
        <v>13134</v>
      </c>
      <c r="V278" t="s">
        <v>13134</v>
      </c>
      <c r="W278" t="s">
        <v>13410</v>
      </c>
      <c r="X278">
        <v>3</v>
      </c>
      <c r="Y278" t="s">
        <v>19902</v>
      </c>
      <c r="Z278" t="s">
        <v>26246</v>
      </c>
      <c r="AA278">
        <v>0.64632263674466006</v>
      </c>
      <c r="AB278" t="str">
        <f>HYPERLINK("Melting_Curves/meltCurve_B8ZZU6_ATF2.pdf", "Melting_Curves/meltCurve_B8ZZU6_ATF2.pdf")</f>
        <v>Melting_Curves/meltCurve_B8ZZU6_ATF2.pdf</v>
      </c>
    </row>
    <row r="279" spans="1:28" x14ac:dyDescent="0.25">
      <c r="A279" t="s">
        <v>283</v>
      </c>
      <c r="B279">
        <v>0.99472303558308395</v>
      </c>
      <c r="C279">
        <v>1.0219257351333599</v>
      </c>
      <c r="D279">
        <v>0.97707952748695703</v>
      </c>
      <c r="E279">
        <v>0.85588438037736603</v>
      </c>
      <c r="F279">
        <v>0.64233016220263195</v>
      </c>
      <c r="G279">
        <v>0.33570522073554698</v>
      </c>
      <c r="H279">
        <v>0.116697745988719</v>
      </c>
      <c r="I279">
        <v>6.8207160442960199E-2</v>
      </c>
      <c r="J279">
        <v>7.6651187735412601E-2</v>
      </c>
      <c r="K279">
        <v>6.1480192296386002E-2</v>
      </c>
      <c r="L279">
        <v>998.60134507030602</v>
      </c>
      <c r="M279">
        <v>19.4353399134352</v>
      </c>
      <c r="N279">
        <v>51.595321252156999</v>
      </c>
      <c r="O279">
        <v>50.8460142837543</v>
      </c>
      <c r="P279">
        <v>-9.1852386442851902E-2</v>
      </c>
      <c r="Q279">
        <v>3.8831831355097199E-2</v>
      </c>
      <c r="R279">
        <v>0.99773751626213503</v>
      </c>
      <c r="S279" t="s">
        <v>6847</v>
      </c>
      <c r="T279" t="s">
        <v>13134</v>
      </c>
      <c r="U279" t="s">
        <v>13134</v>
      </c>
      <c r="V279" t="s">
        <v>13134</v>
      </c>
      <c r="W279" t="s">
        <v>13411</v>
      </c>
      <c r="X279">
        <v>7</v>
      </c>
      <c r="Y279" t="s">
        <v>19903</v>
      </c>
      <c r="Z279" t="s">
        <v>26247</v>
      </c>
      <c r="AA279">
        <v>0.51269915833619828</v>
      </c>
      <c r="AB279" t="str">
        <f>HYPERLINK("Melting_Curves/meltCurve_B8ZZY2_AGFG1.pdf", "Melting_Curves/meltCurve_B8ZZY2_AGFG1.pdf")</f>
        <v>Melting_Curves/meltCurve_B8ZZY2_AGFG1.pdf</v>
      </c>
    </row>
    <row r="280" spans="1:28" x14ac:dyDescent="0.25">
      <c r="A280" t="s">
        <v>284</v>
      </c>
      <c r="B280">
        <v>0.99472303558308395</v>
      </c>
      <c r="C280">
        <v>0.95063361606998398</v>
      </c>
      <c r="D280">
        <v>1.1781253665087099</v>
      </c>
      <c r="E280">
        <v>1.1900605310549299</v>
      </c>
      <c r="F280">
        <v>0.79430238763254501</v>
      </c>
      <c r="G280">
        <v>0.19330858798783801</v>
      </c>
      <c r="H280">
        <v>9.5834314669408296E-2</v>
      </c>
      <c r="I280">
        <v>6.4237349964201898E-2</v>
      </c>
      <c r="J280">
        <v>8.0932151596598598E-2</v>
      </c>
      <c r="K280">
        <v>6.23422089991E-2</v>
      </c>
      <c r="L280">
        <v>2527.9894741441399</v>
      </c>
      <c r="M280">
        <v>49.022396217237002</v>
      </c>
      <c r="N280">
        <v>51.742010422768303</v>
      </c>
      <c r="O280">
        <v>51.482459132980203</v>
      </c>
      <c r="P280">
        <v>-0.21996802407966601</v>
      </c>
      <c r="Q280">
        <v>7.5974676367334806E-2</v>
      </c>
      <c r="R280">
        <v>0.96750282545632105</v>
      </c>
      <c r="S280" t="s">
        <v>6848</v>
      </c>
      <c r="T280" t="s">
        <v>13134</v>
      </c>
      <c r="U280" t="s">
        <v>13134</v>
      </c>
      <c r="V280" t="s">
        <v>13134</v>
      </c>
      <c r="W280" t="s">
        <v>13412</v>
      </c>
      <c r="X280">
        <v>18</v>
      </c>
      <c r="Y280" t="s">
        <v>19904</v>
      </c>
      <c r="Z280" t="s">
        <v>26248</v>
      </c>
      <c r="AA280">
        <v>0.52686928588079585</v>
      </c>
      <c r="AB280" t="str">
        <f>HYPERLINK("Melting_Curves/meltCurve_B9A018_USP39.pdf", "Melting_Curves/meltCurve_B9A018_USP39.pdf")</f>
        <v>Melting_Curves/meltCurve_B9A018_USP39.pdf</v>
      </c>
    </row>
    <row r="281" spans="1:28" x14ac:dyDescent="0.25">
      <c r="A281" t="s">
        <v>285</v>
      </c>
      <c r="B281">
        <v>0.99472303558308395</v>
      </c>
      <c r="C281">
        <v>0.84681930568255703</v>
      </c>
      <c r="D281">
        <v>0.79497960196679096</v>
      </c>
      <c r="E281">
        <v>0.69121504338260897</v>
      </c>
      <c r="F281">
        <v>0.59472912843439596</v>
      </c>
      <c r="G281">
        <v>0.31464344862584298</v>
      </c>
      <c r="H281">
        <v>0.21512500513702301</v>
      </c>
      <c r="I281">
        <v>0.177482107425948</v>
      </c>
      <c r="J281">
        <v>0.107010863286383</v>
      </c>
      <c r="K281">
        <v>0.17410672296377</v>
      </c>
      <c r="L281">
        <v>454.40333656510097</v>
      </c>
      <c r="M281">
        <v>9.0641736079697903</v>
      </c>
      <c r="N281">
        <v>50.368714641498798</v>
      </c>
      <c r="O281">
        <v>47.872297340738498</v>
      </c>
      <c r="P281">
        <v>-4.6380080380659397E-2</v>
      </c>
      <c r="Q281">
        <v>2.0869399347186401E-2</v>
      </c>
      <c r="R281">
        <v>0.97615527048080997</v>
      </c>
      <c r="S281" t="s">
        <v>6849</v>
      </c>
      <c r="T281" t="s">
        <v>13134</v>
      </c>
      <c r="U281" t="s">
        <v>13134</v>
      </c>
      <c r="V281" t="s">
        <v>13134</v>
      </c>
      <c r="W281" t="s">
        <v>13413</v>
      </c>
      <c r="X281">
        <v>1</v>
      </c>
      <c r="Y281" t="s">
        <v>19905</v>
      </c>
      <c r="Z281" t="s">
        <v>26249</v>
      </c>
      <c r="AA281">
        <v>0.48516092670292182</v>
      </c>
      <c r="AB281" t="str">
        <f>HYPERLINK("Melting_Curves/meltCurve_B9A054_RHBDD1.pdf", "Melting_Curves/meltCurve_B9A054_RHBDD1.pdf")</f>
        <v>Melting_Curves/meltCurve_B9A054_RHBDD1.pdf</v>
      </c>
    </row>
    <row r="282" spans="1:28" x14ac:dyDescent="0.25">
      <c r="A282" t="s">
        <v>286</v>
      </c>
      <c r="B282">
        <v>0.99472303558308395</v>
      </c>
      <c r="C282">
        <v>1.1215259457322799</v>
      </c>
      <c r="D282">
        <v>0.93561280159277305</v>
      </c>
      <c r="E282">
        <v>0.72936067279807104</v>
      </c>
      <c r="F282">
        <v>0.39765597817834902</v>
      </c>
      <c r="G282">
        <v>0.167174605244022</v>
      </c>
      <c r="H282">
        <v>0.12518475365478901</v>
      </c>
      <c r="I282">
        <v>9.4225420236122001E-2</v>
      </c>
      <c r="J282">
        <v>0.131800947940029</v>
      </c>
      <c r="K282">
        <v>7.8230968387477104E-2</v>
      </c>
      <c r="L282">
        <v>1097.5806379579301</v>
      </c>
      <c r="M282">
        <v>22.638819622448899</v>
      </c>
      <c r="N282">
        <v>48.941957558100903</v>
      </c>
      <c r="O282">
        <v>48.108701396375899</v>
      </c>
      <c r="P282">
        <v>-0.106378208928594</v>
      </c>
      <c r="Q282">
        <v>9.5780512334207896E-2</v>
      </c>
      <c r="R282">
        <v>0.98819174800292797</v>
      </c>
      <c r="S282" t="s">
        <v>6850</v>
      </c>
      <c r="T282" t="s">
        <v>13134</v>
      </c>
      <c r="U282" t="s">
        <v>13134</v>
      </c>
      <c r="V282" t="s">
        <v>13134</v>
      </c>
      <c r="W282" t="s">
        <v>13414</v>
      </c>
      <c r="X282">
        <v>3</v>
      </c>
      <c r="Y282" t="s">
        <v>19906</v>
      </c>
      <c r="Z282" t="s">
        <v>26250</v>
      </c>
      <c r="AA282">
        <v>0.45127230258878792</v>
      </c>
      <c r="AB282" t="str">
        <f>HYPERLINK("Melting_Curves/meltCurve_B9ZVM7_ICA1.pdf", "Melting_Curves/meltCurve_B9ZVM7_ICA1.pdf")</f>
        <v>Melting_Curves/meltCurve_B9ZVM7_ICA1.pdf</v>
      </c>
    </row>
    <row r="283" spans="1:28" x14ac:dyDescent="0.25">
      <c r="A283" t="s">
        <v>287</v>
      </c>
      <c r="B283">
        <v>0.99472303558308395</v>
      </c>
      <c r="C283">
        <v>0.87360013763739297</v>
      </c>
      <c r="D283">
        <v>0.86463280386520702</v>
      </c>
      <c r="E283">
        <v>0.72594186217891299</v>
      </c>
      <c r="F283">
        <v>0.51413481457855403</v>
      </c>
      <c r="G283">
        <v>0.34881060067841502</v>
      </c>
      <c r="H283">
        <v>0.33292833851189901</v>
      </c>
      <c r="I283">
        <v>0.316341778075236</v>
      </c>
      <c r="J283">
        <v>0.39260873375018701</v>
      </c>
      <c r="K283">
        <v>0.30745709221802398</v>
      </c>
      <c r="L283">
        <v>692.93985650098</v>
      </c>
      <c r="M283">
        <v>14.6992191313874</v>
      </c>
      <c r="N283">
        <v>50.407112907675497</v>
      </c>
      <c r="O283">
        <v>46.2945364244449</v>
      </c>
      <c r="P283">
        <v>-5.50088464211652E-2</v>
      </c>
      <c r="Q283">
        <v>0.30708378452159601</v>
      </c>
      <c r="R283">
        <v>0.97346991130695304</v>
      </c>
      <c r="S283" t="s">
        <v>6851</v>
      </c>
      <c r="T283" t="s">
        <v>13134</v>
      </c>
      <c r="U283" t="s">
        <v>13134</v>
      </c>
      <c r="V283" t="s">
        <v>13134</v>
      </c>
      <c r="W283" t="s">
        <v>13415</v>
      </c>
      <c r="X283">
        <v>3</v>
      </c>
      <c r="Y283" t="s">
        <v>19907</v>
      </c>
      <c r="Z283" t="s">
        <v>26251</v>
      </c>
      <c r="AA283">
        <v>0.55743606571318338</v>
      </c>
      <c r="AB283" t="str">
        <f>HYPERLINK("Melting_Curves/meltCurve_C0H5Y7_BAK1.pdf", "Melting_Curves/meltCurve_C0H5Y7_BAK1.pdf")</f>
        <v>Melting_Curves/meltCurve_C0H5Y7_BAK1.pdf</v>
      </c>
    </row>
    <row r="284" spans="1:28" x14ac:dyDescent="0.25">
      <c r="A284" t="s">
        <v>288</v>
      </c>
      <c r="B284">
        <v>0.99472303558308395</v>
      </c>
      <c r="C284">
        <v>0.86545976011457804</v>
      </c>
      <c r="D284">
        <v>0.846828292512948</v>
      </c>
      <c r="E284">
        <v>0.61026351665673495</v>
      </c>
      <c r="F284">
        <v>0.353178995946615</v>
      </c>
      <c r="G284">
        <v>0.16017230239291999</v>
      </c>
      <c r="H284">
        <v>8.20922861329587E-2</v>
      </c>
      <c r="I284">
        <v>9.4132050850471993E-2</v>
      </c>
      <c r="J284">
        <v>0.122574050006305</v>
      </c>
      <c r="K284">
        <v>0.103598812446433</v>
      </c>
      <c r="L284">
        <v>735.42201731410603</v>
      </c>
      <c r="M284">
        <v>15.555076902884</v>
      </c>
      <c r="N284">
        <v>47.749915347947201</v>
      </c>
      <c r="O284">
        <v>46.517862667368597</v>
      </c>
      <c r="P284">
        <v>-7.7654732175921795E-2</v>
      </c>
      <c r="Q284">
        <v>7.1167309295421394E-2</v>
      </c>
      <c r="R284">
        <v>0.98934533268730696</v>
      </c>
      <c r="S284" t="s">
        <v>6852</v>
      </c>
      <c r="T284" t="s">
        <v>13134</v>
      </c>
      <c r="U284" t="s">
        <v>13134</v>
      </c>
      <c r="V284" t="s">
        <v>13134</v>
      </c>
      <c r="W284" t="s">
        <v>13416</v>
      </c>
      <c r="X284">
        <v>4</v>
      </c>
      <c r="Y284" t="s">
        <v>19908</v>
      </c>
      <c r="Z284" t="s">
        <v>26252</v>
      </c>
      <c r="AA284">
        <v>0.40888670648487468</v>
      </c>
      <c r="AB284" t="str">
        <f>HYPERLINK("Melting_Curves/meltCurve_C4AMC7_WASH3P.pdf", "Melting_Curves/meltCurve_C4AMC7_WASH3P.pdf")</f>
        <v>Melting_Curves/meltCurve_C4AMC7_WASH3P.pdf</v>
      </c>
    </row>
    <row r="285" spans="1:28" x14ac:dyDescent="0.25">
      <c r="A285" t="s">
        <v>289</v>
      </c>
      <c r="B285">
        <v>0.99472303558308395</v>
      </c>
      <c r="C285">
        <v>1.1123467184753799</v>
      </c>
      <c r="D285">
        <v>0.72818947329599804</v>
      </c>
      <c r="E285">
        <v>0.582673013225948</v>
      </c>
      <c r="F285">
        <v>0.30930440780684099</v>
      </c>
      <c r="G285">
        <v>0.14306821684219001</v>
      </c>
      <c r="H285">
        <v>0.10188746250261201</v>
      </c>
      <c r="I285">
        <v>0.10609045029433201</v>
      </c>
      <c r="J285">
        <v>5.59448847265153E-2</v>
      </c>
      <c r="K285">
        <v>6.9016598117753999E-2</v>
      </c>
      <c r="L285">
        <v>788.02836181614202</v>
      </c>
      <c r="M285">
        <v>16.805288840056999</v>
      </c>
      <c r="N285">
        <v>47.272169581936502</v>
      </c>
      <c r="O285">
        <v>46.242800299247499</v>
      </c>
      <c r="P285">
        <v>-8.5111988868806707E-2</v>
      </c>
      <c r="Q285">
        <v>6.3256183792622003E-2</v>
      </c>
      <c r="R285">
        <v>0.97410604807896295</v>
      </c>
      <c r="S285" t="s">
        <v>6853</v>
      </c>
      <c r="T285" t="s">
        <v>13134</v>
      </c>
      <c r="U285" t="s">
        <v>13134</v>
      </c>
      <c r="V285" t="s">
        <v>13134</v>
      </c>
      <c r="W285" t="s">
        <v>13417</v>
      </c>
      <c r="X285">
        <v>3</v>
      </c>
      <c r="Y285" t="s">
        <v>19909</v>
      </c>
      <c r="Z285" t="s">
        <v>26253</v>
      </c>
      <c r="AA285">
        <v>0.38926623704314511</v>
      </c>
      <c r="AB285" t="str">
        <f>HYPERLINK("Melting_Curves/meltCurve_C4B7M2_SPG11.pdf", "Melting_Curves/meltCurve_C4B7M2_SPG11.pdf")</f>
        <v>Melting_Curves/meltCurve_C4B7M2_SPG11.pdf</v>
      </c>
    </row>
    <row r="286" spans="1:28" x14ac:dyDescent="0.25">
      <c r="A286" t="s">
        <v>290</v>
      </c>
      <c r="B286">
        <v>0.99472303558308395</v>
      </c>
      <c r="C286">
        <v>1.01125106310868</v>
      </c>
      <c r="D286">
        <v>0.88556501366441798</v>
      </c>
      <c r="E286">
        <v>0.70411099458022097</v>
      </c>
      <c r="F286">
        <v>0.43410744656450601</v>
      </c>
      <c r="G286">
        <v>0.331602827623387</v>
      </c>
      <c r="H286">
        <v>0.22648429252645699</v>
      </c>
      <c r="I286">
        <v>0.21233651713673701</v>
      </c>
      <c r="J286">
        <v>0.28934206231420201</v>
      </c>
      <c r="K286">
        <v>0.20633409131775099</v>
      </c>
      <c r="L286">
        <v>880.08554332449705</v>
      </c>
      <c r="M286">
        <v>18.458162927737401</v>
      </c>
      <c r="N286">
        <v>49.263304199990998</v>
      </c>
      <c r="O286">
        <v>47.130947807357003</v>
      </c>
      <c r="P286">
        <v>-7.6007106852756801E-2</v>
      </c>
      <c r="Q286">
        <v>0.223730566125006</v>
      </c>
      <c r="R286">
        <v>0.99236825600225198</v>
      </c>
      <c r="S286" t="s">
        <v>6854</v>
      </c>
      <c r="T286" t="s">
        <v>13134</v>
      </c>
      <c r="U286" t="s">
        <v>13134</v>
      </c>
      <c r="V286" t="s">
        <v>13134</v>
      </c>
      <c r="W286" t="s">
        <v>13418</v>
      </c>
      <c r="X286">
        <v>1</v>
      </c>
      <c r="Y286" t="s">
        <v>19910</v>
      </c>
      <c r="Z286" t="s">
        <v>26254</v>
      </c>
      <c r="AA286">
        <v>0.51193945297121779</v>
      </c>
      <c r="AB286" t="str">
        <f>HYPERLINK("Melting_Curves/meltCurve_C6GKU9_MED30S.pdf", "Melting_Curves/meltCurve_C6GKU9_MED30S.pdf")</f>
        <v>Melting_Curves/meltCurve_C6GKU9_MED30S.pdf</v>
      </c>
    </row>
    <row r="287" spans="1:28" x14ac:dyDescent="0.25">
      <c r="A287" t="s">
        <v>291</v>
      </c>
      <c r="B287">
        <v>0.99472303558308395</v>
      </c>
      <c r="C287">
        <v>0.80065970377762097</v>
      </c>
      <c r="D287">
        <v>0.60826923038066905</v>
      </c>
      <c r="E287">
        <v>0.50681816718622796</v>
      </c>
      <c r="F287">
        <v>0.39029953752403101</v>
      </c>
      <c r="G287">
        <v>0.14744143983174801</v>
      </c>
      <c r="H287">
        <v>8.5127642819834995E-2</v>
      </c>
      <c r="I287">
        <v>5.3827459026017099E-2</v>
      </c>
      <c r="J287">
        <v>5.2093654738826198E-2</v>
      </c>
      <c r="K287">
        <v>5.4722402361625601E-2</v>
      </c>
      <c r="L287">
        <v>466.65040947606099</v>
      </c>
      <c r="M287">
        <v>10.1153407177317</v>
      </c>
      <c r="N287">
        <v>46.132924243640097</v>
      </c>
      <c r="O287">
        <v>44.438804304340003</v>
      </c>
      <c r="P287">
        <v>-5.6932503258740101E-2</v>
      </c>
      <c r="Q287">
        <v>0</v>
      </c>
      <c r="R287">
        <v>0.97911456220597304</v>
      </c>
      <c r="S287" t="s">
        <v>6855</v>
      </c>
      <c r="T287" t="s">
        <v>13134</v>
      </c>
      <c r="U287" t="s">
        <v>13134</v>
      </c>
      <c r="V287" t="s">
        <v>13134</v>
      </c>
      <c r="W287" t="s">
        <v>13419</v>
      </c>
      <c r="X287">
        <v>1</v>
      </c>
      <c r="Y287" t="s">
        <v>19911</v>
      </c>
      <c r="Z287" t="s">
        <v>26255</v>
      </c>
      <c r="AA287">
        <v>0.34947083040399302</v>
      </c>
      <c r="AB287" t="str">
        <f>HYPERLINK("Melting_Curves/meltCurve_C9IY40_MRPL2.pdf", "Melting_Curves/meltCurve_C9IY40_MRPL2.pdf")</f>
        <v>Melting_Curves/meltCurve_C9IY40_MRPL2.pdf</v>
      </c>
    </row>
    <row r="288" spans="1:28" x14ac:dyDescent="0.25">
      <c r="A288" t="s">
        <v>292</v>
      </c>
      <c r="B288">
        <v>0.99472303558308395</v>
      </c>
      <c r="C288">
        <v>0.88434585378252395</v>
      </c>
      <c r="D288">
        <v>0.80820129578063205</v>
      </c>
      <c r="E288">
        <v>0.42466104328412602</v>
      </c>
      <c r="F288">
        <v>0.33363037863254502</v>
      </c>
      <c r="G288">
        <v>0.19291831491942199</v>
      </c>
      <c r="H288">
        <v>0.115434783018243</v>
      </c>
      <c r="I288">
        <v>8.9722592115257904E-2</v>
      </c>
      <c r="J288">
        <v>0.103891117798265</v>
      </c>
      <c r="K288">
        <v>8.8469190813033505E-2</v>
      </c>
      <c r="L288">
        <v>680.94737498225197</v>
      </c>
      <c r="M288">
        <v>14.822933011019</v>
      </c>
      <c r="N288">
        <v>46.509854713377997</v>
      </c>
      <c r="O288">
        <v>45.1269772795943</v>
      </c>
      <c r="P288">
        <v>-7.5293514159560607E-2</v>
      </c>
      <c r="Q288">
        <v>8.3201921334142795E-2</v>
      </c>
      <c r="R288">
        <v>0.98999826295372795</v>
      </c>
      <c r="S288" t="s">
        <v>6856</v>
      </c>
      <c r="T288" t="s">
        <v>13134</v>
      </c>
      <c r="U288" t="s">
        <v>13134</v>
      </c>
      <c r="V288" t="s">
        <v>13134</v>
      </c>
      <c r="W288" t="s">
        <v>13420</v>
      </c>
      <c r="X288">
        <v>2</v>
      </c>
      <c r="Y288" t="s">
        <v>19912</v>
      </c>
      <c r="Z288" t="s">
        <v>26256</v>
      </c>
      <c r="AA288">
        <v>0.37803079298959269</v>
      </c>
      <c r="AB288" t="str">
        <f>HYPERLINK("Melting_Curves/meltCurve_C9IYZ1_ASNSD1.pdf", "Melting_Curves/meltCurve_C9IYZ1_ASNSD1.pdf")</f>
        <v>Melting_Curves/meltCurve_C9IYZ1_ASNSD1.pdf</v>
      </c>
    </row>
    <row r="289" spans="1:28" x14ac:dyDescent="0.25">
      <c r="A289" t="s">
        <v>293</v>
      </c>
      <c r="B289">
        <v>0.99472303558308395</v>
      </c>
      <c r="C289">
        <v>1.0096475746445801</v>
      </c>
      <c r="D289">
        <v>1.0324585233493</v>
      </c>
      <c r="E289">
        <v>0.87879063447831396</v>
      </c>
      <c r="F289">
        <v>0.60881227361233103</v>
      </c>
      <c r="G289">
        <v>0.46257915407705802</v>
      </c>
      <c r="H289">
        <v>0.31622853774670601</v>
      </c>
      <c r="I289">
        <v>0.29783807776034199</v>
      </c>
      <c r="J289">
        <v>0.36860024567903998</v>
      </c>
      <c r="K289">
        <v>0.28210336387151602</v>
      </c>
      <c r="L289">
        <v>1120.94685301815</v>
      </c>
      <c r="M289">
        <v>22.476855816646001</v>
      </c>
      <c r="N289">
        <v>52.108077689580398</v>
      </c>
      <c r="O289">
        <v>49.481435916206401</v>
      </c>
      <c r="P289">
        <v>-7.8417501913006296E-2</v>
      </c>
      <c r="Q289">
        <v>0.30948864552338801</v>
      </c>
      <c r="R289">
        <v>0.98920018206119198</v>
      </c>
      <c r="S289" t="s">
        <v>6857</v>
      </c>
      <c r="T289" t="s">
        <v>13134</v>
      </c>
      <c r="U289" t="s">
        <v>13134</v>
      </c>
      <c r="V289" t="s">
        <v>13134</v>
      </c>
      <c r="W289" t="s">
        <v>13421</v>
      </c>
      <c r="X289">
        <v>5</v>
      </c>
      <c r="Y289" t="s">
        <v>19913</v>
      </c>
      <c r="Z289" t="s">
        <v>26257</v>
      </c>
      <c r="AA289">
        <v>0.61311134405642176</v>
      </c>
      <c r="AB289" t="str">
        <f>HYPERLINK("Melting_Curves/meltCurve_C9J0A7_CHMP2B.pdf", "Melting_Curves/meltCurve_C9J0A7_CHMP2B.pdf")</f>
        <v>Melting_Curves/meltCurve_C9J0A7_CHMP2B.pdf</v>
      </c>
    </row>
    <row r="290" spans="1:28" x14ac:dyDescent="0.25">
      <c r="A290" t="s">
        <v>294</v>
      </c>
      <c r="B290">
        <v>0.99472303558308395</v>
      </c>
      <c r="C290">
        <v>0.95475430172463904</v>
      </c>
      <c r="D290">
        <v>0.86741562011279105</v>
      </c>
      <c r="E290">
        <v>0.44113480205427802</v>
      </c>
      <c r="F290">
        <v>6.8052283668605704E-2</v>
      </c>
      <c r="G290">
        <v>3.3367039413676303E-2</v>
      </c>
      <c r="H290">
        <v>2.27220739183665E-2</v>
      </c>
      <c r="I290">
        <v>1.48896936135651E-2</v>
      </c>
      <c r="J290">
        <v>2.3749265114168899E-2</v>
      </c>
      <c r="K290">
        <v>1.8775711563970499E-2</v>
      </c>
      <c r="L290">
        <v>1290.16883505431</v>
      </c>
      <c r="M290">
        <v>28.029487462479501</v>
      </c>
      <c r="N290">
        <v>46.075269411624603</v>
      </c>
      <c r="O290">
        <v>45.796603862241902</v>
      </c>
      <c r="P290">
        <v>-0.15088789042517101</v>
      </c>
      <c r="Q290">
        <v>1.3882186381243901E-2</v>
      </c>
      <c r="R290">
        <v>0.998334677513951</v>
      </c>
      <c r="S290" t="s">
        <v>6858</v>
      </c>
      <c r="T290" t="s">
        <v>13134</v>
      </c>
      <c r="U290" t="s">
        <v>13134</v>
      </c>
      <c r="V290" t="s">
        <v>13134</v>
      </c>
      <c r="W290" t="s">
        <v>13422</v>
      </c>
      <c r="X290">
        <v>9</v>
      </c>
      <c r="Y290" t="s">
        <v>19914</v>
      </c>
      <c r="Z290" t="s">
        <v>26258</v>
      </c>
      <c r="AA290">
        <v>0.31713748348917797</v>
      </c>
      <c r="AB290" t="str">
        <f>HYPERLINK("Melting_Curves/meltCurve_C9J0I9_ZC3HC1.pdf", "Melting_Curves/meltCurve_C9J0I9_ZC3HC1.pdf")</f>
        <v>Melting_Curves/meltCurve_C9J0I9_ZC3HC1.pdf</v>
      </c>
    </row>
    <row r="291" spans="1:28" x14ac:dyDescent="0.25">
      <c r="A291" t="s">
        <v>295</v>
      </c>
      <c r="B291">
        <v>0.99472303558308395</v>
      </c>
      <c r="C291">
        <v>1.0309998516161201</v>
      </c>
      <c r="D291">
        <v>1.10096275246507</v>
      </c>
      <c r="E291">
        <v>0.99265905152931</v>
      </c>
      <c r="F291">
        <v>0.75344715048111199</v>
      </c>
      <c r="G291">
        <v>0.52159559546863499</v>
      </c>
      <c r="H291">
        <v>0.13164095198002801</v>
      </c>
      <c r="I291">
        <v>9.5524530944164396E-2</v>
      </c>
      <c r="J291">
        <v>7.8413812231108507E-2</v>
      </c>
      <c r="K291">
        <v>7.2513654993149601E-2</v>
      </c>
      <c r="L291">
        <v>1254.91730203887</v>
      </c>
      <c r="M291">
        <v>23.605695699285299</v>
      </c>
      <c r="N291">
        <v>53.4040818276777</v>
      </c>
      <c r="O291">
        <v>52.784515288069201</v>
      </c>
      <c r="P291">
        <v>-0.10612300298158001</v>
      </c>
      <c r="Q291">
        <v>5.0812588659656897E-2</v>
      </c>
      <c r="R291">
        <v>0.98674745852143897</v>
      </c>
      <c r="S291" t="s">
        <v>6859</v>
      </c>
      <c r="T291" t="s">
        <v>13134</v>
      </c>
      <c r="U291" t="s">
        <v>13134</v>
      </c>
      <c r="V291" t="s">
        <v>13134</v>
      </c>
      <c r="W291" t="s">
        <v>13423</v>
      </c>
      <c r="X291">
        <v>12</v>
      </c>
      <c r="Y291" t="s">
        <v>19915</v>
      </c>
      <c r="Z291" t="s">
        <v>26259</v>
      </c>
      <c r="AA291">
        <v>0.5713816379824046</v>
      </c>
      <c r="AB291" t="str">
        <f>HYPERLINK("Melting_Curves/meltCurve_C9J0K6_SRI.pdf", "Melting_Curves/meltCurve_C9J0K6_SRI.pdf")</f>
        <v>Melting_Curves/meltCurve_C9J0K6_SRI.pdf</v>
      </c>
    </row>
    <row r="292" spans="1:28" x14ac:dyDescent="0.25">
      <c r="A292" t="s">
        <v>296</v>
      </c>
      <c r="B292">
        <v>0.99472303558308395</v>
      </c>
      <c r="C292">
        <v>1.06521875937054</v>
      </c>
      <c r="D292">
        <v>0.71375269806541597</v>
      </c>
      <c r="E292">
        <v>0.61357721216268102</v>
      </c>
      <c r="F292">
        <v>0.221601775513219</v>
      </c>
      <c r="G292">
        <v>0.108086141259218</v>
      </c>
      <c r="H292">
        <v>7.2416329152918596E-2</v>
      </c>
      <c r="I292">
        <v>4.7974433981843E-2</v>
      </c>
      <c r="J292">
        <v>4.2808903171953697E-2</v>
      </c>
      <c r="K292">
        <v>4.27420349404906E-2</v>
      </c>
      <c r="L292">
        <v>815.65178963131302</v>
      </c>
      <c r="M292">
        <v>17.4192018539805</v>
      </c>
      <c r="N292">
        <v>46.990060616805401</v>
      </c>
      <c r="O292">
        <v>46.220806659104497</v>
      </c>
      <c r="P292">
        <v>-9.1424161929501105E-2</v>
      </c>
      <c r="Q292">
        <v>2.9700157836688602E-2</v>
      </c>
      <c r="R292">
        <v>0.97826475890909204</v>
      </c>
      <c r="S292" t="s">
        <v>6860</v>
      </c>
      <c r="T292" t="s">
        <v>13134</v>
      </c>
      <c r="U292" t="s">
        <v>13134</v>
      </c>
      <c r="V292" t="s">
        <v>13134</v>
      </c>
      <c r="W292" t="s">
        <v>13424</v>
      </c>
      <c r="X292">
        <v>2</v>
      </c>
      <c r="Y292" t="s">
        <v>19916</v>
      </c>
      <c r="Z292" t="s">
        <v>26260</v>
      </c>
      <c r="AA292">
        <v>0.36407095778157089</v>
      </c>
      <c r="AB292" t="str">
        <f>HYPERLINK("Melting_Curves/meltCurve_C9J1X0_WDR91.pdf", "Melting_Curves/meltCurve_C9J1X0_WDR91.pdf")</f>
        <v>Melting_Curves/meltCurve_C9J1X0_WDR91.pdf</v>
      </c>
    </row>
    <row r="293" spans="1:28" x14ac:dyDescent="0.25">
      <c r="A293" t="s">
        <v>297</v>
      </c>
      <c r="B293">
        <v>0.99472303558308395</v>
      </c>
      <c r="C293">
        <v>1.12788803870478</v>
      </c>
      <c r="D293">
        <v>0.94451441533805502</v>
      </c>
      <c r="E293">
        <v>0.714698970023947</v>
      </c>
      <c r="F293">
        <v>0.475347295167658</v>
      </c>
      <c r="G293">
        <v>0.21662050852239001</v>
      </c>
      <c r="H293">
        <v>0.218505050234581</v>
      </c>
      <c r="I293">
        <v>0.167558184544915</v>
      </c>
      <c r="J293">
        <v>0.23848664945654399</v>
      </c>
      <c r="K293">
        <v>0.17095365521574299</v>
      </c>
      <c r="L293">
        <v>1062.61647237016</v>
      </c>
      <c r="M293">
        <v>22.007938374167502</v>
      </c>
      <c r="N293">
        <v>49.317151708023999</v>
      </c>
      <c r="O293">
        <v>47.889968699859402</v>
      </c>
      <c r="P293">
        <v>-9.3660606442057398E-2</v>
      </c>
      <c r="Q293">
        <v>0.184784211521417</v>
      </c>
      <c r="R293">
        <v>0.97954712068717498</v>
      </c>
      <c r="S293" t="s">
        <v>6861</v>
      </c>
      <c r="T293" t="s">
        <v>13134</v>
      </c>
      <c r="U293" t="s">
        <v>13134</v>
      </c>
      <c r="V293" t="s">
        <v>13134</v>
      </c>
      <c r="W293" t="s">
        <v>13425</v>
      </c>
      <c r="X293">
        <v>3</v>
      </c>
      <c r="Y293" t="s">
        <v>19917</v>
      </c>
      <c r="Z293" t="s">
        <v>26261</v>
      </c>
      <c r="AA293">
        <v>0.50033632283819152</v>
      </c>
      <c r="AB293" t="str">
        <f>HYPERLINK("Melting_Curves/meltCurve_C9J1X3_TNK2.pdf", "Melting_Curves/meltCurve_C9J1X3_TNK2.pdf")</f>
        <v>Melting_Curves/meltCurve_C9J1X3_TNK2.pdf</v>
      </c>
    </row>
    <row r="294" spans="1:28" x14ac:dyDescent="0.25">
      <c r="A294" t="s">
        <v>298</v>
      </c>
      <c r="B294">
        <v>0.99472303558308395</v>
      </c>
      <c r="C294">
        <v>1.0362149509889</v>
      </c>
      <c r="D294">
        <v>1.0739643281432001</v>
      </c>
      <c r="E294">
        <v>1.0071523291494699</v>
      </c>
      <c r="F294">
        <v>0.78584809326952698</v>
      </c>
      <c r="G294">
        <v>0.50048808318868698</v>
      </c>
      <c r="H294">
        <v>0.159657632743026</v>
      </c>
      <c r="I294">
        <v>8.0328063727810997E-2</v>
      </c>
      <c r="J294">
        <v>6.6038321343753106E-2</v>
      </c>
      <c r="K294">
        <v>6.2431153797358703E-2</v>
      </c>
      <c r="L294">
        <v>1300.90813126484</v>
      </c>
      <c r="M294">
        <v>24.413779278349502</v>
      </c>
      <c r="N294">
        <v>53.4929338317259</v>
      </c>
      <c r="O294">
        <v>52.932155144414502</v>
      </c>
      <c r="P294">
        <v>-0.1101083684445</v>
      </c>
      <c r="Q294">
        <v>4.50986398111414E-2</v>
      </c>
      <c r="R294">
        <v>0.99332356144985601</v>
      </c>
      <c r="S294" t="s">
        <v>6862</v>
      </c>
      <c r="T294" t="s">
        <v>13134</v>
      </c>
      <c r="U294" t="s">
        <v>13134</v>
      </c>
      <c r="V294" t="s">
        <v>13134</v>
      </c>
      <c r="W294" t="s">
        <v>13426</v>
      </c>
      <c r="X294">
        <v>4</v>
      </c>
      <c r="Y294" t="s">
        <v>19918</v>
      </c>
      <c r="Z294" t="s">
        <v>26262</v>
      </c>
      <c r="AA294">
        <v>0.57223790519093909</v>
      </c>
      <c r="AB294" t="str">
        <f>HYPERLINK("Melting_Curves/meltCurve_C9J212_UBE2F.pdf", "Melting_Curves/meltCurve_C9J212_UBE2F.pdf")</f>
        <v>Melting_Curves/meltCurve_C9J212_UBE2F.pdf</v>
      </c>
    </row>
    <row r="295" spans="1:28" x14ac:dyDescent="0.25">
      <c r="A295" t="s">
        <v>299</v>
      </c>
      <c r="B295">
        <v>0.99472303558308395</v>
      </c>
      <c r="C295">
        <v>0.94417988474107495</v>
      </c>
      <c r="D295">
        <v>0.97381533987546398</v>
      </c>
      <c r="E295">
        <v>0.777065189541569</v>
      </c>
      <c r="F295">
        <v>0.283083575068031</v>
      </c>
      <c r="G295">
        <v>0.12882440627445299</v>
      </c>
      <c r="H295">
        <v>6.9934918920176697E-2</v>
      </c>
      <c r="I295">
        <v>4.7015243384566301E-2</v>
      </c>
      <c r="J295">
        <v>3.99426090132124E-2</v>
      </c>
      <c r="K295">
        <v>5.6556785376105402E-2</v>
      </c>
      <c r="L295">
        <v>1420.3606480911999</v>
      </c>
      <c r="M295">
        <v>29.355131450253701</v>
      </c>
      <c r="N295">
        <v>48.576604519087297</v>
      </c>
      <c r="O295">
        <v>48.162553539205099</v>
      </c>
      <c r="P295">
        <v>-0.14406358876633199</v>
      </c>
      <c r="Q295">
        <v>5.4554255342810401E-2</v>
      </c>
      <c r="R295">
        <v>0.99740383986441805</v>
      </c>
      <c r="S295" t="s">
        <v>6863</v>
      </c>
      <c r="T295" t="s">
        <v>13134</v>
      </c>
      <c r="U295" t="s">
        <v>13134</v>
      </c>
      <c r="V295" t="s">
        <v>13134</v>
      </c>
      <c r="W295" t="s">
        <v>13427</v>
      </c>
      <c r="X295">
        <v>6</v>
      </c>
      <c r="Y295" t="s">
        <v>19919</v>
      </c>
      <c r="Z295" t="s">
        <v>26263</v>
      </c>
      <c r="AA295">
        <v>0.41925469383812902</v>
      </c>
      <c r="AB295" t="str">
        <f>HYPERLINK("Melting_Curves/meltCurve_C9J2P0_UBE2E1.pdf", "Melting_Curves/meltCurve_C9J2P0_UBE2E1.pdf")</f>
        <v>Melting_Curves/meltCurve_C9J2P0_UBE2E1.pdf</v>
      </c>
    </row>
    <row r="296" spans="1:28" x14ac:dyDescent="0.25">
      <c r="A296" t="s">
        <v>300</v>
      </c>
      <c r="B296">
        <v>0.99472303558308395</v>
      </c>
      <c r="C296">
        <v>0.95538481930699803</v>
      </c>
      <c r="D296">
        <v>0.74254185342276402</v>
      </c>
      <c r="E296">
        <v>0.67433497620726901</v>
      </c>
      <c r="F296">
        <v>0.348454705105534</v>
      </c>
      <c r="G296">
        <v>0.16146536478575399</v>
      </c>
      <c r="H296">
        <v>0.12903761280069501</v>
      </c>
      <c r="I296">
        <v>9.1638072932840098E-2</v>
      </c>
      <c r="J296">
        <v>0.102637663552009</v>
      </c>
      <c r="K296">
        <v>7.4841797548711397E-2</v>
      </c>
      <c r="L296">
        <v>670.64433786768302</v>
      </c>
      <c r="M296">
        <v>14.103260022349</v>
      </c>
      <c r="N296">
        <v>47.938265412498097</v>
      </c>
      <c r="O296">
        <v>46.6269987785262</v>
      </c>
      <c r="P296">
        <v>-7.1569594666443595E-2</v>
      </c>
      <c r="Q296">
        <v>5.3652461548013002E-2</v>
      </c>
      <c r="R296">
        <v>0.986894380050791</v>
      </c>
      <c r="S296" t="s">
        <v>6864</v>
      </c>
      <c r="T296" t="s">
        <v>13134</v>
      </c>
      <c r="U296" t="s">
        <v>13134</v>
      </c>
      <c r="V296" t="s">
        <v>13134</v>
      </c>
      <c r="W296" t="s">
        <v>13428</v>
      </c>
      <c r="X296">
        <v>7</v>
      </c>
      <c r="Y296" t="s">
        <v>19920</v>
      </c>
      <c r="Z296" t="s">
        <v>26264</v>
      </c>
      <c r="AA296">
        <v>0.40990928290839379</v>
      </c>
      <c r="AB296" t="str">
        <f>HYPERLINK("Melting_Curves/meltCurve_C9J2P9_CBLL1.pdf", "Melting_Curves/meltCurve_C9J2P9_CBLL1.pdf")</f>
        <v>Melting_Curves/meltCurve_C9J2P9_CBLL1.pdf</v>
      </c>
    </row>
    <row r="297" spans="1:28" x14ac:dyDescent="0.25">
      <c r="A297" t="s">
        <v>301</v>
      </c>
      <c r="B297">
        <v>0.99472303558308395</v>
      </c>
      <c r="C297">
        <v>0.93181032215210202</v>
      </c>
      <c r="D297">
        <v>0.95102546781733699</v>
      </c>
      <c r="E297">
        <v>0.838405441943744</v>
      </c>
      <c r="F297">
        <v>0.497330267130843</v>
      </c>
      <c r="G297">
        <v>0.24683890136952499</v>
      </c>
      <c r="H297">
        <v>0.139538540353013</v>
      </c>
      <c r="I297">
        <v>0.117993066800408</v>
      </c>
      <c r="J297">
        <v>0.151530905170224</v>
      </c>
      <c r="K297">
        <v>0.119223136701866</v>
      </c>
      <c r="L297">
        <v>1116.6739084788201</v>
      </c>
      <c r="M297">
        <v>22.530383500304801</v>
      </c>
      <c r="N297">
        <v>50.161981801316401</v>
      </c>
      <c r="O297">
        <v>49.177522406597902</v>
      </c>
      <c r="P297">
        <v>-0.10103042747601</v>
      </c>
      <c r="Q297">
        <v>0.11793331970559599</v>
      </c>
      <c r="R297">
        <v>0.99559266459755802</v>
      </c>
      <c r="S297" t="s">
        <v>6865</v>
      </c>
      <c r="T297" t="s">
        <v>13134</v>
      </c>
      <c r="U297" t="s">
        <v>13134</v>
      </c>
      <c r="V297" t="s">
        <v>13134</v>
      </c>
      <c r="W297" t="s">
        <v>13429</v>
      </c>
      <c r="X297">
        <v>6</v>
      </c>
      <c r="Y297" t="s">
        <v>19921</v>
      </c>
      <c r="Z297" t="s">
        <v>26265</v>
      </c>
      <c r="AA297">
        <v>0.49666438577371053</v>
      </c>
      <c r="AB297" t="str">
        <f>HYPERLINK("Melting_Curves/meltCurve_C9J2U4_TAMM41.pdf", "Melting_Curves/meltCurve_C9J2U4_TAMM41.pdf")</f>
        <v>Melting_Curves/meltCurve_C9J2U4_TAMM41.pdf</v>
      </c>
    </row>
    <row r="298" spans="1:28" x14ac:dyDescent="0.25">
      <c r="A298" t="s">
        <v>302</v>
      </c>
      <c r="B298">
        <v>0.99472303558308395</v>
      </c>
      <c r="C298">
        <v>1.35385028570814</v>
      </c>
      <c r="D298">
        <v>0.83029982615830999</v>
      </c>
      <c r="E298">
        <v>0.61485270416796001</v>
      </c>
      <c r="F298">
        <v>0.44999920770353302</v>
      </c>
      <c r="G298">
        <v>0.46342005195191699</v>
      </c>
      <c r="H298">
        <v>0.37179009318301498</v>
      </c>
      <c r="I298">
        <v>0.46050235992206701</v>
      </c>
      <c r="J298">
        <v>0.55642281356346301</v>
      </c>
      <c r="K298">
        <v>0.57264528438983597</v>
      </c>
      <c r="L298">
        <v>1630.23847016693</v>
      </c>
      <c r="M298">
        <v>36.564519912375097</v>
      </c>
      <c r="N298">
        <v>49.075789207025899</v>
      </c>
      <c r="O298">
        <v>44.452524459323897</v>
      </c>
      <c r="P298">
        <v>-0.10644208545098099</v>
      </c>
      <c r="Q298">
        <v>0.48238287724992901</v>
      </c>
      <c r="R298">
        <v>0.80592924270387101</v>
      </c>
      <c r="S298" t="s">
        <v>6866</v>
      </c>
      <c r="T298" t="s">
        <v>13134</v>
      </c>
      <c r="U298" t="s">
        <v>13134</v>
      </c>
      <c r="V298" t="s">
        <v>13134</v>
      </c>
      <c r="W298" t="s">
        <v>13430</v>
      </c>
      <c r="X298">
        <v>11</v>
      </c>
      <c r="Y298" t="s">
        <v>19922</v>
      </c>
      <c r="Z298" t="s">
        <v>26266</v>
      </c>
      <c r="AA298">
        <v>0.61517858336240705</v>
      </c>
      <c r="AB298" t="str">
        <f>HYPERLINK("Melting_Curves/meltCurve_C9J2V2_IKBKG.pdf", "Melting_Curves/meltCurve_C9J2V2_IKBKG.pdf")</f>
        <v>Melting_Curves/meltCurve_C9J2V2_IKBKG.pdf</v>
      </c>
    </row>
    <row r="299" spans="1:28" x14ac:dyDescent="0.25">
      <c r="A299" t="s">
        <v>303</v>
      </c>
      <c r="B299">
        <v>0.99472303558308395</v>
      </c>
      <c r="C299">
        <v>0.94799334926780798</v>
      </c>
      <c r="D299">
        <v>0.63939800071760899</v>
      </c>
      <c r="E299">
        <v>0.43314653293465299</v>
      </c>
      <c r="F299">
        <v>0.32765561714519198</v>
      </c>
      <c r="G299">
        <v>0.12619999916661701</v>
      </c>
      <c r="H299">
        <v>7.4986220499173306E-2</v>
      </c>
      <c r="I299">
        <v>5.0495804470934297E-2</v>
      </c>
      <c r="J299">
        <v>5.8242608520014803E-2</v>
      </c>
      <c r="K299">
        <v>4.7208251509812497E-2</v>
      </c>
      <c r="L299">
        <v>611.91545261210695</v>
      </c>
      <c r="M299">
        <v>13.3956758075722</v>
      </c>
      <c r="N299">
        <v>45.903023054924503</v>
      </c>
      <c r="O299">
        <v>44.6980875285509</v>
      </c>
      <c r="P299">
        <v>-7.2574740802029705E-2</v>
      </c>
      <c r="Q299">
        <v>3.1495521756241499E-2</v>
      </c>
      <c r="R299">
        <v>0.986330734010467</v>
      </c>
      <c r="S299" t="s">
        <v>6867</v>
      </c>
      <c r="T299" t="s">
        <v>13134</v>
      </c>
      <c r="U299" t="s">
        <v>13134</v>
      </c>
      <c r="V299" t="s">
        <v>13134</v>
      </c>
      <c r="W299" t="s">
        <v>13431</v>
      </c>
      <c r="X299">
        <v>28</v>
      </c>
      <c r="Y299" t="s">
        <v>19923</v>
      </c>
      <c r="Z299" t="s">
        <v>26267</v>
      </c>
      <c r="AA299">
        <v>0.33960963284826851</v>
      </c>
      <c r="AB299" t="str">
        <f>HYPERLINK("Melting_Curves/meltCurve_C9J2Y9_POLR2B.pdf", "Melting_Curves/meltCurve_C9J2Y9_POLR2B.pdf")</f>
        <v>Melting_Curves/meltCurve_C9J2Y9_POLR2B.pdf</v>
      </c>
    </row>
    <row r="300" spans="1:28" x14ac:dyDescent="0.25">
      <c r="A300" t="s">
        <v>304</v>
      </c>
      <c r="B300">
        <v>0.99472303558308395</v>
      </c>
      <c r="C300">
        <v>0.792543611096304</v>
      </c>
      <c r="D300">
        <v>0.78073886427842798</v>
      </c>
      <c r="E300">
        <v>0.53170235653450104</v>
      </c>
      <c r="F300">
        <v>0.29259014979486098</v>
      </c>
      <c r="G300">
        <v>0.227930766772212</v>
      </c>
      <c r="H300">
        <v>0.12015191565226301</v>
      </c>
      <c r="I300">
        <v>0.11967438205058201</v>
      </c>
      <c r="J300">
        <v>6.6605828031588293E-2</v>
      </c>
      <c r="K300">
        <v>6.8163240850822801E-2</v>
      </c>
      <c r="L300">
        <v>533.41351152798802</v>
      </c>
      <c r="M300">
        <v>11.449638381548301</v>
      </c>
      <c r="N300">
        <v>46.902644710525998</v>
      </c>
      <c r="O300">
        <v>45.234581481971396</v>
      </c>
      <c r="P300">
        <v>-6.0956186321035201E-2</v>
      </c>
      <c r="Q300">
        <v>3.6988991004075197E-2</v>
      </c>
      <c r="R300">
        <v>0.98702949482304703</v>
      </c>
      <c r="S300" t="s">
        <v>6868</v>
      </c>
      <c r="T300" t="s">
        <v>13134</v>
      </c>
      <c r="U300" t="s">
        <v>13134</v>
      </c>
      <c r="V300" t="s">
        <v>13134</v>
      </c>
      <c r="W300" t="s">
        <v>13432</v>
      </c>
      <c r="X300">
        <v>1</v>
      </c>
      <c r="Y300" t="s">
        <v>19924</v>
      </c>
      <c r="Z300" t="s">
        <v>26268</v>
      </c>
      <c r="AA300">
        <v>0.37957939421307052</v>
      </c>
      <c r="AB300" t="str">
        <f>HYPERLINK("Melting_Curves/meltCurve_C9J3M4_MOSPD3.pdf", "Melting_Curves/meltCurve_C9J3M4_MOSPD3.pdf")</f>
        <v>Melting_Curves/meltCurve_C9J3M4_MOSPD3.pdf</v>
      </c>
    </row>
    <row r="301" spans="1:28" x14ac:dyDescent="0.25">
      <c r="A301" t="s">
        <v>305</v>
      </c>
      <c r="B301">
        <v>0.99472303558308395</v>
      </c>
      <c r="C301">
        <v>0.88818162331837003</v>
      </c>
      <c r="D301">
        <v>0.57072605488127703</v>
      </c>
      <c r="E301">
        <v>0.73391342837035001</v>
      </c>
      <c r="F301">
        <v>0.67427050567042401</v>
      </c>
      <c r="G301">
        <v>0.352342866907351</v>
      </c>
      <c r="H301">
        <v>0.3910196677867</v>
      </c>
      <c r="I301">
        <v>0.28463700253223001</v>
      </c>
      <c r="J301">
        <v>0.19301200735398399</v>
      </c>
      <c r="K301">
        <v>0.288958231093638</v>
      </c>
      <c r="L301">
        <v>316.10673843708202</v>
      </c>
      <c r="M301">
        <v>6.2040784005443603</v>
      </c>
      <c r="N301">
        <v>51.840823871254798</v>
      </c>
      <c r="O301">
        <v>46.422578121529597</v>
      </c>
      <c r="P301">
        <v>-3.18153067201115E-2</v>
      </c>
      <c r="Q301">
        <v>5.0484307513605498E-2</v>
      </c>
      <c r="R301">
        <v>0.87342834486905196</v>
      </c>
      <c r="S301" t="s">
        <v>6869</v>
      </c>
      <c r="T301" t="s">
        <v>13134</v>
      </c>
      <c r="U301" t="s">
        <v>13134</v>
      </c>
      <c r="V301" t="s">
        <v>13134</v>
      </c>
      <c r="W301" t="s">
        <v>13433</v>
      </c>
      <c r="X301">
        <v>48</v>
      </c>
      <c r="Y301" t="s">
        <v>19925</v>
      </c>
      <c r="Z301" t="s">
        <v>26269</v>
      </c>
      <c r="AA301">
        <v>0.52850921891857516</v>
      </c>
      <c r="AB301" t="str">
        <f>HYPERLINK("Melting_Curves/meltCurve_C9J406_IMMT.pdf", "Melting_Curves/meltCurve_C9J406_IMMT.pdf")</f>
        <v>Melting_Curves/meltCurve_C9J406_IMMT.pdf</v>
      </c>
    </row>
    <row r="302" spans="1:28" x14ac:dyDescent="0.25">
      <c r="A302" t="s">
        <v>306</v>
      </c>
      <c r="B302">
        <v>0.99472303558308395</v>
      </c>
      <c r="C302">
        <v>1.0327309293661</v>
      </c>
      <c r="D302">
        <v>0.92550670825840398</v>
      </c>
      <c r="E302">
        <v>0.491188737523444</v>
      </c>
      <c r="F302">
        <v>0.19303918528759301</v>
      </c>
      <c r="G302">
        <v>0.134955498905861</v>
      </c>
      <c r="H302">
        <v>0.128792657182105</v>
      </c>
      <c r="I302">
        <v>9.1640838904159402E-2</v>
      </c>
      <c r="J302">
        <v>0.124697974936963</v>
      </c>
      <c r="K302">
        <v>0.107201124475412</v>
      </c>
      <c r="L302">
        <v>1455.39563285895</v>
      </c>
      <c r="M302">
        <v>31.511007961798601</v>
      </c>
      <c r="N302">
        <v>46.578542291996598</v>
      </c>
      <c r="O302">
        <v>46.002076115148299</v>
      </c>
      <c r="P302">
        <v>-0.15131799299090301</v>
      </c>
      <c r="Q302">
        <v>0.116384429499055</v>
      </c>
      <c r="R302">
        <v>0.99819675919782502</v>
      </c>
      <c r="S302" t="s">
        <v>6870</v>
      </c>
      <c r="T302" t="s">
        <v>13134</v>
      </c>
      <c r="U302" t="s">
        <v>13134</v>
      </c>
      <c r="V302" t="s">
        <v>13134</v>
      </c>
      <c r="W302" t="s">
        <v>13434</v>
      </c>
      <c r="X302">
        <v>15</v>
      </c>
      <c r="Y302" t="s">
        <v>19926</v>
      </c>
      <c r="Z302" t="s">
        <v>26270</v>
      </c>
      <c r="AA302">
        <v>0.39155090621109351</v>
      </c>
      <c r="AB302" t="str">
        <f>HYPERLINK("Melting_Curves/meltCurve_C9J470_NCAPH.pdf", "Melting_Curves/meltCurve_C9J470_NCAPH.pdf")</f>
        <v>Melting_Curves/meltCurve_C9J470_NCAPH.pdf</v>
      </c>
    </row>
    <row r="303" spans="1:28" x14ac:dyDescent="0.25">
      <c r="A303" t="s">
        <v>307</v>
      </c>
      <c r="B303">
        <v>0.99472303558308395</v>
      </c>
      <c r="C303">
        <v>0.96721785829255402</v>
      </c>
      <c r="D303">
        <v>0.84565094010105202</v>
      </c>
      <c r="E303">
        <v>0.52890770517025498</v>
      </c>
      <c r="F303">
        <v>0.28663469197612801</v>
      </c>
      <c r="G303">
        <v>0.14696225781129099</v>
      </c>
      <c r="H303">
        <v>7.9308552815401501E-2</v>
      </c>
      <c r="I303">
        <v>5.2470356505035197E-2</v>
      </c>
      <c r="J303">
        <v>4.71332147527979E-2</v>
      </c>
      <c r="K303">
        <v>5.1027013137115398E-2</v>
      </c>
      <c r="L303">
        <v>811.41055576763995</v>
      </c>
      <c r="M303">
        <v>17.300364173813701</v>
      </c>
      <c r="N303">
        <v>47.144799222426897</v>
      </c>
      <c r="O303">
        <v>46.288152356028903</v>
      </c>
      <c r="P303">
        <v>-8.9450921692229998E-2</v>
      </c>
      <c r="Q303">
        <v>4.2730008144158803E-2</v>
      </c>
      <c r="R303">
        <v>0.99934081433081801</v>
      </c>
      <c r="S303" t="s">
        <v>6871</v>
      </c>
      <c r="T303" t="s">
        <v>13134</v>
      </c>
      <c r="U303" t="s">
        <v>13134</v>
      </c>
      <c r="V303" t="s">
        <v>13134</v>
      </c>
      <c r="W303" t="s">
        <v>13435</v>
      </c>
      <c r="X303">
        <v>6</v>
      </c>
      <c r="Y303" t="s">
        <v>19927</v>
      </c>
      <c r="Z303" t="s">
        <v>26271</v>
      </c>
      <c r="AA303">
        <v>0.37525548279134568</v>
      </c>
      <c r="AB303" t="str">
        <f>HYPERLINK("Melting_Curves/meltCurve_C9J494_MKRN2.pdf", "Melting_Curves/meltCurve_C9J494_MKRN2.pdf")</f>
        <v>Melting_Curves/meltCurve_C9J494_MKRN2.pdf</v>
      </c>
    </row>
    <row r="304" spans="1:28" x14ac:dyDescent="0.25">
      <c r="A304" t="s">
        <v>308</v>
      </c>
      <c r="B304">
        <v>0.99472303558308395</v>
      </c>
      <c r="C304">
        <v>0.92136942668287203</v>
      </c>
      <c r="D304">
        <v>0.90274820862082295</v>
      </c>
      <c r="E304">
        <v>0.78977725892927098</v>
      </c>
      <c r="F304">
        <v>0.52371941754229301</v>
      </c>
      <c r="G304">
        <v>0.13543670043452</v>
      </c>
      <c r="H304">
        <v>7.7528142784435303E-2</v>
      </c>
      <c r="I304">
        <v>4.4633277553424999E-2</v>
      </c>
      <c r="J304">
        <v>2.8451563754585098E-2</v>
      </c>
      <c r="K304">
        <v>3.5183066816507097E-2</v>
      </c>
      <c r="L304">
        <v>975.10751292524105</v>
      </c>
      <c r="M304">
        <v>19.572376768782899</v>
      </c>
      <c r="N304">
        <v>49.877286059087403</v>
      </c>
      <c r="O304">
        <v>49.309259644387403</v>
      </c>
      <c r="P304">
        <v>-9.8144711967995901E-2</v>
      </c>
      <c r="Q304">
        <v>1.09997205455649E-2</v>
      </c>
      <c r="R304">
        <v>0.99023713135974001</v>
      </c>
      <c r="S304" t="s">
        <v>6872</v>
      </c>
      <c r="T304" t="s">
        <v>13134</v>
      </c>
      <c r="U304" t="s">
        <v>13134</v>
      </c>
      <c r="V304" t="s">
        <v>13134</v>
      </c>
      <c r="W304" t="s">
        <v>13436</v>
      </c>
      <c r="X304">
        <v>5</v>
      </c>
      <c r="Y304" t="s">
        <v>19928</v>
      </c>
      <c r="Z304" t="s">
        <v>26272</v>
      </c>
      <c r="AA304">
        <v>0.44718533264110849</v>
      </c>
      <c r="AB304" t="str">
        <f>HYPERLINK("Melting_Curves/meltCurve_C9J4K5_DONSON.pdf", "Melting_Curves/meltCurve_C9J4K5_DONSON.pdf")</f>
        <v>Melting_Curves/meltCurve_C9J4K5_DONSON.pdf</v>
      </c>
    </row>
    <row r="305" spans="1:28" x14ac:dyDescent="0.25">
      <c r="A305" t="s">
        <v>309</v>
      </c>
      <c r="B305">
        <v>0.99472303558308395</v>
      </c>
      <c r="C305">
        <v>0.81065017885808699</v>
      </c>
      <c r="D305">
        <v>0.82719064218465799</v>
      </c>
      <c r="E305">
        <v>0.68692106333529401</v>
      </c>
      <c r="F305">
        <v>0.62012965421654398</v>
      </c>
      <c r="G305">
        <v>0.36372168822589801</v>
      </c>
      <c r="H305">
        <v>0.290138630497142</v>
      </c>
      <c r="I305">
        <v>0.25035504362338601</v>
      </c>
      <c r="J305">
        <v>0.35940507469971</v>
      </c>
      <c r="K305">
        <v>0.35505985054682199</v>
      </c>
      <c r="L305">
        <v>496.84337656736398</v>
      </c>
      <c r="M305">
        <v>10.4499871614754</v>
      </c>
      <c r="N305">
        <v>51.042720564239801</v>
      </c>
      <c r="O305">
        <v>45.902707767867497</v>
      </c>
      <c r="P305">
        <v>-4.2379690745998802E-2</v>
      </c>
      <c r="Q305">
        <v>0.25567622941945001</v>
      </c>
      <c r="R305">
        <v>0.93352578343271897</v>
      </c>
      <c r="S305" t="s">
        <v>6873</v>
      </c>
      <c r="T305" t="s">
        <v>13134</v>
      </c>
      <c r="U305" t="s">
        <v>13134</v>
      </c>
      <c r="V305" t="s">
        <v>13134</v>
      </c>
      <c r="W305" t="s">
        <v>13437</v>
      </c>
      <c r="X305">
        <v>1</v>
      </c>
      <c r="Y305" t="s">
        <v>19929</v>
      </c>
      <c r="Z305" t="s">
        <v>26273</v>
      </c>
      <c r="AA305">
        <v>0.54642180213011737</v>
      </c>
      <c r="AB305" t="str">
        <f>HYPERLINK("Melting_Curves/meltCurve_C9J4Z0_SLC22A23.pdf", "Melting_Curves/meltCurve_C9J4Z0_SLC22A23.pdf")</f>
        <v>Melting_Curves/meltCurve_C9J4Z0_SLC22A23.pdf</v>
      </c>
    </row>
    <row r="306" spans="1:28" x14ac:dyDescent="0.25">
      <c r="A306" t="s">
        <v>310</v>
      </c>
      <c r="B306">
        <v>0.99472303558308395</v>
      </c>
      <c r="C306">
        <v>0.81139929059573601</v>
      </c>
      <c r="D306">
        <v>0.93729396976171697</v>
      </c>
      <c r="E306">
        <v>0.73115209636627099</v>
      </c>
      <c r="F306">
        <v>0.63237241668063204</v>
      </c>
      <c r="G306">
        <v>0.34403693006583902</v>
      </c>
      <c r="H306">
        <v>0.223826530548939</v>
      </c>
      <c r="I306">
        <v>0.21253761316736</v>
      </c>
      <c r="J306">
        <v>0.12746306350550399</v>
      </c>
      <c r="K306">
        <v>0.11834267099696499</v>
      </c>
      <c r="L306">
        <v>537.08822150103902</v>
      </c>
      <c r="M306">
        <v>10.503664791612501</v>
      </c>
      <c r="N306">
        <v>51.445283803833298</v>
      </c>
      <c r="O306">
        <v>49.384290867118899</v>
      </c>
      <c r="P306">
        <v>-5.1553732216708302E-2</v>
      </c>
      <c r="Q306">
        <v>3.08452832578433E-2</v>
      </c>
      <c r="R306">
        <v>0.96906305962305705</v>
      </c>
      <c r="S306" t="s">
        <v>6874</v>
      </c>
      <c r="T306" t="s">
        <v>13134</v>
      </c>
      <c r="U306" t="s">
        <v>13134</v>
      </c>
      <c r="V306" t="s">
        <v>13134</v>
      </c>
      <c r="W306" t="s">
        <v>13438</v>
      </c>
      <c r="X306">
        <v>2</v>
      </c>
      <c r="Y306" t="s">
        <v>19930</v>
      </c>
      <c r="Z306" t="s">
        <v>26274</v>
      </c>
      <c r="AA306">
        <v>0.51545322973203556</v>
      </c>
      <c r="AB306" t="str">
        <f>HYPERLINK("Melting_Curves/meltCurve_C9J4Z3_RPL37A.pdf", "Melting_Curves/meltCurve_C9J4Z3_RPL37A.pdf")</f>
        <v>Melting_Curves/meltCurve_C9J4Z3_RPL37A.pdf</v>
      </c>
    </row>
    <row r="307" spans="1:28" x14ac:dyDescent="0.25">
      <c r="A307" t="s">
        <v>311</v>
      </c>
      <c r="B307">
        <v>0.99472303558308395</v>
      </c>
      <c r="C307">
        <v>0.97739553607944596</v>
      </c>
      <c r="D307">
        <v>0.97402900598252795</v>
      </c>
      <c r="E307">
        <v>0.86325634484258096</v>
      </c>
      <c r="F307">
        <v>0.52317290920224502</v>
      </c>
      <c r="G307">
        <v>0.28466214467996998</v>
      </c>
      <c r="H307">
        <v>0.14166720013822101</v>
      </c>
      <c r="I307">
        <v>9.6769431568729095E-2</v>
      </c>
      <c r="J307">
        <v>8.5618063808457295E-2</v>
      </c>
      <c r="K307">
        <v>6.64295207982048E-2</v>
      </c>
      <c r="L307">
        <v>1016.47446157051</v>
      </c>
      <c r="M307">
        <v>20.206131176612601</v>
      </c>
      <c r="N307">
        <v>50.685968491356597</v>
      </c>
      <c r="O307">
        <v>49.820306855572298</v>
      </c>
      <c r="P307">
        <v>-9.4258582351510703E-2</v>
      </c>
      <c r="Q307">
        <v>7.0411912127499504E-2</v>
      </c>
      <c r="R307">
        <v>0.99896730181087501</v>
      </c>
      <c r="S307" t="s">
        <v>6875</v>
      </c>
      <c r="T307" t="s">
        <v>13134</v>
      </c>
      <c r="U307" t="s">
        <v>13134</v>
      </c>
      <c r="V307" t="s">
        <v>13134</v>
      </c>
      <c r="W307" t="s">
        <v>13439</v>
      </c>
      <c r="X307">
        <v>12</v>
      </c>
      <c r="Y307" t="s">
        <v>19931</v>
      </c>
      <c r="Z307" t="s">
        <v>26275</v>
      </c>
      <c r="AA307">
        <v>0.49470522792169908</v>
      </c>
      <c r="AB307" t="str">
        <f>HYPERLINK("Melting_Curves/meltCurve_C9J5C3_PDCD10.pdf", "Melting_Curves/meltCurve_C9J5C3_PDCD10.pdf")</f>
        <v>Melting_Curves/meltCurve_C9J5C3_PDCD10.pdf</v>
      </c>
    </row>
    <row r="308" spans="1:28" x14ac:dyDescent="0.25">
      <c r="A308" t="s">
        <v>312</v>
      </c>
      <c r="B308">
        <v>0.99472303558308395</v>
      </c>
      <c r="C308">
        <v>0.85570800732535501</v>
      </c>
      <c r="D308">
        <v>0.70052912152379698</v>
      </c>
      <c r="E308">
        <v>0.45582228274699399</v>
      </c>
      <c r="F308">
        <v>0.239091780570686</v>
      </c>
      <c r="G308">
        <v>0.111455448200848</v>
      </c>
      <c r="H308">
        <v>8.7064783309383498E-2</v>
      </c>
      <c r="I308">
        <v>5.1930041757889601E-2</v>
      </c>
      <c r="J308">
        <v>6.70504855481239E-2</v>
      </c>
      <c r="K308">
        <v>5.5455902316726001E-2</v>
      </c>
      <c r="L308">
        <v>641.32999162158103</v>
      </c>
      <c r="M308">
        <v>14.101659948342601</v>
      </c>
      <c r="N308">
        <v>45.727385383099602</v>
      </c>
      <c r="O308">
        <v>44.593761196768199</v>
      </c>
      <c r="P308">
        <v>-7.6151819114135405E-2</v>
      </c>
      <c r="Q308">
        <v>3.6862479632984203E-2</v>
      </c>
      <c r="R308">
        <v>0.99752307324730305</v>
      </c>
      <c r="S308" t="s">
        <v>6876</v>
      </c>
      <c r="T308" t="s">
        <v>13134</v>
      </c>
      <c r="U308" t="s">
        <v>13134</v>
      </c>
      <c r="V308" t="s">
        <v>13134</v>
      </c>
      <c r="W308" t="s">
        <v>13440</v>
      </c>
      <c r="X308">
        <v>3</v>
      </c>
      <c r="Y308" t="s">
        <v>19932</v>
      </c>
      <c r="Z308" t="s">
        <v>26276</v>
      </c>
      <c r="AA308">
        <v>0.33447083491205232</v>
      </c>
      <c r="AB308" t="str">
        <f>HYPERLINK("Melting_Curves/meltCurve_C9J5J4_LIN9.pdf", "Melting_Curves/meltCurve_C9J5J4_LIN9.pdf")</f>
        <v>Melting_Curves/meltCurve_C9J5J4_LIN9.pdf</v>
      </c>
    </row>
    <row r="309" spans="1:28" x14ac:dyDescent="0.25">
      <c r="A309" t="s">
        <v>313</v>
      </c>
      <c r="B309">
        <v>0.99472303558308395</v>
      </c>
      <c r="C309">
        <v>0.97504273931204299</v>
      </c>
      <c r="D309">
        <v>1.06045971938207</v>
      </c>
      <c r="E309">
        <v>0.79994950161062806</v>
      </c>
      <c r="F309">
        <v>0.30229250172116001</v>
      </c>
      <c r="G309">
        <v>0.124503171713033</v>
      </c>
      <c r="H309">
        <v>0.113789863978092</v>
      </c>
      <c r="I309">
        <v>5.3395753126137001E-2</v>
      </c>
      <c r="J309">
        <v>8.6529644240180004E-2</v>
      </c>
      <c r="K309">
        <v>5.4485292343486397E-2</v>
      </c>
      <c r="L309">
        <v>1611.1520627212301</v>
      </c>
      <c r="M309">
        <v>33.228986018276103</v>
      </c>
      <c r="N309">
        <v>48.735758770162299</v>
      </c>
      <c r="O309">
        <v>48.311735996255003</v>
      </c>
      <c r="P309">
        <v>-0.15850652648759</v>
      </c>
      <c r="Q309">
        <v>7.8191036603895106E-2</v>
      </c>
      <c r="R309">
        <v>0.995152309638343</v>
      </c>
      <c r="S309" t="s">
        <v>6877</v>
      </c>
      <c r="T309" t="s">
        <v>13134</v>
      </c>
      <c r="U309" t="s">
        <v>13134</v>
      </c>
      <c r="V309" t="s">
        <v>13134</v>
      </c>
      <c r="W309" t="s">
        <v>13441</v>
      </c>
      <c r="X309">
        <v>20</v>
      </c>
      <c r="Y309" t="s">
        <v>19933</v>
      </c>
      <c r="Z309" t="s">
        <v>26277</v>
      </c>
      <c r="AA309">
        <v>0.43561891322788582</v>
      </c>
      <c r="AB309" t="str">
        <f>HYPERLINK("Melting_Curves/meltCurve_C9J5N1_PTGES3L_AARSD1.pdf", "Melting_Curves/meltCurve_C9J5N1_PTGES3L_AARSD1.pdf")</f>
        <v>Melting_Curves/meltCurve_C9J5N1_PTGES3L_AARSD1.pdf</v>
      </c>
    </row>
    <row r="310" spans="1:28" x14ac:dyDescent="0.25">
      <c r="A310" t="s">
        <v>314</v>
      </c>
      <c r="B310">
        <v>0.99472303558308395</v>
      </c>
      <c r="C310">
        <v>0.95367326469661096</v>
      </c>
      <c r="D310">
        <v>0.78449784904931597</v>
      </c>
      <c r="E310">
        <v>0.63159165410116103</v>
      </c>
      <c r="F310">
        <v>0.21762996860759901</v>
      </c>
      <c r="G310">
        <v>0.13507839556461501</v>
      </c>
      <c r="H310">
        <v>7.8084519108571504E-2</v>
      </c>
      <c r="I310">
        <v>4.31662195086037E-2</v>
      </c>
      <c r="J310">
        <v>9.8122425627211796E-2</v>
      </c>
      <c r="K310">
        <v>0.10882660307131301</v>
      </c>
      <c r="L310">
        <v>876.17567353574805</v>
      </c>
      <c r="M310">
        <v>18.7122679744345</v>
      </c>
      <c r="N310">
        <v>47.172012980415097</v>
      </c>
      <c r="O310">
        <v>46.2986703845188</v>
      </c>
      <c r="P310">
        <v>-9.4523662258393898E-2</v>
      </c>
      <c r="Q310">
        <v>6.4542280856867806E-2</v>
      </c>
      <c r="R310">
        <v>0.98731240258282205</v>
      </c>
      <c r="S310" t="s">
        <v>6878</v>
      </c>
      <c r="T310" t="s">
        <v>13134</v>
      </c>
      <c r="U310" t="s">
        <v>13134</v>
      </c>
      <c r="V310" t="s">
        <v>13134</v>
      </c>
      <c r="W310" t="s">
        <v>13442</v>
      </c>
      <c r="X310">
        <v>2</v>
      </c>
      <c r="Y310" t="s">
        <v>19934</v>
      </c>
      <c r="Z310" t="s">
        <v>26278</v>
      </c>
      <c r="AA310">
        <v>0.38480446268930252</v>
      </c>
      <c r="AB310" t="str">
        <f>HYPERLINK("Melting_Curves/meltCurve_C9J5X1_IGF1R.pdf", "Melting_Curves/meltCurve_C9J5X1_IGF1R.pdf")</f>
        <v>Melting_Curves/meltCurve_C9J5X1_IGF1R.pdf</v>
      </c>
    </row>
    <row r="311" spans="1:28" x14ac:dyDescent="0.25">
      <c r="A311" t="s">
        <v>315</v>
      </c>
      <c r="B311">
        <v>0.99472303558308395</v>
      </c>
      <c r="C311">
        <v>0.97600025177763305</v>
      </c>
      <c r="D311">
        <v>0.62111009434564701</v>
      </c>
      <c r="E311">
        <v>0.30198873684613903</v>
      </c>
      <c r="F311">
        <v>0.16283857772920099</v>
      </c>
      <c r="G311">
        <v>8.1210790923666204E-2</v>
      </c>
      <c r="H311">
        <v>5.1649409611266801E-2</v>
      </c>
      <c r="I311">
        <v>4.4096060686013697E-2</v>
      </c>
      <c r="J311">
        <v>6.0792599534365402E-2</v>
      </c>
      <c r="K311">
        <v>4.4760559913925302E-2</v>
      </c>
      <c r="L311">
        <v>930.71572468951103</v>
      </c>
      <c r="M311">
        <v>21.057375145336</v>
      </c>
      <c r="N311">
        <v>44.449282309338699</v>
      </c>
      <c r="O311">
        <v>43.806214073392901</v>
      </c>
      <c r="P311">
        <v>-0.113458796280727</v>
      </c>
      <c r="Q311">
        <v>5.5899734337668101E-2</v>
      </c>
      <c r="R311">
        <v>0.99413944005618704</v>
      </c>
      <c r="S311" t="s">
        <v>6879</v>
      </c>
      <c r="T311" t="s">
        <v>13134</v>
      </c>
      <c r="U311" t="s">
        <v>13134</v>
      </c>
      <c r="V311" t="s">
        <v>13134</v>
      </c>
      <c r="W311" t="s">
        <v>13443</v>
      </c>
      <c r="X311">
        <v>10</v>
      </c>
      <c r="Y311" t="s">
        <v>19935</v>
      </c>
      <c r="Z311" t="s">
        <v>26279</v>
      </c>
      <c r="AA311">
        <v>0.29369047786196861</v>
      </c>
      <c r="AB311" t="str">
        <f>HYPERLINK("Melting_Curves/meltCurve_C9J6W2_KIF20B.pdf", "Melting_Curves/meltCurve_C9J6W2_KIF20B.pdf")</f>
        <v>Melting_Curves/meltCurve_C9J6W2_KIF20B.pdf</v>
      </c>
    </row>
    <row r="312" spans="1:28" x14ac:dyDescent="0.25">
      <c r="A312" t="s">
        <v>316</v>
      </c>
      <c r="B312">
        <v>0.99472303558308395</v>
      </c>
      <c r="C312">
        <v>0.93852111978793995</v>
      </c>
      <c r="D312">
        <v>0.86713517676570395</v>
      </c>
      <c r="E312">
        <v>0.75210649467688795</v>
      </c>
      <c r="F312">
        <v>0.57398561329842401</v>
      </c>
      <c r="G312">
        <v>0.332310844050415</v>
      </c>
      <c r="H312">
        <v>0.21924876859836501</v>
      </c>
      <c r="I312">
        <v>0.203058428115201</v>
      </c>
      <c r="J312">
        <v>0.20236434243635101</v>
      </c>
      <c r="K312">
        <v>0.23799012313483001</v>
      </c>
      <c r="L312">
        <v>704.591919744949</v>
      </c>
      <c r="M312">
        <v>14.3252908769184</v>
      </c>
      <c r="N312">
        <v>50.662356892573797</v>
      </c>
      <c r="O312">
        <v>48.256493434334502</v>
      </c>
      <c r="P312">
        <v>-6.1552175915279103E-2</v>
      </c>
      <c r="Q312">
        <v>0.17071630001226501</v>
      </c>
      <c r="R312">
        <v>0.98925404407678796</v>
      </c>
      <c r="S312" t="s">
        <v>6880</v>
      </c>
      <c r="T312" t="s">
        <v>13134</v>
      </c>
      <c r="U312" t="s">
        <v>13134</v>
      </c>
      <c r="V312" t="s">
        <v>13134</v>
      </c>
      <c r="W312" t="s">
        <v>13444</v>
      </c>
      <c r="X312">
        <v>2</v>
      </c>
      <c r="Y312" t="s">
        <v>19936</v>
      </c>
      <c r="Z312" t="s">
        <v>26280</v>
      </c>
      <c r="AA312">
        <v>0.52659095291817348</v>
      </c>
      <c r="AB312" t="str">
        <f>HYPERLINK("Melting_Curves/meltCurve_C9J719_EBP.pdf", "Melting_Curves/meltCurve_C9J719_EBP.pdf")</f>
        <v>Melting_Curves/meltCurve_C9J719_EBP.pdf</v>
      </c>
    </row>
    <row r="313" spans="1:28" x14ac:dyDescent="0.25">
      <c r="A313" t="s">
        <v>317</v>
      </c>
      <c r="B313">
        <v>0.99472303558308395</v>
      </c>
      <c r="C313">
        <v>0.88209067623311199</v>
      </c>
      <c r="D313">
        <v>0.64828063809858605</v>
      </c>
      <c r="E313">
        <v>0.53286346166793996</v>
      </c>
      <c r="F313">
        <v>0.51965627914479096</v>
      </c>
      <c r="G313">
        <v>0.200702584073816</v>
      </c>
      <c r="H313">
        <v>7.8432670892916501E-2</v>
      </c>
      <c r="I313">
        <v>4.6815340413846503E-2</v>
      </c>
      <c r="J313">
        <v>4.76439283280925E-2</v>
      </c>
      <c r="K313">
        <v>3.3945300492264401E-2</v>
      </c>
      <c r="L313">
        <v>489.89332154751798</v>
      </c>
      <c r="M313">
        <v>10.326877652053801</v>
      </c>
      <c r="N313">
        <v>47.438668098826199</v>
      </c>
      <c r="O313">
        <v>45.763139513511</v>
      </c>
      <c r="P313">
        <v>-5.6439084767050202E-2</v>
      </c>
      <c r="Q313">
        <v>0</v>
      </c>
      <c r="R313">
        <v>0.96372070106808205</v>
      </c>
      <c r="S313" t="s">
        <v>6881</v>
      </c>
      <c r="T313" t="s">
        <v>13134</v>
      </c>
      <c r="U313" t="s">
        <v>13134</v>
      </c>
      <c r="V313" t="s">
        <v>13134</v>
      </c>
      <c r="W313" t="s">
        <v>13445</v>
      </c>
      <c r="X313">
        <v>8</v>
      </c>
      <c r="Y313" t="s">
        <v>19937</v>
      </c>
      <c r="Z313" t="s">
        <v>26281</v>
      </c>
      <c r="AA313">
        <v>0.38800334776401002</v>
      </c>
      <c r="AB313" t="str">
        <f>HYPERLINK("Melting_Curves/meltCurve_C9J7E8_MKLN1.pdf", "Melting_Curves/meltCurve_C9J7E8_MKLN1.pdf")</f>
        <v>Melting_Curves/meltCurve_C9J7E8_MKLN1.pdf</v>
      </c>
    </row>
    <row r="314" spans="1:28" x14ac:dyDescent="0.25">
      <c r="A314" t="s">
        <v>318</v>
      </c>
      <c r="B314">
        <v>0.99472303558308395</v>
      </c>
      <c r="C314">
        <v>0.75416135512478399</v>
      </c>
      <c r="D314">
        <v>0.79488762560147797</v>
      </c>
      <c r="E314">
        <v>0.68848572978897604</v>
      </c>
      <c r="F314">
        <v>1.1249650112792999</v>
      </c>
      <c r="G314">
        <v>0.58627009301213795</v>
      </c>
      <c r="H314">
        <v>0.87693925217687396</v>
      </c>
      <c r="I314">
        <v>0.32375445713077899</v>
      </c>
      <c r="J314">
        <v>0.65289644015069903</v>
      </c>
      <c r="K314">
        <v>0.62342181982741596</v>
      </c>
      <c r="L314">
        <v>171.07110550500701</v>
      </c>
      <c r="M314">
        <v>2.24100441496768</v>
      </c>
      <c r="O314">
        <v>48.500075941970898</v>
      </c>
      <c r="P314">
        <v>-1.2336066454099801E-2</v>
      </c>
      <c r="Q314">
        <v>0</v>
      </c>
      <c r="R314">
        <v>0.27094102288806199</v>
      </c>
      <c r="S314" t="s">
        <v>6882</v>
      </c>
      <c r="T314" t="s">
        <v>13134</v>
      </c>
      <c r="U314" t="s">
        <v>13134</v>
      </c>
      <c r="V314" t="s">
        <v>13134</v>
      </c>
      <c r="W314" t="s">
        <v>13446</v>
      </c>
      <c r="X314">
        <v>13</v>
      </c>
      <c r="Y314" t="s">
        <v>19938</v>
      </c>
      <c r="Z314" t="s">
        <v>26282</v>
      </c>
      <c r="AA314">
        <v>0.74316612183628372</v>
      </c>
      <c r="AB314" t="str">
        <f>HYPERLINK("Melting_Curves/meltCurve_C9J7H8_LDHB.pdf", "Melting_Curves/meltCurve_C9J7H8_LDHB.pdf")</f>
        <v>Melting_Curves/meltCurve_C9J7H8_LDHB.pdf</v>
      </c>
    </row>
    <row r="315" spans="1:28" x14ac:dyDescent="0.25">
      <c r="A315" t="s">
        <v>319</v>
      </c>
      <c r="B315">
        <v>0.99472303558308395</v>
      </c>
      <c r="C315">
        <v>0.95219234270851105</v>
      </c>
      <c r="D315">
        <v>0.85925763954104595</v>
      </c>
      <c r="E315">
        <v>0.71960285685951197</v>
      </c>
      <c r="F315">
        <v>0.63087929016396105</v>
      </c>
      <c r="G315">
        <v>0.40318604798426499</v>
      </c>
      <c r="H315">
        <v>0.28453186860601798</v>
      </c>
      <c r="I315">
        <v>0.215526565175756</v>
      </c>
      <c r="J315">
        <v>0.19472686830330399</v>
      </c>
      <c r="K315">
        <v>0.14409443022367699</v>
      </c>
      <c r="L315">
        <v>505.878211855286</v>
      </c>
      <c r="M315">
        <v>9.8782899129451707</v>
      </c>
      <c r="N315">
        <v>51.914818310927203</v>
      </c>
      <c r="O315">
        <v>49.244883600571399</v>
      </c>
      <c r="P315">
        <v>-4.70303690681559E-2</v>
      </c>
      <c r="Q315">
        <v>6.2661554895759294E-2</v>
      </c>
      <c r="R315">
        <v>0.994850296230957</v>
      </c>
      <c r="S315" t="s">
        <v>6883</v>
      </c>
      <c r="T315" t="s">
        <v>13134</v>
      </c>
      <c r="U315" t="s">
        <v>13134</v>
      </c>
      <c r="V315" t="s">
        <v>13134</v>
      </c>
      <c r="W315" t="s">
        <v>13447</v>
      </c>
      <c r="X315">
        <v>3</v>
      </c>
      <c r="Y315" t="s">
        <v>19939</v>
      </c>
      <c r="Z315" t="s">
        <v>26283</v>
      </c>
      <c r="AA315">
        <v>0.53476043480655255</v>
      </c>
      <c r="AB315" t="str">
        <f>HYPERLINK("Melting_Curves/meltCurve_C9J7K9_PLSCR1.pdf", "Melting_Curves/meltCurve_C9J7K9_PLSCR1.pdf")</f>
        <v>Melting_Curves/meltCurve_C9J7K9_PLSCR1.pdf</v>
      </c>
    </row>
    <row r="316" spans="1:28" x14ac:dyDescent="0.25">
      <c r="A316" t="s">
        <v>320</v>
      </c>
      <c r="B316">
        <v>0.99472303558308395</v>
      </c>
      <c r="C316">
        <v>0.930947243375147</v>
      </c>
      <c r="D316">
        <v>0.811674069959196</v>
      </c>
      <c r="E316">
        <v>0.71414309194492898</v>
      </c>
      <c r="F316">
        <v>0.314737847156284</v>
      </c>
      <c r="G316">
        <v>0.12693737636778399</v>
      </c>
      <c r="H316">
        <v>6.74142736473234E-2</v>
      </c>
      <c r="I316">
        <v>7.7189332044548697E-2</v>
      </c>
      <c r="J316">
        <v>6.8196372937231298E-2</v>
      </c>
      <c r="K316">
        <v>5.73359386611225E-2</v>
      </c>
      <c r="L316">
        <v>850.92121162626904</v>
      </c>
      <c r="M316">
        <v>17.754772756461801</v>
      </c>
      <c r="N316">
        <v>48.149792503557101</v>
      </c>
      <c r="O316">
        <v>47.330756575588502</v>
      </c>
      <c r="P316">
        <v>-9.0076285173736004E-2</v>
      </c>
      <c r="Q316">
        <v>3.95469866332646E-2</v>
      </c>
      <c r="R316">
        <v>0.98858867604293199</v>
      </c>
      <c r="S316" t="s">
        <v>6884</v>
      </c>
      <c r="T316" t="s">
        <v>13134</v>
      </c>
      <c r="U316" t="s">
        <v>13134</v>
      </c>
      <c r="V316" t="s">
        <v>13134</v>
      </c>
      <c r="W316" t="s">
        <v>13448</v>
      </c>
      <c r="X316">
        <v>4</v>
      </c>
      <c r="Y316" t="s">
        <v>19940</v>
      </c>
      <c r="Z316" t="s">
        <v>26284</v>
      </c>
      <c r="AA316">
        <v>0.40510145669380998</v>
      </c>
      <c r="AB316" t="str">
        <f>HYPERLINK("Melting_Curves/meltCurve_C9J7Z4_TSEN2.pdf", "Melting_Curves/meltCurve_C9J7Z4_TSEN2.pdf")</f>
        <v>Melting_Curves/meltCurve_C9J7Z4_TSEN2.pdf</v>
      </c>
    </row>
    <row r="317" spans="1:28" x14ac:dyDescent="0.25">
      <c r="A317" t="s">
        <v>321</v>
      </c>
      <c r="B317">
        <v>0.99472303558308395</v>
      </c>
      <c r="C317">
        <v>1.1146957843362999</v>
      </c>
      <c r="D317">
        <v>0.96437357448369998</v>
      </c>
      <c r="E317">
        <v>0.919738949993401</v>
      </c>
      <c r="F317">
        <v>0.77395284030682399</v>
      </c>
      <c r="G317">
        <v>0.53656367171528196</v>
      </c>
      <c r="H317">
        <v>0.492241949765375</v>
      </c>
      <c r="I317">
        <v>0.51660801261286504</v>
      </c>
      <c r="J317">
        <v>0.64246920999693502</v>
      </c>
      <c r="K317">
        <v>0.59709833350317498</v>
      </c>
      <c r="L317">
        <v>1769.0345421489401</v>
      </c>
      <c r="M317">
        <v>35.516861378622302</v>
      </c>
      <c r="O317">
        <v>49.651203390427597</v>
      </c>
      <c r="P317">
        <v>-7.98946787969015E-2</v>
      </c>
      <c r="Q317">
        <v>0.55324286969337799</v>
      </c>
      <c r="R317">
        <v>0.92590887109986197</v>
      </c>
      <c r="S317" t="s">
        <v>6885</v>
      </c>
      <c r="T317" t="s">
        <v>13134</v>
      </c>
      <c r="U317" t="s">
        <v>13134</v>
      </c>
      <c r="V317" t="s">
        <v>13134</v>
      </c>
      <c r="W317" t="s">
        <v>13449</v>
      </c>
      <c r="X317">
        <v>19</v>
      </c>
      <c r="Y317" t="s">
        <v>19941</v>
      </c>
      <c r="Z317" t="s">
        <v>26285</v>
      </c>
      <c r="AA317">
        <v>0.74593460675190093</v>
      </c>
      <c r="AB317" t="str">
        <f>HYPERLINK("Melting_Curves/meltCurve_C9J815_APOBR.pdf", "Melting_Curves/meltCurve_C9J815_APOBR.pdf")</f>
        <v>Melting_Curves/meltCurve_C9J815_APOBR.pdf</v>
      </c>
    </row>
    <row r="318" spans="1:28" x14ac:dyDescent="0.25">
      <c r="A318" t="s">
        <v>322</v>
      </c>
      <c r="B318">
        <v>0.99472303558308395</v>
      </c>
      <c r="C318">
        <v>1.38405933621616</v>
      </c>
      <c r="D318">
        <v>1.3050149829551101</v>
      </c>
      <c r="E318">
        <v>0.75768482606698395</v>
      </c>
      <c r="F318">
        <v>0.99509316447364704</v>
      </c>
      <c r="G318">
        <v>0.529060508260077</v>
      </c>
      <c r="H318">
        <v>0.16342163849897101</v>
      </c>
      <c r="I318">
        <v>0</v>
      </c>
      <c r="J318">
        <v>0</v>
      </c>
      <c r="K318">
        <v>0</v>
      </c>
      <c r="L318">
        <v>1784.9030646322201</v>
      </c>
      <c r="M318">
        <v>32.963294971357399</v>
      </c>
      <c r="N318">
        <v>54.1481993548962</v>
      </c>
      <c r="O318">
        <v>53.950079027892301</v>
      </c>
      <c r="P318">
        <v>-0.152749741732394</v>
      </c>
      <c r="Q318">
        <v>0</v>
      </c>
      <c r="R318">
        <v>0.88856951277990204</v>
      </c>
      <c r="S318" t="s">
        <v>6886</v>
      </c>
      <c r="T318" t="s">
        <v>13134</v>
      </c>
      <c r="U318" t="s">
        <v>13134</v>
      </c>
      <c r="V318" t="s">
        <v>13134</v>
      </c>
      <c r="W318" t="s">
        <v>13450</v>
      </c>
      <c r="X318">
        <v>2</v>
      </c>
      <c r="Y318" t="s">
        <v>19942</v>
      </c>
      <c r="Z318" t="s">
        <v>26286</v>
      </c>
      <c r="AA318">
        <v>0.57698001063008986</v>
      </c>
      <c r="AB318" t="str">
        <f>HYPERLINK("Melting_Curves/meltCurve_C9J8B8_HDAC10.pdf", "Melting_Curves/meltCurve_C9J8B8_HDAC10.pdf")</f>
        <v>Melting_Curves/meltCurve_C9J8B8_HDAC10.pdf</v>
      </c>
    </row>
    <row r="319" spans="1:28" x14ac:dyDescent="0.25">
      <c r="A319" t="s">
        <v>323</v>
      </c>
      <c r="B319">
        <v>0.99472303558308395</v>
      </c>
      <c r="C319">
        <v>0.92404916718264696</v>
      </c>
      <c r="D319">
        <v>0.84693787403708498</v>
      </c>
      <c r="E319">
        <v>0.75248156069118699</v>
      </c>
      <c r="F319">
        <v>0.65622470622506601</v>
      </c>
      <c r="G319">
        <v>0.46838145966755501</v>
      </c>
      <c r="H319">
        <v>0.29583123586175902</v>
      </c>
      <c r="I319">
        <v>0.12069572168142099</v>
      </c>
      <c r="J319">
        <v>3.3532738594373397E-2</v>
      </c>
      <c r="K319">
        <v>5.9052622231014401E-2</v>
      </c>
      <c r="L319">
        <v>580.44002688893295</v>
      </c>
      <c r="M319">
        <v>11.119162848995</v>
      </c>
      <c r="N319">
        <v>52.201774063848497</v>
      </c>
      <c r="O319">
        <v>50.598648388503499</v>
      </c>
      <c r="P319">
        <v>-5.4955825053521701E-2</v>
      </c>
      <c r="Q319">
        <v>0</v>
      </c>
      <c r="R319">
        <v>0.98160097120457801</v>
      </c>
      <c r="S319" t="s">
        <v>6887</v>
      </c>
      <c r="T319" t="s">
        <v>13134</v>
      </c>
      <c r="U319" t="s">
        <v>13134</v>
      </c>
      <c r="V319" t="s">
        <v>13134</v>
      </c>
      <c r="W319" t="s">
        <v>13451</v>
      </c>
      <c r="X319">
        <v>12</v>
      </c>
      <c r="Y319" t="s">
        <v>19943</v>
      </c>
      <c r="Z319" t="s">
        <v>26287</v>
      </c>
      <c r="AA319">
        <v>0.53119599156587316</v>
      </c>
      <c r="AB319" t="str">
        <f>HYPERLINK("Melting_Curves/meltCurve_C9J8Q5_ALDH5A1.pdf", "Melting_Curves/meltCurve_C9J8Q5_ALDH5A1.pdf")</f>
        <v>Melting_Curves/meltCurve_C9J8Q5_ALDH5A1.pdf</v>
      </c>
    </row>
    <row r="320" spans="1:28" x14ac:dyDescent="0.25">
      <c r="A320" t="s">
        <v>324</v>
      </c>
      <c r="B320">
        <v>0.99472303558308395</v>
      </c>
      <c r="C320">
        <v>0.978831465132604</v>
      </c>
      <c r="D320">
        <v>0.70666397643171297</v>
      </c>
      <c r="E320">
        <v>0.52748227070948694</v>
      </c>
      <c r="F320">
        <v>0.33977896889299403</v>
      </c>
      <c r="G320">
        <v>0.148842832777724</v>
      </c>
      <c r="H320">
        <v>0.13103541676257999</v>
      </c>
      <c r="I320">
        <v>0.107179874266564</v>
      </c>
      <c r="J320">
        <v>4.4199052926284899E-2</v>
      </c>
      <c r="K320">
        <v>0</v>
      </c>
      <c r="L320">
        <v>601.51195428257802</v>
      </c>
      <c r="M320">
        <v>12.8297289611292</v>
      </c>
      <c r="N320">
        <v>47.036673384732403</v>
      </c>
      <c r="O320">
        <v>45.788986910676797</v>
      </c>
      <c r="P320">
        <v>-6.8634414281499703E-2</v>
      </c>
      <c r="Q320">
        <v>2.0364023775099899E-2</v>
      </c>
      <c r="R320">
        <v>0.98868147379563698</v>
      </c>
      <c r="S320" t="s">
        <v>6888</v>
      </c>
      <c r="T320" t="s">
        <v>13134</v>
      </c>
      <c r="U320" t="s">
        <v>13134</v>
      </c>
      <c r="V320" t="s">
        <v>13134</v>
      </c>
      <c r="W320" t="s">
        <v>13452</v>
      </c>
      <c r="X320">
        <v>1</v>
      </c>
      <c r="Y320" t="s">
        <v>19944</v>
      </c>
      <c r="Z320" t="s">
        <v>26288</v>
      </c>
      <c r="AA320">
        <v>0.37214313621094619</v>
      </c>
      <c r="AB320" t="str">
        <f>HYPERLINK("Melting_Curves/meltCurve_C9J929_PHF15.pdf", "Melting_Curves/meltCurve_C9J929_PHF15.pdf")</f>
        <v>Melting_Curves/meltCurve_C9J929_PHF15.pdf</v>
      </c>
    </row>
    <row r="321" spans="1:28" x14ac:dyDescent="0.25">
      <c r="A321" t="s">
        <v>325</v>
      </c>
      <c r="B321">
        <v>0.99472303558308395</v>
      </c>
      <c r="C321">
        <v>1.0096549194758799</v>
      </c>
      <c r="D321">
        <v>1.15623896404046</v>
      </c>
      <c r="E321">
        <v>1.0859713253430301</v>
      </c>
      <c r="F321">
        <v>0.77641297326623704</v>
      </c>
      <c r="G321">
        <v>0.44159359099027401</v>
      </c>
      <c r="H321">
        <v>0.17496289589448</v>
      </c>
      <c r="I321">
        <v>6.0314880451973099E-2</v>
      </c>
      <c r="J321">
        <v>4.9438670603213802E-2</v>
      </c>
      <c r="K321">
        <v>5.6370097985993899E-2</v>
      </c>
      <c r="L321">
        <v>1390.3338417356999</v>
      </c>
      <c r="M321">
        <v>26.230531463659101</v>
      </c>
      <c r="N321">
        <v>53.2001467290496</v>
      </c>
      <c r="O321">
        <v>52.699213073252302</v>
      </c>
      <c r="P321">
        <v>-0.118712536197441</v>
      </c>
      <c r="Q321">
        <v>4.5999039240351702E-2</v>
      </c>
      <c r="R321">
        <v>0.97980021886692703</v>
      </c>
      <c r="S321" t="s">
        <v>6889</v>
      </c>
      <c r="T321" t="s">
        <v>13134</v>
      </c>
      <c r="U321" t="s">
        <v>13134</v>
      </c>
      <c r="V321" t="s">
        <v>13134</v>
      </c>
      <c r="W321" t="s">
        <v>13453</v>
      </c>
      <c r="X321">
        <v>14</v>
      </c>
      <c r="Y321" t="s">
        <v>19945</v>
      </c>
      <c r="Z321" t="s">
        <v>26289</v>
      </c>
      <c r="AA321">
        <v>0.56269319917977845</v>
      </c>
      <c r="AB321" t="str">
        <f>HYPERLINK("Melting_Curves/meltCurve_C9J9K3_RPSA.pdf", "Melting_Curves/meltCurve_C9J9K3_RPSA.pdf")</f>
        <v>Melting_Curves/meltCurve_C9J9K3_RPSA.pdf</v>
      </c>
    </row>
    <row r="322" spans="1:28" x14ac:dyDescent="0.25">
      <c r="A322" t="s">
        <v>326</v>
      </c>
      <c r="B322">
        <v>0.99472303558308395</v>
      </c>
      <c r="C322">
        <v>0.96918824613232601</v>
      </c>
      <c r="D322">
        <v>0.93624645061492395</v>
      </c>
      <c r="E322">
        <v>0.80036070998820896</v>
      </c>
      <c r="F322">
        <v>0.43645202155767698</v>
      </c>
      <c r="G322">
        <v>0.19194467612868801</v>
      </c>
      <c r="H322">
        <v>8.8712074488621798E-2</v>
      </c>
      <c r="I322">
        <v>5.3370270891491302E-2</v>
      </c>
      <c r="J322">
        <v>5.5022481579975802E-2</v>
      </c>
      <c r="K322">
        <v>4.91333003163806E-2</v>
      </c>
      <c r="L322">
        <v>1025.56781732952</v>
      </c>
      <c r="M322">
        <v>20.760106007040299</v>
      </c>
      <c r="N322">
        <v>49.608128515329703</v>
      </c>
      <c r="O322">
        <v>48.949354275738102</v>
      </c>
      <c r="P322">
        <v>-0.101627590806343</v>
      </c>
      <c r="Q322">
        <v>4.1533499858189903E-2</v>
      </c>
      <c r="R322">
        <v>0.99911500514983798</v>
      </c>
      <c r="S322" t="s">
        <v>6890</v>
      </c>
      <c r="T322" t="s">
        <v>13134</v>
      </c>
      <c r="U322" t="s">
        <v>13134</v>
      </c>
      <c r="V322" t="s">
        <v>13134</v>
      </c>
      <c r="W322" t="s">
        <v>13454</v>
      </c>
      <c r="X322">
        <v>24</v>
      </c>
      <c r="Y322" t="s">
        <v>19946</v>
      </c>
      <c r="Z322" t="s">
        <v>26290</v>
      </c>
      <c r="AA322">
        <v>0.44953556352905288</v>
      </c>
      <c r="AB322" t="str">
        <f>HYPERLINK("Melting_Curves/meltCurve_C9JA08_NMD3.pdf", "Melting_Curves/meltCurve_C9JA08_NMD3.pdf")</f>
        <v>Melting_Curves/meltCurve_C9JA08_NMD3.pdf</v>
      </c>
    </row>
    <row r="323" spans="1:28" x14ac:dyDescent="0.25">
      <c r="A323" t="s">
        <v>327</v>
      </c>
      <c r="B323">
        <v>0.99472303558308395</v>
      </c>
      <c r="C323">
        <v>0.89057227585501297</v>
      </c>
      <c r="D323">
        <v>0.82734594358408597</v>
      </c>
      <c r="E323">
        <v>0.74018268943865095</v>
      </c>
      <c r="F323">
        <v>0.70299483684358599</v>
      </c>
      <c r="G323">
        <v>0.46253427324657498</v>
      </c>
      <c r="H323">
        <v>0.38060175612939701</v>
      </c>
      <c r="I323">
        <v>0.32394171232867502</v>
      </c>
      <c r="J323">
        <v>0.31550277336073701</v>
      </c>
      <c r="K323">
        <v>0.30749080998978101</v>
      </c>
      <c r="L323">
        <v>427.10794357949601</v>
      </c>
      <c r="M323">
        <v>8.3916428726302694</v>
      </c>
      <c r="N323">
        <v>53.8455068747949</v>
      </c>
      <c r="O323">
        <v>48.252694347390403</v>
      </c>
      <c r="P323">
        <v>-3.5501937088686E-2</v>
      </c>
      <c r="Q323">
        <v>0.18421379946851901</v>
      </c>
      <c r="R323">
        <v>0.97731115947583203</v>
      </c>
      <c r="S323" t="s">
        <v>6891</v>
      </c>
      <c r="T323" t="s">
        <v>13134</v>
      </c>
      <c r="U323" t="s">
        <v>13134</v>
      </c>
      <c r="V323" t="s">
        <v>13134</v>
      </c>
      <c r="W323" t="s">
        <v>13455</v>
      </c>
      <c r="X323">
        <v>5</v>
      </c>
      <c r="Y323" t="s">
        <v>19947</v>
      </c>
      <c r="Z323" t="s">
        <v>26291</v>
      </c>
      <c r="AA323">
        <v>0.59032268876738891</v>
      </c>
      <c r="AB323" t="str">
        <f>HYPERLINK("Melting_Curves/meltCurve_C9JA28_SSR3.pdf", "Melting_Curves/meltCurve_C9JA28_SSR3.pdf")</f>
        <v>Melting_Curves/meltCurve_C9JA28_SSR3.pdf</v>
      </c>
    </row>
    <row r="324" spans="1:28" x14ac:dyDescent="0.25">
      <c r="A324" t="s">
        <v>328</v>
      </c>
      <c r="B324">
        <v>0.99472303558308395</v>
      </c>
      <c r="C324">
        <v>0.98537911764417396</v>
      </c>
      <c r="D324">
        <v>1.0612174836543</v>
      </c>
      <c r="E324">
        <v>0.85107688423195604</v>
      </c>
      <c r="F324">
        <v>0.74194314441395404</v>
      </c>
      <c r="G324">
        <v>0.42221182369518701</v>
      </c>
      <c r="H324">
        <v>0.20756032188854801</v>
      </c>
      <c r="I324">
        <v>0.27215864086441899</v>
      </c>
      <c r="J324">
        <v>0.40566571512343202</v>
      </c>
      <c r="K324">
        <v>0.52119702726056805</v>
      </c>
      <c r="L324">
        <v>1605.20972039618</v>
      </c>
      <c r="M324">
        <v>31.8211129106096</v>
      </c>
      <c r="N324">
        <v>52.427979415471597</v>
      </c>
      <c r="O324">
        <v>50.246832115594401</v>
      </c>
      <c r="P324">
        <v>-0.102917878620891</v>
      </c>
      <c r="Q324">
        <v>0.349957281538186</v>
      </c>
      <c r="R324">
        <v>0.91248292929862895</v>
      </c>
      <c r="S324" t="s">
        <v>6892</v>
      </c>
      <c r="T324" t="s">
        <v>13134</v>
      </c>
      <c r="U324" t="s">
        <v>13134</v>
      </c>
      <c r="V324" t="s">
        <v>13134</v>
      </c>
      <c r="W324" t="s">
        <v>13456</v>
      </c>
      <c r="X324">
        <v>11</v>
      </c>
      <c r="Y324" t="s">
        <v>19948</v>
      </c>
      <c r="Z324" t="s">
        <v>26292</v>
      </c>
      <c r="AA324">
        <v>0.64485639409387596</v>
      </c>
      <c r="AB324" t="str">
        <f>HYPERLINK("Melting_Curves/meltCurve_C9JAB2_SRSF7.pdf", "Melting_Curves/meltCurve_C9JAB2_SRSF7.pdf")</f>
        <v>Melting_Curves/meltCurve_C9JAB2_SRSF7.pdf</v>
      </c>
    </row>
    <row r="325" spans="1:28" x14ac:dyDescent="0.25">
      <c r="A325" t="s">
        <v>329</v>
      </c>
      <c r="B325">
        <v>0.99472303558308395</v>
      </c>
      <c r="C325">
        <v>0.88720355320571698</v>
      </c>
      <c r="D325">
        <v>0.75998489077644305</v>
      </c>
      <c r="E325">
        <v>0.66311264070701803</v>
      </c>
      <c r="F325">
        <v>0.63651067854811705</v>
      </c>
      <c r="G325">
        <v>0.286823559362822</v>
      </c>
      <c r="H325">
        <v>0.19783749991456201</v>
      </c>
      <c r="I325">
        <v>0.10795605867235999</v>
      </c>
      <c r="J325">
        <v>0.14131358001630001</v>
      </c>
      <c r="K325">
        <v>0.18237661829629101</v>
      </c>
      <c r="L325">
        <v>475.063104097061</v>
      </c>
      <c r="M325">
        <v>9.5502792386865902</v>
      </c>
      <c r="N325">
        <v>50.092539398033601</v>
      </c>
      <c r="O325">
        <v>47.708984009750999</v>
      </c>
      <c r="P325">
        <v>-4.8461017318415497E-2</v>
      </c>
      <c r="Q325">
        <v>3.2201883931750198E-2</v>
      </c>
      <c r="R325">
        <v>0.95946255387863699</v>
      </c>
      <c r="S325" t="s">
        <v>6893</v>
      </c>
      <c r="T325" t="s">
        <v>13134</v>
      </c>
      <c r="U325" t="s">
        <v>13134</v>
      </c>
      <c r="V325" t="s">
        <v>13134</v>
      </c>
      <c r="W325" t="s">
        <v>13457</v>
      </c>
      <c r="X325">
        <v>9</v>
      </c>
      <c r="Y325" t="s">
        <v>19949</v>
      </c>
      <c r="Z325" t="s">
        <v>26293</v>
      </c>
      <c r="AA325">
        <v>0.47848901811934869</v>
      </c>
      <c r="AB325" t="str">
        <f>HYPERLINK("Melting_Curves/meltCurve_C9JAB9_NCK1.pdf", "Melting_Curves/meltCurve_C9JAB9_NCK1.pdf")</f>
        <v>Melting_Curves/meltCurve_C9JAB9_NCK1.pdf</v>
      </c>
    </row>
    <row r="326" spans="1:28" x14ac:dyDescent="0.25">
      <c r="A326" t="s">
        <v>330</v>
      </c>
      <c r="B326">
        <v>0.99472303558308395</v>
      </c>
      <c r="C326">
        <v>1.1371962650560801</v>
      </c>
      <c r="D326">
        <v>1.1028160066799</v>
      </c>
      <c r="E326">
        <v>0.92722549452021097</v>
      </c>
      <c r="F326">
        <v>0.64622823001707397</v>
      </c>
      <c r="G326">
        <v>0.43386432489736698</v>
      </c>
      <c r="H326">
        <v>0.28572552559520498</v>
      </c>
      <c r="I326">
        <v>0.199277628679456</v>
      </c>
      <c r="J326">
        <v>0.27457950986883201</v>
      </c>
      <c r="K326">
        <v>0.23802643350678901</v>
      </c>
      <c r="L326">
        <v>1222.2193680031701</v>
      </c>
      <c r="M326">
        <v>24.040664807059802</v>
      </c>
      <c r="N326">
        <v>52.2371828204734</v>
      </c>
      <c r="O326">
        <v>50.491810511716501</v>
      </c>
      <c r="P326">
        <v>-9.0800907835246497E-2</v>
      </c>
      <c r="Q326">
        <v>0.23718742992047201</v>
      </c>
      <c r="R326">
        <v>0.97154989663666402</v>
      </c>
      <c r="S326" t="s">
        <v>6894</v>
      </c>
      <c r="T326" t="s">
        <v>13134</v>
      </c>
      <c r="U326" t="s">
        <v>13134</v>
      </c>
      <c r="V326" t="s">
        <v>13134</v>
      </c>
      <c r="W326" t="s">
        <v>13458</v>
      </c>
      <c r="X326">
        <v>3</v>
      </c>
      <c r="Y326" t="s">
        <v>19950</v>
      </c>
      <c r="Z326" t="s">
        <v>26294</v>
      </c>
      <c r="AA326">
        <v>0.59631768443362121</v>
      </c>
      <c r="AB326" t="str">
        <f>HYPERLINK("Melting_Curves/meltCurve_C9JAX1_FXN.pdf", "Melting_Curves/meltCurve_C9JAX1_FXN.pdf")</f>
        <v>Melting_Curves/meltCurve_C9JAX1_FXN.pdf</v>
      </c>
    </row>
    <row r="327" spans="1:28" x14ac:dyDescent="0.25">
      <c r="A327" t="s">
        <v>331</v>
      </c>
      <c r="B327">
        <v>0.99472303558308395</v>
      </c>
      <c r="C327">
        <v>1.0233010414549</v>
      </c>
      <c r="D327">
        <v>1.0114909145604301</v>
      </c>
      <c r="E327">
        <v>0.75936446342797104</v>
      </c>
      <c r="F327">
        <v>0.38574209597061099</v>
      </c>
      <c r="G327">
        <v>0.23746440485345799</v>
      </c>
      <c r="H327">
        <v>0.130416664464228</v>
      </c>
      <c r="I327">
        <v>9.6586549935979996E-2</v>
      </c>
      <c r="J327">
        <v>0.105157074831063</v>
      </c>
      <c r="K327">
        <v>8.2652290530396702E-2</v>
      </c>
      <c r="L327">
        <v>1122.5704476772</v>
      </c>
      <c r="M327">
        <v>23.025755262215299</v>
      </c>
      <c r="N327">
        <v>49.229947694516603</v>
      </c>
      <c r="O327">
        <v>48.389536219582602</v>
      </c>
      <c r="P327">
        <v>-0.10706540483843301</v>
      </c>
      <c r="Q327">
        <v>0.100007590553554</v>
      </c>
      <c r="R327">
        <v>0.99585743755775302</v>
      </c>
      <c r="S327" t="s">
        <v>6895</v>
      </c>
      <c r="T327" t="s">
        <v>13134</v>
      </c>
      <c r="U327" t="s">
        <v>13134</v>
      </c>
      <c r="V327" t="s">
        <v>13134</v>
      </c>
      <c r="W327" t="s">
        <v>13459</v>
      </c>
      <c r="X327">
        <v>12</v>
      </c>
      <c r="Y327" t="s">
        <v>19951</v>
      </c>
      <c r="Z327" t="s">
        <v>26295</v>
      </c>
      <c r="AA327">
        <v>0.46167957553958128</v>
      </c>
      <c r="AB327" t="str">
        <f>HYPERLINK("Melting_Curves/meltCurve_C9JB13_BSDC1.pdf", "Melting_Curves/meltCurve_C9JB13_BSDC1.pdf")</f>
        <v>Melting_Curves/meltCurve_C9JB13_BSDC1.pdf</v>
      </c>
    </row>
    <row r="328" spans="1:28" x14ac:dyDescent="0.25">
      <c r="A328" t="s">
        <v>332</v>
      </c>
      <c r="B328">
        <v>0.99472303558308395</v>
      </c>
      <c r="C328">
        <v>1.15631981204699</v>
      </c>
      <c r="D328">
        <v>0.85065314771796896</v>
      </c>
      <c r="E328">
        <v>0.87746906219417897</v>
      </c>
      <c r="F328">
        <v>0.72631154716172297</v>
      </c>
      <c r="G328">
        <v>0.427744975250411</v>
      </c>
      <c r="H328">
        <v>0.28495619824671098</v>
      </c>
      <c r="I328">
        <v>0.28814666408591999</v>
      </c>
      <c r="J328">
        <v>0.314958211092291</v>
      </c>
      <c r="K328">
        <v>0.40236257314006602</v>
      </c>
      <c r="L328">
        <v>1183.7111229114801</v>
      </c>
      <c r="M328">
        <v>23.4438142163301</v>
      </c>
      <c r="N328">
        <v>52.667588992294498</v>
      </c>
      <c r="O328">
        <v>50.128333456861697</v>
      </c>
      <c r="P328">
        <v>-8.0651178945579105E-2</v>
      </c>
      <c r="Q328">
        <v>0.310207992255294</v>
      </c>
      <c r="R328">
        <v>0.936114184409646</v>
      </c>
      <c r="S328" t="s">
        <v>6896</v>
      </c>
      <c r="T328" t="s">
        <v>13134</v>
      </c>
      <c r="U328" t="s">
        <v>13134</v>
      </c>
      <c r="V328" t="s">
        <v>13134</v>
      </c>
      <c r="W328" t="s">
        <v>13460</v>
      </c>
      <c r="X328">
        <v>2</v>
      </c>
      <c r="Y328" t="s">
        <v>19952</v>
      </c>
      <c r="Z328" t="s">
        <v>26296</v>
      </c>
      <c r="AA328">
        <v>0.62724940673309559</v>
      </c>
      <c r="AB328" t="str">
        <f>HYPERLINK("Melting_Curves/meltCurve_C9JBB3_TFPI.pdf", "Melting_Curves/meltCurve_C9JBB3_TFPI.pdf")</f>
        <v>Melting_Curves/meltCurve_C9JBB3_TFPI.pdf</v>
      </c>
    </row>
    <row r="329" spans="1:28" x14ac:dyDescent="0.25">
      <c r="A329" t="s">
        <v>333</v>
      </c>
      <c r="B329">
        <v>0.99472303558308395</v>
      </c>
      <c r="C329">
        <v>0.92520101254266696</v>
      </c>
      <c r="D329">
        <v>0.90001915670244104</v>
      </c>
      <c r="E329">
        <v>0.70081244832052303</v>
      </c>
      <c r="F329">
        <v>0.72342011859672595</v>
      </c>
      <c r="G329">
        <v>0.38271427352499598</v>
      </c>
      <c r="H329">
        <v>0.249942172833477</v>
      </c>
      <c r="I329">
        <v>0.156505104877524</v>
      </c>
      <c r="J329">
        <v>0.136821513696119</v>
      </c>
      <c r="K329">
        <v>0.28559944918201702</v>
      </c>
      <c r="L329">
        <v>625.94984504914305</v>
      </c>
      <c r="M329">
        <v>12.3561101046015</v>
      </c>
      <c r="N329">
        <v>51.867830409579497</v>
      </c>
      <c r="O329">
        <v>49.387047094761897</v>
      </c>
      <c r="P329">
        <v>-5.4734633324310902E-2</v>
      </c>
      <c r="Q329">
        <v>0.125096349337466</v>
      </c>
      <c r="R329">
        <v>0.95131878422037097</v>
      </c>
      <c r="S329" t="s">
        <v>6897</v>
      </c>
      <c r="T329" t="s">
        <v>13134</v>
      </c>
      <c r="U329" t="s">
        <v>13134</v>
      </c>
      <c r="V329" t="s">
        <v>13134</v>
      </c>
      <c r="W329" t="s">
        <v>13461</v>
      </c>
      <c r="X329">
        <v>4</v>
      </c>
      <c r="Y329" t="s">
        <v>19953</v>
      </c>
      <c r="Z329" t="s">
        <v>26297</v>
      </c>
      <c r="AA329">
        <v>0.54610770658799035</v>
      </c>
      <c r="AB329" t="str">
        <f>HYPERLINK("Melting_Curves/meltCurve_C9JBG5_SIDT2.pdf", "Melting_Curves/meltCurve_C9JBG5_SIDT2.pdf")</f>
        <v>Melting_Curves/meltCurve_C9JBG5_SIDT2.pdf</v>
      </c>
    </row>
    <row r="330" spans="1:28" x14ac:dyDescent="0.25">
      <c r="A330" t="s">
        <v>334</v>
      </c>
      <c r="B330">
        <v>0.99472303558308395</v>
      </c>
      <c r="C330">
        <v>1.1927386237603199</v>
      </c>
      <c r="D330">
        <v>0.77894114787601898</v>
      </c>
      <c r="E330">
        <v>0.80843836909299605</v>
      </c>
      <c r="F330">
        <v>0.64184890180291898</v>
      </c>
      <c r="G330">
        <v>0.438732405479552</v>
      </c>
      <c r="H330">
        <v>0.36985255561354902</v>
      </c>
      <c r="I330">
        <v>0.46368948221275502</v>
      </c>
      <c r="J330">
        <v>0.55518023505386305</v>
      </c>
      <c r="K330">
        <v>0.53810810513642704</v>
      </c>
      <c r="L330">
        <v>932.01015034501597</v>
      </c>
      <c r="M330">
        <v>19.780017162585501</v>
      </c>
      <c r="N330">
        <v>54.964796675923502</v>
      </c>
      <c r="O330">
        <v>46.645097372556997</v>
      </c>
      <c r="P330">
        <v>-5.6156994294868597E-2</v>
      </c>
      <c r="Q330">
        <v>0.47030189493734398</v>
      </c>
      <c r="R330">
        <v>0.83972625211978302</v>
      </c>
      <c r="S330" t="s">
        <v>6898</v>
      </c>
      <c r="T330" t="s">
        <v>13134</v>
      </c>
      <c r="U330" t="s">
        <v>13134</v>
      </c>
      <c r="V330" t="s">
        <v>13134</v>
      </c>
      <c r="W330" t="s">
        <v>13462</v>
      </c>
      <c r="X330">
        <v>1</v>
      </c>
      <c r="Y330" t="s">
        <v>19954</v>
      </c>
      <c r="Z330" t="s">
        <v>26298</v>
      </c>
      <c r="AA330">
        <v>0.65605341938455297</v>
      </c>
      <c r="AB330" t="str">
        <f>HYPERLINK("Melting_Curves/meltCurve_C9JBL1_SPCS1.pdf", "Melting_Curves/meltCurve_C9JBL1_SPCS1.pdf")</f>
        <v>Melting_Curves/meltCurve_C9JBL1_SPCS1.pdf</v>
      </c>
    </row>
    <row r="331" spans="1:28" x14ac:dyDescent="0.25">
      <c r="A331" t="s">
        <v>335</v>
      </c>
      <c r="B331">
        <v>0.99472303558308395</v>
      </c>
      <c r="C331">
        <v>1.0153288007310901</v>
      </c>
      <c r="D331">
        <v>0.97735706734928096</v>
      </c>
      <c r="E331">
        <v>0.88599344449006701</v>
      </c>
      <c r="F331">
        <v>0.66673855179798802</v>
      </c>
      <c r="G331">
        <v>0.35665471989598502</v>
      </c>
      <c r="H331">
        <v>0.12352584608989201</v>
      </c>
      <c r="I331">
        <v>5.5867534302601697E-2</v>
      </c>
      <c r="J331">
        <v>6.25587912374619E-2</v>
      </c>
      <c r="K331">
        <v>4.09189491279007E-2</v>
      </c>
      <c r="L331">
        <v>1023.31862536729</v>
      </c>
      <c r="M331">
        <v>19.748370102384001</v>
      </c>
      <c r="N331">
        <v>51.940896656706698</v>
      </c>
      <c r="O331">
        <v>51.295298575817</v>
      </c>
      <c r="P331">
        <v>-9.4052543017434098E-2</v>
      </c>
      <c r="Q331">
        <v>2.2847938113217298E-2</v>
      </c>
      <c r="R331">
        <v>0.99872960784698805</v>
      </c>
      <c r="S331" t="s">
        <v>6899</v>
      </c>
      <c r="T331" t="s">
        <v>13134</v>
      </c>
      <c r="U331" t="s">
        <v>13134</v>
      </c>
      <c r="V331" t="s">
        <v>13134</v>
      </c>
      <c r="W331" t="s">
        <v>13463</v>
      </c>
      <c r="X331">
        <v>2</v>
      </c>
      <c r="Y331" t="s">
        <v>19955</v>
      </c>
      <c r="Z331" t="s">
        <v>26299</v>
      </c>
      <c r="AA331">
        <v>0.51840720901146864</v>
      </c>
      <c r="AB331" t="str">
        <f>HYPERLINK("Melting_Curves/meltCurve_C9JC99_TANGO2.pdf", "Melting_Curves/meltCurve_C9JC99_TANGO2.pdf")</f>
        <v>Melting_Curves/meltCurve_C9JC99_TANGO2.pdf</v>
      </c>
    </row>
    <row r="332" spans="1:28" x14ac:dyDescent="0.25">
      <c r="A332" t="s">
        <v>336</v>
      </c>
      <c r="B332">
        <v>0.99472303558308395</v>
      </c>
      <c r="C332">
        <v>1.06599370169288</v>
      </c>
      <c r="D332">
        <v>0.98212485346848499</v>
      </c>
      <c r="E332">
        <v>0.94343196447279098</v>
      </c>
      <c r="F332">
        <v>0.79295093931234895</v>
      </c>
      <c r="G332">
        <v>0.59521371667470901</v>
      </c>
      <c r="H332">
        <v>0.43096774228642598</v>
      </c>
      <c r="I332">
        <v>0.35388575309660902</v>
      </c>
      <c r="J332">
        <v>0.36077036532700102</v>
      </c>
      <c r="K332">
        <v>0.26482403474555299</v>
      </c>
      <c r="L332">
        <v>898.85436060365703</v>
      </c>
      <c r="M332">
        <v>16.9663241007419</v>
      </c>
      <c r="N332">
        <v>55.717298051627097</v>
      </c>
      <c r="O332">
        <v>52.2591584060646</v>
      </c>
      <c r="P332">
        <v>-5.8212527972392299E-2</v>
      </c>
      <c r="Q332">
        <v>0.28282680861125697</v>
      </c>
      <c r="R332">
        <v>0.99071613707156103</v>
      </c>
      <c r="S332" t="s">
        <v>6900</v>
      </c>
      <c r="T332" t="s">
        <v>13134</v>
      </c>
      <c r="U332" t="s">
        <v>13134</v>
      </c>
      <c r="V332" t="s">
        <v>13134</v>
      </c>
      <c r="W332" t="s">
        <v>13464</v>
      </c>
      <c r="X332">
        <v>5</v>
      </c>
      <c r="Y332" t="s">
        <v>19956</v>
      </c>
      <c r="Z332" t="s">
        <v>26300</v>
      </c>
      <c r="AA332">
        <v>0.67604044701613908</v>
      </c>
      <c r="AB332" t="str">
        <f>HYPERLINK("Melting_Curves/meltCurve_C9JCC6_DRAP1.pdf", "Melting_Curves/meltCurve_C9JCC6_DRAP1.pdf")</f>
        <v>Melting_Curves/meltCurve_C9JCC6_DRAP1.pdf</v>
      </c>
    </row>
    <row r="333" spans="1:28" x14ac:dyDescent="0.25">
      <c r="A333" t="s">
        <v>337</v>
      </c>
      <c r="B333">
        <v>0.99472303558308395</v>
      </c>
      <c r="C333">
        <v>0.98253769709098504</v>
      </c>
      <c r="D333">
        <v>0.61984331331768105</v>
      </c>
      <c r="E333">
        <v>0.41388751855358502</v>
      </c>
      <c r="F333">
        <v>0.289951449116578</v>
      </c>
      <c r="G333">
        <v>0.15510005835513899</v>
      </c>
      <c r="H333">
        <v>9.3018587524960394E-2</v>
      </c>
      <c r="I333">
        <v>8.7486892111602294E-2</v>
      </c>
      <c r="J333">
        <v>9.0751502468309195E-2</v>
      </c>
      <c r="K333">
        <v>6.2654396674162199E-2</v>
      </c>
      <c r="L333">
        <v>692.52302231827002</v>
      </c>
      <c r="M333">
        <v>15.382989549011601</v>
      </c>
      <c r="N333">
        <v>45.514120301695002</v>
      </c>
      <c r="O333">
        <v>44.278542413248402</v>
      </c>
      <c r="P333">
        <v>-8.0165993904789803E-2</v>
      </c>
      <c r="Q333">
        <v>7.7082249787291293E-2</v>
      </c>
      <c r="R333">
        <v>0.98354000503095396</v>
      </c>
      <c r="S333" t="s">
        <v>6901</v>
      </c>
      <c r="T333" t="s">
        <v>13134</v>
      </c>
      <c r="U333" t="s">
        <v>13134</v>
      </c>
      <c r="V333" t="s">
        <v>13134</v>
      </c>
      <c r="W333" t="s">
        <v>13465</v>
      </c>
      <c r="X333">
        <v>8</v>
      </c>
      <c r="Y333" t="s">
        <v>19957</v>
      </c>
      <c r="Z333" t="s">
        <v>26301</v>
      </c>
      <c r="AA333">
        <v>0.34463060536043028</v>
      </c>
      <c r="AB333" t="str">
        <f>HYPERLINK("Melting_Curves/meltCurve_C9JDG0_DIAPH3.pdf", "Melting_Curves/meltCurve_C9JDG0_DIAPH3.pdf")</f>
        <v>Melting_Curves/meltCurve_C9JDG0_DIAPH3.pdf</v>
      </c>
    </row>
    <row r="334" spans="1:28" x14ac:dyDescent="0.25">
      <c r="A334" t="s">
        <v>338</v>
      </c>
      <c r="B334">
        <v>0.99472303558308395</v>
      </c>
      <c r="C334">
        <v>1.0488634781856001</v>
      </c>
      <c r="D334">
        <v>0.85529403022350403</v>
      </c>
      <c r="E334">
        <v>0.78733879175185895</v>
      </c>
      <c r="F334">
        <v>0.57097445814453096</v>
      </c>
      <c r="G334">
        <v>0.326109762726291</v>
      </c>
      <c r="H334">
        <v>0.19665171156811501</v>
      </c>
      <c r="I334">
        <v>0.15175228086936299</v>
      </c>
      <c r="J334">
        <v>0.13929260259462301</v>
      </c>
      <c r="K334">
        <v>0.13963408078022699</v>
      </c>
      <c r="L334">
        <v>747.30604876377402</v>
      </c>
      <c r="M334">
        <v>14.9182399756506</v>
      </c>
      <c r="N334">
        <v>50.862991092852802</v>
      </c>
      <c r="O334">
        <v>49.219172805467799</v>
      </c>
      <c r="P334">
        <v>-6.8126434952990395E-2</v>
      </c>
      <c r="Q334">
        <v>0.10102499704410101</v>
      </c>
      <c r="R334">
        <v>0.99046901653836905</v>
      </c>
      <c r="S334" t="s">
        <v>6902</v>
      </c>
      <c r="T334" t="s">
        <v>13134</v>
      </c>
      <c r="U334" t="s">
        <v>13134</v>
      </c>
      <c r="V334" t="s">
        <v>13134</v>
      </c>
      <c r="W334" t="s">
        <v>13466</v>
      </c>
      <c r="X334">
        <v>5</v>
      </c>
      <c r="Y334" t="s">
        <v>19958</v>
      </c>
      <c r="Z334" t="s">
        <v>26302</v>
      </c>
      <c r="AA334">
        <v>0.5122615471156946</v>
      </c>
      <c r="AB334" t="str">
        <f>HYPERLINK("Melting_Curves/meltCurve_C9JE12_TMUB1.pdf", "Melting_Curves/meltCurve_C9JE12_TMUB1.pdf")</f>
        <v>Melting_Curves/meltCurve_C9JE12_TMUB1.pdf</v>
      </c>
    </row>
    <row r="335" spans="1:28" x14ac:dyDescent="0.25">
      <c r="A335" t="s">
        <v>339</v>
      </c>
      <c r="B335">
        <v>0.99472303558308395</v>
      </c>
      <c r="C335">
        <v>0.91881607730502202</v>
      </c>
      <c r="D335">
        <v>0.63494859323209196</v>
      </c>
      <c r="E335">
        <v>0.46063561511989198</v>
      </c>
      <c r="F335">
        <v>0.40319539434767299</v>
      </c>
      <c r="G335">
        <v>0.16279321165650701</v>
      </c>
      <c r="H335">
        <v>7.99117246115673E-2</v>
      </c>
      <c r="I335">
        <v>5.8064721686903201E-2</v>
      </c>
      <c r="J335">
        <v>8.8086652240943794E-2</v>
      </c>
      <c r="K335">
        <v>0.13481773096754901</v>
      </c>
      <c r="L335">
        <v>562.96442490868299</v>
      </c>
      <c r="M335">
        <v>12.2915296105324</v>
      </c>
      <c r="N335">
        <v>46.2738347064846</v>
      </c>
      <c r="O335">
        <v>44.639318561631498</v>
      </c>
      <c r="P335">
        <v>-6.4789827396381602E-2</v>
      </c>
      <c r="Q335">
        <v>5.9014221374930197E-2</v>
      </c>
      <c r="R335">
        <v>0.97365026203342198</v>
      </c>
      <c r="S335" t="s">
        <v>6903</v>
      </c>
      <c r="T335" t="s">
        <v>13134</v>
      </c>
      <c r="U335" t="s">
        <v>13134</v>
      </c>
      <c r="V335" t="s">
        <v>13134</v>
      </c>
      <c r="W335" t="s">
        <v>13467</v>
      </c>
      <c r="X335">
        <v>11</v>
      </c>
      <c r="Y335" t="s">
        <v>19959</v>
      </c>
      <c r="Z335" t="s">
        <v>26303</v>
      </c>
      <c r="AA335">
        <v>0.36651950330450611</v>
      </c>
      <c r="AB335" t="str">
        <f>HYPERLINK("Melting_Curves/meltCurve_C9JE98_NCOR2.pdf", "Melting_Curves/meltCurve_C9JE98_NCOR2.pdf")</f>
        <v>Melting_Curves/meltCurve_C9JE98_NCOR2.pdf</v>
      </c>
    </row>
    <row r="336" spans="1:28" x14ac:dyDescent="0.25">
      <c r="A336" t="s">
        <v>340</v>
      </c>
      <c r="B336">
        <v>0.99472303558308395</v>
      </c>
      <c r="C336">
        <v>0.96652181831803496</v>
      </c>
      <c r="D336">
        <v>0.73253463674421904</v>
      </c>
      <c r="E336">
        <v>0.51024551757623704</v>
      </c>
      <c r="F336">
        <v>0.227758866847042</v>
      </c>
      <c r="G336">
        <v>0.13137491999168799</v>
      </c>
      <c r="H336">
        <v>6.3366698395650706E-2</v>
      </c>
      <c r="I336">
        <v>6.0308617145805599E-2</v>
      </c>
      <c r="J336">
        <v>5.2563293425149898E-2</v>
      </c>
      <c r="K336">
        <v>4.64897804958311E-2</v>
      </c>
      <c r="L336">
        <v>749.363466659506</v>
      </c>
      <c r="M336">
        <v>16.239836640475399</v>
      </c>
      <c r="N336">
        <v>46.371628776768297</v>
      </c>
      <c r="O336">
        <v>45.460880478452701</v>
      </c>
      <c r="P336">
        <v>-8.5884822234564603E-2</v>
      </c>
      <c r="Q336">
        <v>3.8386857431543298E-2</v>
      </c>
      <c r="R336">
        <v>0.99662013413830297</v>
      </c>
      <c r="S336" t="s">
        <v>6904</v>
      </c>
      <c r="T336" t="s">
        <v>13134</v>
      </c>
      <c r="U336" t="s">
        <v>13134</v>
      </c>
      <c r="V336" t="s">
        <v>13134</v>
      </c>
      <c r="W336" t="s">
        <v>13468</v>
      </c>
      <c r="X336">
        <v>4</v>
      </c>
      <c r="Y336" t="s">
        <v>19960</v>
      </c>
      <c r="Z336" t="s">
        <v>26304</v>
      </c>
      <c r="AA336">
        <v>0.35046008094216069</v>
      </c>
      <c r="AB336" t="str">
        <f>HYPERLINK("Melting_Curves/meltCurve_C9JEL3_EIF4E2.pdf", "Melting_Curves/meltCurve_C9JEL3_EIF4E2.pdf")</f>
        <v>Melting_Curves/meltCurve_C9JEL3_EIF4E2.pdf</v>
      </c>
    </row>
    <row r="337" spans="1:28" x14ac:dyDescent="0.25">
      <c r="A337" t="s">
        <v>341</v>
      </c>
      <c r="B337">
        <v>0.99472303558308395</v>
      </c>
      <c r="C337">
        <v>1.1875985947902801</v>
      </c>
      <c r="D337">
        <v>0.89925339485186895</v>
      </c>
      <c r="E337">
        <v>1.0082468344884701</v>
      </c>
      <c r="F337">
        <v>0.86474581353718805</v>
      </c>
      <c r="G337">
        <v>0.54901099028038503</v>
      </c>
      <c r="H337">
        <v>0.36250430687379498</v>
      </c>
      <c r="I337">
        <v>0.423425427532856</v>
      </c>
      <c r="J337">
        <v>0.43617197656017198</v>
      </c>
      <c r="K337">
        <v>0.42915650809075701</v>
      </c>
      <c r="L337">
        <v>1998.1873165505599</v>
      </c>
      <c r="M337">
        <v>38.5074152742027</v>
      </c>
      <c r="N337">
        <v>54.343920063447797</v>
      </c>
      <c r="O337">
        <v>51.751622870110403</v>
      </c>
      <c r="P337">
        <v>-0.109366282284013</v>
      </c>
      <c r="Q337">
        <v>0.412074915548445</v>
      </c>
      <c r="R337">
        <v>0.93933286212242795</v>
      </c>
      <c r="S337" t="s">
        <v>6905</v>
      </c>
      <c r="T337" t="s">
        <v>13134</v>
      </c>
      <c r="U337" t="s">
        <v>13134</v>
      </c>
      <c r="V337" t="s">
        <v>13134</v>
      </c>
      <c r="W337" t="s">
        <v>13469</v>
      </c>
      <c r="X337">
        <v>2</v>
      </c>
      <c r="Y337" t="s">
        <v>19961</v>
      </c>
      <c r="Z337" t="s">
        <v>26305</v>
      </c>
      <c r="AA337">
        <v>0.70617053626582271</v>
      </c>
      <c r="AB337" t="str">
        <f>HYPERLINK("Melting_Curves/meltCurve_C9JFB2_YIPF1.pdf", "Melting_Curves/meltCurve_C9JFB2_YIPF1.pdf")</f>
        <v>Melting_Curves/meltCurve_C9JFB2_YIPF1.pdf</v>
      </c>
    </row>
    <row r="338" spans="1:28" x14ac:dyDescent="0.25">
      <c r="A338" t="s">
        <v>342</v>
      </c>
      <c r="B338">
        <v>0.99472303558308395</v>
      </c>
      <c r="C338">
        <v>1.07172355253049</v>
      </c>
      <c r="D338">
        <v>0.85097279663396797</v>
      </c>
      <c r="E338">
        <v>0.780015440559919</v>
      </c>
      <c r="F338">
        <v>0.70543241636719001</v>
      </c>
      <c r="G338">
        <v>0.330235548078954</v>
      </c>
      <c r="H338">
        <v>0.106473334658439</v>
      </c>
      <c r="I338">
        <v>6.7448568365954906E-2</v>
      </c>
      <c r="J338">
        <v>9.8842621421974503E-2</v>
      </c>
      <c r="K338">
        <v>7.0378749670583898E-2</v>
      </c>
      <c r="L338">
        <v>825.68218794243899</v>
      </c>
      <c r="M338">
        <v>16.0521615449838</v>
      </c>
      <c r="N338">
        <v>51.567718476954902</v>
      </c>
      <c r="O338">
        <v>50.659010617716604</v>
      </c>
      <c r="P338">
        <v>-7.7648670953799598E-2</v>
      </c>
      <c r="Q338">
        <v>1.9870206827807199E-2</v>
      </c>
      <c r="R338">
        <v>0.97360023853032196</v>
      </c>
      <c r="S338" t="s">
        <v>6906</v>
      </c>
      <c r="T338" t="s">
        <v>13134</v>
      </c>
      <c r="U338" t="s">
        <v>13134</v>
      </c>
      <c r="V338" t="s">
        <v>13134</v>
      </c>
      <c r="W338" t="s">
        <v>13470</v>
      </c>
      <c r="X338">
        <v>22</v>
      </c>
      <c r="Y338" t="s">
        <v>19962</v>
      </c>
      <c r="Z338" t="s">
        <v>26306</v>
      </c>
      <c r="AA338">
        <v>0.50926893788346106</v>
      </c>
      <c r="AB338" t="str">
        <f>HYPERLINK("Melting_Curves/meltCurve_C9JFE4_GPS1.pdf", "Melting_Curves/meltCurve_C9JFE4_GPS1.pdf")</f>
        <v>Melting_Curves/meltCurve_C9JFE4_GPS1.pdf</v>
      </c>
    </row>
    <row r="339" spans="1:28" x14ac:dyDescent="0.25">
      <c r="A339" t="s">
        <v>343</v>
      </c>
      <c r="B339">
        <v>0.99472303558308395</v>
      </c>
      <c r="C339">
        <v>0.88442655357804401</v>
      </c>
      <c r="D339">
        <v>0.82173222943833801</v>
      </c>
      <c r="E339">
        <v>0.70494585394776499</v>
      </c>
      <c r="F339">
        <v>0.52848348801618295</v>
      </c>
      <c r="G339">
        <v>0.259527618296306</v>
      </c>
      <c r="H339">
        <v>0.42835982198939399</v>
      </c>
      <c r="I339">
        <v>0.125655212029602</v>
      </c>
      <c r="J339">
        <v>0.42600641146565499</v>
      </c>
      <c r="K339">
        <v>0.11353060736546999</v>
      </c>
      <c r="L339">
        <v>530.78864152544304</v>
      </c>
      <c r="M339">
        <v>11.010474614926901</v>
      </c>
      <c r="N339">
        <v>50.297416708653799</v>
      </c>
      <c r="O339">
        <v>46.699282823914601</v>
      </c>
      <c r="P339">
        <v>-4.81399131970877E-2</v>
      </c>
      <c r="Q339">
        <v>0.18356153331219999</v>
      </c>
      <c r="R339">
        <v>0.88734553387665505</v>
      </c>
      <c r="S339" t="s">
        <v>6907</v>
      </c>
      <c r="T339" t="s">
        <v>13134</v>
      </c>
      <c r="U339" t="s">
        <v>13134</v>
      </c>
      <c r="V339" t="s">
        <v>13134</v>
      </c>
      <c r="W339" t="s">
        <v>13471</v>
      </c>
      <c r="X339">
        <v>11</v>
      </c>
      <c r="Y339" t="s">
        <v>19963</v>
      </c>
      <c r="Z339" t="s">
        <v>26307</v>
      </c>
      <c r="AA339">
        <v>0.51708217873328488</v>
      </c>
      <c r="AB339" t="str">
        <f>HYPERLINK("Melting_Curves/meltCurve_C9JFR7_CYCS.pdf", "Melting_Curves/meltCurve_C9JFR7_CYCS.pdf")</f>
        <v>Melting_Curves/meltCurve_C9JFR7_CYCS.pdf</v>
      </c>
    </row>
    <row r="340" spans="1:28" x14ac:dyDescent="0.25">
      <c r="A340" t="s">
        <v>344</v>
      </c>
      <c r="B340">
        <v>0.99472303558308395</v>
      </c>
      <c r="C340">
        <v>1.0629888376369201</v>
      </c>
      <c r="D340">
        <v>0.97660105371920503</v>
      </c>
      <c r="E340">
        <v>0.726279814335414</v>
      </c>
      <c r="F340">
        <v>0.62842613259216595</v>
      </c>
      <c r="G340">
        <v>0.426407707355697</v>
      </c>
      <c r="H340">
        <v>0.24652082740870601</v>
      </c>
      <c r="I340">
        <v>0.23627648002906501</v>
      </c>
      <c r="J340">
        <v>0.20993836937023799</v>
      </c>
      <c r="K340">
        <v>0.19962274266189201</v>
      </c>
      <c r="L340">
        <v>738.99660812438901</v>
      </c>
      <c r="M340">
        <v>14.692915143351501</v>
      </c>
      <c r="N340">
        <v>51.790562605941503</v>
      </c>
      <c r="O340">
        <v>49.391999898045597</v>
      </c>
      <c r="P340">
        <v>-6.1526386001470097E-2</v>
      </c>
      <c r="Q340">
        <v>0.17277740357603999</v>
      </c>
      <c r="R340">
        <v>0.98416649444736903</v>
      </c>
      <c r="S340" t="s">
        <v>6908</v>
      </c>
      <c r="T340" t="s">
        <v>13134</v>
      </c>
      <c r="U340" t="s">
        <v>13134</v>
      </c>
      <c r="V340" t="s">
        <v>13134</v>
      </c>
      <c r="W340" t="s">
        <v>13472</v>
      </c>
      <c r="X340">
        <v>3</v>
      </c>
      <c r="Y340" t="s">
        <v>19964</v>
      </c>
      <c r="Z340" t="s">
        <v>26308</v>
      </c>
      <c r="AA340">
        <v>0.55702546558554189</v>
      </c>
      <c r="AB340" t="str">
        <f>HYPERLINK("Melting_Curves/meltCurve_C9JG41_ITM2C.pdf", "Melting_Curves/meltCurve_C9JG41_ITM2C.pdf")</f>
        <v>Melting_Curves/meltCurve_C9JG41_ITM2C.pdf</v>
      </c>
    </row>
    <row r="341" spans="1:28" x14ac:dyDescent="0.25">
      <c r="A341" t="s">
        <v>345</v>
      </c>
      <c r="B341">
        <v>0.99472303558308395</v>
      </c>
      <c r="C341">
        <v>0.928912439481413</v>
      </c>
      <c r="D341">
        <v>0.77200057783667797</v>
      </c>
      <c r="E341">
        <v>0.73257653955220703</v>
      </c>
      <c r="F341">
        <v>0.39591455328755498</v>
      </c>
      <c r="G341">
        <v>0.18960653888753301</v>
      </c>
      <c r="H341">
        <v>0.10566489798416701</v>
      </c>
      <c r="I341">
        <v>6.6280605316654695E-2</v>
      </c>
      <c r="J341">
        <v>8.5876198829620706E-2</v>
      </c>
      <c r="K341">
        <v>8.4539322061261205E-2</v>
      </c>
      <c r="L341">
        <v>678.20907894681102</v>
      </c>
      <c r="M341">
        <v>14.006182778327799</v>
      </c>
      <c r="N341">
        <v>48.663288148629498</v>
      </c>
      <c r="O341">
        <v>47.467079349490099</v>
      </c>
      <c r="P341">
        <v>-7.1303935337859004E-2</v>
      </c>
      <c r="Q341">
        <v>3.3528967580015202E-2</v>
      </c>
      <c r="R341">
        <v>0.98518235075161098</v>
      </c>
      <c r="S341" t="s">
        <v>6909</v>
      </c>
      <c r="T341" t="s">
        <v>13134</v>
      </c>
      <c r="U341" t="s">
        <v>13134</v>
      </c>
      <c r="V341" t="s">
        <v>13134</v>
      </c>
      <c r="W341" t="s">
        <v>13473</v>
      </c>
      <c r="X341">
        <v>4</v>
      </c>
      <c r="Y341" t="s">
        <v>19965</v>
      </c>
      <c r="Z341" t="s">
        <v>26309</v>
      </c>
      <c r="AA341">
        <v>0.42503303421108879</v>
      </c>
      <c r="AB341" t="str">
        <f>HYPERLINK("Melting_Curves/meltCurve_C9JG63_SPRED2.pdf", "Melting_Curves/meltCurve_C9JG63_SPRED2.pdf")</f>
        <v>Melting_Curves/meltCurve_C9JG63_SPRED2.pdf</v>
      </c>
    </row>
    <row r="342" spans="1:28" x14ac:dyDescent="0.25">
      <c r="A342" t="s">
        <v>346</v>
      </c>
      <c r="B342">
        <v>0.99472303558308395</v>
      </c>
      <c r="C342">
        <v>1.0087204851684599</v>
      </c>
      <c r="D342">
        <v>1.0209906913445499</v>
      </c>
      <c r="E342">
        <v>0.78327621346284904</v>
      </c>
      <c r="F342">
        <v>0.51173615059074395</v>
      </c>
      <c r="G342">
        <v>0.52210497113416499</v>
      </c>
      <c r="H342">
        <v>0.257993700997103</v>
      </c>
      <c r="I342">
        <v>0.16507339809313001</v>
      </c>
      <c r="J342">
        <v>9.7284530018228704E-2</v>
      </c>
      <c r="K342">
        <v>5.3291031765563997E-2</v>
      </c>
      <c r="L342">
        <v>607.08987849079199</v>
      </c>
      <c r="M342">
        <v>11.601316823906799</v>
      </c>
      <c r="N342">
        <v>52.3293939544346</v>
      </c>
      <c r="O342">
        <v>50.847065992713198</v>
      </c>
      <c r="P342">
        <v>-5.7055916889639E-2</v>
      </c>
      <c r="Q342">
        <v>0</v>
      </c>
      <c r="R342">
        <v>0.97561527488601896</v>
      </c>
      <c r="S342" t="s">
        <v>6910</v>
      </c>
      <c r="T342" t="s">
        <v>13134</v>
      </c>
      <c r="U342" t="s">
        <v>13134</v>
      </c>
      <c r="V342" t="s">
        <v>13134</v>
      </c>
      <c r="W342" t="s">
        <v>13474</v>
      </c>
      <c r="X342">
        <v>8</v>
      </c>
      <c r="Y342" t="s">
        <v>19966</v>
      </c>
      <c r="Z342" t="s">
        <v>26310</v>
      </c>
      <c r="AA342">
        <v>0.53443120705057501</v>
      </c>
      <c r="AB342" t="str">
        <f>HYPERLINK("Melting_Curves/meltCurve_C9JG97_AAMP.pdf", "Melting_Curves/meltCurve_C9JG97_AAMP.pdf")</f>
        <v>Melting_Curves/meltCurve_C9JG97_AAMP.pdf</v>
      </c>
    </row>
    <row r="343" spans="1:28" x14ac:dyDescent="0.25">
      <c r="A343" t="s">
        <v>347</v>
      </c>
      <c r="B343">
        <v>0.99472303558308395</v>
      </c>
      <c r="C343">
        <v>1.0145964939777401</v>
      </c>
      <c r="D343">
        <v>0.84505909477277996</v>
      </c>
      <c r="E343">
        <v>0.65848085192014005</v>
      </c>
      <c r="F343">
        <v>0.36957444830691999</v>
      </c>
      <c r="G343">
        <v>0.108356546396495</v>
      </c>
      <c r="H343">
        <v>7.9860115666646997E-2</v>
      </c>
      <c r="I343">
        <v>5.49306646853003E-2</v>
      </c>
      <c r="J343">
        <v>9.0493654446661007E-2</v>
      </c>
      <c r="K343">
        <v>5.98884886348214E-2</v>
      </c>
      <c r="L343">
        <v>878.13364399797297</v>
      </c>
      <c r="M343">
        <v>18.317151435325201</v>
      </c>
      <c r="N343">
        <v>48.195707086005903</v>
      </c>
      <c r="O343">
        <v>47.380077004691699</v>
      </c>
      <c r="P343">
        <v>-9.2187473144868706E-2</v>
      </c>
      <c r="Q343">
        <v>4.6216695508533301E-2</v>
      </c>
      <c r="R343">
        <v>0.993697868195766</v>
      </c>
      <c r="S343" t="s">
        <v>6911</v>
      </c>
      <c r="T343" t="s">
        <v>13134</v>
      </c>
      <c r="U343" t="s">
        <v>13134</v>
      </c>
      <c r="V343" t="s">
        <v>13134</v>
      </c>
      <c r="W343" t="s">
        <v>13475</v>
      </c>
      <c r="X343">
        <v>2</v>
      </c>
      <c r="Y343" t="s">
        <v>19967</v>
      </c>
      <c r="Z343" t="s">
        <v>26311</v>
      </c>
      <c r="AA343">
        <v>0.40881327442378967</v>
      </c>
      <c r="AB343" t="str">
        <f>HYPERLINK("Melting_Curves/meltCurve_C9JGD4_GALNT10.pdf", "Melting_Curves/meltCurve_C9JGD4_GALNT10.pdf")</f>
        <v>Melting_Curves/meltCurve_C9JGD4_GALNT10.pdf</v>
      </c>
    </row>
    <row r="344" spans="1:28" x14ac:dyDescent="0.25">
      <c r="A344" t="s">
        <v>348</v>
      </c>
      <c r="B344">
        <v>0.99472303558308395</v>
      </c>
      <c r="C344">
        <v>0.92470296397287299</v>
      </c>
      <c r="D344">
        <v>0.82408641675202599</v>
      </c>
      <c r="E344">
        <v>0.74966629304236299</v>
      </c>
      <c r="F344">
        <v>0.80834256327341203</v>
      </c>
      <c r="G344">
        <v>0.51518594242962201</v>
      </c>
      <c r="H344">
        <v>0.33963134565838698</v>
      </c>
      <c r="I344">
        <v>0.227919997051832</v>
      </c>
      <c r="J344">
        <v>0.27840402634496703</v>
      </c>
      <c r="K344">
        <v>0.14328444965494699</v>
      </c>
      <c r="L344">
        <v>457.23972731429302</v>
      </c>
      <c r="M344">
        <v>8.4249665864030092</v>
      </c>
      <c r="N344">
        <v>54.272000122527103</v>
      </c>
      <c r="O344">
        <v>51.472925958706703</v>
      </c>
      <c r="P344">
        <v>-4.0957514118577398E-2</v>
      </c>
      <c r="Q344">
        <v>0</v>
      </c>
      <c r="R344">
        <v>0.95540711541932999</v>
      </c>
      <c r="S344" t="s">
        <v>6912</v>
      </c>
      <c r="T344" t="s">
        <v>13134</v>
      </c>
      <c r="U344" t="s">
        <v>13134</v>
      </c>
      <c r="V344" t="s">
        <v>13134</v>
      </c>
      <c r="W344" t="s">
        <v>13476</v>
      </c>
      <c r="X344">
        <v>22</v>
      </c>
      <c r="Y344" t="s">
        <v>19968</v>
      </c>
      <c r="Z344" t="s">
        <v>26312</v>
      </c>
      <c r="AA344">
        <v>0.58937925389955892</v>
      </c>
      <c r="AB344" t="str">
        <f>HYPERLINK("Melting_Curves/meltCurve_C9JIF9_APEH.pdf", "Melting_Curves/meltCurve_C9JIF9_APEH.pdf")</f>
        <v>Melting_Curves/meltCurve_C9JIF9_APEH.pdf</v>
      </c>
    </row>
    <row r="345" spans="1:28" x14ac:dyDescent="0.25">
      <c r="A345" t="s">
        <v>349</v>
      </c>
      <c r="B345">
        <v>0.99472303558308395</v>
      </c>
      <c r="C345">
        <v>0.929615487944779</v>
      </c>
      <c r="D345">
        <v>1.0409614687205899</v>
      </c>
      <c r="E345">
        <v>0.93199949866080201</v>
      </c>
      <c r="F345">
        <v>0.68019064852939304</v>
      </c>
      <c r="G345">
        <v>0.62313703875363402</v>
      </c>
      <c r="H345">
        <v>0.46689950545991599</v>
      </c>
      <c r="I345">
        <v>0.65711583066549595</v>
      </c>
      <c r="J345">
        <v>0.85443866199114504</v>
      </c>
      <c r="K345">
        <v>0.68994344512132699</v>
      </c>
      <c r="L345">
        <v>2812.8944478929202</v>
      </c>
      <c r="M345">
        <v>58.949718314640599</v>
      </c>
      <c r="O345">
        <v>47.662035110663901</v>
      </c>
      <c r="P345">
        <v>-0.105468537399277</v>
      </c>
      <c r="Q345">
        <v>0.65890648410839303</v>
      </c>
      <c r="R345">
        <v>0.73765083454934799</v>
      </c>
      <c r="S345" t="s">
        <v>6913</v>
      </c>
      <c r="T345" t="s">
        <v>13134</v>
      </c>
      <c r="U345" t="s">
        <v>13134</v>
      </c>
      <c r="V345" t="s">
        <v>13134</v>
      </c>
      <c r="W345" t="s">
        <v>13477</v>
      </c>
      <c r="X345">
        <v>19</v>
      </c>
      <c r="Y345" t="s">
        <v>19969</v>
      </c>
      <c r="Z345" t="s">
        <v>26313</v>
      </c>
      <c r="AA345">
        <v>0.78127034831757192</v>
      </c>
      <c r="AB345" t="str">
        <f>HYPERLINK("Melting_Curves/meltCurve_C9JIZ6_PSAP.pdf", "Melting_Curves/meltCurve_C9JIZ6_PSAP.pdf")</f>
        <v>Melting_Curves/meltCurve_C9JIZ6_PSAP.pdf</v>
      </c>
    </row>
    <row r="346" spans="1:28" x14ac:dyDescent="0.25">
      <c r="A346" t="s">
        <v>350</v>
      </c>
      <c r="B346">
        <v>0.99472303558308395</v>
      </c>
      <c r="C346">
        <v>0.96804505501873195</v>
      </c>
      <c r="D346">
        <v>0.82932013768118396</v>
      </c>
      <c r="E346">
        <v>0.60889429043487997</v>
      </c>
      <c r="F346">
        <v>0.21342893944306399</v>
      </c>
      <c r="G346">
        <v>0.113818791245188</v>
      </c>
      <c r="H346">
        <v>7.8726345539840703E-2</v>
      </c>
      <c r="I346">
        <v>8.4363154433355E-2</v>
      </c>
      <c r="J346">
        <v>0.14471922844719701</v>
      </c>
      <c r="K346">
        <v>6.4363728522483302E-2</v>
      </c>
      <c r="L346">
        <v>1015.67414737074</v>
      </c>
      <c r="M346">
        <v>21.7143551431774</v>
      </c>
      <c r="N346">
        <v>47.150473522955799</v>
      </c>
      <c r="O346">
        <v>46.383036827196598</v>
      </c>
      <c r="P346">
        <v>-0.10773292165873601</v>
      </c>
      <c r="Q346">
        <v>7.9528260113547397E-2</v>
      </c>
      <c r="R346">
        <v>0.99185046380046404</v>
      </c>
      <c r="S346" t="s">
        <v>6914</v>
      </c>
      <c r="T346" t="s">
        <v>13134</v>
      </c>
      <c r="U346" t="s">
        <v>13134</v>
      </c>
      <c r="V346" t="s">
        <v>13134</v>
      </c>
      <c r="W346" t="s">
        <v>13478</v>
      </c>
      <c r="X346">
        <v>6</v>
      </c>
      <c r="Y346" t="s">
        <v>19970</v>
      </c>
      <c r="Z346" t="s">
        <v>26314</v>
      </c>
      <c r="AA346">
        <v>0.38965596224460602</v>
      </c>
      <c r="AB346" t="str">
        <f>HYPERLINK("Melting_Curves/meltCurve_C9JJN9_VPS8.pdf", "Melting_Curves/meltCurve_C9JJN9_VPS8.pdf")</f>
        <v>Melting_Curves/meltCurve_C9JJN9_VPS8.pdf</v>
      </c>
    </row>
    <row r="347" spans="1:28" x14ac:dyDescent="0.25">
      <c r="A347" t="s">
        <v>351</v>
      </c>
      <c r="B347">
        <v>0.99472303558308395</v>
      </c>
      <c r="C347">
        <v>1.18646953884802</v>
      </c>
      <c r="D347">
        <v>0.75838495977886999</v>
      </c>
      <c r="E347">
        <v>0.75021365653282002</v>
      </c>
      <c r="F347">
        <v>0.63535857583240796</v>
      </c>
      <c r="G347">
        <v>0.30913003506457498</v>
      </c>
      <c r="H347">
        <v>0.219033357691021</v>
      </c>
      <c r="I347">
        <v>0.21501226198700099</v>
      </c>
      <c r="J347">
        <v>0.21586469086905499</v>
      </c>
      <c r="K347">
        <v>0.31770710230624299</v>
      </c>
      <c r="L347">
        <v>773.82589462891804</v>
      </c>
      <c r="M347">
        <v>15.7918538966812</v>
      </c>
      <c r="N347">
        <v>50.757138102500001</v>
      </c>
      <c r="O347">
        <v>48.236004818645497</v>
      </c>
      <c r="P347">
        <v>-6.4629451456260201E-2</v>
      </c>
      <c r="Q347">
        <v>0.21042604395865</v>
      </c>
      <c r="R347">
        <v>0.91404205944279604</v>
      </c>
      <c r="S347" t="s">
        <v>6915</v>
      </c>
      <c r="T347" t="s">
        <v>13134</v>
      </c>
      <c r="U347" t="s">
        <v>13134</v>
      </c>
      <c r="V347" t="s">
        <v>13134</v>
      </c>
      <c r="W347" t="s">
        <v>13479</v>
      </c>
      <c r="X347">
        <v>2</v>
      </c>
      <c r="Y347" t="s">
        <v>19971</v>
      </c>
      <c r="Z347" t="s">
        <v>26315</v>
      </c>
      <c r="AA347">
        <v>0.54194415697794829</v>
      </c>
      <c r="AB347" t="str">
        <f>HYPERLINK("Melting_Curves/meltCurve_C9JJV6_MYADM.pdf", "Melting_Curves/meltCurve_C9JJV6_MYADM.pdf")</f>
        <v>Melting_Curves/meltCurve_C9JJV6_MYADM.pdf</v>
      </c>
    </row>
    <row r="348" spans="1:28" x14ac:dyDescent="0.25">
      <c r="A348" t="s">
        <v>352</v>
      </c>
      <c r="B348">
        <v>0.99472303558308395</v>
      </c>
      <c r="C348">
        <v>1.04218814457783</v>
      </c>
      <c r="D348">
        <v>0.90676265873638495</v>
      </c>
      <c r="E348">
        <v>0.71042073064543199</v>
      </c>
      <c r="F348">
        <v>0.49487616037627702</v>
      </c>
      <c r="G348">
        <v>0.32530291687875301</v>
      </c>
      <c r="H348">
        <v>0.231695274170379</v>
      </c>
      <c r="I348">
        <v>0.20674337552578501</v>
      </c>
      <c r="J348">
        <v>0.249708034661453</v>
      </c>
      <c r="K348">
        <v>0.16549459408598199</v>
      </c>
      <c r="L348">
        <v>815.88063338980305</v>
      </c>
      <c r="M348">
        <v>16.8278618306677</v>
      </c>
      <c r="N348">
        <v>49.905436932374002</v>
      </c>
      <c r="O348">
        <v>47.814756893227496</v>
      </c>
      <c r="P348">
        <v>-7.1236889401984402E-2</v>
      </c>
      <c r="Q348">
        <v>0.19040089480842001</v>
      </c>
      <c r="R348">
        <v>0.99269679340731598</v>
      </c>
      <c r="S348" t="s">
        <v>6916</v>
      </c>
      <c r="T348" t="s">
        <v>13134</v>
      </c>
      <c r="U348" t="s">
        <v>13134</v>
      </c>
      <c r="V348" t="s">
        <v>13134</v>
      </c>
      <c r="W348" t="s">
        <v>13480</v>
      </c>
      <c r="X348">
        <v>1</v>
      </c>
      <c r="Y348" t="s">
        <v>19972</v>
      </c>
      <c r="Z348" t="s">
        <v>26316</v>
      </c>
      <c r="AA348">
        <v>0.51484889922005561</v>
      </c>
      <c r="AB348" t="str">
        <f>HYPERLINK("Melting_Curves/meltCurve_C9JKC7_C7orf49.pdf", "Melting_Curves/meltCurve_C9JKC7_C7orf49.pdf")</f>
        <v>Melting_Curves/meltCurve_C9JKC7_C7orf49.pdf</v>
      </c>
    </row>
    <row r="349" spans="1:28" x14ac:dyDescent="0.25">
      <c r="A349" t="s">
        <v>353</v>
      </c>
      <c r="B349">
        <v>0.99472303558308395</v>
      </c>
      <c r="C349">
        <v>0.91864953842867003</v>
      </c>
      <c r="D349">
        <v>0.77425649288709797</v>
      </c>
      <c r="E349">
        <v>0.66717041011967804</v>
      </c>
      <c r="F349">
        <v>0.61490815877723803</v>
      </c>
      <c r="G349">
        <v>0.36455549727406</v>
      </c>
      <c r="H349">
        <v>0.42794920316576301</v>
      </c>
      <c r="I349">
        <v>0.62443990325241705</v>
      </c>
      <c r="J349">
        <v>0.74606352613789195</v>
      </c>
      <c r="K349">
        <v>0.55528158988142895</v>
      </c>
      <c r="L349">
        <v>885.70549859745199</v>
      </c>
      <c r="M349">
        <v>20.5401977248831</v>
      </c>
      <c r="O349">
        <v>42.718107477196703</v>
      </c>
      <c r="P349">
        <v>-5.3653840428180603E-2</v>
      </c>
      <c r="Q349">
        <v>0.55367055965769496</v>
      </c>
      <c r="R349">
        <v>0.718527542797464</v>
      </c>
      <c r="S349" t="s">
        <v>6917</v>
      </c>
      <c r="T349" t="s">
        <v>13134</v>
      </c>
      <c r="U349" t="s">
        <v>13134</v>
      </c>
      <c r="V349" t="s">
        <v>13134</v>
      </c>
      <c r="W349" t="s">
        <v>13481</v>
      </c>
      <c r="X349">
        <v>5</v>
      </c>
      <c r="Y349" t="s">
        <v>19973</v>
      </c>
      <c r="Z349" t="s">
        <v>26317</v>
      </c>
      <c r="AA349">
        <v>0.65055089622598872</v>
      </c>
      <c r="AB349" t="str">
        <f>HYPERLINK("Melting_Curves/meltCurve_C9JKQ2_NDUFB3.pdf", "Melting_Curves/meltCurve_C9JKQ2_NDUFB3.pdf")</f>
        <v>Melting_Curves/meltCurve_C9JKQ2_NDUFB3.pdf</v>
      </c>
    </row>
    <row r="350" spans="1:28" x14ac:dyDescent="0.25">
      <c r="A350" t="s">
        <v>354</v>
      </c>
      <c r="B350">
        <v>0.99472303558308395</v>
      </c>
      <c r="C350">
        <v>0.99548298243848299</v>
      </c>
      <c r="D350">
        <v>0.73846048191712199</v>
      </c>
      <c r="E350">
        <v>0.60827755249485105</v>
      </c>
      <c r="F350">
        <v>0.94996062320181396</v>
      </c>
      <c r="G350">
        <v>0.22393769644490899</v>
      </c>
      <c r="H350">
        <v>9.13959539706512E-2</v>
      </c>
      <c r="I350">
        <v>4.5927160510949597E-2</v>
      </c>
      <c r="J350">
        <v>3.64737244093798E-2</v>
      </c>
      <c r="K350">
        <v>3.4385586057479198E-2</v>
      </c>
      <c r="L350">
        <v>785.93012474757404</v>
      </c>
      <c r="M350">
        <v>15.246353522327899</v>
      </c>
      <c r="N350">
        <v>51.548727647605801</v>
      </c>
      <c r="O350">
        <v>50.686310298238901</v>
      </c>
      <c r="P350">
        <v>-7.52066902138388E-2</v>
      </c>
      <c r="Q350">
        <v>0</v>
      </c>
      <c r="R350">
        <v>0.85130187261299395</v>
      </c>
      <c r="S350" t="s">
        <v>6918</v>
      </c>
      <c r="T350" t="s">
        <v>13134</v>
      </c>
      <c r="U350" t="s">
        <v>13134</v>
      </c>
      <c r="V350" t="s">
        <v>13134</v>
      </c>
      <c r="W350" t="s">
        <v>13482</v>
      </c>
      <c r="X350">
        <v>8</v>
      </c>
      <c r="Y350" t="s">
        <v>19974</v>
      </c>
      <c r="Z350" t="s">
        <v>26318</v>
      </c>
      <c r="AA350">
        <v>0.50418293117505508</v>
      </c>
      <c r="AB350" t="str">
        <f>HYPERLINK("Melting_Curves/meltCurve_C9JKQ7_GART.pdf", "Melting_Curves/meltCurve_C9JKQ7_GART.pdf")</f>
        <v>Melting_Curves/meltCurve_C9JKQ7_GART.pdf</v>
      </c>
    </row>
    <row r="351" spans="1:28" x14ac:dyDescent="0.25">
      <c r="A351" t="s">
        <v>355</v>
      </c>
      <c r="B351">
        <v>0.99472303558308395</v>
      </c>
      <c r="C351">
        <v>0.91581974223282703</v>
      </c>
      <c r="D351">
        <v>0.81188043879208904</v>
      </c>
      <c r="E351">
        <v>0.61319251718160905</v>
      </c>
      <c r="F351">
        <v>0.32633270921665802</v>
      </c>
      <c r="G351">
        <v>0.14664916220316301</v>
      </c>
      <c r="H351">
        <v>8.1305711545439502E-2</v>
      </c>
      <c r="I351">
        <v>4.6254514246230699E-2</v>
      </c>
      <c r="J351">
        <v>5.1911328528147997E-2</v>
      </c>
      <c r="K351">
        <v>4.26645288834736E-2</v>
      </c>
      <c r="L351">
        <v>699.42303223274496</v>
      </c>
      <c r="M351">
        <v>14.703250371340101</v>
      </c>
      <c r="N351">
        <v>47.678098056577397</v>
      </c>
      <c r="O351">
        <v>46.715336674303501</v>
      </c>
      <c r="P351">
        <v>-7.7395207574760302E-2</v>
      </c>
      <c r="Q351">
        <v>1.6503667949818401E-2</v>
      </c>
      <c r="R351">
        <v>0.99775198922119102</v>
      </c>
      <c r="S351" t="s">
        <v>6919</v>
      </c>
      <c r="T351" t="s">
        <v>13134</v>
      </c>
      <c r="U351" t="s">
        <v>13134</v>
      </c>
      <c r="V351" t="s">
        <v>13134</v>
      </c>
      <c r="W351" t="s">
        <v>13483</v>
      </c>
      <c r="X351">
        <v>5</v>
      </c>
      <c r="Y351" t="s">
        <v>19975</v>
      </c>
      <c r="Z351" t="s">
        <v>26319</v>
      </c>
      <c r="AA351">
        <v>0.38563006454598447</v>
      </c>
      <c r="AB351" t="str">
        <f>HYPERLINK("Melting_Curves/meltCurve_C9JLU1_POLR2H.pdf", "Melting_Curves/meltCurve_C9JLU1_POLR2H.pdf")</f>
        <v>Melting_Curves/meltCurve_C9JLU1_POLR2H.pdf</v>
      </c>
    </row>
    <row r="352" spans="1:28" x14ac:dyDescent="0.25">
      <c r="A352" t="s">
        <v>356</v>
      </c>
      <c r="B352">
        <v>0.99472303558308395</v>
      </c>
      <c r="C352">
        <v>0.99530687429904396</v>
      </c>
      <c r="D352">
        <v>0.78723612546736399</v>
      </c>
      <c r="E352">
        <v>0.78271908485522701</v>
      </c>
      <c r="F352">
        <v>0.26173717067761998</v>
      </c>
      <c r="G352">
        <v>0.100216670203868</v>
      </c>
      <c r="H352">
        <v>0.114592086746478</v>
      </c>
      <c r="I352">
        <v>4.87180570015259E-2</v>
      </c>
      <c r="J352">
        <v>0.11218353648840999</v>
      </c>
      <c r="K352">
        <v>3.4346311234969201E-2</v>
      </c>
      <c r="L352">
        <v>1183.76579107714</v>
      </c>
      <c r="M352">
        <v>24.632984484023901</v>
      </c>
      <c r="N352">
        <v>48.314326061970498</v>
      </c>
      <c r="O352">
        <v>47.742764075741597</v>
      </c>
      <c r="P352">
        <v>-0.121034732654471</v>
      </c>
      <c r="Q352">
        <v>6.1672608005238098E-2</v>
      </c>
      <c r="R352">
        <v>0.97359381206033302</v>
      </c>
      <c r="S352" t="s">
        <v>6920</v>
      </c>
      <c r="T352" t="s">
        <v>13134</v>
      </c>
      <c r="U352" t="s">
        <v>13134</v>
      </c>
      <c r="V352" t="s">
        <v>13134</v>
      </c>
      <c r="W352" t="s">
        <v>13484</v>
      </c>
      <c r="X352">
        <v>4</v>
      </c>
      <c r="Y352" t="s">
        <v>19976</v>
      </c>
      <c r="Z352" t="s">
        <v>26320</v>
      </c>
      <c r="AA352">
        <v>0.41572121065363071</v>
      </c>
      <c r="AB352" t="str">
        <f>HYPERLINK("Melting_Curves/meltCurve_C9JLV4_APAF1.pdf", "Melting_Curves/meltCurve_C9JLV4_APAF1.pdf")</f>
        <v>Melting_Curves/meltCurve_C9JLV4_APAF1.pdf</v>
      </c>
    </row>
    <row r="353" spans="1:28" x14ac:dyDescent="0.25">
      <c r="A353" t="s">
        <v>357</v>
      </c>
      <c r="B353">
        <v>0.99472303558308395</v>
      </c>
      <c r="C353">
        <v>1.0047173504798199</v>
      </c>
      <c r="D353">
        <v>1.06383821846017</v>
      </c>
      <c r="E353">
        <v>0.76793045410697003</v>
      </c>
      <c r="F353">
        <v>0.27823883813654798</v>
      </c>
      <c r="G353">
        <v>0.15848171046140799</v>
      </c>
      <c r="H353">
        <v>9.6172754796456497E-2</v>
      </c>
      <c r="I353">
        <v>6.5242148162349203E-2</v>
      </c>
      <c r="J353">
        <v>7.8800213616211895E-2</v>
      </c>
      <c r="K353">
        <v>6.6482711994103105E-2</v>
      </c>
      <c r="L353">
        <v>1575.1779514013299</v>
      </c>
      <c r="M353">
        <v>32.658512379744501</v>
      </c>
      <c r="N353">
        <v>48.506392673357503</v>
      </c>
      <c r="O353">
        <v>48.052011178237798</v>
      </c>
      <c r="P353">
        <v>-0.15557155975690101</v>
      </c>
      <c r="Q353">
        <v>8.4405128304514104E-2</v>
      </c>
      <c r="R353">
        <v>0.99460454754061101</v>
      </c>
      <c r="S353" t="s">
        <v>6921</v>
      </c>
      <c r="T353" t="s">
        <v>13134</v>
      </c>
      <c r="U353" t="s">
        <v>13134</v>
      </c>
      <c r="V353" t="s">
        <v>13134</v>
      </c>
      <c r="W353" t="s">
        <v>13485</v>
      </c>
      <c r="X353">
        <v>5</v>
      </c>
      <c r="Y353" t="s">
        <v>19977</v>
      </c>
      <c r="Z353" t="s">
        <v>26321</v>
      </c>
      <c r="AA353">
        <v>0.43178912418432691</v>
      </c>
      <c r="AB353" t="str">
        <f>HYPERLINK("Melting_Curves/meltCurve_C9JNE2_OARD1.pdf", "Melting_Curves/meltCurve_C9JNE2_OARD1.pdf")</f>
        <v>Melting_Curves/meltCurve_C9JNE2_OARD1.pdf</v>
      </c>
    </row>
    <row r="354" spans="1:28" x14ac:dyDescent="0.25">
      <c r="A354" t="s">
        <v>358</v>
      </c>
      <c r="B354">
        <v>0.99472303558308395</v>
      </c>
      <c r="C354">
        <v>0.85969375513427404</v>
      </c>
      <c r="D354">
        <v>1.10378648431171</v>
      </c>
      <c r="E354">
        <v>0.935635282311015</v>
      </c>
      <c r="F354">
        <v>0.598731109553577</v>
      </c>
      <c r="G354">
        <v>0.40830170578861702</v>
      </c>
      <c r="H354">
        <v>0.12136184668908601</v>
      </c>
      <c r="I354">
        <v>0.10757894010538301</v>
      </c>
      <c r="J354">
        <v>8.6488296337526901E-2</v>
      </c>
      <c r="K354">
        <v>6.3950925045195603E-2</v>
      </c>
      <c r="L354">
        <v>1056.90239661838</v>
      </c>
      <c r="M354">
        <v>20.489795204020599</v>
      </c>
      <c r="N354">
        <v>51.911717309721503</v>
      </c>
      <c r="O354">
        <v>51.098116145312503</v>
      </c>
      <c r="P354">
        <v>-9.4131774300651394E-2</v>
      </c>
      <c r="Q354">
        <v>6.1032532226903802E-2</v>
      </c>
      <c r="R354">
        <v>0.97229370859098996</v>
      </c>
      <c r="S354" t="s">
        <v>6922</v>
      </c>
      <c r="T354" t="s">
        <v>13134</v>
      </c>
      <c r="U354" t="s">
        <v>13134</v>
      </c>
      <c r="V354" t="s">
        <v>13134</v>
      </c>
      <c r="W354" t="s">
        <v>13486</v>
      </c>
      <c r="X354">
        <v>12</v>
      </c>
      <c r="Y354" t="s">
        <v>19978</v>
      </c>
      <c r="Z354" t="s">
        <v>26322</v>
      </c>
      <c r="AA354">
        <v>0.52916947052272345</v>
      </c>
      <c r="AB354" t="str">
        <f>HYPERLINK("Melting_Curves/meltCurve_C9JP00_MBNL1.pdf", "Melting_Curves/meltCurve_C9JP00_MBNL1.pdf")</f>
        <v>Melting_Curves/meltCurve_C9JP00_MBNL1.pdf</v>
      </c>
    </row>
    <row r="355" spans="1:28" x14ac:dyDescent="0.25">
      <c r="A355" t="s">
        <v>359</v>
      </c>
      <c r="B355">
        <v>0.99472303558308395</v>
      </c>
      <c r="C355">
        <v>0.88216849998817803</v>
      </c>
      <c r="D355">
        <v>0.74367184837613298</v>
      </c>
      <c r="E355">
        <v>0.62375593795833095</v>
      </c>
      <c r="F355">
        <v>0.51743592612821698</v>
      </c>
      <c r="G355">
        <v>0.14961920707017801</v>
      </c>
      <c r="H355">
        <v>8.1089046110226506E-2</v>
      </c>
      <c r="I355">
        <v>4.6674307754398903E-2</v>
      </c>
      <c r="J355">
        <v>5.2112689871052997E-2</v>
      </c>
      <c r="K355">
        <v>5.4639298399156301E-2</v>
      </c>
      <c r="L355">
        <v>570.422221735677</v>
      </c>
      <c r="M355">
        <v>11.8105127540897</v>
      </c>
      <c r="N355">
        <v>48.297837206604797</v>
      </c>
      <c r="O355">
        <v>46.975587251303097</v>
      </c>
      <c r="P355">
        <v>-6.2870638842267498E-2</v>
      </c>
      <c r="Q355">
        <v>0</v>
      </c>
      <c r="R355">
        <v>0.97392643185469496</v>
      </c>
      <c r="S355" t="s">
        <v>6923</v>
      </c>
      <c r="T355" t="s">
        <v>13134</v>
      </c>
      <c r="U355" t="s">
        <v>13134</v>
      </c>
      <c r="V355" t="s">
        <v>13134</v>
      </c>
      <c r="W355" t="s">
        <v>13487</v>
      </c>
      <c r="X355">
        <v>7</v>
      </c>
      <c r="Y355" t="s">
        <v>19979</v>
      </c>
      <c r="Z355" t="s">
        <v>26323</v>
      </c>
      <c r="AA355">
        <v>0.40814020918700789</v>
      </c>
      <c r="AB355" t="str">
        <f>HYPERLINK("Melting_Curves/meltCurve_C9JP16_CRTAP.pdf", "Melting_Curves/meltCurve_C9JP16_CRTAP.pdf")</f>
        <v>Melting_Curves/meltCurve_C9JP16_CRTAP.pdf</v>
      </c>
    </row>
    <row r="356" spans="1:28" x14ac:dyDescent="0.25">
      <c r="A356" t="s">
        <v>360</v>
      </c>
      <c r="B356">
        <v>0.99472303558308395</v>
      </c>
      <c r="C356">
        <v>0.87590370998052602</v>
      </c>
      <c r="D356">
        <v>1.15237688058988</v>
      </c>
      <c r="E356">
        <v>0.81071305629097101</v>
      </c>
      <c r="F356">
        <v>0.28941407867687402</v>
      </c>
      <c r="G356">
        <v>0.21152283211018499</v>
      </c>
      <c r="H356">
        <v>0</v>
      </c>
      <c r="I356">
        <v>6.8168388780816394E-2</v>
      </c>
      <c r="J356">
        <v>0</v>
      </c>
      <c r="K356">
        <v>0</v>
      </c>
      <c r="L356">
        <v>1474.6067718592701</v>
      </c>
      <c r="M356">
        <v>30.2098476716506</v>
      </c>
      <c r="N356">
        <v>48.932920646362597</v>
      </c>
      <c r="O356">
        <v>48.599732514637601</v>
      </c>
      <c r="P356">
        <v>-0.14981833376596301</v>
      </c>
      <c r="Q356">
        <v>3.5932271324210001E-2</v>
      </c>
      <c r="R356">
        <v>0.96635988544359397</v>
      </c>
      <c r="S356" t="s">
        <v>6924</v>
      </c>
      <c r="T356" t="s">
        <v>13134</v>
      </c>
      <c r="U356" t="s">
        <v>13134</v>
      </c>
      <c r="V356" t="s">
        <v>13134</v>
      </c>
      <c r="W356" t="s">
        <v>13488</v>
      </c>
      <c r="X356">
        <v>3</v>
      </c>
      <c r="Y356" t="s">
        <v>19980</v>
      </c>
      <c r="Z356" t="s">
        <v>26324</v>
      </c>
      <c r="AA356">
        <v>0.42123719837153362</v>
      </c>
      <c r="AB356" t="str">
        <f>HYPERLINK("Melting_Curves/meltCurve_C9JPL0_CCNL1.pdf", "Melting_Curves/meltCurve_C9JPL0_CCNL1.pdf")</f>
        <v>Melting_Curves/meltCurve_C9JPL0_CCNL1.pdf</v>
      </c>
    </row>
    <row r="357" spans="1:28" x14ac:dyDescent="0.25">
      <c r="A357" t="s">
        <v>361</v>
      </c>
      <c r="B357">
        <v>0.99472303558308395</v>
      </c>
      <c r="C357">
        <v>0.89496947590673603</v>
      </c>
      <c r="D357">
        <v>0.67085791310697995</v>
      </c>
      <c r="E357">
        <v>0.45119890963644999</v>
      </c>
      <c r="F357">
        <v>0.236701228426968</v>
      </c>
      <c r="G357">
        <v>0.120734368222445</v>
      </c>
      <c r="H357">
        <v>7.49962517257413E-2</v>
      </c>
      <c r="I357">
        <v>5.0651264714626699E-2</v>
      </c>
      <c r="J357">
        <v>3.9525348445457298E-2</v>
      </c>
      <c r="K357">
        <v>5.6878545438370502E-2</v>
      </c>
      <c r="L357">
        <v>647.73791482404999</v>
      </c>
      <c r="M357">
        <v>14.2481749754613</v>
      </c>
      <c r="N357">
        <v>45.670457976913298</v>
      </c>
      <c r="O357">
        <v>44.593715839847199</v>
      </c>
      <c r="P357">
        <v>-7.7362272543952795E-2</v>
      </c>
      <c r="Q357">
        <v>3.1610596975132597E-2</v>
      </c>
      <c r="R357">
        <v>0.99767650918530304</v>
      </c>
      <c r="S357" t="s">
        <v>6925</v>
      </c>
      <c r="T357" t="s">
        <v>13134</v>
      </c>
      <c r="U357" t="s">
        <v>13134</v>
      </c>
      <c r="V357" t="s">
        <v>13134</v>
      </c>
      <c r="W357" t="s">
        <v>13489</v>
      </c>
      <c r="X357">
        <v>4</v>
      </c>
      <c r="Y357" t="s">
        <v>19981</v>
      </c>
      <c r="Z357" t="s">
        <v>26325</v>
      </c>
      <c r="AA357">
        <v>0.3297812657546782</v>
      </c>
      <c r="AB357" t="str">
        <f>HYPERLINK("Melting_Curves/meltCurve_C9JPP2_NKIRAS2.pdf", "Melting_Curves/meltCurve_C9JPP2_NKIRAS2.pdf")</f>
        <v>Melting_Curves/meltCurve_C9JPP2_NKIRAS2.pdf</v>
      </c>
    </row>
    <row r="358" spans="1:28" x14ac:dyDescent="0.25">
      <c r="A358" t="s">
        <v>362</v>
      </c>
      <c r="B358">
        <v>0.99472303558308395</v>
      </c>
      <c r="C358">
        <v>0.96881997325740699</v>
      </c>
      <c r="D358">
        <v>0.94325855610717801</v>
      </c>
      <c r="E358">
        <v>0.90174490072084501</v>
      </c>
      <c r="F358">
        <v>0.70417259255578502</v>
      </c>
      <c r="G358">
        <v>0.63314190490186495</v>
      </c>
      <c r="H358">
        <v>0.49845146190909201</v>
      </c>
      <c r="I358">
        <v>0.52225727507284503</v>
      </c>
      <c r="J358">
        <v>0.57509349109987495</v>
      </c>
      <c r="K358">
        <v>0.31296786959645601</v>
      </c>
      <c r="L358">
        <v>572.586833700395</v>
      </c>
      <c r="M358">
        <v>11.073172603626899</v>
      </c>
      <c r="N358">
        <v>59.694711448999101</v>
      </c>
      <c r="O358">
        <v>50.108823668726998</v>
      </c>
      <c r="P358">
        <v>-3.3914076698808401E-2</v>
      </c>
      <c r="Q358">
        <v>0.38632374703959199</v>
      </c>
      <c r="R358">
        <v>0.92749243129736603</v>
      </c>
      <c r="S358" t="s">
        <v>6926</v>
      </c>
      <c r="T358" t="s">
        <v>13134</v>
      </c>
      <c r="U358" t="s">
        <v>13134</v>
      </c>
      <c r="V358" t="s">
        <v>13134</v>
      </c>
      <c r="W358" t="s">
        <v>13490</v>
      </c>
      <c r="X358">
        <v>10</v>
      </c>
      <c r="Y358" t="s">
        <v>19982</v>
      </c>
      <c r="Z358" t="s">
        <v>26326</v>
      </c>
      <c r="AA358">
        <v>0.70320268952086407</v>
      </c>
      <c r="AB358" t="str">
        <f>HYPERLINK("Melting_Curves/meltCurve_C9JQ41_CCDC58.pdf", "Melting_Curves/meltCurve_C9JQ41_CCDC58.pdf")</f>
        <v>Melting_Curves/meltCurve_C9JQ41_CCDC58.pdf</v>
      </c>
    </row>
    <row r="359" spans="1:28" x14ac:dyDescent="0.25">
      <c r="A359" t="s">
        <v>363</v>
      </c>
      <c r="B359">
        <v>0.99472303558308395</v>
      </c>
      <c r="C359">
        <v>0.96466847210724205</v>
      </c>
      <c r="D359">
        <v>0.94547021566460598</v>
      </c>
      <c r="E359">
        <v>0.88129435630678399</v>
      </c>
      <c r="F359">
        <v>0.78172834984126505</v>
      </c>
      <c r="G359">
        <v>0.55707175807760601</v>
      </c>
      <c r="H359">
        <v>0.51356414999976496</v>
      </c>
      <c r="I359">
        <v>0.45537321305351403</v>
      </c>
      <c r="J359">
        <v>0.54375384896323398</v>
      </c>
      <c r="K359">
        <v>0.395343567764181</v>
      </c>
      <c r="L359">
        <v>808.21585165781005</v>
      </c>
      <c r="M359">
        <v>15.948556099264501</v>
      </c>
      <c r="N359">
        <v>58.328407177106598</v>
      </c>
      <c r="O359">
        <v>49.899771322869903</v>
      </c>
      <c r="P359">
        <v>-4.4885386147579497E-2</v>
      </c>
      <c r="Q359">
        <v>0.43829585939546101</v>
      </c>
      <c r="R359">
        <v>0.96833415714223403</v>
      </c>
      <c r="S359" t="s">
        <v>6927</v>
      </c>
      <c r="T359" t="s">
        <v>13134</v>
      </c>
      <c r="U359" t="s">
        <v>13134</v>
      </c>
      <c r="V359" t="s">
        <v>13134</v>
      </c>
      <c r="W359" t="s">
        <v>13491</v>
      </c>
      <c r="X359">
        <v>3</v>
      </c>
      <c r="Y359" t="s">
        <v>19983</v>
      </c>
      <c r="Z359" t="s">
        <v>26327</v>
      </c>
      <c r="AA359">
        <v>0.70488645501645597</v>
      </c>
      <c r="AB359" t="str">
        <f>HYPERLINK("Melting_Curves/meltCurve_C9JQB1_NME6.pdf", "Melting_Curves/meltCurve_C9JQB1_NME6.pdf")</f>
        <v>Melting_Curves/meltCurve_C9JQB1_NME6.pdf</v>
      </c>
    </row>
    <row r="360" spans="1:28" x14ac:dyDescent="0.25">
      <c r="A360" t="s">
        <v>364</v>
      </c>
      <c r="B360">
        <v>0.99472303558308395</v>
      </c>
      <c r="C360">
        <v>1.0456757951956701</v>
      </c>
      <c r="D360">
        <v>0.81468554029611295</v>
      </c>
      <c r="E360">
        <v>0.53858956445192596</v>
      </c>
      <c r="F360">
        <v>0.297234426504908</v>
      </c>
      <c r="G360">
        <v>0.15208427594638199</v>
      </c>
      <c r="H360">
        <v>7.7876188066874297E-2</v>
      </c>
      <c r="I360">
        <v>8.1888424181659605E-2</v>
      </c>
      <c r="J360">
        <v>5.4102003983897202E-2</v>
      </c>
      <c r="K360">
        <v>7.2272478851834507E-2</v>
      </c>
      <c r="L360">
        <v>843.85750842288303</v>
      </c>
      <c r="M360">
        <v>18.018966585545201</v>
      </c>
      <c r="N360">
        <v>47.172403199836502</v>
      </c>
      <c r="O360">
        <v>46.2662396303419</v>
      </c>
      <c r="P360">
        <v>-9.1428175782505505E-2</v>
      </c>
      <c r="Q360">
        <v>6.10269981258258E-2</v>
      </c>
      <c r="R360">
        <v>0.99369355777207002</v>
      </c>
      <c r="S360" t="s">
        <v>6928</v>
      </c>
      <c r="T360" t="s">
        <v>13134</v>
      </c>
      <c r="U360" t="s">
        <v>13134</v>
      </c>
      <c r="V360" t="s">
        <v>13134</v>
      </c>
      <c r="W360" t="s">
        <v>13492</v>
      </c>
      <c r="X360">
        <v>6</v>
      </c>
      <c r="Y360" t="s">
        <v>19984</v>
      </c>
      <c r="Z360" t="s">
        <v>26328</v>
      </c>
      <c r="AA360">
        <v>0.38380401999796288</v>
      </c>
      <c r="AB360" t="str">
        <f>HYPERLINK("Melting_Curves/meltCurve_C9JQV3_STK11IP.pdf", "Melting_Curves/meltCurve_C9JQV3_STK11IP.pdf")</f>
        <v>Melting_Curves/meltCurve_C9JQV3_STK11IP.pdf</v>
      </c>
    </row>
    <row r="361" spans="1:28" x14ac:dyDescent="0.25">
      <c r="A361" t="s">
        <v>365</v>
      </c>
      <c r="B361">
        <v>0.99472303558308395</v>
      </c>
      <c r="C361">
        <v>0.86052425907429297</v>
      </c>
      <c r="D361">
        <v>0.68913578799525699</v>
      </c>
      <c r="E361">
        <v>0.35713075279725098</v>
      </c>
      <c r="F361">
        <v>0.14963241588507001</v>
      </c>
      <c r="G361">
        <v>9.8208285405421397E-2</v>
      </c>
      <c r="H361">
        <v>0.101343495423251</v>
      </c>
      <c r="I361">
        <v>4.5333647237638899E-2</v>
      </c>
      <c r="J361">
        <v>6.7393735885217104E-2</v>
      </c>
      <c r="K361">
        <v>6.2115618945131602E-2</v>
      </c>
      <c r="L361">
        <v>787.76188155331204</v>
      </c>
      <c r="M361">
        <v>17.688556221350598</v>
      </c>
      <c r="N361">
        <v>44.843825172208298</v>
      </c>
      <c r="O361">
        <v>43.977587945293699</v>
      </c>
      <c r="P361">
        <v>-9.4795157537336805E-2</v>
      </c>
      <c r="Q361">
        <v>5.7324097513518503E-2</v>
      </c>
      <c r="R361">
        <v>0.997289123117585</v>
      </c>
      <c r="S361" t="s">
        <v>6929</v>
      </c>
      <c r="T361" t="s">
        <v>13134</v>
      </c>
      <c r="U361" t="s">
        <v>13134</v>
      </c>
      <c r="V361" t="s">
        <v>13134</v>
      </c>
      <c r="W361" t="s">
        <v>13493</v>
      </c>
      <c r="X361">
        <v>4</v>
      </c>
      <c r="Y361" t="s">
        <v>19985</v>
      </c>
      <c r="Z361" t="s">
        <v>26329</v>
      </c>
      <c r="AA361">
        <v>0.31029920667093602</v>
      </c>
      <c r="AB361" t="str">
        <f>HYPERLINK("Melting_Curves/meltCurve_C9JR56_SATB2.pdf", "Melting_Curves/meltCurve_C9JR56_SATB2.pdf")</f>
        <v>Melting_Curves/meltCurve_C9JR56_SATB2.pdf</v>
      </c>
    </row>
    <row r="362" spans="1:28" x14ac:dyDescent="0.25">
      <c r="A362" t="s">
        <v>366</v>
      </c>
      <c r="B362">
        <v>0.99472303558308395</v>
      </c>
      <c r="C362">
        <v>0.900256657573135</v>
      </c>
      <c r="D362">
        <v>0.82766970567404696</v>
      </c>
      <c r="E362">
        <v>0.68151440899315197</v>
      </c>
      <c r="F362">
        <v>0.51074232813938303</v>
      </c>
      <c r="G362">
        <v>0.17498546586527999</v>
      </c>
      <c r="H362">
        <v>8.2114015344598404E-2</v>
      </c>
      <c r="I362">
        <v>6.7474892859279295E-2</v>
      </c>
      <c r="J362">
        <v>7.9406515572278E-2</v>
      </c>
      <c r="K362">
        <v>6.6938487799059795E-2</v>
      </c>
      <c r="L362">
        <v>651.38067985579301</v>
      </c>
      <c r="M362">
        <v>13.2846650955744</v>
      </c>
      <c r="N362">
        <v>49.091412233497202</v>
      </c>
      <c r="O362">
        <v>47.961430416919001</v>
      </c>
      <c r="P362">
        <v>-6.8710398190957298E-2</v>
      </c>
      <c r="Q362">
        <v>7.9045435747791097E-3</v>
      </c>
      <c r="R362">
        <v>0.98466487980893103</v>
      </c>
      <c r="S362" t="s">
        <v>6930</v>
      </c>
      <c r="T362" t="s">
        <v>13134</v>
      </c>
      <c r="U362" t="s">
        <v>13134</v>
      </c>
      <c r="V362" t="s">
        <v>13134</v>
      </c>
      <c r="W362" t="s">
        <v>13494</v>
      </c>
      <c r="X362">
        <v>4</v>
      </c>
      <c r="Y362" t="s">
        <v>19986</v>
      </c>
      <c r="Z362" t="s">
        <v>26330</v>
      </c>
      <c r="AA362">
        <v>0.43140441172399069</v>
      </c>
      <c r="AB362" t="str">
        <f>HYPERLINK("Melting_Curves/meltCurve_C9JRY4_SEC22A.pdf", "Melting_Curves/meltCurve_C9JRY4_SEC22A.pdf")</f>
        <v>Melting_Curves/meltCurve_C9JRY4_SEC22A.pdf</v>
      </c>
    </row>
    <row r="363" spans="1:28" x14ac:dyDescent="0.25">
      <c r="A363" t="s">
        <v>367</v>
      </c>
      <c r="B363">
        <v>0.99472303558308395</v>
      </c>
      <c r="C363">
        <v>0.86994520523033603</v>
      </c>
      <c r="D363">
        <v>0.67345047487894305</v>
      </c>
      <c r="E363">
        <v>0.58905313025861195</v>
      </c>
      <c r="F363">
        <v>0.39732794531265497</v>
      </c>
      <c r="G363">
        <v>0.28578486806421</v>
      </c>
      <c r="H363">
        <v>0.18654010726713499</v>
      </c>
      <c r="I363">
        <v>0.162550055022435</v>
      </c>
      <c r="J363">
        <v>0.22059418132213601</v>
      </c>
      <c r="K363">
        <v>0.22083130644593599</v>
      </c>
      <c r="L363">
        <v>534.39047223335695</v>
      </c>
      <c r="M363">
        <v>11.6704807059086</v>
      </c>
      <c r="N363">
        <v>47.384708317458298</v>
      </c>
      <c r="O363">
        <v>44.5074670745052</v>
      </c>
      <c r="P363">
        <v>-5.4921571107741998E-2</v>
      </c>
      <c r="Q363">
        <v>0.16241192538906901</v>
      </c>
      <c r="R363">
        <v>0.98232083157800099</v>
      </c>
      <c r="S363" t="s">
        <v>6931</v>
      </c>
      <c r="T363" t="s">
        <v>13134</v>
      </c>
      <c r="U363" t="s">
        <v>13134</v>
      </c>
      <c r="V363" t="s">
        <v>13134</v>
      </c>
      <c r="W363" t="s">
        <v>13495</v>
      </c>
      <c r="X363">
        <v>20</v>
      </c>
      <c r="Y363" t="s">
        <v>19987</v>
      </c>
      <c r="Z363" t="s">
        <v>26331</v>
      </c>
      <c r="AA363">
        <v>0.43845065157784169</v>
      </c>
      <c r="AB363" t="str">
        <f>HYPERLINK("Melting_Curves/meltCurve_C9JRZ6_CHCHD3.pdf", "Melting_Curves/meltCurve_C9JRZ6_CHCHD3.pdf")</f>
        <v>Melting_Curves/meltCurve_C9JRZ6_CHCHD3.pdf</v>
      </c>
    </row>
    <row r="364" spans="1:28" x14ac:dyDescent="0.25">
      <c r="A364" t="s">
        <v>368</v>
      </c>
      <c r="B364">
        <v>0.99472303558308395</v>
      </c>
      <c r="C364">
        <v>1.0692037422898699</v>
      </c>
      <c r="D364">
        <v>0.85002971971373298</v>
      </c>
      <c r="E364">
        <v>0.75768777725972403</v>
      </c>
      <c r="F364">
        <v>0.58407911115256395</v>
      </c>
      <c r="G364">
        <v>0.447732242280097</v>
      </c>
      <c r="H364">
        <v>0.235642546405987</v>
      </c>
      <c r="I364">
        <v>9.5086623077289795E-2</v>
      </c>
      <c r="J364">
        <v>0.13080871226334201</v>
      </c>
      <c r="K364">
        <v>0.101439599352039</v>
      </c>
      <c r="L364">
        <v>586.24118630576697</v>
      </c>
      <c r="M364">
        <v>11.3520061582502</v>
      </c>
      <c r="N364">
        <v>51.744989150935297</v>
      </c>
      <c r="O364">
        <v>50.117411789827599</v>
      </c>
      <c r="P364">
        <v>-5.6011714346064903E-2</v>
      </c>
      <c r="Q364">
        <v>1.1162058111831699E-2</v>
      </c>
      <c r="R364">
        <v>0.98262684443389003</v>
      </c>
      <c r="S364" t="s">
        <v>6932</v>
      </c>
      <c r="T364" t="s">
        <v>13134</v>
      </c>
      <c r="U364" t="s">
        <v>13134</v>
      </c>
      <c r="V364" t="s">
        <v>13134</v>
      </c>
      <c r="W364" t="s">
        <v>13496</v>
      </c>
      <c r="X364">
        <v>3</v>
      </c>
      <c r="Y364" t="s">
        <v>19988</v>
      </c>
      <c r="Z364" t="s">
        <v>26332</v>
      </c>
      <c r="AA364">
        <v>0.51925511174394634</v>
      </c>
      <c r="AB364" t="str">
        <f>HYPERLINK("Melting_Curves/meltCurve_C9JSG1_DPP8.pdf", "Melting_Curves/meltCurve_C9JSG1_DPP8.pdf")</f>
        <v>Melting_Curves/meltCurve_C9JSG1_DPP8.pdf</v>
      </c>
    </row>
    <row r="365" spans="1:28" x14ac:dyDescent="0.25">
      <c r="A365" t="s">
        <v>369</v>
      </c>
      <c r="B365">
        <v>0.99472303558308395</v>
      </c>
      <c r="C365">
        <v>1.0148411955927401</v>
      </c>
      <c r="D365">
        <v>0.77085538290354505</v>
      </c>
      <c r="E365">
        <v>0.768294496994259</v>
      </c>
      <c r="F365">
        <v>0.76047143608580803</v>
      </c>
      <c r="G365">
        <v>0.33588223214860002</v>
      </c>
      <c r="H365">
        <v>0.24835110125617099</v>
      </c>
      <c r="I365">
        <v>0.177552178217702</v>
      </c>
      <c r="J365">
        <v>0.22538577927027501</v>
      </c>
      <c r="K365">
        <v>0.29083347601201898</v>
      </c>
      <c r="L365">
        <v>669.65019888656798</v>
      </c>
      <c r="M365">
        <v>13.2977319263348</v>
      </c>
      <c r="N365">
        <v>51.966528177305598</v>
      </c>
      <c r="O365">
        <v>49.260252242883404</v>
      </c>
      <c r="P365">
        <v>-5.6111945199309302E-2</v>
      </c>
      <c r="Q365">
        <v>0.16868779196224001</v>
      </c>
      <c r="R365">
        <v>0.92430375709150903</v>
      </c>
      <c r="S365" t="s">
        <v>6933</v>
      </c>
      <c r="T365" t="s">
        <v>13134</v>
      </c>
      <c r="U365" t="s">
        <v>13134</v>
      </c>
      <c r="V365" t="s">
        <v>13134</v>
      </c>
      <c r="W365" t="s">
        <v>13497</v>
      </c>
      <c r="X365">
        <v>11</v>
      </c>
      <c r="Y365" t="s">
        <v>19989</v>
      </c>
      <c r="Z365" t="s">
        <v>26333</v>
      </c>
      <c r="AA365">
        <v>0.55897812621172571</v>
      </c>
      <c r="AB365" t="str">
        <f>HYPERLINK("Melting_Curves/meltCurve_C9JTX5_ACTB.pdf", "Melting_Curves/meltCurve_C9JTX5_ACTB.pdf")</f>
        <v>Melting_Curves/meltCurve_C9JTX5_ACTB.pdf</v>
      </c>
    </row>
    <row r="366" spans="1:28" x14ac:dyDescent="0.25">
      <c r="A366" t="s">
        <v>370</v>
      </c>
      <c r="B366">
        <v>0.99472303558308395</v>
      </c>
      <c r="C366">
        <v>0.93034958028672399</v>
      </c>
      <c r="D366">
        <v>0.59655050462370096</v>
      </c>
      <c r="E366">
        <v>0.52203061394195405</v>
      </c>
      <c r="F366">
        <v>1.19875458423804</v>
      </c>
      <c r="G366">
        <v>0.340006042012785</v>
      </c>
      <c r="H366">
        <v>0.40968660077056002</v>
      </c>
      <c r="I366">
        <v>0.17148285868645299</v>
      </c>
      <c r="J366">
        <v>0.27178665708838401</v>
      </c>
      <c r="K366">
        <v>0.65465021624804398</v>
      </c>
      <c r="L366">
        <v>339.88137227757801</v>
      </c>
      <c r="M366">
        <v>6.9097006449611698</v>
      </c>
      <c r="N366">
        <v>55.223609081935997</v>
      </c>
      <c r="O366">
        <v>45.564336785240798</v>
      </c>
      <c r="P366">
        <v>-2.7918996338054999E-2</v>
      </c>
      <c r="Q366">
        <v>0.26500893225290101</v>
      </c>
      <c r="R366">
        <v>0.38965471871356699</v>
      </c>
      <c r="S366" t="s">
        <v>6934</v>
      </c>
      <c r="T366" t="s">
        <v>13134</v>
      </c>
      <c r="U366" t="s">
        <v>13134</v>
      </c>
      <c r="V366" t="s">
        <v>13134</v>
      </c>
      <c r="W366" t="s">
        <v>13498</v>
      </c>
      <c r="X366">
        <v>12</v>
      </c>
      <c r="Y366" t="s">
        <v>19990</v>
      </c>
      <c r="Z366" t="s">
        <v>26334</v>
      </c>
      <c r="AA366">
        <v>0.60102474764155189</v>
      </c>
      <c r="AB366" t="str">
        <f>HYPERLINK("Melting_Curves/meltCurve_C9JUP7_VCP.pdf", "Melting_Curves/meltCurve_C9JUP7_VCP.pdf")</f>
        <v>Melting_Curves/meltCurve_C9JUP7_VCP.pdf</v>
      </c>
    </row>
    <row r="367" spans="1:28" x14ac:dyDescent="0.25">
      <c r="A367" t="s">
        <v>371</v>
      </c>
      <c r="B367">
        <v>0.99472303558308395</v>
      </c>
      <c r="C367">
        <v>1.0069694489676499</v>
      </c>
      <c r="D367">
        <v>0.94561100671823595</v>
      </c>
      <c r="E367">
        <v>0.73192284192734103</v>
      </c>
      <c r="F367">
        <v>0.40049452696020499</v>
      </c>
      <c r="G367">
        <v>0.26715552468590997</v>
      </c>
      <c r="H367">
        <v>0.140951314756842</v>
      </c>
      <c r="I367">
        <v>0.13024899993404099</v>
      </c>
      <c r="J367">
        <v>0.16147231042961299</v>
      </c>
      <c r="K367">
        <v>0.19818222998882901</v>
      </c>
      <c r="L367">
        <v>1057.93755479026</v>
      </c>
      <c r="M367">
        <v>21.928367993843398</v>
      </c>
      <c r="N367">
        <v>49.072862428901402</v>
      </c>
      <c r="O367">
        <v>47.849292626735199</v>
      </c>
      <c r="P367">
        <v>-9.6861267127291498E-2</v>
      </c>
      <c r="Q367">
        <v>0.15458561705374299</v>
      </c>
      <c r="R367">
        <v>0.99557457003891403</v>
      </c>
      <c r="S367" t="s">
        <v>6935</v>
      </c>
      <c r="T367" t="s">
        <v>13134</v>
      </c>
      <c r="U367" t="s">
        <v>13134</v>
      </c>
      <c r="V367" t="s">
        <v>13134</v>
      </c>
      <c r="W367" t="s">
        <v>13499</v>
      </c>
      <c r="X367">
        <v>1</v>
      </c>
      <c r="Y367" t="s">
        <v>19991</v>
      </c>
      <c r="Z367" t="s">
        <v>26335</v>
      </c>
      <c r="AA367">
        <v>0.48081294316990902</v>
      </c>
      <c r="AB367" t="str">
        <f>HYPERLINK("Melting_Curves/meltCurve_C9JV08_IFNAR1.pdf", "Melting_Curves/meltCurve_C9JV08_IFNAR1.pdf")</f>
        <v>Melting_Curves/meltCurve_C9JV08_IFNAR1.pdf</v>
      </c>
    </row>
    <row r="368" spans="1:28" x14ac:dyDescent="0.25">
      <c r="A368" t="s">
        <v>372</v>
      </c>
      <c r="B368">
        <v>0.99472303558308395</v>
      </c>
      <c r="C368">
        <v>0.86928651983423</v>
      </c>
      <c r="D368">
        <v>0.75101158124462097</v>
      </c>
      <c r="E368">
        <v>0.74874768446213202</v>
      </c>
      <c r="F368">
        <v>1.12181340795218</v>
      </c>
      <c r="G368">
        <v>0.50463006368318397</v>
      </c>
      <c r="H368">
        <v>0.72646581209843597</v>
      </c>
      <c r="I368">
        <v>0.30835713781518898</v>
      </c>
      <c r="J368">
        <v>0.91467952772547301</v>
      </c>
      <c r="K368">
        <v>0.90199051446846201</v>
      </c>
      <c r="L368">
        <v>466.62432773713402</v>
      </c>
      <c r="M368">
        <v>11.275973148628401</v>
      </c>
      <c r="O368">
        <v>40.144701422664902</v>
      </c>
      <c r="P368">
        <v>-1.98448128147698E-2</v>
      </c>
      <c r="Q368">
        <v>0.717480751178593</v>
      </c>
      <c r="R368">
        <v>0.12328799654842899</v>
      </c>
      <c r="S368" t="s">
        <v>6936</v>
      </c>
      <c r="T368" t="s">
        <v>13134</v>
      </c>
      <c r="U368" t="s">
        <v>13134</v>
      </c>
      <c r="V368" t="s">
        <v>13134</v>
      </c>
      <c r="W368" t="s">
        <v>13500</v>
      </c>
      <c r="X368">
        <v>2</v>
      </c>
      <c r="Y368" t="s">
        <v>19992</v>
      </c>
      <c r="Z368" t="s">
        <v>26336</v>
      </c>
      <c r="AA368">
        <v>0.77406289988993726</v>
      </c>
      <c r="AB368" t="str">
        <f>HYPERLINK("Melting_Curves/meltCurve_C9JV54_TTC32.pdf", "Melting_Curves/meltCurve_C9JV54_TTC32.pdf")</f>
        <v>Melting_Curves/meltCurve_C9JV54_TTC32.pdf</v>
      </c>
    </row>
    <row r="369" spans="1:28" x14ac:dyDescent="0.25">
      <c r="A369" t="s">
        <v>373</v>
      </c>
      <c r="B369">
        <v>0.99472303558308395</v>
      </c>
      <c r="C369">
        <v>0.873058090925248</v>
      </c>
      <c r="D369">
        <v>0.80519060978598</v>
      </c>
      <c r="E369">
        <v>0.63039148819598001</v>
      </c>
      <c r="F369">
        <v>0.27228290733300903</v>
      </c>
      <c r="G369">
        <v>0.100755702169378</v>
      </c>
      <c r="H369">
        <v>4.9313955512022702E-2</v>
      </c>
      <c r="I369">
        <v>4.2057210198313003E-2</v>
      </c>
      <c r="J369">
        <v>5.5277276935276898E-2</v>
      </c>
      <c r="K369">
        <v>1.8110932299089801E-2</v>
      </c>
      <c r="L369">
        <v>738.182418248104</v>
      </c>
      <c r="M369">
        <v>15.5915135270559</v>
      </c>
      <c r="N369">
        <v>47.376253516389802</v>
      </c>
      <c r="O369">
        <v>46.586813479701298</v>
      </c>
      <c r="P369">
        <v>-8.3250393231009898E-2</v>
      </c>
      <c r="Q369">
        <v>5.0910750872015798E-3</v>
      </c>
      <c r="R369">
        <v>0.99002739640183102</v>
      </c>
      <c r="S369" t="s">
        <v>6937</v>
      </c>
      <c r="T369" t="s">
        <v>13134</v>
      </c>
      <c r="U369" t="s">
        <v>13134</v>
      </c>
      <c r="V369" t="s">
        <v>13134</v>
      </c>
      <c r="W369" t="s">
        <v>13501</v>
      </c>
      <c r="X369">
        <v>2</v>
      </c>
      <c r="Y369" t="s">
        <v>19993</v>
      </c>
      <c r="Z369" t="s">
        <v>26337</v>
      </c>
      <c r="AA369">
        <v>0.36893095544436549</v>
      </c>
      <c r="AB369" t="str">
        <f>HYPERLINK("Melting_Curves/meltCurve_C9JVP0_FOXJ3.pdf", "Melting_Curves/meltCurve_C9JVP0_FOXJ3.pdf")</f>
        <v>Melting_Curves/meltCurve_C9JVP0_FOXJ3.pdf</v>
      </c>
    </row>
    <row r="370" spans="1:28" x14ac:dyDescent="0.25">
      <c r="A370" t="s">
        <v>374</v>
      </c>
      <c r="B370">
        <v>0.99472303558308395</v>
      </c>
      <c r="C370">
        <v>1.2960625699286099</v>
      </c>
      <c r="D370">
        <v>1.00138042793027</v>
      </c>
      <c r="E370">
        <v>0.86285859091209705</v>
      </c>
      <c r="F370">
        <v>0.99495284548699503</v>
      </c>
      <c r="G370">
        <v>0.41550725705092301</v>
      </c>
      <c r="H370">
        <v>0.27585598039819897</v>
      </c>
      <c r="I370">
        <v>0.213607856750542</v>
      </c>
      <c r="J370">
        <v>0.264735022751037</v>
      </c>
      <c r="K370">
        <v>0.300418893462434</v>
      </c>
      <c r="L370">
        <v>4528.2407796365096</v>
      </c>
      <c r="M370">
        <v>85.512598260633297</v>
      </c>
      <c r="N370">
        <v>53.421445799693899</v>
      </c>
      <c r="O370">
        <v>52.925143291465702</v>
      </c>
      <c r="P370">
        <v>-0.29754705857046998</v>
      </c>
      <c r="Q370">
        <v>0.26337322335482199</v>
      </c>
      <c r="R370">
        <v>0.92528371542023402</v>
      </c>
      <c r="S370" t="s">
        <v>6938</v>
      </c>
      <c r="T370" t="s">
        <v>13134</v>
      </c>
      <c r="U370" t="s">
        <v>13134</v>
      </c>
      <c r="V370" t="s">
        <v>13134</v>
      </c>
      <c r="W370" t="s">
        <v>13502</v>
      </c>
      <c r="X370">
        <v>1</v>
      </c>
      <c r="Y370" t="s">
        <v>19994</v>
      </c>
      <c r="Z370" t="s">
        <v>26338</v>
      </c>
      <c r="AA370">
        <v>0.65569934671487085</v>
      </c>
      <c r="AB370" t="str">
        <f>HYPERLINK("Melting_Curves/meltCurve_C9JVW0_PRR24.pdf", "Melting_Curves/meltCurve_C9JVW0_PRR24.pdf")</f>
        <v>Melting_Curves/meltCurve_C9JVW0_PRR24.pdf</v>
      </c>
    </row>
    <row r="371" spans="1:28" x14ac:dyDescent="0.25">
      <c r="A371" t="s">
        <v>375</v>
      </c>
      <c r="B371">
        <v>0.99472303558308395</v>
      </c>
      <c r="C371">
        <v>0.95777887413518004</v>
      </c>
      <c r="D371">
        <v>1.08702679152224</v>
      </c>
      <c r="E371">
        <v>1.01364330076121</v>
      </c>
      <c r="F371">
        <v>0.79412615387149099</v>
      </c>
      <c r="G371">
        <v>0.70067943783285902</v>
      </c>
      <c r="H371">
        <v>0.240328056932545</v>
      </c>
      <c r="I371">
        <v>0.353338551388241</v>
      </c>
      <c r="J371">
        <v>0.18796434816702301</v>
      </c>
      <c r="K371">
        <v>0.12221090557692001</v>
      </c>
      <c r="L371">
        <v>1113.8886255385301</v>
      </c>
      <c r="M371">
        <v>20.519434875884698</v>
      </c>
      <c r="N371">
        <v>55.266623393946603</v>
      </c>
      <c r="O371">
        <v>53.7768854748129</v>
      </c>
      <c r="P371">
        <v>-8.0820813280417805E-2</v>
      </c>
      <c r="Q371">
        <v>0.152771402558839</v>
      </c>
      <c r="R371">
        <v>0.95737051335689705</v>
      </c>
      <c r="S371" t="s">
        <v>6939</v>
      </c>
      <c r="T371" t="s">
        <v>13134</v>
      </c>
      <c r="U371" t="s">
        <v>13134</v>
      </c>
      <c r="V371" t="s">
        <v>13134</v>
      </c>
      <c r="W371" t="s">
        <v>13503</v>
      </c>
      <c r="X371">
        <v>2</v>
      </c>
      <c r="Y371" t="s">
        <v>19995</v>
      </c>
      <c r="Z371" t="s">
        <v>26339</v>
      </c>
      <c r="AA371">
        <v>0.6506726992143782</v>
      </c>
      <c r="AB371" t="str">
        <f>HYPERLINK("Melting_Curves/meltCurve_C9JXA7_LAMTOR4.pdf", "Melting_Curves/meltCurve_C9JXA7_LAMTOR4.pdf")</f>
        <v>Melting_Curves/meltCurve_C9JXA7_LAMTOR4.pdf</v>
      </c>
    </row>
    <row r="372" spans="1:28" x14ac:dyDescent="0.25">
      <c r="A372" t="s">
        <v>376</v>
      </c>
      <c r="B372">
        <v>0.99472303558308395</v>
      </c>
      <c r="C372">
        <v>0.86709360768545496</v>
      </c>
      <c r="D372">
        <v>0.85062918212746097</v>
      </c>
      <c r="E372">
        <v>0.84560987572021995</v>
      </c>
      <c r="F372">
        <v>0.61444137390236298</v>
      </c>
      <c r="G372">
        <v>0.28493327146373298</v>
      </c>
      <c r="H372">
        <v>0.113669510512275</v>
      </c>
      <c r="I372">
        <v>7.2399579046260903E-2</v>
      </c>
      <c r="J372">
        <v>9.4472051760698894E-2</v>
      </c>
      <c r="K372">
        <v>9.9733601549353804E-2</v>
      </c>
      <c r="L372">
        <v>864.14070700786397</v>
      </c>
      <c r="M372">
        <v>17.038213390512599</v>
      </c>
      <c r="N372">
        <v>51.004090637403401</v>
      </c>
      <c r="O372">
        <v>50.034596340679201</v>
      </c>
      <c r="P372">
        <v>-8.1254999515353907E-2</v>
      </c>
      <c r="Q372">
        <v>4.5601162228477099E-2</v>
      </c>
      <c r="R372">
        <v>0.97391868652983404</v>
      </c>
      <c r="S372" t="s">
        <v>6940</v>
      </c>
      <c r="T372" t="s">
        <v>13134</v>
      </c>
      <c r="U372" t="s">
        <v>13134</v>
      </c>
      <c r="V372" t="s">
        <v>13134</v>
      </c>
      <c r="W372" t="s">
        <v>13504</v>
      </c>
      <c r="X372">
        <v>8</v>
      </c>
      <c r="Y372" t="s">
        <v>19996</v>
      </c>
      <c r="Z372" t="s">
        <v>26340</v>
      </c>
      <c r="AA372">
        <v>0.4982073339237541</v>
      </c>
      <c r="AB372" t="str">
        <f>HYPERLINK("Melting_Curves/meltCurve_C9JXB8_RPL24.pdf", "Melting_Curves/meltCurve_C9JXB8_RPL24.pdf")</f>
        <v>Melting_Curves/meltCurve_C9JXB8_RPL24.pdf</v>
      </c>
    </row>
    <row r="373" spans="1:28" x14ac:dyDescent="0.25">
      <c r="A373" t="s">
        <v>377</v>
      </c>
      <c r="B373">
        <v>0.99472303558308395</v>
      </c>
      <c r="C373">
        <v>0.97142731371591395</v>
      </c>
      <c r="D373">
        <v>0.97285944596096297</v>
      </c>
      <c r="E373">
        <v>0.81279445552981699</v>
      </c>
      <c r="F373">
        <v>0.59572369879155096</v>
      </c>
      <c r="G373">
        <v>0.218456659144495</v>
      </c>
      <c r="H373">
        <v>0.113324228468497</v>
      </c>
      <c r="I373">
        <v>6.0309847837565302E-2</v>
      </c>
      <c r="J373">
        <v>7.0180094792386294E-2</v>
      </c>
      <c r="K373">
        <v>7.44564560539306E-2</v>
      </c>
      <c r="L373">
        <v>1047.5750782845</v>
      </c>
      <c r="M373">
        <v>20.768718983743</v>
      </c>
      <c r="N373">
        <v>50.690157005083599</v>
      </c>
      <c r="O373">
        <v>49.9793937346939</v>
      </c>
      <c r="P373">
        <v>-9.8829880644271798E-2</v>
      </c>
      <c r="Q373">
        <v>4.8700303831695602E-2</v>
      </c>
      <c r="R373">
        <v>0.995845281597176</v>
      </c>
      <c r="S373" t="s">
        <v>6941</v>
      </c>
      <c r="T373" t="s">
        <v>13134</v>
      </c>
      <c r="U373" t="s">
        <v>13134</v>
      </c>
      <c r="V373" t="s">
        <v>13134</v>
      </c>
      <c r="W373" t="s">
        <v>13505</v>
      </c>
      <c r="X373">
        <v>3</v>
      </c>
      <c r="Y373" t="s">
        <v>19997</v>
      </c>
      <c r="Z373" t="s">
        <v>26341</v>
      </c>
      <c r="AA373">
        <v>0.48659874132322722</v>
      </c>
      <c r="AB373" t="str">
        <f>HYPERLINK("Melting_Curves/meltCurve_C9JY06_NUDT22.pdf", "Melting_Curves/meltCurve_C9JY06_NUDT22.pdf")</f>
        <v>Melting_Curves/meltCurve_C9JY06_NUDT22.pdf</v>
      </c>
    </row>
    <row r="374" spans="1:28" x14ac:dyDescent="0.25">
      <c r="A374" t="s">
        <v>378</v>
      </c>
      <c r="B374">
        <v>0.99472303558308395</v>
      </c>
      <c r="C374">
        <v>0.87390194647272601</v>
      </c>
      <c r="D374">
        <v>0.49529118226156099</v>
      </c>
      <c r="E374">
        <v>0.26925086541877402</v>
      </c>
      <c r="F374">
        <v>9.0790838094408202E-2</v>
      </c>
      <c r="G374">
        <v>6.9014127957113494E-2</v>
      </c>
      <c r="H374">
        <v>8.4567496653336294E-2</v>
      </c>
      <c r="I374">
        <v>3.0105014840508201E-2</v>
      </c>
      <c r="J374">
        <v>9.4662553359431995E-2</v>
      </c>
      <c r="K374">
        <v>8.6190995940434695E-2</v>
      </c>
      <c r="L374">
        <v>919.19112092201601</v>
      </c>
      <c r="M374">
        <v>21.384963194717901</v>
      </c>
      <c r="N374">
        <v>43.290958613502397</v>
      </c>
      <c r="O374">
        <v>42.612479586037601</v>
      </c>
      <c r="P374">
        <v>-0.116614362470378</v>
      </c>
      <c r="Q374">
        <v>7.0542386233972201E-2</v>
      </c>
      <c r="R374">
        <v>0.99279797765594702</v>
      </c>
      <c r="S374" t="s">
        <v>6942</v>
      </c>
      <c r="T374" t="s">
        <v>13134</v>
      </c>
      <c r="U374" t="s">
        <v>13134</v>
      </c>
      <c r="V374" t="s">
        <v>13134</v>
      </c>
      <c r="W374" t="s">
        <v>13506</v>
      </c>
      <c r="X374">
        <v>1</v>
      </c>
      <c r="Y374" t="s">
        <v>19998</v>
      </c>
      <c r="Z374" t="s">
        <v>26342</v>
      </c>
      <c r="AA374">
        <v>0.26704361722714531</v>
      </c>
      <c r="AB374" t="str">
        <f>HYPERLINK("Melting_Curves/meltCurve_C9JYD0_PCGF3.pdf", "Melting_Curves/meltCurve_C9JYD0_PCGF3.pdf")</f>
        <v>Melting_Curves/meltCurve_C9JYD0_PCGF3.pdf</v>
      </c>
    </row>
    <row r="375" spans="1:28" x14ac:dyDescent="0.25">
      <c r="A375" t="s">
        <v>379</v>
      </c>
      <c r="B375">
        <v>0.99472303558308395</v>
      </c>
      <c r="C375">
        <v>1.13647899065652</v>
      </c>
      <c r="D375">
        <v>1.0172302234783599</v>
      </c>
      <c r="E375">
        <v>0.97799493565340401</v>
      </c>
      <c r="F375">
        <v>0.82410780023924801</v>
      </c>
      <c r="G375">
        <v>0.62490648603377597</v>
      </c>
      <c r="H375">
        <v>0.37814956412549999</v>
      </c>
      <c r="I375">
        <v>0.19117839841261799</v>
      </c>
      <c r="J375">
        <v>0.17166723988402299</v>
      </c>
      <c r="K375">
        <v>0.13887271761525799</v>
      </c>
      <c r="L375">
        <v>1000.31823625318</v>
      </c>
      <c r="M375">
        <v>18.315690703803401</v>
      </c>
      <c r="N375">
        <v>55.326213699306102</v>
      </c>
      <c r="O375">
        <v>53.976803314840197</v>
      </c>
      <c r="P375">
        <v>-7.5940865040161704E-2</v>
      </c>
      <c r="Q375">
        <v>0.10484266556889101</v>
      </c>
      <c r="R375">
        <v>0.98456707611171002</v>
      </c>
      <c r="S375" t="s">
        <v>6943</v>
      </c>
      <c r="T375" t="s">
        <v>13134</v>
      </c>
      <c r="U375" t="s">
        <v>13134</v>
      </c>
      <c r="V375" t="s">
        <v>13134</v>
      </c>
      <c r="W375" t="s">
        <v>13507</v>
      </c>
      <c r="X375">
        <v>3</v>
      </c>
      <c r="Y375" t="s">
        <v>19999</v>
      </c>
      <c r="Z375" t="s">
        <v>26343</v>
      </c>
      <c r="AA375">
        <v>0.64194747643704075</v>
      </c>
      <c r="AB375" t="str">
        <f>HYPERLINK("Melting_Curves/meltCurve_C9JYK5_BAG1.pdf", "Melting_Curves/meltCurve_C9JYK5_BAG1.pdf")</f>
        <v>Melting_Curves/meltCurve_C9JYK5_BAG1.pdf</v>
      </c>
    </row>
    <row r="376" spans="1:28" x14ac:dyDescent="0.25">
      <c r="A376" t="s">
        <v>380</v>
      </c>
      <c r="B376">
        <v>0.99472303558308395</v>
      </c>
      <c r="C376">
        <v>0.85514193685435402</v>
      </c>
      <c r="D376">
        <v>0.80679607869160497</v>
      </c>
      <c r="E376">
        <v>0.81561589670833001</v>
      </c>
      <c r="F376">
        <v>0.65638663203054604</v>
      </c>
      <c r="G376">
        <v>0.44715375369013299</v>
      </c>
      <c r="H376">
        <v>0.31119983403618301</v>
      </c>
      <c r="I376">
        <v>0.26377954488210098</v>
      </c>
      <c r="J376">
        <v>0.35387779616737902</v>
      </c>
      <c r="K376">
        <v>0.41855833032484502</v>
      </c>
      <c r="L376">
        <v>541.79555793285999</v>
      </c>
      <c r="M376">
        <v>11.066278849291001</v>
      </c>
      <c r="N376">
        <v>52.862755885418402</v>
      </c>
      <c r="O376">
        <v>47.441917442972603</v>
      </c>
      <c r="P376">
        <v>-4.2049399388025301E-2</v>
      </c>
      <c r="Q376">
        <v>0.27916250819111799</v>
      </c>
      <c r="R376">
        <v>0.91917653834261104</v>
      </c>
      <c r="S376" t="s">
        <v>6944</v>
      </c>
      <c r="T376" t="s">
        <v>13134</v>
      </c>
      <c r="U376" t="s">
        <v>13134</v>
      </c>
      <c r="V376" t="s">
        <v>13134</v>
      </c>
      <c r="W376" t="s">
        <v>13508</v>
      </c>
      <c r="X376">
        <v>1</v>
      </c>
      <c r="Y376" t="s">
        <v>20000</v>
      </c>
      <c r="Z376" t="s">
        <v>26344</v>
      </c>
      <c r="AA376">
        <v>0.59034093291033107</v>
      </c>
      <c r="AB376" t="str">
        <f>HYPERLINK("Melting_Curves/meltCurve_C9JYN0_SYPL1.pdf", "Melting_Curves/meltCurve_C9JYN0_SYPL1.pdf")</f>
        <v>Melting_Curves/meltCurve_C9JYN0_SYPL1.pdf</v>
      </c>
    </row>
    <row r="377" spans="1:28" x14ac:dyDescent="0.25">
      <c r="A377" t="s">
        <v>381</v>
      </c>
      <c r="B377">
        <v>0.99472303558308395</v>
      </c>
      <c r="C377">
        <v>1.0457794358316299</v>
      </c>
      <c r="D377">
        <v>0.79072445265921099</v>
      </c>
      <c r="E377">
        <v>0.57124149052948003</v>
      </c>
      <c r="F377">
        <v>0.39955391877862501</v>
      </c>
      <c r="G377">
        <v>0.14342339009285501</v>
      </c>
      <c r="H377">
        <v>0.12865284624213799</v>
      </c>
      <c r="I377">
        <v>6.3738914511096603E-2</v>
      </c>
      <c r="J377">
        <v>7.2115891794960696E-2</v>
      </c>
      <c r="K377">
        <v>7.6024951029774496E-2</v>
      </c>
      <c r="L377">
        <v>723.81733543863697</v>
      </c>
      <c r="M377">
        <v>15.244075148098799</v>
      </c>
      <c r="N377">
        <v>47.824469587341902</v>
      </c>
      <c r="O377">
        <v>46.687284406410903</v>
      </c>
      <c r="P377">
        <v>-7.7413762456271101E-2</v>
      </c>
      <c r="Q377">
        <v>5.1724825007983498E-2</v>
      </c>
      <c r="R377">
        <v>0.98712118895654599</v>
      </c>
      <c r="S377" t="s">
        <v>6945</v>
      </c>
      <c r="T377" t="s">
        <v>13134</v>
      </c>
      <c r="U377" t="s">
        <v>13134</v>
      </c>
      <c r="V377" t="s">
        <v>13134</v>
      </c>
      <c r="W377" t="s">
        <v>13509</v>
      </c>
      <c r="X377">
        <v>2</v>
      </c>
      <c r="Y377" t="s">
        <v>20001</v>
      </c>
      <c r="Z377" t="s">
        <v>26345</v>
      </c>
      <c r="AA377">
        <v>0.40358446292187661</v>
      </c>
      <c r="AB377" t="str">
        <f>HYPERLINK("Melting_Curves/meltCurve_C9JZB0_INPP5K.pdf", "Melting_Curves/meltCurve_C9JZB0_INPP5K.pdf")</f>
        <v>Melting_Curves/meltCurve_C9JZB0_INPP5K.pdf</v>
      </c>
    </row>
    <row r="378" spans="1:28" x14ac:dyDescent="0.25">
      <c r="A378" t="s">
        <v>382</v>
      </c>
      <c r="B378">
        <v>0.99472303558308395</v>
      </c>
      <c r="C378">
        <v>0.90298075819472701</v>
      </c>
      <c r="D378">
        <v>0.78963160281824696</v>
      </c>
      <c r="E378">
        <v>0.73753570016140702</v>
      </c>
      <c r="F378">
        <v>0.95562705288977601</v>
      </c>
      <c r="G378">
        <v>0.24846184842977301</v>
      </c>
      <c r="H378">
        <v>0.10444510221756</v>
      </c>
      <c r="I378">
        <v>4.6065516760655303E-2</v>
      </c>
      <c r="J378">
        <v>3.91154581017924E-2</v>
      </c>
      <c r="K378">
        <v>5.8644436338566697E-2</v>
      </c>
      <c r="L378">
        <v>3122.4810462862001</v>
      </c>
      <c r="M378">
        <v>59.395283959830302</v>
      </c>
      <c r="N378">
        <v>52.6839803855611</v>
      </c>
      <c r="O378">
        <v>52.511699452497197</v>
      </c>
      <c r="P378">
        <v>-0.26589070982493002</v>
      </c>
      <c r="Q378">
        <v>5.96986081684747E-2</v>
      </c>
      <c r="R378">
        <v>0.921506213795102</v>
      </c>
      <c r="S378" t="s">
        <v>6946</v>
      </c>
      <c r="T378" t="s">
        <v>13134</v>
      </c>
      <c r="U378" t="s">
        <v>13134</v>
      </c>
      <c r="V378" t="s">
        <v>13134</v>
      </c>
      <c r="W378" t="s">
        <v>13482</v>
      </c>
      <c r="X378">
        <v>8</v>
      </c>
      <c r="Y378" t="s">
        <v>19974</v>
      </c>
      <c r="Z378" t="s">
        <v>26346</v>
      </c>
      <c r="AA378">
        <v>0.54929504882208868</v>
      </c>
      <c r="AB378" t="str">
        <f>HYPERLINK("Melting_Curves/meltCurve_C9JZG2_GART.pdf", "Melting_Curves/meltCurve_C9JZG2_GART.pdf")</f>
        <v>Melting_Curves/meltCurve_C9JZG2_GART.pdf</v>
      </c>
    </row>
    <row r="379" spans="1:28" x14ac:dyDescent="0.25">
      <c r="A379" t="s">
        <v>383</v>
      </c>
      <c r="B379">
        <v>0.99472303558308395</v>
      </c>
      <c r="C379">
        <v>0.95341329802194696</v>
      </c>
      <c r="D379">
        <v>0.93883567555112901</v>
      </c>
      <c r="E379">
        <v>0.80991586722686304</v>
      </c>
      <c r="F379">
        <v>0.51625288606516895</v>
      </c>
      <c r="G379">
        <v>0.231161816808308</v>
      </c>
      <c r="H379">
        <v>8.7710178558141103E-2</v>
      </c>
      <c r="I379">
        <v>7.4359387089397599E-2</v>
      </c>
      <c r="J379">
        <v>7.4215547669990001E-2</v>
      </c>
      <c r="K379">
        <v>6.2911359730957295E-2</v>
      </c>
      <c r="L379">
        <v>973.99431947961602</v>
      </c>
      <c r="M379">
        <v>19.499147494767001</v>
      </c>
      <c r="N379">
        <v>50.203671881785603</v>
      </c>
      <c r="O379">
        <v>49.434147258134303</v>
      </c>
      <c r="P379">
        <v>-9.3999789171593295E-2</v>
      </c>
      <c r="Q379">
        <v>4.68030238850023E-2</v>
      </c>
      <c r="R379">
        <v>0.99769326662011604</v>
      </c>
      <c r="S379" t="s">
        <v>6947</v>
      </c>
      <c r="T379" t="s">
        <v>13134</v>
      </c>
      <c r="U379" t="s">
        <v>13134</v>
      </c>
      <c r="V379" t="s">
        <v>13134</v>
      </c>
      <c r="W379" t="s">
        <v>13510</v>
      </c>
      <c r="X379">
        <v>18</v>
      </c>
      <c r="Y379" t="s">
        <v>20002</v>
      </c>
      <c r="Z379" t="s">
        <v>26347</v>
      </c>
      <c r="AA379">
        <v>0.47140743007510427</v>
      </c>
      <c r="AB379" t="str">
        <f>HYPERLINK("Melting_Curves/meltCurve_C9JZR4_ARFGAP3.pdf", "Melting_Curves/meltCurve_C9JZR4_ARFGAP3.pdf")</f>
        <v>Melting_Curves/meltCurve_C9JZR4_ARFGAP3.pdf</v>
      </c>
    </row>
    <row r="380" spans="1:28" x14ac:dyDescent="0.25">
      <c r="A380" t="s">
        <v>384</v>
      </c>
      <c r="B380">
        <v>0.99472303558308395</v>
      </c>
      <c r="C380">
        <v>0.95858279639563804</v>
      </c>
      <c r="D380">
        <v>0.81406110732927195</v>
      </c>
      <c r="E380">
        <v>0.80276135813168203</v>
      </c>
      <c r="F380">
        <v>0.59001196406767398</v>
      </c>
      <c r="G380">
        <v>0.29475502359940198</v>
      </c>
      <c r="H380">
        <v>0.15726249252149399</v>
      </c>
      <c r="I380">
        <v>7.9184660043681701E-2</v>
      </c>
      <c r="J380">
        <v>9.2595757468802095E-2</v>
      </c>
      <c r="K380">
        <v>8.1552338447212699E-2</v>
      </c>
      <c r="L380">
        <v>674.36784173707201</v>
      </c>
      <c r="M380">
        <v>13.3073013818401</v>
      </c>
      <c r="N380">
        <v>50.791467202884803</v>
      </c>
      <c r="O380">
        <v>49.573173644507598</v>
      </c>
      <c r="P380">
        <v>-6.6124721515409199E-2</v>
      </c>
      <c r="Q380">
        <v>1.48319575436678E-2</v>
      </c>
      <c r="R380">
        <v>0.98594824395500003</v>
      </c>
      <c r="S380" t="s">
        <v>6948</v>
      </c>
      <c r="T380" t="s">
        <v>13134</v>
      </c>
      <c r="U380" t="s">
        <v>13134</v>
      </c>
      <c r="V380" t="s">
        <v>13134</v>
      </c>
      <c r="W380" t="s">
        <v>13511</v>
      </c>
      <c r="X380">
        <v>5</v>
      </c>
      <c r="Y380" t="s">
        <v>20003</v>
      </c>
      <c r="Z380" t="s">
        <v>26348</v>
      </c>
      <c r="AA380">
        <v>0.48737118362322568</v>
      </c>
      <c r="AB380" t="str">
        <f>HYPERLINK("Melting_Curves/meltCurve_C9JZY6_UBE2H.pdf", "Melting_Curves/meltCurve_C9JZY6_UBE2H.pdf")</f>
        <v>Melting_Curves/meltCurve_C9JZY6_UBE2H.pdf</v>
      </c>
    </row>
    <row r="381" spans="1:28" x14ac:dyDescent="0.25">
      <c r="A381" t="s">
        <v>385</v>
      </c>
      <c r="B381">
        <v>0.99472303558308395</v>
      </c>
      <c r="C381">
        <v>0.94007349107830496</v>
      </c>
      <c r="D381">
        <v>0.86436690777384595</v>
      </c>
      <c r="E381">
        <v>0.55435214091497598</v>
      </c>
      <c r="F381">
        <v>0.23063361367108001</v>
      </c>
      <c r="G381">
        <v>0.10309806665212901</v>
      </c>
      <c r="H381">
        <v>6.8674344776688906E-2</v>
      </c>
      <c r="I381">
        <v>6.0671221706053297E-2</v>
      </c>
      <c r="J381">
        <v>8.2552846379794098E-2</v>
      </c>
      <c r="K381">
        <v>4.8696885574937197E-2</v>
      </c>
      <c r="L381">
        <v>965.21261035892201</v>
      </c>
      <c r="M381">
        <v>20.646981894945799</v>
      </c>
      <c r="N381">
        <v>47.009148421572</v>
      </c>
      <c r="O381">
        <v>46.316456753715499</v>
      </c>
      <c r="P381">
        <v>-0.10541770337094999</v>
      </c>
      <c r="Q381">
        <v>5.4111754725151798E-2</v>
      </c>
      <c r="R381">
        <v>0.99853670669326899</v>
      </c>
      <c r="S381" t="s">
        <v>6949</v>
      </c>
      <c r="T381" t="s">
        <v>13134</v>
      </c>
      <c r="U381" t="s">
        <v>13134</v>
      </c>
      <c r="V381" t="s">
        <v>13134</v>
      </c>
      <c r="W381" t="s">
        <v>13512</v>
      </c>
      <c r="X381">
        <v>6</v>
      </c>
      <c r="Y381" t="s">
        <v>20004</v>
      </c>
      <c r="Z381" t="s">
        <v>26349</v>
      </c>
      <c r="AA381">
        <v>0.37309243084179089</v>
      </c>
      <c r="AB381" t="str">
        <f>HYPERLINK("Melting_Curves/meltCurve_C9K0X5_SNUPN.pdf", "Melting_Curves/meltCurve_C9K0X5_SNUPN.pdf")</f>
        <v>Melting_Curves/meltCurve_C9K0X5_SNUPN.pdf</v>
      </c>
    </row>
    <row r="382" spans="1:28" x14ac:dyDescent="0.25">
      <c r="A382" t="s">
        <v>386</v>
      </c>
      <c r="B382">
        <v>0.99472303558308395</v>
      </c>
      <c r="C382">
        <v>0.91970114230715505</v>
      </c>
      <c r="D382">
        <v>0.78946581914604497</v>
      </c>
      <c r="E382">
        <v>0.85860037117946897</v>
      </c>
      <c r="F382">
        <v>0.55166482005776596</v>
      </c>
      <c r="G382">
        <v>0.37839694140820901</v>
      </c>
      <c r="H382">
        <v>0.37528355133091101</v>
      </c>
      <c r="I382">
        <v>0.45721680105781198</v>
      </c>
      <c r="J382">
        <v>0.67308481415914401</v>
      </c>
      <c r="K382">
        <v>0.58324988443957304</v>
      </c>
      <c r="L382">
        <v>834.33794294023801</v>
      </c>
      <c r="M382">
        <v>18.147165731673802</v>
      </c>
      <c r="N382">
        <v>58.8865560306864</v>
      </c>
      <c r="O382">
        <v>45.4288216807551</v>
      </c>
      <c r="P382">
        <v>-5.0869731006387302E-2</v>
      </c>
      <c r="Q382">
        <v>0.49064409780444301</v>
      </c>
      <c r="R382">
        <v>0.75020533638864695</v>
      </c>
      <c r="S382" t="s">
        <v>6950</v>
      </c>
      <c r="T382" t="s">
        <v>13134</v>
      </c>
      <c r="U382" t="s">
        <v>13134</v>
      </c>
      <c r="V382" t="s">
        <v>13134</v>
      </c>
      <c r="W382" t="s">
        <v>13513</v>
      </c>
      <c r="X382">
        <v>1</v>
      </c>
      <c r="Y382" t="s">
        <v>20005</v>
      </c>
      <c r="Z382" t="s">
        <v>26350</v>
      </c>
      <c r="AA382">
        <v>0.65114837990843433</v>
      </c>
      <c r="AB382" t="str">
        <f>HYPERLINK("Melting_Curves/meltCurve_D3DPN2_SDC3.pdf", "Melting_Curves/meltCurve_D3DPN2_SDC3.pdf")</f>
        <v>Melting_Curves/meltCurve_D3DPN2_SDC3.pdf</v>
      </c>
    </row>
    <row r="383" spans="1:28" x14ac:dyDescent="0.25">
      <c r="A383" t="s">
        <v>387</v>
      </c>
      <c r="B383">
        <v>0.99472303558308395</v>
      </c>
      <c r="C383">
        <v>0.92153802204949298</v>
      </c>
      <c r="D383">
        <v>0.967116502540593</v>
      </c>
      <c r="E383">
        <v>0.80659545518924303</v>
      </c>
      <c r="F383">
        <v>0.31881742519480599</v>
      </c>
      <c r="G383">
        <v>0.25056830487168902</v>
      </c>
      <c r="H383">
        <v>0.11564587744112299</v>
      </c>
      <c r="I383">
        <v>0.107473334134614</v>
      </c>
      <c r="J383">
        <v>9.2865529746640904E-2</v>
      </c>
      <c r="K383">
        <v>7.8211262031823506E-2</v>
      </c>
      <c r="L383">
        <v>1286.0639386462301</v>
      </c>
      <c r="M383">
        <v>26.494101532201999</v>
      </c>
      <c r="N383">
        <v>48.979799122580502</v>
      </c>
      <c r="O383">
        <v>48.267509375185703</v>
      </c>
      <c r="P383">
        <v>-0.12274479086946601</v>
      </c>
      <c r="Q383">
        <v>0.10553353234797801</v>
      </c>
      <c r="R383">
        <v>0.98843081692523604</v>
      </c>
      <c r="S383" t="s">
        <v>6951</v>
      </c>
      <c r="T383" t="s">
        <v>13134</v>
      </c>
      <c r="U383" t="s">
        <v>13134</v>
      </c>
      <c r="V383" t="s">
        <v>13134</v>
      </c>
      <c r="W383" t="s">
        <v>13514</v>
      </c>
      <c r="X383">
        <v>2</v>
      </c>
      <c r="Y383" t="s">
        <v>20006</v>
      </c>
      <c r="Z383" t="s">
        <v>26351</v>
      </c>
      <c r="AA383">
        <v>0.45650209710588369</v>
      </c>
      <c r="AB383" t="str">
        <f>HYPERLINK("Melting_Curves/meltCurve_D3DTZ5_SUPT4H1.pdf", "Melting_Curves/meltCurve_D3DTZ5_SUPT4H1.pdf")</f>
        <v>Melting_Curves/meltCurve_D3DTZ5_SUPT4H1.pdf</v>
      </c>
    </row>
    <row r="384" spans="1:28" x14ac:dyDescent="0.25">
      <c r="A384" t="s">
        <v>388</v>
      </c>
      <c r="B384">
        <v>0.99472303558308395</v>
      </c>
      <c r="C384">
        <v>1.0073991703443199</v>
      </c>
      <c r="D384">
        <v>0.73283983153299204</v>
      </c>
      <c r="E384">
        <v>0.76123485088526699</v>
      </c>
      <c r="F384">
        <v>0.59012700267121498</v>
      </c>
      <c r="G384">
        <v>0.40629551432565703</v>
      </c>
      <c r="H384">
        <v>0.26456180202611401</v>
      </c>
      <c r="I384">
        <v>0.156124785828611</v>
      </c>
      <c r="J384">
        <v>0.12959847795037899</v>
      </c>
      <c r="K384">
        <v>0.110438240386303</v>
      </c>
      <c r="L384">
        <v>483.44239106052601</v>
      </c>
      <c r="M384">
        <v>9.3994547555397592</v>
      </c>
      <c r="N384">
        <v>51.433024823255302</v>
      </c>
      <c r="O384">
        <v>49.266147137482598</v>
      </c>
      <c r="P384">
        <v>-4.7726707929432503E-2</v>
      </c>
      <c r="Q384">
        <v>0</v>
      </c>
      <c r="R384">
        <v>0.97666845391123702</v>
      </c>
      <c r="S384" t="s">
        <v>6952</v>
      </c>
      <c r="T384" t="s">
        <v>13134</v>
      </c>
      <c r="U384" t="s">
        <v>13134</v>
      </c>
      <c r="V384" t="s">
        <v>13134</v>
      </c>
      <c r="W384" t="s">
        <v>13515</v>
      </c>
      <c r="X384">
        <v>2</v>
      </c>
      <c r="Y384" t="s">
        <v>20007</v>
      </c>
      <c r="Z384" t="s">
        <v>26352</v>
      </c>
      <c r="AA384">
        <v>0.51105472938732999</v>
      </c>
      <c r="AB384" t="str">
        <f>HYPERLINK("Melting_Curves/meltCurve_D3DWC4_TMEM23.pdf", "Melting_Curves/meltCurve_D3DWC4_TMEM23.pdf")</f>
        <v>Melting_Curves/meltCurve_D3DWC4_TMEM23.pdf</v>
      </c>
    </row>
    <row r="385" spans="1:28" x14ac:dyDescent="0.25">
      <c r="A385" t="s">
        <v>389</v>
      </c>
      <c r="B385">
        <v>0.99472303558308395</v>
      </c>
      <c r="C385">
        <v>1.16912904982385</v>
      </c>
      <c r="D385">
        <v>1.06243269904485</v>
      </c>
      <c r="E385">
        <v>0.73414499986466097</v>
      </c>
      <c r="F385">
        <v>0.62069608334266901</v>
      </c>
      <c r="G385">
        <v>0.26070428601739598</v>
      </c>
      <c r="H385">
        <v>0.121784431350262</v>
      </c>
      <c r="I385">
        <v>6.9543205499154506E-2</v>
      </c>
      <c r="J385">
        <v>6.5869712866911498E-2</v>
      </c>
      <c r="K385">
        <v>4.8321777566397099E-2</v>
      </c>
      <c r="L385">
        <v>947.84888029427805</v>
      </c>
      <c r="M385">
        <v>18.703738082595301</v>
      </c>
      <c r="N385">
        <v>50.877418366905097</v>
      </c>
      <c r="O385">
        <v>50.108334481950997</v>
      </c>
      <c r="P385">
        <v>-9.0005852691942403E-2</v>
      </c>
      <c r="Q385">
        <v>3.5518560529980703E-2</v>
      </c>
      <c r="R385">
        <v>0.96985118114645696</v>
      </c>
      <c r="S385" t="s">
        <v>6953</v>
      </c>
      <c r="T385" t="s">
        <v>13134</v>
      </c>
      <c r="U385" t="s">
        <v>13134</v>
      </c>
      <c r="V385" t="s">
        <v>13134</v>
      </c>
      <c r="W385" t="s">
        <v>13516</v>
      </c>
      <c r="X385">
        <v>4</v>
      </c>
      <c r="Y385" t="s">
        <v>20008</v>
      </c>
      <c r="Z385" t="s">
        <v>26353</v>
      </c>
      <c r="AA385">
        <v>0.48937523054581422</v>
      </c>
      <c r="AB385" t="str">
        <f>HYPERLINK("Melting_Curves/meltCurve_D3YTB1_RPL32.pdf", "Melting_Curves/meltCurve_D3YTB1_RPL32.pdf")</f>
        <v>Melting_Curves/meltCurve_D3YTB1_RPL32.pdf</v>
      </c>
    </row>
    <row r="386" spans="1:28" x14ac:dyDescent="0.25">
      <c r="A386" t="s">
        <v>390</v>
      </c>
      <c r="B386">
        <v>0.99472303558308395</v>
      </c>
      <c r="C386">
        <v>0.75208151827747205</v>
      </c>
      <c r="D386">
        <v>0.48346506413930701</v>
      </c>
      <c r="E386">
        <v>0.140267262769142</v>
      </c>
      <c r="F386">
        <v>5.4882101136271802E-2</v>
      </c>
      <c r="G386">
        <v>2.3681562654122398E-2</v>
      </c>
      <c r="H386">
        <v>2.4178831815428799E-2</v>
      </c>
      <c r="I386">
        <v>1.44825798650298E-2</v>
      </c>
      <c r="J386">
        <v>1.52990883986451E-2</v>
      </c>
      <c r="K386">
        <v>1.5266284219134601E-2</v>
      </c>
      <c r="L386">
        <v>848.64890541686202</v>
      </c>
      <c r="M386">
        <v>19.947448964133201</v>
      </c>
      <c r="N386">
        <v>42.595569658559</v>
      </c>
      <c r="O386">
        <v>42.123579259701302</v>
      </c>
      <c r="P386">
        <v>-0.116984232023677</v>
      </c>
      <c r="Q386">
        <v>1.1877239865682799E-2</v>
      </c>
      <c r="R386">
        <v>0.99601811661778294</v>
      </c>
      <c r="S386" t="s">
        <v>6954</v>
      </c>
      <c r="T386" t="s">
        <v>13134</v>
      </c>
      <c r="U386" t="s">
        <v>13134</v>
      </c>
      <c r="V386" t="s">
        <v>13134</v>
      </c>
      <c r="W386" t="s">
        <v>13517</v>
      </c>
      <c r="X386">
        <v>2</v>
      </c>
      <c r="Y386" t="s">
        <v>20009</v>
      </c>
      <c r="Z386" t="s">
        <v>26354</v>
      </c>
      <c r="AA386">
        <v>0.20877511715024319</v>
      </c>
      <c r="AB386" t="str">
        <f>HYPERLINK("Melting_Curves/meltCurve_D3YTB5_IRAK1.pdf", "Melting_Curves/meltCurve_D3YTB5_IRAK1.pdf")</f>
        <v>Melting_Curves/meltCurve_D3YTB5_IRAK1.pdf</v>
      </c>
    </row>
    <row r="387" spans="1:28" x14ac:dyDescent="0.25">
      <c r="A387" t="s">
        <v>391</v>
      </c>
      <c r="B387">
        <v>0.99472303558308395</v>
      </c>
      <c r="C387">
        <v>0.936386621691083</v>
      </c>
      <c r="D387">
        <v>0.96285279982664096</v>
      </c>
      <c r="E387">
        <v>0.92626004301623499</v>
      </c>
      <c r="F387">
        <v>0.74577151021684795</v>
      </c>
      <c r="G387">
        <v>0.45740867823489201</v>
      </c>
      <c r="H387">
        <v>0.16518046556986599</v>
      </c>
      <c r="I387">
        <v>8.1185744422911404E-2</v>
      </c>
      <c r="J387">
        <v>5.2888290673669403E-2</v>
      </c>
      <c r="K387">
        <v>5.43905528959088E-2</v>
      </c>
      <c r="L387">
        <v>1045.1164862916401</v>
      </c>
      <c r="M387">
        <v>19.750945532506002</v>
      </c>
      <c r="N387">
        <v>53.034762941167102</v>
      </c>
      <c r="O387">
        <v>52.381274927686697</v>
      </c>
      <c r="P387">
        <v>-9.2208377334980204E-2</v>
      </c>
      <c r="Q387">
        <v>2.18539977818453E-2</v>
      </c>
      <c r="R387">
        <v>0.99580677797588402</v>
      </c>
      <c r="S387" t="s">
        <v>6955</v>
      </c>
      <c r="T387" t="s">
        <v>13134</v>
      </c>
      <c r="U387" t="s">
        <v>13134</v>
      </c>
      <c r="V387" t="s">
        <v>13134</v>
      </c>
      <c r="W387" t="s">
        <v>13518</v>
      </c>
      <c r="X387">
        <v>7</v>
      </c>
      <c r="Y387" t="s">
        <v>20010</v>
      </c>
      <c r="Z387" t="s">
        <v>26355</v>
      </c>
      <c r="AA387">
        <v>0.55333230865205207</v>
      </c>
      <c r="AB387" t="str">
        <f>HYPERLINK("Melting_Curves/meltCurve_D3YTG6_NDOR1.pdf", "Melting_Curves/meltCurve_D3YTG6_NDOR1.pdf")</f>
        <v>Melting_Curves/meltCurve_D3YTG6_NDOR1.pdf</v>
      </c>
    </row>
    <row r="388" spans="1:28" x14ac:dyDescent="0.25">
      <c r="A388" t="s">
        <v>392</v>
      </c>
      <c r="B388">
        <v>0.99472303558308395</v>
      </c>
      <c r="C388">
        <v>0.73519421868016699</v>
      </c>
      <c r="D388">
        <v>0.98183377482048995</v>
      </c>
      <c r="E388">
        <v>0.68645254262000899</v>
      </c>
      <c r="F388">
        <v>0.379394596406123</v>
      </c>
      <c r="G388">
        <v>0.17719850666831299</v>
      </c>
      <c r="H388">
        <v>0.104924860126394</v>
      </c>
      <c r="I388">
        <v>3.3320565054906499E-2</v>
      </c>
      <c r="J388">
        <v>5.2077133327686001E-2</v>
      </c>
      <c r="K388">
        <v>4.2921120246736597E-2</v>
      </c>
      <c r="L388">
        <v>784.574933679217</v>
      </c>
      <c r="M388">
        <v>16.129418706547298</v>
      </c>
      <c r="N388">
        <v>48.760618472330698</v>
      </c>
      <c r="O388">
        <v>47.913206025219999</v>
      </c>
      <c r="P388">
        <v>-8.2553137613693303E-2</v>
      </c>
      <c r="Q388">
        <v>1.9162433838508901E-2</v>
      </c>
      <c r="R388">
        <v>0.95363158528305103</v>
      </c>
      <c r="S388" t="s">
        <v>6956</v>
      </c>
      <c r="T388" t="s">
        <v>13134</v>
      </c>
      <c r="U388" t="s">
        <v>13134</v>
      </c>
      <c r="V388" t="s">
        <v>13134</v>
      </c>
      <c r="W388" t="s">
        <v>13519</v>
      </c>
      <c r="X388">
        <v>2</v>
      </c>
      <c r="Y388" t="s">
        <v>20011</v>
      </c>
      <c r="Z388" t="s">
        <v>26356</v>
      </c>
      <c r="AA388">
        <v>0.41869901279837263</v>
      </c>
      <c r="AB388" t="str">
        <f>HYPERLINK("Melting_Curves/meltCurve_D3YTI9_TAPBP.pdf", "Melting_Curves/meltCurve_D3YTI9_TAPBP.pdf")</f>
        <v>Melting_Curves/meltCurve_D3YTI9_TAPBP.pdf</v>
      </c>
    </row>
    <row r="389" spans="1:28" x14ac:dyDescent="0.25">
      <c r="A389" t="s">
        <v>393</v>
      </c>
      <c r="B389">
        <v>0.99472303558308395</v>
      </c>
      <c r="C389">
        <v>1.0462756759299101</v>
      </c>
      <c r="D389">
        <v>0.91243004849595599</v>
      </c>
      <c r="E389">
        <v>0.89465205822687799</v>
      </c>
      <c r="F389">
        <v>0.86256398786016597</v>
      </c>
      <c r="G389">
        <v>0.50417760983186399</v>
      </c>
      <c r="H389">
        <v>0.35542712332848297</v>
      </c>
      <c r="I389">
        <v>0.36811473111757298</v>
      </c>
      <c r="J389">
        <v>0.42036159869252199</v>
      </c>
      <c r="K389">
        <v>0.35045532457467299</v>
      </c>
      <c r="L389">
        <v>1790.3773662866499</v>
      </c>
      <c r="M389">
        <v>34.544971977274102</v>
      </c>
      <c r="N389">
        <v>53.899950813110301</v>
      </c>
      <c r="O389">
        <v>51.654682187463401</v>
      </c>
      <c r="P389">
        <v>-0.105743451231293</v>
      </c>
      <c r="Q389">
        <v>0.36753470279567302</v>
      </c>
      <c r="R389">
        <v>0.97063418742153196</v>
      </c>
      <c r="S389" t="s">
        <v>6957</v>
      </c>
      <c r="T389" t="s">
        <v>13134</v>
      </c>
      <c r="U389" t="s">
        <v>13134</v>
      </c>
      <c r="V389" t="s">
        <v>13134</v>
      </c>
      <c r="W389" t="s">
        <v>13520</v>
      </c>
      <c r="X389">
        <v>10</v>
      </c>
      <c r="Y389" t="s">
        <v>20012</v>
      </c>
      <c r="Z389" t="s">
        <v>26357</v>
      </c>
      <c r="AA389">
        <v>0.68315444694946792</v>
      </c>
      <c r="AB389" t="str">
        <f>HYPERLINK("Melting_Curves/meltCurve_D6R9P3_HNRNPAB.pdf", "Melting_Curves/meltCurve_D6R9P3_HNRNPAB.pdf")</f>
        <v>Melting_Curves/meltCurve_D6R9P3_HNRNPAB.pdf</v>
      </c>
    </row>
    <row r="390" spans="1:28" x14ac:dyDescent="0.25">
      <c r="A390" t="s">
        <v>394</v>
      </c>
      <c r="B390">
        <v>0.99472303558308395</v>
      </c>
      <c r="C390">
        <v>1.17524287766375</v>
      </c>
      <c r="D390">
        <v>0.922827398463545</v>
      </c>
      <c r="E390">
        <v>0.78747977409666503</v>
      </c>
      <c r="F390">
        <v>0.75402694362207501</v>
      </c>
      <c r="G390">
        <v>0.45170373524706098</v>
      </c>
      <c r="H390">
        <v>0.28981713316367003</v>
      </c>
      <c r="I390">
        <v>0.27444911131225003</v>
      </c>
      <c r="J390">
        <v>0.33008123543291901</v>
      </c>
      <c r="K390">
        <v>0.28734478351238502</v>
      </c>
      <c r="L390">
        <v>882.93019046986899</v>
      </c>
      <c r="M390">
        <v>17.380277310057899</v>
      </c>
      <c r="N390">
        <v>53.058818199818198</v>
      </c>
      <c r="O390">
        <v>50.1424723134635</v>
      </c>
      <c r="P390">
        <v>-6.4009397311957497E-2</v>
      </c>
      <c r="Q390">
        <v>0.26136775334423601</v>
      </c>
      <c r="R390">
        <v>0.94537802731279297</v>
      </c>
      <c r="S390" t="s">
        <v>6958</v>
      </c>
      <c r="T390" t="s">
        <v>13134</v>
      </c>
      <c r="U390" t="s">
        <v>13134</v>
      </c>
      <c r="V390" t="s">
        <v>13134</v>
      </c>
      <c r="W390" t="s">
        <v>13521</v>
      </c>
      <c r="X390">
        <v>2</v>
      </c>
      <c r="Y390" t="s">
        <v>20013</v>
      </c>
      <c r="Z390" t="s">
        <v>26358</v>
      </c>
      <c r="AA390">
        <v>0.61329562943501947</v>
      </c>
      <c r="AB390" t="str">
        <f>HYPERLINK("Melting_Curves/meltCurve_D6R9U7_POLR3G.pdf", "Melting_Curves/meltCurve_D6R9U7_POLR3G.pdf")</f>
        <v>Melting_Curves/meltCurve_D6R9U7_POLR3G.pdf</v>
      </c>
    </row>
    <row r="391" spans="1:28" x14ac:dyDescent="0.25">
      <c r="A391" t="s">
        <v>395</v>
      </c>
      <c r="B391">
        <v>0.99472303558308395</v>
      </c>
      <c r="C391">
        <v>0.94414627939338602</v>
      </c>
      <c r="D391">
        <v>0.77872976296074703</v>
      </c>
      <c r="E391">
        <v>0.72698701619024397</v>
      </c>
      <c r="F391">
        <v>0.67535015744680704</v>
      </c>
      <c r="G391">
        <v>0.43491597364196</v>
      </c>
      <c r="H391">
        <v>0.36678325930122502</v>
      </c>
      <c r="I391">
        <v>0.39958187492095498</v>
      </c>
      <c r="J391">
        <v>0.56356942927796105</v>
      </c>
      <c r="K391">
        <v>0.62127219639846698</v>
      </c>
      <c r="L391">
        <v>662.479336929071</v>
      </c>
      <c r="M391">
        <v>14.610371136147499</v>
      </c>
      <c r="N391">
        <v>57.602297169320103</v>
      </c>
      <c r="O391">
        <v>44.5190369336892</v>
      </c>
      <c r="P391">
        <v>-4.2858277017451402E-2</v>
      </c>
      <c r="Q391">
        <v>0.477687307226626</v>
      </c>
      <c r="R391">
        <v>0.82597043033505202</v>
      </c>
      <c r="S391" t="s">
        <v>6959</v>
      </c>
      <c r="T391" t="s">
        <v>13134</v>
      </c>
      <c r="U391" t="s">
        <v>13134</v>
      </c>
      <c r="V391" t="s">
        <v>13134</v>
      </c>
      <c r="W391" t="s">
        <v>13522</v>
      </c>
      <c r="X391">
        <v>3</v>
      </c>
      <c r="Y391" t="s">
        <v>20014</v>
      </c>
      <c r="Z391" t="s">
        <v>26359</v>
      </c>
      <c r="AA391">
        <v>0.63587048199621066</v>
      </c>
      <c r="AB391" t="str">
        <f>HYPERLINK("Melting_Curves/meltCurve_D6R9Z7_COX7C.pdf", "Melting_Curves/meltCurve_D6R9Z7_COX7C.pdf")</f>
        <v>Melting_Curves/meltCurve_D6R9Z7_COX7C.pdf</v>
      </c>
    </row>
    <row r="392" spans="1:28" x14ac:dyDescent="0.25">
      <c r="A392" t="s">
        <v>396</v>
      </c>
      <c r="B392">
        <v>0.99472303558308395</v>
      </c>
      <c r="C392">
        <v>0.96420206686446397</v>
      </c>
      <c r="D392">
        <v>0.86560910153066895</v>
      </c>
      <c r="E392">
        <v>0.79982547259156</v>
      </c>
      <c r="F392">
        <v>0.46969992105157299</v>
      </c>
      <c r="G392">
        <v>0.236714622561182</v>
      </c>
      <c r="H392">
        <v>0.111566865570662</v>
      </c>
      <c r="I392">
        <v>0.100461907377233</v>
      </c>
      <c r="J392">
        <v>0.13113057933955</v>
      </c>
      <c r="K392">
        <v>9.4475830432671104E-2</v>
      </c>
      <c r="L392">
        <v>899.137810758515</v>
      </c>
      <c r="M392">
        <v>18.2412442695714</v>
      </c>
      <c r="N392">
        <v>49.778572437446797</v>
      </c>
      <c r="O392">
        <v>48.7105546195966</v>
      </c>
      <c r="P392">
        <v>-8.5972475877242896E-2</v>
      </c>
      <c r="Q392">
        <v>8.1736126318193006E-2</v>
      </c>
      <c r="R392">
        <v>0.99245428820319104</v>
      </c>
      <c r="S392" t="s">
        <v>6960</v>
      </c>
      <c r="T392" t="s">
        <v>13134</v>
      </c>
      <c r="U392" t="s">
        <v>13134</v>
      </c>
      <c r="V392" t="s">
        <v>13134</v>
      </c>
      <c r="W392" t="s">
        <v>13523</v>
      </c>
      <c r="X392">
        <v>4</v>
      </c>
      <c r="Y392" t="s">
        <v>20015</v>
      </c>
      <c r="Z392" t="s">
        <v>26360</v>
      </c>
      <c r="AA392">
        <v>0.47220144507432449</v>
      </c>
      <c r="AB392" t="str">
        <f>HYPERLINK("Melting_Curves/meltCurve_D6RAM3_DOK3.pdf", "Melting_Curves/meltCurve_D6RAM3_DOK3.pdf")</f>
        <v>Melting_Curves/meltCurve_D6RAM3_DOK3.pdf</v>
      </c>
    </row>
    <row r="393" spans="1:28" x14ac:dyDescent="0.25">
      <c r="A393" t="s">
        <v>397</v>
      </c>
      <c r="B393">
        <v>0.99472303558308395</v>
      </c>
      <c r="C393">
        <v>0.73052870138220805</v>
      </c>
      <c r="D393">
        <v>0.66323676050078095</v>
      </c>
      <c r="E393">
        <v>0.56661514989341399</v>
      </c>
      <c r="F393">
        <v>0.57650645031520198</v>
      </c>
      <c r="G393">
        <v>0.22127577100966001</v>
      </c>
      <c r="H393">
        <v>9.6961719415815398E-2</v>
      </c>
      <c r="I393">
        <v>4.6856513497931698E-2</v>
      </c>
      <c r="J393">
        <v>3.8589331112938302E-2</v>
      </c>
      <c r="K393">
        <v>4.0153425964900603E-2</v>
      </c>
      <c r="L393">
        <v>436.56577350672399</v>
      </c>
      <c r="M393">
        <v>9.1905156252252507</v>
      </c>
      <c r="N393">
        <v>47.501790103510899</v>
      </c>
      <c r="O393">
        <v>45.415083044763001</v>
      </c>
      <c r="P393">
        <v>-5.0625697009384601E-2</v>
      </c>
      <c r="Q393">
        <v>0</v>
      </c>
      <c r="R393">
        <v>0.93103015254763699</v>
      </c>
      <c r="S393" t="s">
        <v>6961</v>
      </c>
      <c r="T393" t="s">
        <v>13134</v>
      </c>
      <c r="U393" t="s">
        <v>13134</v>
      </c>
      <c r="V393" t="s">
        <v>13134</v>
      </c>
      <c r="W393" t="s">
        <v>13524</v>
      </c>
      <c r="X393">
        <v>1</v>
      </c>
      <c r="Y393" t="s">
        <v>20016</v>
      </c>
      <c r="Z393" t="s">
        <v>26361</v>
      </c>
      <c r="AA393">
        <v>0.39649844581449839</v>
      </c>
      <c r="AB393" t="str">
        <f>HYPERLINK("Melting_Curves/meltCurve_D6RAR3_TMEM161B.pdf", "Melting_Curves/meltCurve_D6RAR3_TMEM161B.pdf")</f>
        <v>Melting_Curves/meltCurve_D6RAR3_TMEM161B.pdf</v>
      </c>
    </row>
    <row r="394" spans="1:28" x14ac:dyDescent="0.25">
      <c r="A394" t="s">
        <v>398</v>
      </c>
      <c r="B394">
        <v>0.99472303558308395</v>
      </c>
      <c r="C394">
        <v>1.0026176112227501</v>
      </c>
      <c r="D394">
        <v>0.82991628004920304</v>
      </c>
      <c r="E394">
        <v>0.67143283447118696</v>
      </c>
      <c r="F394">
        <v>0.52481044684158396</v>
      </c>
      <c r="G394">
        <v>0.19813314333479701</v>
      </c>
      <c r="H394">
        <v>0.19967449509183399</v>
      </c>
      <c r="I394">
        <v>0.10733074469095499</v>
      </c>
      <c r="J394">
        <v>0.117630382788089</v>
      </c>
      <c r="K394">
        <v>8.6742945725849896E-2</v>
      </c>
      <c r="L394">
        <v>662.07438544365596</v>
      </c>
      <c r="M394">
        <v>13.5255855842736</v>
      </c>
      <c r="N394">
        <v>49.433680111459502</v>
      </c>
      <c r="O394">
        <v>47.916928562918898</v>
      </c>
      <c r="P394">
        <v>-6.6202326905540204E-2</v>
      </c>
      <c r="Q394">
        <v>6.2005263928988197E-2</v>
      </c>
      <c r="R394">
        <v>0.98699404882556596</v>
      </c>
      <c r="S394" t="s">
        <v>6962</v>
      </c>
      <c r="T394" t="s">
        <v>13134</v>
      </c>
      <c r="U394" t="s">
        <v>13134</v>
      </c>
      <c r="V394" t="s">
        <v>13134</v>
      </c>
      <c r="W394" t="s">
        <v>13525</v>
      </c>
      <c r="X394">
        <v>1</v>
      </c>
      <c r="Y394" t="s">
        <v>20017</v>
      </c>
      <c r="Z394" t="s">
        <v>26362</v>
      </c>
      <c r="AA394">
        <v>0.45927908597735251</v>
      </c>
      <c r="AB394" t="str">
        <f>HYPERLINK("Melting_Curves/meltCurve_D6RBC9_NMU.pdf", "Melting_Curves/meltCurve_D6RBC9_NMU.pdf")</f>
        <v>Melting_Curves/meltCurve_D6RBC9_NMU.pdf</v>
      </c>
    </row>
    <row r="395" spans="1:28" x14ac:dyDescent="0.25">
      <c r="A395" t="s">
        <v>399</v>
      </c>
      <c r="B395">
        <v>0.99472303558308395</v>
      </c>
      <c r="C395">
        <v>0.99670277117049699</v>
      </c>
      <c r="D395">
        <v>0.983774031246613</v>
      </c>
      <c r="E395">
        <v>0.93371690369949401</v>
      </c>
      <c r="F395">
        <v>0.65852064310515701</v>
      </c>
      <c r="G395">
        <v>0.31537139558216598</v>
      </c>
      <c r="H395">
        <v>9.3247291648104996E-2</v>
      </c>
      <c r="I395">
        <v>7.8633007449071701E-2</v>
      </c>
      <c r="J395">
        <v>9.3900863512372798E-2</v>
      </c>
      <c r="K395">
        <v>6.52525459553909E-2</v>
      </c>
      <c r="L395">
        <v>1275.4840043577001</v>
      </c>
      <c r="M395">
        <v>24.819205637906801</v>
      </c>
      <c r="N395">
        <v>51.672646077419301</v>
      </c>
      <c r="O395">
        <v>51.060864555234602</v>
      </c>
      <c r="P395">
        <v>-0.113832172146871</v>
      </c>
      <c r="Q395">
        <v>6.3259526571909794E-2</v>
      </c>
      <c r="R395">
        <v>0.99857757131912095</v>
      </c>
      <c r="S395" t="s">
        <v>6963</v>
      </c>
      <c r="T395" t="s">
        <v>13134</v>
      </c>
      <c r="U395" t="s">
        <v>13134</v>
      </c>
      <c r="V395" t="s">
        <v>13134</v>
      </c>
      <c r="W395" t="s">
        <v>13526</v>
      </c>
      <c r="X395">
        <v>9</v>
      </c>
      <c r="Y395" t="s">
        <v>20018</v>
      </c>
      <c r="Z395" t="s">
        <v>26363</v>
      </c>
      <c r="AA395">
        <v>0.52100841815021182</v>
      </c>
      <c r="AB395" t="str">
        <f>HYPERLINK("Melting_Curves/meltCurve_D6RBS5_ELMOD2.pdf", "Melting_Curves/meltCurve_D6RBS5_ELMOD2.pdf")</f>
        <v>Melting_Curves/meltCurve_D6RBS5_ELMOD2.pdf</v>
      </c>
    </row>
    <row r="396" spans="1:28" x14ac:dyDescent="0.25">
      <c r="A396" t="s">
        <v>400</v>
      </c>
      <c r="B396">
        <v>0.99472303558308395</v>
      </c>
      <c r="C396">
        <v>0.98419731888214501</v>
      </c>
      <c r="D396">
        <v>0.99512994144161804</v>
      </c>
      <c r="E396">
        <v>0.92185895254833405</v>
      </c>
      <c r="F396">
        <v>0.64825969272275796</v>
      </c>
      <c r="G396">
        <v>0.39794679062882199</v>
      </c>
      <c r="H396">
        <v>0.13594884576810601</v>
      </c>
      <c r="I396">
        <v>6.6636527912498897E-2</v>
      </c>
      <c r="J396">
        <v>0.10721039272093801</v>
      </c>
      <c r="K396">
        <v>6.1616852683418002E-2</v>
      </c>
      <c r="L396">
        <v>1045.3740976307599</v>
      </c>
      <c r="M396">
        <v>20.173729268348399</v>
      </c>
      <c r="N396">
        <v>52.099440708764902</v>
      </c>
      <c r="O396">
        <v>51.3174593518251</v>
      </c>
      <c r="P396">
        <v>-9.3218299978855904E-2</v>
      </c>
      <c r="Q396">
        <v>5.1523470809333997E-2</v>
      </c>
      <c r="R396">
        <v>0.99624837531035004</v>
      </c>
      <c r="S396" t="s">
        <v>6964</v>
      </c>
      <c r="T396" t="s">
        <v>13134</v>
      </c>
      <c r="U396" t="s">
        <v>13134</v>
      </c>
      <c r="V396" t="s">
        <v>13134</v>
      </c>
      <c r="W396" t="s">
        <v>13527</v>
      </c>
      <c r="X396">
        <v>11</v>
      </c>
      <c r="Y396" t="s">
        <v>20019</v>
      </c>
      <c r="Z396" t="s">
        <v>26364</v>
      </c>
      <c r="AA396">
        <v>0.5321465195526347</v>
      </c>
      <c r="AB396" t="str">
        <f>HYPERLINK("Melting_Curves/meltCurve_D6RBW1_EIF4E.pdf", "Melting_Curves/meltCurve_D6RBW1_EIF4E.pdf")</f>
        <v>Melting_Curves/meltCurve_D6RBW1_EIF4E.pdf</v>
      </c>
    </row>
    <row r="397" spans="1:28" x14ac:dyDescent="0.25">
      <c r="A397" t="s">
        <v>401</v>
      </c>
      <c r="B397">
        <v>0.99472303558308395</v>
      </c>
      <c r="C397">
        <v>0.90903002459123605</v>
      </c>
      <c r="D397">
        <v>0.93301716390618605</v>
      </c>
      <c r="E397">
        <v>0.88895572087351904</v>
      </c>
      <c r="F397">
        <v>0.68717963134925397</v>
      </c>
      <c r="G397">
        <v>0.48167043555445899</v>
      </c>
      <c r="H397">
        <v>0.21008494048781401</v>
      </c>
      <c r="I397">
        <v>0.12242199842233201</v>
      </c>
      <c r="J397">
        <v>9.4518576617264802E-2</v>
      </c>
      <c r="K397">
        <v>0.119376667456547</v>
      </c>
      <c r="L397">
        <v>818.71511102039199</v>
      </c>
      <c r="M397">
        <v>15.5764943922645</v>
      </c>
      <c r="N397">
        <v>52.902907545193301</v>
      </c>
      <c r="O397">
        <v>51.717460689748997</v>
      </c>
      <c r="P397">
        <v>-7.1696112192365005E-2</v>
      </c>
      <c r="Q397">
        <v>4.78937117320168E-2</v>
      </c>
      <c r="R397">
        <v>0.98914436527155702</v>
      </c>
      <c r="S397" t="s">
        <v>6965</v>
      </c>
      <c r="T397" t="s">
        <v>13134</v>
      </c>
      <c r="U397" t="s">
        <v>13134</v>
      </c>
      <c r="V397" t="s">
        <v>13134</v>
      </c>
      <c r="W397" t="s">
        <v>13528</v>
      </c>
      <c r="X397">
        <v>8</v>
      </c>
      <c r="Y397" t="s">
        <v>20020</v>
      </c>
      <c r="Z397" t="s">
        <v>26365</v>
      </c>
      <c r="AA397">
        <v>0.55861652414178231</v>
      </c>
      <c r="AB397" t="str">
        <f>HYPERLINK("Melting_Curves/meltCurve_D6RCD0_HSD17B11.pdf", "Melting_Curves/meltCurve_D6RCD0_HSD17B11.pdf")</f>
        <v>Melting_Curves/meltCurve_D6RCD0_HSD17B11.pdf</v>
      </c>
    </row>
    <row r="398" spans="1:28" x14ac:dyDescent="0.25">
      <c r="A398" t="s">
        <v>402</v>
      </c>
      <c r="B398">
        <v>0.99472303558308395</v>
      </c>
      <c r="C398">
        <v>0.954937512507266</v>
      </c>
      <c r="D398">
        <v>0.64950766712442098</v>
      </c>
      <c r="E398">
        <v>0.56148992945576204</v>
      </c>
      <c r="F398">
        <v>0.147749471231264</v>
      </c>
      <c r="G398">
        <v>4.3343976811552297E-2</v>
      </c>
      <c r="H398">
        <v>2.2548826096722801E-2</v>
      </c>
      <c r="I398">
        <v>1.71909755459057E-2</v>
      </c>
      <c r="J398">
        <v>2.9300421668393702E-2</v>
      </c>
      <c r="K398">
        <v>2.9250939148706499E-2</v>
      </c>
      <c r="L398">
        <v>743.00797013520196</v>
      </c>
      <c r="M398">
        <v>16.168774604504801</v>
      </c>
      <c r="N398">
        <v>45.9532621807232</v>
      </c>
      <c r="O398">
        <v>45.267571972119903</v>
      </c>
      <c r="P398">
        <v>-8.9302284884521604E-2</v>
      </c>
      <c r="Q398">
        <v>0</v>
      </c>
      <c r="R398">
        <v>0.97847087562199897</v>
      </c>
      <c r="S398" t="s">
        <v>6966</v>
      </c>
      <c r="T398" t="s">
        <v>13134</v>
      </c>
      <c r="U398" t="s">
        <v>13134</v>
      </c>
      <c r="V398" t="s">
        <v>13134</v>
      </c>
      <c r="W398" t="s">
        <v>13529</v>
      </c>
      <c r="X398">
        <v>1</v>
      </c>
      <c r="Y398" t="s">
        <v>20021</v>
      </c>
      <c r="Z398" t="s">
        <v>26366</v>
      </c>
      <c r="AA398">
        <v>0.31842836741521963</v>
      </c>
      <c r="AB398" t="str">
        <f>HYPERLINK("Melting_Curves/meltCurve_D6RCQ0_EEF1E1.pdf", "Melting_Curves/meltCurve_D6RCQ0_EEF1E1.pdf")</f>
        <v>Melting_Curves/meltCurve_D6RCQ0_EEF1E1.pdf</v>
      </c>
    </row>
    <row r="399" spans="1:28" x14ac:dyDescent="0.25">
      <c r="A399" t="s">
        <v>403</v>
      </c>
      <c r="B399">
        <v>0.99472303558308395</v>
      </c>
      <c r="C399">
        <v>0.90322819170305502</v>
      </c>
      <c r="D399">
        <v>0.750518194945894</v>
      </c>
      <c r="E399">
        <v>0.73896577410518105</v>
      </c>
      <c r="F399">
        <v>0.672603334551928</v>
      </c>
      <c r="G399">
        <v>0.27790042078817101</v>
      </c>
      <c r="H399">
        <v>0.16021182410757301</v>
      </c>
      <c r="I399">
        <v>0.106957790317111</v>
      </c>
      <c r="J399">
        <v>7.6280250472708006E-2</v>
      </c>
      <c r="K399">
        <v>7.0303189367684704E-2</v>
      </c>
      <c r="L399">
        <v>562.85182078717401</v>
      </c>
      <c r="M399">
        <v>11.125202508345501</v>
      </c>
      <c r="N399">
        <v>50.592500070078898</v>
      </c>
      <c r="O399">
        <v>49.040397510609502</v>
      </c>
      <c r="P399">
        <v>-5.6732797779632797E-2</v>
      </c>
      <c r="Q399">
        <v>0</v>
      </c>
      <c r="R399">
        <v>0.96053401416807105</v>
      </c>
      <c r="S399" t="s">
        <v>6967</v>
      </c>
      <c r="T399" t="s">
        <v>13134</v>
      </c>
      <c r="U399" t="s">
        <v>13134</v>
      </c>
      <c r="V399" t="s">
        <v>13134</v>
      </c>
      <c r="W399" t="s">
        <v>13530</v>
      </c>
      <c r="X399">
        <v>5</v>
      </c>
      <c r="Y399" t="s">
        <v>20022</v>
      </c>
      <c r="Z399" t="s">
        <v>26367</v>
      </c>
      <c r="AA399">
        <v>0.48209810181967477</v>
      </c>
      <c r="AB399" t="str">
        <f>HYPERLINK("Melting_Curves/meltCurve_D6RCQ8_PGM3.pdf", "Melting_Curves/meltCurve_D6RCQ8_PGM3.pdf")</f>
        <v>Melting_Curves/meltCurve_D6RCQ8_PGM3.pdf</v>
      </c>
    </row>
    <row r="400" spans="1:28" x14ac:dyDescent="0.25">
      <c r="A400" t="s">
        <v>404</v>
      </c>
      <c r="B400">
        <v>0.99472303558308395</v>
      </c>
      <c r="C400">
        <v>1.02303789586575</v>
      </c>
      <c r="D400">
        <v>0.99869081621449896</v>
      </c>
      <c r="E400">
        <v>0.65434242646118101</v>
      </c>
      <c r="F400">
        <v>0.47321125997552799</v>
      </c>
      <c r="G400">
        <v>0.235700147096047</v>
      </c>
      <c r="H400">
        <v>8.4425679553843697E-2</v>
      </c>
      <c r="I400">
        <v>0</v>
      </c>
      <c r="J400">
        <v>0</v>
      </c>
      <c r="K400">
        <v>4.5015048336874301E-2</v>
      </c>
      <c r="L400">
        <v>816.176409178227</v>
      </c>
      <c r="M400">
        <v>16.494771190614699</v>
      </c>
      <c r="N400">
        <v>49.480917341301499</v>
      </c>
      <c r="O400">
        <v>48.770806972727797</v>
      </c>
      <c r="P400">
        <v>-8.4558377824170597E-2</v>
      </c>
      <c r="Q400">
        <v>0</v>
      </c>
      <c r="R400">
        <v>0.98891690451502201</v>
      </c>
      <c r="S400" t="s">
        <v>6968</v>
      </c>
      <c r="T400" t="s">
        <v>13134</v>
      </c>
      <c r="U400" t="s">
        <v>13134</v>
      </c>
      <c r="V400" t="s">
        <v>13134</v>
      </c>
      <c r="W400" t="s">
        <v>13531</v>
      </c>
      <c r="X400">
        <v>1</v>
      </c>
      <c r="Y400" t="s">
        <v>20023</v>
      </c>
      <c r="Z400" t="s">
        <v>26368</v>
      </c>
      <c r="AA400">
        <v>0.43433609814685747</v>
      </c>
      <c r="AB400" t="str">
        <f>HYPERLINK("Melting_Curves/meltCurve_D6RD25_PRELID1.pdf", "Melting_Curves/meltCurve_D6RD25_PRELID1.pdf")</f>
        <v>Melting_Curves/meltCurve_D6RD25_PRELID1.pdf</v>
      </c>
    </row>
    <row r="401" spans="1:28" x14ac:dyDescent="0.25">
      <c r="A401" t="s">
        <v>405</v>
      </c>
      <c r="B401">
        <v>0.99472303558308395</v>
      </c>
      <c r="C401">
        <v>1.1632403619465299</v>
      </c>
      <c r="D401">
        <v>0.95419720202855396</v>
      </c>
      <c r="E401">
        <v>0.89434909415854302</v>
      </c>
      <c r="F401">
        <v>0.73508516839370797</v>
      </c>
      <c r="G401">
        <v>0.38850686691188302</v>
      </c>
      <c r="H401">
        <v>0.30613806855403702</v>
      </c>
      <c r="I401">
        <v>0.25858349417048798</v>
      </c>
      <c r="J401">
        <v>0.25448145005156902</v>
      </c>
      <c r="K401">
        <v>0.21709084883617</v>
      </c>
      <c r="L401">
        <v>1184.5897627413799</v>
      </c>
      <c r="M401">
        <v>23.144794284930299</v>
      </c>
      <c r="N401">
        <v>52.6112167771523</v>
      </c>
      <c r="O401">
        <v>50.804202436431801</v>
      </c>
      <c r="P401">
        <v>-8.7310712183819195E-2</v>
      </c>
      <c r="Q401">
        <v>0.233405135941159</v>
      </c>
      <c r="R401">
        <v>0.97319444674515099</v>
      </c>
      <c r="S401" t="s">
        <v>6969</v>
      </c>
      <c r="T401" t="s">
        <v>13134</v>
      </c>
      <c r="U401" t="s">
        <v>13134</v>
      </c>
      <c r="V401" t="s">
        <v>13134</v>
      </c>
      <c r="W401" t="s">
        <v>13532</v>
      </c>
      <c r="X401">
        <v>1</v>
      </c>
      <c r="Y401" t="s">
        <v>20024</v>
      </c>
      <c r="Z401" t="s">
        <v>26369</v>
      </c>
      <c r="AA401">
        <v>0.60358308918179471</v>
      </c>
      <c r="AB401" t="str">
        <f>HYPERLINK("Melting_Curves/meltCurve_D6RDW9_IL2RG.pdf", "Melting_Curves/meltCurve_D6RDW9_IL2RG.pdf")</f>
        <v>Melting_Curves/meltCurve_D6RDW9_IL2RG.pdf</v>
      </c>
    </row>
    <row r="402" spans="1:28" x14ac:dyDescent="0.25">
      <c r="A402" t="s">
        <v>406</v>
      </c>
      <c r="B402">
        <v>0.99472303558308395</v>
      </c>
      <c r="C402">
        <v>1.00057493418034</v>
      </c>
      <c r="D402">
        <v>0.88073258308475899</v>
      </c>
      <c r="E402">
        <v>0.50809336090819501</v>
      </c>
      <c r="F402">
        <v>0.18916737457188901</v>
      </c>
      <c r="G402">
        <v>0.102535171951618</v>
      </c>
      <c r="H402">
        <v>6.5505847793565705E-2</v>
      </c>
      <c r="I402">
        <v>4.6846908991995402E-2</v>
      </c>
      <c r="J402">
        <v>4.67819084040298E-2</v>
      </c>
      <c r="K402">
        <v>4.1730383133761102E-2</v>
      </c>
      <c r="L402">
        <v>1102.2621974219501</v>
      </c>
      <c r="M402">
        <v>23.706906456759601</v>
      </c>
      <c r="N402">
        <v>46.701040339725999</v>
      </c>
      <c r="O402">
        <v>46.1683587951742</v>
      </c>
      <c r="P402">
        <v>-0.122011739227895</v>
      </c>
      <c r="Q402">
        <v>4.95616544828004E-2</v>
      </c>
      <c r="R402">
        <v>0.99947972036711397</v>
      </c>
      <c r="S402" t="s">
        <v>6970</v>
      </c>
      <c r="T402" t="s">
        <v>13134</v>
      </c>
      <c r="U402" t="s">
        <v>13134</v>
      </c>
      <c r="V402" t="s">
        <v>13134</v>
      </c>
      <c r="W402" t="s">
        <v>13533</v>
      </c>
      <c r="X402">
        <v>8</v>
      </c>
      <c r="Y402" t="s">
        <v>20025</v>
      </c>
      <c r="Z402" t="s">
        <v>26370</v>
      </c>
      <c r="AA402">
        <v>0.35921520672177498</v>
      </c>
      <c r="AB402" t="str">
        <f>HYPERLINK("Melting_Curves/meltCurve_D6REA0_PET112.pdf", "Melting_Curves/meltCurve_D6REA0_PET112.pdf")</f>
        <v>Melting_Curves/meltCurve_D6REA0_PET112.pdf</v>
      </c>
    </row>
    <row r="403" spans="1:28" x14ac:dyDescent="0.25">
      <c r="A403" t="s">
        <v>407</v>
      </c>
      <c r="B403">
        <v>0.99472303558308395</v>
      </c>
      <c r="C403">
        <v>0.95548536665692796</v>
      </c>
      <c r="D403">
        <v>0.73839027399044899</v>
      </c>
      <c r="E403">
        <v>0.60208924505805905</v>
      </c>
      <c r="F403">
        <v>0.52567533578621894</v>
      </c>
      <c r="G403">
        <v>0.189156697487292</v>
      </c>
      <c r="H403">
        <v>0.156032148812384</v>
      </c>
      <c r="I403">
        <v>7.3339219188202104E-2</v>
      </c>
      <c r="J403">
        <v>0.136952046485743</v>
      </c>
      <c r="K403">
        <v>0.137367297390002</v>
      </c>
      <c r="L403">
        <v>565.29734844235804</v>
      </c>
      <c r="M403">
        <v>11.7785726012886</v>
      </c>
      <c r="N403">
        <v>48.513702130566799</v>
      </c>
      <c r="O403">
        <v>46.672968710386002</v>
      </c>
      <c r="P403">
        <v>-5.9364906322972102E-2</v>
      </c>
      <c r="Q403">
        <v>5.9302384594883698E-2</v>
      </c>
      <c r="R403">
        <v>0.97178284847622398</v>
      </c>
      <c r="S403" t="s">
        <v>6971</v>
      </c>
      <c r="T403" t="s">
        <v>13134</v>
      </c>
      <c r="U403" t="s">
        <v>13134</v>
      </c>
      <c r="V403" t="s">
        <v>13134</v>
      </c>
      <c r="W403" t="s">
        <v>13534</v>
      </c>
      <c r="X403">
        <v>1</v>
      </c>
      <c r="Y403" t="s">
        <v>20026</v>
      </c>
      <c r="Z403" t="s">
        <v>26371</v>
      </c>
      <c r="AA403">
        <v>0.43429640980695078</v>
      </c>
      <c r="AB403" t="str">
        <f>HYPERLINK("Melting_Curves/meltCurve_D6REK2_TRIM41.pdf", "Melting_Curves/meltCurve_D6REK2_TRIM41.pdf")</f>
        <v>Melting_Curves/meltCurve_D6REK2_TRIM41.pdf</v>
      </c>
    </row>
    <row r="404" spans="1:28" x14ac:dyDescent="0.25">
      <c r="A404" t="s">
        <v>408</v>
      </c>
      <c r="B404">
        <v>0.99472303558308395</v>
      </c>
      <c r="C404">
        <v>0.87250405362162797</v>
      </c>
      <c r="D404">
        <v>0.83972599037580398</v>
      </c>
      <c r="E404">
        <v>0.77587498077510497</v>
      </c>
      <c r="F404">
        <v>0.661836205583758</v>
      </c>
      <c r="G404">
        <v>0.58697673562847297</v>
      </c>
      <c r="H404">
        <v>0.48688777804257299</v>
      </c>
      <c r="I404">
        <v>0.756749719890081</v>
      </c>
      <c r="J404">
        <v>0.94142674840351204</v>
      </c>
      <c r="K404">
        <v>1.0243806227632499</v>
      </c>
      <c r="L404">
        <v>938.43811440209595</v>
      </c>
      <c r="M404">
        <v>23.0978150041419</v>
      </c>
      <c r="O404">
        <v>40.3280090091096</v>
      </c>
      <c r="P404">
        <v>-3.6050139178710201E-2</v>
      </c>
      <c r="Q404">
        <v>0.74823532560007999</v>
      </c>
      <c r="R404">
        <v>0.216951114491792</v>
      </c>
      <c r="S404" t="s">
        <v>6972</v>
      </c>
      <c r="T404" t="s">
        <v>13134</v>
      </c>
      <c r="U404" t="s">
        <v>13134</v>
      </c>
      <c r="V404" t="s">
        <v>13134</v>
      </c>
      <c r="W404" t="s">
        <v>13535</v>
      </c>
      <c r="X404">
        <v>1</v>
      </c>
      <c r="Y404" t="s">
        <v>20027</v>
      </c>
      <c r="Z404" t="s">
        <v>26372</v>
      </c>
      <c r="AA404">
        <v>0.78196598398535422</v>
      </c>
      <c r="AB404" t="str">
        <f>HYPERLINK("Melting_Curves/meltCurve_D6REL0_CDC42SE2.pdf", "Melting_Curves/meltCurve_D6REL0_CDC42SE2.pdf")</f>
        <v>Melting_Curves/meltCurve_D6REL0_CDC42SE2.pdf</v>
      </c>
    </row>
    <row r="405" spans="1:28" x14ac:dyDescent="0.25">
      <c r="A405" t="s">
        <v>409</v>
      </c>
      <c r="B405">
        <v>0.99472303558308395</v>
      </c>
      <c r="C405">
        <v>0.97884895365456004</v>
      </c>
      <c r="D405">
        <v>0.78850583206073699</v>
      </c>
      <c r="E405">
        <v>0.66583354264641903</v>
      </c>
      <c r="F405">
        <v>0.60102475056237803</v>
      </c>
      <c r="G405">
        <v>0.42165738779082501</v>
      </c>
      <c r="H405">
        <v>0.27317914517193698</v>
      </c>
      <c r="I405">
        <v>0.14958116736218099</v>
      </c>
      <c r="J405">
        <v>3.0588285155974199E-2</v>
      </c>
      <c r="K405">
        <v>8.6659644000055602E-2</v>
      </c>
      <c r="L405">
        <v>497.24427920006099</v>
      </c>
      <c r="M405">
        <v>9.7410828499117894</v>
      </c>
      <c r="N405">
        <v>51.046098623294</v>
      </c>
      <c r="O405">
        <v>49.034186532883403</v>
      </c>
      <c r="P405">
        <v>-4.9691453227223903E-2</v>
      </c>
      <c r="Q405">
        <v>0</v>
      </c>
      <c r="R405">
        <v>0.97915171809583001</v>
      </c>
      <c r="S405" t="s">
        <v>6973</v>
      </c>
      <c r="T405" t="s">
        <v>13134</v>
      </c>
      <c r="U405" t="s">
        <v>13134</v>
      </c>
      <c r="V405" t="s">
        <v>13134</v>
      </c>
      <c r="W405" t="s">
        <v>13536</v>
      </c>
      <c r="X405">
        <v>3</v>
      </c>
      <c r="Y405" t="s">
        <v>20028</v>
      </c>
      <c r="Z405" t="s">
        <v>26373</v>
      </c>
      <c r="AA405">
        <v>0.4990858944265017</v>
      </c>
      <c r="AB405" t="str">
        <f>HYPERLINK("Melting_Curves/meltCurve_D6REL5_FAM175A.pdf", "Melting_Curves/meltCurve_D6REL5_FAM175A.pdf")</f>
        <v>Melting_Curves/meltCurve_D6REL5_FAM175A.pdf</v>
      </c>
    </row>
    <row r="406" spans="1:28" x14ac:dyDescent="0.25">
      <c r="A406" t="s">
        <v>410</v>
      </c>
      <c r="B406">
        <v>0.99472303558308395</v>
      </c>
      <c r="C406">
        <v>0.86578901617105397</v>
      </c>
      <c r="D406">
        <v>0.78957432162539498</v>
      </c>
      <c r="E406">
        <v>0.59260206667150805</v>
      </c>
      <c r="F406">
        <v>0.458292740944161</v>
      </c>
      <c r="G406">
        <v>0.191586772424992</v>
      </c>
      <c r="H406">
        <v>7.3087039430110995E-2</v>
      </c>
      <c r="I406">
        <v>6.6992834395261699E-2</v>
      </c>
      <c r="J406">
        <v>4.8051089653258501E-2</v>
      </c>
      <c r="K406">
        <v>5.8061580275834003E-2</v>
      </c>
      <c r="L406">
        <v>565.15001420679903</v>
      </c>
      <c r="M406">
        <v>11.7432512269854</v>
      </c>
      <c r="N406">
        <v>48.125515156980597</v>
      </c>
      <c r="O406">
        <v>46.793537640480601</v>
      </c>
      <c r="P406">
        <v>-6.2756153920604699E-2</v>
      </c>
      <c r="Q406">
        <v>0</v>
      </c>
      <c r="R406">
        <v>0.98855390247689801</v>
      </c>
      <c r="S406" t="s">
        <v>6974</v>
      </c>
      <c r="T406" t="s">
        <v>13134</v>
      </c>
      <c r="U406" t="s">
        <v>13134</v>
      </c>
      <c r="V406" t="s">
        <v>13134</v>
      </c>
      <c r="W406" t="s">
        <v>13537</v>
      </c>
      <c r="X406">
        <v>12</v>
      </c>
      <c r="Y406" t="s">
        <v>20029</v>
      </c>
      <c r="Z406" t="s">
        <v>26374</v>
      </c>
      <c r="AA406">
        <v>0.40294373064599881</v>
      </c>
      <c r="AB406" t="str">
        <f>HYPERLINK("Melting_Curves/meltCurve_D6REM4_CSNK1A1.pdf", "Melting_Curves/meltCurve_D6REM4_CSNK1A1.pdf")</f>
        <v>Melting_Curves/meltCurve_D6REM4_CSNK1A1.pdf</v>
      </c>
    </row>
    <row r="407" spans="1:28" x14ac:dyDescent="0.25">
      <c r="A407" t="s">
        <v>411</v>
      </c>
      <c r="B407">
        <v>0.99472303558308395</v>
      </c>
      <c r="C407">
        <v>0.89590347749354604</v>
      </c>
      <c r="D407">
        <v>0.93861387924183204</v>
      </c>
      <c r="E407">
        <v>0.61145488831363803</v>
      </c>
      <c r="F407">
        <v>0.208089949124554</v>
      </c>
      <c r="G407">
        <v>0.110127242261713</v>
      </c>
      <c r="H407">
        <v>6.1460805664607703E-2</v>
      </c>
      <c r="I407">
        <v>5.00896174343902E-2</v>
      </c>
      <c r="J407">
        <v>5.9753212560008699E-2</v>
      </c>
      <c r="K407">
        <v>4.49809793434124E-2</v>
      </c>
      <c r="L407">
        <v>1193.8681561871199</v>
      </c>
      <c r="M407">
        <v>25.286061255712401</v>
      </c>
      <c r="N407">
        <v>47.419596404506301</v>
      </c>
      <c r="O407">
        <v>46.9221487011608</v>
      </c>
      <c r="P407">
        <v>-0.12774588424078301</v>
      </c>
      <c r="Q407">
        <v>5.1804247535285897E-2</v>
      </c>
      <c r="R407">
        <v>0.99353330000717299</v>
      </c>
      <c r="S407" t="s">
        <v>6975</v>
      </c>
      <c r="T407" t="s">
        <v>13134</v>
      </c>
      <c r="U407" t="s">
        <v>13134</v>
      </c>
      <c r="V407" t="s">
        <v>13134</v>
      </c>
      <c r="W407" t="s">
        <v>13538</v>
      </c>
      <c r="X407">
        <v>23</v>
      </c>
      <c r="Y407" t="s">
        <v>20030</v>
      </c>
      <c r="Z407" t="s">
        <v>26375</v>
      </c>
      <c r="AA407">
        <v>0.38245614120346749</v>
      </c>
      <c r="AB407" t="str">
        <f>HYPERLINK("Melting_Curves/meltCurve_D6REX3_SEC31A.pdf", "Melting_Curves/meltCurve_D6REX3_SEC31A.pdf")</f>
        <v>Melting_Curves/meltCurve_D6REX3_SEC31A.pdf</v>
      </c>
    </row>
    <row r="408" spans="1:28" x14ac:dyDescent="0.25">
      <c r="A408" t="s">
        <v>412</v>
      </c>
      <c r="B408">
        <v>0.99472303558308395</v>
      </c>
      <c r="C408">
        <v>0.87834478276573902</v>
      </c>
      <c r="D408">
        <v>0.77873666168338396</v>
      </c>
      <c r="E408">
        <v>0.62585075663423095</v>
      </c>
      <c r="F408">
        <v>0.59644521561309305</v>
      </c>
      <c r="G408">
        <v>0.13423510142241299</v>
      </c>
      <c r="H408">
        <v>6.1258653569698999E-2</v>
      </c>
      <c r="I408">
        <v>3.77963156164084E-2</v>
      </c>
      <c r="J408">
        <v>3.7697307529231602E-2</v>
      </c>
      <c r="K408">
        <v>3.93673931189625E-2</v>
      </c>
      <c r="L408">
        <v>618.47613136351697</v>
      </c>
      <c r="M408">
        <v>12.6767421742215</v>
      </c>
      <c r="N408">
        <v>48.788255148880197</v>
      </c>
      <c r="O408">
        <v>47.621948355466898</v>
      </c>
      <c r="P408">
        <v>-6.6561808623788798E-2</v>
      </c>
      <c r="Q408">
        <v>0</v>
      </c>
      <c r="R408">
        <v>0.95704518026030505</v>
      </c>
      <c r="S408" t="s">
        <v>6976</v>
      </c>
      <c r="T408" t="s">
        <v>13134</v>
      </c>
      <c r="U408" t="s">
        <v>13134</v>
      </c>
      <c r="V408" t="s">
        <v>13134</v>
      </c>
      <c r="W408" t="s">
        <v>13539</v>
      </c>
      <c r="X408">
        <v>1</v>
      </c>
      <c r="Y408" t="s">
        <v>20031</v>
      </c>
      <c r="Z408" t="s">
        <v>26376</v>
      </c>
      <c r="AA408">
        <v>0.42080608108308232</v>
      </c>
      <c r="AB408" t="str">
        <f>HYPERLINK("Melting_Curves/meltCurve_D6REX9_CEP120.pdf", "Melting_Curves/meltCurve_D6REX9_CEP120.pdf")</f>
        <v>Melting_Curves/meltCurve_D6REX9_CEP120.pdf</v>
      </c>
    </row>
    <row r="409" spans="1:28" x14ac:dyDescent="0.25">
      <c r="A409" t="s">
        <v>413</v>
      </c>
      <c r="B409">
        <v>0.99472303558308395</v>
      </c>
      <c r="C409">
        <v>0.98373082173371096</v>
      </c>
      <c r="D409">
        <v>0.81895906408250496</v>
      </c>
      <c r="E409">
        <v>0.65783991844926304</v>
      </c>
      <c r="F409">
        <v>0.24215066733833199</v>
      </c>
      <c r="G409">
        <v>7.6246056601441695E-2</v>
      </c>
      <c r="H409">
        <v>4.6372330327490698E-2</v>
      </c>
      <c r="I409">
        <v>2.4245454153169602E-2</v>
      </c>
      <c r="J409">
        <v>3.3266450164342203E-2</v>
      </c>
      <c r="K409">
        <v>2.6394372049333099E-2</v>
      </c>
      <c r="L409">
        <v>942.00806369712996</v>
      </c>
      <c r="M409">
        <v>19.824553922708599</v>
      </c>
      <c r="N409">
        <v>47.579347730624498</v>
      </c>
      <c r="O409">
        <v>47.041666179838302</v>
      </c>
      <c r="P409">
        <v>-0.104014122221951</v>
      </c>
      <c r="Q409">
        <v>1.2773223176216399E-2</v>
      </c>
      <c r="R409">
        <v>0.99381701105373399</v>
      </c>
      <c r="S409" t="s">
        <v>6977</v>
      </c>
      <c r="T409" t="s">
        <v>13134</v>
      </c>
      <c r="U409" t="s">
        <v>13134</v>
      </c>
      <c r="V409" t="s">
        <v>13134</v>
      </c>
      <c r="W409" t="s">
        <v>13540</v>
      </c>
      <c r="X409">
        <v>6</v>
      </c>
      <c r="Y409" t="s">
        <v>20032</v>
      </c>
      <c r="Z409" t="s">
        <v>26377</v>
      </c>
      <c r="AA409">
        <v>0.37203854571628409</v>
      </c>
      <c r="AB409" t="str">
        <f>HYPERLINK("Melting_Curves/meltCurve_D6RF48_STX18.pdf", "Melting_Curves/meltCurve_D6RF48_STX18.pdf")</f>
        <v>Melting_Curves/meltCurve_D6RF48_STX18.pdf</v>
      </c>
    </row>
    <row r="410" spans="1:28" x14ac:dyDescent="0.25">
      <c r="A410" t="s">
        <v>414</v>
      </c>
      <c r="B410">
        <v>0.99472303558308395</v>
      </c>
      <c r="C410">
        <v>1.03489407150125</v>
      </c>
      <c r="D410">
        <v>1.00143707935482</v>
      </c>
      <c r="E410">
        <v>0.94849798241887096</v>
      </c>
      <c r="F410">
        <v>0.82511613934526495</v>
      </c>
      <c r="G410">
        <v>0.66743654163365196</v>
      </c>
      <c r="H410">
        <v>0.38165474151529699</v>
      </c>
      <c r="I410">
        <v>0.14570826507937701</v>
      </c>
      <c r="J410">
        <v>8.3111274146087905E-2</v>
      </c>
      <c r="K410">
        <v>8.1153168498547201E-2</v>
      </c>
      <c r="L410">
        <v>941.91166187381396</v>
      </c>
      <c r="M410">
        <v>16.943437905433498</v>
      </c>
      <c r="N410">
        <v>55.591532792611702</v>
      </c>
      <c r="O410">
        <v>54.834473063708302</v>
      </c>
      <c r="P410">
        <v>-7.72529490357209E-2</v>
      </c>
      <c r="Q410">
        <v>0</v>
      </c>
      <c r="R410">
        <v>0.99578462729918804</v>
      </c>
      <c r="S410" t="s">
        <v>6978</v>
      </c>
      <c r="T410" t="s">
        <v>13134</v>
      </c>
      <c r="U410" t="s">
        <v>13134</v>
      </c>
      <c r="V410" t="s">
        <v>13134</v>
      </c>
      <c r="W410" t="s">
        <v>13541</v>
      </c>
      <c r="X410">
        <v>9</v>
      </c>
      <c r="Y410" t="s">
        <v>20033</v>
      </c>
      <c r="Z410" t="s">
        <v>26378</v>
      </c>
      <c r="AA410">
        <v>0.63185334838705787</v>
      </c>
      <c r="AB410" t="str">
        <f>HYPERLINK("Melting_Curves/meltCurve_D6RFG8_DCK.pdf", "Melting_Curves/meltCurve_D6RFG8_DCK.pdf")</f>
        <v>Melting_Curves/meltCurve_D6RFG8_DCK.pdf</v>
      </c>
    </row>
    <row r="411" spans="1:28" x14ac:dyDescent="0.25">
      <c r="A411" t="s">
        <v>415</v>
      </c>
      <c r="B411">
        <v>0.99472303558308395</v>
      </c>
      <c r="C411">
        <v>1.4373661464013801</v>
      </c>
      <c r="D411">
        <v>1.0191979466900001</v>
      </c>
      <c r="E411">
        <v>0.75559668069462504</v>
      </c>
      <c r="F411">
        <v>1.8794811764396699</v>
      </c>
      <c r="G411">
        <v>0.69454717303433</v>
      </c>
      <c r="H411">
        <v>0.41774768298555298</v>
      </c>
      <c r="I411">
        <v>0.38119302540518502</v>
      </c>
      <c r="J411">
        <v>0.27242935902594301</v>
      </c>
      <c r="K411">
        <v>0.39346898363231803</v>
      </c>
      <c r="L411">
        <v>13453.8868932203</v>
      </c>
      <c r="M411">
        <v>250</v>
      </c>
      <c r="N411">
        <v>54.100855381975499</v>
      </c>
      <c r="O411">
        <v>53.812109976802098</v>
      </c>
      <c r="P411">
        <v>-0.73611491252153405</v>
      </c>
      <c r="Q411">
        <v>0.36620972807674801</v>
      </c>
      <c r="R411">
        <v>0.57305560012241596</v>
      </c>
      <c r="S411" t="s">
        <v>6979</v>
      </c>
      <c r="T411" t="s">
        <v>13134</v>
      </c>
      <c r="U411" t="s">
        <v>13134</v>
      </c>
      <c r="V411" t="s">
        <v>13134</v>
      </c>
      <c r="W411" t="s">
        <v>13542</v>
      </c>
      <c r="X411">
        <v>3</v>
      </c>
      <c r="Y411" t="s">
        <v>20034</v>
      </c>
      <c r="Z411" t="s">
        <v>26379</v>
      </c>
      <c r="AA411">
        <v>0.72152060230835235</v>
      </c>
      <c r="AB411" t="str">
        <f>HYPERLINK("Melting_Curves/meltCurve_D6RFH4_CYB5B.pdf", "Melting_Curves/meltCurve_D6RFH4_CYB5B.pdf")</f>
        <v>Melting_Curves/meltCurve_D6RFH4_CYB5B.pdf</v>
      </c>
    </row>
    <row r="412" spans="1:28" x14ac:dyDescent="0.25">
      <c r="A412" t="s">
        <v>416</v>
      </c>
      <c r="B412">
        <v>0.99472303558308395</v>
      </c>
      <c r="C412">
        <v>0.98971198111134495</v>
      </c>
      <c r="D412">
        <v>0.86385651427209798</v>
      </c>
      <c r="E412">
        <v>0.79864836740161405</v>
      </c>
      <c r="F412">
        <v>0.72569408499931598</v>
      </c>
      <c r="G412">
        <v>0.41565982114058098</v>
      </c>
      <c r="H412">
        <v>0.25848386685844399</v>
      </c>
      <c r="I412">
        <v>0.217203170380249</v>
      </c>
      <c r="J412">
        <v>0.24263315317631001</v>
      </c>
      <c r="K412">
        <v>0.107374797265296</v>
      </c>
      <c r="L412">
        <v>621.63290908517001</v>
      </c>
      <c r="M412">
        <v>11.9542704497592</v>
      </c>
      <c r="N412">
        <v>52.806116139622503</v>
      </c>
      <c r="O412">
        <v>50.609813142835598</v>
      </c>
      <c r="P412">
        <v>-5.4144391251932801E-2</v>
      </c>
      <c r="Q412">
        <v>8.3317561658614994E-2</v>
      </c>
      <c r="R412">
        <v>0.97902227065757796</v>
      </c>
      <c r="S412" t="s">
        <v>6980</v>
      </c>
      <c r="T412" t="s">
        <v>13134</v>
      </c>
      <c r="U412" t="s">
        <v>13134</v>
      </c>
      <c r="V412" t="s">
        <v>13134</v>
      </c>
      <c r="W412" t="s">
        <v>13543</v>
      </c>
      <c r="X412">
        <v>20</v>
      </c>
      <c r="Y412" t="s">
        <v>20035</v>
      </c>
      <c r="Z412" t="s">
        <v>26380</v>
      </c>
      <c r="AA412">
        <v>0.56352623575881089</v>
      </c>
      <c r="AB412" t="str">
        <f>HYPERLINK("Melting_Curves/meltCurve_D6RGI3_SEPT11.pdf", "Melting_Curves/meltCurve_D6RGI3_SEPT11.pdf")</f>
        <v>Melting_Curves/meltCurve_D6RGI3_SEPT11.pdf</v>
      </c>
    </row>
    <row r="413" spans="1:28" x14ac:dyDescent="0.25">
      <c r="A413" t="s">
        <v>417</v>
      </c>
      <c r="B413">
        <v>0.99472303558308395</v>
      </c>
      <c r="C413">
        <v>0.96764675609701201</v>
      </c>
      <c r="D413">
        <v>0.79435334011719705</v>
      </c>
      <c r="E413">
        <v>0.79053190692861497</v>
      </c>
      <c r="F413">
        <v>0.69568273319458096</v>
      </c>
      <c r="G413">
        <v>0.47592658686260397</v>
      </c>
      <c r="H413">
        <v>0.34580972785320402</v>
      </c>
      <c r="I413">
        <v>0.32701664216084297</v>
      </c>
      <c r="J413">
        <v>0.21676002449403201</v>
      </c>
      <c r="K413">
        <v>0.24817641533089799</v>
      </c>
      <c r="L413">
        <v>453.743075318156</v>
      </c>
      <c r="M413">
        <v>8.6626072568949208</v>
      </c>
      <c r="N413">
        <v>53.728949449581101</v>
      </c>
      <c r="O413">
        <v>49.812604646580503</v>
      </c>
      <c r="P413">
        <v>-3.9258519383865702E-2</v>
      </c>
      <c r="Q413">
        <v>9.7763657455360295E-2</v>
      </c>
      <c r="R413">
        <v>0.97771522086541596</v>
      </c>
      <c r="S413" t="s">
        <v>6981</v>
      </c>
      <c r="T413" t="s">
        <v>13134</v>
      </c>
      <c r="U413" t="s">
        <v>13134</v>
      </c>
      <c r="V413" t="s">
        <v>13134</v>
      </c>
      <c r="W413" t="s">
        <v>13544</v>
      </c>
      <c r="X413">
        <v>2</v>
      </c>
      <c r="Y413" t="s">
        <v>20036</v>
      </c>
      <c r="Z413" t="s">
        <v>26381</v>
      </c>
      <c r="AA413">
        <v>0.58372777544000454</v>
      </c>
      <c r="AB413" t="str">
        <f>HYPERLINK("Melting_Curves/meltCurve_D6RGJ7_SLC9B2.pdf", "Melting_Curves/meltCurve_D6RGJ7_SLC9B2.pdf")</f>
        <v>Melting_Curves/meltCurve_D6RGJ7_SLC9B2.pdf</v>
      </c>
    </row>
    <row r="414" spans="1:28" x14ac:dyDescent="0.25">
      <c r="A414" t="s">
        <v>418</v>
      </c>
      <c r="B414">
        <v>0.99472303558308395</v>
      </c>
      <c r="C414">
        <v>0.64503052385417803</v>
      </c>
      <c r="D414">
        <v>0.62046007803499703</v>
      </c>
      <c r="E414">
        <v>0.55111773935169495</v>
      </c>
      <c r="F414">
        <v>0.38734738783061301</v>
      </c>
      <c r="G414">
        <v>0.16704850408067301</v>
      </c>
      <c r="H414">
        <v>8.2471942777661303E-2</v>
      </c>
      <c r="I414">
        <v>8.3341619567740305E-2</v>
      </c>
      <c r="J414">
        <v>0.11378648379732099</v>
      </c>
      <c r="K414">
        <v>3.7565904012070002E-2</v>
      </c>
      <c r="L414">
        <v>400.07732930693101</v>
      </c>
      <c r="M414">
        <v>8.7208196207611799</v>
      </c>
      <c r="N414">
        <v>45.876115932051</v>
      </c>
      <c r="O414">
        <v>43.655481046968802</v>
      </c>
      <c r="P414">
        <v>-4.9982007049544398E-2</v>
      </c>
      <c r="Q414">
        <v>0</v>
      </c>
      <c r="R414">
        <v>0.94471754118162199</v>
      </c>
      <c r="S414" t="s">
        <v>6982</v>
      </c>
      <c r="T414" t="s">
        <v>13134</v>
      </c>
      <c r="U414" t="s">
        <v>13134</v>
      </c>
      <c r="V414" t="s">
        <v>13134</v>
      </c>
      <c r="W414" t="s">
        <v>13545</v>
      </c>
      <c r="X414">
        <v>1</v>
      </c>
      <c r="Y414" t="s">
        <v>20037</v>
      </c>
      <c r="Z414" t="s">
        <v>26382</v>
      </c>
      <c r="AA414">
        <v>0.35267821033068147</v>
      </c>
      <c r="AB414" t="str">
        <f>HYPERLINK("Melting_Curves/meltCurve_D6RGK9_CNOT6L.pdf", "Melting_Curves/meltCurve_D6RGK9_CNOT6L.pdf")</f>
        <v>Melting_Curves/meltCurve_D6RGK9_CNOT6L.pdf</v>
      </c>
    </row>
    <row r="415" spans="1:28" x14ac:dyDescent="0.25">
      <c r="A415" t="s">
        <v>419</v>
      </c>
      <c r="B415">
        <v>0.99472303558308395</v>
      </c>
      <c r="C415">
        <v>0.91307247545606696</v>
      </c>
      <c r="D415">
        <v>0.83515990959410902</v>
      </c>
      <c r="E415">
        <v>0.49387987158565999</v>
      </c>
      <c r="F415">
        <v>0.22567453301127999</v>
      </c>
      <c r="G415">
        <v>0.17366356958837001</v>
      </c>
      <c r="H415">
        <v>0.13207554273019401</v>
      </c>
      <c r="I415">
        <v>0.13010225550646401</v>
      </c>
      <c r="J415">
        <v>0.15089993185445399</v>
      </c>
      <c r="K415">
        <v>0.13302741333260801</v>
      </c>
      <c r="L415">
        <v>964.19900410855996</v>
      </c>
      <c r="M415">
        <v>21.065887191707201</v>
      </c>
      <c r="N415">
        <v>46.435712474593402</v>
      </c>
      <c r="O415">
        <v>45.364181796556402</v>
      </c>
      <c r="P415">
        <v>-0.100977489304236</v>
      </c>
      <c r="Q415">
        <v>0.13022639823472101</v>
      </c>
      <c r="R415">
        <v>0.99683350004445104</v>
      </c>
      <c r="S415" t="s">
        <v>6983</v>
      </c>
      <c r="T415" t="s">
        <v>13134</v>
      </c>
      <c r="U415" t="s">
        <v>13134</v>
      </c>
      <c r="V415" t="s">
        <v>13134</v>
      </c>
      <c r="W415" t="s">
        <v>13546</v>
      </c>
      <c r="X415">
        <v>4</v>
      </c>
      <c r="Y415" t="s">
        <v>20038</v>
      </c>
      <c r="Z415" t="s">
        <v>26383</v>
      </c>
      <c r="AA415">
        <v>0.39473549464593233</v>
      </c>
      <c r="AB415" t="str">
        <f>HYPERLINK("Melting_Curves/meltCurve_D6RHD3_CENPK.pdf", "Melting_Curves/meltCurve_D6RHD3_CENPK.pdf")</f>
        <v>Melting_Curves/meltCurve_D6RHD3_CENPK.pdf</v>
      </c>
    </row>
    <row r="416" spans="1:28" x14ac:dyDescent="0.25">
      <c r="A416" t="s">
        <v>420</v>
      </c>
      <c r="B416">
        <v>0.99472303558308395</v>
      </c>
      <c r="C416">
        <v>0.98600947246227</v>
      </c>
      <c r="D416">
        <v>0.94801231271767405</v>
      </c>
      <c r="E416">
        <v>0.77573083350592198</v>
      </c>
      <c r="F416">
        <v>0.64831456765072704</v>
      </c>
      <c r="G416">
        <v>0.40114549233872199</v>
      </c>
      <c r="H416">
        <v>0.14769911740809999</v>
      </c>
      <c r="I416">
        <v>5.3200753129248803E-2</v>
      </c>
      <c r="J416">
        <v>6.1031528442698497E-2</v>
      </c>
      <c r="K416">
        <v>4.5672840932306003E-2</v>
      </c>
      <c r="L416">
        <v>764.02865619472004</v>
      </c>
      <c r="M416">
        <v>14.7672340638567</v>
      </c>
      <c r="N416">
        <v>51.738101603139903</v>
      </c>
      <c r="O416">
        <v>50.817118220730798</v>
      </c>
      <c r="P416">
        <v>-7.2656721424698895E-2</v>
      </c>
      <c r="Q416">
        <v>0</v>
      </c>
      <c r="R416">
        <v>0.99320385202584205</v>
      </c>
      <c r="S416" t="s">
        <v>6984</v>
      </c>
      <c r="T416" t="s">
        <v>13134</v>
      </c>
      <c r="U416" t="s">
        <v>13134</v>
      </c>
      <c r="V416" t="s">
        <v>13134</v>
      </c>
      <c r="W416" t="s">
        <v>13547</v>
      </c>
      <c r="X416">
        <v>7</v>
      </c>
      <c r="Y416" t="s">
        <v>20039</v>
      </c>
      <c r="Z416" t="s">
        <v>26384</v>
      </c>
      <c r="AA416">
        <v>0.51105461701663646</v>
      </c>
      <c r="AB416" t="str">
        <f>HYPERLINK("Melting_Curves/meltCurve_D6RHI7_CCNH.pdf", "Melting_Curves/meltCurve_D6RHI7_CCNH.pdf")</f>
        <v>Melting_Curves/meltCurve_D6RHI7_CCNH.pdf</v>
      </c>
    </row>
    <row r="417" spans="1:28" x14ac:dyDescent="0.25">
      <c r="A417" t="s">
        <v>421</v>
      </c>
      <c r="B417">
        <v>0.99472303558308395</v>
      </c>
      <c r="C417">
        <v>0.95743759810305096</v>
      </c>
      <c r="D417">
        <v>0.98242843598160601</v>
      </c>
      <c r="E417">
        <v>0.90905735681000499</v>
      </c>
      <c r="F417">
        <v>0.62798036035035598</v>
      </c>
      <c r="G417">
        <v>0.57419040586259096</v>
      </c>
      <c r="H417">
        <v>0.45014977627638397</v>
      </c>
      <c r="I417">
        <v>0.38729405562192398</v>
      </c>
      <c r="J417">
        <v>0.41914984197961602</v>
      </c>
      <c r="K417">
        <v>0.25375519691130399</v>
      </c>
      <c r="L417">
        <v>683.22266383195495</v>
      </c>
      <c r="M417">
        <v>13.3006402278886</v>
      </c>
      <c r="N417">
        <v>55.231085516741203</v>
      </c>
      <c r="O417">
        <v>50.248145618424203</v>
      </c>
      <c r="P417">
        <v>-4.6144585416126198E-2</v>
      </c>
      <c r="Q417">
        <v>0.30279893847126699</v>
      </c>
      <c r="R417">
        <v>0.96901291245521604</v>
      </c>
      <c r="S417" t="s">
        <v>6985</v>
      </c>
      <c r="T417" t="s">
        <v>13134</v>
      </c>
      <c r="U417" t="s">
        <v>13134</v>
      </c>
      <c r="V417" t="s">
        <v>13134</v>
      </c>
      <c r="W417" t="s">
        <v>13548</v>
      </c>
      <c r="X417">
        <v>6</v>
      </c>
      <c r="Y417" t="s">
        <v>20040</v>
      </c>
      <c r="Z417" t="s">
        <v>26385</v>
      </c>
      <c r="AA417">
        <v>0.65258119154506034</v>
      </c>
      <c r="AB417" t="str">
        <f>HYPERLINK("Melting_Curves/meltCurve_D6RHI9_RNASET2.pdf", "Melting_Curves/meltCurve_D6RHI9_RNASET2.pdf")</f>
        <v>Melting_Curves/meltCurve_D6RHI9_RNASET2.pdf</v>
      </c>
    </row>
    <row r="418" spans="1:28" x14ac:dyDescent="0.25">
      <c r="A418" t="s">
        <v>422</v>
      </c>
      <c r="B418">
        <v>0.99472303558308395</v>
      </c>
      <c r="C418">
        <v>0.84967383785568196</v>
      </c>
      <c r="D418">
        <v>0.76952555025932701</v>
      </c>
      <c r="E418">
        <v>0.68883906537441197</v>
      </c>
      <c r="F418">
        <v>0.56868576603159704</v>
      </c>
      <c r="G418">
        <v>0.32491646882119302</v>
      </c>
      <c r="H418">
        <v>0.33438758396964102</v>
      </c>
      <c r="I418">
        <v>0.35755266522996598</v>
      </c>
      <c r="J418">
        <v>0.40751295342154298</v>
      </c>
      <c r="K418">
        <v>0.310429041292971</v>
      </c>
      <c r="L418">
        <v>514.73899190164298</v>
      </c>
      <c r="M418">
        <v>11.111393488003801</v>
      </c>
      <c r="N418">
        <v>50.559087158464102</v>
      </c>
      <c r="O418">
        <v>44.900784295727298</v>
      </c>
      <c r="P418">
        <v>-4.31464420615661E-2</v>
      </c>
      <c r="Q418">
        <v>0.30281274422188498</v>
      </c>
      <c r="R418">
        <v>0.95107573863915396</v>
      </c>
      <c r="S418" t="s">
        <v>6986</v>
      </c>
      <c r="T418" t="s">
        <v>13134</v>
      </c>
      <c r="U418" t="s">
        <v>13134</v>
      </c>
      <c r="V418" t="s">
        <v>13134</v>
      </c>
      <c r="W418" t="s">
        <v>13549</v>
      </c>
      <c r="X418">
        <v>2</v>
      </c>
      <c r="Y418" t="s">
        <v>20041</v>
      </c>
      <c r="Z418" t="s">
        <v>26386</v>
      </c>
      <c r="AA418">
        <v>0.546355876976232</v>
      </c>
      <c r="AB418" t="str">
        <f>HYPERLINK("Melting_Curves/meltCurve_D6RIE3_COX7A2.pdf", "Melting_Curves/meltCurve_D6RIE3_COX7A2.pdf")</f>
        <v>Melting_Curves/meltCurve_D6RIE3_COX7A2.pdf</v>
      </c>
    </row>
    <row r="419" spans="1:28" x14ac:dyDescent="0.25">
      <c r="A419" t="s">
        <v>423</v>
      </c>
      <c r="B419">
        <v>0.99472303558308395</v>
      </c>
      <c r="C419">
        <v>0.78302877632275802</v>
      </c>
      <c r="D419">
        <v>1.01268207605576</v>
      </c>
      <c r="E419">
        <v>0.78920588111440104</v>
      </c>
      <c r="F419">
        <v>0.715915037136865</v>
      </c>
      <c r="G419">
        <v>0.46989146273638299</v>
      </c>
      <c r="H419">
        <v>0.491531176178295</v>
      </c>
      <c r="I419">
        <v>0.357133308211183</v>
      </c>
      <c r="J419">
        <v>0.53839892409128898</v>
      </c>
      <c r="K419">
        <v>0.52768030195898996</v>
      </c>
      <c r="L419">
        <v>865.45413816745997</v>
      </c>
      <c r="M419">
        <v>17.872212813547701</v>
      </c>
      <c r="N419">
        <v>56.382092091814698</v>
      </c>
      <c r="O419">
        <v>47.8305108115159</v>
      </c>
      <c r="P419">
        <v>-5.0458717798635901E-2</v>
      </c>
      <c r="Q419">
        <v>0.45986681209239699</v>
      </c>
      <c r="R419">
        <v>0.82747042289172501</v>
      </c>
      <c r="S419" t="s">
        <v>6987</v>
      </c>
      <c r="T419" t="s">
        <v>13134</v>
      </c>
      <c r="U419" t="s">
        <v>13134</v>
      </c>
      <c r="V419" t="s">
        <v>13134</v>
      </c>
      <c r="W419" t="s">
        <v>13550</v>
      </c>
      <c r="X419">
        <v>2</v>
      </c>
      <c r="Y419" t="s">
        <v>20042</v>
      </c>
      <c r="Z419" t="s">
        <v>26387</v>
      </c>
      <c r="AA419">
        <v>0.67428672382503896</v>
      </c>
      <c r="AB419" t="str">
        <f>HYPERLINK("Melting_Curves/meltCurve_D6RIU2_CLDND1.pdf", "Melting_Curves/meltCurve_D6RIU2_CLDND1.pdf")</f>
        <v>Melting_Curves/meltCurve_D6RIU2_CLDND1.pdf</v>
      </c>
    </row>
    <row r="420" spans="1:28" x14ac:dyDescent="0.25">
      <c r="A420" t="s">
        <v>424</v>
      </c>
      <c r="B420">
        <v>0.99472303558308395</v>
      </c>
      <c r="C420">
        <v>0.85702152854847902</v>
      </c>
      <c r="D420">
        <v>0.94073157122752604</v>
      </c>
      <c r="E420">
        <v>0.82632085023933199</v>
      </c>
      <c r="F420">
        <v>0.724817915864165</v>
      </c>
      <c r="G420">
        <v>0.52450270077836803</v>
      </c>
      <c r="H420">
        <v>0.37211669117229401</v>
      </c>
      <c r="I420">
        <v>0.214975319469873</v>
      </c>
      <c r="J420">
        <v>6.9391633680403395E-2</v>
      </c>
      <c r="K420">
        <v>9.0433612001188601E-2</v>
      </c>
      <c r="L420">
        <v>612.43159990587299</v>
      </c>
      <c r="M420">
        <v>11.3430274937154</v>
      </c>
      <c r="N420">
        <v>53.9918984599921</v>
      </c>
      <c r="O420">
        <v>52.395441526847399</v>
      </c>
      <c r="P420">
        <v>-5.4138412650053001E-2</v>
      </c>
      <c r="Q420">
        <v>0</v>
      </c>
      <c r="R420">
        <v>0.97875470188651204</v>
      </c>
      <c r="S420" t="s">
        <v>6988</v>
      </c>
      <c r="T420" t="s">
        <v>13134</v>
      </c>
      <c r="U420" t="s">
        <v>13134</v>
      </c>
      <c r="V420" t="s">
        <v>13134</v>
      </c>
      <c r="W420" t="s">
        <v>13551</v>
      </c>
      <c r="X420">
        <v>2</v>
      </c>
      <c r="Y420" t="s">
        <v>20043</v>
      </c>
      <c r="Z420" t="s">
        <v>26388</v>
      </c>
      <c r="AA420">
        <v>0.58443372479452882</v>
      </c>
      <c r="AB420" t="str">
        <f>HYPERLINK("Melting_Curves/meltCurve_D6RIZ4_MFSD10.pdf", "Melting_Curves/meltCurve_D6RIZ4_MFSD10.pdf")</f>
        <v>Melting_Curves/meltCurve_D6RIZ4_MFSD10.pdf</v>
      </c>
    </row>
    <row r="421" spans="1:28" x14ac:dyDescent="0.25">
      <c r="A421" t="s">
        <v>425</v>
      </c>
      <c r="B421">
        <v>0.99472303558308395</v>
      </c>
      <c r="C421">
        <v>0.97253592828173796</v>
      </c>
      <c r="D421">
        <v>1.04232194834101</v>
      </c>
      <c r="E421">
        <v>0.89141490558960101</v>
      </c>
      <c r="F421">
        <v>0.42067306426131201</v>
      </c>
      <c r="G421">
        <v>0.24024894905125499</v>
      </c>
      <c r="H421">
        <v>9.5947721551682602E-2</v>
      </c>
      <c r="I421">
        <v>7.1848942251315495E-2</v>
      </c>
      <c r="J421">
        <v>7.3350794667560906E-2</v>
      </c>
      <c r="K421">
        <v>4.6437185729239501E-2</v>
      </c>
      <c r="L421">
        <v>1342.6153129510001</v>
      </c>
      <c r="M421">
        <v>27.060058543891699</v>
      </c>
      <c r="N421">
        <v>49.909816387229498</v>
      </c>
      <c r="O421">
        <v>49.347538007145999</v>
      </c>
      <c r="P421">
        <v>-0.12700113798728299</v>
      </c>
      <c r="Q421">
        <v>7.3596756715697306E-2</v>
      </c>
      <c r="R421">
        <v>0.99312434584509501</v>
      </c>
      <c r="S421" t="s">
        <v>6989</v>
      </c>
      <c r="T421" t="s">
        <v>13134</v>
      </c>
      <c r="U421" t="s">
        <v>13134</v>
      </c>
      <c r="V421" t="s">
        <v>13134</v>
      </c>
      <c r="W421" t="s">
        <v>13552</v>
      </c>
      <c r="X421">
        <v>4</v>
      </c>
      <c r="Y421" t="s">
        <v>20044</v>
      </c>
      <c r="Z421" t="s">
        <v>26389</v>
      </c>
      <c r="AA421">
        <v>0.47010361206487711</v>
      </c>
      <c r="AB421" t="str">
        <f>HYPERLINK("Melting_Curves/meltCurve_D6RJ07_ZNF346.pdf", "Melting_Curves/meltCurve_D6RJ07_ZNF346.pdf")</f>
        <v>Melting_Curves/meltCurve_D6RJ07_ZNF346.pdf</v>
      </c>
    </row>
    <row r="422" spans="1:28" x14ac:dyDescent="0.25">
      <c r="A422" t="s">
        <v>426</v>
      </c>
      <c r="B422">
        <v>0.99472303558308395</v>
      </c>
      <c r="C422">
        <v>0.92413091149320903</v>
      </c>
      <c r="D422">
        <v>0.83392699044672502</v>
      </c>
      <c r="E422">
        <v>0.76744300382504804</v>
      </c>
      <c r="F422">
        <v>0.76804145711000904</v>
      </c>
      <c r="G422">
        <v>0.40859608211724202</v>
      </c>
      <c r="H422">
        <v>0.16303237752821501</v>
      </c>
      <c r="I422">
        <v>0.10252045961146899</v>
      </c>
      <c r="J422">
        <v>9.3942794012128197E-2</v>
      </c>
      <c r="K422">
        <v>4.6412789821127003E-2</v>
      </c>
      <c r="L422">
        <v>698.62564677178898</v>
      </c>
      <c r="M422">
        <v>13.359109476278</v>
      </c>
      <c r="N422">
        <v>52.295820147924502</v>
      </c>
      <c r="O422">
        <v>51.165689928172597</v>
      </c>
      <c r="P422">
        <v>-6.5284140401895493E-2</v>
      </c>
      <c r="Q422">
        <v>0</v>
      </c>
      <c r="R422">
        <v>0.96638407794312897</v>
      </c>
      <c r="S422" t="s">
        <v>6990</v>
      </c>
      <c r="T422" t="s">
        <v>13134</v>
      </c>
      <c r="U422" t="s">
        <v>13134</v>
      </c>
      <c r="V422" t="s">
        <v>13134</v>
      </c>
      <c r="W422" t="s">
        <v>13553</v>
      </c>
      <c r="X422">
        <v>2</v>
      </c>
      <c r="Y422" t="s">
        <v>20045</v>
      </c>
      <c r="Z422" t="s">
        <v>26390</v>
      </c>
      <c r="AA422">
        <v>0.53095946978051212</v>
      </c>
      <c r="AB422" t="str">
        <f>HYPERLINK("Melting_Curves/meltCurve_D6RJ90_COMMD10.pdf", "Melting_Curves/meltCurve_D6RJ90_COMMD10.pdf")</f>
        <v>Melting_Curves/meltCurve_D6RJ90_COMMD10.pdf</v>
      </c>
    </row>
    <row r="423" spans="1:28" x14ac:dyDescent="0.25">
      <c r="A423" t="s">
        <v>427</v>
      </c>
      <c r="B423">
        <v>0.99472303558308395</v>
      </c>
      <c r="C423">
        <v>0.84596472083980001</v>
      </c>
      <c r="D423">
        <v>0.85846449113934697</v>
      </c>
      <c r="E423">
        <v>0.69994846661802601</v>
      </c>
      <c r="F423">
        <v>0.43594239742947899</v>
      </c>
      <c r="G423">
        <v>4.4464116993502202E-2</v>
      </c>
      <c r="H423">
        <v>0</v>
      </c>
      <c r="I423">
        <v>0</v>
      </c>
      <c r="J423">
        <v>0</v>
      </c>
      <c r="K423">
        <v>0</v>
      </c>
      <c r="L423">
        <v>917.20318154291999</v>
      </c>
      <c r="M423">
        <v>18.879245306773999</v>
      </c>
      <c r="N423">
        <v>48.582619013092902</v>
      </c>
      <c r="O423">
        <v>48.047381817317799</v>
      </c>
      <c r="P423">
        <v>-9.8236450058111394E-2</v>
      </c>
      <c r="Q423">
        <v>0</v>
      </c>
      <c r="R423">
        <v>0.97405458695955205</v>
      </c>
      <c r="S423" t="s">
        <v>6991</v>
      </c>
      <c r="T423" t="s">
        <v>13134</v>
      </c>
      <c r="U423" t="s">
        <v>13134</v>
      </c>
      <c r="V423" t="s">
        <v>13134</v>
      </c>
      <c r="W423" t="s">
        <v>13554</v>
      </c>
      <c r="X423">
        <v>8</v>
      </c>
      <c r="Y423" t="s">
        <v>20046</v>
      </c>
      <c r="Z423" t="s">
        <v>26391</v>
      </c>
      <c r="AA423">
        <v>0.40071820857275148</v>
      </c>
      <c r="AB423" t="str">
        <f>HYPERLINK("Melting_Curves/meltCurve_E2QRD0_VWA8.pdf", "Melting_Curves/meltCurve_E2QRD0_VWA8.pdf")</f>
        <v>Melting_Curves/meltCurve_E2QRD0_VWA8.pdf</v>
      </c>
    </row>
    <row r="424" spans="1:28" x14ac:dyDescent="0.25">
      <c r="A424" t="s">
        <v>428</v>
      </c>
      <c r="B424">
        <v>0.99472303558308395</v>
      </c>
      <c r="C424">
        <v>1.0041876653497199</v>
      </c>
      <c r="D424">
        <v>0.99970058697926001</v>
      </c>
      <c r="E424">
        <v>0.91631956033227802</v>
      </c>
      <c r="F424">
        <v>0.68620073862034903</v>
      </c>
      <c r="G424">
        <v>0.58277736605877495</v>
      </c>
      <c r="H424">
        <v>0.55520279005078499</v>
      </c>
      <c r="I424">
        <v>0.64480979167241903</v>
      </c>
      <c r="J424">
        <v>0.93806808286654997</v>
      </c>
      <c r="K424">
        <v>0.66842242417161302</v>
      </c>
      <c r="L424">
        <v>3305.9256797775101</v>
      </c>
      <c r="M424">
        <v>69.895696485288894</v>
      </c>
      <c r="O424">
        <v>47.25931307063</v>
      </c>
      <c r="P424">
        <v>-0.11894683356230901</v>
      </c>
      <c r="Q424">
        <v>0.67830097371561604</v>
      </c>
      <c r="R424">
        <v>0.70325036763432103</v>
      </c>
      <c r="S424" t="s">
        <v>6992</v>
      </c>
      <c r="T424" t="s">
        <v>13134</v>
      </c>
      <c r="U424" t="s">
        <v>13134</v>
      </c>
      <c r="V424" t="s">
        <v>13134</v>
      </c>
      <c r="W424" t="s">
        <v>13555</v>
      </c>
      <c r="X424">
        <v>9</v>
      </c>
      <c r="Y424" t="s">
        <v>20047</v>
      </c>
      <c r="Z424" t="s">
        <v>26392</v>
      </c>
      <c r="AA424">
        <v>0.78907189481556839</v>
      </c>
      <c r="AB424" t="str">
        <f>HYPERLINK("Melting_Curves/meltCurve_E2QRF9_GMNN.pdf", "Melting_Curves/meltCurve_E2QRF9_GMNN.pdf")</f>
        <v>Melting_Curves/meltCurve_E2QRF9_GMNN.pdf</v>
      </c>
    </row>
    <row r="425" spans="1:28" x14ac:dyDescent="0.25">
      <c r="A425" t="s">
        <v>429</v>
      </c>
      <c r="B425">
        <v>0.99472303558308395</v>
      </c>
      <c r="C425">
        <v>1.03834728842503</v>
      </c>
      <c r="D425">
        <v>0.822134720135413</v>
      </c>
      <c r="E425">
        <v>0.61579709415064299</v>
      </c>
      <c r="F425">
        <v>0.38342179936862703</v>
      </c>
      <c r="G425">
        <v>0.14388588029229099</v>
      </c>
      <c r="H425">
        <v>9.9923858635930202E-2</v>
      </c>
      <c r="I425">
        <v>7.9520864163816707E-2</v>
      </c>
      <c r="J425">
        <v>0.119700012713796</v>
      </c>
      <c r="K425">
        <v>8.4807483923213994E-2</v>
      </c>
      <c r="L425">
        <v>814.12210072251401</v>
      </c>
      <c r="M425">
        <v>17.116078301846301</v>
      </c>
      <c r="N425">
        <v>48.002847572481301</v>
      </c>
      <c r="O425">
        <v>46.929723883280097</v>
      </c>
      <c r="P425">
        <v>-8.4591308897636996E-2</v>
      </c>
      <c r="Q425">
        <v>7.2309040632505095E-2</v>
      </c>
      <c r="R425">
        <v>0.99086780118641604</v>
      </c>
      <c r="S425" t="s">
        <v>6993</v>
      </c>
      <c r="T425" t="s">
        <v>13134</v>
      </c>
      <c r="U425" t="s">
        <v>13134</v>
      </c>
      <c r="V425" t="s">
        <v>13134</v>
      </c>
      <c r="W425" t="s">
        <v>13556</v>
      </c>
      <c r="X425">
        <v>6</v>
      </c>
      <c r="Y425" t="s">
        <v>20048</v>
      </c>
      <c r="Z425" t="s">
        <v>26393</v>
      </c>
      <c r="AA425">
        <v>0.41530679801115178</v>
      </c>
      <c r="AB425" t="str">
        <f>HYPERLINK("Melting_Curves/meltCurve_E5RFJ1_NSMCE2.pdf", "Melting_Curves/meltCurve_E5RFJ1_NSMCE2.pdf")</f>
        <v>Melting_Curves/meltCurve_E5RFJ1_NSMCE2.pdf</v>
      </c>
    </row>
    <row r="426" spans="1:28" x14ac:dyDescent="0.25">
      <c r="A426" t="s">
        <v>430</v>
      </c>
      <c r="B426">
        <v>0.99472303558308395</v>
      </c>
      <c r="C426">
        <v>1.0127192864961201</v>
      </c>
      <c r="D426">
        <v>0.833234524040116</v>
      </c>
      <c r="E426">
        <v>0.77336163772588995</v>
      </c>
      <c r="F426">
        <v>0.78191088151107102</v>
      </c>
      <c r="G426">
        <v>0.35960937531186798</v>
      </c>
      <c r="H426">
        <v>0.63745345727667702</v>
      </c>
      <c r="I426">
        <v>0.21079452367006399</v>
      </c>
      <c r="J426">
        <v>0.51404882914695005</v>
      </c>
      <c r="K426">
        <v>0.37990987151292499</v>
      </c>
      <c r="L426">
        <v>578.18168665550502</v>
      </c>
      <c r="M426">
        <v>11.676798745340101</v>
      </c>
      <c r="N426">
        <v>55.316948989832603</v>
      </c>
      <c r="O426">
        <v>48.130058251736799</v>
      </c>
      <c r="P426">
        <v>-3.9248450659105399E-2</v>
      </c>
      <c r="Q426">
        <v>0.35306784876894998</v>
      </c>
      <c r="R426">
        <v>0.78959314767812305</v>
      </c>
      <c r="S426" t="s">
        <v>6994</v>
      </c>
      <c r="T426" t="s">
        <v>13134</v>
      </c>
      <c r="U426" t="s">
        <v>13134</v>
      </c>
      <c r="V426" t="s">
        <v>13134</v>
      </c>
      <c r="W426" t="s">
        <v>13557</v>
      </c>
      <c r="X426">
        <v>10</v>
      </c>
      <c r="Y426" t="s">
        <v>20049</v>
      </c>
      <c r="Z426" t="s">
        <v>26394</v>
      </c>
      <c r="AA426">
        <v>0.64225892214779512</v>
      </c>
      <c r="AB426" t="str">
        <f>HYPERLINK("Melting_Curves/meltCurve_E5RG13_IMPA1.pdf", "Melting_Curves/meltCurve_E5RG13_IMPA1.pdf")</f>
        <v>Melting_Curves/meltCurve_E5RG13_IMPA1.pdf</v>
      </c>
    </row>
    <row r="427" spans="1:28" x14ac:dyDescent="0.25">
      <c r="A427" t="s">
        <v>431</v>
      </c>
      <c r="B427">
        <v>0.99472303558308395</v>
      </c>
      <c r="C427">
        <v>1.01086754756276</v>
      </c>
      <c r="D427">
        <v>0.94824812189485297</v>
      </c>
      <c r="E427">
        <v>0.89614401028120305</v>
      </c>
      <c r="F427">
        <v>0.63633664876065399</v>
      </c>
      <c r="G427">
        <v>0.48159102064788301</v>
      </c>
      <c r="H427">
        <v>0.39193874811838603</v>
      </c>
      <c r="I427">
        <v>0.399761781493713</v>
      </c>
      <c r="J427">
        <v>0.33329723388467802</v>
      </c>
      <c r="K427">
        <v>0.116113010885022</v>
      </c>
      <c r="L427">
        <v>616.85066840974503</v>
      </c>
      <c r="M427">
        <v>11.814991045696599</v>
      </c>
      <c r="N427">
        <v>54.276002200348302</v>
      </c>
      <c r="O427">
        <v>50.780868267481097</v>
      </c>
      <c r="P427">
        <v>-4.7641206934213899E-2</v>
      </c>
      <c r="Q427">
        <v>0.18116158367384799</v>
      </c>
      <c r="R427">
        <v>0.96127623580782395</v>
      </c>
      <c r="S427" t="s">
        <v>6995</v>
      </c>
      <c r="T427" t="s">
        <v>13134</v>
      </c>
      <c r="U427" t="s">
        <v>13134</v>
      </c>
      <c r="V427" t="s">
        <v>13134</v>
      </c>
      <c r="W427" t="s">
        <v>13558</v>
      </c>
      <c r="X427">
        <v>11</v>
      </c>
      <c r="Y427" t="s">
        <v>20050</v>
      </c>
      <c r="Z427" t="s">
        <v>26395</v>
      </c>
      <c r="AA427">
        <v>0.61552712942415877</v>
      </c>
      <c r="AB427" t="str">
        <f>HYPERLINK("Melting_Curves/meltCurve_E5RG17_TATDN1.pdf", "Melting_Curves/meltCurve_E5RG17_TATDN1.pdf")</f>
        <v>Melting_Curves/meltCurve_E5RG17_TATDN1.pdf</v>
      </c>
    </row>
    <row r="428" spans="1:28" x14ac:dyDescent="0.25">
      <c r="A428" t="s">
        <v>432</v>
      </c>
      <c r="B428">
        <v>0.99472303558308395</v>
      </c>
      <c r="C428">
        <v>1.0479890966625001</v>
      </c>
      <c r="D428">
        <v>0.91092254812951201</v>
      </c>
      <c r="E428">
        <v>0.87970848149082503</v>
      </c>
      <c r="F428">
        <v>0.81990284369199695</v>
      </c>
      <c r="G428">
        <v>0.44598561665305497</v>
      </c>
      <c r="H428">
        <v>0.25554975465784302</v>
      </c>
      <c r="I428">
        <v>0.13422749405725301</v>
      </c>
      <c r="J428">
        <v>0.13738038103008199</v>
      </c>
      <c r="K428">
        <v>0.15724238357445999</v>
      </c>
      <c r="L428">
        <v>1121.5768693975999</v>
      </c>
      <c r="M428">
        <v>21.289166343580501</v>
      </c>
      <c r="N428">
        <v>53.365610528301801</v>
      </c>
      <c r="O428">
        <v>52.2247621751171</v>
      </c>
      <c r="P428">
        <v>-8.9766328953194793E-2</v>
      </c>
      <c r="Q428">
        <v>0.119194192731745</v>
      </c>
      <c r="R428">
        <v>0.98641481594096303</v>
      </c>
      <c r="S428" t="s">
        <v>6996</v>
      </c>
      <c r="T428" t="s">
        <v>13134</v>
      </c>
      <c r="U428" t="s">
        <v>13134</v>
      </c>
      <c r="V428" t="s">
        <v>13134</v>
      </c>
      <c r="W428" t="s">
        <v>13559</v>
      </c>
      <c r="X428">
        <v>3</v>
      </c>
      <c r="Y428" t="s">
        <v>20051</v>
      </c>
      <c r="Z428" t="s">
        <v>26396</v>
      </c>
      <c r="AA428">
        <v>0.58983074973732741</v>
      </c>
      <c r="AB428" t="str">
        <f>HYPERLINK("Melting_Curves/meltCurve_E5RGQ3_RWDD1.pdf", "Melting_Curves/meltCurve_E5RGQ3_RWDD1.pdf")</f>
        <v>Melting_Curves/meltCurve_E5RGQ3_RWDD1.pdf</v>
      </c>
    </row>
    <row r="429" spans="1:28" x14ac:dyDescent="0.25">
      <c r="A429" t="s">
        <v>433</v>
      </c>
      <c r="B429">
        <v>0.99472303558308395</v>
      </c>
      <c r="C429">
        <v>0.83639594484757196</v>
      </c>
      <c r="D429">
        <v>0.72235361174552704</v>
      </c>
      <c r="E429">
        <v>0.54376899165491299</v>
      </c>
      <c r="F429">
        <v>0.380535824407367</v>
      </c>
      <c r="G429">
        <v>0.110724488433232</v>
      </c>
      <c r="H429">
        <v>8.4606477812241801E-2</v>
      </c>
      <c r="I429">
        <v>6.2181436672673E-2</v>
      </c>
      <c r="J429">
        <v>8.2419429505370498E-2</v>
      </c>
      <c r="K429">
        <v>5.6027334934945897E-2</v>
      </c>
      <c r="L429">
        <v>543.21954800755702</v>
      </c>
      <c r="M429">
        <v>11.5982209053192</v>
      </c>
      <c r="N429">
        <v>46.8966957432946</v>
      </c>
      <c r="O429">
        <v>45.509041274894599</v>
      </c>
      <c r="P429">
        <v>-6.3260107326456205E-2</v>
      </c>
      <c r="Q429">
        <v>7.3940217488295303E-3</v>
      </c>
      <c r="R429">
        <v>0.98597042725781703</v>
      </c>
      <c r="S429" t="s">
        <v>6997</v>
      </c>
      <c r="T429" t="s">
        <v>13134</v>
      </c>
      <c r="U429" t="s">
        <v>13134</v>
      </c>
      <c r="V429" t="s">
        <v>13134</v>
      </c>
      <c r="W429" t="s">
        <v>13560</v>
      </c>
      <c r="X429">
        <v>3</v>
      </c>
      <c r="Y429" t="s">
        <v>20052</v>
      </c>
      <c r="Z429" t="s">
        <v>26397</v>
      </c>
      <c r="AA429">
        <v>0.36755609533632749</v>
      </c>
      <c r="AB429" t="str">
        <f>HYPERLINK("Melting_Curves/meltCurve_E5RGT6_FCHSD1.pdf", "Melting_Curves/meltCurve_E5RGT6_FCHSD1.pdf")</f>
        <v>Melting_Curves/meltCurve_E5RGT6_FCHSD1.pdf</v>
      </c>
    </row>
    <row r="430" spans="1:28" x14ac:dyDescent="0.25">
      <c r="A430" t="s">
        <v>434</v>
      </c>
      <c r="B430">
        <v>0.99472303558308395</v>
      </c>
      <c r="C430">
        <v>0.96558751544474797</v>
      </c>
      <c r="D430">
        <v>0.99457638610884602</v>
      </c>
      <c r="E430">
        <v>0.81549123353128194</v>
      </c>
      <c r="F430">
        <v>0.43685937363970001</v>
      </c>
      <c r="G430">
        <v>0.47625811301701998</v>
      </c>
      <c r="H430">
        <v>0.78483013372038901</v>
      </c>
      <c r="I430">
        <v>0.69609351037560796</v>
      </c>
      <c r="J430">
        <v>2.8269378391183899</v>
      </c>
      <c r="K430">
        <v>0.71739383482028496</v>
      </c>
      <c r="L430">
        <v>6079.3629815492905</v>
      </c>
      <c r="M430">
        <v>98.013010551607394</v>
      </c>
      <c r="O430">
        <v>62.000272915196497</v>
      </c>
      <c r="P430">
        <v>0.197606017926091</v>
      </c>
      <c r="Q430">
        <v>1.5</v>
      </c>
      <c r="R430">
        <v>0.222053745004369</v>
      </c>
      <c r="S430" t="s">
        <v>6998</v>
      </c>
      <c r="T430" t="s">
        <v>13134</v>
      </c>
      <c r="U430" t="s">
        <v>13134</v>
      </c>
      <c r="V430" t="s">
        <v>13134</v>
      </c>
      <c r="W430" t="s">
        <v>13387</v>
      </c>
      <c r="X430">
        <v>9</v>
      </c>
      <c r="Y430" t="s">
        <v>20053</v>
      </c>
      <c r="Z430" t="s">
        <v>26398</v>
      </c>
      <c r="AA430">
        <v>1.082552810074114</v>
      </c>
      <c r="AB430" t="str">
        <f>HYPERLINK("Melting_Curves/meltCurve_E5RGX5_STMN2.pdf", "Melting_Curves/meltCurve_E5RGX5_STMN2.pdf")</f>
        <v>Melting_Curves/meltCurve_E5RGX5_STMN2.pdf</v>
      </c>
    </row>
    <row r="431" spans="1:28" x14ac:dyDescent="0.25">
      <c r="A431" t="s">
        <v>435</v>
      </c>
      <c r="B431">
        <v>0.99472303558308395</v>
      </c>
      <c r="C431">
        <v>1.0557958527854101</v>
      </c>
      <c r="D431">
        <v>0.92133320344002301</v>
      </c>
      <c r="E431">
        <v>0.79321618212846401</v>
      </c>
      <c r="F431">
        <v>0.61267503497158804</v>
      </c>
      <c r="G431">
        <v>0.35079195950425601</v>
      </c>
      <c r="H431">
        <v>0.18857965820554701</v>
      </c>
      <c r="I431">
        <v>0.188815697258128</v>
      </c>
      <c r="J431">
        <v>0.18481991499901201</v>
      </c>
      <c r="K431">
        <v>0.17556694974381501</v>
      </c>
      <c r="L431">
        <v>863.30462740830899</v>
      </c>
      <c r="M431">
        <v>17.2016808400248</v>
      </c>
      <c r="N431">
        <v>51.240850135432296</v>
      </c>
      <c r="O431">
        <v>49.523682140660902</v>
      </c>
      <c r="P431">
        <v>-7.3905160828397598E-2</v>
      </c>
      <c r="Q431">
        <v>0.14895759602070099</v>
      </c>
      <c r="R431">
        <v>0.99138902036749099</v>
      </c>
      <c r="S431" t="s">
        <v>6999</v>
      </c>
      <c r="T431" t="s">
        <v>13134</v>
      </c>
      <c r="U431" t="s">
        <v>13134</v>
      </c>
      <c r="V431" t="s">
        <v>13134</v>
      </c>
      <c r="W431" t="s">
        <v>13561</v>
      </c>
      <c r="X431">
        <v>4</v>
      </c>
      <c r="Y431" t="s">
        <v>20054</v>
      </c>
      <c r="Z431" t="s">
        <v>26399</v>
      </c>
      <c r="AA431">
        <v>0.5374420091772466</v>
      </c>
      <c r="AB431" t="str">
        <f>HYPERLINK("Melting_Curves/meltCurve_E5RGY0_DERL1.pdf", "Melting_Curves/meltCurve_E5RGY0_DERL1.pdf")</f>
        <v>Melting_Curves/meltCurve_E5RGY0_DERL1.pdf</v>
      </c>
    </row>
    <row r="432" spans="1:28" x14ac:dyDescent="0.25">
      <c r="A432" t="s">
        <v>436</v>
      </c>
      <c r="B432">
        <v>0.99472303558308395</v>
      </c>
      <c r="C432">
        <v>2.72657771801462</v>
      </c>
      <c r="D432">
        <v>2.1485421082042699</v>
      </c>
      <c r="E432">
        <v>1.9666117946336901</v>
      </c>
      <c r="F432">
        <v>2.0237458220138298</v>
      </c>
      <c r="G432">
        <v>1.8481177288983299</v>
      </c>
      <c r="H432">
        <v>0.53852789280828595</v>
      </c>
      <c r="I432">
        <v>0.71944838478929496</v>
      </c>
      <c r="J432">
        <v>0.225050297340952</v>
      </c>
      <c r="K432">
        <v>0.17340205653313001</v>
      </c>
      <c r="L432">
        <v>1868.46708329123</v>
      </c>
      <c r="M432">
        <v>30.416123188373401</v>
      </c>
      <c r="N432">
        <v>61.817103467261703</v>
      </c>
      <c r="O432">
        <v>61.166442408035401</v>
      </c>
      <c r="P432">
        <v>-0.11354115636721999</v>
      </c>
      <c r="Q432">
        <v>8.6686194816443393E-2</v>
      </c>
      <c r="R432">
        <v>3.58449339021399E-2</v>
      </c>
      <c r="S432" t="s">
        <v>7000</v>
      </c>
      <c r="T432" t="s">
        <v>13134</v>
      </c>
      <c r="U432" t="s">
        <v>13134</v>
      </c>
      <c r="V432" t="s">
        <v>13134</v>
      </c>
      <c r="W432" t="s">
        <v>13562</v>
      </c>
      <c r="X432">
        <v>1</v>
      </c>
      <c r="Y432" t="s">
        <v>20055</v>
      </c>
      <c r="Z432" t="s">
        <v>26400</v>
      </c>
      <c r="AA432">
        <v>0.83110944472609594</v>
      </c>
      <c r="AB432" t="str">
        <f>HYPERLINK("Melting_Curves/meltCurve_E5RH36_IDO1.pdf", "Melting_Curves/meltCurve_E5RH36_IDO1.pdf")</f>
        <v>Melting_Curves/meltCurve_E5RH36_IDO1.pdf</v>
      </c>
    </row>
    <row r="433" spans="1:28" x14ac:dyDescent="0.25">
      <c r="A433" t="s">
        <v>437</v>
      </c>
      <c r="B433">
        <v>0.99472303558308395</v>
      </c>
      <c r="C433">
        <v>1.0140435997408499</v>
      </c>
      <c r="D433">
        <v>0.76297899393578705</v>
      </c>
      <c r="E433">
        <v>0.81811103271933605</v>
      </c>
      <c r="F433">
        <v>1.19216784687349</v>
      </c>
      <c r="G433">
        <v>0.462629464494414</v>
      </c>
      <c r="H433">
        <v>0.63311395588039099</v>
      </c>
      <c r="I433">
        <v>0.14454495999730399</v>
      </c>
      <c r="J433">
        <v>0.141733164331168</v>
      </c>
      <c r="K433">
        <v>0.20581447820321899</v>
      </c>
      <c r="L433">
        <v>1099.2765165332801</v>
      </c>
      <c r="M433">
        <v>19.7481096203371</v>
      </c>
      <c r="N433">
        <v>56.447144396648099</v>
      </c>
      <c r="O433">
        <v>55.1035404274717</v>
      </c>
      <c r="P433">
        <v>-7.8873109652826998E-2</v>
      </c>
      <c r="Q433">
        <v>0.119705503509333</v>
      </c>
      <c r="R433">
        <v>0.79122883800127897</v>
      </c>
      <c r="S433" t="s">
        <v>7001</v>
      </c>
      <c r="T433" t="s">
        <v>13134</v>
      </c>
      <c r="U433" t="s">
        <v>13134</v>
      </c>
      <c r="V433" t="s">
        <v>13134</v>
      </c>
      <c r="W433" t="s">
        <v>13563</v>
      </c>
      <c r="X433">
        <v>9</v>
      </c>
      <c r="Y433" t="s">
        <v>20056</v>
      </c>
      <c r="Z433" t="s">
        <v>26401</v>
      </c>
      <c r="AA433">
        <v>0.67689764031501987</v>
      </c>
      <c r="AB433" t="str">
        <f>HYPERLINK("Melting_Curves/meltCurve_E5RHC1_PPP2CB.pdf", "Melting_Curves/meltCurve_E5RHC1_PPP2CB.pdf")</f>
        <v>Melting_Curves/meltCurve_E5RHC1_PPP2CB.pdf</v>
      </c>
    </row>
    <row r="434" spans="1:28" x14ac:dyDescent="0.25">
      <c r="A434" t="s">
        <v>438</v>
      </c>
      <c r="B434">
        <v>0.99472303558308395</v>
      </c>
      <c r="C434">
        <v>0.90681284163539</v>
      </c>
      <c r="D434">
        <v>0.931550240782275</v>
      </c>
      <c r="E434">
        <v>0.77340910477034297</v>
      </c>
      <c r="F434">
        <v>0.52793223281565305</v>
      </c>
      <c r="G434">
        <v>0.24545296612495501</v>
      </c>
      <c r="H434">
        <v>7.2248835973775599E-2</v>
      </c>
      <c r="I434">
        <v>3.4987580568056002E-2</v>
      </c>
      <c r="J434">
        <v>3.61320550874136E-2</v>
      </c>
      <c r="K434">
        <v>3.2250873227935399E-2</v>
      </c>
      <c r="L434">
        <v>834.32145689568995</v>
      </c>
      <c r="M434">
        <v>16.624553458419101</v>
      </c>
      <c r="N434">
        <v>50.1860996745798</v>
      </c>
      <c r="O434">
        <v>49.476798990238301</v>
      </c>
      <c r="P434">
        <v>-8.4007430825309606E-2</v>
      </c>
      <c r="Q434">
        <v>0</v>
      </c>
      <c r="R434">
        <v>0.99392740242734401</v>
      </c>
      <c r="S434" t="s">
        <v>7002</v>
      </c>
      <c r="T434" t="s">
        <v>13134</v>
      </c>
      <c r="U434" t="s">
        <v>13134</v>
      </c>
      <c r="V434" t="s">
        <v>13134</v>
      </c>
      <c r="W434" t="s">
        <v>13564</v>
      </c>
      <c r="X434">
        <v>7</v>
      </c>
      <c r="Y434" t="s">
        <v>20057</v>
      </c>
      <c r="Z434" t="s">
        <v>26402</v>
      </c>
      <c r="AA434">
        <v>0.45737017536692709</v>
      </c>
      <c r="AB434" t="str">
        <f>HYPERLINK("Melting_Curves/meltCurve_E5RHG8_TCEB1.pdf", "Melting_Curves/meltCurve_E5RHG8_TCEB1.pdf")</f>
        <v>Melting_Curves/meltCurve_E5RHG8_TCEB1.pdf</v>
      </c>
    </row>
    <row r="435" spans="1:28" x14ac:dyDescent="0.25">
      <c r="A435" t="s">
        <v>439</v>
      </c>
      <c r="B435">
        <v>0.99472303558308395</v>
      </c>
      <c r="C435">
        <v>1.0272869861082601</v>
      </c>
      <c r="D435">
        <v>0.67262521560746302</v>
      </c>
      <c r="E435">
        <v>0.65943725234564199</v>
      </c>
      <c r="F435">
        <v>0.79314531718769898</v>
      </c>
      <c r="G435">
        <v>0.40273351879945701</v>
      </c>
      <c r="H435">
        <v>0.59670675933070105</v>
      </c>
      <c r="I435">
        <v>0.85509677368343895</v>
      </c>
      <c r="J435">
        <v>0.93741991187982199</v>
      </c>
      <c r="K435">
        <v>0.95151310678326395</v>
      </c>
      <c r="L435">
        <v>10332.8551820311</v>
      </c>
      <c r="M435">
        <v>250</v>
      </c>
      <c r="O435">
        <v>41.328776294792398</v>
      </c>
      <c r="P435">
        <v>-0.40267888668553498</v>
      </c>
      <c r="Q435">
        <v>0.73372439353176799</v>
      </c>
      <c r="R435">
        <v>0.333553505720871</v>
      </c>
      <c r="S435" t="s">
        <v>7003</v>
      </c>
      <c r="T435" t="s">
        <v>13134</v>
      </c>
      <c r="U435" t="s">
        <v>13134</v>
      </c>
      <c r="V435" t="s">
        <v>13134</v>
      </c>
      <c r="W435" t="s">
        <v>13565</v>
      </c>
      <c r="X435">
        <v>7</v>
      </c>
      <c r="Y435" t="s">
        <v>20058</v>
      </c>
      <c r="Z435" t="s">
        <v>26403</v>
      </c>
      <c r="AA435">
        <v>0.77218876414087056</v>
      </c>
      <c r="AB435" t="str">
        <f>HYPERLINK("Melting_Curves/meltCurve_E5RHG9_UQCRB.pdf", "Melting_Curves/meltCurve_E5RHG9_UQCRB.pdf")</f>
        <v>Melting_Curves/meltCurve_E5RHG9_UQCRB.pdf</v>
      </c>
    </row>
    <row r="436" spans="1:28" x14ac:dyDescent="0.25">
      <c r="A436" t="s">
        <v>440</v>
      </c>
      <c r="B436">
        <v>0.99472303558308395</v>
      </c>
      <c r="C436">
        <v>0.91417002737942699</v>
      </c>
      <c r="D436">
        <v>0.85590647905043205</v>
      </c>
      <c r="E436">
        <v>0.868572888198199</v>
      </c>
      <c r="F436">
        <v>0.76063734356302404</v>
      </c>
      <c r="G436">
        <v>0.57898695999741501</v>
      </c>
      <c r="H436">
        <v>0.51691587467973499</v>
      </c>
      <c r="I436">
        <v>0.48551801481242901</v>
      </c>
      <c r="J436">
        <v>0.61482922567346399</v>
      </c>
      <c r="K436">
        <v>0.67263564953491395</v>
      </c>
      <c r="L436">
        <v>636.63016604693996</v>
      </c>
      <c r="M436">
        <v>13.378293935977499</v>
      </c>
      <c r="O436">
        <v>46.561287558356902</v>
      </c>
      <c r="P436">
        <v>-3.2020448067226703E-2</v>
      </c>
      <c r="Q436">
        <v>0.55429977551104803</v>
      </c>
      <c r="R436">
        <v>0.84256747490782002</v>
      </c>
      <c r="S436" t="s">
        <v>7004</v>
      </c>
      <c r="T436" t="s">
        <v>13134</v>
      </c>
      <c r="U436" t="s">
        <v>13134</v>
      </c>
      <c r="V436" t="s">
        <v>13134</v>
      </c>
      <c r="W436" t="s">
        <v>13566</v>
      </c>
      <c r="X436">
        <v>1</v>
      </c>
      <c r="Y436" t="s">
        <v>20059</v>
      </c>
      <c r="Z436" t="s">
        <v>26404</v>
      </c>
      <c r="AA436">
        <v>0.72358614746224981</v>
      </c>
      <c r="AB436" t="str">
        <f>HYPERLINK("Melting_Curves/meltCurve_E5RHT1_PSEN2.pdf", "Melting_Curves/meltCurve_E5RHT1_PSEN2.pdf")</f>
        <v>Melting_Curves/meltCurve_E5RHT1_PSEN2.pdf</v>
      </c>
    </row>
    <row r="437" spans="1:28" x14ac:dyDescent="0.25">
      <c r="A437" t="s">
        <v>441</v>
      </c>
      <c r="B437">
        <v>0.99472303558308395</v>
      </c>
      <c r="C437">
        <v>1.0298703230886499</v>
      </c>
      <c r="D437">
        <v>1.07185329302726</v>
      </c>
      <c r="E437">
        <v>0.96400628332923599</v>
      </c>
      <c r="F437">
        <v>0.67068111651331896</v>
      </c>
      <c r="G437">
        <v>0.48107993435355301</v>
      </c>
      <c r="H437">
        <v>0.14748613615147901</v>
      </c>
      <c r="I437">
        <v>9.1570390423760306E-2</v>
      </c>
      <c r="J437">
        <v>6.5145250005697805E-2</v>
      </c>
      <c r="K437">
        <v>4.2902001034809699E-2</v>
      </c>
      <c r="L437">
        <v>1033.92211254374</v>
      </c>
      <c r="M437">
        <v>19.613580664214801</v>
      </c>
      <c r="N437">
        <v>52.8626404960198</v>
      </c>
      <c r="O437">
        <v>52.175791867884698</v>
      </c>
      <c r="P437">
        <v>-9.1470390023369402E-2</v>
      </c>
      <c r="Q437">
        <v>2.6720819198536298E-2</v>
      </c>
      <c r="R437">
        <v>0.98916235693910903</v>
      </c>
      <c r="S437" t="s">
        <v>7005</v>
      </c>
      <c r="T437" t="s">
        <v>13134</v>
      </c>
      <c r="U437" t="s">
        <v>13134</v>
      </c>
      <c r="V437" t="s">
        <v>13134</v>
      </c>
      <c r="W437" t="s">
        <v>13567</v>
      </c>
      <c r="X437">
        <v>1</v>
      </c>
      <c r="Y437" t="s">
        <v>20060</v>
      </c>
      <c r="Z437" t="s">
        <v>26405</v>
      </c>
      <c r="AA437">
        <v>0.54926729545933684</v>
      </c>
      <c r="AB437" t="str">
        <f>HYPERLINK("Melting_Curves/meltCurve_E5RHV2_ANKRD46.pdf", "Melting_Curves/meltCurve_E5RHV2_ANKRD46.pdf")</f>
        <v>Melting_Curves/meltCurve_E5RHV2_ANKRD46.pdf</v>
      </c>
    </row>
    <row r="438" spans="1:28" x14ac:dyDescent="0.25">
      <c r="A438" t="s">
        <v>442</v>
      </c>
      <c r="B438">
        <v>0.99472303558308395</v>
      </c>
      <c r="C438">
        <v>1.02576043818011</v>
      </c>
      <c r="D438">
        <v>0.76775409088518398</v>
      </c>
      <c r="E438">
        <v>0.63032459968277099</v>
      </c>
      <c r="F438">
        <v>0.37523590019077702</v>
      </c>
      <c r="G438">
        <v>0.163343765817591</v>
      </c>
      <c r="H438">
        <v>9.1354301637402699E-2</v>
      </c>
      <c r="I438">
        <v>7.2303557382269304E-2</v>
      </c>
      <c r="J438">
        <v>8.8098360877940707E-2</v>
      </c>
      <c r="K438">
        <v>7.5598379152865505E-2</v>
      </c>
      <c r="L438">
        <v>722.65670277055904</v>
      </c>
      <c r="M438">
        <v>15.166481818020801</v>
      </c>
      <c r="N438">
        <v>47.970031298752303</v>
      </c>
      <c r="O438">
        <v>46.842933511209402</v>
      </c>
      <c r="P438">
        <v>-7.7036116139389793E-2</v>
      </c>
      <c r="Q438">
        <v>4.8362477138359401E-2</v>
      </c>
      <c r="R438">
        <v>0.98926980014064103</v>
      </c>
      <c r="S438" t="s">
        <v>7006</v>
      </c>
      <c r="T438" t="s">
        <v>13134</v>
      </c>
      <c r="U438" t="s">
        <v>13134</v>
      </c>
      <c r="V438" t="s">
        <v>13134</v>
      </c>
      <c r="W438" t="s">
        <v>13568</v>
      </c>
      <c r="X438">
        <v>3</v>
      </c>
      <c r="Y438" t="s">
        <v>20061</v>
      </c>
      <c r="Z438" t="s">
        <v>26406</v>
      </c>
      <c r="AA438">
        <v>0.40686201355534829</v>
      </c>
      <c r="AB438" t="str">
        <f>HYPERLINK("Melting_Curves/meltCurve_E5RHW0_TMEM66.pdf", "Melting_Curves/meltCurve_E5RHW0_TMEM66.pdf")</f>
        <v>Melting_Curves/meltCurve_E5RHW0_TMEM66.pdf</v>
      </c>
    </row>
    <row r="439" spans="1:28" x14ac:dyDescent="0.25">
      <c r="A439" t="s">
        <v>443</v>
      </c>
      <c r="B439">
        <v>0.99472303558308395</v>
      </c>
      <c r="C439">
        <v>0.96213257238323302</v>
      </c>
      <c r="D439">
        <v>0.85916763246398598</v>
      </c>
      <c r="E439">
        <v>0.78398201183657801</v>
      </c>
      <c r="F439">
        <v>0.93136287003228002</v>
      </c>
      <c r="G439">
        <v>0.45478015088215401</v>
      </c>
      <c r="H439">
        <v>0.39434755321036002</v>
      </c>
      <c r="I439">
        <v>0.31071916599167299</v>
      </c>
      <c r="J439">
        <v>0.131224623600879</v>
      </c>
      <c r="K439">
        <v>0.28428686088500899</v>
      </c>
      <c r="L439">
        <v>668.57624708242702</v>
      </c>
      <c r="M439">
        <v>12.4937349869329</v>
      </c>
      <c r="N439">
        <v>54.882961250356502</v>
      </c>
      <c r="O439">
        <v>52.197463273976602</v>
      </c>
      <c r="P439">
        <v>-5.18331699620223E-2</v>
      </c>
      <c r="Q439">
        <v>0.13396550384314701</v>
      </c>
      <c r="R439">
        <v>0.91027767381105096</v>
      </c>
      <c r="S439" t="s">
        <v>7007</v>
      </c>
      <c r="T439" t="s">
        <v>13134</v>
      </c>
      <c r="U439" t="s">
        <v>13134</v>
      </c>
      <c r="V439" t="s">
        <v>13134</v>
      </c>
      <c r="W439" t="s">
        <v>13569</v>
      </c>
      <c r="X439">
        <v>3</v>
      </c>
      <c r="Y439" t="s">
        <v>20062</v>
      </c>
      <c r="Z439" t="s">
        <v>26407</v>
      </c>
      <c r="AA439">
        <v>0.62729174334295967</v>
      </c>
      <c r="AB439" t="str">
        <f>HYPERLINK("Melting_Curves/meltCurve_E5RI99_RPL30.pdf", "Melting_Curves/meltCurve_E5RI99_RPL30.pdf")</f>
        <v>Melting_Curves/meltCurve_E5RI99_RPL30.pdf</v>
      </c>
    </row>
    <row r="440" spans="1:28" x14ac:dyDescent="0.25">
      <c r="A440" t="s">
        <v>444</v>
      </c>
      <c r="B440">
        <v>0.99472303558308395</v>
      </c>
      <c r="C440">
        <v>0.83145468821330504</v>
      </c>
      <c r="D440">
        <v>0.81733979174820004</v>
      </c>
      <c r="E440">
        <v>0.70803988164915299</v>
      </c>
      <c r="F440">
        <v>0.68347828349498396</v>
      </c>
      <c r="G440">
        <v>0.42238295543652599</v>
      </c>
      <c r="H440">
        <v>0.17864870656279799</v>
      </c>
      <c r="I440">
        <v>0.12749998257801901</v>
      </c>
      <c r="J440">
        <v>0.151996595226251</v>
      </c>
      <c r="K440">
        <v>0.124659306736707</v>
      </c>
      <c r="L440">
        <v>481.32294072765501</v>
      </c>
      <c r="M440">
        <v>9.3651029365286895</v>
      </c>
      <c r="N440">
        <v>51.395370940359903</v>
      </c>
      <c r="O440">
        <v>49.2152668406247</v>
      </c>
      <c r="P440">
        <v>-4.76018546799803E-2</v>
      </c>
      <c r="Q440">
        <v>0</v>
      </c>
      <c r="R440">
        <v>0.957846000176236</v>
      </c>
      <c r="S440" t="s">
        <v>7008</v>
      </c>
      <c r="T440" t="s">
        <v>13134</v>
      </c>
      <c r="U440" t="s">
        <v>13134</v>
      </c>
      <c r="V440" t="s">
        <v>13134</v>
      </c>
      <c r="W440" t="s">
        <v>13570</v>
      </c>
      <c r="X440">
        <v>2</v>
      </c>
      <c r="Y440" t="s">
        <v>20063</v>
      </c>
      <c r="Z440" t="s">
        <v>26408</v>
      </c>
      <c r="AA440">
        <v>0.51002675233936623</v>
      </c>
      <c r="AB440" t="str">
        <f>HYPERLINK("Melting_Curves/meltCurve_E5RIA0_SORBS3.pdf", "Melting_Curves/meltCurve_E5RIA0_SORBS3.pdf")</f>
        <v>Melting_Curves/meltCurve_E5RIA0_SORBS3.pdf</v>
      </c>
    </row>
    <row r="441" spans="1:28" x14ac:dyDescent="0.25">
      <c r="A441" t="s">
        <v>445</v>
      </c>
      <c r="B441">
        <v>0.99472303558308395</v>
      </c>
      <c r="C441">
        <v>1.0272082119230299</v>
      </c>
      <c r="D441">
        <v>0.921862374671513</v>
      </c>
      <c r="E441">
        <v>0.62565983712766304</v>
      </c>
      <c r="F441">
        <v>0.22367015094847501</v>
      </c>
      <c r="G441">
        <v>0.12855410847999699</v>
      </c>
      <c r="H441">
        <v>0.12851075362598</v>
      </c>
      <c r="I441">
        <v>9.7802839686782994E-2</v>
      </c>
      <c r="J441">
        <v>7.6962587784008704E-2</v>
      </c>
      <c r="K441">
        <v>7.3174778272462507E-2</v>
      </c>
      <c r="L441">
        <v>1286.2435040366199</v>
      </c>
      <c r="M441">
        <v>27.284591068469901</v>
      </c>
      <c r="N441">
        <v>47.493114712112202</v>
      </c>
      <c r="O441">
        <v>46.890698097462902</v>
      </c>
      <c r="P441">
        <v>-0.13217597418299901</v>
      </c>
      <c r="Q441">
        <v>9.1389657162354504E-2</v>
      </c>
      <c r="R441">
        <v>0.99790872132133002</v>
      </c>
      <c r="S441" t="s">
        <v>7009</v>
      </c>
      <c r="T441" t="s">
        <v>13134</v>
      </c>
      <c r="U441" t="s">
        <v>13134</v>
      </c>
      <c r="V441" t="s">
        <v>13134</v>
      </c>
      <c r="W441" t="s">
        <v>13571</v>
      </c>
      <c r="X441">
        <v>7</v>
      </c>
      <c r="Y441" t="s">
        <v>20064</v>
      </c>
      <c r="Z441" t="s">
        <v>26409</v>
      </c>
      <c r="AA441">
        <v>0.40496588166050368</v>
      </c>
      <c r="AB441" t="str">
        <f>HYPERLINK("Melting_Curves/meltCurve_E5RIH5_TTI2.pdf", "Melting_Curves/meltCurve_E5RIH5_TTI2.pdf")</f>
        <v>Melting_Curves/meltCurve_E5RIH5_TTI2.pdf</v>
      </c>
    </row>
    <row r="442" spans="1:28" x14ac:dyDescent="0.25">
      <c r="A442" t="s">
        <v>446</v>
      </c>
      <c r="B442">
        <v>0.99472303558308395</v>
      </c>
      <c r="C442">
        <v>0.92346293524380996</v>
      </c>
      <c r="D442">
        <v>0.93293843717892599</v>
      </c>
      <c r="E442">
        <v>0.60851365699025495</v>
      </c>
      <c r="F442">
        <v>0.27990624608597597</v>
      </c>
      <c r="G442">
        <v>0.16605026510242399</v>
      </c>
      <c r="H442">
        <v>9.2087531785016802E-2</v>
      </c>
      <c r="I442">
        <v>5.9767621777991199E-2</v>
      </c>
      <c r="J442">
        <v>8.4033363833890595E-2</v>
      </c>
      <c r="K442">
        <v>9.1922331719957506E-2</v>
      </c>
      <c r="L442">
        <v>1010.81834789468</v>
      </c>
      <c r="M442">
        <v>21.357592431679301</v>
      </c>
      <c r="N442">
        <v>47.703266615994401</v>
      </c>
      <c r="O442">
        <v>46.9192297328186</v>
      </c>
      <c r="P442">
        <v>-0.10500870765819301</v>
      </c>
      <c r="Q442">
        <v>7.7273530611450494E-2</v>
      </c>
      <c r="R442">
        <v>0.99586434370863197</v>
      </c>
      <c r="S442" t="s">
        <v>7010</v>
      </c>
      <c r="T442" t="s">
        <v>13134</v>
      </c>
      <c r="U442" t="s">
        <v>13134</v>
      </c>
      <c r="V442" t="s">
        <v>13134</v>
      </c>
      <c r="W442" t="s">
        <v>13572</v>
      </c>
      <c r="X442">
        <v>3</v>
      </c>
      <c r="Y442" t="s">
        <v>20065</v>
      </c>
      <c r="Z442" t="s">
        <v>26410</v>
      </c>
      <c r="AA442">
        <v>0.40558679688641253</v>
      </c>
      <c r="AB442" t="str">
        <f>HYPERLINK("Melting_Curves/meltCurve_E5RIJ0_POLB.pdf", "Melting_Curves/meltCurve_E5RIJ0_POLB.pdf")</f>
        <v>Melting_Curves/meltCurve_E5RIJ0_POLB.pdf</v>
      </c>
    </row>
    <row r="443" spans="1:28" x14ac:dyDescent="0.25">
      <c r="A443" t="s">
        <v>447</v>
      </c>
      <c r="B443">
        <v>0.99472303558308395</v>
      </c>
      <c r="C443">
        <v>1.0924414650997301</v>
      </c>
      <c r="D443">
        <v>0.82644710377574504</v>
      </c>
      <c r="E443">
        <v>0.78265629521459601</v>
      </c>
      <c r="F443">
        <v>0.45997798790566502</v>
      </c>
      <c r="G443">
        <v>0.293176512756956</v>
      </c>
      <c r="H443">
        <v>0.12726005855766301</v>
      </c>
      <c r="I443">
        <v>0.142954393645118</v>
      </c>
      <c r="J443">
        <v>0.1021562382336</v>
      </c>
      <c r="K443">
        <v>6.0431207090545801E-2</v>
      </c>
      <c r="L443">
        <v>770.756861764522</v>
      </c>
      <c r="M443">
        <v>15.5756604055079</v>
      </c>
      <c r="N443">
        <v>49.928354651303003</v>
      </c>
      <c r="O443">
        <v>48.690531508388297</v>
      </c>
      <c r="P443">
        <v>-7.4810930349270693E-2</v>
      </c>
      <c r="Q443">
        <v>6.4626122859899798E-2</v>
      </c>
      <c r="R443">
        <v>0.98147170086745605</v>
      </c>
      <c r="S443" t="s">
        <v>7011</v>
      </c>
      <c r="T443" t="s">
        <v>13134</v>
      </c>
      <c r="U443" t="s">
        <v>13134</v>
      </c>
      <c r="V443" t="s">
        <v>13134</v>
      </c>
      <c r="W443" t="s">
        <v>13573</v>
      </c>
      <c r="X443">
        <v>3</v>
      </c>
      <c r="Y443" t="s">
        <v>20066</v>
      </c>
      <c r="Z443" t="s">
        <v>26411</v>
      </c>
      <c r="AA443">
        <v>0.47263593152475292</v>
      </c>
      <c r="AB443" t="str">
        <f>HYPERLINK("Melting_Curves/meltCurve_E5RIY0_TMEM55A.pdf", "Melting_Curves/meltCurve_E5RIY0_TMEM55A.pdf")</f>
        <v>Melting_Curves/meltCurve_E5RIY0_TMEM55A.pdf</v>
      </c>
    </row>
    <row r="444" spans="1:28" x14ac:dyDescent="0.25">
      <c r="A444" t="s">
        <v>448</v>
      </c>
      <c r="B444">
        <v>0.99472303558308395</v>
      </c>
      <c r="C444">
        <v>0.99362119286706496</v>
      </c>
      <c r="D444">
        <v>0.82376655235017104</v>
      </c>
      <c r="E444">
        <v>0.78646007722350197</v>
      </c>
      <c r="F444">
        <v>0.50723481188275399</v>
      </c>
      <c r="G444">
        <v>0.33051599152865402</v>
      </c>
      <c r="H444">
        <v>0.288632357892671</v>
      </c>
      <c r="I444">
        <v>0.34237365665215203</v>
      </c>
      <c r="J444">
        <v>0.361860959684772</v>
      </c>
      <c r="K444">
        <v>0.17001457973895701</v>
      </c>
      <c r="L444">
        <v>758.50417935094799</v>
      </c>
      <c r="M444">
        <v>15.7544206520526</v>
      </c>
      <c r="N444">
        <v>50.463248409680503</v>
      </c>
      <c r="O444">
        <v>47.3897914680784</v>
      </c>
      <c r="P444">
        <v>-6.1715106335755901E-2</v>
      </c>
      <c r="Q444">
        <v>0.25749800316517601</v>
      </c>
      <c r="R444">
        <v>0.960663411441398</v>
      </c>
      <c r="S444" t="s">
        <v>7012</v>
      </c>
      <c r="T444" t="s">
        <v>13134</v>
      </c>
      <c r="U444" t="s">
        <v>13134</v>
      </c>
      <c r="V444" t="s">
        <v>13134</v>
      </c>
      <c r="W444" t="s">
        <v>13574</v>
      </c>
      <c r="X444">
        <v>2</v>
      </c>
      <c r="Y444" t="s">
        <v>20067</v>
      </c>
      <c r="Z444" t="s">
        <v>26412</v>
      </c>
      <c r="AA444">
        <v>0.54835364774760387</v>
      </c>
      <c r="AB444" t="str">
        <f>HYPERLINK("Melting_Curves/meltCurve_E5RJ08_CHCHD7.pdf", "Melting_Curves/meltCurve_E5RJ08_CHCHD7.pdf")</f>
        <v>Melting_Curves/meltCurve_E5RJ08_CHCHD7.pdf</v>
      </c>
    </row>
    <row r="445" spans="1:28" x14ac:dyDescent="0.25">
      <c r="A445" t="s">
        <v>449</v>
      </c>
      <c r="B445">
        <v>0.99472303558308395</v>
      </c>
      <c r="C445">
        <v>0.98654133670167898</v>
      </c>
      <c r="D445">
        <v>1.0197851378909799</v>
      </c>
      <c r="E445">
        <v>0.87997580436772205</v>
      </c>
      <c r="F445">
        <v>0.33356145201529902</v>
      </c>
      <c r="G445">
        <v>9.3127998614996793E-2</v>
      </c>
      <c r="H445">
        <v>4.8518735095568997E-2</v>
      </c>
      <c r="I445">
        <v>3.16963769270018E-2</v>
      </c>
      <c r="J445">
        <v>3.7132019503100099E-2</v>
      </c>
      <c r="K445">
        <v>3.4463956684555902E-2</v>
      </c>
      <c r="L445">
        <v>1771.3266600434199</v>
      </c>
      <c r="M445">
        <v>36.081449635624899</v>
      </c>
      <c r="N445">
        <v>49.203919622317798</v>
      </c>
      <c r="O445">
        <v>48.942386751916402</v>
      </c>
      <c r="P445">
        <v>-0.17707310000677501</v>
      </c>
      <c r="Q445">
        <v>3.9245740788521902E-2</v>
      </c>
      <c r="R445">
        <v>0.99936876529858698</v>
      </c>
      <c r="S445" t="s">
        <v>7013</v>
      </c>
      <c r="T445" t="s">
        <v>13134</v>
      </c>
      <c r="U445" t="s">
        <v>13134</v>
      </c>
      <c r="V445" t="s">
        <v>13134</v>
      </c>
      <c r="W445" t="s">
        <v>13575</v>
      </c>
      <c r="X445">
        <v>4</v>
      </c>
      <c r="Y445" t="s">
        <v>20068</v>
      </c>
      <c r="Z445" t="s">
        <v>26413</v>
      </c>
      <c r="AA445">
        <v>0.43051874987177358</v>
      </c>
      <c r="AB445" t="str">
        <f>HYPERLINK("Melting_Curves/meltCurve_E5RJ86_ARMC1.pdf", "Melting_Curves/meltCurve_E5RJ86_ARMC1.pdf")</f>
        <v>Melting_Curves/meltCurve_E5RJ86_ARMC1.pdf</v>
      </c>
    </row>
    <row r="446" spans="1:28" x14ac:dyDescent="0.25">
      <c r="A446" t="s">
        <v>450</v>
      </c>
      <c r="B446">
        <v>0.99472303558308395</v>
      </c>
      <c r="C446">
        <v>0.83913843155602297</v>
      </c>
      <c r="D446">
        <v>1.0616814759583999</v>
      </c>
      <c r="E446">
        <v>0.71633083972088396</v>
      </c>
      <c r="F446">
        <v>0.46079440800466798</v>
      </c>
      <c r="G446">
        <v>0.239903878524791</v>
      </c>
      <c r="H446">
        <v>0.14365333351415299</v>
      </c>
      <c r="I446">
        <v>0.100223416090425</v>
      </c>
      <c r="J446">
        <v>0.102459264196596</v>
      </c>
      <c r="K446">
        <v>7.4384400095395001E-2</v>
      </c>
      <c r="L446">
        <v>923.94616261158603</v>
      </c>
      <c r="M446">
        <v>18.793926921857</v>
      </c>
      <c r="N446">
        <v>49.632784944881003</v>
      </c>
      <c r="O446">
        <v>48.615511561860998</v>
      </c>
      <c r="P446">
        <v>-8.8758573448618802E-2</v>
      </c>
      <c r="Q446">
        <v>8.1647480379350601E-2</v>
      </c>
      <c r="R446">
        <v>0.97240696654701797</v>
      </c>
      <c r="S446" t="s">
        <v>7014</v>
      </c>
      <c r="T446" t="s">
        <v>13134</v>
      </c>
      <c r="U446" t="s">
        <v>13134</v>
      </c>
      <c r="V446" t="s">
        <v>13134</v>
      </c>
      <c r="W446" t="s">
        <v>13576</v>
      </c>
      <c r="X446">
        <v>3</v>
      </c>
      <c r="Y446" t="s">
        <v>20069</v>
      </c>
      <c r="Z446" t="s">
        <v>26414</v>
      </c>
      <c r="AA446">
        <v>0.46747168663682348</v>
      </c>
      <c r="AB446" t="str">
        <f>HYPERLINK("Melting_Curves/meltCurve_E5RJ99_ZFAND1.pdf", "Melting_Curves/meltCurve_E5RJ99_ZFAND1.pdf")</f>
        <v>Melting_Curves/meltCurve_E5RJ99_ZFAND1.pdf</v>
      </c>
    </row>
    <row r="447" spans="1:28" x14ac:dyDescent="0.25">
      <c r="A447" t="s">
        <v>451</v>
      </c>
      <c r="B447">
        <v>0.99472303558308395</v>
      </c>
      <c r="C447">
        <v>0.92468346996031203</v>
      </c>
      <c r="D447">
        <v>0.92945926993346895</v>
      </c>
      <c r="E447">
        <v>0.70009844247219699</v>
      </c>
      <c r="F447">
        <v>0.44160477722897201</v>
      </c>
      <c r="G447">
        <v>0.187664579504317</v>
      </c>
      <c r="H447">
        <v>0.107965366469158</v>
      </c>
      <c r="I447">
        <v>7.8491491171191599E-2</v>
      </c>
      <c r="J447">
        <v>8.3329237838364503E-2</v>
      </c>
      <c r="K447">
        <v>6.4568568957431793E-2</v>
      </c>
      <c r="L447">
        <v>838.90759692607298</v>
      </c>
      <c r="M447">
        <v>17.182533988436699</v>
      </c>
      <c r="N447">
        <v>49.133513502042199</v>
      </c>
      <c r="O447">
        <v>48.176360695867302</v>
      </c>
      <c r="P447">
        <v>-8.4586028638467703E-2</v>
      </c>
      <c r="Q447">
        <v>5.14075339577304E-2</v>
      </c>
      <c r="R447">
        <v>0.99646012445762699</v>
      </c>
      <c r="S447" t="s">
        <v>7015</v>
      </c>
      <c r="T447" t="s">
        <v>13134</v>
      </c>
      <c r="U447" t="s">
        <v>13134</v>
      </c>
      <c r="V447" t="s">
        <v>13134</v>
      </c>
      <c r="W447" t="s">
        <v>13577</v>
      </c>
      <c r="X447">
        <v>2</v>
      </c>
      <c r="Y447" t="s">
        <v>20070</v>
      </c>
      <c r="Z447" t="s">
        <v>26415</v>
      </c>
      <c r="AA447">
        <v>0.44162587763553368</v>
      </c>
      <c r="AB447" t="str">
        <f>HYPERLINK("Melting_Curves/meltCurve_E5RJI7_MRPL13.pdf", "Melting_Curves/meltCurve_E5RJI7_MRPL13.pdf")</f>
        <v>Melting_Curves/meltCurve_E5RJI7_MRPL13.pdf</v>
      </c>
    </row>
    <row r="448" spans="1:28" x14ac:dyDescent="0.25">
      <c r="A448" t="s">
        <v>452</v>
      </c>
      <c r="B448">
        <v>0.99472303558308395</v>
      </c>
      <c r="C448">
        <v>0.94735955467817201</v>
      </c>
      <c r="D448">
        <v>0.966195936863399</v>
      </c>
      <c r="E448">
        <v>0.90661495484610399</v>
      </c>
      <c r="F448">
        <v>0.79242847534319805</v>
      </c>
      <c r="G448">
        <v>0.69118993546988705</v>
      </c>
      <c r="H448">
        <v>0.34857021928516202</v>
      </c>
      <c r="I448">
        <v>0.22575584539422899</v>
      </c>
      <c r="J448">
        <v>0.19585154630208301</v>
      </c>
      <c r="K448">
        <v>0.15753358661396</v>
      </c>
      <c r="L448">
        <v>820.59503512260699</v>
      </c>
      <c r="M448">
        <v>14.947899029245599</v>
      </c>
      <c r="N448">
        <v>55.585807160488002</v>
      </c>
      <c r="O448">
        <v>53.942602762045297</v>
      </c>
      <c r="P448">
        <v>-6.3426547522856896E-2</v>
      </c>
      <c r="Q448">
        <v>8.4542199527977605E-2</v>
      </c>
      <c r="R448">
        <v>0.98678272985881099</v>
      </c>
      <c r="S448" t="s">
        <v>7016</v>
      </c>
      <c r="T448" t="s">
        <v>13134</v>
      </c>
      <c r="U448" t="s">
        <v>13134</v>
      </c>
      <c r="V448" t="s">
        <v>13134</v>
      </c>
      <c r="W448" t="s">
        <v>13578</v>
      </c>
      <c r="X448">
        <v>18</v>
      </c>
      <c r="Y448" t="s">
        <v>20071</v>
      </c>
      <c r="Z448" t="s">
        <v>26416</v>
      </c>
      <c r="AA448">
        <v>0.64382157961359499</v>
      </c>
      <c r="AB448" t="str">
        <f>HYPERLINK("Melting_Curves/meltCurve_E5RJR5_SKP1.pdf", "Melting_Curves/meltCurve_E5RJR5_SKP1.pdf")</f>
        <v>Melting_Curves/meltCurve_E5RJR5_SKP1.pdf</v>
      </c>
    </row>
    <row r="449" spans="1:28" x14ac:dyDescent="0.25">
      <c r="A449" t="s">
        <v>453</v>
      </c>
      <c r="B449">
        <v>0.99472303558308395</v>
      </c>
      <c r="C449">
        <v>0.98888453652587605</v>
      </c>
      <c r="D449">
        <v>0.930690918497033</v>
      </c>
      <c r="E449">
        <v>0.75871372772901602</v>
      </c>
      <c r="F449">
        <v>0.55638468490244897</v>
      </c>
      <c r="G449">
        <v>0.28418217458322698</v>
      </c>
      <c r="H449">
        <v>0.22817993957807001</v>
      </c>
      <c r="I449">
        <v>9.1877376185137999E-2</v>
      </c>
      <c r="J449">
        <v>0.18724486883896499</v>
      </c>
      <c r="K449">
        <v>0.17567158561634699</v>
      </c>
      <c r="L449">
        <v>846.29568884884804</v>
      </c>
      <c r="M449">
        <v>17.088269945488399</v>
      </c>
      <c r="N449">
        <v>50.454685184139798</v>
      </c>
      <c r="O449">
        <v>48.861637334376297</v>
      </c>
      <c r="P449">
        <v>-7.5627740901011598E-2</v>
      </c>
      <c r="Q449">
        <v>0.13506246926292101</v>
      </c>
      <c r="R449">
        <v>0.99094694523652904</v>
      </c>
      <c r="S449" t="s">
        <v>7017</v>
      </c>
      <c r="T449" t="s">
        <v>13134</v>
      </c>
      <c r="U449" t="s">
        <v>13134</v>
      </c>
      <c r="V449" t="s">
        <v>13134</v>
      </c>
      <c r="W449" t="s">
        <v>13579</v>
      </c>
      <c r="X449">
        <v>1</v>
      </c>
      <c r="Y449" t="s">
        <v>20072</v>
      </c>
      <c r="Z449" t="s">
        <v>26417</v>
      </c>
      <c r="AA449">
        <v>0.51110915423907943</v>
      </c>
      <c r="AB449" t="str">
        <f>HYPERLINK("Melting_Curves/meltCurve_E5RJY1_NDRG1.pdf", "Melting_Curves/meltCurve_E5RJY1_NDRG1.pdf")</f>
        <v>Melting_Curves/meltCurve_E5RJY1_NDRG1.pdf</v>
      </c>
    </row>
    <row r="450" spans="1:28" x14ac:dyDescent="0.25">
      <c r="A450" t="s">
        <v>454</v>
      </c>
      <c r="B450">
        <v>0.99472303558308395</v>
      </c>
      <c r="C450">
        <v>0.937886598114542</v>
      </c>
      <c r="D450">
        <v>0.79437966252423198</v>
      </c>
      <c r="E450">
        <v>0.61132449027388203</v>
      </c>
      <c r="F450">
        <v>0.422575982028358</v>
      </c>
      <c r="G450">
        <v>0.29718583556966299</v>
      </c>
      <c r="H450">
        <v>0.25233645570691299</v>
      </c>
      <c r="I450">
        <v>0.217375379487172</v>
      </c>
      <c r="J450">
        <v>0.36009289039013997</v>
      </c>
      <c r="K450">
        <v>0.202936668591542</v>
      </c>
      <c r="L450">
        <v>706.32325615748402</v>
      </c>
      <c r="M450">
        <v>15.292864269144101</v>
      </c>
      <c r="N450">
        <v>48.238724539816197</v>
      </c>
      <c r="O450">
        <v>45.418315797773097</v>
      </c>
      <c r="P450">
        <v>-6.4053801654942594E-2</v>
      </c>
      <c r="Q450">
        <v>0.23913704401315899</v>
      </c>
      <c r="R450">
        <v>0.97888890953239505</v>
      </c>
      <c r="S450" t="s">
        <v>7018</v>
      </c>
      <c r="T450" t="s">
        <v>13134</v>
      </c>
      <c r="U450" t="s">
        <v>13134</v>
      </c>
      <c r="V450" t="s">
        <v>13134</v>
      </c>
      <c r="W450" t="s">
        <v>13580</v>
      </c>
      <c r="X450">
        <v>4</v>
      </c>
      <c r="Y450" t="s">
        <v>20073</v>
      </c>
      <c r="Z450" t="s">
        <v>26418</v>
      </c>
      <c r="AA450">
        <v>0.48896241947081559</v>
      </c>
      <c r="AB450" t="str">
        <f>HYPERLINK("Melting_Curves/meltCurve_E5RK82_CETN3.pdf", "Melting_Curves/meltCurve_E5RK82_CETN3.pdf")</f>
        <v>Melting_Curves/meltCurve_E5RK82_CETN3.pdf</v>
      </c>
    </row>
    <row r="451" spans="1:28" x14ac:dyDescent="0.25">
      <c r="A451" t="s">
        <v>455</v>
      </c>
      <c r="B451">
        <v>0.99472303558308395</v>
      </c>
      <c r="C451">
        <v>0.85162680255206202</v>
      </c>
      <c r="D451">
        <v>0.65428862190576598</v>
      </c>
      <c r="E451">
        <v>0.57818133263181704</v>
      </c>
      <c r="F451">
        <v>0.58978797830587004</v>
      </c>
      <c r="G451">
        <v>0.20518498784251499</v>
      </c>
      <c r="H451">
        <v>0.101931718944118</v>
      </c>
      <c r="I451">
        <v>1.9523689664557101E-2</v>
      </c>
      <c r="J451">
        <v>5.2355296389538002E-2</v>
      </c>
      <c r="K451">
        <v>6.5108775677642103E-2</v>
      </c>
      <c r="L451">
        <v>479.79318569097597</v>
      </c>
      <c r="M451">
        <v>9.9941897028338094</v>
      </c>
      <c r="N451">
        <v>48.007226369773001</v>
      </c>
      <c r="O451">
        <v>46.2039079591773</v>
      </c>
      <c r="P451">
        <v>-5.4102922029151797E-2</v>
      </c>
      <c r="Q451">
        <v>0</v>
      </c>
      <c r="R451">
        <v>0.94323656487281504</v>
      </c>
      <c r="S451" t="s">
        <v>7019</v>
      </c>
      <c r="T451" t="s">
        <v>13134</v>
      </c>
      <c r="U451" t="s">
        <v>13134</v>
      </c>
      <c r="V451" t="s">
        <v>13134</v>
      </c>
      <c r="W451" t="s">
        <v>13581</v>
      </c>
      <c r="X451">
        <v>4</v>
      </c>
      <c r="Y451" t="s">
        <v>20074</v>
      </c>
      <c r="Z451" t="s">
        <v>26419</v>
      </c>
      <c r="AA451">
        <v>0.40707733314739541</v>
      </c>
      <c r="AB451" t="str">
        <f>HYPERLINK("Melting_Curves/meltCurve_E7EM50_PIGG.pdf", "Melting_Curves/meltCurve_E7EM50_PIGG.pdf")</f>
        <v>Melting_Curves/meltCurve_E7EM50_PIGG.pdf</v>
      </c>
    </row>
    <row r="452" spans="1:28" x14ac:dyDescent="0.25">
      <c r="A452" t="s">
        <v>456</v>
      </c>
      <c r="B452">
        <v>0.99472303558308395</v>
      </c>
      <c r="C452">
        <v>0.96078502082310802</v>
      </c>
      <c r="D452">
        <v>0.83564690123150798</v>
      </c>
      <c r="E452">
        <v>0.73242463776296396</v>
      </c>
      <c r="F452">
        <v>0.68324602029713399</v>
      </c>
      <c r="G452">
        <v>0.33872336366017403</v>
      </c>
      <c r="H452">
        <v>0.11864468970853</v>
      </c>
      <c r="I452">
        <v>7.8171935337207704E-2</v>
      </c>
      <c r="J452">
        <v>7.5073441625808299E-2</v>
      </c>
      <c r="K452">
        <v>7.629838463883E-2</v>
      </c>
      <c r="L452">
        <v>663.223381548357</v>
      </c>
      <c r="M452">
        <v>12.964209286968901</v>
      </c>
      <c r="N452">
        <v>51.158028373318302</v>
      </c>
      <c r="O452">
        <v>49.986682630415601</v>
      </c>
      <c r="P452">
        <v>-6.4849894299904107E-2</v>
      </c>
      <c r="Q452">
        <v>0</v>
      </c>
      <c r="R452">
        <v>0.97599126663100999</v>
      </c>
      <c r="S452" t="s">
        <v>7020</v>
      </c>
      <c r="T452" t="s">
        <v>13134</v>
      </c>
      <c r="U452" t="s">
        <v>13134</v>
      </c>
      <c r="V452" t="s">
        <v>13134</v>
      </c>
      <c r="W452" t="s">
        <v>13582</v>
      </c>
      <c r="X452">
        <v>10</v>
      </c>
      <c r="Y452" t="s">
        <v>20075</v>
      </c>
      <c r="Z452" t="s">
        <v>26420</v>
      </c>
      <c r="AA452">
        <v>0.49568474857906147</v>
      </c>
      <c r="AB452" t="str">
        <f>HYPERLINK("Melting_Curves/meltCurve_E7EM64_COPS6.pdf", "Melting_Curves/meltCurve_E7EM64_COPS6.pdf")</f>
        <v>Melting_Curves/meltCurve_E7EM64_COPS6.pdf</v>
      </c>
    </row>
    <row r="453" spans="1:28" x14ac:dyDescent="0.25">
      <c r="A453" t="s">
        <v>457</v>
      </c>
      <c r="B453">
        <v>0.99472303558308395</v>
      </c>
      <c r="C453">
        <v>0.94920187087803698</v>
      </c>
      <c r="D453">
        <v>0.64555814944574896</v>
      </c>
      <c r="E453">
        <v>0.56820583806607705</v>
      </c>
      <c r="F453">
        <v>0.45238565110907503</v>
      </c>
      <c r="G453">
        <v>0.18626381962698499</v>
      </c>
      <c r="H453">
        <v>9.9314312610337102E-2</v>
      </c>
      <c r="I453">
        <v>9.3432192948425002E-2</v>
      </c>
      <c r="J453">
        <v>9.9264166311072405E-2</v>
      </c>
      <c r="K453">
        <v>0.1099093830241</v>
      </c>
      <c r="L453">
        <v>527.60141227493102</v>
      </c>
      <c r="M453">
        <v>11.1968874856488</v>
      </c>
      <c r="N453">
        <v>47.469042115098198</v>
      </c>
      <c r="O453">
        <v>45.692328655363902</v>
      </c>
      <c r="P453">
        <v>-5.8862505259533099E-2</v>
      </c>
      <c r="Q453">
        <v>3.9477050877411102E-2</v>
      </c>
      <c r="R453">
        <v>0.97160857499423403</v>
      </c>
      <c r="S453" t="s">
        <v>7021</v>
      </c>
      <c r="T453" t="s">
        <v>13134</v>
      </c>
      <c r="U453" t="s">
        <v>13134</v>
      </c>
      <c r="V453" t="s">
        <v>13134</v>
      </c>
      <c r="W453" t="s">
        <v>13583</v>
      </c>
      <c r="X453">
        <v>4</v>
      </c>
      <c r="Y453" t="s">
        <v>20076</v>
      </c>
      <c r="Z453" t="s">
        <v>26421</v>
      </c>
      <c r="AA453">
        <v>0.39841849625644671</v>
      </c>
      <c r="AB453" t="str">
        <f>HYPERLINK("Melting_Curves/meltCurve_E7EM95_RNF5.pdf", "Melting_Curves/meltCurve_E7EM95_RNF5.pdf")</f>
        <v>Melting_Curves/meltCurve_E7EM95_RNF5.pdf</v>
      </c>
    </row>
    <row r="454" spans="1:28" x14ac:dyDescent="0.25">
      <c r="A454" t="s">
        <v>458</v>
      </c>
      <c r="B454">
        <v>0.99472303558308395</v>
      </c>
      <c r="C454">
        <v>0.94744490350366295</v>
      </c>
      <c r="D454">
        <v>0.91590628531638596</v>
      </c>
      <c r="E454">
        <v>0.90875994473027</v>
      </c>
      <c r="F454">
        <v>0.78438177728720004</v>
      </c>
      <c r="G454">
        <v>0.53936112437969097</v>
      </c>
      <c r="H454">
        <v>0.36996958812323</v>
      </c>
      <c r="I454">
        <v>0.24014914946648699</v>
      </c>
      <c r="J454">
        <v>0.24039728439736799</v>
      </c>
      <c r="K454">
        <v>0.41386635320249099</v>
      </c>
      <c r="L454">
        <v>1063.80873355888</v>
      </c>
      <c r="M454">
        <v>20.4603770508098</v>
      </c>
      <c r="N454">
        <v>54.213583497995401</v>
      </c>
      <c r="O454">
        <v>51.504572333202702</v>
      </c>
      <c r="P454">
        <v>-7.1142765697501206E-2</v>
      </c>
      <c r="Q454">
        <v>0.28367524090688501</v>
      </c>
      <c r="R454">
        <v>0.95966749539652496</v>
      </c>
      <c r="S454" t="s">
        <v>7022</v>
      </c>
      <c r="T454" t="s">
        <v>13134</v>
      </c>
      <c r="U454" t="s">
        <v>13134</v>
      </c>
      <c r="V454" t="s">
        <v>13134</v>
      </c>
      <c r="W454" t="s">
        <v>13584</v>
      </c>
      <c r="X454">
        <v>4</v>
      </c>
      <c r="Y454" t="s">
        <v>20077</v>
      </c>
      <c r="Z454" t="s">
        <v>26422</v>
      </c>
      <c r="AA454">
        <v>0.65061003035169851</v>
      </c>
      <c r="AB454" t="str">
        <f>HYPERLINK("Melting_Curves/meltCurve_E7EMA9_ATHL1.pdf", "Melting_Curves/meltCurve_E7EMA9_ATHL1.pdf")</f>
        <v>Melting_Curves/meltCurve_E7EMA9_ATHL1.pdf</v>
      </c>
    </row>
    <row r="455" spans="1:28" x14ac:dyDescent="0.25">
      <c r="A455" t="s">
        <v>459</v>
      </c>
      <c r="B455">
        <v>0.99472303558308395</v>
      </c>
      <c r="C455">
        <v>0.95538376461426699</v>
      </c>
      <c r="D455">
        <v>0.79890538614043105</v>
      </c>
      <c r="E455">
        <v>0.69479412623711101</v>
      </c>
      <c r="F455">
        <v>0.84735027068839097</v>
      </c>
      <c r="G455">
        <v>0.45870137131552002</v>
      </c>
      <c r="H455">
        <v>0.32790259724801601</v>
      </c>
      <c r="I455">
        <v>0.229274545906548</v>
      </c>
      <c r="J455">
        <v>0.38033705425701198</v>
      </c>
      <c r="K455">
        <v>0.61840060395732799</v>
      </c>
      <c r="L455">
        <v>566.93962226185897</v>
      </c>
      <c r="M455">
        <v>11.709996638714401</v>
      </c>
      <c r="N455">
        <v>54.351913830579001</v>
      </c>
      <c r="O455">
        <v>47.067757988425598</v>
      </c>
      <c r="P455">
        <v>-3.9763791577129601E-2</v>
      </c>
      <c r="Q455">
        <v>0.36085508028588398</v>
      </c>
      <c r="R455">
        <v>0.74282379444719804</v>
      </c>
      <c r="S455" t="s">
        <v>7023</v>
      </c>
      <c r="T455" t="s">
        <v>13134</v>
      </c>
      <c r="U455" t="s">
        <v>13134</v>
      </c>
      <c r="V455" t="s">
        <v>13134</v>
      </c>
      <c r="W455" t="s">
        <v>13585</v>
      </c>
      <c r="X455">
        <v>9</v>
      </c>
      <c r="Y455" t="s">
        <v>20078</v>
      </c>
      <c r="Z455" t="s">
        <v>26423</v>
      </c>
      <c r="AA455">
        <v>0.62432531982901218</v>
      </c>
      <c r="AB455" t="str">
        <f>HYPERLINK("Melting_Curves/meltCurve_E7EMB6_DNPEP.pdf", "Melting_Curves/meltCurve_E7EMB6_DNPEP.pdf")</f>
        <v>Melting_Curves/meltCurve_E7EMB6_DNPEP.pdf</v>
      </c>
    </row>
    <row r="456" spans="1:28" x14ac:dyDescent="0.25">
      <c r="A456" t="s">
        <v>460</v>
      </c>
      <c r="B456">
        <v>0.99472303558308395</v>
      </c>
      <c r="C456">
        <v>0.82781656083667399</v>
      </c>
      <c r="D456">
        <v>0.54613100197839004</v>
      </c>
      <c r="E456">
        <v>0.317371351044337</v>
      </c>
      <c r="F456">
        <v>0.159002353425724</v>
      </c>
      <c r="G456">
        <v>0.124598727731382</v>
      </c>
      <c r="H456">
        <v>0.114430861337127</v>
      </c>
      <c r="I456">
        <v>7.8683073343469606E-2</v>
      </c>
      <c r="J456">
        <v>7.1728904466900098E-2</v>
      </c>
      <c r="K456">
        <v>8.0373794618935498E-2</v>
      </c>
      <c r="L456">
        <v>738.91014891804298</v>
      </c>
      <c r="M456">
        <v>17.056640534805499</v>
      </c>
      <c r="N456">
        <v>43.786722387660298</v>
      </c>
      <c r="O456">
        <v>42.738642092510503</v>
      </c>
      <c r="P456">
        <v>-9.1501177993148206E-2</v>
      </c>
      <c r="Q456">
        <v>8.2961837488631798E-2</v>
      </c>
      <c r="R456">
        <v>0.99652290135219401</v>
      </c>
      <c r="S456" t="s">
        <v>7024</v>
      </c>
      <c r="T456" t="s">
        <v>13134</v>
      </c>
      <c r="U456" t="s">
        <v>13134</v>
      </c>
      <c r="V456" t="s">
        <v>13134</v>
      </c>
      <c r="W456" t="s">
        <v>13586</v>
      </c>
      <c r="X456">
        <v>1</v>
      </c>
      <c r="Y456" t="s">
        <v>20079</v>
      </c>
      <c r="Z456" t="s">
        <v>26424</v>
      </c>
      <c r="AA456">
        <v>0.29412671610541169</v>
      </c>
      <c r="AB456" t="str">
        <f>HYPERLINK("Melting_Curves/meltCurve_E7EMD6_AKAP10.pdf", "Melting_Curves/meltCurve_E7EMD6_AKAP10.pdf")</f>
        <v>Melting_Curves/meltCurve_E7EMD6_AKAP10.pdf</v>
      </c>
    </row>
    <row r="457" spans="1:28" x14ac:dyDescent="0.25">
      <c r="A457" t="s">
        <v>461</v>
      </c>
      <c r="B457">
        <v>0.99472303558308395</v>
      </c>
      <c r="C457">
        <v>1.0415152149111999</v>
      </c>
      <c r="D457">
        <v>0.94538412173529096</v>
      </c>
      <c r="E457">
        <v>0.86176500583719196</v>
      </c>
      <c r="F457">
        <v>0.61393707831420796</v>
      </c>
      <c r="G457">
        <v>0.38145794168967401</v>
      </c>
      <c r="H457">
        <v>0.32886527653127501</v>
      </c>
      <c r="I457">
        <v>0.33364157820875701</v>
      </c>
      <c r="J457">
        <v>0.43491869011722201</v>
      </c>
      <c r="K457">
        <v>0.32641180504311801</v>
      </c>
      <c r="L457">
        <v>1265.74121284223</v>
      </c>
      <c r="M457">
        <v>25.745232088466</v>
      </c>
      <c r="N457">
        <v>51.535174788000099</v>
      </c>
      <c r="O457">
        <v>48.870354215515398</v>
      </c>
      <c r="P457">
        <v>-8.5995424636677503E-2</v>
      </c>
      <c r="Q457">
        <v>0.34705167284361899</v>
      </c>
      <c r="R457">
        <v>0.98258730529745097</v>
      </c>
      <c r="S457" t="s">
        <v>7025</v>
      </c>
      <c r="T457" t="s">
        <v>13134</v>
      </c>
      <c r="U457" t="s">
        <v>13134</v>
      </c>
      <c r="V457" t="s">
        <v>13134</v>
      </c>
      <c r="W457" t="s">
        <v>13587</v>
      </c>
      <c r="X457">
        <v>5</v>
      </c>
      <c r="Y457" t="s">
        <v>20080</v>
      </c>
      <c r="Z457" t="s">
        <v>26425</v>
      </c>
      <c r="AA457">
        <v>0.61714315378070872</v>
      </c>
      <c r="AB457" t="str">
        <f>HYPERLINK("Melting_Curves/meltCurve_E7EMM4_ASAH1.pdf", "Melting_Curves/meltCurve_E7EMM4_ASAH1.pdf")</f>
        <v>Melting_Curves/meltCurve_E7EMM4_ASAH1.pdf</v>
      </c>
    </row>
    <row r="458" spans="1:28" x14ac:dyDescent="0.25">
      <c r="A458" t="s">
        <v>462</v>
      </c>
      <c r="B458">
        <v>0.99472303558308395</v>
      </c>
      <c r="C458">
        <v>0.92089094146671302</v>
      </c>
      <c r="D458">
        <v>0.72731590362640197</v>
      </c>
      <c r="E458">
        <v>0.69004907254528902</v>
      </c>
      <c r="F458">
        <v>0.41712341082418902</v>
      </c>
      <c r="G458">
        <v>0.25453131353596398</v>
      </c>
      <c r="H458">
        <v>0.22682140020490499</v>
      </c>
      <c r="I458">
        <v>0.17023029304981999</v>
      </c>
      <c r="J458">
        <v>0.203924301628858</v>
      </c>
      <c r="K458">
        <v>0.150653700429218</v>
      </c>
      <c r="L458">
        <v>566.58893043429896</v>
      </c>
      <c r="M458">
        <v>11.950767194560401</v>
      </c>
      <c r="N458">
        <v>48.620227956618898</v>
      </c>
      <c r="O458">
        <v>46.141259761020997</v>
      </c>
      <c r="P458">
        <v>-5.6435896666685102E-2</v>
      </c>
      <c r="Q458">
        <v>0.12862976222806499</v>
      </c>
      <c r="R458">
        <v>0.98300238026845599</v>
      </c>
      <c r="S458" t="s">
        <v>7026</v>
      </c>
      <c r="T458" t="s">
        <v>13134</v>
      </c>
      <c r="U458" t="s">
        <v>13134</v>
      </c>
      <c r="V458" t="s">
        <v>13134</v>
      </c>
      <c r="W458" t="s">
        <v>13588</v>
      </c>
      <c r="X458">
        <v>6</v>
      </c>
      <c r="Y458" t="s">
        <v>20081</v>
      </c>
      <c r="Z458" t="s">
        <v>26426</v>
      </c>
      <c r="AA458">
        <v>0.45925600203265238</v>
      </c>
      <c r="AB458" t="str">
        <f>HYPERLINK("Melting_Curves/meltCurve_E7EMX7_RAI14.pdf", "Melting_Curves/meltCurve_E7EMX7_RAI14.pdf")</f>
        <v>Melting_Curves/meltCurve_E7EMX7_RAI14.pdf</v>
      </c>
    </row>
    <row r="459" spans="1:28" x14ac:dyDescent="0.25">
      <c r="A459" t="s">
        <v>463</v>
      </c>
      <c r="B459">
        <v>0.99472303558308395</v>
      </c>
      <c r="C459">
        <v>1.07200620714593</v>
      </c>
      <c r="D459">
        <v>0.74806467199821403</v>
      </c>
      <c r="E459">
        <v>0.38051314444010798</v>
      </c>
      <c r="F459">
        <v>0.19123394655734499</v>
      </c>
      <c r="G459">
        <v>8.5232824267082105E-2</v>
      </c>
      <c r="H459">
        <v>6.2999640320967304E-2</v>
      </c>
      <c r="I459">
        <v>3.5457943081877802E-2</v>
      </c>
      <c r="J459">
        <v>5.8028843309521003E-2</v>
      </c>
      <c r="K459">
        <v>4.5166291864789099E-2</v>
      </c>
      <c r="L459">
        <v>1019.53556162552</v>
      </c>
      <c r="M459">
        <v>22.4823358984005</v>
      </c>
      <c r="N459">
        <v>45.583338235511398</v>
      </c>
      <c r="O459">
        <v>44.994073700019698</v>
      </c>
      <c r="P459">
        <v>-0.11808391855287199</v>
      </c>
      <c r="Q459">
        <v>5.4730067848232797E-2</v>
      </c>
      <c r="R459">
        <v>0.98922241126467803</v>
      </c>
      <c r="S459" t="s">
        <v>7027</v>
      </c>
      <c r="T459" t="s">
        <v>13134</v>
      </c>
      <c r="U459" t="s">
        <v>13134</v>
      </c>
      <c r="V459" t="s">
        <v>13134</v>
      </c>
      <c r="W459" t="s">
        <v>13589</v>
      </c>
      <c r="X459">
        <v>2</v>
      </c>
      <c r="Y459" t="s">
        <v>20082</v>
      </c>
      <c r="Z459" t="s">
        <v>26427</v>
      </c>
      <c r="AA459">
        <v>0.32748232993190102</v>
      </c>
      <c r="AB459" t="str">
        <f>HYPERLINK("Melting_Curves/meltCurve_E7EN32_MEN1.pdf", "Melting_Curves/meltCurve_E7EN32_MEN1.pdf")</f>
        <v>Melting_Curves/meltCurve_E7EN32_MEN1.pdf</v>
      </c>
    </row>
    <row r="460" spans="1:28" x14ac:dyDescent="0.25">
      <c r="A460" t="s">
        <v>464</v>
      </c>
      <c r="B460">
        <v>0.99472303558308395</v>
      </c>
      <c r="C460">
        <v>0.98993771730813895</v>
      </c>
      <c r="D460">
        <v>0.904479940104155</v>
      </c>
      <c r="E460">
        <v>0.89484292264779197</v>
      </c>
      <c r="F460">
        <v>0.76764718017330802</v>
      </c>
      <c r="G460">
        <v>0.48336472421180798</v>
      </c>
      <c r="H460">
        <v>0.27000442669160901</v>
      </c>
      <c r="I460">
        <v>0.18433318278618499</v>
      </c>
      <c r="J460">
        <v>0.19627940281518799</v>
      </c>
      <c r="K460">
        <v>0.25779513224037798</v>
      </c>
      <c r="L460">
        <v>1052.5000369678201</v>
      </c>
      <c r="M460">
        <v>20.198019364400299</v>
      </c>
      <c r="N460">
        <v>53.349960223836803</v>
      </c>
      <c r="O460">
        <v>51.606345763995101</v>
      </c>
      <c r="P460">
        <v>-7.9509256274945497E-2</v>
      </c>
      <c r="Q460">
        <v>0.18743448029815099</v>
      </c>
      <c r="R460">
        <v>0.985427306297184</v>
      </c>
      <c r="S460" t="s">
        <v>7028</v>
      </c>
      <c r="T460" t="s">
        <v>13134</v>
      </c>
      <c r="U460" t="s">
        <v>13134</v>
      </c>
      <c r="V460" t="s">
        <v>13134</v>
      </c>
      <c r="W460" t="s">
        <v>13590</v>
      </c>
      <c r="X460">
        <v>6</v>
      </c>
      <c r="Y460" t="s">
        <v>20083</v>
      </c>
      <c r="Z460" t="s">
        <v>26428</v>
      </c>
      <c r="AA460">
        <v>0.6069834701999357</v>
      </c>
      <c r="AB460" t="str">
        <f>HYPERLINK("Melting_Curves/meltCurve_E7EN73_KIAA0319L.pdf", "Melting_Curves/meltCurve_E7EN73_KIAA0319L.pdf")</f>
        <v>Melting_Curves/meltCurve_E7EN73_KIAA0319L.pdf</v>
      </c>
    </row>
    <row r="461" spans="1:28" x14ac:dyDescent="0.25">
      <c r="A461" t="s">
        <v>465</v>
      </c>
      <c r="B461">
        <v>0.99472303558308395</v>
      </c>
      <c r="C461">
        <v>0.86291533857776903</v>
      </c>
      <c r="D461">
        <v>0.50731355389223598</v>
      </c>
      <c r="E461">
        <v>0.28067680272361301</v>
      </c>
      <c r="F461">
        <v>0.105559356187444</v>
      </c>
      <c r="G461">
        <v>8.7269261858517702E-2</v>
      </c>
      <c r="H461">
        <v>6.7167637246374104E-2</v>
      </c>
      <c r="I461">
        <v>4.9505815098247002E-2</v>
      </c>
      <c r="J461">
        <v>8.54316276635778E-2</v>
      </c>
      <c r="K461">
        <v>5.78826690038447E-2</v>
      </c>
      <c r="L461">
        <v>853.56700263700498</v>
      </c>
      <c r="M461">
        <v>19.7953488446989</v>
      </c>
      <c r="N461">
        <v>43.425082133718398</v>
      </c>
      <c r="O461">
        <v>42.6867563357116</v>
      </c>
      <c r="P461">
        <v>-0.10840168334701999</v>
      </c>
      <c r="Q461">
        <v>6.50005925717764E-2</v>
      </c>
      <c r="R461">
        <v>0.99525382552543495</v>
      </c>
      <c r="S461" t="s">
        <v>7029</v>
      </c>
      <c r="T461" t="s">
        <v>13134</v>
      </c>
      <c r="U461" t="s">
        <v>13134</v>
      </c>
      <c r="V461" t="s">
        <v>13134</v>
      </c>
      <c r="W461" t="s">
        <v>13591</v>
      </c>
      <c r="X461">
        <v>2</v>
      </c>
      <c r="Y461" t="s">
        <v>20084</v>
      </c>
      <c r="Z461" t="s">
        <v>26429</v>
      </c>
      <c r="AA461">
        <v>0.26898696494566787</v>
      </c>
      <c r="AB461" t="str">
        <f>HYPERLINK("Melting_Curves/meltCurve_E7EN86_ZNF143.pdf", "Melting_Curves/meltCurve_E7EN86_ZNF143.pdf")</f>
        <v>Melting_Curves/meltCurve_E7EN86_ZNF143.pdf</v>
      </c>
    </row>
    <row r="462" spans="1:28" x14ac:dyDescent="0.25">
      <c r="A462" t="s">
        <v>466</v>
      </c>
      <c r="B462">
        <v>0.99472303558308395</v>
      </c>
      <c r="C462">
        <v>0.91953197397576003</v>
      </c>
      <c r="D462">
        <v>0.86002952544540601</v>
      </c>
      <c r="E462">
        <v>0.76998206257462998</v>
      </c>
      <c r="F462">
        <v>0.66787847524396204</v>
      </c>
      <c r="G462">
        <v>0.242046404116917</v>
      </c>
      <c r="H462">
        <v>0.128964202336491</v>
      </c>
      <c r="I462">
        <v>9.4169616589090302E-2</v>
      </c>
      <c r="J462">
        <v>0.129655265252649</v>
      </c>
      <c r="K462">
        <v>0.12881953980128999</v>
      </c>
      <c r="L462">
        <v>815.45067182664297</v>
      </c>
      <c r="M462">
        <v>16.184321764710699</v>
      </c>
      <c r="N462">
        <v>50.840234933241703</v>
      </c>
      <c r="O462">
        <v>49.6348103975158</v>
      </c>
      <c r="P462">
        <v>-7.6026601637248697E-2</v>
      </c>
      <c r="Q462">
        <v>6.7422614339363807E-2</v>
      </c>
      <c r="R462">
        <v>0.96991010760682395</v>
      </c>
      <c r="S462" t="s">
        <v>7030</v>
      </c>
      <c r="T462" t="s">
        <v>13134</v>
      </c>
      <c r="U462" t="s">
        <v>13134</v>
      </c>
      <c r="V462" t="s">
        <v>13134</v>
      </c>
      <c r="W462" t="s">
        <v>13592</v>
      </c>
      <c r="X462">
        <v>6</v>
      </c>
      <c r="Y462" t="s">
        <v>20085</v>
      </c>
      <c r="Z462" t="s">
        <v>26430</v>
      </c>
      <c r="AA462">
        <v>0.50075421137496678</v>
      </c>
      <c r="AB462" t="str">
        <f>HYPERLINK("Melting_Curves/meltCurve_E7ENA9_NCSTN.pdf", "Melting_Curves/meltCurve_E7ENA9_NCSTN.pdf")</f>
        <v>Melting_Curves/meltCurve_E7ENA9_NCSTN.pdf</v>
      </c>
    </row>
    <row r="463" spans="1:28" x14ac:dyDescent="0.25">
      <c r="A463" t="s">
        <v>467</v>
      </c>
      <c r="B463">
        <v>0.99472303558308395</v>
      </c>
      <c r="C463">
        <v>1.09631159001804</v>
      </c>
      <c r="D463">
        <v>0.90166026506701602</v>
      </c>
      <c r="E463">
        <v>0.77735389564410395</v>
      </c>
      <c r="F463">
        <v>0.38056211495630698</v>
      </c>
      <c r="G463">
        <v>0.13095636612220099</v>
      </c>
      <c r="H463">
        <v>8.0130082271217706E-2</v>
      </c>
      <c r="I463">
        <v>6.3108218953596903E-2</v>
      </c>
      <c r="J463">
        <v>8.1343573638146996E-2</v>
      </c>
      <c r="K463">
        <v>6.1051388852181601E-2</v>
      </c>
      <c r="L463">
        <v>1169.5986245968299</v>
      </c>
      <c r="M463">
        <v>23.988388715785401</v>
      </c>
      <c r="N463">
        <v>49.015471853786998</v>
      </c>
      <c r="O463">
        <v>48.421822341779198</v>
      </c>
      <c r="P463">
        <v>-0.11649130833672</v>
      </c>
      <c r="Q463">
        <v>5.94396067886813E-2</v>
      </c>
      <c r="R463">
        <v>0.991257819558096</v>
      </c>
      <c r="S463" t="s">
        <v>7031</v>
      </c>
      <c r="T463" t="s">
        <v>13134</v>
      </c>
      <c r="U463" t="s">
        <v>13134</v>
      </c>
      <c r="V463" t="s">
        <v>13134</v>
      </c>
      <c r="W463" t="s">
        <v>13593</v>
      </c>
      <c r="X463">
        <v>12</v>
      </c>
      <c r="Y463" t="s">
        <v>20086</v>
      </c>
      <c r="Z463" t="s">
        <v>26431</v>
      </c>
      <c r="AA463">
        <v>0.4368199862129547</v>
      </c>
      <c r="AB463" t="str">
        <f>HYPERLINK("Melting_Curves/meltCurve_E7ENK0_CALCOCO2.pdf", "Melting_Curves/meltCurve_E7ENK0_CALCOCO2.pdf")</f>
        <v>Melting_Curves/meltCurve_E7ENK0_CALCOCO2.pdf</v>
      </c>
    </row>
    <row r="464" spans="1:28" x14ac:dyDescent="0.25">
      <c r="A464" t="s">
        <v>468</v>
      </c>
      <c r="B464">
        <v>0.99472303558308395</v>
      </c>
      <c r="C464">
        <v>0.84440506271691596</v>
      </c>
      <c r="D464">
        <v>1.08624839818743</v>
      </c>
      <c r="E464">
        <v>0.76391022866796598</v>
      </c>
      <c r="F464">
        <v>0.13154753314923101</v>
      </c>
      <c r="G464">
        <v>5.6289835085131697E-2</v>
      </c>
      <c r="H464">
        <v>3.2874631324084198E-2</v>
      </c>
      <c r="I464">
        <v>1.7936731882878702E-2</v>
      </c>
      <c r="J464">
        <v>1.92315514787465E-2</v>
      </c>
      <c r="K464">
        <v>1.9013111714262398E-2</v>
      </c>
      <c r="L464">
        <v>2171.9960694983802</v>
      </c>
      <c r="M464">
        <v>45.439896419087901</v>
      </c>
      <c r="N464">
        <v>47.860607936377797</v>
      </c>
      <c r="O464">
        <v>47.707017161605798</v>
      </c>
      <c r="P464">
        <v>-0.231389554973496</v>
      </c>
      <c r="Q464">
        <v>2.8264362750818901E-2</v>
      </c>
      <c r="R464">
        <v>0.98248840016873695</v>
      </c>
      <c r="S464" t="s">
        <v>7032</v>
      </c>
      <c r="T464" t="s">
        <v>13134</v>
      </c>
      <c r="U464" t="s">
        <v>13134</v>
      </c>
      <c r="V464" t="s">
        <v>13134</v>
      </c>
      <c r="W464" t="s">
        <v>13594</v>
      </c>
      <c r="X464">
        <v>1</v>
      </c>
      <c r="Y464" t="s">
        <v>20087</v>
      </c>
      <c r="Z464" t="s">
        <v>26432</v>
      </c>
      <c r="AA464">
        <v>0.38055065526567178</v>
      </c>
      <c r="AB464" t="str">
        <f>HYPERLINK("Melting_Curves/meltCurve_E7ENN3_SYNE1.pdf", "Melting_Curves/meltCurve_E7ENN3_SYNE1.pdf")</f>
        <v>Melting_Curves/meltCurve_E7ENN3_SYNE1.pdf</v>
      </c>
    </row>
    <row r="465" spans="1:28" x14ac:dyDescent="0.25">
      <c r="A465" t="s">
        <v>469</v>
      </c>
      <c r="B465">
        <v>0.99472303558308395</v>
      </c>
      <c r="C465">
        <v>0.96104179171300597</v>
      </c>
      <c r="D465">
        <v>0.85523631798974398</v>
      </c>
      <c r="E465">
        <v>0.43302925970961897</v>
      </c>
      <c r="F465">
        <v>0.23697779614456699</v>
      </c>
      <c r="G465">
        <v>0.13030992232799801</v>
      </c>
      <c r="H465">
        <v>8.0256090074615094E-2</v>
      </c>
      <c r="I465">
        <v>5.8624108271906103E-2</v>
      </c>
      <c r="J465">
        <v>8.3984494862997194E-2</v>
      </c>
      <c r="K465">
        <v>8.0916331740396197E-2</v>
      </c>
      <c r="L465">
        <v>996.88709288528105</v>
      </c>
      <c r="M465">
        <v>21.710176685428699</v>
      </c>
      <c r="N465">
        <v>46.281820726948197</v>
      </c>
      <c r="O465">
        <v>45.533708583078003</v>
      </c>
      <c r="P465">
        <v>-0.109849344742093</v>
      </c>
      <c r="Q465">
        <v>7.8454408765161396E-2</v>
      </c>
      <c r="R465">
        <v>0.99717905050761702</v>
      </c>
      <c r="S465" t="s">
        <v>7033</v>
      </c>
      <c r="T465" t="s">
        <v>13134</v>
      </c>
      <c r="U465" t="s">
        <v>13134</v>
      </c>
      <c r="V465" t="s">
        <v>13134</v>
      </c>
      <c r="W465" t="s">
        <v>13595</v>
      </c>
      <c r="X465">
        <v>15</v>
      </c>
      <c r="Y465" t="s">
        <v>20088</v>
      </c>
      <c r="Z465" t="s">
        <v>26433</v>
      </c>
      <c r="AA465">
        <v>0.36258850906780532</v>
      </c>
      <c r="AB465" t="str">
        <f>HYPERLINK("Melting_Curves/meltCurve_E7ENU4_ADAR.pdf", "Melting_Curves/meltCurve_E7ENU4_ADAR.pdf")</f>
        <v>Melting_Curves/meltCurve_E7ENU4_ADAR.pdf</v>
      </c>
    </row>
    <row r="466" spans="1:28" x14ac:dyDescent="0.25">
      <c r="A466" t="s">
        <v>470</v>
      </c>
      <c r="B466">
        <v>0.99472303558308395</v>
      </c>
      <c r="C466">
        <v>0.841570919798314</v>
      </c>
      <c r="D466">
        <v>0.86108027133768295</v>
      </c>
      <c r="E466">
        <v>0.82680019425295503</v>
      </c>
      <c r="F466">
        <v>0.91765217390163201</v>
      </c>
      <c r="G466">
        <v>0.29567587768055498</v>
      </c>
      <c r="H466">
        <v>0.16160377219024499</v>
      </c>
      <c r="I466">
        <v>0.11018641873818499</v>
      </c>
      <c r="J466">
        <v>7.8771348468572797E-2</v>
      </c>
      <c r="K466">
        <v>0.101282695204</v>
      </c>
      <c r="L466">
        <v>2520.40219528745</v>
      </c>
      <c r="M466">
        <v>48.106659543119498</v>
      </c>
      <c r="N466">
        <v>52.657474010151802</v>
      </c>
      <c r="O466">
        <v>52.301659181467102</v>
      </c>
      <c r="P466">
        <v>-0.20518409661822301</v>
      </c>
      <c r="Q466">
        <v>0.107694500368108</v>
      </c>
      <c r="R466">
        <v>0.94590296942513297</v>
      </c>
      <c r="S466" t="s">
        <v>7034</v>
      </c>
      <c r="T466" t="s">
        <v>13134</v>
      </c>
      <c r="U466" t="s">
        <v>13134</v>
      </c>
      <c r="V466" t="s">
        <v>13134</v>
      </c>
      <c r="W466" t="s">
        <v>13596</v>
      </c>
      <c r="X466">
        <v>5</v>
      </c>
      <c r="Y466" t="s">
        <v>20089</v>
      </c>
      <c r="Z466" t="s">
        <v>26434</v>
      </c>
      <c r="AA466">
        <v>0.56773263732028711</v>
      </c>
      <c r="AB466" t="str">
        <f>HYPERLINK("Melting_Curves/meltCurve_E7EPB3_RPL14.pdf", "Melting_Curves/meltCurve_E7EPB3_RPL14.pdf")</f>
        <v>Melting_Curves/meltCurve_E7EPB3_RPL14.pdf</v>
      </c>
    </row>
    <row r="467" spans="1:28" x14ac:dyDescent="0.25">
      <c r="A467" t="s">
        <v>471</v>
      </c>
      <c r="B467">
        <v>0.99472303558308395</v>
      </c>
      <c r="C467">
        <v>1.0303363600491</v>
      </c>
      <c r="D467">
        <v>0.93267328215939205</v>
      </c>
      <c r="E467">
        <v>0.74314571247717698</v>
      </c>
      <c r="F467">
        <v>0.31452594139787299</v>
      </c>
      <c r="G467">
        <v>0.14841042522278</v>
      </c>
      <c r="H467">
        <v>9.1374208452238301E-2</v>
      </c>
      <c r="I467">
        <v>7.1656564110128704E-2</v>
      </c>
      <c r="J467">
        <v>7.3496694298514104E-2</v>
      </c>
      <c r="K467">
        <v>6.1322186961603797E-2</v>
      </c>
      <c r="L467">
        <v>1206.10144779596</v>
      </c>
      <c r="M467">
        <v>24.984499137427001</v>
      </c>
      <c r="N467">
        <v>48.564679577029899</v>
      </c>
      <c r="O467">
        <v>47.967904656745901</v>
      </c>
      <c r="P467">
        <v>-0.121172679504801</v>
      </c>
      <c r="Q467">
        <v>6.9451417451704398E-2</v>
      </c>
      <c r="R467">
        <v>0.99844535571628901</v>
      </c>
      <c r="S467" t="s">
        <v>7035</v>
      </c>
      <c r="T467" t="s">
        <v>13134</v>
      </c>
      <c r="U467" t="s">
        <v>13134</v>
      </c>
      <c r="V467" t="s">
        <v>13134</v>
      </c>
      <c r="W467" t="s">
        <v>13597</v>
      </c>
      <c r="X467">
        <v>7</v>
      </c>
      <c r="Y467" t="s">
        <v>20090</v>
      </c>
      <c r="Z467" t="s">
        <v>26435</v>
      </c>
      <c r="AA467">
        <v>0.42712213707985919</v>
      </c>
      <c r="AB467" t="str">
        <f>HYPERLINK("Melting_Curves/meltCurve_E7EPD0_TOM1.pdf", "Melting_Curves/meltCurve_E7EPD0_TOM1.pdf")</f>
        <v>Melting_Curves/meltCurve_E7EPD0_TOM1.pdf</v>
      </c>
    </row>
    <row r="468" spans="1:28" x14ac:dyDescent="0.25">
      <c r="A468" t="s">
        <v>472</v>
      </c>
      <c r="B468">
        <v>0.99472303558308395</v>
      </c>
      <c r="C468">
        <v>1.06265363942288</v>
      </c>
      <c r="D468">
        <v>0.88455472149464498</v>
      </c>
      <c r="E468">
        <v>0.51089428792784597</v>
      </c>
      <c r="F468">
        <v>0.32052236630245701</v>
      </c>
      <c r="G468">
        <v>0.187083187871077</v>
      </c>
      <c r="H468">
        <v>0.11340549816794999</v>
      </c>
      <c r="I468">
        <v>0.190211816011227</v>
      </c>
      <c r="J468">
        <v>0.106553695320397</v>
      </c>
      <c r="K468">
        <v>7.8138861911534602E-2</v>
      </c>
      <c r="L468">
        <v>996.03641096031095</v>
      </c>
      <c r="M468">
        <v>21.4077168516441</v>
      </c>
      <c r="N468">
        <v>47.1591198253656</v>
      </c>
      <c r="O468">
        <v>46.126683817547899</v>
      </c>
      <c r="P468">
        <v>-0.101557687252257</v>
      </c>
      <c r="Q468">
        <v>0.124726038555469</v>
      </c>
      <c r="R468">
        <v>0.98632796225720798</v>
      </c>
      <c r="S468" t="s">
        <v>7036</v>
      </c>
      <c r="T468" t="s">
        <v>13134</v>
      </c>
      <c r="U468" t="s">
        <v>13134</v>
      </c>
      <c r="V468" t="s">
        <v>13134</v>
      </c>
      <c r="W468" t="s">
        <v>13598</v>
      </c>
      <c r="X468">
        <v>2</v>
      </c>
      <c r="Y468" t="s">
        <v>20091</v>
      </c>
      <c r="Z468" t="s">
        <v>26436</v>
      </c>
      <c r="AA468">
        <v>0.41267324024846919</v>
      </c>
      <c r="AB468" t="str">
        <f>HYPERLINK("Melting_Curves/meltCurve_E7EPF0_ZCCHC17.pdf", "Melting_Curves/meltCurve_E7EPF0_ZCCHC17.pdf")</f>
        <v>Melting_Curves/meltCurve_E7EPF0_ZCCHC17.pdf</v>
      </c>
    </row>
    <row r="469" spans="1:28" x14ac:dyDescent="0.25">
      <c r="A469" t="s">
        <v>473</v>
      </c>
      <c r="B469">
        <v>0.99472303558308395</v>
      </c>
      <c r="C469">
        <v>0.91606870568789001</v>
      </c>
      <c r="D469">
        <v>0.89427931921356696</v>
      </c>
      <c r="E469">
        <v>0.41948485262424701</v>
      </c>
      <c r="F469">
        <v>0.187292319241252</v>
      </c>
      <c r="G469">
        <v>0.103654889621743</v>
      </c>
      <c r="H469">
        <v>7.5305035154272601E-2</v>
      </c>
      <c r="I469">
        <v>5.4556891343946499E-2</v>
      </c>
      <c r="J469">
        <v>6.0160121359683398E-2</v>
      </c>
      <c r="K469">
        <v>5.53812678752134E-2</v>
      </c>
      <c r="L469">
        <v>1148.4392017533301</v>
      </c>
      <c r="M469">
        <v>25.018788200489301</v>
      </c>
      <c r="N469">
        <v>46.161296149298501</v>
      </c>
      <c r="O469">
        <v>45.6128283992335</v>
      </c>
      <c r="P469">
        <v>-0.128173158552845</v>
      </c>
      <c r="Q469">
        <v>6.5300751306622301E-2</v>
      </c>
      <c r="R469">
        <v>0.99492119148112801</v>
      </c>
      <c r="S469" t="s">
        <v>7037</v>
      </c>
      <c r="T469" t="s">
        <v>13134</v>
      </c>
      <c r="U469" t="s">
        <v>13134</v>
      </c>
      <c r="V469" t="s">
        <v>13134</v>
      </c>
      <c r="W469" t="s">
        <v>13599</v>
      </c>
      <c r="X469">
        <v>15</v>
      </c>
      <c r="Y469" t="s">
        <v>20092</v>
      </c>
      <c r="Z469" t="s">
        <v>26437</v>
      </c>
      <c r="AA469">
        <v>0.35041452828765618</v>
      </c>
      <c r="AB469" t="str">
        <f>HYPERLINK("Melting_Curves/meltCurve_E7EPL4_PDXDC1.pdf", "Melting_Curves/meltCurve_E7EPL4_PDXDC1.pdf")</f>
        <v>Melting_Curves/meltCurve_E7EPL4_PDXDC1.pdf</v>
      </c>
    </row>
    <row r="470" spans="1:28" x14ac:dyDescent="0.25">
      <c r="A470" t="s">
        <v>474</v>
      </c>
      <c r="B470">
        <v>0.99472303558308395</v>
      </c>
      <c r="C470">
        <v>0.97672450054576598</v>
      </c>
      <c r="D470">
        <v>0.88474616000711304</v>
      </c>
      <c r="E470">
        <v>0.77680449837096699</v>
      </c>
      <c r="F470">
        <v>0.57063591200078501</v>
      </c>
      <c r="G470">
        <v>0.33262453749304799</v>
      </c>
      <c r="H470">
        <v>0.25697623062546399</v>
      </c>
      <c r="I470">
        <v>0.36140577277629199</v>
      </c>
      <c r="J470">
        <v>0.32565599971558501</v>
      </c>
      <c r="K470">
        <v>0.375334863905189</v>
      </c>
      <c r="L470">
        <v>960.21893658652004</v>
      </c>
      <c r="M470">
        <v>19.9514645002964</v>
      </c>
      <c r="N470">
        <v>50.648876273689503</v>
      </c>
      <c r="O470">
        <v>47.6520597541585</v>
      </c>
      <c r="P470">
        <v>-7.1725068206798595E-2</v>
      </c>
      <c r="Q470">
        <v>0.31479006788085201</v>
      </c>
      <c r="R470">
        <v>0.97338009321102703</v>
      </c>
      <c r="S470" t="s">
        <v>7038</v>
      </c>
      <c r="T470" t="s">
        <v>13134</v>
      </c>
      <c r="U470" t="s">
        <v>13134</v>
      </c>
      <c r="V470" t="s">
        <v>13134</v>
      </c>
      <c r="W470" t="s">
        <v>13600</v>
      </c>
      <c r="X470">
        <v>58</v>
      </c>
      <c r="Y470" t="s">
        <v>20093</v>
      </c>
      <c r="Z470" t="s">
        <v>26438</v>
      </c>
      <c r="AA470">
        <v>0.57799936172715738</v>
      </c>
      <c r="AB470" t="str">
        <f>HYPERLINK("Melting_Curves/meltCurve_E7EPN9_PRRC2C.pdf", "Melting_Curves/meltCurve_E7EPN9_PRRC2C.pdf")</f>
        <v>Melting_Curves/meltCurve_E7EPN9_PRRC2C.pdf</v>
      </c>
    </row>
    <row r="471" spans="1:28" x14ac:dyDescent="0.25">
      <c r="A471" t="s">
        <v>475</v>
      </c>
      <c r="B471">
        <v>0.99472303558308395</v>
      </c>
      <c r="C471">
        <v>0.82904097126941301</v>
      </c>
      <c r="D471">
        <v>0.60596807950984199</v>
      </c>
      <c r="E471">
        <v>0.23871207647494699</v>
      </c>
      <c r="F471">
        <v>0.101336748691985</v>
      </c>
      <c r="G471">
        <v>5.4045807685943803E-2</v>
      </c>
      <c r="H471">
        <v>3.0641915050962001E-2</v>
      </c>
      <c r="I471">
        <v>1.9435831726246799E-2</v>
      </c>
      <c r="J471">
        <v>1.7079356636107799E-2</v>
      </c>
      <c r="K471">
        <v>1.7745062116757498E-2</v>
      </c>
      <c r="L471">
        <v>813.19324493456099</v>
      </c>
      <c r="M471">
        <v>18.597767474339101</v>
      </c>
      <c r="N471">
        <v>43.8067020175748</v>
      </c>
      <c r="O471">
        <v>43.229175667116799</v>
      </c>
      <c r="P471">
        <v>-0.10573155475490301</v>
      </c>
      <c r="Q471">
        <v>1.69809968685154E-2</v>
      </c>
      <c r="R471">
        <v>0.99814344053293103</v>
      </c>
      <c r="S471" t="s">
        <v>7039</v>
      </c>
      <c r="T471" t="s">
        <v>13134</v>
      </c>
      <c r="U471" t="s">
        <v>13134</v>
      </c>
      <c r="V471" t="s">
        <v>13134</v>
      </c>
      <c r="W471" t="s">
        <v>13601</v>
      </c>
      <c r="X471">
        <v>4</v>
      </c>
      <c r="Y471" t="s">
        <v>20094</v>
      </c>
      <c r="Z471" t="s">
        <v>26439</v>
      </c>
      <c r="AA471">
        <v>0.25293297137518628</v>
      </c>
      <c r="AB471" t="str">
        <f>HYPERLINK("Melting_Curves/meltCurve_E7EPP7_STXBP4.pdf", "Melting_Curves/meltCurve_E7EPP7_STXBP4.pdf")</f>
        <v>Melting_Curves/meltCurve_E7EPP7_STXBP4.pdf</v>
      </c>
    </row>
    <row r="472" spans="1:28" x14ac:dyDescent="0.25">
      <c r="A472" t="s">
        <v>476</v>
      </c>
      <c r="B472">
        <v>0.99472303558308395</v>
      </c>
      <c r="C472">
        <v>0.95694623165607695</v>
      </c>
      <c r="D472">
        <v>0.82339231323480999</v>
      </c>
      <c r="E472">
        <v>0.74370017464901494</v>
      </c>
      <c r="F472">
        <v>0.66163785318136104</v>
      </c>
      <c r="G472">
        <v>0.389785812858151</v>
      </c>
      <c r="H472">
        <v>0.180576898211048</v>
      </c>
      <c r="I472">
        <v>0.13771406565656499</v>
      </c>
      <c r="J472">
        <v>0.121660980265884</v>
      </c>
      <c r="K472">
        <v>9.1839930975152598E-2</v>
      </c>
      <c r="L472">
        <v>561.12972900192005</v>
      </c>
      <c r="M472">
        <v>10.8856090418075</v>
      </c>
      <c r="N472">
        <v>51.547848715523301</v>
      </c>
      <c r="O472">
        <v>49.899752080027298</v>
      </c>
      <c r="P472">
        <v>-5.4556551226417498E-2</v>
      </c>
      <c r="Q472">
        <v>0</v>
      </c>
      <c r="R472">
        <v>0.984042681774985</v>
      </c>
      <c r="S472" t="s">
        <v>7040</v>
      </c>
      <c r="T472" t="s">
        <v>13134</v>
      </c>
      <c r="U472" t="s">
        <v>13134</v>
      </c>
      <c r="V472" t="s">
        <v>13134</v>
      </c>
      <c r="W472" t="s">
        <v>13602</v>
      </c>
      <c r="X472">
        <v>9</v>
      </c>
      <c r="Y472" t="s">
        <v>20095</v>
      </c>
      <c r="Z472" t="s">
        <v>26440</v>
      </c>
      <c r="AA472">
        <v>0.511794311249542</v>
      </c>
      <c r="AB472" t="str">
        <f>HYPERLINK("Melting_Curves/meltCurve_E7EPT4_NDUFV2.pdf", "Melting_Curves/meltCurve_E7EPT4_NDUFV2.pdf")</f>
        <v>Melting_Curves/meltCurve_E7EPT4_NDUFV2.pdf</v>
      </c>
    </row>
    <row r="473" spans="1:28" x14ac:dyDescent="0.25">
      <c r="A473" t="s">
        <v>477</v>
      </c>
      <c r="B473">
        <v>0.99472303558308395</v>
      </c>
      <c r="C473">
        <v>0.96646680666357598</v>
      </c>
      <c r="D473">
        <v>1.0037349032056</v>
      </c>
      <c r="E473">
        <v>0.80757778223130405</v>
      </c>
      <c r="F473">
        <v>0.57842658438791095</v>
      </c>
      <c r="G473">
        <v>0.498326326099364</v>
      </c>
      <c r="H473">
        <v>0.46471246227348301</v>
      </c>
      <c r="I473">
        <v>0.51070428670660195</v>
      </c>
      <c r="J473">
        <v>0.78163078342303205</v>
      </c>
      <c r="K473">
        <v>0.55406763448346996</v>
      </c>
      <c r="L473">
        <v>2657.9860525919498</v>
      </c>
      <c r="M473">
        <v>56.793833758849303</v>
      </c>
      <c r="O473">
        <v>46.742694467989601</v>
      </c>
      <c r="P473">
        <v>-0.13273354703676099</v>
      </c>
      <c r="Q473">
        <v>0.56302860973931101</v>
      </c>
      <c r="R473">
        <v>0.84845631856635695</v>
      </c>
      <c r="S473" t="s">
        <v>7041</v>
      </c>
      <c r="T473" t="s">
        <v>13134</v>
      </c>
      <c r="U473" t="s">
        <v>13134</v>
      </c>
      <c r="V473" t="s">
        <v>13134</v>
      </c>
      <c r="W473" t="s">
        <v>13603</v>
      </c>
      <c r="X473">
        <v>6</v>
      </c>
      <c r="Y473" t="s">
        <v>20096</v>
      </c>
      <c r="Z473" t="s">
        <v>26441</v>
      </c>
      <c r="AA473">
        <v>0.7064797677209963</v>
      </c>
      <c r="AB473" t="str">
        <f>HYPERLINK("Melting_Curves/meltCurve_E7EPV7_SNCA.pdf", "Melting_Curves/meltCurve_E7EPV7_SNCA.pdf")</f>
        <v>Melting_Curves/meltCurve_E7EPV7_SNCA.pdf</v>
      </c>
    </row>
    <row r="474" spans="1:28" x14ac:dyDescent="0.25">
      <c r="A474" t="s">
        <v>478</v>
      </c>
      <c r="B474">
        <v>0.99472303558308395</v>
      </c>
      <c r="C474">
        <v>0.93901189092485904</v>
      </c>
      <c r="D474">
        <v>0.73205153712849202</v>
      </c>
      <c r="E474">
        <v>0.58549926190347901</v>
      </c>
      <c r="F474">
        <v>0.39156640522355701</v>
      </c>
      <c r="G474">
        <v>0.155938979268093</v>
      </c>
      <c r="H474">
        <v>0.102600013201086</v>
      </c>
      <c r="I474">
        <v>5.1197877134902897E-2</v>
      </c>
      <c r="J474">
        <v>6.9962297277275404E-2</v>
      </c>
      <c r="K474">
        <v>4.9061000433884901E-2</v>
      </c>
      <c r="L474">
        <v>587.60980724379601</v>
      </c>
      <c r="M474">
        <v>12.359410964914</v>
      </c>
      <c r="N474">
        <v>47.610645353867497</v>
      </c>
      <c r="O474">
        <v>46.350292487995297</v>
      </c>
      <c r="P474">
        <v>-6.6101478365117899E-2</v>
      </c>
      <c r="Q474">
        <v>8.63745975175138E-3</v>
      </c>
      <c r="R474">
        <v>0.99253711494506403</v>
      </c>
      <c r="S474" t="s">
        <v>7042</v>
      </c>
      <c r="T474" t="s">
        <v>13134</v>
      </c>
      <c r="U474" t="s">
        <v>13134</v>
      </c>
      <c r="V474" t="s">
        <v>13134</v>
      </c>
      <c r="W474" t="s">
        <v>13604</v>
      </c>
      <c r="X474">
        <v>2</v>
      </c>
      <c r="Y474" t="s">
        <v>20097</v>
      </c>
      <c r="Z474" t="s">
        <v>26442</v>
      </c>
      <c r="AA474">
        <v>0.38738116429939728</v>
      </c>
      <c r="AB474" t="str">
        <f>HYPERLINK("Melting_Curves/meltCurve_E7EPW5_ST7.pdf", "Melting_Curves/meltCurve_E7EPW5_ST7.pdf")</f>
        <v>Melting_Curves/meltCurve_E7EPW5_ST7.pdf</v>
      </c>
    </row>
    <row r="475" spans="1:28" x14ac:dyDescent="0.25">
      <c r="A475" t="s">
        <v>479</v>
      </c>
      <c r="B475">
        <v>0.99472303558308395</v>
      </c>
      <c r="C475">
        <v>0.93209533580149095</v>
      </c>
      <c r="D475">
        <v>0.76831743264424401</v>
      </c>
      <c r="E475">
        <v>0.59570962336783395</v>
      </c>
      <c r="F475">
        <v>0.33715272936907298</v>
      </c>
      <c r="G475">
        <v>0.15714310023973199</v>
      </c>
      <c r="H475">
        <v>0.135365790829055</v>
      </c>
      <c r="I475">
        <v>7.4912230230987004E-2</v>
      </c>
      <c r="J475">
        <v>0.128323139322261</v>
      </c>
      <c r="K475">
        <v>9.9966402504043705E-2</v>
      </c>
      <c r="L475">
        <v>688.68722298467401</v>
      </c>
      <c r="M475">
        <v>14.689259309719199</v>
      </c>
      <c r="N475">
        <v>47.412500181445999</v>
      </c>
      <c r="O475">
        <v>46.0405329365474</v>
      </c>
      <c r="P475">
        <v>-7.3744339910433596E-2</v>
      </c>
      <c r="Q475">
        <v>7.5554067464193894E-2</v>
      </c>
      <c r="R475">
        <v>0.99421841242209297</v>
      </c>
      <c r="S475" t="s">
        <v>7043</v>
      </c>
      <c r="T475" t="s">
        <v>13134</v>
      </c>
      <c r="U475" t="s">
        <v>13134</v>
      </c>
      <c r="V475" t="s">
        <v>13134</v>
      </c>
      <c r="W475" t="s">
        <v>13605</v>
      </c>
      <c r="X475">
        <v>7</v>
      </c>
      <c r="Y475" t="s">
        <v>20098</v>
      </c>
      <c r="Z475" t="s">
        <v>26443</v>
      </c>
      <c r="AA475">
        <v>0.40178460579387709</v>
      </c>
      <c r="AB475" t="str">
        <f>HYPERLINK("Melting_Curves/meltCurve_E7EPY1_TNIP1.pdf", "Melting_Curves/meltCurve_E7EPY1_TNIP1.pdf")</f>
        <v>Melting_Curves/meltCurve_E7EPY1_TNIP1.pdf</v>
      </c>
    </row>
    <row r="476" spans="1:28" x14ac:dyDescent="0.25">
      <c r="A476" t="s">
        <v>480</v>
      </c>
      <c r="B476">
        <v>0.99472303558308395</v>
      </c>
      <c r="C476">
        <v>0.92555486622447702</v>
      </c>
      <c r="D476">
        <v>0.90402488305358397</v>
      </c>
      <c r="E476">
        <v>0.79201546707650805</v>
      </c>
      <c r="F476">
        <v>0.64476381880786304</v>
      </c>
      <c r="G476">
        <v>0.513665953813915</v>
      </c>
      <c r="H476">
        <v>0.437211793013977</v>
      </c>
      <c r="I476">
        <v>0.21767364945162301</v>
      </c>
      <c r="J476">
        <v>0.13844278462512299</v>
      </c>
      <c r="K476">
        <v>0.17421596277188001</v>
      </c>
      <c r="L476">
        <v>478.69926038677301</v>
      </c>
      <c r="M476">
        <v>8.8869158709149492</v>
      </c>
      <c r="N476">
        <v>53.865634184322502</v>
      </c>
      <c r="O476">
        <v>51.347462802716002</v>
      </c>
      <c r="P476">
        <v>-4.3301486986477802E-2</v>
      </c>
      <c r="Q476">
        <v>0</v>
      </c>
      <c r="R476">
        <v>0.98731603888582398</v>
      </c>
      <c r="S476" t="s">
        <v>7044</v>
      </c>
      <c r="T476" t="s">
        <v>13134</v>
      </c>
      <c r="U476" t="s">
        <v>13134</v>
      </c>
      <c r="V476" t="s">
        <v>13134</v>
      </c>
      <c r="W476" t="s">
        <v>13606</v>
      </c>
      <c r="X476">
        <v>9</v>
      </c>
      <c r="Y476" t="s">
        <v>20099</v>
      </c>
      <c r="Z476" t="s">
        <v>26444</v>
      </c>
      <c r="AA476">
        <v>0.57940557714728691</v>
      </c>
      <c r="AB476" t="str">
        <f>HYPERLINK("Melting_Curves/meltCurve_E7EQ29_GLB1.pdf", "Melting_Curves/meltCurve_E7EQ29_GLB1.pdf")</f>
        <v>Melting_Curves/meltCurve_E7EQ29_GLB1.pdf</v>
      </c>
    </row>
    <row r="477" spans="1:28" x14ac:dyDescent="0.25">
      <c r="A477" t="s">
        <v>481</v>
      </c>
      <c r="B477">
        <v>0.99472303558308395</v>
      </c>
      <c r="C477">
        <v>1.0846657622221301</v>
      </c>
      <c r="D477">
        <v>0.98742251189071895</v>
      </c>
      <c r="E477">
        <v>0.94178564762466699</v>
      </c>
      <c r="F477">
        <v>0.71492160753430201</v>
      </c>
      <c r="G477">
        <v>0.44635917298141697</v>
      </c>
      <c r="H477">
        <v>9.4236385479302798E-2</v>
      </c>
      <c r="I477">
        <v>4.7861401747158999E-2</v>
      </c>
      <c r="J477">
        <v>4.8685742769617402E-2</v>
      </c>
      <c r="K477">
        <v>4.2033621477368999E-2</v>
      </c>
      <c r="L477">
        <v>1146.31705552943</v>
      </c>
      <c r="M477">
        <v>21.7801555716328</v>
      </c>
      <c r="N477">
        <v>52.694593896008101</v>
      </c>
      <c r="O477">
        <v>52.193606118553397</v>
      </c>
      <c r="P477">
        <v>-0.10297827979893499</v>
      </c>
      <c r="Q477">
        <v>1.2921147229763799E-2</v>
      </c>
      <c r="R477">
        <v>0.99160845042193901</v>
      </c>
      <c r="S477" t="s">
        <v>7045</v>
      </c>
      <c r="T477" t="s">
        <v>13134</v>
      </c>
      <c r="U477" t="s">
        <v>13134</v>
      </c>
      <c r="V477" t="s">
        <v>13134</v>
      </c>
      <c r="W477" t="s">
        <v>13607</v>
      </c>
      <c r="X477">
        <v>12</v>
      </c>
      <c r="Y477" t="s">
        <v>20100</v>
      </c>
      <c r="Z477" t="s">
        <v>26445</v>
      </c>
      <c r="AA477">
        <v>0.538245666460066</v>
      </c>
      <c r="AB477" t="str">
        <f>HYPERLINK("Melting_Curves/meltCurve_E7EQ69_NAA50.pdf", "Melting_Curves/meltCurve_E7EQ69_NAA50.pdf")</f>
        <v>Melting_Curves/meltCurve_E7EQ69_NAA50.pdf</v>
      </c>
    </row>
    <row r="478" spans="1:28" x14ac:dyDescent="0.25">
      <c r="A478" t="s">
        <v>482</v>
      </c>
      <c r="B478">
        <v>0.99472303558308395</v>
      </c>
      <c r="C478">
        <v>0.95952974974136396</v>
      </c>
      <c r="D478">
        <v>0.76418241888349303</v>
      </c>
      <c r="E478">
        <v>0.62819500196770806</v>
      </c>
      <c r="F478">
        <v>0.28022939481496401</v>
      </c>
      <c r="G478">
        <v>0.109997728898149</v>
      </c>
      <c r="H478">
        <v>7.3181768797999702E-2</v>
      </c>
      <c r="I478">
        <v>4.4473896447526799E-2</v>
      </c>
      <c r="J478">
        <v>5.7897861229450502E-2</v>
      </c>
      <c r="K478">
        <v>4.8165196951967998E-2</v>
      </c>
      <c r="L478">
        <v>753.84814368127604</v>
      </c>
      <c r="M478">
        <v>15.967082074627299</v>
      </c>
      <c r="N478">
        <v>47.359438608772201</v>
      </c>
      <c r="O478">
        <v>46.490701573644102</v>
      </c>
      <c r="P478">
        <v>-8.3795316026649899E-2</v>
      </c>
      <c r="Q478">
        <v>2.4143474629184199E-2</v>
      </c>
      <c r="R478">
        <v>0.99226744789449395</v>
      </c>
      <c r="S478" t="s">
        <v>7046</v>
      </c>
      <c r="T478" t="s">
        <v>13134</v>
      </c>
      <c r="U478" t="s">
        <v>13134</v>
      </c>
      <c r="V478" t="s">
        <v>13134</v>
      </c>
      <c r="W478" t="s">
        <v>13608</v>
      </c>
      <c r="X478">
        <v>12</v>
      </c>
      <c r="Y478" t="s">
        <v>20101</v>
      </c>
      <c r="Z478" t="s">
        <v>26446</v>
      </c>
      <c r="AA478">
        <v>0.37589461441609823</v>
      </c>
      <c r="AB478" t="str">
        <f>HYPERLINK("Melting_Curves/meltCurve_E7EQI7_KIAA0196.pdf", "Melting_Curves/meltCurve_E7EQI7_KIAA0196.pdf")</f>
        <v>Melting_Curves/meltCurve_E7EQI7_KIAA0196.pdf</v>
      </c>
    </row>
    <row r="479" spans="1:28" x14ac:dyDescent="0.25">
      <c r="A479" t="s">
        <v>483</v>
      </c>
      <c r="B479">
        <v>0.99472303558308395</v>
      </c>
      <c r="C479">
        <v>1.0926906737176401</v>
      </c>
      <c r="D479">
        <v>0.84650786707885395</v>
      </c>
      <c r="E479">
        <v>0.785995642559837</v>
      </c>
      <c r="F479">
        <v>0.57241849623781005</v>
      </c>
      <c r="G479">
        <v>0.241850255497573</v>
      </c>
      <c r="H479">
        <v>0.144125476823178</v>
      </c>
      <c r="I479">
        <v>9.4804387617107494E-2</v>
      </c>
      <c r="J479">
        <v>0.11065547167559001</v>
      </c>
      <c r="K479">
        <v>9.4870210287511206E-2</v>
      </c>
      <c r="L479">
        <v>849.46174414511302</v>
      </c>
      <c r="M479">
        <v>16.988179458007899</v>
      </c>
      <c r="N479">
        <v>50.429003656930803</v>
      </c>
      <c r="O479">
        <v>49.325653897687602</v>
      </c>
      <c r="P479">
        <v>-8.0352887993551697E-2</v>
      </c>
      <c r="Q479">
        <v>6.6830407288703694E-2</v>
      </c>
      <c r="R479">
        <v>0.98196722119036095</v>
      </c>
      <c r="S479" t="s">
        <v>7047</v>
      </c>
      <c r="T479" t="s">
        <v>13134</v>
      </c>
      <c r="U479" t="s">
        <v>13134</v>
      </c>
      <c r="V479" t="s">
        <v>13134</v>
      </c>
      <c r="W479" t="s">
        <v>13609</v>
      </c>
      <c r="X479">
        <v>5</v>
      </c>
      <c r="Y479" t="s">
        <v>20102</v>
      </c>
      <c r="Z479" t="s">
        <v>26447</v>
      </c>
      <c r="AA479">
        <v>0.48744577124601318</v>
      </c>
      <c r="AB479" t="str">
        <f>HYPERLINK("Melting_Curves/meltCurve_E7EQN6_SENP6.pdf", "Melting_Curves/meltCurve_E7EQN6_SENP6.pdf")</f>
        <v>Melting_Curves/meltCurve_E7EQN6_SENP6.pdf</v>
      </c>
    </row>
    <row r="480" spans="1:28" x14ac:dyDescent="0.25">
      <c r="A480" t="s">
        <v>484</v>
      </c>
      <c r="B480">
        <v>0.99472303558308395</v>
      </c>
      <c r="C480">
        <v>0.97130507595418103</v>
      </c>
      <c r="D480">
        <v>0.93741084505111305</v>
      </c>
      <c r="E480">
        <v>0.83959106462934396</v>
      </c>
      <c r="F480">
        <v>0.74909371363022803</v>
      </c>
      <c r="G480">
        <v>0.51315880976566497</v>
      </c>
      <c r="H480">
        <v>0.35601404388281199</v>
      </c>
      <c r="I480">
        <v>0.337235614482921</v>
      </c>
      <c r="J480">
        <v>0.35114040714595102</v>
      </c>
      <c r="K480">
        <v>0.28197996986299401</v>
      </c>
      <c r="L480">
        <v>750.84933705054596</v>
      </c>
      <c r="M480">
        <v>14.6069579194484</v>
      </c>
      <c r="N480">
        <v>54.303531990843197</v>
      </c>
      <c r="O480">
        <v>50.468925102841901</v>
      </c>
      <c r="P480">
        <v>-5.2767258310579601E-2</v>
      </c>
      <c r="Q480">
        <v>0.27081098502594902</v>
      </c>
      <c r="R480">
        <v>0.98942631639571899</v>
      </c>
      <c r="S480" t="s">
        <v>7048</v>
      </c>
      <c r="T480" t="s">
        <v>13134</v>
      </c>
      <c r="U480" t="s">
        <v>13134</v>
      </c>
      <c r="V480" t="s">
        <v>13134</v>
      </c>
      <c r="W480" t="s">
        <v>13610</v>
      </c>
      <c r="X480">
        <v>5</v>
      </c>
      <c r="Y480" t="s">
        <v>20103</v>
      </c>
      <c r="Z480" t="s">
        <v>26448</v>
      </c>
      <c r="AA480">
        <v>0.63579489017433921</v>
      </c>
      <c r="AB480" t="str">
        <f>HYPERLINK("Melting_Curves/meltCurve_E7EQR8_YIPF3.pdf", "Melting_Curves/meltCurve_E7EQR8_YIPF3.pdf")</f>
        <v>Melting_Curves/meltCurve_E7EQR8_YIPF3.pdf</v>
      </c>
    </row>
    <row r="481" spans="1:28" x14ac:dyDescent="0.25">
      <c r="A481" t="s">
        <v>485</v>
      </c>
      <c r="B481">
        <v>0.99472303558308395</v>
      </c>
      <c r="C481">
        <v>0.97133133195119203</v>
      </c>
      <c r="D481">
        <v>0.88512472954100097</v>
      </c>
      <c r="E481">
        <v>0.77451777887949003</v>
      </c>
      <c r="F481">
        <v>0.456642958849867</v>
      </c>
      <c r="G481">
        <v>0.16771751821407599</v>
      </c>
      <c r="H481">
        <v>0.103660197490205</v>
      </c>
      <c r="I481">
        <v>7.9561610465090096E-2</v>
      </c>
      <c r="J481">
        <v>9.7635985683024604E-2</v>
      </c>
      <c r="K481">
        <v>5.9902975397816298E-2</v>
      </c>
      <c r="L481">
        <v>950.27036611682297</v>
      </c>
      <c r="M481">
        <v>19.337215326759001</v>
      </c>
      <c r="N481">
        <v>49.4555693691768</v>
      </c>
      <c r="O481">
        <v>48.625547323052103</v>
      </c>
      <c r="P481">
        <v>-9.3687449536673198E-2</v>
      </c>
      <c r="Q481">
        <v>5.7685602116013E-2</v>
      </c>
      <c r="R481">
        <v>0.99518124628315097</v>
      </c>
      <c r="S481" t="s">
        <v>7049</v>
      </c>
      <c r="T481" t="s">
        <v>13134</v>
      </c>
      <c r="U481" t="s">
        <v>13134</v>
      </c>
      <c r="V481" t="s">
        <v>13134</v>
      </c>
      <c r="W481" t="s">
        <v>13611</v>
      </c>
      <c r="X481">
        <v>10</v>
      </c>
      <c r="Y481" t="s">
        <v>20104</v>
      </c>
      <c r="Z481" t="s">
        <v>26449</v>
      </c>
      <c r="AA481">
        <v>0.45226717473165728</v>
      </c>
      <c r="AB481" t="str">
        <f>HYPERLINK("Melting_Curves/meltCurve_E7EQS5_DMD.pdf", "Melting_Curves/meltCurve_E7EQS5_DMD.pdf")</f>
        <v>Melting_Curves/meltCurve_E7EQS5_DMD.pdf</v>
      </c>
    </row>
    <row r="482" spans="1:28" x14ac:dyDescent="0.25">
      <c r="A482" t="s">
        <v>486</v>
      </c>
      <c r="B482">
        <v>0.99472303558308395</v>
      </c>
      <c r="C482">
        <v>0.95463101393425698</v>
      </c>
      <c r="D482">
        <v>0.95299937763488896</v>
      </c>
      <c r="E482">
        <v>0.84891698510298497</v>
      </c>
      <c r="F482">
        <v>0.48371442251949098</v>
      </c>
      <c r="G482">
        <v>0.20160603121479601</v>
      </c>
      <c r="H482">
        <v>0.14291689685517001</v>
      </c>
      <c r="I482">
        <v>0.12759423469800801</v>
      </c>
      <c r="J482">
        <v>0.18513847459150601</v>
      </c>
      <c r="K482">
        <v>0.15999721462723601</v>
      </c>
      <c r="L482">
        <v>1352.0308942936399</v>
      </c>
      <c r="M482">
        <v>27.430374250460101</v>
      </c>
      <c r="N482">
        <v>49.913593006627501</v>
      </c>
      <c r="O482">
        <v>49.0298205857179</v>
      </c>
      <c r="P482">
        <v>-0.11956373324278601</v>
      </c>
      <c r="Q482">
        <v>0.145161652836029</v>
      </c>
      <c r="R482">
        <v>0.99536361787553795</v>
      </c>
      <c r="S482" t="s">
        <v>7050</v>
      </c>
      <c r="T482" t="s">
        <v>13134</v>
      </c>
      <c r="U482" t="s">
        <v>13134</v>
      </c>
      <c r="V482" t="s">
        <v>13134</v>
      </c>
      <c r="W482" t="s">
        <v>13612</v>
      </c>
      <c r="X482">
        <v>40</v>
      </c>
      <c r="Y482" t="s">
        <v>20105</v>
      </c>
      <c r="Z482" t="s">
        <v>26450</v>
      </c>
      <c r="AA482">
        <v>0.50153447013794072</v>
      </c>
      <c r="AB482" t="str">
        <f>HYPERLINK("Melting_Curves/meltCurve_E7EQT4_ACIN1.pdf", "Melting_Curves/meltCurve_E7EQT4_ACIN1.pdf")</f>
        <v>Melting_Curves/meltCurve_E7EQT4_ACIN1.pdf</v>
      </c>
    </row>
    <row r="483" spans="1:28" x14ac:dyDescent="0.25">
      <c r="A483" t="s">
        <v>487</v>
      </c>
      <c r="B483">
        <v>0.99472303558308395</v>
      </c>
      <c r="C483">
        <v>0.91626605814694795</v>
      </c>
      <c r="D483">
        <v>0.87950451022323495</v>
      </c>
      <c r="E483">
        <v>0.78794758358550698</v>
      </c>
      <c r="F483">
        <v>0.93505183904309797</v>
      </c>
      <c r="G483">
        <v>0.36253752851070598</v>
      </c>
      <c r="H483">
        <v>0.27951561739477299</v>
      </c>
      <c r="I483">
        <v>0.16730738161661199</v>
      </c>
      <c r="J483">
        <v>8.0054852258080497E-2</v>
      </c>
      <c r="K483">
        <v>0.16407693232046</v>
      </c>
      <c r="L483">
        <v>2152.5359966225401</v>
      </c>
      <c r="M483">
        <v>40.960540659682898</v>
      </c>
      <c r="N483">
        <v>53.051407548031399</v>
      </c>
      <c r="O483">
        <v>52.4266652228495</v>
      </c>
      <c r="P483">
        <v>-0.164048640578526</v>
      </c>
      <c r="Q483">
        <v>0.160117894023554</v>
      </c>
      <c r="R483">
        <v>0.93479916739458702</v>
      </c>
      <c r="S483" t="s">
        <v>7051</v>
      </c>
      <c r="T483" t="s">
        <v>13134</v>
      </c>
      <c r="U483" t="s">
        <v>13134</v>
      </c>
      <c r="V483" t="s">
        <v>13134</v>
      </c>
      <c r="W483" t="s">
        <v>13613</v>
      </c>
      <c r="X483">
        <v>2</v>
      </c>
      <c r="Y483" t="s">
        <v>20106</v>
      </c>
      <c r="Z483" t="s">
        <v>26451</v>
      </c>
      <c r="AA483">
        <v>0.59839751672450581</v>
      </c>
      <c r="AB483" t="str">
        <f>HYPERLINK("Melting_Curves/meltCurve_E7EQV9_RPL15.pdf", "Melting_Curves/meltCurve_E7EQV9_RPL15.pdf")</f>
        <v>Melting_Curves/meltCurve_E7EQV9_RPL15.pdf</v>
      </c>
    </row>
    <row r="484" spans="1:28" x14ac:dyDescent="0.25">
      <c r="A484" t="s">
        <v>488</v>
      </c>
      <c r="B484">
        <v>0.99472303558308395</v>
      </c>
      <c r="C484">
        <v>0.85647325610262603</v>
      </c>
      <c r="D484">
        <v>0.81095286561114999</v>
      </c>
      <c r="E484">
        <v>0.63143825030456002</v>
      </c>
      <c r="F484">
        <v>0.57470061678043705</v>
      </c>
      <c r="G484">
        <v>0.224640210524721</v>
      </c>
      <c r="H484">
        <v>7.5477497419547401E-2</v>
      </c>
      <c r="I484">
        <v>5.4876751946672797E-2</v>
      </c>
      <c r="J484">
        <v>6.22397402213112E-2</v>
      </c>
      <c r="K484">
        <v>3.8301156193215398E-2</v>
      </c>
      <c r="L484">
        <v>582.38540716698503</v>
      </c>
      <c r="M484">
        <v>11.858431007548999</v>
      </c>
      <c r="N484">
        <v>49.111499564831398</v>
      </c>
      <c r="O484">
        <v>47.777340960502897</v>
      </c>
      <c r="P484">
        <v>-6.2066158918727202E-2</v>
      </c>
      <c r="Q484">
        <v>0</v>
      </c>
      <c r="R484">
        <v>0.97197000702580305</v>
      </c>
      <c r="S484" t="s">
        <v>7052</v>
      </c>
      <c r="T484" t="s">
        <v>13134</v>
      </c>
      <c r="U484" t="s">
        <v>13134</v>
      </c>
      <c r="V484" t="s">
        <v>13134</v>
      </c>
      <c r="W484" t="s">
        <v>13614</v>
      </c>
      <c r="X484">
        <v>7</v>
      </c>
      <c r="Y484" t="s">
        <v>20107</v>
      </c>
      <c r="Z484" t="s">
        <v>26452</v>
      </c>
      <c r="AA484">
        <v>0.43371203924643698</v>
      </c>
      <c r="AB484" t="str">
        <f>HYPERLINK("Melting_Curves/meltCurve_E7ER68_FAM91A1.pdf", "Melting_Curves/meltCurve_E7ER68_FAM91A1.pdf")</f>
        <v>Melting_Curves/meltCurve_E7ER68_FAM91A1.pdf</v>
      </c>
    </row>
    <row r="485" spans="1:28" x14ac:dyDescent="0.25">
      <c r="A485" t="s">
        <v>489</v>
      </c>
      <c r="B485">
        <v>0.99472303558308395</v>
      </c>
      <c r="C485">
        <v>1.2680217904453199</v>
      </c>
      <c r="D485">
        <v>0.861027965435468</v>
      </c>
      <c r="E485">
        <v>0.81456258137065696</v>
      </c>
      <c r="F485">
        <v>0.676084347834501</v>
      </c>
      <c r="G485">
        <v>0.41238506881002901</v>
      </c>
      <c r="H485">
        <v>0.21130469983674799</v>
      </c>
      <c r="I485">
        <v>0.23774768189732901</v>
      </c>
      <c r="J485">
        <v>0.22839916757466</v>
      </c>
      <c r="K485">
        <v>0.36637168620487198</v>
      </c>
      <c r="L485">
        <v>981.58851978141297</v>
      </c>
      <c r="M485">
        <v>19.578818725195799</v>
      </c>
      <c r="N485">
        <v>51.923591640211399</v>
      </c>
      <c r="O485">
        <v>49.620992397034101</v>
      </c>
      <c r="P485">
        <v>-7.4452221218123296E-2</v>
      </c>
      <c r="Q485">
        <v>0.24525328208347999</v>
      </c>
      <c r="R485">
        <v>0.90584847217959596</v>
      </c>
      <c r="S485" t="s">
        <v>7053</v>
      </c>
      <c r="T485" t="s">
        <v>13134</v>
      </c>
      <c r="U485" t="s">
        <v>13134</v>
      </c>
      <c r="V485" t="s">
        <v>13134</v>
      </c>
      <c r="W485" t="s">
        <v>13615</v>
      </c>
      <c r="X485">
        <v>8</v>
      </c>
      <c r="Y485" t="s">
        <v>20108</v>
      </c>
      <c r="Z485" t="s">
        <v>26453</v>
      </c>
      <c r="AA485">
        <v>0.58601995753104696</v>
      </c>
      <c r="AB485" t="str">
        <f>HYPERLINK("Melting_Curves/meltCurve_E7ER77_ERMP1.pdf", "Melting_Curves/meltCurve_E7ER77_ERMP1.pdf")</f>
        <v>Melting_Curves/meltCurve_E7ER77_ERMP1.pdf</v>
      </c>
    </row>
    <row r="486" spans="1:28" x14ac:dyDescent="0.25">
      <c r="A486" t="s">
        <v>490</v>
      </c>
      <c r="B486">
        <v>0.99472303558308395</v>
      </c>
      <c r="C486">
        <v>0.94317433647516202</v>
      </c>
      <c r="D486">
        <v>0.85857290888012405</v>
      </c>
      <c r="E486">
        <v>0.59209931197183496</v>
      </c>
      <c r="F486">
        <v>0.12614088289276901</v>
      </c>
      <c r="G486">
        <v>8.6824296663815997E-2</v>
      </c>
      <c r="H486">
        <v>4.7217653911275997E-2</v>
      </c>
      <c r="I486">
        <v>4.0695359635660198E-2</v>
      </c>
      <c r="J486">
        <v>3.3826388331561201E-2</v>
      </c>
      <c r="K486">
        <v>2.9312602264910601E-2</v>
      </c>
      <c r="L486">
        <v>1167.32678229675</v>
      </c>
      <c r="M486">
        <v>24.925400676188101</v>
      </c>
      <c r="N486">
        <v>46.952297752507498</v>
      </c>
      <c r="O486">
        <v>46.534493976897402</v>
      </c>
      <c r="P486">
        <v>-0.129795145417156</v>
      </c>
      <c r="Q486">
        <v>3.07287603137005E-2</v>
      </c>
      <c r="R486">
        <v>0.99361534336674395</v>
      </c>
      <c r="S486" t="s">
        <v>7054</v>
      </c>
      <c r="T486" t="s">
        <v>13134</v>
      </c>
      <c r="U486" t="s">
        <v>13134</v>
      </c>
      <c r="V486" t="s">
        <v>13134</v>
      </c>
      <c r="W486" t="s">
        <v>13616</v>
      </c>
      <c r="X486">
        <v>6</v>
      </c>
      <c r="Y486" t="s">
        <v>20109</v>
      </c>
      <c r="Z486" t="s">
        <v>26454</v>
      </c>
      <c r="AA486">
        <v>0.3565875338095198</v>
      </c>
      <c r="AB486" t="str">
        <f>HYPERLINK("Melting_Curves/meltCurve_E7ERB7_GMIP.pdf", "Melting_Curves/meltCurve_E7ERB7_GMIP.pdf")</f>
        <v>Melting_Curves/meltCurve_E7ERB7_GMIP.pdf</v>
      </c>
    </row>
    <row r="487" spans="1:28" x14ac:dyDescent="0.25">
      <c r="A487" t="s">
        <v>491</v>
      </c>
      <c r="B487">
        <v>0.99472303558308395</v>
      </c>
      <c r="C487">
        <v>0.99522660297218701</v>
      </c>
      <c r="D487">
        <v>0.76113181415340103</v>
      </c>
      <c r="E487">
        <v>0.66608276205945705</v>
      </c>
      <c r="F487">
        <v>0.66300841894615603</v>
      </c>
      <c r="G487">
        <v>0.32312723493578499</v>
      </c>
      <c r="H487">
        <v>0.16769743266581</v>
      </c>
      <c r="I487">
        <v>7.2596240868880196E-2</v>
      </c>
      <c r="J487">
        <v>0.104240887405917</v>
      </c>
      <c r="K487">
        <v>0.116913959637947</v>
      </c>
      <c r="L487">
        <v>536.043424139438</v>
      </c>
      <c r="M487">
        <v>10.606496165654301</v>
      </c>
      <c r="N487">
        <v>50.539160482751299</v>
      </c>
      <c r="O487">
        <v>48.841891390355002</v>
      </c>
      <c r="P487">
        <v>-5.4311025841033103E-2</v>
      </c>
      <c r="Q487">
        <v>0</v>
      </c>
      <c r="R487">
        <v>0.96228027846683295</v>
      </c>
      <c r="S487" t="s">
        <v>7055</v>
      </c>
      <c r="T487" t="s">
        <v>13134</v>
      </c>
      <c r="U487" t="s">
        <v>13134</v>
      </c>
      <c r="V487" t="s">
        <v>13134</v>
      </c>
      <c r="W487" t="s">
        <v>13617</v>
      </c>
      <c r="X487">
        <v>11</v>
      </c>
      <c r="Y487" t="s">
        <v>20110</v>
      </c>
      <c r="Z487" t="s">
        <v>26455</v>
      </c>
      <c r="AA487">
        <v>0.48180139990164578</v>
      </c>
      <c r="AB487" t="str">
        <f>HYPERLINK("Melting_Curves/meltCurve_E7ERC6_ATP2C1.pdf", "Melting_Curves/meltCurve_E7ERC6_ATP2C1.pdf")</f>
        <v>Melting_Curves/meltCurve_E7ERC6_ATP2C1.pdf</v>
      </c>
    </row>
    <row r="488" spans="1:28" x14ac:dyDescent="0.25">
      <c r="A488" t="s">
        <v>492</v>
      </c>
      <c r="B488">
        <v>0.99472303558308395</v>
      </c>
      <c r="C488">
        <v>1.1327628400041401</v>
      </c>
      <c r="D488">
        <v>0.85796910965909401</v>
      </c>
      <c r="E488">
        <v>0.79453639134651599</v>
      </c>
      <c r="F488">
        <v>0.57823101118380404</v>
      </c>
      <c r="G488">
        <v>0.33698685846979398</v>
      </c>
      <c r="H488">
        <v>0.15176616766608</v>
      </c>
      <c r="I488">
        <v>0.147660900513163</v>
      </c>
      <c r="J488">
        <v>0.103814583227417</v>
      </c>
      <c r="K488">
        <v>3.8793128437866503E-2</v>
      </c>
      <c r="L488">
        <v>740.02704939198998</v>
      </c>
      <c r="M488">
        <v>14.5645374658038</v>
      </c>
      <c r="N488">
        <v>51.083270890263201</v>
      </c>
      <c r="O488">
        <v>49.881146338448303</v>
      </c>
      <c r="P488">
        <v>-7.0270432564984595E-2</v>
      </c>
      <c r="Q488">
        <v>3.7450418787098198E-2</v>
      </c>
      <c r="R488">
        <v>0.97829076434359297</v>
      </c>
      <c r="S488" t="s">
        <v>7056</v>
      </c>
      <c r="T488" t="s">
        <v>13134</v>
      </c>
      <c r="U488" t="s">
        <v>13134</v>
      </c>
      <c r="V488" t="s">
        <v>13134</v>
      </c>
      <c r="W488" t="s">
        <v>13618</v>
      </c>
      <c r="X488">
        <v>4</v>
      </c>
      <c r="Y488" t="s">
        <v>20111</v>
      </c>
      <c r="Z488" t="s">
        <v>26456</v>
      </c>
      <c r="AA488">
        <v>0.50085665491052833</v>
      </c>
      <c r="AB488" t="str">
        <f>HYPERLINK("Melting_Curves/meltCurve_E7ERL6_MAST2.pdf", "Melting_Curves/meltCurve_E7ERL6_MAST2.pdf")</f>
        <v>Melting_Curves/meltCurve_E7ERL6_MAST2.pdf</v>
      </c>
    </row>
    <row r="489" spans="1:28" x14ac:dyDescent="0.25">
      <c r="A489" t="s">
        <v>493</v>
      </c>
      <c r="B489">
        <v>0.99472303558308395</v>
      </c>
      <c r="C489">
        <v>0.95048874228976099</v>
      </c>
      <c r="D489">
        <v>0.70658443253589398</v>
      </c>
      <c r="E489">
        <v>0.54436677580555604</v>
      </c>
      <c r="F489">
        <v>0.52879406212318902</v>
      </c>
      <c r="G489">
        <v>0.32506407938057602</v>
      </c>
      <c r="H489">
        <v>0.18871307444773</v>
      </c>
      <c r="I489">
        <v>0.16981171657674601</v>
      </c>
      <c r="J489">
        <v>0.234709671651362</v>
      </c>
      <c r="K489">
        <v>0.199693385029729</v>
      </c>
      <c r="L489">
        <v>516.66255017926903</v>
      </c>
      <c r="M489">
        <v>11.021523429143</v>
      </c>
      <c r="N489">
        <v>48.484054491406198</v>
      </c>
      <c r="O489">
        <v>45.413674778913403</v>
      </c>
      <c r="P489">
        <v>-5.1409292196279599E-2</v>
      </c>
      <c r="Q489">
        <v>0.152965308563597</v>
      </c>
      <c r="R489">
        <v>0.96729743312146499</v>
      </c>
      <c r="S489" t="s">
        <v>7057</v>
      </c>
      <c r="T489" t="s">
        <v>13134</v>
      </c>
      <c r="U489" t="s">
        <v>13134</v>
      </c>
      <c r="V489" t="s">
        <v>13134</v>
      </c>
      <c r="W489" t="s">
        <v>13619</v>
      </c>
      <c r="X489">
        <v>18</v>
      </c>
      <c r="Y489" t="s">
        <v>20112</v>
      </c>
      <c r="Z489" t="s">
        <v>26457</v>
      </c>
      <c r="AA489">
        <v>0.46382629058841313</v>
      </c>
      <c r="AB489" t="str">
        <f>HYPERLINK("Melting_Curves/meltCurve_E7ERS3_ZC3H18.pdf", "Melting_Curves/meltCurve_E7ERS3_ZC3H18.pdf")</f>
        <v>Melting_Curves/meltCurve_E7ERS3_ZC3H18.pdf</v>
      </c>
    </row>
    <row r="490" spans="1:28" x14ac:dyDescent="0.25">
      <c r="A490" t="s">
        <v>494</v>
      </c>
      <c r="B490">
        <v>0.99472303558308395</v>
      </c>
      <c r="C490">
        <v>1.1353032831921299</v>
      </c>
      <c r="D490">
        <v>0.86740517753183899</v>
      </c>
      <c r="E490">
        <v>0.85667005620862702</v>
      </c>
      <c r="F490">
        <v>0.63921481812157499</v>
      </c>
      <c r="G490">
        <v>0.43210308072701697</v>
      </c>
      <c r="H490">
        <v>0.37256825893884798</v>
      </c>
      <c r="I490">
        <v>0.325269123749653</v>
      </c>
      <c r="J490">
        <v>0.47828448263258799</v>
      </c>
      <c r="K490">
        <v>0.49211332423835402</v>
      </c>
      <c r="L490">
        <v>1147.60395145035</v>
      </c>
      <c r="M490">
        <v>23.5444482505312</v>
      </c>
      <c r="N490">
        <v>52.528466215613904</v>
      </c>
      <c r="O490">
        <v>48.394476482825198</v>
      </c>
      <c r="P490">
        <v>-7.1956300236187196E-2</v>
      </c>
      <c r="Q490">
        <v>0.40839924831244101</v>
      </c>
      <c r="R490">
        <v>0.92421181993969304</v>
      </c>
      <c r="S490" t="s">
        <v>7058</v>
      </c>
      <c r="T490" t="s">
        <v>13134</v>
      </c>
      <c r="U490" t="s">
        <v>13134</v>
      </c>
      <c r="V490" t="s">
        <v>13134</v>
      </c>
      <c r="W490" t="s">
        <v>13620</v>
      </c>
      <c r="X490">
        <v>2</v>
      </c>
      <c r="Y490" t="s">
        <v>20113</v>
      </c>
      <c r="Z490" t="s">
        <v>26458</v>
      </c>
      <c r="AA490">
        <v>0.64567616286977314</v>
      </c>
      <c r="AB490" t="str">
        <f>HYPERLINK("Melting_Curves/meltCurve_E7ERW0_VGLL4.pdf", "Melting_Curves/meltCurve_E7ERW0_VGLL4.pdf")</f>
        <v>Melting_Curves/meltCurve_E7ERW0_VGLL4.pdf</v>
      </c>
    </row>
    <row r="491" spans="1:28" x14ac:dyDescent="0.25">
      <c r="A491" t="s">
        <v>495</v>
      </c>
      <c r="B491">
        <v>0.99472303558308395</v>
      </c>
      <c r="C491">
        <v>0.84890127717944097</v>
      </c>
      <c r="D491">
        <v>1.0041167367416799</v>
      </c>
      <c r="E491">
        <v>0.87357060466848302</v>
      </c>
      <c r="F491">
        <v>0.49959526487449901</v>
      </c>
      <c r="G491">
        <v>0.13966607501283099</v>
      </c>
      <c r="H491">
        <v>6.2110094540986101E-2</v>
      </c>
      <c r="I491">
        <v>4.3187812613561499E-2</v>
      </c>
      <c r="J491">
        <v>4.5452065965670203E-2</v>
      </c>
      <c r="K491">
        <v>4.2390342446245302E-2</v>
      </c>
      <c r="L491">
        <v>1386.4173258728699</v>
      </c>
      <c r="M491">
        <v>27.745480071773201</v>
      </c>
      <c r="N491">
        <v>50.1095691190745</v>
      </c>
      <c r="O491">
        <v>49.711714802350201</v>
      </c>
      <c r="P491">
        <v>-0.134313394352818</v>
      </c>
      <c r="Q491">
        <v>3.7408803667139799E-2</v>
      </c>
      <c r="R491">
        <v>0.98614104928169499</v>
      </c>
      <c r="S491" t="s">
        <v>7059</v>
      </c>
      <c r="T491" t="s">
        <v>13134</v>
      </c>
      <c r="U491" t="s">
        <v>13134</v>
      </c>
      <c r="V491" t="s">
        <v>13134</v>
      </c>
      <c r="W491" t="s">
        <v>13621</v>
      </c>
      <c r="X491">
        <v>56</v>
      </c>
      <c r="Y491" t="s">
        <v>20114</v>
      </c>
      <c r="Z491" t="s">
        <v>26459</v>
      </c>
      <c r="AA491">
        <v>0.46042301720093137</v>
      </c>
      <c r="AB491" t="str">
        <f>HYPERLINK("Melting_Curves/meltCurve_E7ES43_HSPA4L.pdf", "Melting_Curves/meltCurve_E7ES43_HSPA4L.pdf")</f>
        <v>Melting_Curves/meltCurve_E7ES43_HSPA4L.pdf</v>
      </c>
    </row>
    <row r="492" spans="1:28" x14ac:dyDescent="0.25">
      <c r="A492" t="s">
        <v>496</v>
      </c>
      <c r="B492">
        <v>0.99472303558308395</v>
      </c>
      <c r="C492">
        <v>0.95418513617446599</v>
      </c>
      <c r="D492">
        <v>0.78868498916142205</v>
      </c>
      <c r="E492">
        <v>0.77372531114520804</v>
      </c>
      <c r="F492">
        <v>0.85299172295537595</v>
      </c>
      <c r="G492">
        <v>0.42011456768889699</v>
      </c>
      <c r="H492">
        <v>0.416922971860822</v>
      </c>
      <c r="I492">
        <v>0.32833197650681101</v>
      </c>
      <c r="J492">
        <v>0.40953960962157898</v>
      </c>
      <c r="K492">
        <v>0.36735688987759402</v>
      </c>
      <c r="L492">
        <v>497.97312981312899</v>
      </c>
      <c r="M492">
        <v>9.8107776497905803</v>
      </c>
      <c r="N492">
        <v>55.196005152566002</v>
      </c>
      <c r="O492">
        <v>48.783737923724303</v>
      </c>
      <c r="P492">
        <v>-3.6579389704413302E-2</v>
      </c>
      <c r="Q492">
        <v>0.27282167878386898</v>
      </c>
      <c r="R492">
        <v>0.88459360569116097</v>
      </c>
      <c r="S492" t="s">
        <v>7060</v>
      </c>
      <c r="T492" t="s">
        <v>13134</v>
      </c>
      <c r="U492" t="s">
        <v>13134</v>
      </c>
      <c r="V492" t="s">
        <v>13134</v>
      </c>
      <c r="W492" t="s">
        <v>13622</v>
      </c>
      <c r="X492">
        <v>1</v>
      </c>
      <c r="Y492" t="s">
        <v>20115</v>
      </c>
      <c r="Z492" t="s">
        <v>26460</v>
      </c>
      <c r="AA492">
        <v>0.62943664420977063</v>
      </c>
      <c r="AB492" t="str">
        <f>HYPERLINK("Melting_Curves/meltCurve_E7ES96_PSEN1.pdf", "Melting_Curves/meltCurve_E7ES96_PSEN1.pdf")</f>
        <v>Melting_Curves/meltCurve_E7ES96_PSEN1.pdf</v>
      </c>
    </row>
    <row r="493" spans="1:28" x14ac:dyDescent="0.25">
      <c r="A493" t="s">
        <v>497</v>
      </c>
      <c r="B493">
        <v>0.99472303558308395</v>
      </c>
      <c r="C493">
        <v>0.95049610260318795</v>
      </c>
      <c r="D493">
        <v>0.98618893906080696</v>
      </c>
      <c r="E493">
        <v>0.851906975966221</v>
      </c>
      <c r="F493">
        <v>0.62913431437777101</v>
      </c>
      <c r="G493">
        <v>0.122076476576136</v>
      </c>
      <c r="H493">
        <v>7.8048391982374205E-2</v>
      </c>
      <c r="I493">
        <v>4.8206215176389497E-2</v>
      </c>
      <c r="J493">
        <v>5.2979734946473699E-2</v>
      </c>
      <c r="K493">
        <v>4.4140865711581802E-2</v>
      </c>
      <c r="L493">
        <v>1521.1925126521201</v>
      </c>
      <c r="M493">
        <v>30.0465883656254</v>
      </c>
      <c r="N493">
        <v>50.764215443634598</v>
      </c>
      <c r="O493">
        <v>50.405122756247501</v>
      </c>
      <c r="P493">
        <v>-0.143246298506608</v>
      </c>
      <c r="Q493">
        <v>3.8785989184947099E-2</v>
      </c>
      <c r="R493">
        <v>0.99140751243996805</v>
      </c>
      <c r="S493" t="s">
        <v>7061</v>
      </c>
      <c r="T493" t="s">
        <v>13134</v>
      </c>
      <c r="U493" t="s">
        <v>13134</v>
      </c>
      <c r="V493" t="s">
        <v>13134</v>
      </c>
      <c r="W493" t="s">
        <v>13623</v>
      </c>
      <c r="X493">
        <v>29</v>
      </c>
      <c r="Y493" t="s">
        <v>20116</v>
      </c>
      <c r="Z493" t="s">
        <v>26461</v>
      </c>
      <c r="AA493">
        <v>0.48136487471155742</v>
      </c>
      <c r="AB493" t="str">
        <f>HYPERLINK("Melting_Curves/meltCurve_E7ESC6_XPO7.pdf", "Melting_Curves/meltCurve_E7ESC6_XPO7.pdf")</f>
        <v>Melting_Curves/meltCurve_E7ESC6_XPO7.pdf</v>
      </c>
    </row>
    <row r="494" spans="1:28" x14ac:dyDescent="0.25">
      <c r="A494" t="s">
        <v>498</v>
      </c>
      <c r="B494">
        <v>0.99472303558308395</v>
      </c>
      <c r="C494">
        <v>0.97826521672829803</v>
      </c>
      <c r="D494">
        <v>0.70818955938041095</v>
      </c>
      <c r="E494">
        <v>0.54954563009452695</v>
      </c>
      <c r="F494">
        <v>0.26550891008108901</v>
      </c>
      <c r="G494">
        <v>0.15753864945635199</v>
      </c>
      <c r="H494">
        <v>0.100500352244814</v>
      </c>
      <c r="I494">
        <v>9.0055901448533301E-2</v>
      </c>
      <c r="J494">
        <v>0.119236754794186</v>
      </c>
      <c r="K494">
        <v>0.119349450291741</v>
      </c>
      <c r="L494">
        <v>741.67645234465294</v>
      </c>
      <c r="M494">
        <v>16.120843354898899</v>
      </c>
      <c r="N494">
        <v>46.575668131509403</v>
      </c>
      <c r="O494">
        <v>45.316813827624202</v>
      </c>
      <c r="P494">
        <v>-8.0999202420479893E-2</v>
      </c>
      <c r="Q494">
        <v>8.9291692295137601E-2</v>
      </c>
      <c r="R494">
        <v>0.99007233547315898</v>
      </c>
      <c r="S494" t="s">
        <v>7062</v>
      </c>
      <c r="T494" t="s">
        <v>13134</v>
      </c>
      <c r="U494" t="s">
        <v>13134</v>
      </c>
      <c r="V494" t="s">
        <v>13134</v>
      </c>
      <c r="W494" t="s">
        <v>13624</v>
      </c>
      <c r="X494">
        <v>18</v>
      </c>
      <c r="Y494" t="s">
        <v>20117</v>
      </c>
      <c r="Z494" t="s">
        <v>26462</v>
      </c>
      <c r="AA494">
        <v>0.38101339791764488</v>
      </c>
      <c r="AB494" t="str">
        <f>HYPERLINK("Melting_Curves/meltCurve_E7ESD2_FAM21A.pdf", "Melting_Curves/meltCurve_E7ESD2_FAM21A.pdf")</f>
        <v>Melting_Curves/meltCurve_E7ESD2_FAM21A.pdf</v>
      </c>
    </row>
    <row r="495" spans="1:28" x14ac:dyDescent="0.25">
      <c r="A495" t="s">
        <v>499</v>
      </c>
      <c r="B495">
        <v>0.99472303558308395</v>
      </c>
      <c r="C495">
        <v>0.87619326949141196</v>
      </c>
      <c r="D495">
        <v>0.81940644909448401</v>
      </c>
      <c r="E495">
        <v>0.57328501960553702</v>
      </c>
      <c r="F495">
        <v>0.171689573833401</v>
      </c>
      <c r="G495">
        <v>9.9328201216477702E-2</v>
      </c>
      <c r="H495">
        <v>6.1442968847935903E-2</v>
      </c>
      <c r="I495">
        <v>4.2019306404907301E-2</v>
      </c>
      <c r="J495">
        <v>5.3318899276424997E-2</v>
      </c>
      <c r="K495">
        <v>4.3077728780797402E-2</v>
      </c>
      <c r="L495">
        <v>869.35332994471605</v>
      </c>
      <c r="M495">
        <v>18.662882611593499</v>
      </c>
      <c r="N495">
        <v>46.7418169478726</v>
      </c>
      <c r="O495">
        <v>46.0569907271285</v>
      </c>
      <c r="P495">
        <v>-9.8175123619849203E-2</v>
      </c>
      <c r="Q495">
        <v>3.0919581084713599E-2</v>
      </c>
      <c r="R495">
        <v>0.98972635581250101</v>
      </c>
      <c r="S495" t="s">
        <v>7063</v>
      </c>
      <c r="T495" t="s">
        <v>13134</v>
      </c>
      <c r="U495" t="s">
        <v>13134</v>
      </c>
      <c r="V495" t="s">
        <v>13134</v>
      </c>
      <c r="W495" t="s">
        <v>13625</v>
      </c>
      <c r="X495">
        <v>21</v>
      </c>
      <c r="Y495" t="s">
        <v>20118</v>
      </c>
      <c r="Z495" t="s">
        <v>26463</v>
      </c>
      <c r="AA495">
        <v>0.35497107723712229</v>
      </c>
      <c r="AB495" t="str">
        <f>HYPERLINK("Melting_Curves/meltCurve_E7ESU4_NAT10.pdf", "Melting_Curves/meltCurve_E7ESU4_NAT10.pdf")</f>
        <v>Melting_Curves/meltCurve_E7ESU4_NAT10.pdf</v>
      </c>
    </row>
    <row r="496" spans="1:28" x14ac:dyDescent="0.25">
      <c r="A496" t="s">
        <v>500</v>
      </c>
      <c r="B496">
        <v>0.99472303558308395</v>
      </c>
      <c r="C496">
        <v>0.76362345865760595</v>
      </c>
      <c r="D496">
        <v>0.75483177823472203</v>
      </c>
      <c r="E496">
        <v>0.62085317668909801</v>
      </c>
      <c r="F496">
        <v>0.69793993880309402</v>
      </c>
      <c r="G496">
        <v>0.30433012756800998</v>
      </c>
      <c r="H496">
        <v>0.33933473893369198</v>
      </c>
      <c r="I496">
        <v>0.112824309622272</v>
      </c>
      <c r="J496">
        <v>0.24836614889677699</v>
      </c>
      <c r="K496">
        <v>0.28336618207763797</v>
      </c>
      <c r="L496">
        <v>360.78135936106099</v>
      </c>
      <c r="M496">
        <v>7.29615998450614</v>
      </c>
      <c r="N496">
        <v>50.613262466960698</v>
      </c>
      <c r="O496">
        <v>46.139690243465999</v>
      </c>
      <c r="P496">
        <v>-3.6534866216122897E-2</v>
      </c>
      <c r="Q496">
        <v>7.7307452659375595E-2</v>
      </c>
      <c r="R496">
        <v>0.88052719750241704</v>
      </c>
      <c r="S496" t="s">
        <v>7064</v>
      </c>
      <c r="T496" t="s">
        <v>13134</v>
      </c>
      <c r="U496" t="s">
        <v>13134</v>
      </c>
      <c r="V496" t="s">
        <v>13134</v>
      </c>
      <c r="W496" t="s">
        <v>13626</v>
      </c>
      <c r="X496">
        <v>8</v>
      </c>
      <c r="Y496" t="s">
        <v>20119</v>
      </c>
      <c r="Z496" t="s">
        <v>26464</v>
      </c>
      <c r="AA496">
        <v>0.50361684464936973</v>
      </c>
      <c r="AB496" t="str">
        <f>HYPERLINK("Melting_Curves/meltCurve_E7ESU7_CTBP1.pdf", "Melting_Curves/meltCurve_E7ESU7_CTBP1.pdf")</f>
        <v>Melting_Curves/meltCurve_E7ESU7_CTBP1.pdf</v>
      </c>
    </row>
    <row r="497" spans="1:28" x14ac:dyDescent="0.25">
      <c r="A497" t="s">
        <v>501</v>
      </c>
      <c r="B497">
        <v>0.99472303558308395</v>
      </c>
      <c r="C497">
        <v>0.85782687482694497</v>
      </c>
      <c r="D497">
        <v>0.60829898745223698</v>
      </c>
      <c r="E497">
        <v>0.39289360404541901</v>
      </c>
      <c r="F497">
        <v>0.17247206395748901</v>
      </c>
      <c r="G497">
        <v>8.8012821732427304E-2</v>
      </c>
      <c r="H497">
        <v>4.9195453700582099E-2</v>
      </c>
      <c r="I497">
        <v>3.9629468056002398E-2</v>
      </c>
      <c r="J497">
        <v>2.6784895115470699E-2</v>
      </c>
      <c r="K497">
        <v>3.2560992815307499E-2</v>
      </c>
      <c r="L497">
        <v>656.883071841537</v>
      </c>
      <c r="M497">
        <v>14.7193130421419</v>
      </c>
      <c r="N497">
        <v>44.745255003234398</v>
      </c>
      <c r="O497">
        <v>43.827871062146201</v>
      </c>
      <c r="P497">
        <v>-8.2372172743784097E-2</v>
      </c>
      <c r="Q497">
        <v>1.9029458449844799E-2</v>
      </c>
      <c r="R497">
        <v>0.99680852439220402</v>
      </c>
      <c r="S497" t="s">
        <v>7065</v>
      </c>
      <c r="T497" t="s">
        <v>13134</v>
      </c>
      <c r="U497" t="s">
        <v>13134</v>
      </c>
      <c r="V497" t="s">
        <v>13134</v>
      </c>
      <c r="W497" t="s">
        <v>13627</v>
      </c>
      <c r="X497">
        <v>6</v>
      </c>
      <c r="Y497" t="s">
        <v>20120</v>
      </c>
      <c r="Z497" t="s">
        <v>26465</v>
      </c>
      <c r="AA497">
        <v>0.29302636703037349</v>
      </c>
      <c r="AB497" t="str">
        <f>HYPERLINK("Melting_Curves/meltCurve_E7ESZ7_NDUFA10.pdf", "Melting_Curves/meltCurve_E7ESZ7_NDUFA10.pdf")</f>
        <v>Melting_Curves/meltCurve_E7ESZ7_NDUFA10.pdf</v>
      </c>
    </row>
    <row r="498" spans="1:28" x14ac:dyDescent="0.25">
      <c r="A498" t="s">
        <v>502</v>
      </c>
      <c r="B498">
        <v>0.99472303558308395</v>
      </c>
      <c r="C498">
        <v>0.89360236847195296</v>
      </c>
      <c r="D498">
        <v>0.70760630488995702</v>
      </c>
      <c r="E498">
        <v>0.39767911533779798</v>
      </c>
      <c r="F498">
        <v>0.15994255236750901</v>
      </c>
      <c r="G498">
        <v>8.6662108873178101E-2</v>
      </c>
      <c r="H498">
        <v>5.4984187234482E-2</v>
      </c>
      <c r="I498">
        <v>4.8185922292075502E-2</v>
      </c>
      <c r="J498">
        <v>6.1186270026272402E-2</v>
      </c>
      <c r="K498">
        <v>4.1222335730397297E-2</v>
      </c>
      <c r="L498">
        <v>790.47335064917297</v>
      </c>
      <c r="M498">
        <v>17.5493904046537</v>
      </c>
      <c r="N498">
        <v>45.253301208914799</v>
      </c>
      <c r="O498">
        <v>44.470129770533397</v>
      </c>
      <c r="P498">
        <v>-9.4795934200328405E-2</v>
      </c>
      <c r="Q498">
        <v>3.9201351013035297E-2</v>
      </c>
      <c r="R498">
        <v>0.99901354694337297</v>
      </c>
      <c r="S498" t="s">
        <v>7066</v>
      </c>
      <c r="T498" t="s">
        <v>13134</v>
      </c>
      <c r="U498" t="s">
        <v>13134</v>
      </c>
      <c r="V498" t="s">
        <v>13134</v>
      </c>
      <c r="W498" t="s">
        <v>13628</v>
      </c>
      <c r="X498">
        <v>17</v>
      </c>
      <c r="Y498" t="s">
        <v>20121</v>
      </c>
      <c r="Z498" t="s">
        <v>26466</v>
      </c>
      <c r="AA498">
        <v>0.31336749965837501</v>
      </c>
      <c r="AB498" t="str">
        <f>HYPERLINK("Melting_Curves/meltCurve_E7ET15_U2SURP.pdf", "Melting_Curves/meltCurve_E7ET15_U2SURP.pdf")</f>
        <v>Melting_Curves/meltCurve_E7ET15_U2SURP.pdf</v>
      </c>
    </row>
    <row r="499" spans="1:28" x14ac:dyDescent="0.25">
      <c r="A499" t="s">
        <v>503</v>
      </c>
      <c r="B499">
        <v>0.99472303558308395</v>
      </c>
      <c r="C499">
        <v>0.99144040043177895</v>
      </c>
      <c r="D499">
        <v>0.88607555755867096</v>
      </c>
      <c r="E499">
        <v>0.80402390720250805</v>
      </c>
      <c r="F499">
        <v>0.64179483409990501</v>
      </c>
      <c r="G499">
        <v>0.48174403236707702</v>
      </c>
      <c r="H499">
        <v>0.230997390914084</v>
      </c>
      <c r="I499">
        <v>9.3956921254449294E-2</v>
      </c>
      <c r="J499">
        <v>9.2429618856886497E-2</v>
      </c>
      <c r="K499">
        <v>0.102089644562274</v>
      </c>
      <c r="L499">
        <v>638.52112616068598</v>
      </c>
      <c r="M499">
        <v>12.1776508640479</v>
      </c>
      <c r="N499">
        <v>52.433839661131302</v>
      </c>
      <c r="O499">
        <v>51.080000686133303</v>
      </c>
      <c r="P499">
        <v>-5.9614446893528503E-2</v>
      </c>
      <c r="Q499">
        <v>0</v>
      </c>
      <c r="R499">
        <v>0.99078142110106904</v>
      </c>
      <c r="S499" t="s">
        <v>7067</v>
      </c>
      <c r="T499" t="s">
        <v>13134</v>
      </c>
      <c r="U499" t="s">
        <v>13134</v>
      </c>
      <c r="V499" t="s">
        <v>13134</v>
      </c>
      <c r="W499" t="s">
        <v>13629</v>
      </c>
      <c r="X499">
        <v>5</v>
      </c>
      <c r="Y499" t="s">
        <v>20122</v>
      </c>
      <c r="Z499" t="s">
        <v>26467</v>
      </c>
      <c r="AA499">
        <v>0.53688081480096517</v>
      </c>
      <c r="AB499" t="str">
        <f>HYPERLINK("Melting_Curves/meltCurve_E7ET49_DAGLB.pdf", "Melting_Curves/meltCurve_E7ET49_DAGLB.pdf")</f>
        <v>Melting_Curves/meltCurve_E7ET49_DAGLB.pdf</v>
      </c>
    </row>
    <row r="500" spans="1:28" x14ac:dyDescent="0.25">
      <c r="A500" t="s">
        <v>504</v>
      </c>
      <c r="B500">
        <v>0.99472303558308395</v>
      </c>
      <c r="C500">
        <v>1.0390050695134401</v>
      </c>
      <c r="D500">
        <v>0.77988165179747504</v>
      </c>
      <c r="E500">
        <v>0.83075710797841296</v>
      </c>
      <c r="F500">
        <v>0.86834162285507099</v>
      </c>
      <c r="G500">
        <v>0.35044523822571</v>
      </c>
      <c r="H500">
        <v>0.184407381989035</v>
      </c>
      <c r="I500">
        <v>7.8068498098188693E-2</v>
      </c>
      <c r="J500">
        <v>7.9517677032751297E-2</v>
      </c>
      <c r="K500">
        <v>3.5322607597488398E-2</v>
      </c>
      <c r="L500">
        <v>1257.2029040837699</v>
      </c>
      <c r="M500">
        <v>23.870071456470999</v>
      </c>
      <c r="N500">
        <v>52.882980969932902</v>
      </c>
      <c r="O500">
        <v>52.303129646836297</v>
      </c>
      <c r="P500">
        <v>-0.108834744459285</v>
      </c>
      <c r="Q500">
        <v>4.6118748565218803E-2</v>
      </c>
      <c r="R500">
        <v>0.94980876229174904</v>
      </c>
      <c r="S500" t="s">
        <v>7068</v>
      </c>
      <c r="T500" t="s">
        <v>13134</v>
      </c>
      <c r="U500" t="s">
        <v>13134</v>
      </c>
      <c r="V500" t="s">
        <v>13134</v>
      </c>
      <c r="W500" t="s">
        <v>13630</v>
      </c>
      <c r="X500">
        <v>6</v>
      </c>
      <c r="Y500" t="s">
        <v>20123</v>
      </c>
      <c r="Z500" t="s">
        <v>26468</v>
      </c>
      <c r="AA500">
        <v>0.55346274636726533</v>
      </c>
      <c r="AB500" t="str">
        <f>HYPERLINK("Melting_Curves/meltCurve_E7ET55_ATP7B.pdf", "Melting_Curves/meltCurve_E7ET55_ATP7B.pdf")</f>
        <v>Melting_Curves/meltCurve_E7ET55_ATP7B.pdf</v>
      </c>
    </row>
    <row r="501" spans="1:28" x14ac:dyDescent="0.25">
      <c r="A501" t="s">
        <v>505</v>
      </c>
      <c r="B501">
        <v>0.99472303558308395</v>
      </c>
      <c r="C501">
        <v>0.81576137469510501</v>
      </c>
      <c r="D501">
        <v>0.85320726786684198</v>
      </c>
      <c r="E501">
        <v>0.67593907136041398</v>
      </c>
      <c r="F501">
        <v>0.54837566580874897</v>
      </c>
      <c r="G501">
        <v>0.25411579549526703</v>
      </c>
      <c r="H501">
        <v>0.13419101299514999</v>
      </c>
      <c r="I501">
        <v>7.4963296761091897E-2</v>
      </c>
      <c r="J501">
        <v>4.5184069474246101E-2</v>
      </c>
      <c r="K501">
        <v>4.9268649534325797E-2</v>
      </c>
      <c r="L501">
        <v>576.68552261220805</v>
      </c>
      <c r="M501">
        <v>11.639651419723201</v>
      </c>
      <c r="N501">
        <v>49.544933833009303</v>
      </c>
      <c r="O501">
        <v>48.1502651320178</v>
      </c>
      <c r="P501">
        <v>-6.0450388247063502E-2</v>
      </c>
      <c r="Q501">
        <v>0</v>
      </c>
      <c r="R501">
        <v>0.97833906879750698</v>
      </c>
      <c r="S501" t="s">
        <v>7069</v>
      </c>
      <c r="T501" t="s">
        <v>13134</v>
      </c>
      <c r="U501" t="s">
        <v>13134</v>
      </c>
      <c r="V501" t="s">
        <v>13134</v>
      </c>
      <c r="W501" t="s">
        <v>13631</v>
      </c>
      <c r="X501">
        <v>3</v>
      </c>
      <c r="Y501" t="s">
        <v>20124</v>
      </c>
      <c r="Z501" t="s">
        <v>26469</v>
      </c>
      <c r="AA501">
        <v>0.44806032194303291</v>
      </c>
      <c r="AB501" t="str">
        <f>HYPERLINK("Melting_Curves/meltCurve_E7ETK0_RPS24.pdf", "Melting_Curves/meltCurve_E7ETK0_RPS24.pdf")</f>
        <v>Melting_Curves/meltCurve_E7ETK0_RPS24.pdf</v>
      </c>
    </row>
    <row r="502" spans="1:28" x14ac:dyDescent="0.25">
      <c r="A502" t="s">
        <v>506</v>
      </c>
      <c r="B502">
        <v>0.99472303558308395</v>
      </c>
      <c r="C502">
        <v>0.91552942445101904</v>
      </c>
      <c r="D502">
        <v>0.73067128333807896</v>
      </c>
      <c r="E502">
        <v>0.36921321522803502</v>
      </c>
      <c r="F502">
        <v>8.77240163640714E-2</v>
      </c>
      <c r="G502">
        <v>6.5733837515782004E-2</v>
      </c>
      <c r="H502">
        <v>4.2803033032413902E-2</v>
      </c>
      <c r="I502">
        <v>3.3855507474873502E-2</v>
      </c>
      <c r="J502">
        <v>3.2133273814841198E-2</v>
      </c>
      <c r="K502">
        <v>4.2532706587618499E-2</v>
      </c>
      <c r="L502">
        <v>941.10844540848097</v>
      </c>
      <c r="M502">
        <v>20.9202082371079</v>
      </c>
      <c r="N502">
        <v>45.1155826875559</v>
      </c>
      <c r="O502">
        <v>44.580619439788499</v>
      </c>
      <c r="P502">
        <v>-0.113888722283381</v>
      </c>
      <c r="Q502">
        <v>2.9246479959631901E-2</v>
      </c>
      <c r="R502">
        <v>0.99796647764697399</v>
      </c>
      <c r="S502" t="s">
        <v>7070</v>
      </c>
      <c r="T502" t="s">
        <v>13134</v>
      </c>
      <c r="U502" t="s">
        <v>13134</v>
      </c>
      <c r="V502" t="s">
        <v>13134</v>
      </c>
      <c r="W502" t="s">
        <v>13632</v>
      </c>
      <c r="X502">
        <v>9</v>
      </c>
      <c r="Y502" t="s">
        <v>20125</v>
      </c>
      <c r="Z502" t="s">
        <v>26470</v>
      </c>
      <c r="AA502">
        <v>0.29925168868202812</v>
      </c>
      <c r="AB502" t="str">
        <f>HYPERLINK("Melting_Curves/meltCurve_E7ETY4_MARK2.pdf", "Melting_Curves/meltCurve_E7ETY4_MARK2.pdf")</f>
        <v>Melting_Curves/meltCurve_E7ETY4_MARK2.pdf</v>
      </c>
    </row>
    <row r="503" spans="1:28" x14ac:dyDescent="0.25">
      <c r="A503" t="s">
        <v>507</v>
      </c>
      <c r="B503">
        <v>0.99472303558308395</v>
      </c>
      <c r="C503">
        <v>0.90925544372379496</v>
      </c>
      <c r="D503">
        <v>1.04557058796515</v>
      </c>
      <c r="E503">
        <v>0.91493516341789605</v>
      </c>
      <c r="F503">
        <v>0.55308486701763604</v>
      </c>
      <c r="G503">
        <v>0.12270992668293</v>
      </c>
      <c r="H503">
        <v>6.7297254101256102E-2</v>
      </c>
      <c r="I503">
        <v>4.0703418587535303E-2</v>
      </c>
      <c r="J503">
        <v>4.1604808649746798E-2</v>
      </c>
      <c r="K503">
        <v>3.9654651021865099E-2</v>
      </c>
      <c r="L503">
        <v>1680.06813481676</v>
      </c>
      <c r="M503">
        <v>33.373570937758601</v>
      </c>
      <c r="N503">
        <v>50.465643630226602</v>
      </c>
      <c r="O503">
        <v>50.161560036545197</v>
      </c>
      <c r="P503">
        <v>-0.15976465905361401</v>
      </c>
      <c r="Q503">
        <v>3.9478255953411298E-2</v>
      </c>
      <c r="R503">
        <v>0.99362321194991399</v>
      </c>
      <c r="S503" t="s">
        <v>7071</v>
      </c>
      <c r="T503" t="s">
        <v>13134</v>
      </c>
      <c r="U503" t="s">
        <v>13134</v>
      </c>
      <c r="V503" t="s">
        <v>13134</v>
      </c>
      <c r="W503" t="s">
        <v>13633</v>
      </c>
      <c r="X503">
        <v>22</v>
      </c>
      <c r="Y503" t="s">
        <v>20126</v>
      </c>
      <c r="Z503" t="s">
        <v>26471</v>
      </c>
      <c r="AA503">
        <v>0.47142965145996268</v>
      </c>
      <c r="AB503" t="str">
        <f>HYPERLINK("Melting_Curves/meltCurve_E7ETZ4_BZW2.pdf", "Melting_Curves/meltCurve_E7ETZ4_BZW2.pdf")</f>
        <v>Melting_Curves/meltCurve_E7ETZ4_BZW2.pdf</v>
      </c>
    </row>
    <row r="504" spans="1:28" x14ac:dyDescent="0.25">
      <c r="A504" t="s">
        <v>508</v>
      </c>
      <c r="B504">
        <v>0.99472303558308395</v>
      </c>
      <c r="C504">
        <v>0.94431072773743296</v>
      </c>
      <c r="D504">
        <v>0.84088774014451295</v>
      </c>
      <c r="E504">
        <v>0.63332076013417504</v>
      </c>
      <c r="F504">
        <v>0.66922819153799196</v>
      </c>
      <c r="G504">
        <v>0.32086706933562997</v>
      </c>
      <c r="H504">
        <v>0.28177265343413799</v>
      </c>
      <c r="I504">
        <v>0.20586831398539299</v>
      </c>
      <c r="J504">
        <v>0.123918542392179</v>
      </c>
      <c r="K504">
        <v>0.107611551992098</v>
      </c>
      <c r="L504">
        <v>463.931343698489</v>
      </c>
      <c r="M504">
        <v>9.0559410828234501</v>
      </c>
      <c r="N504">
        <v>51.229500888580397</v>
      </c>
      <c r="O504">
        <v>48.916632331172003</v>
      </c>
      <c r="P504">
        <v>-4.6315357342736098E-2</v>
      </c>
      <c r="Q504">
        <v>0</v>
      </c>
      <c r="R504">
        <v>0.97382083992837698</v>
      </c>
      <c r="S504" t="s">
        <v>7072</v>
      </c>
      <c r="T504" t="s">
        <v>13134</v>
      </c>
      <c r="U504" t="s">
        <v>13134</v>
      </c>
      <c r="V504" t="s">
        <v>13134</v>
      </c>
      <c r="W504" t="s">
        <v>13634</v>
      </c>
      <c r="X504">
        <v>2</v>
      </c>
      <c r="Y504" t="s">
        <v>20127</v>
      </c>
      <c r="Z504" t="s">
        <v>26472</v>
      </c>
      <c r="AA504">
        <v>0.50582958334158223</v>
      </c>
      <c r="AB504" t="str">
        <f>HYPERLINK("Melting_Curves/meltCurve_E7EU19_RAD54L2.pdf", "Melting_Curves/meltCurve_E7EU19_RAD54L2.pdf")</f>
        <v>Melting_Curves/meltCurve_E7EU19_RAD54L2.pdf</v>
      </c>
    </row>
    <row r="505" spans="1:28" x14ac:dyDescent="0.25">
      <c r="A505" t="s">
        <v>509</v>
      </c>
      <c r="B505">
        <v>0.99472303558308395</v>
      </c>
      <c r="C505">
        <v>0.97734506018162504</v>
      </c>
      <c r="D505">
        <v>1.00389005601158</v>
      </c>
      <c r="E505">
        <v>0.952322730160296</v>
      </c>
      <c r="F505">
        <v>0.73692911100621905</v>
      </c>
      <c r="G505">
        <v>0.55271980795094799</v>
      </c>
      <c r="H505">
        <v>0.18212124571041299</v>
      </c>
      <c r="I505">
        <v>5.5797438684385699E-2</v>
      </c>
      <c r="J505">
        <v>5.2738025322749897E-2</v>
      </c>
      <c r="K505">
        <v>5.0238973863894899E-2</v>
      </c>
      <c r="L505">
        <v>1031.6856286321399</v>
      </c>
      <c r="M505">
        <v>19.236800707725099</v>
      </c>
      <c r="N505">
        <v>53.636263110953699</v>
      </c>
      <c r="O505">
        <v>53.0613781990577</v>
      </c>
      <c r="P505">
        <v>-9.0549949967702104E-2</v>
      </c>
      <c r="Q505">
        <v>9.7300993402738695E-4</v>
      </c>
      <c r="R505">
        <v>0.99309989170019097</v>
      </c>
      <c r="S505" t="s">
        <v>7073</v>
      </c>
      <c r="T505" t="s">
        <v>13134</v>
      </c>
      <c r="U505" t="s">
        <v>13134</v>
      </c>
      <c r="V505" t="s">
        <v>13134</v>
      </c>
      <c r="W505" t="s">
        <v>13635</v>
      </c>
      <c r="X505">
        <v>50</v>
      </c>
      <c r="Y505" t="s">
        <v>20128</v>
      </c>
      <c r="Z505" t="s">
        <v>26473</v>
      </c>
      <c r="AA505">
        <v>0.56773301363618445</v>
      </c>
      <c r="AB505" t="str">
        <f>HYPERLINK("Melting_Curves/meltCurve_E7EU23_GDI2.pdf", "Melting_Curves/meltCurve_E7EU23_GDI2.pdf")</f>
        <v>Melting_Curves/meltCurve_E7EU23_GDI2.pdf</v>
      </c>
    </row>
    <row r="506" spans="1:28" x14ac:dyDescent="0.25">
      <c r="A506" t="s">
        <v>510</v>
      </c>
      <c r="B506">
        <v>0.99472303558308395</v>
      </c>
      <c r="C506">
        <v>0.82266365305969202</v>
      </c>
      <c r="D506">
        <v>0.54859415604847495</v>
      </c>
      <c r="E506">
        <v>0.37319866870761298</v>
      </c>
      <c r="F506">
        <v>0.25505053350955798</v>
      </c>
      <c r="G506">
        <v>0.12943006732985601</v>
      </c>
      <c r="H506">
        <v>0.11446474338115201</v>
      </c>
      <c r="I506">
        <v>8.8289175000000206E-2</v>
      </c>
      <c r="J506">
        <v>0.10818832269411301</v>
      </c>
      <c r="K506">
        <v>8.18511038335476E-2</v>
      </c>
      <c r="L506">
        <v>622.38341206689097</v>
      </c>
      <c r="M506">
        <v>14.229721315448501</v>
      </c>
      <c r="N506">
        <v>44.332395225794798</v>
      </c>
      <c r="O506">
        <v>42.901669107869999</v>
      </c>
      <c r="P506">
        <v>-7.5731442303192703E-2</v>
      </c>
      <c r="Q506">
        <v>8.6812594228587697E-2</v>
      </c>
      <c r="R506">
        <v>0.99106592867198195</v>
      </c>
      <c r="S506" t="s">
        <v>7074</v>
      </c>
      <c r="T506" t="s">
        <v>13134</v>
      </c>
      <c r="U506" t="s">
        <v>13134</v>
      </c>
      <c r="V506" t="s">
        <v>13134</v>
      </c>
      <c r="W506" t="s">
        <v>13636</v>
      </c>
      <c r="X506">
        <v>10</v>
      </c>
      <c r="Y506" t="s">
        <v>20129</v>
      </c>
      <c r="Z506" t="s">
        <v>26474</v>
      </c>
      <c r="AA506">
        <v>0.31758648332791628</v>
      </c>
      <c r="AB506" t="str">
        <f>HYPERLINK("Melting_Curves/meltCurve_E7EU24_CBFA2T3.pdf", "Melting_Curves/meltCurve_E7EU24_CBFA2T3.pdf")</f>
        <v>Melting_Curves/meltCurve_E7EU24_CBFA2T3.pdf</v>
      </c>
    </row>
    <row r="507" spans="1:28" x14ac:dyDescent="0.25">
      <c r="A507" t="s">
        <v>511</v>
      </c>
      <c r="B507">
        <v>0.99472303558308395</v>
      </c>
      <c r="C507">
        <v>0.98097795935722498</v>
      </c>
      <c r="D507">
        <v>0.83570551277878602</v>
      </c>
      <c r="E507">
        <v>0.79769301781736701</v>
      </c>
      <c r="F507">
        <v>0.73226916228086303</v>
      </c>
      <c r="G507">
        <v>0.42713077940620497</v>
      </c>
      <c r="H507">
        <v>0.21513900915395101</v>
      </c>
      <c r="I507">
        <v>9.0752380095950894E-2</v>
      </c>
      <c r="J507">
        <v>9.0881959065666901E-2</v>
      </c>
      <c r="K507">
        <v>7.6788166268276503E-2</v>
      </c>
      <c r="L507">
        <v>681.99302455059296</v>
      </c>
      <c r="M507">
        <v>12.9936093945546</v>
      </c>
      <c r="N507">
        <v>52.486816805651401</v>
      </c>
      <c r="O507">
        <v>51.290262961153999</v>
      </c>
      <c r="P507">
        <v>-6.3344915887714903E-2</v>
      </c>
      <c r="Q507">
        <v>0</v>
      </c>
      <c r="R507">
        <v>0.98069731025196805</v>
      </c>
      <c r="S507" t="s">
        <v>7075</v>
      </c>
      <c r="T507" t="s">
        <v>13134</v>
      </c>
      <c r="U507" t="s">
        <v>13134</v>
      </c>
      <c r="V507" t="s">
        <v>13134</v>
      </c>
      <c r="W507" t="s">
        <v>13637</v>
      </c>
      <c r="X507">
        <v>18</v>
      </c>
      <c r="Y507" t="s">
        <v>20130</v>
      </c>
      <c r="Z507" t="s">
        <v>26475</v>
      </c>
      <c r="AA507">
        <v>0.53745108024086552</v>
      </c>
      <c r="AB507" t="str">
        <f>HYPERLINK("Melting_Curves/meltCurve_E7EU96_CSNK2A1.pdf", "Melting_Curves/meltCurve_E7EU96_CSNK2A1.pdf")</f>
        <v>Melting_Curves/meltCurve_E7EU96_CSNK2A1.pdf</v>
      </c>
    </row>
    <row r="508" spans="1:28" x14ac:dyDescent="0.25">
      <c r="A508" t="s">
        <v>512</v>
      </c>
      <c r="B508">
        <v>0.99472303558308395</v>
      </c>
      <c r="C508">
        <v>0.87964644849910301</v>
      </c>
      <c r="D508">
        <v>0.73994293204619099</v>
      </c>
      <c r="E508">
        <v>0.65259655607617795</v>
      </c>
      <c r="F508">
        <v>0.87102477379288601</v>
      </c>
      <c r="G508">
        <v>0.483991746179879</v>
      </c>
      <c r="H508">
        <v>0.220007966965898</v>
      </c>
      <c r="I508">
        <v>4.8877607771563698E-2</v>
      </c>
      <c r="J508">
        <v>4.8571681203173601E-2</v>
      </c>
      <c r="K508">
        <v>4.3157844794480302E-2</v>
      </c>
      <c r="L508">
        <v>616.25738442425597</v>
      </c>
      <c r="M508">
        <v>11.750357082715199</v>
      </c>
      <c r="N508">
        <v>52.445843141419601</v>
      </c>
      <c r="O508">
        <v>50.995951370881997</v>
      </c>
      <c r="P508">
        <v>-5.7619411388847699E-2</v>
      </c>
      <c r="Q508">
        <v>0</v>
      </c>
      <c r="R508">
        <v>0.88311305404347096</v>
      </c>
      <c r="S508" t="s">
        <v>7076</v>
      </c>
      <c r="T508" t="s">
        <v>13134</v>
      </c>
      <c r="U508" t="s">
        <v>13134</v>
      </c>
      <c r="V508" t="s">
        <v>13134</v>
      </c>
      <c r="W508" t="s">
        <v>13638</v>
      </c>
      <c r="X508">
        <v>25</v>
      </c>
      <c r="Y508" t="s">
        <v>20131</v>
      </c>
      <c r="Z508" t="s">
        <v>26476</v>
      </c>
      <c r="AA508">
        <v>0.5377925577300704</v>
      </c>
      <c r="AB508" t="str">
        <f>HYPERLINK("Melting_Curves/meltCurve_E7EUC7_UGP2.pdf", "Melting_Curves/meltCurve_E7EUC7_UGP2.pdf")</f>
        <v>Melting_Curves/meltCurve_E7EUC7_UGP2.pdf</v>
      </c>
    </row>
    <row r="509" spans="1:28" x14ac:dyDescent="0.25">
      <c r="A509" t="s">
        <v>513</v>
      </c>
      <c r="B509">
        <v>0.99472303558308395</v>
      </c>
      <c r="C509">
        <v>0.89166149521813198</v>
      </c>
      <c r="D509">
        <v>0.59166852562396</v>
      </c>
      <c r="E509">
        <v>0.44509154900543901</v>
      </c>
      <c r="F509">
        <v>0.32480395228918801</v>
      </c>
      <c r="G509">
        <v>0.11205573901540999</v>
      </c>
      <c r="H509">
        <v>7.6158002265064501E-2</v>
      </c>
      <c r="I509">
        <v>4.7773960348774298E-2</v>
      </c>
      <c r="J509">
        <v>4.6974672022671797E-2</v>
      </c>
      <c r="K509">
        <v>5.0203624677634499E-2</v>
      </c>
      <c r="L509">
        <v>552.90345736507504</v>
      </c>
      <c r="M509">
        <v>12.1591834893664</v>
      </c>
      <c r="N509">
        <v>45.605214221103303</v>
      </c>
      <c r="O509">
        <v>44.294596875259302</v>
      </c>
      <c r="P509">
        <v>-6.7445711841386397E-2</v>
      </c>
      <c r="Q509">
        <v>1.7435689797753801E-2</v>
      </c>
      <c r="R509">
        <v>0.98467272197181299</v>
      </c>
      <c r="S509" t="s">
        <v>7077</v>
      </c>
      <c r="T509" t="s">
        <v>13134</v>
      </c>
      <c r="U509" t="s">
        <v>13134</v>
      </c>
      <c r="V509" t="s">
        <v>13134</v>
      </c>
      <c r="W509" t="s">
        <v>13639</v>
      </c>
      <c r="X509">
        <v>6</v>
      </c>
      <c r="Y509" t="s">
        <v>20132</v>
      </c>
      <c r="Z509" t="s">
        <v>26477</v>
      </c>
      <c r="AA509">
        <v>0.32894183246141551</v>
      </c>
      <c r="AB509" t="str">
        <f>HYPERLINK("Melting_Curves/meltCurve_E7EUH9_NCAPG2.pdf", "Melting_Curves/meltCurve_E7EUH9_NCAPG2.pdf")</f>
        <v>Melting_Curves/meltCurve_E7EUH9_NCAPG2.pdf</v>
      </c>
    </row>
    <row r="510" spans="1:28" x14ac:dyDescent="0.25">
      <c r="A510" t="s">
        <v>514</v>
      </c>
      <c r="B510">
        <v>0.99472303558308395</v>
      </c>
      <c r="C510">
        <v>0.90291397228619996</v>
      </c>
      <c r="D510">
        <v>0.54094637264349299</v>
      </c>
      <c r="E510">
        <v>0.34765617716277603</v>
      </c>
      <c r="F510">
        <v>0.16967664778184099</v>
      </c>
      <c r="G510">
        <v>9.6610031916497405E-2</v>
      </c>
      <c r="H510">
        <v>7.3728047791688206E-2</v>
      </c>
      <c r="I510">
        <v>4.5644220916559203E-2</v>
      </c>
      <c r="J510">
        <v>6.1945019444389703E-2</v>
      </c>
      <c r="K510">
        <v>5.8674387603612703E-2</v>
      </c>
      <c r="L510">
        <v>748.77888528907101</v>
      </c>
      <c r="M510">
        <v>17.074001260470499</v>
      </c>
      <c r="N510">
        <v>44.172394146831103</v>
      </c>
      <c r="O510">
        <v>43.266578712553802</v>
      </c>
      <c r="P510">
        <v>-9.2964852712919904E-2</v>
      </c>
      <c r="Q510">
        <v>5.77422707434165E-2</v>
      </c>
      <c r="R510">
        <v>0.99153807163953001</v>
      </c>
      <c r="S510" t="s">
        <v>7078</v>
      </c>
      <c r="T510" t="s">
        <v>13134</v>
      </c>
      <c r="U510" t="s">
        <v>13134</v>
      </c>
      <c r="V510" t="s">
        <v>13134</v>
      </c>
      <c r="W510" t="s">
        <v>13640</v>
      </c>
      <c r="X510">
        <v>4</v>
      </c>
      <c r="Y510" t="s">
        <v>20133</v>
      </c>
      <c r="Z510" t="s">
        <v>26478</v>
      </c>
      <c r="AA510">
        <v>0.29094856063189611</v>
      </c>
      <c r="AB510" t="str">
        <f>HYPERLINK("Melting_Curves/meltCurve_E7EUL7_SSFA2.pdf", "Melting_Curves/meltCurve_E7EUL7_SSFA2.pdf")</f>
        <v>Melting_Curves/meltCurve_E7EUL7_SSFA2.pdf</v>
      </c>
    </row>
    <row r="511" spans="1:28" x14ac:dyDescent="0.25">
      <c r="A511" t="s">
        <v>515</v>
      </c>
      <c r="B511">
        <v>0.99472303558308395</v>
      </c>
      <c r="C511">
        <v>0.96664960962188096</v>
      </c>
      <c r="D511">
        <v>0.84667296359746003</v>
      </c>
      <c r="E511">
        <v>0.73886248487716</v>
      </c>
      <c r="F511">
        <v>0.53062307598367897</v>
      </c>
      <c r="G511">
        <v>0.151842586417375</v>
      </c>
      <c r="H511">
        <v>0.11756318211288901</v>
      </c>
      <c r="I511">
        <v>6.98704640139651E-2</v>
      </c>
      <c r="J511">
        <v>8.0424751044411796E-2</v>
      </c>
      <c r="K511">
        <v>6.6521737846963594E-2</v>
      </c>
      <c r="L511">
        <v>793.83459794354701</v>
      </c>
      <c r="M511">
        <v>16.074633843340699</v>
      </c>
      <c r="N511">
        <v>49.596305120979601</v>
      </c>
      <c r="O511">
        <v>48.638978106059</v>
      </c>
      <c r="P511">
        <v>-7.9885057370191304E-2</v>
      </c>
      <c r="Q511">
        <v>3.32026483857202E-2</v>
      </c>
      <c r="R511">
        <v>0.98637442474432402</v>
      </c>
      <c r="S511" t="s">
        <v>7079</v>
      </c>
      <c r="T511" t="s">
        <v>13134</v>
      </c>
      <c r="U511" t="s">
        <v>13134</v>
      </c>
      <c r="V511" t="s">
        <v>13134</v>
      </c>
      <c r="W511" t="s">
        <v>13641</v>
      </c>
      <c r="X511">
        <v>10</v>
      </c>
      <c r="Y511" t="s">
        <v>20134</v>
      </c>
      <c r="Z511" t="s">
        <v>26479</v>
      </c>
      <c r="AA511">
        <v>0.4507857530010424</v>
      </c>
      <c r="AB511" t="str">
        <f>HYPERLINK("Melting_Curves/meltCurve_E7EUM5_NUP54.pdf", "Melting_Curves/meltCurve_E7EUM5_NUP54.pdf")</f>
        <v>Melting_Curves/meltCurve_E7EUM5_NUP54.pdf</v>
      </c>
    </row>
    <row r="512" spans="1:28" x14ac:dyDescent="0.25">
      <c r="A512" t="s">
        <v>516</v>
      </c>
      <c r="B512">
        <v>0.99472303558308395</v>
      </c>
      <c r="C512">
        <v>1.23200553931116</v>
      </c>
      <c r="D512">
        <v>0.90587963877076005</v>
      </c>
      <c r="E512">
        <v>0.78262245909578598</v>
      </c>
      <c r="F512">
        <v>0.45764641239394399</v>
      </c>
      <c r="G512">
        <v>0.27751736698697599</v>
      </c>
      <c r="H512">
        <v>9.5345075278822494E-2</v>
      </c>
      <c r="I512">
        <v>8.69605572262762E-2</v>
      </c>
      <c r="J512">
        <v>0.119765667394264</v>
      </c>
      <c r="K512">
        <v>7.3436222472588603E-2</v>
      </c>
      <c r="L512">
        <v>970.14608289397404</v>
      </c>
      <c r="M512">
        <v>19.623906423925501</v>
      </c>
      <c r="N512">
        <v>49.867202588702099</v>
      </c>
      <c r="O512">
        <v>48.932166314718103</v>
      </c>
      <c r="P512">
        <v>-9.24558930940622E-2</v>
      </c>
      <c r="Q512">
        <v>7.7878124080121E-2</v>
      </c>
      <c r="R512">
        <v>0.96259866745599298</v>
      </c>
      <c r="S512" t="s">
        <v>7080</v>
      </c>
      <c r="T512" t="s">
        <v>13134</v>
      </c>
      <c r="U512" t="s">
        <v>13134</v>
      </c>
      <c r="V512" t="s">
        <v>13134</v>
      </c>
      <c r="W512" t="s">
        <v>13642</v>
      </c>
      <c r="X512">
        <v>5</v>
      </c>
      <c r="Y512" t="s">
        <v>20135</v>
      </c>
      <c r="Z512" t="s">
        <v>26480</v>
      </c>
      <c r="AA512">
        <v>0.47272913158387297</v>
      </c>
      <c r="AB512" t="str">
        <f>HYPERLINK("Melting_Curves/meltCurve_E7EUN2_AGAP1.pdf", "Melting_Curves/meltCurve_E7EUN2_AGAP1.pdf")</f>
        <v>Melting_Curves/meltCurve_E7EUN2_AGAP1.pdf</v>
      </c>
    </row>
    <row r="513" spans="1:28" x14ac:dyDescent="0.25">
      <c r="A513" t="s">
        <v>517</v>
      </c>
      <c r="B513">
        <v>0.99472303558308395</v>
      </c>
      <c r="C513">
        <v>0.94635950538285196</v>
      </c>
      <c r="D513">
        <v>0.65325177372976195</v>
      </c>
      <c r="E513">
        <v>0.514515368457091</v>
      </c>
      <c r="F513">
        <v>0.59851724463074696</v>
      </c>
      <c r="G513">
        <v>0.38316632484860402</v>
      </c>
      <c r="H513">
        <v>0.31657687562829001</v>
      </c>
      <c r="I513">
        <v>0.19829355243417501</v>
      </c>
      <c r="J513">
        <v>0.24583733868872401</v>
      </c>
      <c r="K513">
        <v>0.175154925130832</v>
      </c>
      <c r="L513">
        <v>392.65100727305202</v>
      </c>
      <c r="M513">
        <v>8.1798736940008094</v>
      </c>
      <c r="N513">
        <v>49.617127939035697</v>
      </c>
      <c r="O513">
        <v>45.3891242428328</v>
      </c>
      <c r="P513">
        <v>-3.9829707477359401E-2</v>
      </c>
      <c r="Q513">
        <v>0.11687828727586699</v>
      </c>
      <c r="R513">
        <v>0.93659535923528903</v>
      </c>
      <c r="S513" t="s">
        <v>7081</v>
      </c>
      <c r="T513" t="s">
        <v>13134</v>
      </c>
      <c r="U513" t="s">
        <v>13134</v>
      </c>
      <c r="V513" t="s">
        <v>13134</v>
      </c>
      <c r="W513" t="s">
        <v>13643</v>
      </c>
      <c r="X513">
        <v>7</v>
      </c>
      <c r="Y513" t="s">
        <v>20136</v>
      </c>
      <c r="Z513" t="s">
        <v>26481</v>
      </c>
      <c r="AA513">
        <v>0.48552630591620932</v>
      </c>
      <c r="AB513" t="str">
        <f>HYPERLINK("Melting_Curves/meltCurve_E7EUY3_PCCB.pdf", "Melting_Curves/meltCurve_E7EUY3_PCCB.pdf")</f>
        <v>Melting_Curves/meltCurve_E7EUY3_PCCB.pdf</v>
      </c>
    </row>
    <row r="514" spans="1:28" x14ac:dyDescent="0.25">
      <c r="A514" t="s">
        <v>518</v>
      </c>
      <c r="B514">
        <v>0.99472303558308395</v>
      </c>
      <c r="C514">
        <v>1.1164575213426799</v>
      </c>
      <c r="D514">
        <v>1.1047375225590601</v>
      </c>
      <c r="E514">
        <v>0.90895273804321397</v>
      </c>
      <c r="F514">
        <v>0.69052582099370696</v>
      </c>
      <c r="G514">
        <v>0.53268719023795696</v>
      </c>
      <c r="H514">
        <v>0.40399641017671301</v>
      </c>
      <c r="I514">
        <v>0.35057986837747401</v>
      </c>
      <c r="J514">
        <v>0.47891361812154498</v>
      </c>
      <c r="K514">
        <v>0.438979406067527</v>
      </c>
      <c r="L514">
        <v>1338.1390276991001</v>
      </c>
      <c r="M514">
        <v>26.7294041649671</v>
      </c>
      <c r="N514">
        <v>53.707064914877002</v>
      </c>
      <c r="O514">
        <v>49.784744781109602</v>
      </c>
      <c r="P514">
        <v>-7.8053816299298306E-2</v>
      </c>
      <c r="Q514">
        <v>0.41849075173772599</v>
      </c>
      <c r="R514">
        <v>0.95350868693248503</v>
      </c>
      <c r="S514" t="s">
        <v>7082</v>
      </c>
      <c r="T514" t="s">
        <v>13134</v>
      </c>
      <c r="U514" t="s">
        <v>13134</v>
      </c>
      <c r="V514" t="s">
        <v>13134</v>
      </c>
      <c r="W514" t="s">
        <v>13644</v>
      </c>
      <c r="X514">
        <v>13</v>
      </c>
      <c r="Y514" t="s">
        <v>20137</v>
      </c>
      <c r="Z514" t="s">
        <v>26482</v>
      </c>
      <c r="AA514">
        <v>0.67616411337347282</v>
      </c>
      <c r="AB514" t="str">
        <f>HYPERLINK("Melting_Curves/meltCurve_E7EUY5_SSBP1.pdf", "Melting_Curves/meltCurve_E7EUY5_SSBP1.pdf")</f>
        <v>Melting_Curves/meltCurve_E7EUY5_SSBP1.pdf</v>
      </c>
    </row>
    <row r="515" spans="1:28" x14ac:dyDescent="0.25">
      <c r="A515" t="s">
        <v>519</v>
      </c>
      <c r="B515">
        <v>0.99472303558308395</v>
      </c>
      <c r="C515">
        <v>0.86507414790137205</v>
      </c>
      <c r="D515">
        <v>0.81076945968422698</v>
      </c>
      <c r="E515">
        <v>0.438072650066828</v>
      </c>
      <c r="F515">
        <v>0.289337064750259</v>
      </c>
      <c r="G515">
        <v>0.123790330044553</v>
      </c>
      <c r="H515">
        <v>0.104478324128477</v>
      </c>
      <c r="I515">
        <v>8.1946126974130507E-2</v>
      </c>
      <c r="J515">
        <v>0.12187023453833599</v>
      </c>
      <c r="K515">
        <v>8.9524137612014901E-2</v>
      </c>
      <c r="L515">
        <v>758.36444663072496</v>
      </c>
      <c r="M515">
        <v>16.5834986965666</v>
      </c>
      <c r="N515">
        <v>46.235496979852101</v>
      </c>
      <c r="O515">
        <v>45.080614658585802</v>
      </c>
      <c r="P515">
        <v>-8.4347423266447105E-2</v>
      </c>
      <c r="Q515">
        <v>8.2901681657933698E-2</v>
      </c>
      <c r="R515">
        <v>0.99107659829949901</v>
      </c>
      <c r="S515" t="s">
        <v>7083</v>
      </c>
      <c r="T515" t="s">
        <v>13134</v>
      </c>
      <c r="U515" t="s">
        <v>13134</v>
      </c>
      <c r="V515" t="s">
        <v>13134</v>
      </c>
      <c r="W515" t="s">
        <v>13645</v>
      </c>
      <c r="X515">
        <v>3</v>
      </c>
      <c r="Y515" t="s">
        <v>20138</v>
      </c>
      <c r="Z515" t="s">
        <v>26483</v>
      </c>
      <c r="AA515">
        <v>0.36729371680326411</v>
      </c>
      <c r="AB515" t="str">
        <f>HYPERLINK("Melting_Curves/meltCurve_E7EV43_RWDD4.pdf", "Melting_Curves/meltCurve_E7EV43_RWDD4.pdf")</f>
        <v>Melting_Curves/meltCurve_E7EV43_RWDD4.pdf</v>
      </c>
    </row>
    <row r="516" spans="1:28" x14ac:dyDescent="0.25">
      <c r="A516" t="s">
        <v>520</v>
      </c>
      <c r="B516">
        <v>0.99472303558308395</v>
      </c>
      <c r="C516">
        <v>0.89451643218993604</v>
      </c>
      <c r="D516">
        <v>0.91144605944408597</v>
      </c>
      <c r="E516">
        <v>0.72828271176640902</v>
      </c>
      <c r="F516">
        <v>0.58377028520378704</v>
      </c>
      <c r="G516">
        <v>0.35129497824045502</v>
      </c>
      <c r="H516">
        <v>0.28748376725303398</v>
      </c>
      <c r="I516">
        <v>0.27795842374106799</v>
      </c>
      <c r="J516">
        <v>0.32794582028948799</v>
      </c>
      <c r="K516">
        <v>0.25775490541384399</v>
      </c>
      <c r="L516">
        <v>704.14441340185897</v>
      </c>
      <c r="M516">
        <v>14.5173200633471</v>
      </c>
      <c r="N516">
        <v>50.944065692596702</v>
      </c>
      <c r="O516">
        <v>47.611263857796899</v>
      </c>
      <c r="P516">
        <v>-5.7134821256284399E-2</v>
      </c>
      <c r="Q516">
        <v>0.25056451113721501</v>
      </c>
      <c r="R516">
        <v>0.98184762567359696</v>
      </c>
      <c r="S516" t="s">
        <v>7084</v>
      </c>
      <c r="T516" t="s">
        <v>13134</v>
      </c>
      <c r="U516" t="s">
        <v>13134</v>
      </c>
      <c r="V516" t="s">
        <v>13134</v>
      </c>
      <c r="W516" t="s">
        <v>13646</v>
      </c>
      <c r="X516">
        <v>4</v>
      </c>
      <c r="Y516" t="s">
        <v>20139</v>
      </c>
      <c r="Z516" t="s">
        <v>26484</v>
      </c>
      <c r="AA516">
        <v>0.55514291409886407</v>
      </c>
      <c r="AB516" t="str">
        <f>HYPERLINK("Melting_Curves/meltCurve_E7EV46_PGBD3.pdf", "Melting_Curves/meltCurve_E7EV46_PGBD3.pdf")</f>
        <v>Melting_Curves/meltCurve_E7EV46_PGBD3.pdf</v>
      </c>
    </row>
    <row r="517" spans="1:28" x14ac:dyDescent="0.25">
      <c r="A517" t="s">
        <v>521</v>
      </c>
      <c r="B517">
        <v>0.99472303558308395</v>
      </c>
      <c r="C517">
        <v>1.0279508436254301</v>
      </c>
      <c r="D517">
        <v>0.928471397100046</v>
      </c>
      <c r="E517">
        <v>0.54156506635408497</v>
      </c>
      <c r="F517">
        <v>0.340968791859109</v>
      </c>
      <c r="G517">
        <v>0.17771540992925899</v>
      </c>
      <c r="H517">
        <v>0.14029869137196299</v>
      </c>
      <c r="I517">
        <v>0.11195688710493799</v>
      </c>
      <c r="J517">
        <v>0.169694474081626</v>
      </c>
      <c r="K517">
        <v>0.13656566361842501</v>
      </c>
      <c r="L517">
        <v>1058.9853980965299</v>
      </c>
      <c r="M517">
        <v>22.648356020956001</v>
      </c>
      <c r="N517">
        <v>47.445810516982398</v>
      </c>
      <c r="O517">
        <v>46.397766365755501</v>
      </c>
      <c r="P517">
        <v>-0.104952633619387</v>
      </c>
      <c r="Q517">
        <v>0.13998688649872901</v>
      </c>
      <c r="R517">
        <v>0.99273694125178802</v>
      </c>
      <c r="S517" t="s">
        <v>7085</v>
      </c>
      <c r="T517" t="s">
        <v>13134</v>
      </c>
      <c r="U517" t="s">
        <v>13134</v>
      </c>
      <c r="V517" t="s">
        <v>13134</v>
      </c>
      <c r="W517" t="s">
        <v>13647</v>
      </c>
      <c r="X517">
        <v>13</v>
      </c>
      <c r="Y517" t="s">
        <v>20140</v>
      </c>
      <c r="Z517" t="s">
        <v>26485</v>
      </c>
      <c r="AA517">
        <v>0.42849477267025721</v>
      </c>
      <c r="AB517" t="str">
        <f>HYPERLINK("Melting_Curves/meltCurve_E7EV56_PCM1.pdf", "Melting_Curves/meltCurve_E7EV56_PCM1.pdf")</f>
        <v>Melting_Curves/meltCurve_E7EV56_PCM1.pdf</v>
      </c>
    </row>
    <row r="518" spans="1:28" x14ac:dyDescent="0.25">
      <c r="A518" t="s">
        <v>522</v>
      </c>
      <c r="B518">
        <v>0.99472303558308395</v>
      </c>
      <c r="C518">
        <v>0.96686038955889897</v>
      </c>
      <c r="D518">
        <v>0.96130884167281505</v>
      </c>
      <c r="E518">
        <v>0.87516805550962395</v>
      </c>
      <c r="F518">
        <v>0.71704568348481601</v>
      </c>
      <c r="G518">
        <v>0.46662577302272101</v>
      </c>
      <c r="H518">
        <v>0.30515072066883903</v>
      </c>
      <c r="I518">
        <v>0.23801850664801699</v>
      </c>
      <c r="J518">
        <v>0.27627598480586302</v>
      </c>
      <c r="K518">
        <v>0.21797217534421101</v>
      </c>
      <c r="L518">
        <v>903.22319386990603</v>
      </c>
      <c r="M518">
        <v>17.530116323259701</v>
      </c>
      <c r="N518">
        <v>53.1957537592831</v>
      </c>
      <c r="O518">
        <v>50.867622534900399</v>
      </c>
      <c r="P518">
        <v>-6.7913517278288801E-2</v>
      </c>
      <c r="Q518">
        <v>0.21177705718544801</v>
      </c>
      <c r="R518">
        <v>0.99563257039944897</v>
      </c>
      <c r="S518" t="s">
        <v>7086</v>
      </c>
      <c r="T518" t="s">
        <v>13134</v>
      </c>
      <c r="U518" t="s">
        <v>13134</v>
      </c>
      <c r="V518" t="s">
        <v>13134</v>
      </c>
      <c r="W518" t="s">
        <v>13648</v>
      </c>
      <c r="X518">
        <v>30</v>
      </c>
      <c r="Y518" t="s">
        <v>20141</v>
      </c>
      <c r="Z518" t="s">
        <v>26486</v>
      </c>
      <c r="AA518">
        <v>0.60594327898279399</v>
      </c>
      <c r="AB518" t="str">
        <f>HYPERLINK("Melting_Curves/meltCurve_E7EV99_ADD1.pdf", "Melting_Curves/meltCurve_E7EV99_ADD1.pdf")</f>
        <v>Melting_Curves/meltCurve_E7EV99_ADD1.pdf</v>
      </c>
    </row>
    <row r="519" spans="1:28" x14ac:dyDescent="0.25">
      <c r="A519" t="s">
        <v>523</v>
      </c>
      <c r="B519">
        <v>0.99472303558308395</v>
      </c>
      <c r="C519">
        <v>0.99132713762322</v>
      </c>
      <c r="D519">
        <v>0.99881625767196702</v>
      </c>
      <c r="E519">
        <v>0.929426726827695</v>
      </c>
      <c r="F519">
        <v>0.74862245357491297</v>
      </c>
      <c r="G519">
        <v>0.62808794714925698</v>
      </c>
      <c r="H519">
        <v>0.59933573532597995</v>
      </c>
      <c r="I519">
        <v>0.67286010867545798</v>
      </c>
      <c r="J519">
        <v>0.94572393500028196</v>
      </c>
      <c r="K519">
        <v>0.78327167328302405</v>
      </c>
      <c r="L519">
        <v>2576.7276760124701</v>
      </c>
      <c r="M519">
        <v>54.224386779842099</v>
      </c>
      <c r="O519">
        <v>47.455219781114899</v>
      </c>
      <c r="P519">
        <v>-7.7953290271314105E-2</v>
      </c>
      <c r="Q519">
        <v>0.72711258054718697</v>
      </c>
      <c r="R519">
        <v>0.65456981941867498</v>
      </c>
      <c r="S519" t="s">
        <v>7087</v>
      </c>
      <c r="T519" t="s">
        <v>13134</v>
      </c>
      <c r="U519" t="s">
        <v>13134</v>
      </c>
      <c r="V519" t="s">
        <v>13134</v>
      </c>
      <c r="W519" t="s">
        <v>13649</v>
      </c>
      <c r="X519">
        <v>95</v>
      </c>
      <c r="Y519" t="s">
        <v>20142</v>
      </c>
      <c r="Z519" t="s">
        <v>26487</v>
      </c>
      <c r="AA519">
        <v>0.82328849465329357</v>
      </c>
      <c r="AB519" t="str">
        <f>HYPERLINK("Melting_Curves/meltCurve_E7EVA0_MAP4.pdf", "Melting_Curves/meltCurve_E7EVA0_MAP4.pdf")</f>
        <v>Melting_Curves/meltCurve_E7EVA0_MAP4.pdf</v>
      </c>
    </row>
    <row r="520" spans="1:28" x14ac:dyDescent="0.25">
      <c r="A520" t="s">
        <v>524</v>
      </c>
      <c r="B520">
        <v>0.99472303558308395</v>
      </c>
      <c r="C520">
        <v>1.01064449539778</v>
      </c>
      <c r="D520">
        <v>0.96066503757452204</v>
      </c>
      <c r="E520">
        <v>0.84921714779500002</v>
      </c>
      <c r="F520">
        <v>0.70953738812477496</v>
      </c>
      <c r="G520">
        <v>0.46287695764451697</v>
      </c>
      <c r="H520">
        <v>0.20462474076074</v>
      </c>
      <c r="I520">
        <v>0.12842220247182301</v>
      </c>
      <c r="J520">
        <v>0.161436604071965</v>
      </c>
      <c r="K520">
        <v>0.13218223487585001</v>
      </c>
      <c r="L520">
        <v>884.02188444250999</v>
      </c>
      <c r="M520">
        <v>16.960075903600099</v>
      </c>
      <c r="N520">
        <v>52.7654542225253</v>
      </c>
      <c r="O520">
        <v>51.4152262173073</v>
      </c>
      <c r="P520">
        <v>-7.4785414136214895E-2</v>
      </c>
      <c r="Q520">
        <v>9.3195295684450494E-2</v>
      </c>
      <c r="R520">
        <v>0.99343536563930701</v>
      </c>
      <c r="S520" t="s">
        <v>7088</v>
      </c>
      <c r="T520" t="s">
        <v>13134</v>
      </c>
      <c r="U520" t="s">
        <v>13134</v>
      </c>
      <c r="V520" t="s">
        <v>13134</v>
      </c>
      <c r="W520" t="s">
        <v>13650</v>
      </c>
      <c r="X520">
        <v>12</v>
      </c>
      <c r="Y520" t="s">
        <v>20143</v>
      </c>
      <c r="Z520" t="s">
        <v>26488</v>
      </c>
      <c r="AA520">
        <v>0.56515011860417597</v>
      </c>
      <c r="AB520" t="str">
        <f>HYPERLINK("Melting_Curves/meltCurve_E7EVC7_ATG16L1.pdf", "Melting_Curves/meltCurve_E7EVC7_ATG16L1.pdf")</f>
        <v>Melting_Curves/meltCurve_E7EVC7_ATG16L1.pdf</v>
      </c>
    </row>
    <row r="521" spans="1:28" x14ac:dyDescent="0.25">
      <c r="A521" t="s">
        <v>525</v>
      </c>
      <c r="B521">
        <v>0.99472303558308395</v>
      </c>
      <c r="C521">
        <v>1.14456669177957</v>
      </c>
      <c r="D521">
        <v>1.00239765466775</v>
      </c>
      <c r="E521">
        <v>1.0377036186808</v>
      </c>
      <c r="F521">
        <v>0.84521601338105301</v>
      </c>
      <c r="G521">
        <v>0.71210443932524004</v>
      </c>
      <c r="H521">
        <v>0.42462998944803398</v>
      </c>
      <c r="I521">
        <v>0.171125184721034</v>
      </c>
      <c r="J521">
        <v>0.113979430841322</v>
      </c>
      <c r="K521">
        <v>0.12980529309928701</v>
      </c>
      <c r="L521">
        <v>1107.9847947236101</v>
      </c>
      <c r="M521">
        <v>19.8750265492511</v>
      </c>
      <c r="N521">
        <v>56.142140862409299</v>
      </c>
      <c r="O521">
        <v>55.192427835803798</v>
      </c>
      <c r="P521">
        <v>-8.41612776220165E-2</v>
      </c>
      <c r="Q521">
        <v>6.5176589070134197E-2</v>
      </c>
      <c r="R521">
        <v>0.97924263891247498</v>
      </c>
      <c r="S521" t="s">
        <v>7089</v>
      </c>
      <c r="T521" t="s">
        <v>13134</v>
      </c>
      <c r="U521" t="s">
        <v>13134</v>
      </c>
      <c r="V521" t="s">
        <v>13134</v>
      </c>
      <c r="W521" t="s">
        <v>13651</v>
      </c>
      <c r="X521">
        <v>6</v>
      </c>
      <c r="Y521" t="s">
        <v>20144</v>
      </c>
      <c r="Z521" t="s">
        <v>26489</v>
      </c>
      <c r="AA521">
        <v>0.6593124956257419</v>
      </c>
      <c r="AB521" t="str">
        <f>HYPERLINK("Melting_Curves/meltCurve_E7EVH9_HDHD1.pdf", "Melting_Curves/meltCurve_E7EVH9_HDHD1.pdf")</f>
        <v>Melting_Curves/meltCurve_E7EVH9_HDHD1.pdf</v>
      </c>
    </row>
    <row r="522" spans="1:28" x14ac:dyDescent="0.25">
      <c r="A522" t="s">
        <v>526</v>
      </c>
      <c r="B522">
        <v>0.99472303558308395</v>
      </c>
      <c r="C522">
        <v>0.95810672533859398</v>
      </c>
      <c r="D522">
        <v>0.71542856878019401</v>
      </c>
      <c r="E522">
        <v>0.74705228501974297</v>
      </c>
      <c r="F522">
        <v>0.95176432265243205</v>
      </c>
      <c r="G522">
        <v>0.48507325880736901</v>
      </c>
      <c r="H522">
        <v>0.80117975262812702</v>
      </c>
      <c r="I522">
        <v>0.34187377021708198</v>
      </c>
      <c r="J522">
        <v>0.70097053945842702</v>
      </c>
      <c r="K522">
        <v>0.75795807702137297</v>
      </c>
      <c r="L522">
        <v>454.59286032365901</v>
      </c>
      <c r="M522">
        <v>10.272695200083</v>
      </c>
      <c r="O522">
        <v>42.673959584338199</v>
      </c>
      <c r="P522">
        <v>-2.2642849526076501E-2</v>
      </c>
      <c r="Q522">
        <v>0.623920829763289</v>
      </c>
      <c r="R522">
        <v>0.36203989571619699</v>
      </c>
      <c r="S522" t="s">
        <v>7090</v>
      </c>
      <c r="T522" t="s">
        <v>13134</v>
      </c>
      <c r="U522" t="s">
        <v>13134</v>
      </c>
      <c r="V522" t="s">
        <v>13134</v>
      </c>
      <c r="W522" t="s">
        <v>13652</v>
      </c>
      <c r="X522">
        <v>3</v>
      </c>
      <c r="Y522" t="s">
        <v>20145</v>
      </c>
      <c r="Z522" t="s">
        <v>26490</v>
      </c>
      <c r="AA522">
        <v>0.73366330272661529</v>
      </c>
      <c r="AB522" t="str">
        <f>HYPERLINK("Melting_Curves/meltCurve_E7EVJ3_NDST1.pdf", "Melting_Curves/meltCurve_E7EVJ3_NDST1.pdf")</f>
        <v>Melting_Curves/meltCurve_E7EVJ3_NDST1.pdf</v>
      </c>
    </row>
    <row r="523" spans="1:28" x14ac:dyDescent="0.25">
      <c r="A523" t="s">
        <v>527</v>
      </c>
      <c r="B523">
        <v>0.99472303558308395</v>
      </c>
      <c r="C523">
        <v>1.00969996063131</v>
      </c>
      <c r="D523">
        <v>1.1046462544961999</v>
      </c>
      <c r="E523">
        <v>0.96398610367775595</v>
      </c>
      <c r="F523">
        <v>0.64338962293637103</v>
      </c>
      <c r="G523">
        <v>0.45338970101004999</v>
      </c>
      <c r="H523">
        <v>0.119737810621023</v>
      </c>
      <c r="I523">
        <v>0.255004244989951</v>
      </c>
      <c r="J523">
        <v>0.14481487053615699</v>
      </c>
      <c r="K523">
        <v>0.16996913201080199</v>
      </c>
      <c r="L523">
        <v>1234.14084021798</v>
      </c>
      <c r="M523">
        <v>24.017747984500101</v>
      </c>
      <c r="N523">
        <v>52.235154600451303</v>
      </c>
      <c r="O523">
        <v>51.0322913469601</v>
      </c>
      <c r="P523">
        <v>-9.8617770465534493E-2</v>
      </c>
      <c r="Q523">
        <v>0.16185125497661301</v>
      </c>
      <c r="R523">
        <v>0.972998900812162</v>
      </c>
      <c r="S523" t="s">
        <v>7091</v>
      </c>
      <c r="T523" t="s">
        <v>13134</v>
      </c>
      <c r="U523" t="s">
        <v>13134</v>
      </c>
      <c r="V523" t="s">
        <v>13134</v>
      </c>
      <c r="W523" t="s">
        <v>13653</v>
      </c>
      <c r="X523">
        <v>1</v>
      </c>
      <c r="Y523" t="s">
        <v>20146</v>
      </c>
      <c r="Z523" t="s">
        <v>26491</v>
      </c>
      <c r="AA523">
        <v>0.57170308147734084</v>
      </c>
      <c r="AB523" t="str">
        <f>HYPERLINK("Melting_Curves/meltCurve_E7EVK2_MTG1.pdf", "Melting_Curves/meltCurve_E7EVK2_MTG1.pdf")</f>
        <v>Melting_Curves/meltCurve_E7EVK2_MTG1.pdf</v>
      </c>
    </row>
    <row r="524" spans="1:28" x14ac:dyDescent="0.25">
      <c r="A524" t="s">
        <v>528</v>
      </c>
      <c r="B524">
        <v>0.99472303558308395</v>
      </c>
      <c r="C524">
        <v>1.0761667900379699</v>
      </c>
      <c r="D524">
        <v>0.99879421404374402</v>
      </c>
      <c r="E524">
        <v>0.88921482024922105</v>
      </c>
      <c r="F524">
        <v>0.55052497395093303</v>
      </c>
      <c r="G524">
        <v>0.418287924722759</v>
      </c>
      <c r="H524">
        <v>0.35270174497878298</v>
      </c>
      <c r="I524">
        <v>0.38627959466182799</v>
      </c>
      <c r="J524">
        <v>0.49148311580002202</v>
      </c>
      <c r="K524">
        <v>0.343301028999139</v>
      </c>
      <c r="L524">
        <v>1693.10332816505</v>
      </c>
      <c r="M524">
        <v>34.800698352407203</v>
      </c>
      <c r="N524">
        <v>50.9175890797395</v>
      </c>
      <c r="O524">
        <v>48.491610661641701</v>
      </c>
      <c r="P524">
        <v>-0.108770504685404</v>
      </c>
      <c r="Q524">
        <v>0.39375493305215298</v>
      </c>
      <c r="R524">
        <v>0.97560505143727005</v>
      </c>
      <c r="S524" t="s">
        <v>7092</v>
      </c>
      <c r="T524" t="s">
        <v>13134</v>
      </c>
      <c r="U524" t="s">
        <v>13134</v>
      </c>
      <c r="V524" t="s">
        <v>13134</v>
      </c>
      <c r="W524" t="s">
        <v>13654</v>
      </c>
      <c r="X524">
        <v>8</v>
      </c>
      <c r="Y524" t="s">
        <v>20147</v>
      </c>
      <c r="Z524" t="s">
        <v>26492</v>
      </c>
      <c r="AA524">
        <v>0.63190678562698455</v>
      </c>
      <c r="AB524" t="str">
        <f>HYPERLINK("Melting_Curves/meltCurve_E7EVM2_TAL1.pdf", "Melting_Curves/meltCurve_E7EVM2_TAL1.pdf")</f>
        <v>Melting_Curves/meltCurve_E7EVM2_TAL1.pdf</v>
      </c>
    </row>
    <row r="525" spans="1:28" x14ac:dyDescent="0.25">
      <c r="A525" t="s">
        <v>529</v>
      </c>
      <c r="B525">
        <v>0.99472303558308395</v>
      </c>
      <c r="C525">
        <v>0.94263144480659899</v>
      </c>
      <c r="D525">
        <v>0.80254485894025496</v>
      </c>
      <c r="E525">
        <v>0.78707480624902704</v>
      </c>
      <c r="F525">
        <v>1.0847572316462599</v>
      </c>
      <c r="G525">
        <v>0.41139021727437902</v>
      </c>
      <c r="H525">
        <v>0.31276664220946199</v>
      </c>
      <c r="I525">
        <v>6.9980054956263402E-2</v>
      </c>
      <c r="J525">
        <v>7.7332793054443696E-2</v>
      </c>
      <c r="K525">
        <v>8.22073065963278E-2</v>
      </c>
      <c r="L525">
        <v>5467.7067774018597</v>
      </c>
      <c r="M525">
        <v>102.380839148652</v>
      </c>
      <c r="N525">
        <v>53.570533306752402</v>
      </c>
      <c r="O525">
        <v>53.385200016063301</v>
      </c>
      <c r="P525">
        <v>-0.41461995263149598</v>
      </c>
      <c r="Q525">
        <v>0.13520662104317999</v>
      </c>
      <c r="R525">
        <v>0.90918172349593795</v>
      </c>
      <c r="S525" t="s">
        <v>7093</v>
      </c>
      <c r="T525" t="s">
        <v>13134</v>
      </c>
      <c r="U525" t="s">
        <v>13134</v>
      </c>
      <c r="V525" t="s">
        <v>13134</v>
      </c>
      <c r="W525" t="s">
        <v>13655</v>
      </c>
      <c r="X525">
        <v>18</v>
      </c>
      <c r="Y525" t="s">
        <v>20148</v>
      </c>
      <c r="Z525" t="s">
        <v>26493</v>
      </c>
      <c r="AA525">
        <v>0.60860464503018608</v>
      </c>
      <c r="AB525" t="str">
        <f>HYPERLINK("Melting_Curves/meltCurve_E7EVZ2_YWHAZ.pdf", "Melting_Curves/meltCurve_E7EVZ2_YWHAZ.pdf")</f>
        <v>Melting_Curves/meltCurve_E7EVZ2_YWHAZ.pdf</v>
      </c>
    </row>
    <row r="526" spans="1:28" x14ac:dyDescent="0.25">
      <c r="A526" t="s">
        <v>530</v>
      </c>
      <c r="B526">
        <v>0.99472303558308395</v>
      </c>
      <c r="C526">
        <v>1.1537450961752</v>
      </c>
      <c r="D526">
        <v>1.21792819680417</v>
      </c>
      <c r="E526">
        <v>0.60345663571118202</v>
      </c>
      <c r="F526">
        <v>0.15517360311954001</v>
      </c>
      <c r="G526">
        <v>9.6960173820827902E-2</v>
      </c>
      <c r="H526">
        <v>6.13842312223511E-2</v>
      </c>
      <c r="I526">
        <v>4.5735909788955698E-2</v>
      </c>
      <c r="J526">
        <v>6.4028676062522799E-2</v>
      </c>
      <c r="K526">
        <v>4.69311096254851E-2</v>
      </c>
      <c r="L526">
        <v>2910.7684050163898</v>
      </c>
      <c r="M526">
        <v>62.142656946447097</v>
      </c>
      <c r="N526">
        <v>46.9635998342169</v>
      </c>
      <c r="O526">
        <v>46.791663577935303</v>
      </c>
      <c r="P526">
        <v>-0.306987887691483</v>
      </c>
      <c r="Q526">
        <v>7.5387438331598305E-2</v>
      </c>
      <c r="R526">
        <v>0.96451828086357705</v>
      </c>
      <c r="S526" t="s">
        <v>7094</v>
      </c>
      <c r="T526" t="s">
        <v>13134</v>
      </c>
      <c r="U526" t="s">
        <v>13134</v>
      </c>
      <c r="V526" t="s">
        <v>13134</v>
      </c>
      <c r="W526" t="s">
        <v>13656</v>
      </c>
      <c r="X526">
        <v>6</v>
      </c>
      <c r="Y526" t="s">
        <v>20149</v>
      </c>
      <c r="Z526" t="s">
        <v>26494</v>
      </c>
      <c r="AA526">
        <v>0.37989780563129538</v>
      </c>
      <c r="AB526" t="str">
        <f>HYPERLINK("Melting_Curves/meltCurve_E7EW05_SDAD1.pdf", "Melting_Curves/meltCurve_E7EW05_SDAD1.pdf")</f>
        <v>Melting_Curves/meltCurve_E7EW05_SDAD1.pdf</v>
      </c>
    </row>
    <row r="527" spans="1:28" x14ac:dyDescent="0.25">
      <c r="A527" t="s">
        <v>531</v>
      </c>
      <c r="B527">
        <v>0.99472303558308395</v>
      </c>
      <c r="C527">
        <v>1.0458697822163701</v>
      </c>
      <c r="D527">
        <v>0.86924367590390605</v>
      </c>
      <c r="E527">
        <v>0.77087655875057803</v>
      </c>
      <c r="F527">
        <v>0.58120053067152799</v>
      </c>
      <c r="G527">
        <v>0.151575495778837</v>
      </c>
      <c r="H527">
        <v>9.9902937361294505E-2</v>
      </c>
      <c r="I527">
        <v>7.3245095233159196E-2</v>
      </c>
      <c r="J527">
        <v>8.14747428870055E-2</v>
      </c>
      <c r="K527">
        <v>5.2398910282963E-2</v>
      </c>
      <c r="L527">
        <v>938.31290414928299</v>
      </c>
      <c r="M527">
        <v>18.796891039285899</v>
      </c>
      <c r="N527">
        <v>50.124194211568302</v>
      </c>
      <c r="O527">
        <v>49.363820142544697</v>
      </c>
      <c r="P527">
        <v>-9.1666609319475595E-2</v>
      </c>
      <c r="Q527">
        <v>3.7111852610552699E-2</v>
      </c>
      <c r="R527">
        <v>0.98303336485592696</v>
      </c>
      <c r="S527" t="s">
        <v>7095</v>
      </c>
      <c r="T527" t="s">
        <v>13134</v>
      </c>
      <c r="U527" t="s">
        <v>13134</v>
      </c>
      <c r="V527" t="s">
        <v>13134</v>
      </c>
      <c r="W527" t="s">
        <v>13657</v>
      </c>
      <c r="X527">
        <v>9</v>
      </c>
      <c r="Y527" t="s">
        <v>20150</v>
      </c>
      <c r="Z527" t="s">
        <v>26495</v>
      </c>
      <c r="AA527">
        <v>0.46586695067593931</v>
      </c>
      <c r="AB527" t="str">
        <f>HYPERLINK("Melting_Curves/meltCurve_E7EW20_MYO6.pdf", "Melting_Curves/meltCurve_E7EW20_MYO6.pdf")</f>
        <v>Melting_Curves/meltCurve_E7EW20_MYO6.pdf</v>
      </c>
    </row>
    <row r="528" spans="1:28" x14ac:dyDescent="0.25">
      <c r="A528" t="s">
        <v>532</v>
      </c>
      <c r="B528">
        <v>0.99472303558308395</v>
      </c>
      <c r="C528">
        <v>0.82608696794606895</v>
      </c>
      <c r="D528">
        <v>0.90403091218390097</v>
      </c>
      <c r="E528">
        <v>0.77411127009736103</v>
      </c>
      <c r="F528">
        <v>0.59064170349893796</v>
      </c>
      <c r="G528">
        <v>0.339705219370881</v>
      </c>
      <c r="H528">
        <v>0.15742458651004301</v>
      </c>
      <c r="I528">
        <v>6.7918229981429504E-2</v>
      </c>
      <c r="J528">
        <v>5.2442490325714401E-2</v>
      </c>
      <c r="K528">
        <v>5.6709163794401399E-2</v>
      </c>
      <c r="L528">
        <v>662.91022028650696</v>
      </c>
      <c r="M528">
        <v>13.0159199312208</v>
      </c>
      <c r="N528">
        <v>50.9307244233365</v>
      </c>
      <c r="O528">
        <v>49.773481137709801</v>
      </c>
      <c r="P528">
        <v>-6.5387267659943807E-2</v>
      </c>
      <c r="Q528">
        <v>0</v>
      </c>
      <c r="R528">
        <v>0.97998492527441705</v>
      </c>
      <c r="S528" t="s">
        <v>7096</v>
      </c>
      <c r="T528" t="s">
        <v>13134</v>
      </c>
      <c r="U528" t="s">
        <v>13134</v>
      </c>
      <c r="V528" t="s">
        <v>13134</v>
      </c>
      <c r="W528" t="s">
        <v>13658</v>
      </c>
      <c r="X528">
        <v>8</v>
      </c>
      <c r="Y528" t="s">
        <v>20151</v>
      </c>
      <c r="Z528" t="s">
        <v>26496</v>
      </c>
      <c r="AA528">
        <v>0.48836795129574162</v>
      </c>
      <c r="AB528" t="str">
        <f>HYPERLINK("Melting_Curves/meltCurve_E7EW32_MON1B.pdf", "Melting_Curves/meltCurve_E7EW32_MON1B.pdf")</f>
        <v>Melting_Curves/meltCurve_E7EW32_MON1B.pdf</v>
      </c>
    </row>
    <row r="529" spans="1:28" x14ac:dyDescent="0.25">
      <c r="A529" t="s">
        <v>533</v>
      </c>
      <c r="B529">
        <v>0.99472303558308395</v>
      </c>
      <c r="C529">
        <v>0.87595542227381396</v>
      </c>
      <c r="D529">
        <v>0.96657920290130095</v>
      </c>
      <c r="E529">
        <v>0.78296974796907104</v>
      </c>
      <c r="F529">
        <v>0.45663360695044503</v>
      </c>
      <c r="G529">
        <v>0.40931629565301803</v>
      </c>
      <c r="H529">
        <v>0.382353116087019</v>
      </c>
      <c r="I529">
        <v>0.15064182889173799</v>
      </c>
      <c r="J529">
        <v>0.16899508935966101</v>
      </c>
      <c r="K529">
        <v>0.119715241996423</v>
      </c>
      <c r="L529">
        <v>554.32292769286505</v>
      </c>
      <c r="M529">
        <v>10.9336267308645</v>
      </c>
      <c r="N529">
        <v>51.4859629324772</v>
      </c>
      <c r="O529">
        <v>49.091416233709197</v>
      </c>
      <c r="P529">
        <v>-5.1412520819331502E-2</v>
      </c>
      <c r="Q529">
        <v>7.6960568621125797E-2</v>
      </c>
      <c r="R529">
        <v>0.96303338866598298</v>
      </c>
      <c r="S529" t="s">
        <v>7097</v>
      </c>
      <c r="T529" t="s">
        <v>13134</v>
      </c>
      <c r="U529" t="s">
        <v>13134</v>
      </c>
      <c r="V529" t="s">
        <v>13134</v>
      </c>
      <c r="W529" t="s">
        <v>13659</v>
      </c>
      <c r="X529">
        <v>3</v>
      </c>
      <c r="Y529" t="s">
        <v>20152</v>
      </c>
      <c r="Z529" t="s">
        <v>26497</v>
      </c>
      <c r="AA529">
        <v>0.52541241773614089</v>
      </c>
      <c r="AB529" t="str">
        <f>HYPERLINK("Melting_Curves/meltCurve_E7EWM3_ZMIZ2.pdf", "Melting_Curves/meltCurve_E7EWM3_ZMIZ2.pdf")</f>
        <v>Melting_Curves/meltCurve_E7EWM3_ZMIZ2.pdf</v>
      </c>
    </row>
    <row r="530" spans="1:28" x14ac:dyDescent="0.25">
      <c r="A530" t="s">
        <v>534</v>
      </c>
      <c r="B530">
        <v>0.99472303558308395</v>
      </c>
      <c r="C530">
        <v>0.87300092869879298</v>
      </c>
      <c r="D530">
        <v>0.728648447189438</v>
      </c>
      <c r="E530">
        <v>0.58552104216025502</v>
      </c>
      <c r="F530">
        <v>0.40556267215721697</v>
      </c>
      <c r="G530">
        <v>0.202991099254862</v>
      </c>
      <c r="H530">
        <v>0.146729588542138</v>
      </c>
      <c r="I530">
        <v>0.10192144885372401</v>
      </c>
      <c r="J530">
        <v>0.10676957072736699</v>
      </c>
      <c r="K530">
        <v>7.6290954061986799E-2</v>
      </c>
      <c r="L530">
        <v>516.88176589000295</v>
      </c>
      <c r="M530">
        <v>10.9040440545912</v>
      </c>
      <c r="N530">
        <v>47.698075968568503</v>
      </c>
      <c r="O530">
        <v>45.892041841418198</v>
      </c>
      <c r="P530">
        <v>-5.7481659009497997E-2</v>
      </c>
      <c r="Q530">
        <v>3.2641384361550299E-2</v>
      </c>
      <c r="R530">
        <v>0.99413002449367305</v>
      </c>
      <c r="S530" t="s">
        <v>7098</v>
      </c>
      <c r="T530" t="s">
        <v>13134</v>
      </c>
      <c r="U530" t="s">
        <v>13134</v>
      </c>
      <c r="V530" t="s">
        <v>13134</v>
      </c>
      <c r="W530" t="s">
        <v>13660</v>
      </c>
      <c r="X530">
        <v>6</v>
      </c>
      <c r="Y530" t="s">
        <v>20153</v>
      </c>
      <c r="Z530" t="s">
        <v>26498</v>
      </c>
      <c r="AA530">
        <v>0.40404600935480661</v>
      </c>
      <c r="AB530" t="str">
        <f>HYPERLINK("Melting_Curves/meltCurve_E7EWP0_NDUFB5.pdf", "Melting_Curves/meltCurve_E7EWP0_NDUFB5.pdf")</f>
        <v>Melting_Curves/meltCurve_E7EWP0_NDUFB5.pdf</v>
      </c>
    </row>
    <row r="531" spans="1:28" x14ac:dyDescent="0.25">
      <c r="A531" t="s">
        <v>535</v>
      </c>
      <c r="B531">
        <v>0.99472303558308395</v>
      </c>
      <c r="C531">
        <v>0.98301369230512903</v>
      </c>
      <c r="D531">
        <v>0.83787141558438305</v>
      </c>
      <c r="E531">
        <v>0.721867412216596</v>
      </c>
      <c r="F531">
        <v>0.42992586369378499</v>
      </c>
      <c r="G531">
        <v>0.17673478605116499</v>
      </c>
      <c r="H531">
        <v>9.6003683941055698E-2</v>
      </c>
      <c r="I531">
        <v>6.8132648161898804E-2</v>
      </c>
      <c r="J531">
        <v>9.6230900394115304E-2</v>
      </c>
      <c r="K531">
        <v>5.9814996339982301E-2</v>
      </c>
      <c r="L531">
        <v>796.74247974904597</v>
      </c>
      <c r="M531">
        <v>16.354740246735499</v>
      </c>
      <c r="N531">
        <v>48.985588864421103</v>
      </c>
      <c r="O531">
        <v>48.005425761944203</v>
      </c>
      <c r="P531">
        <v>-8.1515542174586703E-2</v>
      </c>
      <c r="Q531">
        <v>4.2991405283437999E-2</v>
      </c>
      <c r="R531">
        <v>0.99399077731118801</v>
      </c>
      <c r="S531" t="s">
        <v>7099</v>
      </c>
      <c r="T531" t="s">
        <v>13134</v>
      </c>
      <c r="U531" t="s">
        <v>13134</v>
      </c>
      <c r="V531" t="s">
        <v>13134</v>
      </c>
      <c r="W531" t="s">
        <v>13661</v>
      </c>
      <c r="X531">
        <v>6</v>
      </c>
      <c r="Y531" t="s">
        <v>20154</v>
      </c>
      <c r="Z531" t="s">
        <v>26499</v>
      </c>
      <c r="AA531">
        <v>0.43473083001305318</v>
      </c>
      <c r="AB531" t="str">
        <f>HYPERLINK("Melting_Curves/meltCurve_E7EWQ5_MAST4.pdf", "Melting_Curves/meltCurve_E7EWQ5_MAST4.pdf")</f>
        <v>Melting_Curves/meltCurve_E7EWQ5_MAST4.pdf</v>
      </c>
    </row>
    <row r="532" spans="1:28" x14ac:dyDescent="0.25">
      <c r="A532" t="s">
        <v>536</v>
      </c>
      <c r="B532">
        <v>0.99472303558308395</v>
      </c>
      <c r="C532">
        <v>0.98221457958082903</v>
      </c>
      <c r="D532">
        <v>1.0493741708490101</v>
      </c>
      <c r="E532">
        <v>0.92266101821812896</v>
      </c>
      <c r="F532">
        <v>0.68479165254989405</v>
      </c>
      <c r="G532">
        <v>0.65010581136721002</v>
      </c>
      <c r="H532">
        <v>0.62972780203285095</v>
      </c>
      <c r="I532">
        <v>0.724139121470182</v>
      </c>
      <c r="J532">
        <v>1.0779187054657799</v>
      </c>
      <c r="K532">
        <v>0.78758234403866201</v>
      </c>
      <c r="L532">
        <v>11684.9187157382</v>
      </c>
      <c r="M532">
        <v>250</v>
      </c>
      <c r="O532">
        <v>46.736683869572502</v>
      </c>
      <c r="P532">
        <v>-0.32222515232140703</v>
      </c>
      <c r="Q532">
        <v>0.75904423920504205</v>
      </c>
      <c r="R532">
        <v>0.481009047715869</v>
      </c>
      <c r="S532" t="s">
        <v>7100</v>
      </c>
      <c r="T532" t="s">
        <v>13134</v>
      </c>
      <c r="U532" t="s">
        <v>13134</v>
      </c>
      <c r="V532" t="s">
        <v>13134</v>
      </c>
      <c r="W532" t="s">
        <v>13662</v>
      </c>
      <c r="X532">
        <v>55</v>
      </c>
      <c r="Y532" t="s">
        <v>20155</v>
      </c>
      <c r="Z532" t="s">
        <v>26500</v>
      </c>
      <c r="AA532">
        <v>0.83729169639669654</v>
      </c>
      <c r="AB532" t="str">
        <f>HYPERLINK("Melting_Curves/meltCurve_E7EX17_EIF4B.pdf", "Melting_Curves/meltCurve_E7EX17_EIF4B.pdf")</f>
        <v>Melting_Curves/meltCurve_E7EX17_EIF4B.pdf</v>
      </c>
    </row>
    <row r="533" spans="1:28" x14ac:dyDescent="0.25">
      <c r="A533" t="s">
        <v>537</v>
      </c>
      <c r="B533">
        <v>0.99472303558308395</v>
      </c>
      <c r="C533">
        <v>0.96013801509161001</v>
      </c>
      <c r="D533">
        <v>0.82698109392670205</v>
      </c>
      <c r="E533">
        <v>0.51483830269201203</v>
      </c>
      <c r="F533">
        <v>0.129495977587782</v>
      </c>
      <c r="G533">
        <v>8.0546365353902999E-2</v>
      </c>
      <c r="H533">
        <v>5.0552576199154702E-2</v>
      </c>
      <c r="I533">
        <v>3.9419517910087798E-2</v>
      </c>
      <c r="J533">
        <v>4.5750294583209603E-2</v>
      </c>
      <c r="K533">
        <v>3.8911133086799297E-2</v>
      </c>
      <c r="L533">
        <v>1048.3603380934401</v>
      </c>
      <c r="M533">
        <v>22.659271671061401</v>
      </c>
      <c r="N533">
        <v>46.414308482139603</v>
      </c>
      <c r="O533">
        <v>45.910457106379504</v>
      </c>
      <c r="P533">
        <v>-0.119089776083548</v>
      </c>
      <c r="Q533">
        <v>3.48573321160471E-2</v>
      </c>
      <c r="R533">
        <v>0.99710278444511602</v>
      </c>
      <c r="S533" t="s">
        <v>7101</v>
      </c>
      <c r="T533" t="s">
        <v>13134</v>
      </c>
      <c r="U533" t="s">
        <v>13134</v>
      </c>
      <c r="V533" t="s">
        <v>13134</v>
      </c>
      <c r="W533" t="s">
        <v>13663</v>
      </c>
      <c r="X533">
        <v>61</v>
      </c>
      <c r="Y533" t="s">
        <v>20156</v>
      </c>
      <c r="Z533" t="s">
        <v>26501</v>
      </c>
      <c r="AA533">
        <v>0.34276907518742461</v>
      </c>
      <c r="AB533" t="str">
        <f>HYPERLINK("Melting_Curves/meltCurve_E7EX73_EIF4G1.pdf", "Melting_Curves/meltCurve_E7EX73_EIF4G1.pdf")</f>
        <v>Melting_Curves/meltCurve_E7EX73_EIF4G1.pdf</v>
      </c>
    </row>
    <row r="534" spans="1:28" x14ac:dyDescent="0.25">
      <c r="A534" t="s">
        <v>538</v>
      </c>
      <c r="B534">
        <v>0.99472303558308395</v>
      </c>
      <c r="C534">
        <v>0.87202961738213403</v>
      </c>
      <c r="D534">
        <v>0.59331028356627002</v>
      </c>
      <c r="E534">
        <v>0.39695403117483102</v>
      </c>
      <c r="F534">
        <v>0.143831455873425</v>
      </c>
      <c r="G534">
        <v>9.4108695250522095E-2</v>
      </c>
      <c r="H534">
        <v>6.9334191592940395E-2</v>
      </c>
      <c r="I534">
        <v>4.8177139074200299E-2</v>
      </c>
      <c r="J534">
        <v>7.2325814554149298E-2</v>
      </c>
      <c r="K534">
        <v>5.1378238583702197E-2</v>
      </c>
      <c r="L534">
        <v>708.30705862062302</v>
      </c>
      <c r="M534">
        <v>15.9863191797899</v>
      </c>
      <c r="N534">
        <v>44.578605466228701</v>
      </c>
      <c r="O534">
        <v>43.631146976264397</v>
      </c>
      <c r="P534">
        <v>-8.7356771882554599E-2</v>
      </c>
      <c r="Q534">
        <v>4.6390357788762E-2</v>
      </c>
      <c r="R534">
        <v>0.99392848083233798</v>
      </c>
      <c r="S534" t="s">
        <v>7102</v>
      </c>
      <c r="T534" t="s">
        <v>13134</v>
      </c>
      <c r="U534" t="s">
        <v>13134</v>
      </c>
      <c r="V534" t="s">
        <v>13134</v>
      </c>
      <c r="W534" t="s">
        <v>13664</v>
      </c>
      <c r="X534">
        <v>30</v>
      </c>
      <c r="Y534" t="s">
        <v>20157</v>
      </c>
      <c r="Z534" t="s">
        <v>26502</v>
      </c>
      <c r="AA534">
        <v>0.29910787082292478</v>
      </c>
      <c r="AB534" t="str">
        <f>HYPERLINK("Melting_Curves/meltCurve_E7EX90_DCTN1.pdf", "Melting_Curves/meltCurve_E7EX90_DCTN1.pdf")</f>
        <v>Melting_Curves/meltCurve_E7EX90_DCTN1.pdf</v>
      </c>
    </row>
    <row r="535" spans="1:28" x14ac:dyDescent="0.25">
      <c r="A535" t="s">
        <v>539</v>
      </c>
      <c r="B535">
        <v>0.99472303558308395</v>
      </c>
      <c r="C535">
        <v>1.0784029866154601</v>
      </c>
      <c r="D535">
        <v>1.2235533291813601</v>
      </c>
      <c r="E535">
        <v>0.96688149117648603</v>
      </c>
      <c r="F535">
        <v>0.70261504955676202</v>
      </c>
      <c r="G535">
        <v>0.32080637580356502</v>
      </c>
      <c r="H535">
        <v>0.13393574240782</v>
      </c>
      <c r="I535">
        <v>9.0780806317902404E-2</v>
      </c>
      <c r="J535">
        <v>0</v>
      </c>
      <c r="K535">
        <v>2.5499725234305499E-2</v>
      </c>
      <c r="L535">
        <v>1319.9966377486901</v>
      </c>
      <c r="M535">
        <v>25.389940025969999</v>
      </c>
      <c r="N535">
        <v>52.126888327102698</v>
      </c>
      <c r="O535">
        <v>51.669665739029703</v>
      </c>
      <c r="P535">
        <v>-0.118857966686074</v>
      </c>
      <c r="Q535">
        <v>3.2486971774324802E-2</v>
      </c>
      <c r="R535">
        <v>0.970851513545816</v>
      </c>
      <c r="S535" t="s">
        <v>7103</v>
      </c>
      <c r="T535" t="s">
        <v>13134</v>
      </c>
      <c r="U535" t="s">
        <v>13134</v>
      </c>
      <c r="V535" t="s">
        <v>13134</v>
      </c>
      <c r="W535" t="s">
        <v>13665</v>
      </c>
      <c r="X535">
        <v>3</v>
      </c>
      <c r="Y535" t="s">
        <v>20158</v>
      </c>
      <c r="Z535" t="s">
        <v>26503</v>
      </c>
      <c r="AA535">
        <v>0.52422283199795927</v>
      </c>
      <c r="AB535" t="str">
        <f>HYPERLINK("Melting_Curves/meltCurve_E9PAK5_DENND4B.pdf", "Melting_Curves/meltCurve_E9PAK5_DENND4B.pdf")</f>
        <v>Melting_Curves/meltCurve_E9PAK5_DENND4B.pdf</v>
      </c>
    </row>
    <row r="536" spans="1:28" x14ac:dyDescent="0.25">
      <c r="A536" t="s">
        <v>540</v>
      </c>
      <c r="B536">
        <v>0.99472303558308395</v>
      </c>
      <c r="C536">
        <v>0.90219390423339896</v>
      </c>
      <c r="D536">
        <v>0.89979651995863097</v>
      </c>
      <c r="E536">
        <v>0.72825985795835602</v>
      </c>
      <c r="F536">
        <v>0.61914195544531303</v>
      </c>
      <c r="G536">
        <v>0.42508376270040998</v>
      </c>
      <c r="H536">
        <v>0.202568379453437</v>
      </c>
      <c r="I536">
        <v>0.101307165878122</v>
      </c>
      <c r="J536">
        <v>9.3440920042071399E-2</v>
      </c>
      <c r="K536">
        <v>8.8427000257843696E-2</v>
      </c>
      <c r="L536">
        <v>577.90055539815205</v>
      </c>
      <c r="M536">
        <v>11.2181258472646</v>
      </c>
      <c r="N536">
        <v>51.514893151668602</v>
      </c>
      <c r="O536">
        <v>49.9592736795543</v>
      </c>
      <c r="P536">
        <v>-5.6153913288905802E-2</v>
      </c>
      <c r="Q536">
        <v>0</v>
      </c>
      <c r="R536">
        <v>0.98922700759317295</v>
      </c>
      <c r="S536" t="s">
        <v>7104</v>
      </c>
      <c r="T536" t="s">
        <v>13134</v>
      </c>
      <c r="U536" t="s">
        <v>13134</v>
      </c>
      <c r="V536" t="s">
        <v>13134</v>
      </c>
      <c r="W536" t="s">
        <v>13666</v>
      </c>
      <c r="X536">
        <v>12</v>
      </c>
      <c r="Y536" t="s">
        <v>20159</v>
      </c>
      <c r="Z536" t="s">
        <v>26504</v>
      </c>
      <c r="AA536">
        <v>0.51018330310924076</v>
      </c>
      <c r="AB536" t="str">
        <f>HYPERLINK("Melting_Curves/meltCurve_E9PAL9_NT5DC2.pdf", "Melting_Curves/meltCurve_E9PAL9_NT5DC2.pdf")</f>
        <v>Melting_Curves/meltCurve_E9PAL9_NT5DC2.pdf</v>
      </c>
    </row>
    <row r="537" spans="1:28" x14ac:dyDescent="0.25">
      <c r="A537" t="s">
        <v>541</v>
      </c>
      <c r="B537">
        <v>0.99472303558308395</v>
      </c>
      <c r="C537">
        <v>0.92185403114504805</v>
      </c>
      <c r="D537">
        <v>0.69798560091638295</v>
      </c>
      <c r="E537">
        <v>0.26698636404773401</v>
      </c>
      <c r="F537">
        <v>0.133009015539162</v>
      </c>
      <c r="G537">
        <v>7.9042565512881593E-2</v>
      </c>
      <c r="H537">
        <v>5.0472206005502201E-2</v>
      </c>
      <c r="I537">
        <v>4.2169280566474503E-2</v>
      </c>
      <c r="J537">
        <v>4.7191345124030497E-2</v>
      </c>
      <c r="K537">
        <v>4.2989669933820002E-2</v>
      </c>
      <c r="L537">
        <v>1013.27887055986</v>
      </c>
      <c r="M537">
        <v>22.852907314966501</v>
      </c>
      <c r="N537">
        <v>44.5415009861428</v>
      </c>
      <c r="O537">
        <v>44.003841579029903</v>
      </c>
      <c r="P537">
        <v>-0.12343576358720899</v>
      </c>
      <c r="Q537">
        <v>4.9303720634788703E-2</v>
      </c>
      <c r="R537">
        <v>0.99900039077598002</v>
      </c>
      <c r="S537" t="s">
        <v>7105</v>
      </c>
      <c r="T537" t="s">
        <v>13134</v>
      </c>
      <c r="U537" t="s">
        <v>13134</v>
      </c>
      <c r="V537" t="s">
        <v>13134</v>
      </c>
      <c r="W537" t="s">
        <v>13667</v>
      </c>
      <c r="X537">
        <v>16</v>
      </c>
      <c r="Y537" t="s">
        <v>20160</v>
      </c>
      <c r="Z537" t="s">
        <v>26505</v>
      </c>
      <c r="AA537">
        <v>0.29133754842589299</v>
      </c>
      <c r="AB537" t="str">
        <f>HYPERLINK("Melting_Curves/meltCurve_E9PAU2_RAVER1.pdf", "Melting_Curves/meltCurve_E9PAU2_RAVER1.pdf")</f>
        <v>Melting_Curves/meltCurve_E9PAU2_RAVER1.pdf</v>
      </c>
    </row>
    <row r="538" spans="1:28" x14ac:dyDescent="0.25">
      <c r="A538" t="s">
        <v>542</v>
      </c>
      <c r="B538">
        <v>0.99472303558308395</v>
      </c>
      <c r="C538">
        <v>1.0761720872326701</v>
      </c>
      <c r="D538">
        <v>0.89125249452745603</v>
      </c>
      <c r="E538">
        <v>0.84367749190110297</v>
      </c>
      <c r="F538">
        <v>1.3856711350150499</v>
      </c>
      <c r="G538">
        <v>0.55924041389550205</v>
      </c>
      <c r="H538">
        <v>0.36757458859127001</v>
      </c>
      <c r="I538">
        <v>0.33704592561079399</v>
      </c>
      <c r="J538">
        <v>0.250548652877713</v>
      </c>
      <c r="K538">
        <v>0.18121299188016901</v>
      </c>
      <c r="L538">
        <v>13424.6493747308</v>
      </c>
      <c r="M538">
        <v>250</v>
      </c>
      <c r="N538">
        <v>53.8795849953435</v>
      </c>
      <c r="O538">
        <v>53.695168320210101</v>
      </c>
      <c r="P538">
        <v>-0.83329726030957896</v>
      </c>
      <c r="Q538">
        <v>0.28409550985767001</v>
      </c>
      <c r="R538">
        <v>0.85728080934685502</v>
      </c>
      <c r="S538" t="s">
        <v>7106</v>
      </c>
      <c r="T538" t="s">
        <v>13134</v>
      </c>
      <c r="U538" t="s">
        <v>13134</v>
      </c>
      <c r="V538" t="s">
        <v>13134</v>
      </c>
      <c r="W538" t="s">
        <v>13668</v>
      </c>
      <c r="X538">
        <v>7</v>
      </c>
      <c r="Y538" t="s">
        <v>20161</v>
      </c>
      <c r="Z538" t="s">
        <v>26506</v>
      </c>
      <c r="AA538">
        <v>0.6826496744606817</v>
      </c>
      <c r="AB538" t="str">
        <f>HYPERLINK("Melting_Curves/meltCurve_E9PB14_PDHX.pdf", "Melting_Curves/meltCurve_E9PB14_PDHX.pdf")</f>
        <v>Melting_Curves/meltCurve_E9PB14_PDHX.pdf</v>
      </c>
    </row>
    <row r="539" spans="1:28" x14ac:dyDescent="0.25">
      <c r="A539" t="s">
        <v>543</v>
      </c>
      <c r="B539">
        <v>0.99472303558308395</v>
      </c>
      <c r="C539">
        <v>0.94122712271227005</v>
      </c>
      <c r="D539">
        <v>0.826731049843351</v>
      </c>
      <c r="E539">
        <v>0.79178356562607999</v>
      </c>
      <c r="F539">
        <v>0.58539697727191298</v>
      </c>
      <c r="G539">
        <v>0.32139241134272001</v>
      </c>
      <c r="H539">
        <v>0.1899140203776</v>
      </c>
      <c r="I539">
        <v>0.17337981203745101</v>
      </c>
      <c r="J539">
        <v>0.17992663198932601</v>
      </c>
      <c r="K539">
        <v>0.152794618335582</v>
      </c>
      <c r="L539">
        <v>667.36810861133097</v>
      </c>
      <c r="M539">
        <v>13.362634370353099</v>
      </c>
      <c r="N539">
        <v>50.851197333612902</v>
      </c>
      <c r="O539">
        <v>48.864116635590001</v>
      </c>
      <c r="P539">
        <v>-6.1117422308291099E-2</v>
      </c>
      <c r="Q539">
        <v>0.10617178143546301</v>
      </c>
      <c r="R539">
        <v>0.98540533973050204</v>
      </c>
      <c r="S539" t="s">
        <v>7107</v>
      </c>
      <c r="T539" t="s">
        <v>13134</v>
      </c>
      <c r="U539" t="s">
        <v>13134</v>
      </c>
      <c r="V539" t="s">
        <v>13134</v>
      </c>
      <c r="W539" t="s">
        <v>13669</v>
      </c>
      <c r="X539">
        <v>5</v>
      </c>
      <c r="Y539" t="s">
        <v>20162</v>
      </c>
      <c r="Z539" t="s">
        <v>26507</v>
      </c>
      <c r="AA539">
        <v>0.51375912544393043</v>
      </c>
      <c r="AB539" t="str">
        <f>HYPERLINK("Melting_Curves/meltCurve_E9PB61_ALYREF.pdf", "Melting_Curves/meltCurve_E9PB61_ALYREF.pdf")</f>
        <v>Melting_Curves/meltCurve_E9PB61_ALYREF.pdf</v>
      </c>
    </row>
    <row r="540" spans="1:28" x14ac:dyDescent="0.25">
      <c r="A540" t="s">
        <v>544</v>
      </c>
      <c r="B540">
        <v>0.99472303558308395</v>
      </c>
      <c r="C540">
        <v>0.89142947255518901</v>
      </c>
      <c r="D540">
        <v>0.93179420955602599</v>
      </c>
      <c r="E540">
        <v>0.77171964098571799</v>
      </c>
      <c r="F540">
        <v>0.60914273295168297</v>
      </c>
      <c r="G540">
        <v>0.49143220045463298</v>
      </c>
      <c r="H540">
        <v>0.16351983233581999</v>
      </c>
      <c r="I540">
        <v>9.9697108766564096E-2</v>
      </c>
      <c r="J540">
        <v>8.47336756958008E-2</v>
      </c>
      <c r="K540">
        <v>7.5648463127291704E-2</v>
      </c>
      <c r="L540">
        <v>636.20703060818096</v>
      </c>
      <c r="M540">
        <v>12.2504355784128</v>
      </c>
      <c r="N540">
        <v>51.933421174795598</v>
      </c>
      <c r="O540">
        <v>50.6077155167049</v>
      </c>
      <c r="P540">
        <v>-6.0530110161573898E-2</v>
      </c>
      <c r="Q540">
        <v>0</v>
      </c>
      <c r="R540">
        <v>0.98096306265871103</v>
      </c>
      <c r="S540" t="s">
        <v>7108</v>
      </c>
      <c r="T540" t="s">
        <v>13134</v>
      </c>
      <c r="U540" t="s">
        <v>13134</v>
      </c>
      <c r="V540" t="s">
        <v>13134</v>
      </c>
      <c r="W540" t="s">
        <v>13670</v>
      </c>
      <c r="X540">
        <v>18</v>
      </c>
      <c r="Y540" t="s">
        <v>20163</v>
      </c>
      <c r="Z540" t="s">
        <v>26508</v>
      </c>
      <c r="AA540">
        <v>0.52129988747664924</v>
      </c>
      <c r="AB540" t="str">
        <f>HYPERLINK("Melting_Curves/meltCurve_E9PC15_AGK.pdf", "Melting_Curves/meltCurve_E9PC15_AGK.pdf")</f>
        <v>Melting_Curves/meltCurve_E9PC15_AGK.pdf</v>
      </c>
    </row>
    <row r="541" spans="1:28" x14ac:dyDescent="0.25">
      <c r="A541" t="s">
        <v>545</v>
      </c>
      <c r="B541">
        <v>0.99472303558308395</v>
      </c>
      <c r="C541">
        <v>0.96175629863058398</v>
      </c>
      <c r="D541">
        <v>0.75111798668635799</v>
      </c>
      <c r="E541">
        <v>0.40938092390233699</v>
      </c>
      <c r="F541">
        <v>0.19605056056745099</v>
      </c>
      <c r="G541">
        <v>0.111370366224002</v>
      </c>
      <c r="H541">
        <v>8.6283881000420601E-2</v>
      </c>
      <c r="I541">
        <v>6.5936804871616905E-2</v>
      </c>
      <c r="J541">
        <v>5.8733045795667703E-2</v>
      </c>
      <c r="K541">
        <v>3.9727279829565101E-2</v>
      </c>
      <c r="L541">
        <v>869.32606737479296</v>
      </c>
      <c r="M541">
        <v>19.145842887075801</v>
      </c>
      <c r="N541">
        <v>45.698974568202502</v>
      </c>
      <c r="O541">
        <v>44.918826767307102</v>
      </c>
      <c r="P541">
        <v>-0.100397277774755</v>
      </c>
      <c r="Q541">
        <v>5.78521563741956E-2</v>
      </c>
      <c r="R541">
        <v>0.99895503330892799</v>
      </c>
      <c r="S541" t="s">
        <v>7109</v>
      </c>
      <c r="T541" t="s">
        <v>13134</v>
      </c>
      <c r="U541" t="s">
        <v>13134</v>
      </c>
      <c r="V541" t="s">
        <v>13134</v>
      </c>
      <c r="W541" t="s">
        <v>13671</v>
      </c>
      <c r="X541">
        <v>11</v>
      </c>
      <c r="Y541" t="s">
        <v>20164</v>
      </c>
      <c r="Z541" t="s">
        <v>26509</v>
      </c>
      <c r="AA541">
        <v>0.33533252359742888</v>
      </c>
      <c r="AB541" t="str">
        <f>HYPERLINK("Melting_Curves/meltCurve_E9PC26_BUB1.pdf", "Melting_Curves/meltCurve_E9PC26_BUB1.pdf")</f>
        <v>Melting_Curves/meltCurve_E9PC26_BUB1.pdf</v>
      </c>
    </row>
    <row r="542" spans="1:28" x14ac:dyDescent="0.25">
      <c r="A542" t="s">
        <v>546</v>
      </c>
      <c r="B542">
        <v>0.99472303558308395</v>
      </c>
      <c r="C542">
        <v>0.98295375131183105</v>
      </c>
      <c r="D542">
        <v>0.94353118712772199</v>
      </c>
      <c r="E542">
        <v>0.89526364369892097</v>
      </c>
      <c r="F542">
        <v>0.74149332307291005</v>
      </c>
      <c r="G542">
        <v>0.51167983504887704</v>
      </c>
      <c r="H542">
        <v>0.29738434623256199</v>
      </c>
      <c r="I542">
        <v>0.147131693726166</v>
      </c>
      <c r="J542">
        <v>0.153293167743039</v>
      </c>
      <c r="K542">
        <v>0.117950625314849</v>
      </c>
      <c r="L542">
        <v>807.11913924974601</v>
      </c>
      <c r="M542">
        <v>15.156339233269099</v>
      </c>
      <c r="N542">
        <v>53.763940094882599</v>
      </c>
      <c r="O542">
        <v>52.351659048576202</v>
      </c>
      <c r="P542">
        <v>-6.7528834075484406E-2</v>
      </c>
      <c r="Q542">
        <v>6.7082421246945106E-2</v>
      </c>
      <c r="R542">
        <v>0.99721904590562405</v>
      </c>
      <c r="S542" t="s">
        <v>7110</v>
      </c>
      <c r="T542" t="s">
        <v>13134</v>
      </c>
      <c r="U542" t="s">
        <v>13134</v>
      </c>
      <c r="V542" t="s">
        <v>13134</v>
      </c>
      <c r="W542" t="s">
        <v>13672</v>
      </c>
      <c r="X542">
        <v>30</v>
      </c>
      <c r="Y542" t="s">
        <v>20165</v>
      </c>
      <c r="Z542" t="s">
        <v>26510</v>
      </c>
      <c r="AA542">
        <v>0.58864541949624416</v>
      </c>
      <c r="AB542" t="str">
        <f>HYPERLINK("Melting_Curves/meltCurve_E9PC28_PTPRC.pdf", "Melting_Curves/meltCurve_E9PC28_PTPRC.pdf")</f>
        <v>Melting_Curves/meltCurve_E9PC28_PTPRC.pdf</v>
      </c>
    </row>
    <row r="543" spans="1:28" x14ac:dyDescent="0.25">
      <c r="A543" t="s">
        <v>547</v>
      </c>
      <c r="B543">
        <v>0.99472303558308395</v>
      </c>
      <c r="C543">
        <v>1.1103507287110801</v>
      </c>
      <c r="D543">
        <v>0.92526842343834204</v>
      </c>
      <c r="E543">
        <v>0.85836346357719895</v>
      </c>
      <c r="F543">
        <v>0.78507008675233103</v>
      </c>
      <c r="G543">
        <v>0.49564767816759597</v>
      </c>
      <c r="H543">
        <v>0.26423899347264601</v>
      </c>
      <c r="I543">
        <v>0.16269724828982099</v>
      </c>
      <c r="J543">
        <v>0.18819412606443001</v>
      </c>
      <c r="K543">
        <v>0.13460113626090101</v>
      </c>
      <c r="L543">
        <v>907.77799011823504</v>
      </c>
      <c r="M543">
        <v>17.181288039832701</v>
      </c>
      <c r="N543">
        <v>53.6117005696007</v>
      </c>
      <c r="O543">
        <v>52.135095953909598</v>
      </c>
      <c r="P543">
        <v>-7.3318164357625601E-2</v>
      </c>
      <c r="Q543">
        <v>0.11014285531553</v>
      </c>
      <c r="R543">
        <v>0.98138628424537699</v>
      </c>
      <c r="S543" t="s">
        <v>7111</v>
      </c>
      <c r="T543" t="s">
        <v>13134</v>
      </c>
      <c r="U543" t="s">
        <v>13134</v>
      </c>
      <c r="V543" t="s">
        <v>13134</v>
      </c>
      <c r="W543" t="s">
        <v>13673</v>
      </c>
      <c r="X543">
        <v>13</v>
      </c>
      <c r="Y543" t="s">
        <v>20166</v>
      </c>
      <c r="Z543" t="s">
        <v>26511</v>
      </c>
      <c r="AA543">
        <v>0.59367841222635565</v>
      </c>
      <c r="AB543" t="str">
        <f>HYPERLINK("Melting_Curves/meltCurve_E9PC52_RBBP7.pdf", "Melting_Curves/meltCurve_E9PC52_RBBP7.pdf")</f>
        <v>Melting_Curves/meltCurve_E9PC52_RBBP7.pdf</v>
      </c>
    </row>
    <row r="544" spans="1:28" x14ac:dyDescent="0.25">
      <c r="A544" t="s">
        <v>548</v>
      </c>
      <c r="B544">
        <v>0.99472303558308395</v>
      </c>
      <c r="C544">
        <v>0.99358307529895695</v>
      </c>
      <c r="D544">
        <v>0.70703338873612198</v>
      </c>
      <c r="E544">
        <v>0.608662773137291</v>
      </c>
      <c r="F544">
        <v>0.49024523951167498</v>
      </c>
      <c r="G544">
        <v>0.112189140624714</v>
      </c>
      <c r="H544">
        <v>7.2370926395714102E-2</v>
      </c>
      <c r="I544">
        <v>4.4214035609769699E-2</v>
      </c>
      <c r="J544">
        <v>4.2003155329360102E-2</v>
      </c>
      <c r="K544">
        <v>4.8691983444474403E-2</v>
      </c>
      <c r="L544">
        <v>615.69353003198</v>
      </c>
      <c r="M544">
        <v>12.811971371383001</v>
      </c>
      <c r="N544">
        <v>48.056111998497798</v>
      </c>
      <c r="O544">
        <v>46.930500335848699</v>
      </c>
      <c r="P544">
        <v>-6.8262466440046493E-2</v>
      </c>
      <c r="Q544">
        <v>0</v>
      </c>
      <c r="R544">
        <v>0.97011427797944205</v>
      </c>
      <c r="S544" t="s">
        <v>7112</v>
      </c>
      <c r="T544" t="s">
        <v>13134</v>
      </c>
      <c r="U544" t="s">
        <v>13134</v>
      </c>
      <c r="V544" t="s">
        <v>13134</v>
      </c>
      <c r="W544" t="s">
        <v>13674</v>
      </c>
      <c r="X544">
        <v>6</v>
      </c>
      <c r="Y544" t="s">
        <v>20167</v>
      </c>
      <c r="Z544" t="s">
        <v>26512</v>
      </c>
      <c r="AA544">
        <v>0.396855233037604</v>
      </c>
      <c r="AB544" t="str">
        <f>HYPERLINK("Melting_Curves/meltCurve_E9PC74_EIF2B5.pdf", "Melting_Curves/meltCurve_E9PC74_EIF2B5.pdf")</f>
        <v>Melting_Curves/meltCurve_E9PC74_EIF2B5.pdf</v>
      </c>
    </row>
    <row r="545" spans="1:28" x14ac:dyDescent="0.25">
      <c r="A545" t="s">
        <v>549</v>
      </c>
      <c r="B545">
        <v>0.99472303558308395</v>
      </c>
      <c r="C545">
        <v>0.88870847835122602</v>
      </c>
      <c r="D545">
        <v>0.65326922901339501</v>
      </c>
      <c r="E545">
        <v>0.416368530864617</v>
      </c>
      <c r="F545">
        <v>0.205178737973124</v>
      </c>
      <c r="G545">
        <v>9.2273735174284194E-2</v>
      </c>
      <c r="H545">
        <v>5.6905334202166598E-2</v>
      </c>
      <c r="I545">
        <v>5.7223913290217303E-2</v>
      </c>
      <c r="J545">
        <v>5.0432936464199898E-2</v>
      </c>
      <c r="K545">
        <v>5.22318404641599E-2</v>
      </c>
      <c r="L545">
        <v>689.57333039659795</v>
      </c>
      <c r="M545">
        <v>15.326444248895699</v>
      </c>
      <c r="N545">
        <v>45.215858701433</v>
      </c>
      <c r="O545">
        <v>44.247290477559702</v>
      </c>
      <c r="P545">
        <v>-8.34443967931537E-2</v>
      </c>
      <c r="Q545">
        <v>3.6476911553987697E-2</v>
      </c>
      <c r="R545">
        <v>0.99769383338482698</v>
      </c>
      <c r="S545" t="s">
        <v>7113</v>
      </c>
      <c r="T545" t="s">
        <v>13134</v>
      </c>
      <c r="U545" t="s">
        <v>13134</v>
      </c>
      <c r="V545" t="s">
        <v>13134</v>
      </c>
      <c r="W545" t="s">
        <v>13675</v>
      </c>
      <c r="X545">
        <v>7</v>
      </c>
      <c r="Y545" t="s">
        <v>20168</v>
      </c>
      <c r="Z545" t="s">
        <v>26513</v>
      </c>
      <c r="AA545">
        <v>0.31513089610476208</v>
      </c>
      <c r="AB545" t="str">
        <f>HYPERLINK("Melting_Curves/meltCurve_E9PCH4_FNIP1.pdf", "Melting_Curves/meltCurve_E9PCH4_FNIP1.pdf")</f>
        <v>Melting_Curves/meltCurve_E9PCH4_FNIP1.pdf</v>
      </c>
    </row>
    <row r="546" spans="1:28" x14ac:dyDescent="0.25">
      <c r="A546" t="s">
        <v>550</v>
      </c>
      <c r="B546">
        <v>0.99472303558308395</v>
      </c>
      <c r="C546">
        <v>1.15360626633446</v>
      </c>
      <c r="D546">
        <v>0.58205129492576901</v>
      </c>
      <c r="E546">
        <v>0.35220077446077902</v>
      </c>
      <c r="F546">
        <v>0.229389376802451</v>
      </c>
      <c r="G546">
        <v>0.13937222760596901</v>
      </c>
      <c r="H546">
        <v>8.1844235294915996E-2</v>
      </c>
      <c r="I546">
        <v>5.0174991948982603E-2</v>
      </c>
      <c r="J546">
        <v>8.0135490972425297E-2</v>
      </c>
      <c r="K546">
        <v>5.0446317998841902E-2</v>
      </c>
      <c r="L546">
        <v>990.38096344517396</v>
      </c>
      <c r="M546">
        <v>22.310973839427401</v>
      </c>
      <c r="N546">
        <v>44.7824496599494</v>
      </c>
      <c r="O546">
        <v>44.037859984174602</v>
      </c>
      <c r="P546">
        <v>-0.115410397734117</v>
      </c>
      <c r="Q546">
        <v>8.8821555526449103E-2</v>
      </c>
      <c r="R546">
        <v>0.94989433160533798</v>
      </c>
      <c r="S546" t="s">
        <v>7114</v>
      </c>
      <c r="T546" t="s">
        <v>13134</v>
      </c>
      <c r="U546" t="s">
        <v>13134</v>
      </c>
      <c r="V546" t="s">
        <v>13134</v>
      </c>
      <c r="W546" t="s">
        <v>13676</v>
      </c>
      <c r="X546">
        <v>9</v>
      </c>
      <c r="Y546" t="s">
        <v>20169</v>
      </c>
      <c r="Z546" t="s">
        <v>26514</v>
      </c>
      <c r="AA546">
        <v>0.32281148132188592</v>
      </c>
      <c r="AB546" t="str">
        <f>HYPERLINK("Melting_Curves/meltCurve_E9PCS8_MTA3.pdf", "Melting_Curves/meltCurve_E9PCS8_MTA3.pdf")</f>
        <v>Melting_Curves/meltCurve_E9PCS8_MTA3.pdf</v>
      </c>
    </row>
    <row r="547" spans="1:28" x14ac:dyDescent="0.25">
      <c r="A547" t="s">
        <v>551</v>
      </c>
      <c r="B547">
        <v>0.99472303558308395</v>
      </c>
      <c r="C547">
        <v>1.0493673672919299</v>
      </c>
      <c r="D547">
        <v>0.89392181661758996</v>
      </c>
      <c r="E547">
        <v>0.80419349198199497</v>
      </c>
      <c r="F547">
        <v>0.59991911300252299</v>
      </c>
      <c r="G547">
        <v>0.31501810816859899</v>
      </c>
      <c r="H547">
        <v>0.34170378615036701</v>
      </c>
      <c r="I547">
        <v>0.24115420763578099</v>
      </c>
      <c r="J547">
        <v>0.211051721875753</v>
      </c>
      <c r="K547">
        <v>0.103544524941449</v>
      </c>
      <c r="L547">
        <v>706.59731443220301</v>
      </c>
      <c r="M547">
        <v>14.0304218665158</v>
      </c>
      <c r="N547">
        <v>51.615764715622802</v>
      </c>
      <c r="O547">
        <v>49.371839003092802</v>
      </c>
      <c r="P547">
        <v>-6.0792406071198499E-2</v>
      </c>
      <c r="Q547">
        <v>0.14441975168679699</v>
      </c>
      <c r="R547">
        <v>0.97974147229499398</v>
      </c>
      <c r="S547" t="s">
        <v>7115</v>
      </c>
      <c r="T547" t="s">
        <v>13134</v>
      </c>
      <c r="U547" t="s">
        <v>13134</v>
      </c>
      <c r="V547" t="s">
        <v>13134</v>
      </c>
      <c r="W547" t="s">
        <v>13677</v>
      </c>
      <c r="X547">
        <v>11</v>
      </c>
      <c r="Y547" t="s">
        <v>20170</v>
      </c>
      <c r="Z547" t="s">
        <v>26515</v>
      </c>
      <c r="AA547">
        <v>0.54482919238982341</v>
      </c>
      <c r="AB547" t="str">
        <f>HYPERLINK("Melting_Curves/meltCurve_E9PCW1_GOSR1.pdf", "Melting_Curves/meltCurve_E9PCW1_GOSR1.pdf")</f>
        <v>Melting_Curves/meltCurve_E9PCW1_GOSR1.pdf</v>
      </c>
    </row>
    <row r="548" spans="1:28" x14ac:dyDescent="0.25">
      <c r="A548" t="s">
        <v>552</v>
      </c>
      <c r="B548">
        <v>0.99472303558308395</v>
      </c>
      <c r="C548">
        <v>0.89134437981835002</v>
      </c>
      <c r="D548">
        <v>0.71630363207662495</v>
      </c>
      <c r="E548">
        <v>0.33083820867136199</v>
      </c>
      <c r="F548">
        <v>0.104477215057517</v>
      </c>
      <c r="G548">
        <v>5.2024244843859403E-2</v>
      </c>
      <c r="H548">
        <v>3.25836848410824E-2</v>
      </c>
      <c r="I548">
        <v>2.2900477954777801E-2</v>
      </c>
      <c r="J548">
        <v>2.5050218962077202E-2</v>
      </c>
      <c r="K548">
        <v>2.1218780069673201E-2</v>
      </c>
      <c r="L548">
        <v>893.57286371673604</v>
      </c>
      <c r="M548">
        <v>19.947678923110601</v>
      </c>
      <c r="N548">
        <v>44.8771433556809</v>
      </c>
      <c r="O548">
        <v>44.3529222318029</v>
      </c>
      <c r="P548">
        <v>-0.110445162572721</v>
      </c>
      <c r="Q548">
        <v>1.77494624664375E-2</v>
      </c>
      <c r="R548">
        <v>0.998928229790635</v>
      </c>
      <c r="S548" t="s">
        <v>7116</v>
      </c>
      <c r="T548" t="s">
        <v>13134</v>
      </c>
      <c r="U548" t="s">
        <v>13134</v>
      </c>
      <c r="V548" t="s">
        <v>13134</v>
      </c>
      <c r="W548" t="s">
        <v>13678</v>
      </c>
      <c r="X548">
        <v>15</v>
      </c>
      <c r="Y548" t="s">
        <v>20171</v>
      </c>
      <c r="Z548" t="s">
        <v>26516</v>
      </c>
      <c r="AA548">
        <v>0.28600845688166571</v>
      </c>
      <c r="AB548" t="str">
        <f>HYPERLINK("Melting_Curves/meltCurve_E9PCY7_HNRNPH1.pdf", "Melting_Curves/meltCurve_E9PCY7_HNRNPH1.pdf")</f>
        <v>Melting_Curves/meltCurve_E9PCY7_HNRNPH1.pdf</v>
      </c>
    </row>
    <row r="549" spans="1:28" x14ac:dyDescent="0.25">
      <c r="A549" t="s">
        <v>553</v>
      </c>
      <c r="B549">
        <v>0.99472303558308395</v>
      </c>
      <c r="C549">
        <v>0.905530077618516</v>
      </c>
      <c r="D549">
        <v>0.72324917441110503</v>
      </c>
      <c r="E549">
        <v>0.436490987693888</v>
      </c>
      <c r="F549">
        <v>0.18974878723785499</v>
      </c>
      <c r="G549">
        <v>6.4555708003480802E-2</v>
      </c>
      <c r="H549">
        <v>3.9509412101055803E-2</v>
      </c>
      <c r="I549">
        <v>3.2615391867417499E-2</v>
      </c>
      <c r="J549">
        <v>4.8227701002188497E-2</v>
      </c>
      <c r="K549">
        <v>2.5528369109908799E-2</v>
      </c>
      <c r="L549">
        <v>759.717254155467</v>
      </c>
      <c r="M549">
        <v>16.678376775910699</v>
      </c>
      <c r="N549">
        <v>45.652671693806901</v>
      </c>
      <c r="O549">
        <v>44.911294600540799</v>
      </c>
      <c r="P549">
        <v>-9.1154633351569606E-2</v>
      </c>
      <c r="Q549">
        <v>1.82258463430898E-2</v>
      </c>
      <c r="R549">
        <v>0.99857409290309795</v>
      </c>
      <c r="S549" t="s">
        <v>7117</v>
      </c>
      <c r="T549" t="s">
        <v>13134</v>
      </c>
      <c r="U549" t="s">
        <v>13134</v>
      </c>
      <c r="V549" t="s">
        <v>13134</v>
      </c>
      <c r="W549" t="s">
        <v>13679</v>
      </c>
      <c r="X549">
        <v>7</v>
      </c>
      <c r="Y549" t="s">
        <v>20172</v>
      </c>
      <c r="Z549" t="s">
        <v>26517</v>
      </c>
      <c r="AA549">
        <v>0.31666773716226709</v>
      </c>
      <c r="AB549" t="str">
        <f>HYPERLINK("Melting_Curves/meltCurve_E9PD50_SMG7.pdf", "Melting_Curves/meltCurve_E9PD50_SMG7.pdf")</f>
        <v>Melting_Curves/meltCurve_E9PD50_SMG7.pdf</v>
      </c>
    </row>
    <row r="550" spans="1:28" x14ac:dyDescent="0.25">
      <c r="A550" t="s">
        <v>554</v>
      </c>
      <c r="B550">
        <v>0.99472303558308395</v>
      </c>
      <c r="C550">
        <v>1.0224032879203699</v>
      </c>
      <c r="D550">
        <v>0.95604299065368903</v>
      </c>
      <c r="E550">
        <v>0.85153704114647699</v>
      </c>
      <c r="F550">
        <v>0.57313904091563395</v>
      </c>
      <c r="G550">
        <v>0.19079662167740899</v>
      </c>
      <c r="H550">
        <v>8.3763834855400704E-2</v>
      </c>
      <c r="I550">
        <v>5.8295084872780199E-2</v>
      </c>
      <c r="J550">
        <v>6.7958642031374097E-2</v>
      </c>
      <c r="K550">
        <v>5.2588157340376099E-2</v>
      </c>
      <c r="L550">
        <v>1200.2293799291399</v>
      </c>
      <c r="M550">
        <v>23.826282866958099</v>
      </c>
      <c r="N550">
        <v>50.574801130072998</v>
      </c>
      <c r="O550">
        <v>50.023351405827498</v>
      </c>
      <c r="P550">
        <v>-0.113708111167524</v>
      </c>
      <c r="Q550">
        <v>4.5093524458961899E-2</v>
      </c>
      <c r="R550">
        <v>0.99752451033344802</v>
      </c>
      <c r="S550" t="s">
        <v>7118</v>
      </c>
      <c r="T550" t="s">
        <v>13134</v>
      </c>
      <c r="U550" t="s">
        <v>13134</v>
      </c>
      <c r="V550" t="s">
        <v>13134</v>
      </c>
      <c r="W550" t="s">
        <v>13680</v>
      </c>
      <c r="X550">
        <v>3</v>
      </c>
      <c r="Y550" t="s">
        <v>20173</v>
      </c>
      <c r="Z550" t="s">
        <v>26518</v>
      </c>
      <c r="AA550">
        <v>0.47996931289701461</v>
      </c>
      <c r="AB550" t="str">
        <f>HYPERLINK("Melting_Curves/meltCurve_E9PD56_PXK.pdf", "Melting_Curves/meltCurve_E9PD56_PXK.pdf")</f>
        <v>Melting_Curves/meltCurve_E9PD56_PXK.pdf</v>
      </c>
    </row>
    <row r="551" spans="1:28" x14ac:dyDescent="0.25">
      <c r="A551" t="s">
        <v>555</v>
      </c>
      <c r="B551">
        <v>0.99472303558308395</v>
      </c>
      <c r="C551">
        <v>1.0894180933898201</v>
      </c>
      <c r="D551">
        <v>0.65127660657513997</v>
      </c>
      <c r="E551">
        <v>0.30539183012391702</v>
      </c>
      <c r="F551">
        <v>0.13818062913767201</v>
      </c>
      <c r="G551">
        <v>7.3710742835024406E-2</v>
      </c>
      <c r="H551">
        <v>5.8358758630480102E-2</v>
      </c>
      <c r="I551">
        <v>4.3538187574004301E-2</v>
      </c>
      <c r="J551">
        <v>9.2301875432358793E-2</v>
      </c>
      <c r="K551">
        <v>4.03605239865708E-2</v>
      </c>
      <c r="L551">
        <v>1140.2613185871701</v>
      </c>
      <c r="M551">
        <v>25.702914742487799</v>
      </c>
      <c r="N551">
        <v>44.609327818249199</v>
      </c>
      <c r="O551">
        <v>44.097191630856798</v>
      </c>
      <c r="P551">
        <v>-0.13608291085938001</v>
      </c>
      <c r="Q551">
        <v>6.6129085536779E-2</v>
      </c>
      <c r="R551">
        <v>0.982318589547437</v>
      </c>
      <c r="S551" t="s">
        <v>7119</v>
      </c>
      <c r="T551" t="s">
        <v>13134</v>
      </c>
      <c r="U551" t="s">
        <v>13134</v>
      </c>
      <c r="V551" t="s">
        <v>13134</v>
      </c>
      <c r="W551" t="s">
        <v>13681</v>
      </c>
      <c r="X551">
        <v>3</v>
      </c>
      <c r="Y551" t="s">
        <v>20174</v>
      </c>
      <c r="Z551" t="s">
        <v>26519</v>
      </c>
      <c r="AA551">
        <v>0.30255077477134568</v>
      </c>
      <c r="AB551" t="str">
        <f>HYPERLINK("Melting_Curves/meltCurve_E9PD90_CKAP2.pdf", "Melting_Curves/meltCurve_E9PD90_CKAP2.pdf")</f>
        <v>Melting_Curves/meltCurve_E9PD90_CKAP2.pdf</v>
      </c>
    </row>
    <row r="552" spans="1:28" x14ac:dyDescent="0.25">
      <c r="A552" t="s">
        <v>556</v>
      </c>
      <c r="B552">
        <v>0.99472303558308395</v>
      </c>
      <c r="C552">
        <v>1.02417625116765</v>
      </c>
      <c r="D552">
        <v>0.96158854688837303</v>
      </c>
      <c r="E552">
        <v>0.86774361421808799</v>
      </c>
      <c r="F552">
        <v>0.66026814955067903</v>
      </c>
      <c r="G552">
        <v>0.57382083140867801</v>
      </c>
      <c r="H552">
        <v>0.56177276777250995</v>
      </c>
      <c r="I552">
        <v>0.60014309284437295</v>
      </c>
      <c r="J552">
        <v>0.84252418562929599</v>
      </c>
      <c r="K552">
        <v>0.684605639334955</v>
      </c>
      <c r="L552">
        <v>2511.7694307274</v>
      </c>
      <c r="M552">
        <v>53.433689994777801</v>
      </c>
      <c r="O552">
        <v>46.941524656231998</v>
      </c>
      <c r="P552">
        <v>-9.9027456014495599E-2</v>
      </c>
      <c r="Q552">
        <v>0.65201756271421696</v>
      </c>
      <c r="R552">
        <v>0.80990080926403796</v>
      </c>
      <c r="S552" t="s">
        <v>7120</v>
      </c>
      <c r="T552" t="s">
        <v>13134</v>
      </c>
      <c r="U552" t="s">
        <v>13134</v>
      </c>
      <c r="V552" t="s">
        <v>13134</v>
      </c>
      <c r="W552" t="s">
        <v>13682</v>
      </c>
      <c r="X552">
        <v>27</v>
      </c>
      <c r="Y552" t="s">
        <v>20175</v>
      </c>
      <c r="Z552" t="s">
        <v>26520</v>
      </c>
      <c r="AA552">
        <v>0.76872685048779466</v>
      </c>
      <c r="AB552" t="str">
        <f>HYPERLINK("Melting_Curves/meltCurve_E9PDE4_CAST.pdf", "Melting_Curves/meltCurve_E9PDE4_CAST.pdf")</f>
        <v>Melting_Curves/meltCurve_E9PDE4_CAST.pdf</v>
      </c>
    </row>
    <row r="553" spans="1:28" x14ac:dyDescent="0.25">
      <c r="A553" t="s">
        <v>557</v>
      </c>
      <c r="B553">
        <v>0.99472303558308395</v>
      </c>
      <c r="C553">
        <v>0.95083232288241404</v>
      </c>
      <c r="D553">
        <v>0.78835993962205397</v>
      </c>
      <c r="E553">
        <v>0.483954973349013</v>
      </c>
      <c r="F553">
        <v>0.30197795042244402</v>
      </c>
      <c r="G553">
        <v>0.160325701535735</v>
      </c>
      <c r="H553">
        <v>9.0904322573795507E-2</v>
      </c>
      <c r="I553">
        <v>3.7972557178156799E-2</v>
      </c>
      <c r="J553">
        <v>5.5062826895002401E-2</v>
      </c>
      <c r="K553">
        <v>3.7212415134782198E-2</v>
      </c>
      <c r="L553">
        <v>696.09678157827602</v>
      </c>
      <c r="M553">
        <v>14.937888071695401</v>
      </c>
      <c r="N553">
        <v>46.8067106819557</v>
      </c>
      <c r="O553">
        <v>45.788201961176497</v>
      </c>
      <c r="P553">
        <v>-7.8957215228936395E-2</v>
      </c>
      <c r="Q553">
        <v>3.20083598538441E-2</v>
      </c>
      <c r="R553">
        <v>0.99774592848001298</v>
      </c>
      <c r="S553" t="s">
        <v>7121</v>
      </c>
      <c r="T553" t="s">
        <v>13134</v>
      </c>
      <c r="U553" t="s">
        <v>13134</v>
      </c>
      <c r="V553" t="s">
        <v>13134</v>
      </c>
      <c r="W553" t="s">
        <v>13683</v>
      </c>
      <c r="X553">
        <v>2</v>
      </c>
      <c r="Y553" t="s">
        <v>20176</v>
      </c>
      <c r="Z553" t="s">
        <v>26521</v>
      </c>
      <c r="AA553">
        <v>0.36390657566855772</v>
      </c>
      <c r="AB553" t="str">
        <f>HYPERLINK("Melting_Curves/meltCurve_E9PDK2_UNKL.pdf", "Melting_Curves/meltCurve_E9PDK2_UNKL.pdf")</f>
        <v>Melting_Curves/meltCurve_E9PDK2_UNKL.pdf</v>
      </c>
    </row>
    <row r="554" spans="1:28" x14ac:dyDescent="0.25">
      <c r="A554" t="s">
        <v>558</v>
      </c>
      <c r="B554">
        <v>0.99472303558308395</v>
      </c>
      <c r="C554">
        <v>1.0347950434441</v>
      </c>
      <c r="D554">
        <v>0.77991572711548296</v>
      </c>
      <c r="E554">
        <v>0.53731985845011199</v>
      </c>
      <c r="F554">
        <v>0.24669301321574399</v>
      </c>
      <c r="G554">
        <v>0.13417701750935099</v>
      </c>
      <c r="H554">
        <v>0.10685913735970499</v>
      </c>
      <c r="I554">
        <v>8.1655900049093302E-2</v>
      </c>
      <c r="J554">
        <v>9.31634566224986E-2</v>
      </c>
      <c r="K554">
        <v>5.8399723554305602E-2</v>
      </c>
      <c r="L554">
        <v>872.09941328959201</v>
      </c>
      <c r="M554">
        <v>18.7987520418441</v>
      </c>
      <c r="N554">
        <v>46.786327003093099</v>
      </c>
      <c r="O554">
        <v>45.875961230810503</v>
      </c>
      <c r="P554">
        <v>-9.4930553307274804E-2</v>
      </c>
      <c r="Q554">
        <v>7.3375123596266106E-2</v>
      </c>
      <c r="R554">
        <v>0.99342824367179305</v>
      </c>
      <c r="S554" t="s">
        <v>7122</v>
      </c>
      <c r="T554" t="s">
        <v>13134</v>
      </c>
      <c r="U554" t="s">
        <v>13134</v>
      </c>
      <c r="V554" t="s">
        <v>13134</v>
      </c>
      <c r="W554" t="s">
        <v>13684</v>
      </c>
      <c r="X554">
        <v>6</v>
      </c>
      <c r="Y554" t="s">
        <v>20177</v>
      </c>
      <c r="Z554" t="s">
        <v>26522</v>
      </c>
      <c r="AA554">
        <v>0.37715452937711158</v>
      </c>
      <c r="AB554" t="str">
        <f>HYPERLINK("Melting_Curves/meltCurve_E9PDQ5_ARHGEF7.pdf", "Melting_Curves/meltCurve_E9PDQ5_ARHGEF7.pdf")</f>
        <v>Melting_Curves/meltCurve_E9PDQ5_ARHGEF7.pdf</v>
      </c>
    </row>
    <row r="555" spans="1:28" x14ac:dyDescent="0.25">
      <c r="A555" t="s">
        <v>559</v>
      </c>
      <c r="B555">
        <v>0.99472303558308395</v>
      </c>
      <c r="C555">
        <v>0.86226248404969696</v>
      </c>
      <c r="D555">
        <v>0.62749642306379405</v>
      </c>
      <c r="E555">
        <v>0.34781657148744499</v>
      </c>
      <c r="F555">
        <v>0.119001795881905</v>
      </c>
      <c r="G555">
        <v>0.100720092285211</v>
      </c>
      <c r="H555">
        <v>4.0051173815933601E-2</v>
      </c>
      <c r="I555">
        <v>2.42116429684405E-2</v>
      </c>
      <c r="J555">
        <v>2.2765759379763901E-2</v>
      </c>
      <c r="K555">
        <v>3.03514213030927E-2</v>
      </c>
      <c r="L555">
        <v>734.93486934183704</v>
      </c>
      <c r="M555">
        <v>16.5566176848982</v>
      </c>
      <c r="N555">
        <v>44.508018616760701</v>
      </c>
      <c r="O555">
        <v>43.756778692709098</v>
      </c>
      <c r="P555">
        <v>-9.2555475852333202E-2</v>
      </c>
      <c r="Q555">
        <v>2.1623253880907599E-2</v>
      </c>
      <c r="R555">
        <v>0.99755157575707298</v>
      </c>
      <c r="S555" t="s">
        <v>7123</v>
      </c>
      <c r="T555" t="s">
        <v>13134</v>
      </c>
      <c r="U555" t="s">
        <v>13134</v>
      </c>
      <c r="V555" t="s">
        <v>13134</v>
      </c>
      <c r="W555" t="s">
        <v>13685</v>
      </c>
      <c r="X555">
        <v>2</v>
      </c>
      <c r="Y555" t="s">
        <v>20178</v>
      </c>
      <c r="Z555" t="s">
        <v>26523</v>
      </c>
      <c r="AA555">
        <v>0.28203251708683591</v>
      </c>
      <c r="AB555" t="str">
        <f>HYPERLINK("Melting_Curves/meltCurve_E9PE19_BPTF.pdf", "Melting_Curves/meltCurve_E9PE19_BPTF.pdf")</f>
        <v>Melting_Curves/meltCurve_E9PE19_BPTF.pdf</v>
      </c>
    </row>
    <row r="556" spans="1:28" x14ac:dyDescent="0.25">
      <c r="A556" t="s">
        <v>560</v>
      </c>
      <c r="B556">
        <v>0.99472303558308395</v>
      </c>
      <c r="C556">
        <v>1.18191570955745</v>
      </c>
      <c r="D556">
        <v>0.91216169436984196</v>
      </c>
      <c r="E556">
        <v>1.00600207570155</v>
      </c>
      <c r="F556">
        <v>0.828155877677209</v>
      </c>
      <c r="G556">
        <v>0.61206853819870199</v>
      </c>
      <c r="H556">
        <v>0.50438504227140901</v>
      </c>
      <c r="I556">
        <v>0.51895980338981196</v>
      </c>
      <c r="J556">
        <v>0.50259174459196698</v>
      </c>
      <c r="K556">
        <v>0.74464932618830504</v>
      </c>
      <c r="L556">
        <v>2331.4738924438502</v>
      </c>
      <c r="M556">
        <v>46.0078036578942</v>
      </c>
      <c r="O556">
        <v>50.580152993123299</v>
      </c>
      <c r="P556">
        <v>-9.7730576427726701E-2</v>
      </c>
      <c r="Q556">
        <v>0.57022752140333799</v>
      </c>
      <c r="R556">
        <v>0.84225414794825404</v>
      </c>
      <c r="S556" t="s">
        <v>7124</v>
      </c>
      <c r="T556" t="s">
        <v>13134</v>
      </c>
      <c r="U556" t="s">
        <v>13134</v>
      </c>
      <c r="V556" t="s">
        <v>13134</v>
      </c>
      <c r="W556" t="s">
        <v>13686</v>
      </c>
      <c r="X556">
        <v>2</v>
      </c>
      <c r="Y556" t="s">
        <v>20179</v>
      </c>
      <c r="Z556" t="s">
        <v>26524</v>
      </c>
      <c r="AA556">
        <v>0.76727639837483597</v>
      </c>
      <c r="AB556" t="str">
        <f>HYPERLINK("Melting_Curves/meltCurve_E9PE47_SLC2A13.pdf", "Melting_Curves/meltCurve_E9PE47_SLC2A13.pdf")</f>
        <v>Melting_Curves/meltCurve_E9PE47_SLC2A13.pdf</v>
      </c>
    </row>
    <row r="557" spans="1:28" x14ac:dyDescent="0.25">
      <c r="A557" t="s">
        <v>561</v>
      </c>
      <c r="B557">
        <v>0.99472303558308395</v>
      </c>
      <c r="C557">
        <v>0.96644651313170904</v>
      </c>
      <c r="D557">
        <v>1.05913988043504</v>
      </c>
      <c r="E557">
        <v>0.96356178534276005</v>
      </c>
      <c r="F557">
        <v>0.73213712529013397</v>
      </c>
      <c r="G557">
        <v>0.43084811817506302</v>
      </c>
      <c r="H557">
        <v>0.30833665851130099</v>
      </c>
      <c r="I557">
        <v>0.27221003193431498</v>
      </c>
      <c r="J557">
        <v>0.33609055961183298</v>
      </c>
      <c r="K557">
        <v>0.34681531029499701</v>
      </c>
      <c r="L557">
        <v>1637.9687993503801</v>
      </c>
      <c r="M557">
        <v>32.156562806019302</v>
      </c>
      <c r="N557">
        <v>52.542281279695302</v>
      </c>
      <c r="O557">
        <v>50.741532612696901</v>
      </c>
      <c r="P557">
        <v>-0.10888091243526</v>
      </c>
      <c r="Q557">
        <v>0.31276775107736499</v>
      </c>
      <c r="R557">
        <v>0.990765550814522</v>
      </c>
      <c r="S557" t="s">
        <v>7125</v>
      </c>
      <c r="T557" t="s">
        <v>13134</v>
      </c>
      <c r="U557" t="s">
        <v>13134</v>
      </c>
      <c r="V557" t="s">
        <v>13134</v>
      </c>
      <c r="W557" t="s">
        <v>13687</v>
      </c>
      <c r="X557">
        <v>2</v>
      </c>
      <c r="Y557" t="s">
        <v>20180</v>
      </c>
      <c r="Z557" t="s">
        <v>26525</v>
      </c>
      <c r="AA557">
        <v>0.635772954856754</v>
      </c>
      <c r="AB557" t="str">
        <f>HYPERLINK("Melting_Curves/meltCurve_E9PEE8_ITGB6.pdf", "Melting_Curves/meltCurve_E9PEE8_ITGB6.pdf")</f>
        <v>Melting_Curves/meltCurve_E9PEE8_ITGB6.pdf</v>
      </c>
    </row>
    <row r="558" spans="1:28" x14ac:dyDescent="0.25">
      <c r="A558" t="s">
        <v>562</v>
      </c>
      <c r="B558">
        <v>0.99472303558308395</v>
      </c>
      <c r="C558">
        <v>0.98310621230315898</v>
      </c>
      <c r="D558">
        <v>1.0126744885980301</v>
      </c>
      <c r="E558">
        <v>0.90335410346934497</v>
      </c>
      <c r="F558">
        <v>0.64247252799598698</v>
      </c>
      <c r="G558">
        <v>7.8325061030442303E-2</v>
      </c>
      <c r="H558">
        <v>4.3570222211753502E-2</v>
      </c>
      <c r="I558">
        <v>2.3932583918376899E-2</v>
      </c>
      <c r="J558">
        <v>1.94366433964719E-2</v>
      </c>
      <c r="K558">
        <v>1.7439291110590002E-2</v>
      </c>
      <c r="L558">
        <v>2117.8771341246702</v>
      </c>
      <c r="M558">
        <v>41.700532267106603</v>
      </c>
      <c r="N558">
        <v>50.834228651042302</v>
      </c>
      <c r="O558">
        <v>50.6714114549073</v>
      </c>
      <c r="P558">
        <v>-0.201894208112088</v>
      </c>
      <c r="Q558">
        <v>1.8694267858977098E-2</v>
      </c>
      <c r="R558">
        <v>0.996361727809981</v>
      </c>
      <c r="S558" t="s">
        <v>7126</v>
      </c>
      <c r="T558" t="s">
        <v>13134</v>
      </c>
      <c r="U558" t="s">
        <v>13134</v>
      </c>
      <c r="V558" t="s">
        <v>13134</v>
      </c>
      <c r="W558" t="s">
        <v>13623</v>
      </c>
      <c r="X558">
        <v>29</v>
      </c>
      <c r="Y558" t="s">
        <v>20116</v>
      </c>
      <c r="Z558" t="s">
        <v>26526</v>
      </c>
      <c r="AA558">
        <v>0.47286024582950792</v>
      </c>
      <c r="AB558" t="str">
        <f>HYPERLINK("Melting_Curves/meltCurve_E9PEN8_XPO7.pdf", "Melting_Curves/meltCurve_E9PEN8_XPO7.pdf")</f>
        <v>Melting_Curves/meltCurve_E9PEN8_XPO7.pdf</v>
      </c>
    </row>
    <row r="559" spans="1:28" x14ac:dyDescent="0.25">
      <c r="A559" t="s">
        <v>563</v>
      </c>
      <c r="B559">
        <v>0.99472303558308395</v>
      </c>
      <c r="C559">
        <v>0.92216678846433697</v>
      </c>
      <c r="D559">
        <v>0.71991509875326198</v>
      </c>
      <c r="E559">
        <v>0.54957755645537898</v>
      </c>
      <c r="F559">
        <v>0.446075411524058</v>
      </c>
      <c r="G559">
        <v>0.140374918027591</v>
      </c>
      <c r="H559">
        <v>0.10454823365946</v>
      </c>
      <c r="I559">
        <v>0.108007718788574</v>
      </c>
      <c r="J559">
        <v>0.1281133304174</v>
      </c>
      <c r="K559">
        <v>0.114592811912476</v>
      </c>
      <c r="L559">
        <v>589.32522853844603</v>
      </c>
      <c r="M559">
        <v>12.5787972824465</v>
      </c>
      <c r="N559">
        <v>47.3894878826463</v>
      </c>
      <c r="O559">
        <v>45.713883008834301</v>
      </c>
      <c r="P559">
        <v>-6.4220216863545496E-2</v>
      </c>
      <c r="Q559">
        <v>6.6630590436623005E-2</v>
      </c>
      <c r="R559">
        <v>0.97950217408462603</v>
      </c>
      <c r="S559" t="s">
        <v>7127</v>
      </c>
      <c r="T559" t="s">
        <v>13134</v>
      </c>
      <c r="U559" t="s">
        <v>13134</v>
      </c>
      <c r="V559" t="s">
        <v>13134</v>
      </c>
      <c r="W559" t="s">
        <v>13688</v>
      </c>
      <c r="X559">
        <v>3</v>
      </c>
      <c r="Y559" t="s">
        <v>20181</v>
      </c>
      <c r="Z559" t="s">
        <v>26527</v>
      </c>
      <c r="AA559">
        <v>0.40171383802596872</v>
      </c>
      <c r="AB559" t="str">
        <f>HYPERLINK("Melting_Curves/meltCurve_E9PER1_DIP2A.pdf", "Melting_Curves/meltCurve_E9PER1_DIP2A.pdf")</f>
        <v>Melting_Curves/meltCurve_E9PER1_DIP2A.pdf</v>
      </c>
    </row>
    <row r="560" spans="1:28" x14ac:dyDescent="0.25">
      <c r="A560" t="s">
        <v>564</v>
      </c>
      <c r="B560">
        <v>0.99472303558308395</v>
      </c>
      <c r="C560">
        <v>1.0177345592504301</v>
      </c>
      <c r="D560">
        <v>0.95490268394986799</v>
      </c>
      <c r="E560">
        <v>0.76698252380286103</v>
      </c>
      <c r="F560">
        <v>0.30761002861118703</v>
      </c>
      <c r="G560">
        <v>0.11630153220914501</v>
      </c>
      <c r="H560">
        <v>6.2409678044035501E-2</v>
      </c>
      <c r="I560">
        <v>4.9381474419944699E-2</v>
      </c>
      <c r="J560">
        <v>5.6700670206748897E-2</v>
      </c>
      <c r="K560">
        <v>5.1119578841397798E-2</v>
      </c>
      <c r="L560">
        <v>1333.33561451128</v>
      </c>
      <c r="M560">
        <v>27.525389054565998</v>
      </c>
      <c r="N560">
        <v>48.632324910334702</v>
      </c>
      <c r="O560">
        <v>48.186697052332001</v>
      </c>
      <c r="P560">
        <v>-0.13545111773521901</v>
      </c>
      <c r="Q560">
        <v>5.1511012891138401E-2</v>
      </c>
      <c r="R560">
        <v>0.99948168272864202</v>
      </c>
      <c r="S560" t="s">
        <v>7128</v>
      </c>
      <c r="T560" t="s">
        <v>13134</v>
      </c>
      <c r="U560" t="s">
        <v>13134</v>
      </c>
      <c r="V560" t="s">
        <v>13134</v>
      </c>
      <c r="W560" t="s">
        <v>13689</v>
      </c>
      <c r="X560">
        <v>10</v>
      </c>
      <c r="Y560" t="s">
        <v>20182</v>
      </c>
      <c r="Z560" t="s">
        <v>26528</v>
      </c>
      <c r="AA560">
        <v>0.41993294152428351</v>
      </c>
      <c r="AB560" t="str">
        <f>HYPERLINK("Melting_Curves/meltCurve_E9PER6_PDPK1.pdf", "Melting_Curves/meltCurve_E9PER6_PDPK1.pdf")</f>
        <v>Melting_Curves/meltCurve_E9PER6_PDPK1.pdf</v>
      </c>
    </row>
    <row r="561" spans="1:28" x14ac:dyDescent="0.25">
      <c r="A561" t="s">
        <v>565</v>
      </c>
      <c r="B561">
        <v>0.99472303558308395</v>
      </c>
      <c r="C561">
        <v>0.93281220729717895</v>
      </c>
      <c r="D561">
        <v>0.88575106856485897</v>
      </c>
      <c r="E561">
        <v>0.44373805021398999</v>
      </c>
      <c r="F561">
        <v>0.127127947561301</v>
      </c>
      <c r="G561">
        <v>7.38638755064744E-2</v>
      </c>
      <c r="H561">
        <v>4.8754780797305199E-2</v>
      </c>
      <c r="I561">
        <v>3.77295111049957E-2</v>
      </c>
      <c r="J561">
        <v>4.23615648996842E-2</v>
      </c>
      <c r="K561">
        <v>3.5218576050060298E-2</v>
      </c>
      <c r="L561">
        <v>1224.7850186884</v>
      </c>
      <c r="M561">
        <v>26.602814574205301</v>
      </c>
      <c r="N561">
        <v>46.1866780416795</v>
      </c>
      <c r="O561">
        <v>45.781894409977198</v>
      </c>
      <c r="P561">
        <v>-0.13937404689374899</v>
      </c>
      <c r="Q561">
        <v>4.0591805155947402E-2</v>
      </c>
      <c r="R561">
        <v>0.99798959028367995</v>
      </c>
      <c r="S561" t="s">
        <v>7129</v>
      </c>
      <c r="T561" t="s">
        <v>13134</v>
      </c>
      <c r="U561" t="s">
        <v>13134</v>
      </c>
      <c r="V561" t="s">
        <v>13134</v>
      </c>
      <c r="W561" t="s">
        <v>13690</v>
      </c>
      <c r="X561">
        <v>64</v>
      </c>
      <c r="Y561" t="s">
        <v>20183</v>
      </c>
      <c r="Z561" t="s">
        <v>26529</v>
      </c>
      <c r="AA561">
        <v>0.33668616939838297</v>
      </c>
      <c r="AB561" t="str">
        <f>HYPERLINK("Melting_Curves/meltCurve_E9PEZ3_DIAPH1.pdf", "Melting_Curves/meltCurve_E9PEZ3_DIAPH1.pdf")</f>
        <v>Melting_Curves/meltCurve_E9PEZ3_DIAPH1.pdf</v>
      </c>
    </row>
    <row r="562" spans="1:28" x14ac:dyDescent="0.25">
      <c r="A562" t="s">
        <v>566</v>
      </c>
      <c r="B562">
        <v>0.99472303558308395</v>
      </c>
      <c r="C562">
        <v>0.92494530609348302</v>
      </c>
      <c r="D562">
        <v>0.75540746751663701</v>
      </c>
      <c r="E562">
        <v>0.49909568611984501</v>
      </c>
      <c r="F562">
        <v>0.27912171977813699</v>
      </c>
      <c r="G562">
        <v>8.3438462894688606E-2</v>
      </c>
      <c r="H562">
        <v>5.0775302207607599E-2</v>
      </c>
      <c r="I562">
        <v>3.7109904762466402E-2</v>
      </c>
      <c r="J562">
        <v>3.94672466608261E-2</v>
      </c>
      <c r="K562">
        <v>3.6837098747335699E-2</v>
      </c>
      <c r="L562">
        <v>705.96248555219904</v>
      </c>
      <c r="M562">
        <v>15.208197926645401</v>
      </c>
      <c r="N562">
        <v>46.4994636969966</v>
      </c>
      <c r="O562">
        <v>45.639462177841502</v>
      </c>
      <c r="P562">
        <v>-8.2243661569385298E-2</v>
      </c>
      <c r="Q562">
        <v>1.28489607605417E-2</v>
      </c>
      <c r="R562">
        <v>0.99755821569125602</v>
      </c>
      <c r="S562" t="s">
        <v>7130</v>
      </c>
      <c r="T562" t="s">
        <v>13134</v>
      </c>
      <c r="U562" t="s">
        <v>13134</v>
      </c>
      <c r="V562" t="s">
        <v>13134</v>
      </c>
      <c r="W562" t="s">
        <v>13691</v>
      </c>
      <c r="X562">
        <v>23</v>
      </c>
      <c r="Y562" t="s">
        <v>20184</v>
      </c>
      <c r="Z562" t="s">
        <v>26530</v>
      </c>
      <c r="AA562">
        <v>0.34476452906958988</v>
      </c>
      <c r="AB562" t="str">
        <f>HYPERLINK("Melting_Curves/meltCurve_E9PF10_NUP155.pdf", "Melting_Curves/meltCurve_E9PF10_NUP155.pdf")</f>
        <v>Melting_Curves/meltCurve_E9PF10_NUP155.pdf</v>
      </c>
    </row>
    <row r="563" spans="1:28" x14ac:dyDescent="0.25">
      <c r="A563" t="s">
        <v>567</v>
      </c>
      <c r="B563">
        <v>0.99472303558308395</v>
      </c>
      <c r="C563">
        <v>1.02187992553747</v>
      </c>
      <c r="D563">
        <v>1.0870173682894799</v>
      </c>
      <c r="E563">
        <v>0.97534134715342102</v>
      </c>
      <c r="F563">
        <v>0.60942455359544101</v>
      </c>
      <c r="G563">
        <v>0.23128162371038599</v>
      </c>
      <c r="H563">
        <v>7.1558044016442598E-2</v>
      </c>
      <c r="I563">
        <v>4.9119033769687501E-2</v>
      </c>
      <c r="J563">
        <v>5.2308276312242101E-2</v>
      </c>
      <c r="K563">
        <v>4.2410945765801303E-2</v>
      </c>
      <c r="L563">
        <v>1531.73141076806</v>
      </c>
      <c r="M563">
        <v>30.058176679588598</v>
      </c>
      <c r="N563">
        <v>51.126297582217703</v>
      </c>
      <c r="O563">
        <v>50.734924665899101</v>
      </c>
      <c r="P563">
        <v>-0.14117315912742101</v>
      </c>
      <c r="Q563">
        <v>4.6866360048854902E-2</v>
      </c>
      <c r="R563">
        <v>0.99459233986921303</v>
      </c>
      <c r="S563" t="s">
        <v>7131</v>
      </c>
      <c r="T563" t="s">
        <v>13134</v>
      </c>
      <c r="U563" t="s">
        <v>13134</v>
      </c>
      <c r="V563" t="s">
        <v>13134</v>
      </c>
      <c r="W563" t="s">
        <v>13692</v>
      </c>
      <c r="X563">
        <v>13</v>
      </c>
      <c r="Y563" t="s">
        <v>20185</v>
      </c>
      <c r="Z563" t="s">
        <v>26531</v>
      </c>
      <c r="AA563">
        <v>0.49626834097938372</v>
      </c>
      <c r="AB563" t="str">
        <f>HYPERLINK("Melting_Curves/meltCurve_E9PF18_HADH.pdf", "Melting_Curves/meltCurve_E9PF18_HADH.pdf")</f>
        <v>Melting_Curves/meltCurve_E9PF18_HADH.pdf</v>
      </c>
    </row>
    <row r="564" spans="1:28" x14ac:dyDescent="0.25">
      <c r="A564" t="s">
        <v>568</v>
      </c>
      <c r="B564">
        <v>0.99472303558308395</v>
      </c>
      <c r="C564">
        <v>0.92709826128776995</v>
      </c>
      <c r="D564">
        <v>0.85666288033910198</v>
      </c>
      <c r="E564">
        <v>0.73470495377180201</v>
      </c>
      <c r="F564">
        <v>0.32043342428343802</v>
      </c>
      <c r="G564">
        <v>8.6530661253679003E-2</v>
      </c>
      <c r="H564">
        <v>5.4262050289210301E-2</v>
      </c>
      <c r="I564">
        <v>3.7668030006645099E-2</v>
      </c>
      <c r="J564">
        <v>4.4237988350465197E-2</v>
      </c>
      <c r="K564">
        <v>4.4453290480528498E-2</v>
      </c>
      <c r="L564">
        <v>1016.06288741399</v>
      </c>
      <c r="M564">
        <v>21.049547385099299</v>
      </c>
      <c r="N564">
        <v>48.386223713672997</v>
      </c>
      <c r="O564">
        <v>47.8407494757544</v>
      </c>
      <c r="P564">
        <v>-0.10729056908719301</v>
      </c>
      <c r="Q564">
        <v>2.4639625470939099E-2</v>
      </c>
      <c r="R564">
        <v>0.99131897970916405</v>
      </c>
      <c r="S564" t="s">
        <v>7132</v>
      </c>
      <c r="T564" t="s">
        <v>13134</v>
      </c>
      <c r="U564" t="s">
        <v>13134</v>
      </c>
      <c r="V564" t="s">
        <v>13134</v>
      </c>
      <c r="W564" t="s">
        <v>13693</v>
      </c>
      <c r="X564">
        <v>19</v>
      </c>
      <c r="Y564" t="s">
        <v>20186</v>
      </c>
      <c r="Z564" t="s">
        <v>26532</v>
      </c>
      <c r="AA564">
        <v>0.40269809756488217</v>
      </c>
      <c r="AB564" t="str">
        <f>HYPERLINK("Melting_Curves/meltCurve_E9PF19_TBL2.pdf", "Melting_Curves/meltCurve_E9PF19_TBL2.pdf")</f>
        <v>Melting_Curves/meltCurve_E9PF19_TBL2.pdf</v>
      </c>
    </row>
    <row r="565" spans="1:28" x14ac:dyDescent="0.25">
      <c r="A565" t="s">
        <v>569</v>
      </c>
      <c r="B565">
        <v>0.99472303558308395</v>
      </c>
      <c r="C565">
        <v>0.87190499460694004</v>
      </c>
      <c r="D565">
        <v>0.81880497821935705</v>
      </c>
      <c r="E565">
        <v>0.67652440775451805</v>
      </c>
      <c r="F565">
        <v>0.533365448669189</v>
      </c>
      <c r="G565">
        <v>0.42025350160056801</v>
      </c>
      <c r="H565">
        <v>0.30346867346433398</v>
      </c>
      <c r="I565">
        <v>0.257127891462956</v>
      </c>
      <c r="J565">
        <v>0.32099674544172802</v>
      </c>
      <c r="K565">
        <v>0.32293211810445899</v>
      </c>
      <c r="L565">
        <v>526.81844883949998</v>
      </c>
      <c r="M565">
        <v>11.113844497636601</v>
      </c>
      <c r="N565">
        <v>50.62561252818</v>
      </c>
      <c r="O565">
        <v>45.944952959932301</v>
      </c>
      <c r="P565">
        <v>-4.51517843641236E-2</v>
      </c>
      <c r="Q565">
        <v>0.25360694494179797</v>
      </c>
      <c r="R565">
        <v>0.98348475093993204</v>
      </c>
      <c r="S565" t="s">
        <v>7133</v>
      </c>
      <c r="T565" t="s">
        <v>13134</v>
      </c>
      <c r="U565" t="s">
        <v>13134</v>
      </c>
      <c r="V565" t="s">
        <v>13134</v>
      </c>
      <c r="W565" t="s">
        <v>13694</v>
      </c>
      <c r="X565">
        <v>11</v>
      </c>
      <c r="Y565" t="s">
        <v>20187</v>
      </c>
      <c r="Z565" t="s">
        <v>26533</v>
      </c>
      <c r="AA565">
        <v>0.53940037292985454</v>
      </c>
      <c r="AB565" t="str">
        <f>HYPERLINK("Melting_Curves/meltCurve_E9PF74_SLC25A19.pdf", "Melting_Curves/meltCurve_E9PF74_SLC25A19.pdf")</f>
        <v>Melting_Curves/meltCurve_E9PF74_SLC25A19.pdf</v>
      </c>
    </row>
    <row r="566" spans="1:28" x14ac:dyDescent="0.25">
      <c r="A566" t="s">
        <v>570</v>
      </c>
      <c r="B566">
        <v>0.99472303558308395</v>
      </c>
      <c r="C566">
        <v>1.17731661147421</v>
      </c>
      <c r="D566">
        <v>0.97800959202902205</v>
      </c>
      <c r="E566">
        <v>0.97004971913328597</v>
      </c>
      <c r="F566">
        <v>0.64203030190690402</v>
      </c>
      <c r="G566">
        <v>0.45940240651411202</v>
      </c>
      <c r="H566">
        <v>0.103611132828465</v>
      </c>
      <c r="I566">
        <v>4.08912675363967E-2</v>
      </c>
      <c r="J566">
        <v>3.11850485663966E-2</v>
      </c>
      <c r="K566">
        <v>2.8507275485075399E-2</v>
      </c>
      <c r="L566">
        <v>1044.4630662808199</v>
      </c>
      <c r="M566">
        <v>19.897710719240902</v>
      </c>
      <c r="N566">
        <v>52.491634547742599</v>
      </c>
      <c r="O566">
        <v>51.970052522195999</v>
      </c>
      <c r="P566">
        <v>-9.5720374150557494E-2</v>
      </c>
      <c r="Q566">
        <v>0</v>
      </c>
      <c r="R566">
        <v>0.97536039302095101</v>
      </c>
      <c r="S566" t="s">
        <v>7134</v>
      </c>
      <c r="T566" t="s">
        <v>13134</v>
      </c>
      <c r="U566" t="s">
        <v>13134</v>
      </c>
      <c r="V566" t="s">
        <v>13134</v>
      </c>
      <c r="W566" t="s">
        <v>13695</v>
      </c>
      <c r="X566">
        <v>7</v>
      </c>
      <c r="Y566" t="s">
        <v>20188</v>
      </c>
      <c r="Z566" t="s">
        <v>26534</v>
      </c>
      <c r="AA566">
        <v>0.52926436518324638</v>
      </c>
      <c r="AB566" t="str">
        <f>HYPERLINK("Melting_Curves/meltCurve_E9PFH7_MAPK8IP3.pdf", "Melting_Curves/meltCurve_E9PFH7_MAPK8IP3.pdf")</f>
        <v>Melting_Curves/meltCurve_E9PFH7_MAPK8IP3.pdf</v>
      </c>
    </row>
    <row r="567" spans="1:28" x14ac:dyDescent="0.25">
      <c r="A567" t="s">
        <v>571</v>
      </c>
      <c r="B567">
        <v>0.99472303558308395</v>
      </c>
      <c r="C567">
        <v>1.04432935203292</v>
      </c>
      <c r="D567">
        <v>0.90198303025541404</v>
      </c>
      <c r="E567">
        <v>0.76674679782710797</v>
      </c>
      <c r="F567">
        <v>0.447634383511686</v>
      </c>
      <c r="G567">
        <v>0.25697747451033998</v>
      </c>
      <c r="H567">
        <v>0.176869111207278</v>
      </c>
      <c r="I567">
        <v>7.9140088730251704E-2</v>
      </c>
      <c r="J567">
        <v>9.7592822653366607E-2</v>
      </c>
      <c r="K567">
        <v>7.0745504111917198E-2</v>
      </c>
      <c r="L567">
        <v>841.04468566141702</v>
      </c>
      <c r="M567">
        <v>17.048550100224599</v>
      </c>
      <c r="N567">
        <v>49.771575328103097</v>
      </c>
      <c r="O567">
        <v>48.668583622700503</v>
      </c>
      <c r="P567">
        <v>-8.1463232477213196E-2</v>
      </c>
      <c r="Q567">
        <v>6.9842796558940101E-2</v>
      </c>
      <c r="R567">
        <v>0.99532445203959197</v>
      </c>
      <c r="S567" t="s">
        <v>7135</v>
      </c>
      <c r="T567" t="s">
        <v>13134</v>
      </c>
      <c r="U567" t="s">
        <v>13134</v>
      </c>
      <c r="V567" t="s">
        <v>13134</v>
      </c>
      <c r="W567" t="s">
        <v>13696</v>
      </c>
      <c r="X567">
        <v>12</v>
      </c>
      <c r="Y567" t="s">
        <v>20189</v>
      </c>
      <c r="Z567" t="s">
        <v>26535</v>
      </c>
      <c r="AA567">
        <v>0.46837733638465529</v>
      </c>
      <c r="AB567" t="str">
        <f>HYPERLINK("Melting_Curves/meltCurve_E9PFK9_RABGEF1.pdf", "Melting_Curves/meltCurve_E9PFK9_RABGEF1.pdf")</f>
        <v>Melting_Curves/meltCurve_E9PFK9_RABGEF1.pdf</v>
      </c>
    </row>
    <row r="568" spans="1:28" x14ac:dyDescent="0.25">
      <c r="A568" t="s">
        <v>572</v>
      </c>
      <c r="B568">
        <v>0.99472303558308395</v>
      </c>
      <c r="C568">
        <v>0.91543225323113497</v>
      </c>
      <c r="D568">
        <v>0.83747868735123698</v>
      </c>
      <c r="E568">
        <v>0.44802172576010502</v>
      </c>
      <c r="F568">
        <v>0.18393993174766099</v>
      </c>
      <c r="G568">
        <v>9.38088235829099E-2</v>
      </c>
      <c r="H568">
        <v>5.54437213963501E-2</v>
      </c>
      <c r="I568">
        <v>4.3641077676821897E-2</v>
      </c>
      <c r="J568">
        <v>6.1458078090436803E-2</v>
      </c>
      <c r="K568">
        <v>4.4566076569415303E-2</v>
      </c>
      <c r="L568">
        <v>954.73880264423497</v>
      </c>
      <c r="M568">
        <v>20.776382063882501</v>
      </c>
      <c r="N568">
        <v>46.164976009292502</v>
      </c>
      <c r="O568">
        <v>45.533727198089601</v>
      </c>
      <c r="P568">
        <v>-0.10888673054699</v>
      </c>
      <c r="Q568">
        <v>4.5477962319463702E-2</v>
      </c>
      <c r="R568">
        <v>0.99798172784962103</v>
      </c>
      <c r="S568" t="s">
        <v>7136</v>
      </c>
      <c r="T568" t="s">
        <v>13134</v>
      </c>
      <c r="U568" t="s">
        <v>13134</v>
      </c>
      <c r="V568" t="s">
        <v>13134</v>
      </c>
      <c r="W568" t="s">
        <v>13697</v>
      </c>
      <c r="X568">
        <v>17</v>
      </c>
      <c r="Y568" t="s">
        <v>20190</v>
      </c>
      <c r="Z568" t="s">
        <v>26536</v>
      </c>
      <c r="AA568">
        <v>0.34189038841463071</v>
      </c>
      <c r="AB568" t="str">
        <f>HYPERLINK("Melting_Curves/meltCurve_E9PFR3_PPP2R5D.pdf", "Melting_Curves/meltCurve_E9PFR3_PPP2R5D.pdf")</f>
        <v>Melting_Curves/meltCurve_E9PFR3_PPP2R5D.pdf</v>
      </c>
    </row>
    <row r="569" spans="1:28" x14ac:dyDescent="0.25">
      <c r="A569" t="s">
        <v>573</v>
      </c>
      <c r="B569">
        <v>0.99472303558308395</v>
      </c>
      <c r="C569">
        <v>1.14717553742823</v>
      </c>
      <c r="D569">
        <v>0.90591900190677099</v>
      </c>
      <c r="E569">
        <v>0.63027757815080598</v>
      </c>
      <c r="F569">
        <v>0.75387895214295397</v>
      </c>
      <c r="G569">
        <v>0.143525660374339</v>
      </c>
      <c r="H569">
        <v>0.220509774676723</v>
      </c>
      <c r="I569">
        <v>0.16866409869141999</v>
      </c>
      <c r="J569">
        <v>0</v>
      </c>
      <c r="K569">
        <v>0</v>
      </c>
      <c r="L569">
        <v>709.51388075848001</v>
      </c>
      <c r="M569">
        <v>13.9514320378787</v>
      </c>
      <c r="N569">
        <v>50.855990468676303</v>
      </c>
      <c r="O569">
        <v>49.845313808121702</v>
      </c>
      <c r="P569">
        <v>-6.9983025035186497E-2</v>
      </c>
      <c r="Q569">
        <v>0</v>
      </c>
      <c r="R569">
        <v>0.91977565520029203</v>
      </c>
      <c r="S569" t="s">
        <v>7137</v>
      </c>
      <c r="T569" t="s">
        <v>13134</v>
      </c>
      <c r="U569" t="s">
        <v>13134</v>
      </c>
      <c r="V569" t="s">
        <v>13134</v>
      </c>
      <c r="W569" t="s">
        <v>13698</v>
      </c>
      <c r="X569">
        <v>1</v>
      </c>
      <c r="Y569" t="s">
        <v>20191</v>
      </c>
      <c r="Z569" t="s">
        <v>26537</v>
      </c>
      <c r="AA569">
        <v>0.48409147060963281</v>
      </c>
      <c r="AB569" t="str">
        <f>HYPERLINK("Melting_Curves/meltCurve_E9PFZ1_C3orf38.pdf", "Melting_Curves/meltCurve_E9PFZ1_C3orf38.pdf")</f>
        <v>Melting_Curves/meltCurve_E9PFZ1_C3orf38.pdf</v>
      </c>
    </row>
    <row r="570" spans="1:28" x14ac:dyDescent="0.25">
      <c r="A570" t="s">
        <v>574</v>
      </c>
      <c r="B570">
        <v>0.99472303558308395</v>
      </c>
      <c r="C570">
        <v>0.98785518283974005</v>
      </c>
      <c r="D570">
        <v>0.69210942934251996</v>
      </c>
      <c r="E570">
        <v>0.46502477562150502</v>
      </c>
      <c r="F570">
        <v>0.165030541956182</v>
      </c>
      <c r="G570">
        <v>9.7473232958450895E-2</v>
      </c>
      <c r="H570">
        <v>0.121490489391229</v>
      </c>
      <c r="I570">
        <v>4.4773038011195601E-2</v>
      </c>
      <c r="J570">
        <v>0.16502696892350199</v>
      </c>
      <c r="K570">
        <v>0.17859380946954401</v>
      </c>
      <c r="L570">
        <v>927.23483452027904</v>
      </c>
      <c r="M570">
        <v>20.620511242740498</v>
      </c>
      <c r="N570">
        <v>45.523370140649703</v>
      </c>
      <c r="O570">
        <v>44.550130895731101</v>
      </c>
      <c r="P570">
        <v>-0.102821951399339</v>
      </c>
      <c r="Q570">
        <v>0.11144797615502899</v>
      </c>
      <c r="R570">
        <v>0.97969873812131503</v>
      </c>
      <c r="S570" t="s">
        <v>7138</v>
      </c>
      <c r="T570" t="s">
        <v>13134</v>
      </c>
      <c r="U570" t="s">
        <v>13134</v>
      </c>
      <c r="V570" t="s">
        <v>13134</v>
      </c>
      <c r="W570" t="s">
        <v>13699</v>
      </c>
      <c r="X570">
        <v>1</v>
      </c>
      <c r="Y570" t="s">
        <v>20192</v>
      </c>
      <c r="Z570" t="s">
        <v>26538</v>
      </c>
      <c r="AA570">
        <v>0.35835742829200712</v>
      </c>
      <c r="AB570" t="str">
        <f>HYPERLINK("Melting_Curves/meltCurve_E9PG22_CEP97.pdf", "Melting_Curves/meltCurve_E9PG22_CEP97.pdf")</f>
        <v>Melting_Curves/meltCurve_E9PG22_CEP97.pdf</v>
      </c>
    </row>
    <row r="571" spans="1:28" x14ac:dyDescent="0.25">
      <c r="A571" t="s">
        <v>575</v>
      </c>
      <c r="B571">
        <v>0.99472303558308395</v>
      </c>
      <c r="C571">
        <v>1.0831036933226701</v>
      </c>
      <c r="D571">
        <v>0.83444942928687105</v>
      </c>
      <c r="E571">
        <v>0.75056824457642402</v>
      </c>
      <c r="F571">
        <v>0.72165374711589503</v>
      </c>
      <c r="G571">
        <v>0.33362323190562698</v>
      </c>
      <c r="H571">
        <v>0.21662273313028599</v>
      </c>
      <c r="I571">
        <v>0.15138150296943001</v>
      </c>
      <c r="J571">
        <v>0.105775896740786</v>
      </c>
      <c r="K571">
        <v>9.7365603227812805E-2</v>
      </c>
      <c r="L571">
        <v>658.89687459000402</v>
      </c>
      <c r="M571">
        <v>12.7641496451047</v>
      </c>
      <c r="N571">
        <v>51.869406475487303</v>
      </c>
      <c r="O571">
        <v>50.4030652927296</v>
      </c>
      <c r="P571">
        <v>-6.1444220083253599E-2</v>
      </c>
      <c r="Q571">
        <v>2.9660507317983E-2</v>
      </c>
      <c r="R571">
        <v>0.96888085722908202</v>
      </c>
      <c r="S571" t="s">
        <v>7139</v>
      </c>
      <c r="T571" t="s">
        <v>13134</v>
      </c>
      <c r="U571" t="s">
        <v>13134</v>
      </c>
      <c r="V571" t="s">
        <v>13134</v>
      </c>
      <c r="W571" t="s">
        <v>13700</v>
      </c>
      <c r="X571">
        <v>3</v>
      </c>
      <c r="Y571" t="s">
        <v>20193</v>
      </c>
      <c r="Z571" t="s">
        <v>26539</v>
      </c>
      <c r="AA571">
        <v>0.52518235730443452</v>
      </c>
      <c r="AB571" t="str">
        <f>HYPERLINK("Melting_Curves/meltCurve_E9PGC1_SLC4A7.pdf", "Melting_Curves/meltCurve_E9PGC1_SLC4A7.pdf")</f>
        <v>Melting_Curves/meltCurve_E9PGC1_SLC4A7.pdf</v>
      </c>
    </row>
    <row r="572" spans="1:28" x14ac:dyDescent="0.25">
      <c r="A572" t="s">
        <v>576</v>
      </c>
      <c r="B572">
        <v>0.99472303558308395</v>
      </c>
      <c r="C572">
        <v>1.0749827054591401</v>
      </c>
      <c r="D572">
        <v>0.89977622547501801</v>
      </c>
      <c r="E572">
        <v>0.84475381154693396</v>
      </c>
      <c r="F572">
        <v>0.77838518304450699</v>
      </c>
      <c r="G572">
        <v>0.49689295247089899</v>
      </c>
      <c r="H572">
        <v>0.35254109924564297</v>
      </c>
      <c r="I572">
        <v>0.408685875297158</v>
      </c>
      <c r="J572">
        <v>0.42449018713268799</v>
      </c>
      <c r="K572">
        <v>0.56531057077176405</v>
      </c>
      <c r="L572">
        <v>1108.56883456379</v>
      </c>
      <c r="M572">
        <v>22.192324203589401</v>
      </c>
      <c r="N572">
        <v>54.769908989357297</v>
      </c>
      <c r="O572">
        <v>49.552504597738597</v>
      </c>
      <c r="P572">
        <v>-6.3933252346120906E-2</v>
      </c>
      <c r="Q572">
        <v>0.42899457332457402</v>
      </c>
      <c r="R572">
        <v>0.91424061270716095</v>
      </c>
      <c r="S572" t="s">
        <v>7140</v>
      </c>
      <c r="T572" t="s">
        <v>13134</v>
      </c>
      <c r="U572" t="s">
        <v>13134</v>
      </c>
      <c r="V572" t="s">
        <v>13134</v>
      </c>
      <c r="W572" t="s">
        <v>13701</v>
      </c>
      <c r="X572">
        <v>4</v>
      </c>
      <c r="Y572" t="s">
        <v>20194</v>
      </c>
      <c r="Z572" t="s">
        <v>26540</v>
      </c>
      <c r="AA572">
        <v>0.68177098837335692</v>
      </c>
      <c r="AB572" t="str">
        <f>HYPERLINK("Melting_Curves/meltCurve_E9PGQ0_SLC25A44.pdf", "Melting_Curves/meltCurve_E9PGQ0_SLC25A44.pdf")</f>
        <v>Melting_Curves/meltCurve_E9PGQ0_SLC25A44.pdf</v>
      </c>
    </row>
    <row r="573" spans="1:28" x14ac:dyDescent="0.25">
      <c r="A573" t="s">
        <v>577</v>
      </c>
      <c r="B573">
        <v>0.99472303558308395</v>
      </c>
      <c r="C573">
        <v>0.96961450341778899</v>
      </c>
      <c r="D573">
        <v>0.87752314051467195</v>
      </c>
      <c r="E573">
        <v>0.81894384818427901</v>
      </c>
      <c r="F573">
        <v>0.75735629593599496</v>
      </c>
      <c r="G573">
        <v>0.53617894981305103</v>
      </c>
      <c r="H573">
        <v>0.373460762414001</v>
      </c>
      <c r="I573">
        <v>0.23948882803722499</v>
      </c>
      <c r="J573">
        <v>0.25198861800418998</v>
      </c>
      <c r="K573">
        <v>0.14127092912276401</v>
      </c>
      <c r="L573">
        <v>509.334516065407</v>
      </c>
      <c r="M573">
        <v>9.3076583689482604</v>
      </c>
      <c r="N573">
        <v>54.722089680162803</v>
      </c>
      <c r="O573">
        <v>52.374145949383703</v>
      </c>
      <c r="P573">
        <v>-4.4457095170612797E-2</v>
      </c>
      <c r="Q573">
        <v>0</v>
      </c>
      <c r="R573">
        <v>0.98903207067338295</v>
      </c>
      <c r="S573" t="s">
        <v>7141</v>
      </c>
      <c r="T573" t="s">
        <v>13134</v>
      </c>
      <c r="U573" t="s">
        <v>13134</v>
      </c>
      <c r="V573" t="s">
        <v>13134</v>
      </c>
      <c r="W573" t="s">
        <v>13702</v>
      </c>
      <c r="X573">
        <v>13</v>
      </c>
      <c r="Y573" t="s">
        <v>20195</v>
      </c>
      <c r="Z573" t="s">
        <v>26541</v>
      </c>
      <c r="AA573">
        <v>0.60330366763789967</v>
      </c>
      <c r="AB573" t="str">
        <f>HYPERLINK("Melting_Curves/meltCurve_E9PGT1_TSN.pdf", "Melting_Curves/meltCurve_E9PGT1_TSN.pdf")</f>
        <v>Melting_Curves/meltCurve_E9PGT1_TSN.pdf</v>
      </c>
    </row>
    <row r="574" spans="1:28" x14ac:dyDescent="0.25">
      <c r="A574" t="s">
        <v>578</v>
      </c>
      <c r="B574">
        <v>0.99472303558308395</v>
      </c>
      <c r="C574">
        <v>0.99124667985956105</v>
      </c>
      <c r="D574">
        <v>0.91143926276916198</v>
      </c>
      <c r="E574">
        <v>0.77561073450395202</v>
      </c>
      <c r="F574">
        <v>0.316483587200936</v>
      </c>
      <c r="G574">
        <v>0.129686130972163</v>
      </c>
      <c r="H574">
        <v>9.5632516133462298E-2</v>
      </c>
      <c r="I574">
        <v>6.8508685934119101E-2</v>
      </c>
      <c r="J574">
        <v>7.2711827787685396E-2</v>
      </c>
      <c r="K574">
        <v>5.24781055378424E-2</v>
      </c>
      <c r="L574">
        <v>1262.5926648473701</v>
      </c>
      <c r="M574">
        <v>26.075543651162299</v>
      </c>
      <c r="N574">
        <v>48.6818011435928</v>
      </c>
      <c r="O574">
        <v>48.138476407417002</v>
      </c>
      <c r="P574">
        <v>-0.126579441034015</v>
      </c>
      <c r="Q574">
        <v>6.5289344692385995E-2</v>
      </c>
      <c r="R574">
        <v>0.997335524526758</v>
      </c>
      <c r="S574" t="s">
        <v>7142</v>
      </c>
      <c r="T574" t="s">
        <v>13134</v>
      </c>
      <c r="U574" t="s">
        <v>13134</v>
      </c>
      <c r="V574" t="s">
        <v>13134</v>
      </c>
      <c r="W574" t="s">
        <v>13379</v>
      </c>
      <c r="X574">
        <v>27</v>
      </c>
      <c r="Y574" t="s">
        <v>20196</v>
      </c>
      <c r="Z574" t="s">
        <v>26542</v>
      </c>
      <c r="AA574">
        <v>0.4284954398461463</v>
      </c>
      <c r="AB574" t="str">
        <f>HYPERLINK("Melting_Curves/meltCurve_E9PGT3_RPS6KA1.pdf", "Melting_Curves/meltCurve_E9PGT3_RPS6KA1.pdf")</f>
        <v>Melting_Curves/meltCurve_E9PGT3_RPS6KA1.pdf</v>
      </c>
    </row>
    <row r="575" spans="1:28" x14ac:dyDescent="0.25">
      <c r="A575" t="s">
        <v>579</v>
      </c>
      <c r="B575">
        <v>0.99472303558308395</v>
      </c>
      <c r="C575">
        <v>0.95173404270741102</v>
      </c>
      <c r="D575">
        <v>0.79443772582887395</v>
      </c>
      <c r="E575">
        <v>0.79722129076232595</v>
      </c>
      <c r="F575">
        <v>1.0318472331995501</v>
      </c>
      <c r="G575">
        <v>0.46682971660607198</v>
      </c>
      <c r="H575">
        <v>0.20418102138372701</v>
      </c>
      <c r="I575">
        <v>0.54240433378743802</v>
      </c>
      <c r="J575">
        <v>0.35980511945510302</v>
      </c>
      <c r="K575">
        <v>0.13319162491948</v>
      </c>
      <c r="L575">
        <v>13384.201824899001</v>
      </c>
      <c r="M575">
        <v>250</v>
      </c>
      <c r="N575">
        <v>53.744695138745598</v>
      </c>
      <c r="O575">
        <v>53.533381311835697</v>
      </c>
      <c r="P575">
        <v>-0.80569410938175201</v>
      </c>
      <c r="Q575">
        <v>0.30989552132223802</v>
      </c>
      <c r="R575">
        <v>0.81212405303025104</v>
      </c>
      <c r="S575" t="s">
        <v>7143</v>
      </c>
      <c r="T575" t="s">
        <v>13134</v>
      </c>
      <c r="U575" t="s">
        <v>13134</v>
      </c>
      <c r="V575" t="s">
        <v>13134</v>
      </c>
      <c r="W575" t="s">
        <v>13703</v>
      </c>
      <c r="X575">
        <v>6</v>
      </c>
      <c r="Y575" t="s">
        <v>20197</v>
      </c>
      <c r="Z575" t="s">
        <v>26543</v>
      </c>
      <c r="AA575">
        <v>0.69036452030995454</v>
      </c>
      <c r="AB575" t="str">
        <f>HYPERLINK("Melting_Curves/meltCurve_E9PGT6_COPS8.pdf", "Melting_Curves/meltCurve_E9PGT6_COPS8.pdf")</f>
        <v>Melting_Curves/meltCurve_E9PGT6_COPS8.pdf</v>
      </c>
    </row>
    <row r="576" spans="1:28" x14ac:dyDescent="0.25">
      <c r="A576" t="s">
        <v>580</v>
      </c>
      <c r="B576">
        <v>0.99472303558308395</v>
      </c>
      <c r="C576">
        <v>0.92594383995498997</v>
      </c>
      <c r="D576">
        <v>0.76711189369591004</v>
      </c>
      <c r="E576">
        <v>0.65334674284512895</v>
      </c>
      <c r="F576">
        <v>0.40116701267840299</v>
      </c>
      <c r="G576">
        <v>0.286607011301305</v>
      </c>
      <c r="H576">
        <v>0.16682603290411199</v>
      </c>
      <c r="I576">
        <v>9.12752130653329E-2</v>
      </c>
      <c r="J576">
        <v>0.1223063807857</v>
      </c>
      <c r="K576">
        <v>8.8735567142465596E-2</v>
      </c>
      <c r="L576">
        <v>549.547951959491</v>
      </c>
      <c r="M576">
        <v>11.390158255792601</v>
      </c>
      <c r="N576">
        <v>48.6405645194518</v>
      </c>
      <c r="O576">
        <v>46.832233233870603</v>
      </c>
      <c r="P576">
        <v>-5.8147518601500997E-2</v>
      </c>
      <c r="Q576">
        <v>4.3955304669966902E-2</v>
      </c>
      <c r="R576">
        <v>0.99458295912651695</v>
      </c>
      <c r="S576" t="s">
        <v>7144</v>
      </c>
      <c r="T576" t="s">
        <v>13134</v>
      </c>
      <c r="U576" t="s">
        <v>13134</v>
      </c>
      <c r="V576" t="s">
        <v>13134</v>
      </c>
      <c r="W576" t="s">
        <v>13704</v>
      </c>
      <c r="X576">
        <v>6</v>
      </c>
      <c r="Y576" t="s">
        <v>20198</v>
      </c>
      <c r="Z576" t="s">
        <v>26544</v>
      </c>
      <c r="AA576">
        <v>0.43420170543043213</v>
      </c>
      <c r="AB576" t="str">
        <f>HYPERLINK("Melting_Curves/meltCurve_E9PGW7_MED22.pdf", "Melting_Curves/meltCurve_E9PGW7_MED22.pdf")</f>
        <v>Melting_Curves/meltCurve_E9PGW7_MED22.pdf</v>
      </c>
    </row>
    <row r="577" spans="1:28" x14ac:dyDescent="0.25">
      <c r="A577" t="s">
        <v>581</v>
      </c>
      <c r="B577">
        <v>0.99472303558308395</v>
      </c>
      <c r="C577">
        <v>0.92042787155399697</v>
      </c>
      <c r="D577">
        <v>0.94299238322113299</v>
      </c>
      <c r="E577">
        <v>0.86112010507033798</v>
      </c>
      <c r="F577">
        <v>0.73556299440222594</v>
      </c>
      <c r="G577">
        <v>0.64059131516802004</v>
      </c>
      <c r="H577">
        <v>0.56400730837809598</v>
      </c>
      <c r="I577">
        <v>0.31933235120555897</v>
      </c>
      <c r="J577">
        <v>8.6800449862359602E-2</v>
      </c>
      <c r="K577">
        <v>0.100504518197674</v>
      </c>
      <c r="L577">
        <v>621.64569795746399</v>
      </c>
      <c r="M577">
        <v>11.057206591495</v>
      </c>
      <c r="N577">
        <v>56.220863117573501</v>
      </c>
      <c r="O577">
        <v>54.475895099828797</v>
      </c>
      <c r="P577">
        <v>-5.0760356071921302E-2</v>
      </c>
      <c r="Q577">
        <v>0</v>
      </c>
      <c r="R577">
        <v>0.96048933196125896</v>
      </c>
      <c r="S577" t="s">
        <v>7145</v>
      </c>
      <c r="T577" t="s">
        <v>13134</v>
      </c>
      <c r="U577" t="s">
        <v>13134</v>
      </c>
      <c r="V577" t="s">
        <v>13134</v>
      </c>
      <c r="W577" t="s">
        <v>13705</v>
      </c>
      <c r="X577">
        <v>11</v>
      </c>
      <c r="Y577" t="s">
        <v>20199</v>
      </c>
      <c r="Z577" t="s">
        <v>26545</v>
      </c>
      <c r="AA577">
        <v>0.64786045998810748</v>
      </c>
      <c r="AB577" t="str">
        <f>HYPERLINK("Melting_Curves/meltCurve_E9PH29_PRDX3.pdf", "Melting_Curves/meltCurve_E9PH29_PRDX3.pdf")</f>
        <v>Melting_Curves/meltCurve_E9PH29_PRDX3.pdf</v>
      </c>
    </row>
    <row r="578" spans="1:28" x14ac:dyDescent="0.25">
      <c r="A578" t="s">
        <v>582</v>
      </c>
      <c r="B578">
        <v>0.99472303558308395</v>
      </c>
      <c r="C578">
        <v>0.96340483182742598</v>
      </c>
      <c r="D578">
        <v>0.76387541717391305</v>
      </c>
      <c r="E578">
        <v>0.57617021047097905</v>
      </c>
      <c r="F578">
        <v>0.46829157715900799</v>
      </c>
      <c r="G578">
        <v>0.20735568815056499</v>
      </c>
      <c r="H578">
        <v>0.123267232168656</v>
      </c>
      <c r="I578">
        <v>7.9220163071130695E-2</v>
      </c>
      <c r="J578">
        <v>8.8871471043709696E-2</v>
      </c>
      <c r="K578">
        <v>7.6612811610126397E-2</v>
      </c>
      <c r="L578">
        <v>572.17727636530401</v>
      </c>
      <c r="M578">
        <v>11.9056792538083</v>
      </c>
      <c r="N578">
        <v>48.275467712911897</v>
      </c>
      <c r="O578">
        <v>46.763488527652797</v>
      </c>
      <c r="P578">
        <v>-6.2010782807987802E-2</v>
      </c>
      <c r="Q578">
        <v>2.59706454688956E-2</v>
      </c>
      <c r="R578">
        <v>0.98934807625115495</v>
      </c>
      <c r="S578" t="s">
        <v>7146</v>
      </c>
      <c r="T578" t="s">
        <v>13134</v>
      </c>
      <c r="U578" t="s">
        <v>13134</v>
      </c>
      <c r="V578" t="s">
        <v>13134</v>
      </c>
      <c r="W578" t="s">
        <v>13706</v>
      </c>
      <c r="X578">
        <v>10</v>
      </c>
      <c r="Y578" t="s">
        <v>20200</v>
      </c>
      <c r="Z578" t="s">
        <v>26546</v>
      </c>
      <c r="AA578">
        <v>0.41579149768975648</v>
      </c>
      <c r="AB578" t="str">
        <f>HYPERLINK("Melting_Curves/meltCurve_E9PH64_NDUFB9.pdf", "Melting_Curves/meltCurve_E9PH64_NDUFB9.pdf")</f>
        <v>Melting_Curves/meltCurve_E9PH64_NDUFB9.pdf</v>
      </c>
    </row>
    <row r="579" spans="1:28" x14ac:dyDescent="0.25">
      <c r="A579" t="s">
        <v>583</v>
      </c>
      <c r="B579">
        <v>0.99472303558308395</v>
      </c>
      <c r="C579">
        <v>0.79775264045506999</v>
      </c>
      <c r="D579">
        <v>0.40574239614744601</v>
      </c>
      <c r="E579">
        <v>0.24922285278643999</v>
      </c>
      <c r="F579">
        <v>0.12939771092028199</v>
      </c>
      <c r="G579">
        <v>7.7845136082350094E-2</v>
      </c>
      <c r="H579">
        <v>6.9017994627875806E-2</v>
      </c>
      <c r="I579">
        <v>3.5935319080344003E-2</v>
      </c>
      <c r="J579">
        <v>7.6854608541110397E-2</v>
      </c>
      <c r="K579">
        <v>5.2508555140598198E-2</v>
      </c>
      <c r="L579">
        <v>843.24236874338703</v>
      </c>
      <c r="M579">
        <v>19.944044357245399</v>
      </c>
      <c r="N579">
        <v>42.589904238076898</v>
      </c>
      <c r="O579">
        <v>41.862223047515798</v>
      </c>
      <c r="P579">
        <v>-0.11107423370587</v>
      </c>
      <c r="Q579">
        <v>6.7458730480634901E-2</v>
      </c>
      <c r="R579">
        <v>0.99057064732740796</v>
      </c>
      <c r="S579" t="s">
        <v>7147</v>
      </c>
      <c r="T579" t="s">
        <v>13134</v>
      </c>
      <c r="U579" t="s">
        <v>13134</v>
      </c>
      <c r="V579" t="s">
        <v>13134</v>
      </c>
      <c r="W579" t="s">
        <v>13707</v>
      </c>
      <c r="X579">
        <v>5</v>
      </c>
      <c r="Y579" t="s">
        <v>20201</v>
      </c>
      <c r="Z579" t="s">
        <v>26547</v>
      </c>
      <c r="AA579">
        <v>0.24537677020002491</v>
      </c>
      <c r="AB579" t="str">
        <f>HYPERLINK("Melting_Curves/meltCurve_E9PH99_ZNF451.pdf", "Melting_Curves/meltCurve_E9PH99_ZNF451.pdf")</f>
        <v>Melting_Curves/meltCurve_E9PH99_ZNF451.pdf</v>
      </c>
    </row>
    <row r="580" spans="1:28" x14ac:dyDescent="0.25">
      <c r="A580" t="s">
        <v>584</v>
      </c>
      <c r="B580">
        <v>0.99472303558308395</v>
      </c>
      <c r="C580">
        <v>0.96557680671003698</v>
      </c>
      <c r="D580">
        <v>0.68000481896643905</v>
      </c>
      <c r="E580">
        <v>0.60929343573913197</v>
      </c>
      <c r="F580">
        <v>0.63101517659476702</v>
      </c>
      <c r="G580">
        <v>0.120270741547249</v>
      </c>
      <c r="H580">
        <v>7.3838345405250902E-2</v>
      </c>
      <c r="I580">
        <v>4.0418428334262499E-2</v>
      </c>
      <c r="J580">
        <v>4.7547577302155898E-2</v>
      </c>
      <c r="K580">
        <v>3.70454262492989E-2</v>
      </c>
      <c r="L580">
        <v>578.24434659600001</v>
      </c>
      <c r="M580">
        <v>11.902380899511799</v>
      </c>
      <c r="N580">
        <v>48.582241811407997</v>
      </c>
      <c r="O580">
        <v>47.271751925095501</v>
      </c>
      <c r="P580">
        <v>-6.2962244512033902E-2</v>
      </c>
      <c r="Q580">
        <v>0</v>
      </c>
      <c r="R580">
        <v>0.93378003742023197</v>
      </c>
      <c r="S580" t="s">
        <v>7148</v>
      </c>
      <c r="T580" t="s">
        <v>13134</v>
      </c>
      <c r="U580" t="s">
        <v>13134</v>
      </c>
      <c r="V580" t="s">
        <v>13134</v>
      </c>
      <c r="W580" t="s">
        <v>13708</v>
      </c>
      <c r="X580">
        <v>6</v>
      </c>
      <c r="Y580" t="s">
        <v>20202</v>
      </c>
      <c r="Z580" t="s">
        <v>26548</v>
      </c>
      <c r="AA580">
        <v>0.41681339348623808</v>
      </c>
      <c r="AB580" t="str">
        <f>HYPERLINK("Melting_Curves/meltCurve_E9PHF7_MCCC1.pdf", "Melting_Curves/meltCurve_E9PHF7_MCCC1.pdf")</f>
        <v>Melting_Curves/meltCurve_E9PHF7_MCCC1.pdf</v>
      </c>
    </row>
    <row r="581" spans="1:28" x14ac:dyDescent="0.25">
      <c r="A581" t="s">
        <v>585</v>
      </c>
      <c r="B581">
        <v>0.99472303558308395</v>
      </c>
      <c r="C581">
        <v>1.01004379872043</v>
      </c>
      <c r="D581">
        <v>0.94957924769920299</v>
      </c>
      <c r="E581">
        <v>0.88785560623597604</v>
      </c>
      <c r="F581">
        <v>0.71528924620482703</v>
      </c>
      <c r="G581">
        <v>0.43827528153640499</v>
      </c>
      <c r="H581">
        <v>0.15215291154336999</v>
      </c>
      <c r="I581">
        <v>9.4639734479874504E-2</v>
      </c>
      <c r="J581">
        <v>0.126031122343676</v>
      </c>
      <c r="K581">
        <v>0.107029873846338</v>
      </c>
      <c r="L581">
        <v>1033.9140288082799</v>
      </c>
      <c r="M581">
        <v>19.820367361606099</v>
      </c>
      <c r="N581">
        <v>52.589934956176101</v>
      </c>
      <c r="O581">
        <v>51.641923306266101</v>
      </c>
      <c r="P581">
        <v>-8.8842293369582506E-2</v>
      </c>
      <c r="Q581">
        <v>7.4117664140962602E-2</v>
      </c>
      <c r="R581">
        <v>0.99389986130581798</v>
      </c>
      <c r="S581" t="s">
        <v>7149</v>
      </c>
      <c r="T581" t="s">
        <v>13134</v>
      </c>
      <c r="U581" t="s">
        <v>13134</v>
      </c>
      <c r="V581" t="s">
        <v>13134</v>
      </c>
      <c r="W581" t="s">
        <v>13709</v>
      </c>
      <c r="X581">
        <v>8</v>
      </c>
      <c r="Y581" t="s">
        <v>20203</v>
      </c>
      <c r="Z581" t="s">
        <v>26549</v>
      </c>
      <c r="AA581">
        <v>0.55421265261422736</v>
      </c>
      <c r="AB581" t="str">
        <f>HYPERLINK("Melting_Curves/meltCurve_E9PHG5_CYP20A1.pdf", "Melting_Curves/meltCurve_E9PHG5_CYP20A1.pdf")</f>
        <v>Melting_Curves/meltCurve_E9PHG5_CYP20A1.pdf</v>
      </c>
    </row>
    <row r="582" spans="1:28" x14ac:dyDescent="0.25">
      <c r="A582" t="s">
        <v>586</v>
      </c>
      <c r="B582">
        <v>0.99472303558308395</v>
      </c>
      <c r="C582">
        <v>0.93858275515573897</v>
      </c>
      <c r="D582">
        <v>0.94153017576346099</v>
      </c>
      <c r="E582">
        <v>0.80202894069561104</v>
      </c>
      <c r="F582">
        <v>0.45507488614493002</v>
      </c>
      <c r="G582">
        <v>0.11821276546894</v>
      </c>
      <c r="H582">
        <v>8.5469280772719397E-2</v>
      </c>
      <c r="I582">
        <v>5.4917410354494302E-2</v>
      </c>
      <c r="J582">
        <v>6.4683944492078205E-2</v>
      </c>
      <c r="K582">
        <v>5.45373716543135E-2</v>
      </c>
      <c r="L582">
        <v>1166.2013110728201</v>
      </c>
      <c r="M582">
        <v>23.641323957221601</v>
      </c>
      <c r="N582">
        <v>49.532155595315203</v>
      </c>
      <c r="O582">
        <v>48.980052151071099</v>
      </c>
      <c r="P582">
        <v>-0.115092872718819</v>
      </c>
      <c r="Q582">
        <v>4.6219176464841402E-2</v>
      </c>
      <c r="R582">
        <v>0.99534947780939498</v>
      </c>
      <c r="S582" t="s">
        <v>7150</v>
      </c>
      <c r="T582" t="s">
        <v>13134</v>
      </c>
      <c r="U582" t="s">
        <v>13134</v>
      </c>
      <c r="V582" t="s">
        <v>13134</v>
      </c>
      <c r="W582" t="s">
        <v>13710</v>
      </c>
      <c r="X582">
        <v>20</v>
      </c>
      <c r="Y582" t="s">
        <v>20204</v>
      </c>
      <c r="Z582" t="s">
        <v>26550</v>
      </c>
      <c r="AA582">
        <v>0.44740301548567352</v>
      </c>
      <c r="AB582" t="str">
        <f>HYPERLINK("Melting_Curves/meltCurve_E9PHM2_LARS2.pdf", "Melting_Curves/meltCurve_E9PHM2_LARS2.pdf")</f>
        <v>Melting_Curves/meltCurve_E9PHM2_LARS2.pdf</v>
      </c>
    </row>
    <row r="583" spans="1:28" x14ac:dyDescent="0.25">
      <c r="A583" t="s">
        <v>587</v>
      </c>
      <c r="B583">
        <v>0.99472303558308395</v>
      </c>
      <c r="C583">
        <v>0.98977227650924904</v>
      </c>
      <c r="D583">
        <v>0.71324087596514296</v>
      </c>
      <c r="E583">
        <v>0.588106233700178</v>
      </c>
      <c r="F583">
        <v>0.81922756853907397</v>
      </c>
      <c r="G583">
        <v>0.27968728266445397</v>
      </c>
      <c r="H583">
        <v>0.17781216238445799</v>
      </c>
      <c r="I583">
        <v>7.9769602444250798E-2</v>
      </c>
      <c r="J583">
        <v>6.3552525602100798E-2</v>
      </c>
      <c r="K583">
        <v>6.0174203366263002E-2</v>
      </c>
      <c r="L583">
        <v>532.57914791659596</v>
      </c>
      <c r="M583">
        <v>10.528845016635801</v>
      </c>
      <c r="N583">
        <v>50.582864130582699</v>
      </c>
      <c r="O583">
        <v>48.860381190055001</v>
      </c>
      <c r="P583">
        <v>-5.38936061976358E-2</v>
      </c>
      <c r="Q583">
        <v>0</v>
      </c>
      <c r="R583">
        <v>0.894789457870524</v>
      </c>
      <c r="S583" t="s">
        <v>7151</v>
      </c>
      <c r="T583" t="s">
        <v>13134</v>
      </c>
      <c r="U583" t="s">
        <v>13134</v>
      </c>
      <c r="V583" t="s">
        <v>13134</v>
      </c>
      <c r="W583" t="s">
        <v>13711</v>
      </c>
      <c r="X583">
        <v>3</v>
      </c>
      <c r="Y583" t="s">
        <v>20205</v>
      </c>
      <c r="Z583" t="s">
        <v>26551</v>
      </c>
      <c r="AA583">
        <v>0.48333159387685359</v>
      </c>
      <c r="AB583" t="str">
        <f>HYPERLINK("Melting_Curves/meltCurve_E9PI60_BRPF3.pdf", "Melting_Curves/meltCurve_E9PI60_BRPF3.pdf")</f>
        <v>Melting_Curves/meltCurve_E9PI60_BRPF3.pdf</v>
      </c>
    </row>
    <row r="584" spans="1:28" x14ac:dyDescent="0.25">
      <c r="A584" t="s">
        <v>588</v>
      </c>
      <c r="B584">
        <v>0.99472303558308395</v>
      </c>
      <c r="C584">
        <v>0.905266995232612</v>
      </c>
      <c r="D584">
        <v>0.76579066575588794</v>
      </c>
      <c r="E584">
        <v>0.68641649082529299</v>
      </c>
      <c r="F584">
        <v>0.81599633426621099</v>
      </c>
      <c r="G584">
        <v>0.38129932044162501</v>
      </c>
      <c r="H584">
        <v>0.33892558531038702</v>
      </c>
      <c r="I584">
        <v>3.2964083175208901E-2</v>
      </c>
      <c r="J584">
        <v>0.84823685787915704</v>
      </c>
      <c r="K584">
        <v>3.6194995980023403E-2</v>
      </c>
      <c r="L584">
        <v>414.78184368380403</v>
      </c>
      <c r="M584">
        <v>8.2217266909228499</v>
      </c>
      <c r="N584">
        <v>53.199591895454198</v>
      </c>
      <c r="O584">
        <v>47.728745523159297</v>
      </c>
      <c r="P584">
        <v>-3.5645821251363903E-2</v>
      </c>
      <c r="Q584">
        <v>0.173120171197366</v>
      </c>
      <c r="R584">
        <v>0.54474131684751703</v>
      </c>
      <c r="S584" t="s">
        <v>7152</v>
      </c>
      <c r="T584" t="s">
        <v>13134</v>
      </c>
      <c r="U584" t="s">
        <v>13134</v>
      </c>
      <c r="V584" t="s">
        <v>13134</v>
      </c>
      <c r="W584" t="s">
        <v>13712</v>
      </c>
      <c r="X584">
        <v>1</v>
      </c>
      <c r="Y584" t="s">
        <v>20206</v>
      </c>
      <c r="Z584" t="s">
        <v>26552</v>
      </c>
      <c r="AA584">
        <v>0.57482055850792346</v>
      </c>
      <c r="AB584" t="str">
        <f>HYPERLINK("Melting_Curves/meltCurve_E9PIB9_GLI1.pdf", "Melting_Curves/meltCurve_E9PIB9_GLI1.pdf")</f>
        <v>Melting_Curves/meltCurve_E9PIB9_GLI1.pdf</v>
      </c>
    </row>
    <row r="585" spans="1:28" x14ac:dyDescent="0.25">
      <c r="A585" t="s">
        <v>589</v>
      </c>
      <c r="B585">
        <v>0.99472303558308395</v>
      </c>
      <c r="C585">
        <v>1.17099715632713</v>
      </c>
      <c r="D585">
        <v>0.87438929460053605</v>
      </c>
      <c r="E585">
        <v>0.906968237284416</v>
      </c>
      <c r="F585">
        <v>0.75312309965320801</v>
      </c>
      <c r="G585">
        <v>0.413330444412703</v>
      </c>
      <c r="H585">
        <v>0.20744216686702599</v>
      </c>
      <c r="I585">
        <v>0.14749311760153</v>
      </c>
      <c r="J585">
        <v>0.13613421385981</v>
      </c>
      <c r="K585">
        <v>0.12805357072559601</v>
      </c>
      <c r="L585">
        <v>1090.71566515675</v>
      </c>
      <c r="M585">
        <v>20.914692175700502</v>
      </c>
      <c r="N585">
        <v>52.781486623898601</v>
      </c>
      <c r="O585">
        <v>51.6809460791684</v>
      </c>
      <c r="P585">
        <v>-8.9987056985852396E-2</v>
      </c>
      <c r="Q585">
        <v>0.110579425716496</v>
      </c>
      <c r="R585">
        <v>0.97006775934962397</v>
      </c>
      <c r="S585" t="s">
        <v>7153</v>
      </c>
      <c r="T585" t="s">
        <v>13134</v>
      </c>
      <c r="U585" t="s">
        <v>13134</v>
      </c>
      <c r="V585" t="s">
        <v>13134</v>
      </c>
      <c r="W585" t="s">
        <v>13713</v>
      </c>
      <c r="X585">
        <v>10</v>
      </c>
      <c r="Y585" t="s">
        <v>20207</v>
      </c>
      <c r="Z585" t="s">
        <v>26553</v>
      </c>
      <c r="AA585">
        <v>0.57043030825046159</v>
      </c>
      <c r="AB585" t="str">
        <f>HYPERLINK("Melting_Curves/meltCurve_E9PIE4_MTCH2.pdf", "Melting_Curves/meltCurve_E9PIE4_MTCH2.pdf")</f>
        <v>Melting_Curves/meltCurve_E9PIE4_MTCH2.pdf</v>
      </c>
    </row>
    <row r="586" spans="1:28" x14ac:dyDescent="0.25">
      <c r="A586" t="s">
        <v>590</v>
      </c>
      <c r="B586">
        <v>0.99472303558308395</v>
      </c>
      <c r="C586">
        <v>1.1601933868865999</v>
      </c>
      <c r="D586">
        <v>0.92662562286123196</v>
      </c>
      <c r="E586">
        <v>0.87930117968511901</v>
      </c>
      <c r="F586">
        <v>0.75406596373145796</v>
      </c>
      <c r="G586">
        <v>0.42670791004195302</v>
      </c>
      <c r="H586">
        <v>0.22746567732558501</v>
      </c>
      <c r="I586">
        <v>0.158878690406315</v>
      </c>
      <c r="J586">
        <v>0.25154739378451602</v>
      </c>
      <c r="K586">
        <v>0.196803755596314</v>
      </c>
      <c r="L586">
        <v>1164.94691055927</v>
      </c>
      <c r="M586">
        <v>22.538087271941201</v>
      </c>
      <c r="N586">
        <v>52.7495314703392</v>
      </c>
      <c r="O586">
        <v>51.28617140683</v>
      </c>
      <c r="P586">
        <v>-8.9834816294993E-2</v>
      </c>
      <c r="Q586">
        <v>0.182328161636991</v>
      </c>
      <c r="R586">
        <v>0.96870268187932496</v>
      </c>
      <c r="S586" t="s">
        <v>7154</v>
      </c>
      <c r="T586" t="s">
        <v>13134</v>
      </c>
      <c r="U586" t="s">
        <v>13134</v>
      </c>
      <c r="V586" t="s">
        <v>13134</v>
      </c>
      <c r="W586" t="s">
        <v>13714</v>
      </c>
      <c r="X586">
        <v>14</v>
      </c>
      <c r="Y586" t="s">
        <v>20208</v>
      </c>
      <c r="Z586" t="s">
        <v>26554</v>
      </c>
      <c r="AA586">
        <v>0.59135891705235366</v>
      </c>
      <c r="AB586" t="str">
        <f>HYPERLINK("Melting_Curves/meltCurve_E9PIR7_TXNRD1.pdf", "Melting_Curves/meltCurve_E9PIR7_TXNRD1.pdf")</f>
        <v>Melting_Curves/meltCurve_E9PIR7_TXNRD1.pdf</v>
      </c>
    </row>
    <row r="587" spans="1:28" x14ac:dyDescent="0.25">
      <c r="A587" t="s">
        <v>591</v>
      </c>
      <c r="B587">
        <v>0.99472303558308395</v>
      </c>
      <c r="C587">
        <v>0.92452480005529603</v>
      </c>
      <c r="D587">
        <v>0.713478941597253</v>
      </c>
      <c r="E587">
        <v>0.59177437061023197</v>
      </c>
      <c r="F587">
        <v>0.57338834967600705</v>
      </c>
      <c r="G587">
        <v>0.345186512247948</v>
      </c>
      <c r="H587">
        <v>0.30874076601384098</v>
      </c>
      <c r="I587">
        <v>0.29910782816735498</v>
      </c>
      <c r="J587">
        <v>0.404330000557722</v>
      </c>
      <c r="K587">
        <v>0.32265397595214301</v>
      </c>
      <c r="L587">
        <v>563.006447899813</v>
      </c>
      <c r="M587">
        <v>12.399247216353899</v>
      </c>
      <c r="N587">
        <v>49.275894686633002</v>
      </c>
      <c r="O587">
        <v>44.273936785231001</v>
      </c>
      <c r="P587">
        <v>-4.8239766262369102E-2</v>
      </c>
      <c r="Q587">
        <v>0.31114835166668797</v>
      </c>
      <c r="R587">
        <v>0.95338525147523001</v>
      </c>
      <c r="S587" t="s">
        <v>7155</v>
      </c>
      <c r="T587" t="s">
        <v>13134</v>
      </c>
      <c r="U587" t="s">
        <v>13134</v>
      </c>
      <c r="V587" t="s">
        <v>13134</v>
      </c>
      <c r="W587" t="s">
        <v>13715</v>
      </c>
      <c r="X587">
        <v>8</v>
      </c>
      <c r="Y587" t="s">
        <v>20209</v>
      </c>
      <c r="Z587" t="s">
        <v>26555</v>
      </c>
      <c r="AA587">
        <v>0.52729161354066567</v>
      </c>
      <c r="AB587" t="str">
        <f>HYPERLINK("Melting_Curves/meltCurve_E9PJ64_PDE4DIP.pdf", "Melting_Curves/meltCurve_E9PJ64_PDE4DIP.pdf")</f>
        <v>Melting_Curves/meltCurve_E9PJ64_PDE4DIP.pdf</v>
      </c>
    </row>
    <row r="588" spans="1:28" x14ac:dyDescent="0.25">
      <c r="A588" t="s">
        <v>592</v>
      </c>
      <c r="B588">
        <v>0.99472303558308395</v>
      </c>
      <c r="C588">
        <v>0.91805977221628099</v>
      </c>
      <c r="D588">
        <v>1.01115001007965</v>
      </c>
      <c r="E588">
        <v>0.73586669687865502</v>
      </c>
      <c r="F588">
        <v>0.38509299860986101</v>
      </c>
      <c r="G588">
        <v>0.191568554284655</v>
      </c>
      <c r="H588">
        <v>0.116218565963395</v>
      </c>
      <c r="I588">
        <v>9.1537103925036098E-2</v>
      </c>
      <c r="J588">
        <v>0.126672116692544</v>
      </c>
      <c r="K588">
        <v>0.113355867713684</v>
      </c>
      <c r="L588">
        <v>1159.8103501051901</v>
      </c>
      <c r="M588">
        <v>23.927336575329999</v>
      </c>
      <c r="N588">
        <v>48.962388740976401</v>
      </c>
      <c r="O588">
        <v>48.137427101178197</v>
      </c>
      <c r="P588">
        <v>-0.111031866986912</v>
      </c>
      <c r="Q588">
        <v>0.10651117102910899</v>
      </c>
      <c r="R588">
        <v>0.99310032427617201</v>
      </c>
      <c r="S588" t="s">
        <v>7156</v>
      </c>
      <c r="T588" t="s">
        <v>13134</v>
      </c>
      <c r="U588" t="s">
        <v>13134</v>
      </c>
      <c r="V588" t="s">
        <v>13134</v>
      </c>
      <c r="W588" t="s">
        <v>13716</v>
      </c>
      <c r="X588">
        <v>14</v>
      </c>
      <c r="Y588" t="s">
        <v>20210</v>
      </c>
      <c r="Z588" t="s">
        <v>26556</v>
      </c>
      <c r="AA588">
        <v>0.45653876848736441</v>
      </c>
      <c r="AB588" t="str">
        <f>HYPERLINK("Melting_Curves/meltCurve_E9PJ81_UBXN1.pdf", "Melting_Curves/meltCurve_E9PJ81_UBXN1.pdf")</f>
        <v>Melting_Curves/meltCurve_E9PJ81_UBXN1.pdf</v>
      </c>
    </row>
    <row r="589" spans="1:28" x14ac:dyDescent="0.25">
      <c r="A589" t="s">
        <v>593</v>
      </c>
      <c r="B589">
        <v>0.99472303558308395</v>
      </c>
      <c r="C589">
        <v>1.0162863144992</v>
      </c>
      <c r="D589">
        <v>0.91439425509532402</v>
      </c>
      <c r="E589">
        <v>0.78144211436754896</v>
      </c>
      <c r="F589">
        <v>0.58656285133494701</v>
      </c>
      <c r="G589">
        <v>0.40840369565125401</v>
      </c>
      <c r="H589">
        <v>0.341860147728203</v>
      </c>
      <c r="I589">
        <v>0.362420499892189</v>
      </c>
      <c r="J589">
        <v>0.48682308097494897</v>
      </c>
      <c r="K589">
        <v>0.43195510428170802</v>
      </c>
      <c r="L589">
        <v>1050.11659763121</v>
      </c>
      <c r="M589">
        <v>21.979775712041</v>
      </c>
      <c r="N589">
        <v>51.493740500159099</v>
      </c>
      <c r="O589">
        <v>47.386314097024503</v>
      </c>
      <c r="P589">
        <v>-6.9844803292525903E-2</v>
      </c>
      <c r="Q589">
        <v>0.39769865690506501</v>
      </c>
      <c r="R589">
        <v>0.96966281374115104</v>
      </c>
      <c r="S589" t="s">
        <v>7157</v>
      </c>
      <c r="T589" t="s">
        <v>13134</v>
      </c>
      <c r="U589" t="s">
        <v>13134</v>
      </c>
      <c r="V589" t="s">
        <v>13134</v>
      </c>
      <c r="W589" t="s">
        <v>13717</v>
      </c>
      <c r="X589">
        <v>7</v>
      </c>
      <c r="Y589" t="s">
        <v>20211</v>
      </c>
      <c r="Z589" t="s">
        <v>26557</v>
      </c>
      <c r="AA589">
        <v>0.62064660397903748</v>
      </c>
      <c r="AB589" t="str">
        <f>HYPERLINK("Melting_Curves/meltCurve_E9PJB8_VIMP.pdf", "Melting_Curves/meltCurve_E9PJB8_VIMP.pdf")</f>
        <v>Melting_Curves/meltCurve_E9PJB8_VIMP.pdf</v>
      </c>
    </row>
    <row r="590" spans="1:28" x14ac:dyDescent="0.25">
      <c r="A590" t="s">
        <v>594</v>
      </c>
      <c r="B590">
        <v>0.99472303558308395</v>
      </c>
      <c r="C590">
        <v>1.0685399144527901</v>
      </c>
      <c r="D590">
        <v>0.85723721358981897</v>
      </c>
      <c r="E590">
        <v>0.82238580163865804</v>
      </c>
      <c r="F590">
        <v>0.74794399810712697</v>
      </c>
      <c r="G590">
        <v>0.44765332298934801</v>
      </c>
      <c r="H590">
        <v>0.237669107180459</v>
      </c>
      <c r="I590">
        <v>0.145748957838233</v>
      </c>
      <c r="J590">
        <v>7.9071089806683398E-2</v>
      </c>
      <c r="K590">
        <v>7.8163647663285402E-2</v>
      </c>
      <c r="L590">
        <v>706.05255252297195</v>
      </c>
      <c r="M590">
        <v>13.314768834312501</v>
      </c>
      <c r="N590">
        <v>53.027773954304003</v>
      </c>
      <c r="O590">
        <v>51.874428594151198</v>
      </c>
      <c r="P590">
        <v>-6.4178570199621296E-2</v>
      </c>
      <c r="Q590">
        <v>0</v>
      </c>
      <c r="R590">
        <v>0.98256585215376202</v>
      </c>
      <c r="S590" t="s">
        <v>7158</v>
      </c>
      <c r="T590" t="s">
        <v>13134</v>
      </c>
      <c r="U590" t="s">
        <v>13134</v>
      </c>
      <c r="V590" t="s">
        <v>13134</v>
      </c>
      <c r="W590" t="s">
        <v>13718</v>
      </c>
      <c r="X590">
        <v>4</v>
      </c>
      <c r="Y590" t="s">
        <v>20212</v>
      </c>
      <c r="Z590" t="s">
        <v>26558</v>
      </c>
      <c r="AA590">
        <v>0.55394460250348965</v>
      </c>
      <c r="AB590" t="str">
        <f>HYPERLINK("Melting_Curves/meltCurve_E9PJD7_CYHR1.pdf", "Melting_Curves/meltCurve_E9PJD7_CYHR1.pdf")</f>
        <v>Melting_Curves/meltCurve_E9PJD7_CYHR1.pdf</v>
      </c>
    </row>
    <row r="591" spans="1:28" x14ac:dyDescent="0.25">
      <c r="A591" t="s">
        <v>595</v>
      </c>
      <c r="B591">
        <v>0.99472303558308395</v>
      </c>
      <c r="C591">
        <v>0.58738036756165501</v>
      </c>
      <c r="D591">
        <v>0.54440301360660304</v>
      </c>
      <c r="E591">
        <v>0.25428518231800601</v>
      </c>
      <c r="F591">
        <v>0.10670685945043</v>
      </c>
      <c r="G591">
        <v>4.7220458609067401E-2</v>
      </c>
      <c r="H591">
        <v>3.7815946014942502E-2</v>
      </c>
      <c r="I591">
        <v>2.6306024818619201E-2</v>
      </c>
      <c r="J591">
        <v>2.0943524321436199E-2</v>
      </c>
      <c r="K591">
        <v>2.4574531732547301E-2</v>
      </c>
      <c r="L591">
        <v>572.95228523051196</v>
      </c>
      <c r="M591">
        <v>13.434745483196901</v>
      </c>
      <c r="N591">
        <v>42.692505563880196</v>
      </c>
      <c r="O591">
        <v>41.735413168450101</v>
      </c>
      <c r="P591">
        <v>-7.99166598429078E-2</v>
      </c>
      <c r="Q591">
        <v>7.1009477183315902E-3</v>
      </c>
      <c r="R591">
        <v>0.96632327728455703</v>
      </c>
      <c r="S591" t="s">
        <v>7159</v>
      </c>
      <c r="T591" t="s">
        <v>13134</v>
      </c>
      <c r="U591" t="s">
        <v>13134</v>
      </c>
      <c r="V591" t="s">
        <v>13134</v>
      </c>
      <c r="W591" t="s">
        <v>13719</v>
      </c>
      <c r="X591">
        <v>2</v>
      </c>
      <c r="Y591" t="s">
        <v>20213</v>
      </c>
      <c r="Z591" t="s">
        <v>26559</v>
      </c>
      <c r="AA591">
        <v>0.22797123184886969</v>
      </c>
      <c r="AB591" t="str">
        <f>HYPERLINK("Melting_Curves/meltCurve_E9PJF5_BRMS1.pdf", "Melting_Curves/meltCurve_E9PJF5_BRMS1.pdf")</f>
        <v>Melting_Curves/meltCurve_E9PJF5_BRMS1.pdf</v>
      </c>
    </row>
    <row r="592" spans="1:28" x14ac:dyDescent="0.25">
      <c r="A592" t="s">
        <v>596</v>
      </c>
      <c r="B592">
        <v>0.99472303558308395</v>
      </c>
      <c r="C592">
        <v>0.98272448756842401</v>
      </c>
      <c r="D592">
        <v>0.79750954589670897</v>
      </c>
      <c r="E592">
        <v>0.65531157674970597</v>
      </c>
      <c r="F592">
        <v>0.45581419032529402</v>
      </c>
      <c r="G592">
        <v>0.20288109110473801</v>
      </c>
      <c r="H592">
        <v>0.113835237355045</v>
      </c>
      <c r="I592">
        <v>0.113736254939359</v>
      </c>
      <c r="J592">
        <v>0.139997868348058</v>
      </c>
      <c r="K592">
        <v>9.8161588802835195E-2</v>
      </c>
      <c r="L592">
        <v>681.89101757409799</v>
      </c>
      <c r="M592">
        <v>14.168506467506299</v>
      </c>
      <c r="N592">
        <v>48.671972330449599</v>
      </c>
      <c r="O592">
        <v>47.198944486449101</v>
      </c>
      <c r="P592">
        <v>-6.9553065931471397E-2</v>
      </c>
      <c r="Q592">
        <v>7.3320317433239801E-2</v>
      </c>
      <c r="R592">
        <v>0.99005358840292201</v>
      </c>
      <c r="S592" t="s">
        <v>7160</v>
      </c>
      <c r="T592" t="s">
        <v>13134</v>
      </c>
      <c r="U592" t="s">
        <v>13134</v>
      </c>
      <c r="V592" t="s">
        <v>13134</v>
      </c>
      <c r="W592" t="s">
        <v>13720</v>
      </c>
      <c r="X592">
        <v>6</v>
      </c>
      <c r="Y592" t="s">
        <v>20214</v>
      </c>
      <c r="Z592" t="s">
        <v>26560</v>
      </c>
      <c r="AA592">
        <v>0.43938349737763538</v>
      </c>
      <c r="AB592" t="str">
        <f>HYPERLINK("Melting_Curves/meltCurve_E9PJH1_MKNK1.pdf", "Melting_Curves/meltCurve_E9PJH1_MKNK1.pdf")</f>
        <v>Melting_Curves/meltCurve_E9PJH1_MKNK1.pdf</v>
      </c>
    </row>
    <row r="593" spans="1:28" x14ac:dyDescent="0.25">
      <c r="A593" t="s">
        <v>597</v>
      </c>
      <c r="B593">
        <v>0.99472303558308395</v>
      </c>
      <c r="C593">
        <v>1.00565482957487</v>
      </c>
      <c r="D593">
        <v>0.878621449863902</v>
      </c>
      <c r="E593">
        <v>0.86205033124522501</v>
      </c>
      <c r="F593">
        <v>0.77327276193833006</v>
      </c>
      <c r="G593">
        <v>0.51718129466617901</v>
      </c>
      <c r="H593">
        <v>0.42469786427574002</v>
      </c>
      <c r="I593">
        <v>0.44838137922832599</v>
      </c>
      <c r="J593">
        <v>0.56494890875639303</v>
      </c>
      <c r="K593">
        <v>0.54722288307628997</v>
      </c>
      <c r="L593">
        <v>990.43062395657103</v>
      </c>
      <c r="M593">
        <v>20.082907534288701</v>
      </c>
      <c r="N593">
        <v>59.643131658448702</v>
      </c>
      <c r="O593">
        <v>48.835897657048001</v>
      </c>
      <c r="P593">
        <v>-5.29941791527151E-2</v>
      </c>
      <c r="Q593">
        <v>0.48454941753009201</v>
      </c>
      <c r="R593">
        <v>0.91903766166722001</v>
      </c>
      <c r="S593" t="s">
        <v>7161</v>
      </c>
      <c r="T593" t="s">
        <v>13134</v>
      </c>
      <c r="U593" t="s">
        <v>13134</v>
      </c>
      <c r="V593" t="s">
        <v>13134</v>
      </c>
      <c r="W593" t="s">
        <v>13721</v>
      </c>
      <c r="X593">
        <v>3</v>
      </c>
      <c r="Y593" t="s">
        <v>20215</v>
      </c>
      <c r="Z593" t="s">
        <v>26561</v>
      </c>
      <c r="AA593">
        <v>0.70292036744412745</v>
      </c>
      <c r="AB593" t="str">
        <f>HYPERLINK("Melting_Curves/meltCurve_E9PJK1_CD81.pdf", "Melting_Curves/meltCurve_E9PJK1_CD81.pdf")</f>
        <v>Melting_Curves/meltCurve_E9PJK1_CD81.pdf</v>
      </c>
    </row>
    <row r="594" spans="1:28" x14ac:dyDescent="0.25">
      <c r="A594" t="s">
        <v>598</v>
      </c>
      <c r="B594">
        <v>0.99472303558308395</v>
      </c>
      <c r="C594">
        <v>0.93028140783111402</v>
      </c>
      <c r="D594">
        <v>0.82785017308758801</v>
      </c>
      <c r="E594">
        <v>0.73451371085895401</v>
      </c>
      <c r="F594">
        <v>0.64979062119665798</v>
      </c>
      <c r="G594">
        <v>0.32013827552840701</v>
      </c>
      <c r="H594">
        <v>0.20121510199422801</v>
      </c>
      <c r="I594">
        <v>0.13127171691157999</v>
      </c>
      <c r="J594">
        <v>0.19070495628079601</v>
      </c>
      <c r="K594">
        <v>0.40171607897615103</v>
      </c>
      <c r="L594">
        <v>708.75400436591406</v>
      </c>
      <c r="M594">
        <v>14.471982829321499</v>
      </c>
      <c r="N594">
        <v>50.725202587791699</v>
      </c>
      <c r="O594">
        <v>48.0675935609707</v>
      </c>
      <c r="P594">
        <v>-6.0477997916069802E-2</v>
      </c>
      <c r="Q594">
        <v>0.19660105079426399</v>
      </c>
      <c r="R594">
        <v>0.91681809204144904</v>
      </c>
      <c r="S594" t="s">
        <v>7162</v>
      </c>
      <c r="T594" t="s">
        <v>13134</v>
      </c>
      <c r="U594" t="s">
        <v>13134</v>
      </c>
      <c r="V594" t="s">
        <v>13134</v>
      </c>
      <c r="W594" t="s">
        <v>13722</v>
      </c>
      <c r="X594">
        <v>7</v>
      </c>
      <c r="Y594" t="s">
        <v>20216</v>
      </c>
      <c r="Z594" t="s">
        <v>26562</v>
      </c>
      <c r="AA594">
        <v>0.53555447541559309</v>
      </c>
      <c r="AB594" t="str">
        <f>HYPERLINK("Melting_Curves/meltCurve_E9PJM3_FBXO3.pdf", "Melting_Curves/meltCurve_E9PJM3_FBXO3.pdf")</f>
        <v>Melting_Curves/meltCurve_E9PJM3_FBXO3.pdf</v>
      </c>
    </row>
    <row r="595" spans="1:28" x14ac:dyDescent="0.25">
      <c r="A595" t="s">
        <v>599</v>
      </c>
      <c r="B595">
        <v>0.99472303558308395</v>
      </c>
      <c r="C595">
        <v>0.79530487105566405</v>
      </c>
      <c r="D595">
        <v>0.74965909176964396</v>
      </c>
      <c r="E595">
        <v>0.49193162435840099</v>
      </c>
      <c r="F595">
        <v>0.26142700547016001</v>
      </c>
      <c r="G595">
        <v>5.93919849742909E-2</v>
      </c>
      <c r="H595">
        <v>3.11161730891596E-2</v>
      </c>
      <c r="I595">
        <v>1.9792033331154198E-2</v>
      </c>
      <c r="J595">
        <v>2.3540825966620701E-2</v>
      </c>
      <c r="K595">
        <v>1.9905831821493601E-2</v>
      </c>
      <c r="L595">
        <v>636.49255540154002</v>
      </c>
      <c r="M595">
        <v>13.8261815299379</v>
      </c>
      <c r="N595">
        <v>46.0353100332024</v>
      </c>
      <c r="O595">
        <v>45.1043429074277</v>
      </c>
      <c r="P595">
        <v>-7.6645073800236399E-2</v>
      </c>
      <c r="Q595">
        <v>0</v>
      </c>
      <c r="R595">
        <v>0.98686705045041601</v>
      </c>
      <c r="S595" t="s">
        <v>7163</v>
      </c>
      <c r="T595" t="s">
        <v>13134</v>
      </c>
      <c r="U595" t="s">
        <v>13134</v>
      </c>
      <c r="V595" t="s">
        <v>13134</v>
      </c>
      <c r="W595" t="s">
        <v>13723</v>
      </c>
      <c r="X595">
        <v>16</v>
      </c>
      <c r="Y595" t="s">
        <v>20217</v>
      </c>
      <c r="Z595" t="s">
        <v>26563</v>
      </c>
      <c r="AA595">
        <v>0.32799049859077778</v>
      </c>
      <c r="AB595" t="str">
        <f>HYPERLINK("Melting_Curves/meltCurve_E9PK01_EEF1D.pdf", "Melting_Curves/meltCurve_E9PK01_EEF1D.pdf")</f>
        <v>Melting_Curves/meltCurve_E9PK01_EEF1D.pdf</v>
      </c>
    </row>
    <row r="596" spans="1:28" x14ac:dyDescent="0.25">
      <c r="A596" t="s">
        <v>600</v>
      </c>
      <c r="B596">
        <v>0.99472303558308395</v>
      </c>
      <c r="C596">
        <v>0.94864249972991499</v>
      </c>
      <c r="D596">
        <v>0.75969870135655104</v>
      </c>
      <c r="E596">
        <v>0.627026076226466</v>
      </c>
      <c r="F596">
        <v>0.51677760551861796</v>
      </c>
      <c r="G596">
        <v>0.26488613949289302</v>
      </c>
      <c r="H596">
        <v>0.153052187983581</v>
      </c>
      <c r="I596">
        <v>0.13193328876808499</v>
      </c>
      <c r="J596">
        <v>0.21167657311029101</v>
      </c>
      <c r="K596">
        <v>0.308722779903496</v>
      </c>
      <c r="L596">
        <v>634.40853940214004</v>
      </c>
      <c r="M596">
        <v>13.4639245067715</v>
      </c>
      <c r="N596">
        <v>48.6598752032805</v>
      </c>
      <c r="O596">
        <v>46.116124973188398</v>
      </c>
      <c r="P596">
        <v>-6.0331774123360597E-2</v>
      </c>
      <c r="Q596">
        <v>0.17354315302860601</v>
      </c>
      <c r="R596">
        <v>0.95520100720524803</v>
      </c>
      <c r="S596" t="s">
        <v>7164</v>
      </c>
      <c r="T596" t="s">
        <v>13134</v>
      </c>
      <c r="U596" t="s">
        <v>13134</v>
      </c>
      <c r="V596" t="s">
        <v>13134</v>
      </c>
      <c r="W596" t="s">
        <v>13724</v>
      </c>
      <c r="X596">
        <v>22</v>
      </c>
      <c r="Y596" t="s">
        <v>20218</v>
      </c>
      <c r="Z596" t="s">
        <v>26564</v>
      </c>
      <c r="AA596">
        <v>0.47468916661319199</v>
      </c>
      <c r="AB596" t="str">
        <f>HYPERLINK("Melting_Curves/meltCurve_E9PK91_BCLAF1.pdf", "Melting_Curves/meltCurve_E9PK91_BCLAF1.pdf")</f>
        <v>Melting_Curves/meltCurve_E9PK91_BCLAF1.pdf</v>
      </c>
    </row>
    <row r="597" spans="1:28" x14ac:dyDescent="0.25">
      <c r="A597" t="s">
        <v>601</v>
      </c>
      <c r="B597">
        <v>0.99472303558308395</v>
      </c>
      <c r="C597">
        <v>0.65765998221053301</v>
      </c>
      <c r="D597">
        <v>0.71188425592920601</v>
      </c>
      <c r="E597">
        <v>0.57712688857023997</v>
      </c>
      <c r="F597">
        <v>0.59790395739449298</v>
      </c>
      <c r="G597">
        <v>0.29829209966025699</v>
      </c>
      <c r="H597">
        <v>0.13776135529149999</v>
      </c>
      <c r="I597">
        <v>4.2179675375287898E-2</v>
      </c>
      <c r="J597">
        <v>3.5775376951319798E-2</v>
      </c>
      <c r="K597">
        <v>0</v>
      </c>
      <c r="L597">
        <v>419.61671729005002</v>
      </c>
      <c r="M597">
        <v>8.7511224449082192</v>
      </c>
      <c r="N597">
        <v>47.950069535732503</v>
      </c>
      <c r="O597">
        <v>45.643811799659602</v>
      </c>
      <c r="P597">
        <v>-4.7970295119567102E-2</v>
      </c>
      <c r="Q597">
        <v>0</v>
      </c>
      <c r="R597">
        <v>0.90555080605355198</v>
      </c>
      <c r="S597" t="s">
        <v>7165</v>
      </c>
      <c r="T597" t="s">
        <v>13134</v>
      </c>
      <c r="U597" t="s">
        <v>13134</v>
      </c>
      <c r="V597" t="s">
        <v>13134</v>
      </c>
      <c r="W597" t="s">
        <v>13725</v>
      </c>
      <c r="X597">
        <v>1</v>
      </c>
      <c r="Y597" t="s">
        <v>20219</v>
      </c>
      <c r="Z597" t="s">
        <v>26565</v>
      </c>
      <c r="AA597">
        <v>0.41233320329468431</v>
      </c>
      <c r="AB597" t="str">
        <f>HYPERLINK("Melting_Curves/meltCurve_E9PKA7_RCE1.pdf", "Melting_Curves/meltCurve_E9PKA7_RCE1.pdf")</f>
        <v>Melting_Curves/meltCurve_E9PKA7_RCE1.pdf</v>
      </c>
    </row>
    <row r="598" spans="1:28" x14ac:dyDescent="0.25">
      <c r="A598" t="s">
        <v>602</v>
      </c>
      <c r="B598">
        <v>0.99472303558308395</v>
      </c>
      <c r="C598">
        <v>0.94809059514320504</v>
      </c>
      <c r="D598">
        <v>0.77506960549716497</v>
      </c>
      <c r="E598">
        <v>0.65367601119351904</v>
      </c>
      <c r="F598">
        <v>0.478448966135537</v>
      </c>
      <c r="G598">
        <v>0.27955067908784997</v>
      </c>
      <c r="H598">
        <v>0.13485675508188599</v>
      </c>
      <c r="I598">
        <v>0.101852116002576</v>
      </c>
      <c r="J598">
        <v>9.7678940891143207E-2</v>
      </c>
      <c r="K598">
        <v>4.4654449506801003E-2</v>
      </c>
      <c r="L598">
        <v>536.46446812648901</v>
      </c>
      <c r="M598">
        <v>10.9115471719262</v>
      </c>
      <c r="N598">
        <v>49.164822721179</v>
      </c>
      <c r="O598">
        <v>47.6000033184107</v>
      </c>
      <c r="P598">
        <v>-5.7328487569385397E-2</v>
      </c>
      <c r="Q598">
        <v>0</v>
      </c>
      <c r="R598">
        <v>0.99429383115538605</v>
      </c>
      <c r="S598" t="s">
        <v>7166</v>
      </c>
      <c r="T598" t="s">
        <v>13134</v>
      </c>
      <c r="U598" t="s">
        <v>13134</v>
      </c>
      <c r="V598" t="s">
        <v>13134</v>
      </c>
      <c r="W598" t="s">
        <v>13726</v>
      </c>
      <c r="X598">
        <v>1</v>
      </c>
      <c r="Y598" t="s">
        <v>20220</v>
      </c>
      <c r="Z598" t="s">
        <v>26566</v>
      </c>
      <c r="AA598">
        <v>0.43864226263716688</v>
      </c>
      <c r="AB598" t="str">
        <f>HYPERLINK("Melting_Curves/meltCurve_E9PKE9_RNF121.pdf", "Melting_Curves/meltCurve_E9PKE9_RNF121.pdf")</f>
        <v>Melting_Curves/meltCurve_E9PKE9_RNF121.pdf</v>
      </c>
    </row>
    <row r="599" spans="1:28" x14ac:dyDescent="0.25">
      <c r="A599" t="s">
        <v>603</v>
      </c>
      <c r="B599">
        <v>0.99472303558308395</v>
      </c>
      <c r="C599">
        <v>1.38038910760349</v>
      </c>
      <c r="D599">
        <v>0.80339602192568504</v>
      </c>
      <c r="E599">
        <v>0.84197357834419295</v>
      </c>
      <c r="F599">
        <v>1.25692305345476</v>
      </c>
      <c r="G599">
        <v>0.74112254072403305</v>
      </c>
      <c r="H599">
        <v>0.67216860082066399</v>
      </c>
      <c r="I599">
        <v>0.42970925117630898</v>
      </c>
      <c r="J599">
        <v>0.37069182169177201</v>
      </c>
      <c r="K599">
        <v>0.23132472080886399</v>
      </c>
      <c r="L599">
        <v>1170.53286497863</v>
      </c>
      <c r="M599">
        <v>20.1880875907095</v>
      </c>
      <c r="N599">
        <v>59.739985999475302</v>
      </c>
      <c r="O599">
        <v>57.421437717254797</v>
      </c>
      <c r="P599">
        <v>-6.8206036543787804E-2</v>
      </c>
      <c r="Q599">
        <v>0.224024359250415</v>
      </c>
      <c r="R599">
        <v>0.75023883181542605</v>
      </c>
      <c r="S599" t="s">
        <v>7167</v>
      </c>
      <c r="T599" t="s">
        <v>13134</v>
      </c>
      <c r="U599" t="s">
        <v>13134</v>
      </c>
      <c r="V599" t="s">
        <v>13134</v>
      </c>
      <c r="W599" t="s">
        <v>13259</v>
      </c>
      <c r="X599">
        <v>5</v>
      </c>
      <c r="Y599" t="s">
        <v>20221</v>
      </c>
      <c r="Z599" t="s">
        <v>26567</v>
      </c>
      <c r="AA599">
        <v>0.77202673648518449</v>
      </c>
      <c r="AB599" t="str">
        <f>HYPERLINK("Melting_Curves/meltCurve_E9PKF3_ACAT1.pdf", "Melting_Curves/meltCurve_E9PKF3_ACAT1.pdf")</f>
        <v>Melting_Curves/meltCurve_E9PKF3_ACAT1.pdf</v>
      </c>
    </row>
    <row r="600" spans="1:28" x14ac:dyDescent="0.25">
      <c r="A600" t="s">
        <v>604</v>
      </c>
      <c r="B600">
        <v>0.99472303558308395</v>
      </c>
      <c r="C600">
        <v>0.92292181385185201</v>
      </c>
      <c r="D600">
        <v>0.75655329629190904</v>
      </c>
      <c r="E600">
        <v>0.72610750257684098</v>
      </c>
      <c r="F600">
        <v>0.82471283768972803</v>
      </c>
      <c r="G600">
        <v>0.30626033619906001</v>
      </c>
      <c r="H600">
        <v>7.7015652619227007E-2</v>
      </c>
      <c r="I600">
        <v>5.3043188971424203E-2</v>
      </c>
      <c r="J600">
        <v>5.62123682326977E-2</v>
      </c>
      <c r="K600">
        <v>4.7077115917501799E-2</v>
      </c>
      <c r="L600">
        <v>797.94356960415405</v>
      </c>
      <c r="M600">
        <v>15.443579730242799</v>
      </c>
      <c r="N600">
        <v>51.668303838831697</v>
      </c>
      <c r="O600">
        <v>50.825232051126598</v>
      </c>
      <c r="P600">
        <v>-7.5970983881405399E-2</v>
      </c>
      <c r="Q600">
        <v>0</v>
      </c>
      <c r="R600">
        <v>0.91944619274336203</v>
      </c>
      <c r="S600" t="s">
        <v>7168</v>
      </c>
      <c r="T600" t="s">
        <v>13134</v>
      </c>
      <c r="U600" t="s">
        <v>13134</v>
      </c>
      <c r="V600" t="s">
        <v>13134</v>
      </c>
      <c r="W600" t="s">
        <v>13727</v>
      </c>
      <c r="X600">
        <v>17</v>
      </c>
      <c r="Y600" t="s">
        <v>20222</v>
      </c>
      <c r="Z600" t="s">
        <v>26568</v>
      </c>
      <c r="AA600">
        <v>0.50775252654475322</v>
      </c>
      <c r="AB600" t="str">
        <f>HYPERLINK("Melting_Curves/meltCurve_E9PKG1_PRMT1.pdf", "Melting_Curves/meltCurve_E9PKG1_PRMT1.pdf")</f>
        <v>Melting_Curves/meltCurve_E9PKG1_PRMT1.pdf</v>
      </c>
    </row>
    <row r="601" spans="1:28" x14ac:dyDescent="0.25">
      <c r="A601" t="s">
        <v>605</v>
      </c>
      <c r="B601">
        <v>0.99472303558308395</v>
      </c>
      <c r="C601">
        <v>0.82629371986857303</v>
      </c>
      <c r="D601">
        <v>0.720858314013892</v>
      </c>
      <c r="E601">
        <v>0.31630047325769201</v>
      </c>
      <c r="F601">
        <v>0.17462591078602799</v>
      </c>
      <c r="G601">
        <v>0.11559386920738</v>
      </c>
      <c r="H601">
        <v>7.6602554458592501E-2</v>
      </c>
      <c r="I601">
        <v>6.2976318634829401E-2</v>
      </c>
      <c r="J601">
        <v>7.9494519739782707E-2</v>
      </c>
      <c r="K601">
        <v>6.3280106209138903E-2</v>
      </c>
      <c r="L601">
        <v>788.54261787228199</v>
      </c>
      <c r="M601">
        <v>17.7446089864968</v>
      </c>
      <c r="N601">
        <v>44.781808486788201</v>
      </c>
      <c r="O601">
        <v>43.885568631973499</v>
      </c>
      <c r="P601">
        <v>-9.4659948604610605E-2</v>
      </c>
      <c r="Q601">
        <v>6.3605346384889502E-2</v>
      </c>
      <c r="R601">
        <v>0.99247769241441397</v>
      </c>
      <c r="S601" t="s">
        <v>7169</v>
      </c>
      <c r="T601" t="s">
        <v>13134</v>
      </c>
      <c r="U601" t="s">
        <v>13134</v>
      </c>
      <c r="V601" t="s">
        <v>13134</v>
      </c>
      <c r="W601" t="s">
        <v>13728</v>
      </c>
      <c r="X601">
        <v>18</v>
      </c>
      <c r="Y601" t="s">
        <v>20223</v>
      </c>
      <c r="Z601" t="s">
        <v>26569</v>
      </c>
      <c r="AA601">
        <v>0.31181377343373462</v>
      </c>
      <c r="AB601" t="str">
        <f>HYPERLINK("Melting_Curves/meltCurve_E9PKP7_UBTF.pdf", "Melting_Curves/meltCurve_E9PKP7_UBTF.pdf")</f>
        <v>Melting_Curves/meltCurve_E9PKP7_UBTF.pdf</v>
      </c>
    </row>
    <row r="602" spans="1:28" x14ac:dyDescent="0.25">
      <c r="A602" t="s">
        <v>606</v>
      </c>
      <c r="B602">
        <v>0.99472303558308395</v>
      </c>
      <c r="C602">
        <v>1.20950255165937</v>
      </c>
      <c r="D602">
        <v>0.86618118515565901</v>
      </c>
      <c r="E602">
        <v>0.82525200044119895</v>
      </c>
      <c r="F602">
        <v>0.79533589773341595</v>
      </c>
      <c r="G602">
        <v>0.402340802205776</v>
      </c>
      <c r="H602">
        <v>0.29320217513699598</v>
      </c>
      <c r="I602">
        <v>0.25443246055720198</v>
      </c>
      <c r="J602">
        <v>0.36122874764743701</v>
      </c>
      <c r="K602">
        <v>0.30546039059277103</v>
      </c>
      <c r="L602">
        <v>1161.8892110117899</v>
      </c>
      <c r="M602">
        <v>22.790099593273101</v>
      </c>
      <c r="N602">
        <v>52.911863065880603</v>
      </c>
      <c r="O602">
        <v>50.5945244856402</v>
      </c>
      <c r="P602">
        <v>-8.08313249167327E-2</v>
      </c>
      <c r="Q602">
        <v>0.28222461832653101</v>
      </c>
      <c r="R602">
        <v>0.91676224142366902</v>
      </c>
      <c r="S602" t="s">
        <v>7170</v>
      </c>
      <c r="T602" t="s">
        <v>13134</v>
      </c>
      <c r="U602" t="s">
        <v>13134</v>
      </c>
      <c r="V602" t="s">
        <v>13134</v>
      </c>
      <c r="W602" t="s">
        <v>13729</v>
      </c>
      <c r="X602">
        <v>1</v>
      </c>
      <c r="Y602" t="s">
        <v>20224</v>
      </c>
      <c r="Z602" t="s">
        <v>26570</v>
      </c>
      <c r="AA602">
        <v>0.62425773306659949</v>
      </c>
      <c r="AB602" t="str">
        <f>HYPERLINK("Melting_Curves/meltCurve_E9PKT4_TMEM123.pdf", "Melting_Curves/meltCurve_E9PKT4_TMEM123.pdf")</f>
        <v>Melting_Curves/meltCurve_E9PKT4_TMEM123.pdf</v>
      </c>
    </row>
    <row r="603" spans="1:28" x14ac:dyDescent="0.25">
      <c r="A603" t="s">
        <v>607</v>
      </c>
      <c r="B603">
        <v>0.99472303558308395</v>
      </c>
      <c r="C603">
        <v>0.92651455897419799</v>
      </c>
      <c r="D603">
        <v>1.09664256141941</v>
      </c>
      <c r="E603">
        <v>0.88055825985000902</v>
      </c>
      <c r="F603">
        <v>0.45466795894574902</v>
      </c>
      <c r="G603">
        <v>0.17452066151281201</v>
      </c>
      <c r="H603">
        <v>9.9241410184517306E-2</v>
      </c>
      <c r="I603">
        <v>7.8316410561928104E-2</v>
      </c>
      <c r="J603">
        <v>5.06275920036416E-2</v>
      </c>
      <c r="K603">
        <v>6.9038783648148597E-2</v>
      </c>
      <c r="L603">
        <v>1479.4056864773299</v>
      </c>
      <c r="M603">
        <v>29.7859315406101</v>
      </c>
      <c r="N603">
        <v>49.927132718794702</v>
      </c>
      <c r="O603">
        <v>49.445646699243099</v>
      </c>
      <c r="P603">
        <v>-0.13981170056099701</v>
      </c>
      <c r="Q603">
        <v>7.1637280607173004E-2</v>
      </c>
      <c r="R603">
        <v>0.99002634576591098</v>
      </c>
      <c r="S603" t="s">
        <v>7171</v>
      </c>
      <c r="T603" t="s">
        <v>13134</v>
      </c>
      <c r="U603" t="s">
        <v>13134</v>
      </c>
      <c r="V603" t="s">
        <v>13134</v>
      </c>
      <c r="W603" t="s">
        <v>13730</v>
      </c>
      <c r="X603">
        <v>1</v>
      </c>
      <c r="Y603" t="s">
        <v>20225</v>
      </c>
      <c r="Z603" t="s">
        <v>26571</v>
      </c>
      <c r="AA603">
        <v>0.46939763146197028</v>
      </c>
      <c r="AB603" t="str">
        <f>HYPERLINK("Melting_Curves/meltCurve_E9PKV2_MRPL17.pdf", "Melting_Curves/meltCurve_E9PKV2_MRPL17.pdf")</f>
        <v>Melting_Curves/meltCurve_E9PKV2_MRPL17.pdf</v>
      </c>
    </row>
    <row r="604" spans="1:28" x14ac:dyDescent="0.25">
      <c r="A604" t="s">
        <v>608</v>
      </c>
      <c r="B604">
        <v>0.99472303558308395</v>
      </c>
      <c r="C604">
        <v>1.0582454358478199</v>
      </c>
      <c r="D604">
        <v>0.94219152704325704</v>
      </c>
      <c r="E604">
        <v>0.82981450811388302</v>
      </c>
      <c r="F604">
        <v>0.30765668050352402</v>
      </c>
      <c r="G604">
        <v>0.10170741773167299</v>
      </c>
      <c r="H604">
        <v>5.5661053275268803E-2</v>
      </c>
      <c r="I604">
        <v>4.00486741871783E-2</v>
      </c>
      <c r="J604">
        <v>5.84156270521081E-2</v>
      </c>
      <c r="K604">
        <v>4.1535352437384702E-2</v>
      </c>
      <c r="L604">
        <v>1560.0445354302401</v>
      </c>
      <c r="M604">
        <v>32.021486707911599</v>
      </c>
      <c r="N604">
        <v>48.872509294961702</v>
      </c>
      <c r="O604">
        <v>48.529853565264297</v>
      </c>
      <c r="P604">
        <v>-0.157050916457768</v>
      </c>
      <c r="Q604">
        <v>4.7936812838052602E-2</v>
      </c>
      <c r="R604">
        <v>0.99675437516177701</v>
      </c>
      <c r="S604" t="s">
        <v>7172</v>
      </c>
      <c r="T604" t="s">
        <v>13134</v>
      </c>
      <c r="U604" t="s">
        <v>13134</v>
      </c>
      <c r="V604" t="s">
        <v>13134</v>
      </c>
      <c r="W604" t="s">
        <v>13731</v>
      </c>
      <c r="X604">
        <v>5</v>
      </c>
      <c r="Y604" t="s">
        <v>20226</v>
      </c>
      <c r="Z604" t="s">
        <v>26572</v>
      </c>
      <c r="AA604">
        <v>0.42484880269847891</v>
      </c>
      <c r="AB604" t="str">
        <f>HYPERLINK("Melting_Curves/meltCurve_E9PKV8_TTC9C.pdf", "Melting_Curves/meltCurve_E9PKV8_TTC9C.pdf")</f>
        <v>Melting_Curves/meltCurve_E9PKV8_TTC9C.pdf</v>
      </c>
    </row>
    <row r="605" spans="1:28" x14ac:dyDescent="0.25">
      <c r="A605" t="s">
        <v>609</v>
      </c>
      <c r="B605">
        <v>0.99472303558308395</v>
      </c>
      <c r="C605">
        <v>0.87367203091395595</v>
      </c>
      <c r="D605">
        <v>0.85847131730358095</v>
      </c>
      <c r="E605">
        <v>0.70050448349535599</v>
      </c>
      <c r="F605">
        <v>0.65656308071863301</v>
      </c>
      <c r="G605">
        <v>0.30847975112091902</v>
      </c>
      <c r="H605">
        <v>0.17342399290788499</v>
      </c>
      <c r="I605">
        <v>0.147758049947884</v>
      </c>
      <c r="J605">
        <v>0.11463739777632601</v>
      </c>
      <c r="K605">
        <v>0.14126520390735001</v>
      </c>
      <c r="L605">
        <v>551.68071707721003</v>
      </c>
      <c r="M605">
        <v>10.910692637142599</v>
      </c>
      <c r="N605">
        <v>50.832371814920599</v>
      </c>
      <c r="O605">
        <v>48.953722208176004</v>
      </c>
      <c r="P605">
        <v>-5.4174885942707598E-2</v>
      </c>
      <c r="Q605">
        <v>2.80582814114019E-2</v>
      </c>
      <c r="R605">
        <v>0.97204888794393096</v>
      </c>
      <c r="S605" t="s">
        <v>7173</v>
      </c>
      <c r="T605" t="s">
        <v>13134</v>
      </c>
      <c r="U605" t="s">
        <v>13134</v>
      </c>
      <c r="V605" t="s">
        <v>13134</v>
      </c>
      <c r="W605" t="s">
        <v>13732</v>
      </c>
      <c r="X605">
        <v>8</v>
      </c>
      <c r="Y605" t="s">
        <v>20227</v>
      </c>
      <c r="Z605" t="s">
        <v>26573</v>
      </c>
      <c r="AA605">
        <v>0.49628883033007848</v>
      </c>
      <c r="AB605" t="str">
        <f>HYPERLINK("Melting_Curves/meltCurve_E9PKZ0_RPL8.pdf", "Melting_Curves/meltCurve_E9PKZ0_RPL8.pdf")</f>
        <v>Melting_Curves/meltCurve_E9PKZ0_RPL8.pdf</v>
      </c>
    </row>
    <row r="606" spans="1:28" x14ac:dyDescent="0.25">
      <c r="A606" t="s">
        <v>610</v>
      </c>
      <c r="B606">
        <v>0.99472303558308395</v>
      </c>
      <c r="C606">
        <v>0.90584489432702997</v>
      </c>
      <c r="D606">
        <v>0.82792587434514098</v>
      </c>
      <c r="E606">
        <v>0.708484919812022</v>
      </c>
      <c r="F606">
        <v>0.48220239212683802</v>
      </c>
      <c r="G606">
        <v>0.25346726703348099</v>
      </c>
      <c r="H606">
        <v>9.6579134058649901E-2</v>
      </c>
      <c r="I606">
        <v>6.9401973961225299E-2</v>
      </c>
      <c r="J606">
        <v>7.8664627076982199E-2</v>
      </c>
      <c r="K606">
        <v>6.4454522081032195E-2</v>
      </c>
      <c r="L606">
        <v>617.14575318832601</v>
      </c>
      <c r="M606">
        <v>12.4964266187635</v>
      </c>
      <c r="N606">
        <v>49.395457126775199</v>
      </c>
      <c r="O606">
        <v>48.172271710867903</v>
      </c>
      <c r="P606">
        <v>-6.4786698513874197E-2</v>
      </c>
      <c r="Q606">
        <v>1.2252289106119199E-3</v>
      </c>
      <c r="R606">
        <v>0.99239194246044404</v>
      </c>
      <c r="S606" t="s">
        <v>7174</v>
      </c>
      <c r="T606" t="s">
        <v>13134</v>
      </c>
      <c r="U606" t="s">
        <v>13134</v>
      </c>
      <c r="V606" t="s">
        <v>13134</v>
      </c>
      <c r="W606" t="s">
        <v>13733</v>
      </c>
      <c r="X606">
        <v>13</v>
      </c>
      <c r="Y606" t="s">
        <v>20228</v>
      </c>
      <c r="Z606" t="s">
        <v>26574</v>
      </c>
      <c r="AA606">
        <v>0.44113837939499279</v>
      </c>
      <c r="AB606" t="str">
        <f>HYPERLINK("Melting_Curves/meltCurve_E9PL01_SPCS2.pdf", "Melting_Curves/meltCurve_E9PL01_SPCS2.pdf")</f>
        <v>Melting_Curves/meltCurve_E9PL01_SPCS2.pdf</v>
      </c>
    </row>
    <row r="607" spans="1:28" x14ac:dyDescent="0.25">
      <c r="A607" t="s">
        <v>611</v>
      </c>
      <c r="B607">
        <v>0.99472303558308395</v>
      </c>
      <c r="C607">
        <v>0.82652608928410198</v>
      </c>
      <c r="D607">
        <v>0.63325858499078203</v>
      </c>
      <c r="E607">
        <v>0.223511960152841</v>
      </c>
      <c r="F607">
        <v>0.11700982598675699</v>
      </c>
      <c r="G607">
        <v>7.3320487976236803E-2</v>
      </c>
      <c r="H607">
        <v>4.2507944195725803E-2</v>
      </c>
      <c r="I607">
        <v>3.1106469057058599E-2</v>
      </c>
      <c r="J607">
        <v>3.1193967340318301E-2</v>
      </c>
      <c r="K607">
        <v>3.5137884047063798E-2</v>
      </c>
      <c r="L607">
        <v>848.82938221163704</v>
      </c>
      <c r="M607">
        <v>19.4137332485959</v>
      </c>
      <c r="N607">
        <v>43.878871422261398</v>
      </c>
      <c r="O607">
        <v>43.267146767564</v>
      </c>
      <c r="P607">
        <v>-0.10844326698413601</v>
      </c>
      <c r="Q607">
        <v>3.3290724346287499E-2</v>
      </c>
      <c r="R607">
        <v>0.995663296411467</v>
      </c>
      <c r="S607" t="s">
        <v>7175</v>
      </c>
      <c r="T607" t="s">
        <v>13134</v>
      </c>
      <c r="U607" t="s">
        <v>13134</v>
      </c>
      <c r="V607" t="s">
        <v>13134</v>
      </c>
      <c r="W607" t="s">
        <v>13734</v>
      </c>
      <c r="X607">
        <v>6</v>
      </c>
      <c r="Y607" t="s">
        <v>20229</v>
      </c>
      <c r="Z607" t="s">
        <v>26575</v>
      </c>
      <c r="AA607">
        <v>0.26387252788987542</v>
      </c>
      <c r="AB607" t="str">
        <f>HYPERLINK("Melting_Curves/meltCurve_E9PL17_CLP1.pdf", "Melting_Curves/meltCurve_E9PL17_CLP1.pdf")</f>
        <v>Melting_Curves/meltCurve_E9PL17_CLP1.pdf</v>
      </c>
    </row>
    <row r="608" spans="1:28" x14ac:dyDescent="0.25">
      <c r="A608" t="s">
        <v>612</v>
      </c>
      <c r="B608">
        <v>0.99472303558308395</v>
      </c>
      <c r="C608">
        <v>0.980310736595152</v>
      </c>
      <c r="D608">
        <v>1.0582068436693399</v>
      </c>
      <c r="E608">
        <v>0.89178448363935603</v>
      </c>
      <c r="F608">
        <v>0.48434421036638797</v>
      </c>
      <c r="G608">
        <v>0.14957953242546801</v>
      </c>
      <c r="H608">
        <v>9.1745606464889606E-2</v>
      </c>
      <c r="I608">
        <v>6.12922862154473E-2</v>
      </c>
      <c r="J608">
        <v>7.01025747810574E-2</v>
      </c>
      <c r="K608">
        <v>7.3592024242839907E-2</v>
      </c>
      <c r="L608">
        <v>1553.3216715377901</v>
      </c>
      <c r="M608">
        <v>31.173982085113099</v>
      </c>
      <c r="N608">
        <v>50.065087769358797</v>
      </c>
      <c r="O608">
        <v>49.623808754521697</v>
      </c>
      <c r="P608">
        <v>-0.14625391414966701</v>
      </c>
      <c r="Q608">
        <v>6.87573232997645E-2</v>
      </c>
      <c r="R608">
        <v>0.99722627618800697</v>
      </c>
      <c r="S608" t="s">
        <v>7176</v>
      </c>
      <c r="T608" t="s">
        <v>13134</v>
      </c>
      <c r="U608" t="s">
        <v>13134</v>
      </c>
      <c r="V608" t="s">
        <v>13134</v>
      </c>
      <c r="W608" t="s">
        <v>13735</v>
      </c>
      <c r="X608">
        <v>54</v>
      </c>
      <c r="Y608" t="s">
        <v>20230</v>
      </c>
      <c r="Z608" t="s">
        <v>26576</v>
      </c>
      <c r="AA608">
        <v>0.47222140739894419</v>
      </c>
      <c r="AB608" t="str">
        <f>HYPERLINK("Melting_Curves/meltCurve_E9PL22_HYOU1.pdf", "Melting_Curves/meltCurve_E9PL22_HYOU1.pdf")</f>
        <v>Melting_Curves/meltCurve_E9PL22_HYOU1.pdf</v>
      </c>
    </row>
    <row r="609" spans="1:28" x14ac:dyDescent="0.25">
      <c r="A609" t="s">
        <v>613</v>
      </c>
      <c r="B609">
        <v>0.99472303558308395</v>
      </c>
      <c r="C609">
        <v>0.69932268392988495</v>
      </c>
      <c r="D609">
        <v>0.84756569712475405</v>
      </c>
      <c r="E609">
        <v>0.67476463225828298</v>
      </c>
      <c r="F609">
        <v>0.65142638844814305</v>
      </c>
      <c r="G609">
        <v>0.40710586662474502</v>
      </c>
      <c r="H609">
        <v>7.6931884983606202E-2</v>
      </c>
      <c r="I609">
        <v>6.7168979152135003E-2</v>
      </c>
      <c r="J609">
        <v>5.4181128771319503E-2</v>
      </c>
      <c r="K609">
        <v>5.9789672234600598E-2</v>
      </c>
      <c r="L609">
        <v>531.838528048179</v>
      </c>
      <c r="M609">
        <v>10.5783285619405</v>
      </c>
      <c r="N609">
        <v>50.276232609689302</v>
      </c>
      <c r="O609">
        <v>48.579279758282098</v>
      </c>
      <c r="P609">
        <v>-5.4459816461994603E-2</v>
      </c>
      <c r="Q609">
        <v>0</v>
      </c>
      <c r="R609">
        <v>0.90843231940136104</v>
      </c>
      <c r="S609" t="s">
        <v>7177</v>
      </c>
      <c r="T609" t="s">
        <v>13134</v>
      </c>
      <c r="U609" t="s">
        <v>13134</v>
      </c>
      <c r="V609" t="s">
        <v>13134</v>
      </c>
      <c r="W609" t="s">
        <v>13736</v>
      </c>
      <c r="X609">
        <v>2</v>
      </c>
      <c r="Y609" t="s">
        <v>20231</v>
      </c>
      <c r="Z609" t="s">
        <v>26577</v>
      </c>
      <c r="AA609">
        <v>0.47387688951357732</v>
      </c>
      <c r="AB609" t="str">
        <f>HYPERLINK("Melting_Curves/meltCurve_E9PL33_EI24.pdf", "Melting_Curves/meltCurve_E9PL33_EI24.pdf")</f>
        <v>Melting_Curves/meltCurve_E9PL33_EI24.pdf</v>
      </c>
    </row>
    <row r="610" spans="1:28" x14ac:dyDescent="0.25">
      <c r="A610" t="s">
        <v>614</v>
      </c>
      <c r="B610">
        <v>0.99472303558308395</v>
      </c>
      <c r="C610">
        <v>1.136224791743</v>
      </c>
      <c r="D610">
        <v>1.0098002305935601</v>
      </c>
      <c r="E610">
        <v>0.92076075202416197</v>
      </c>
      <c r="F610">
        <v>0.67354510230020403</v>
      </c>
      <c r="G610">
        <v>0.51815927706963005</v>
      </c>
      <c r="H610">
        <v>0.30282638880886098</v>
      </c>
      <c r="I610">
        <v>0.25305538973786401</v>
      </c>
      <c r="J610">
        <v>0.276373050739463</v>
      </c>
      <c r="K610">
        <v>0.18051165123815699</v>
      </c>
      <c r="L610">
        <v>932.76615217984897</v>
      </c>
      <c r="M610">
        <v>17.994359905567901</v>
      </c>
      <c r="N610">
        <v>53.413175872966796</v>
      </c>
      <c r="O610">
        <v>51.209104703376902</v>
      </c>
      <c r="P610">
        <v>-6.9751562862746294E-2</v>
      </c>
      <c r="Q610">
        <v>0.206031525277694</v>
      </c>
      <c r="R610">
        <v>0.97669004861063302</v>
      </c>
      <c r="S610" t="s">
        <v>7178</v>
      </c>
      <c r="T610" t="s">
        <v>13134</v>
      </c>
      <c r="U610" t="s">
        <v>13134</v>
      </c>
      <c r="V610" t="s">
        <v>13134</v>
      </c>
      <c r="W610" t="s">
        <v>13737</v>
      </c>
      <c r="X610">
        <v>9</v>
      </c>
      <c r="Y610" t="s">
        <v>20232</v>
      </c>
      <c r="Z610" t="s">
        <v>26578</v>
      </c>
      <c r="AA610">
        <v>0.61076129209095031</v>
      </c>
      <c r="AB610" t="str">
        <f>HYPERLINK("Melting_Curves/meltCurve_E9PL57_NEDD8_MDP1.pdf", "Melting_Curves/meltCurve_E9PL57_NEDD8_MDP1.pdf")</f>
        <v>Melting_Curves/meltCurve_E9PL57_NEDD8_MDP1.pdf</v>
      </c>
    </row>
    <row r="611" spans="1:28" x14ac:dyDescent="0.25">
      <c r="A611" t="s">
        <v>615</v>
      </c>
      <c r="B611">
        <v>0.99472303558308395</v>
      </c>
      <c r="C611">
        <v>0.90795248147670704</v>
      </c>
      <c r="D611">
        <v>0.85024014900301603</v>
      </c>
      <c r="E611">
        <v>0.77587701888437399</v>
      </c>
      <c r="F611">
        <v>0.878855774109639</v>
      </c>
      <c r="G611">
        <v>0.422791839262534</v>
      </c>
      <c r="H611">
        <v>0.21508363002678199</v>
      </c>
      <c r="I611">
        <v>7.3747825056080005E-2</v>
      </c>
      <c r="J611">
        <v>9.0124980971869703E-2</v>
      </c>
      <c r="K611">
        <v>7.4787579218979494E-2</v>
      </c>
      <c r="L611">
        <v>882.83655773566204</v>
      </c>
      <c r="M611">
        <v>16.597129920916601</v>
      </c>
      <c r="N611">
        <v>53.270209626543803</v>
      </c>
      <c r="O611">
        <v>52.437910823297699</v>
      </c>
      <c r="P611">
        <v>-7.8181893832698607E-2</v>
      </c>
      <c r="Q611">
        <v>1.2017914576471099E-2</v>
      </c>
      <c r="R611">
        <v>0.94809972368346895</v>
      </c>
      <c r="S611" t="s">
        <v>7179</v>
      </c>
      <c r="T611" t="s">
        <v>13134</v>
      </c>
      <c r="U611" t="s">
        <v>13134</v>
      </c>
      <c r="V611" t="s">
        <v>13134</v>
      </c>
      <c r="W611" t="s">
        <v>13738</v>
      </c>
      <c r="X611">
        <v>21</v>
      </c>
      <c r="Y611" t="s">
        <v>20233</v>
      </c>
      <c r="Z611" t="s">
        <v>26579</v>
      </c>
      <c r="AA611">
        <v>0.560926888112252</v>
      </c>
      <c r="AB611" t="str">
        <f>HYPERLINK("Melting_Curves/meltCurve_E9PL69_RRM1.pdf", "Melting_Curves/meltCurve_E9PL69_RRM1.pdf")</f>
        <v>Melting_Curves/meltCurve_E9PL69_RRM1.pdf</v>
      </c>
    </row>
    <row r="612" spans="1:28" x14ac:dyDescent="0.25">
      <c r="A612" t="s">
        <v>616</v>
      </c>
      <c r="B612">
        <v>0.99472303558308395</v>
      </c>
      <c r="C612">
        <v>1.0415137362648901</v>
      </c>
      <c r="D612">
        <v>0.87406420850135802</v>
      </c>
      <c r="E612">
        <v>0.716282197015217</v>
      </c>
      <c r="F612">
        <v>0.80744211832988799</v>
      </c>
      <c r="G612">
        <v>0.36008911539360999</v>
      </c>
      <c r="H612">
        <v>0.26920487273879501</v>
      </c>
      <c r="I612">
        <v>0.38238269873486902</v>
      </c>
      <c r="J612">
        <v>0.33904120787709002</v>
      </c>
      <c r="K612">
        <v>0.37332051577650999</v>
      </c>
      <c r="L612">
        <v>756.75319397758301</v>
      </c>
      <c r="M612">
        <v>15.294254448497799</v>
      </c>
      <c r="N612">
        <v>52.751009911256197</v>
      </c>
      <c r="O612">
        <v>48.656809104873901</v>
      </c>
      <c r="P612">
        <v>-5.45146047789394E-2</v>
      </c>
      <c r="Q612">
        <v>0.30633862460161698</v>
      </c>
      <c r="R612">
        <v>0.90131372587642999</v>
      </c>
      <c r="S612" t="s">
        <v>7180</v>
      </c>
      <c r="T612" t="s">
        <v>13134</v>
      </c>
      <c r="U612" t="s">
        <v>13134</v>
      </c>
      <c r="V612" t="s">
        <v>13134</v>
      </c>
      <c r="W612" t="s">
        <v>13424</v>
      </c>
      <c r="X612">
        <v>1</v>
      </c>
      <c r="Z612" t="s">
        <v>26580</v>
      </c>
      <c r="AA612">
        <v>0.60919343155548777</v>
      </c>
      <c r="AB612" t="str">
        <f>HYPERLINK("Melting_Curves/meltCurve_E9PLD3_.pdf", "Melting_Curves/meltCurve_E9PLD3_.pdf")</f>
        <v>Melting_Curves/meltCurve_E9PLD3_.pdf</v>
      </c>
    </row>
    <row r="613" spans="1:28" x14ac:dyDescent="0.25">
      <c r="A613" t="s">
        <v>617</v>
      </c>
      <c r="B613">
        <v>0.99472303558308395</v>
      </c>
      <c r="C613">
        <v>1.0342409271227599</v>
      </c>
      <c r="D613">
        <v>0.80255772638110401</v>
      </c>
      <c r="E613">
        <v>0.67914191674963298</v>
      </c>
      <c r="F613">
        <v>0.89579744823989604</v>
      </c>
      <c r="G613">
        <v>0.39908601476293398</v>
      </c>
      <c r="H613">
        <v>0.33132655821556101</v>
      </c>
      <c r="I613">
        <v>0.23498375148997599</v>
      </c>
      <c r="J613">
        <v>0.129950052719216</v>
      </c>
      <c r="K613">
        <v>8.5227342684532095E-2</v>
      </c>
      <c r="L613">
        <v>544.27974486223002</v>
      </c>
      <c r="M613">
        <v>10.1786096639843</v>
      </c>
      <c r="N613">
        <v>53.472900241814401</v>
      </c>
      <c r="O613">
        <v>51.532113720026402</v>
      </c>
      <c r="P613">
        <v>-4.9402385591331199E-2</v>
      </c>
      <c r="Q613">
        <v>0</v>
      </c>
      <c r="R613">
        <v>0.91424419343502705</v>
      </c>
      <c r="S613" t="s">
        <v>7181</v>
      </c>
      <c r="T613" t="s">
        <v>13134</v>
      </c>
      <c r="U613" t="s">
        <v>13134</v>
      </c>
      <c r="V613" t="s">
        <v>13134</v>
      </c>
      <c r="W613" t="s">
        <v>13739</v>
      </c>
      <c r="X613">
        <v>1</v>
      </c>
      <c r="Y613" t="s">
        <v>20234</v>
      </c>
      <c r="Z613" t="s">
        <v>26581</v>
      </c>
      <c r="AA613">
        <v>0.56930999906765434</v>
      </c>
      <c r="AB613" t="str">
        <f>HYPERLINK("Melting_Curves/meltCurve_E9PLJ2_CHIA.pdf", "Melting_Curves/meltCurve_E9PLJ2_CHIA.pdf")</f>
        <v>Melting_Curves/meltCurve_E9PLJ2_CHIA.pdf</v>
      </c>
    </row>
    <row r="614" spans="1:28" x14ac:dyDescent="0.25">
      <c r="A614" t="s">
        <v>618</v>
      </c>
      <c r="B614">
        <v>0.99472303558308395</v>
      </c>
      <c r="C614">
        <v>0.94687205747015302</v>
      </c>
      <c r="D614">
        <v>0.985004655894125</v>
      </c>
      <c r="E614">
        <v>0.89736213960018796</v>
      </c>
      <c r="F614">
        <v>0.68713369617706299</v>
      </c>
      <c r="G614">
        <v>0.48984924779755701</v>
      </c>
      <c r="H614">
        <v>0.33101867725304202</v>
      </c>
      <c r="I614">
        <v>0.20735519548106901</v>
      </c>
      <c r="J614">
        <v>0.112703422173466</v>
      </c>
      <c r="K614">
        <v>9.6858258401370204E-2</v>
      </c>
      <c r="L614">
        <v>684.21756139342801</v>
      </c>
      <c r="M614">
        <v>12.7765442018495</v>
      </c>
      <c r="N614">
        <v>53.768482649608202</v>
      </c>
      <c r="O614">
        <v>52.291571881054203</v>
      </c>
      <c r="P614">
        <v>-5.9567424849340099E-2</v>
      </c>
      <c r="Q614">
        <v>2.49988968608593E-2</v>
      </c>
      <c r="R614">
        <v>0.99663794411575701</v>
      </c>
      <c r="S614" t="s">
        <v>7182</v>
      </c>
      <c r="T614" t="s">
        <v>13134</v>
      </c>
      <c r="U614" t="s">
        <v>13134</v>
      </c>
      <c r="V614" t="s">
        <v>13134</v>
      </c>
      <c r="W614" t="s">
        <v>13740</v>
      </c>
      <c r="X614">
        <v>50</v>
      </c>
      <c r="Y614" t="s">
        <v>20235</v>
      </c>
      <c r="Z614" t="s">
        <v>26582</v>
      </c>
      <c r="AA614">
        <v>0.58138485010944441</v>
      </c>
      <c r="AB614" t="str">
        <f>HYPERLINK("Melting_Curves/meltCurve_E9PLK3_NPEPPS.pdf", "Melting_Curves/meltCurve_E9PLK3_NPEPPS.pdf")</f>
        <v>Melting_Curves/meltCurve_E9PLK3_NPEPPS.pdf</v>
      </c>
    </row>
    <row r="615" spans="1:28" x14ac:dyDescent="0.25">
      <c r="A615" t="s">
        <v>619</v>
      </c>
      <c r="B615">
        <v>0.99472303558308395</v>
      </c>
      <c r="C615">
        <v>0.96285345075486395</v>
      </c>
      <c r="D615">
        <v>0.86781062867046199</v>
      </c>
      <c r="E615">
        <v>0.79703064029957704</v>
      </c>
      <c r="F615">
        <v>0.86139047016013404</v>
      </c>
      <c r="G615">
        <v>0.85886493445563405</v>
      </c>
      <c r="H615">
        <v>0.95425476173743096</v>
      </c>
      <c r="I615">
        <v>0.615788452854371</v>
      </c>
      <c r="J615">
        <v>1.42091676176695</v>
      </c>
      <c r="K615">
        <v>2.3868941942210502</v>
      </c>
      <c r="L615">
        <v>15000</v>
      </c>
      <c r="M615">
        <v>235.68046885065999</v>
      </c>
      <c r="O615">
        <v>63.640911801205803</v>
      </c>
      <c r="P615">
        <v>0.46291069418047898</v>
      </c>
      <c r="Q615">
        <v>1.5</v>
      </c>
      <c r="R615">
        <v>0.54931239430251</v>
      </c>
      <c r="S615" t="s">
        <v>7183</v>
      </c>
      <c r="T615" t="s">
        <v>13134</v>
      </c>
      <c r="U615" t="s">
        <v>13134</v>
      </c>
      <c r="V615" t="s">
        <v>13134</v>
      </c>
      <c r="W615" t="s">
        <v>13741</v>
      </c>
      <c r="X615">
        <v>5</v>
      </c>
      <c r="Y615" t="s">
        <v>20236</v>
      </c>
      <c r="Z615" t="s">
        <v>26583</v>
      </c>
      <c r="AA615">
        <v>1.055845618802983</v>
      </c>
      <c r="AB615" t="str">
        <f>HYPERLINK("Melting_Curves/meltCurve_E9PLL6_RPL27A.pdf", "Melting_Curves/meltCurve_E9PLL6_RPL27A.pdf")</f>
        <v>Melting_Curves/meltCurve_E9PLL6_RPL27A.pdf</v>
      </c>
    </row>
    <row r="616" spans="1:28" x14ac:dyDescent="0.25">
      <c r="A616" t="s">
        <v>620</v>
      </c>
      <c r="B616">
        <v>0.99472303558308395</v>
      </c>
      <c r="C616">
        <v>1.1739268514575101</v>
      </c>
      <c r="D616">
        <v>0.94187372637599398</v>
      </c>
      <c r="E616">
        <v>0.71112861284251205</v>
      </c>
      <c r="F616">
        <v>0.32773558302530298</v>
      </c>
      <c r="G616">
        <v>0.17009667310343399</v>
      </c>
      <c r="H616">
        <v>0.10154371540514</v>
      </c>
      <c r="I616">
        <v>6.9743086396948095E-2</v>
      </c>
      <c r="J616">
        <v>9.2201481897118603E-2</v>
      </c>
      <c r="K616">
        <v>5.9590861013195599E-2</v>
      </c>
      <c r="L616">
        <v>1162.3745540229299</v>
      </c>
      <c r="M616">
        <v>24.123455554366799</v>
      </c>
      <c r="N616">
        <v>48.525902617665601</v>
      </c>
      <c r="O616">
        <v>47.8569604516805</v>
      </c>
      <c r="P616">
        <v>-0.116182368843279</v>
      </c>
      <c r="Q616">
        <v>7.80675912743614E-2</v>
      </c>
      <c r="R616">
        <v>0.98083617278905</v>
      </c>
      <c r="S616" t="s">
        <v>7184</v>
      </c>
      <c r="T616" t="s">
        <v>13134</v>
      </c>
      <c r="U616" t="s">
        <v>13134</v>
      </c>
      <c r="V616" t="s">
        <v>13134</v>
      </c>
      <c r="W616" t="s">
        <v>13742</v>
      </c>
      <c r="X616">
        <v>1</v>
      </c>
      <c r="Y616" t="s">
        <v>20237</v>
      </c>
      <c r="Z616" t="s">
        <v>26584</v>
      </c>
      <c r="AA616">
        <v>0.43022694765128128</v>
      </c>
      <c r="AB616" t="str">
        <f>HYPERLINK("Melting_Curves/meltCurve_E9PLX2_RNF141.pdf", "Melting_Curves/meltCurve_E9PLX2_RNF141.pdf")</f>
        <v>Melting_Curves/meltCurve_E9PLX2_RNF141.pdf</v>
      </c>
    </row>
    <row r="617" spans="1:28" x14ac:dyDescent="0.25">
      <c r="A617" t="s">
        <v>621</v>
      </c>
      <c r="B617">
        <v>0.99472303558308395</v>
      </c>
      <c r="C617">
        <v>1.1225431777859101</v>
      </c>
      <c r="D617">
        <v>0.88091226131999201</v>
      </c>
      <c r="E617">
        <v>0.71483193188807803</v>
      </c>
      <c r="F617">
        <v>0.39175691732414503</v>
      </c>
      <c r="G617">
        <v>0.16672594251236</v>
      </c>
      <c r="H617">
        <v>7.5714448215965499E-2</v>
      </c>
      <c r="I617">
        <v>6.9735487831795007E-2</v>
      </c>
      <c r="J617">
        <v>7.8998786221488496E-2</v>
      </c>
      <c r="K617">
        <v>7.4897168197113506E-2</v>
      </c>
      <c r="L617">
        <v>978.67971692437004</v>
      </c>
      <c r="M617">
        <v>20.17013636243</v>
      </c>
      <c r="N617">
        <v>48.8265929779025</v>
      </c>
      <c r="O617">
        <v>48.051837442241599</v>
      </c>
      <c r="P617">
        <v>-9.8724251034556093E-2</v>
      </c>
      <c r="Q617">
        <v>5.9256292679799899E-2</v>
      </c>
      <c r="R617">
        <v>0.986624222144033</v>
      </c>
      <c r="S617" t="s">
        <v>7185</v>
      </c>
      <c r="T617" t="s">
        <v>13134</v>
      </c>
      <c r="U617" t="s">
        <v>13134</v>
      </c>
      <c r="V617" t="s">
        <v>13134</v>
      </c>
      <c r="W617" t="s">
        <v>13743</v>
      </c>
      <c r="X617">
        <v>33</v>
      </c>
      <c r="Y617" t="s">
        <v>20238</v>
      </c>
      <c r="Z617" t="s">
        <v>26585</v>
      </c>
      <c r="AA617">
        <v>0.43272771428981138</v>
      </c>
      <c r="AB617" t="str">
        <f>HYPERLINK("Melting_Curves/meltCurve_E9PLY5_MACF1.pdf", "Melting_Curves/meltCurve_E9PLY5_MACF1.pdf")</f>
        <v>Melting_Curves/meltCurve_E9PLY5_MACF1.pdf</v>
      </c>
    </row>
    <row r="618" spans="1:28" x14ac:dyDescent="0.25">
      <c r="A618" t="s">
        <v>622</v>
      </c>
      <c r="B618">
        <v>0.99472303558308395</v>
      </c>
      <c r="C618">
        <v>0.72321933851004905</v>
      </c>
      <c r="D618">
        <v>0.54401034912410595</v>
      </c>
      <c r="E618">
        <v>0.29456325212960399</v>
      </c>
      <c r="F618">
        <v>0.10346844951523</v>
      </c>
      <c r="G618">
        <v>4.75640253246312E-2</v>
      </c>
      <c r="H618">
        <v>1.16320488176507E-2</v>
      </c>
      <c r="I618">
        <v>0</v>
      </c>
      <c r="J618">
        <v>0</v>
      </c>
      <c r="K618">
        <v>1.8739010276837199E-2</v>
      </c>
      <c r="L618">
        <v>638.150005276755</v>
      </c>
      <c r="M618">
        <v>14.708314281663499</v>
      </c>
      <c r="N618">
        <v>43.3870253947442</v>
      </c>
      <c r="O618">
        <v>42.608680500476602</v>
      </c>
      <c r="P618">
        <v>-8.6308229342663106E-2</v>
      </c>
      <c r="Q618">
        <v>0</v>
      </c>
      <c r="R618">
        <v>0.99124827793723402</v>
      </c>
      <c r="S618" t="s">
        <v>7186</v>
      </c>
      <c r="T618" t="s">
        <v>13134</v>
      </c>
      <c r="U618" t="s">
        <v>13134</v>
      </c>
      <c r="V618" t="s">
        <v>13134</v>
      </c>
      <c r="W618" t="s">
        <v>13744</v>
      </c>
      <c r="X618">
        <v>3</v>
      </c>
      <c r="Y618" t="s">
        <v>20239</v>
      </c>
      <c r="Z618" t="s">
        <v>26586</v>
      </c>
      <c r="AA618">
        <v>0.2397198634376313</v>
      </c>
      <c r="AB618" t="str">
        <f>HYPERLINK("Melting_Curves/meltCurve_E9PM19_TYK2.pdf", "Melting_Curves/meltCurve_E9PM19_TYK2.pdf")</f>
        <v>Melting_Curves/meltCurve_E9PM19_TYK2.pdf</v>
      </c>
    </row>
    <row r="619" spans="1:28" x14ac:dyDescent="0.25">
      <c r="A619" t="s">
        <v>623</v>
      </c>
      <c r="B619">
        <v>0.99472303558308395</v>
      </c>
      <c r="C619">
        <v>0.94964554700797599</v>
      </c>
      <c r="D619">
        <v>0.86105179047483804</v>
      </c>
      <c r="E619">
        <v>0.42928090858138801</v>
      </c>
      <c r="F619">
        <v>0.18576840770337799</v>
      </c>
      <c r="G619">
        <v>0.108415137375014</v>
      </c>
      <c r="H619">
        <v>6.9187607213319499E-2</v>
      </c>
      <c r="I619">
        <v>5.6105035605751301E-2</v>
      </c>
      <c r="J619">
        <v>6.7362693556749995E-2</v>
      </c>
      <c r="K619">
        <v>5.8988844452695401E-2</v>
      </c>
      <c r="L619">
        <v>1083.47459731394</v>
      </c>
      <c r="M619">
        <v>23.622587478555701</v>
      </c>
      <c r="N619">
        <v>46.137192803693402</v>
      </c>
      <c r="O619">
        <v>45.541152270969</v>
      </c>
      <c r="P619">
        <v>-0.121274550528206</v>
      </c>
      <c r="Q619">
        <v>6.4812226793300606E-2</v>
      </c>
      <c r="R619">
        <v>0.99866490295648003</v>
      </c>
      <c r="S619" t="s">
        <v>7187</v>
      </c>
      <c r="T619" t="s">
        <v>13134</v>
      </c>
      <c r="U619" t="s">
        <v>13134</v>
      </c>
      <c r="V619" t="s">
        <v>13134</v>
      </c>
      <c r="W619" t="s">
        <v>13393</v>
      </c>
      <c r="X619">
        <v>37</v>
      </c>
      <c r="Y619" t="s">
        <v>20240</v>
      </c>
      <c r="Z619" t="s">
        <v>26587</v>
      </c>
      <c r="AA619">
        <v>0.34988559968770427</v>
      </c>
      <c r="AB619" t="str">
        <f>HYPERLINK("Melting_Curves/meltCurve_E9PM46_USP47.pdf", "Melting_Curves/meltCurve_E9PM46_USP47.pdf")</f>
        <v>Melting_Curves/meltCurve_E9PM46_USP47.pdf</v>
      </c>
    </row>
    <row r="620" spans="1:28" x14ac:dyDescent="0.25">
      <c r="A620" t="s">
        <v>624</v>
      </c>
      <c r="B620">
        <v>0.99472303558308395</v>
      </c>
      <c r="C620">
        <v>0.97296228754230796</v>
      </c>
      <c r="D620">
        <v>0.90484997054449301</v>
      </c>
      <c r="E620">
        <v>0.90031340029249696</v>
      </c>
      <c r="F620">
        <v>0.70298249470678098</v>
      </c>
      <c r="G620">
        <v>0.54708748394014906</v>
      </c>
      <c r="H620">
        <v>0.50383180852952603</v>
      </c>
      <c r="I620">
        <v>0.57157435812725299</v>
      </c>
      <c r="J620">
        <v>0.84030502860401102</v>
      </c>
      <c r="K620">
        <v>0.63010314518741195</v>
      </c>
      <c r="L620">
        <v>1610.5269947882</v>
      </c>
      <c r="M620">
        <v>33.6406572894672</v>
      </c>
      <c r="O620">
        <v>47.706200802352697</v>
      </c>
      <c r="P620">
        <v>-6.7024985804576595E-2</v>
      </c>
      <c r="Q620">
        <v>0.61980599758348098</v>
      </c>
      <c r="R620">
        <v>0.74467603451582298</v>
      </c>
      <c r="S620" t="s">
        <v>7188</v>
      </c>
      <c r="T620" t="s">
        <v>13134</v>
      </c>
      <c r="U620" t="s">
        <v>13134</v>
      </c>
      <c r="V620" t="s">
        <v>13134</v>
      </c>
      <c r="W620" t="s">
        <v>13745</v>
      </c>
      <c r="X620">
        <v>7</v>
      </c>
      <c r="Y620" t="s">
        <v>20241</v>
      </c>
      <c r="Z620" t="s">
        <v>26588</v>
      </c>
      <c r="AA620">
        <v>0.7594028089979743</v>
      </c>
      <c r="AB620" t="str">
        <f>HYPERLINK("Melting_Curves/meltCurve_E9PM92_C11orf58.pdf", "Melting_Curves/meltCurve_E9PM92_C11orf58.pdf")</f>
        <v>Melting_Curves/meltCurve_E9PM92_C11orf58.pdf</v>
      </c>
    </row>
    <row r="621" spans="1:28" x14ac:dyDescent="0.25">
      <c r="A621" t="s">
        <v>625</v>
      </c>
      <c r="B621">
        <v>0.99472303558308395</v>
      </c>
      <c r="C621">
        <v>0.97665583992043703</v>
      </c>
      <c r="D621">
        <v>1.08845719610364</v>
      </c>
      <c r="E621">
        <v>0.72812706185536602</v>
      </c>
      <c r="F621">
        <v>0.217446692678637</v>
      </c>
      <c r="G621">
        <v>0.121786940800602</v>
      </c>
      <c r="H621">
        <v>7.9298939202074606E-2</v>
      </c>
      <c r="I621">
        <v>5.35497591906108E-2</v>
      </c>
      <c r="J621">
        <v>8.0337677443925906E-2</v>
      </c>
      <c r="K621">
        <v>5.9202384828540802E-2</v>
      </c>
      <c r="L621">
        <v>1774.2465604773099</v>
      </c>
      <c r="M621">
        <v>37.120528770277602</v>
      </c>
      <c r="N621">
        <v>48.010735687007603</v>
      </c>
      <c r="O621">
        <v>47.6588419109803</v>
      </c>
      <c r="P621">
        <v>-0.17988464684927</v>
      </c>
      <c r="Q621">
        <v>7.6191232934035999E-2</v>
      </c>
      <c r="R621">
        <v>0.99267067500933803</v>
      </c>
      <c r="S621" t="s">
        <v>7189</v>
      </c>
      <c r="T621" t="s">
        <v>13134</v>
      </c>
      <c r="U621" t="s">
        <v>13134</v>
      </c>
      <c r="V621" t="s">
        <v>13134</v>
      </c>
      <c r="W621" t="s">
        <v>13746</v>
      </c>
      <c r="X621">
        <v>9</v>
      </c>
      <c r="Y621" t="s">
        <v>20242</v>
      </c>
      <c r="Z621" t="s">
        <v>26589</v>
      </c>
      <c r="AA621">
        <v>0.41221579593060059</v>
      </c>
      <c r="AB621" t="str">
        <f>HYPERLINK("Melting_Curves/meltCurve_E9PMJ2_FAM118B.pdf", "Melting_Curves/meltCurve_E9PMJ2_FAM118B.pdf")</f>
        <v>Melting_Curves/meltCurve_E9PMJ2_FAM118B.pdf</v>
      </c>
    </row>
    <row r="622" spans="1:28" x14ac:dyDescent="0.25">
      <c r="A622" t="s">
        <v>626</v>
      </c>
      <c r="B622">
        <v>0.99472303558308395</v>
      </c>
      <c r="C622">
        <v>0.98914721661556404</v>
      </c>
      <c r="D622">
        <v>0.72567125615651795</v>
      </c>
      <c r="E622">
        <v>0.30059385908212599</v>
      </c>
      <c r="F622">
        <v>0.11714786897334301</v>
      </c>
      <c r="G622">
        <v>7.2975752050775305E-2</v>
      </c>
      <c r="H622">
        <v>5.2396893345158901E-2</v>
      </c>
      <c r="I622">
        <v>3.9240441778903901E-2</v>
      </c>
      <c r="J622">
        <v>3.8449568427726101E-2</v>
      </c>
      <c r="K622">
        <v>4.1175618953913501E-2</v>
      </c>
      <c r="L622">
        <v>1105.17212033755</v>
      </c>
      <c r="M622">
        <v>24.729593117705001</v>
      </c>
      <c r="N622">
        <v>44.867590014496102</v>
      </c>
      <c r="O622">
        <v>44.401109168237497</v>
      </c>
      <c r="P622">
        <v>-0.13275925127309299</v>
      </c>
      <c r="Q622">
        <v>4.65552811446346E-2</v>
      </c>
      <c r="R622">
        <v>0.998714157865916</v>
      </c>
      <c r="S622" t="s">
        <v>7190</v>
      </c>
      <c r="T622" t="s">
        <v>13134</v>
      </c>
      <c r="U622" t="s">
        <v>13134</v>
      </c>
      <c r="V622" t="s">
        <v>13134</v>
      </c>
      <c r="W622" t="s">
        <v>13747</v>
      </c>
      <c r="X622">
        <v>6</v>
      </c>
      <c r="Y622" t="s">
        <v>20243</v>
      </c>
      <c r="Z622" t="s">
        <v>26590</v>
      </c>
      <c r="AA622">
        <v>0.29896299902516138</v>
      </c>
      <c r="AB622" t="str">
        <f>HYPERLINK("Melting_Curves/meltCurve_E9PMQ6_HSF1.pdf", "Melting_Curves/meltCurve_E9PMQ6_HSF1.pdf")</f>
        <v>Melting_Curves/meltCurve_E9PMQ6_HSF1.pdf</v>
      </c>
    </row>
    <row r="623" spans="1:28" x14ac:dyDescent="0.25">
      <c r="A623" t="s">
        <v>627</v>
      </c>
      <c r="B623">
        <v>0.99472303558308395</v>
      </c>
      <c r="C623">
        <v>0.67942072463371195</v>
      </c>
      <c r="D623">
        <v>1.1968299576705601</v>
      </c>
      <c r="E623">
        <v>0.83050999465284003</v>
      </c>
      <c r="F623">
        <v>0.38568631484236099</v>
      </c>
      <c r="G623">
        <v>0.48860111569454301</v>
      </c>
      <c r="H623">
        <v>0.35685896479595097</v>
      </c>
      <c r="I623">
        <v>0.405650199077003</v>
      </c>
      <c r="J623">
        <v>0.53832086041816496</v>
      </c>
      <c r="K623">
        <v>0.58971501309785801</v>
      </c>
      <c r="L623">
        <v>11686.343816172899</v>
      </c>
      <c r="M623">
        <v>250</v>
      </c>
      <c r="N623">
        <v>47.226338160936898</v>
      </c>
      <c r="O623">
        <v>46.742388888108501</v>
      </c>
      <c r="P623">
        <v>-0.72096583797597302</v>
      </c>
      <c r="Q623">
        <v>0.46080540923358598</v>
      </c>
      <c r="R623">
        <v>0.73981813828477005</v>
      </c>
      <c r="S623" t="s">
        <v>7191</v>
      </c>
      <c r="T623" t="s">
        <v>13134</v>
      </c>
      <c r="U623" t="s">
        <v>13134</v>
      </c>
      <c r="V623" t="s">
        <v>13134</v>
      </c>
      <c r="W623" t="s">
        <v>13748</v>
      </c>
      <c r="X623">
        <v>3</v>
      </c>
      <c r="Y623" t="s">
        <v>20244</v>
      </c>
      <c r="Z623" t="s">
        <v>26591</v>
      </c>
      <c r="AA623">
        <v>0.6360047642828639</v>
      </c>
      <c r="AB623" t="str">
        <f>HYPERLINK("Melting_Curves/meltCurve_E9PMR4_CD151.pdf", "Melting_Curves/meltCurve_E9PMR4_CD151.pdf")</f>
        <v>Melting_Curves/meltCurve_E9PMR4_CD151.pdf</v>
      </c>
    </row>
    <row r="624" spans="1:28" x14ac:dyDescent="0.25">
      <c r="A624" t="s">
        <v>628</v>
      </c>
      <c r="B624">
        <v>0.99472303558308395</v>
      </c>
      <c r="C624">
        <v>0.81280658238148695</v>
      </c>
      <c r="D624">
        <v>0.86961229699711395</v>
      </c>
      <c r="E624">
        <v>0.64646987889558605</v>
      </c>
      <c r="F624">
        <v>0.31109063621969002</v>
      </c>
      <c r="G624">
        <v>0.22243431135389199</v>
      </c>
      <c r="H624">
        <v>9.2820720328778306E-2</v>
      </c>
      <c r="I624">
        <v>3.4422196075234501E-2</v>
      </c>
      <c r="J624">
        <v>5.3834987741353597E-2</v>
      </c>
      <c r="K624">
        <v>1.56635120740077E-2</v>
      </c>
      <c r="L624">
        <v>637.40626959491703</v>
      </c>
      <c r="M624">
        <v>13.260464345371901</v>
      </c>
      <c r="N624">
        <v>48.0681712389285</v>
      </c>
      <c r="O624">
        <v>47.014444514862497</v>
      </c>
      <c r="P624">
        <v>-7.0524245373859096E-2</v>
      </c>
      <c r="Q624">
        <v>0</v>
      </c>
      <c r="R624">
        <v>0.98211846508719003</v>
      </c>
      <c r="S624" t="s">
        <v>7192</v>
      </c>
      <c r="T624" t="s">
        <v>13134</v>
      </c>
      <c r="U624" t="s">
        <v>13134</v>
      </c>
      <c r="V624" t="s">
        <v>13134</v>
      </c>
      <c r="W624" t="s">
        <v>13749</v>
      </c>
      <c r="X624">
        <v>1</v>
      </c>
      <c r="Y624" t="s">
        <v>20245</v>
      </c>
      <c r="Z624" t="s">
        <v>26592</v>
      </c>
      <c r="AA624">
        <v>0.39578244308620641</v>
      </c>
      <c r="AB624" t="str">
        <f>HYPERLINK("Melting_Curves/meltCurve_E9PMS3_PEX16.pdf", "Melting_Curves/meltCurve_E9PMS3_PEX16.pdf")</f>
        <v>Melting_Curves/meltCurve_E9PMS3_PEX16.pdf</v>
      </c>
    </row>
    <row r="625" spans="1:28" x14ac:dyDescent="0.25">
      <c r="A625" t="s">
        <v>629</v>
      </c>
      <c r="B625">
        <v>0.99472303558308395</v>
      </c>
      <c r="C625">
        <v>0.99243609797000298</v>
      </c>
      <c r="D625">
        <v>1.0601177642219</v>
      </c>
      <c r="E625">
        <v>0.69988099829473505</v>
      </c>
      <c r="F625">
        <v>0.53048041069766105</v>
      </c>
      <c r="G625">
        <v>0.38618352793673999</v>
      </c>
      <c r="H625">
        <v>0.180798656406642</v>
      </c>
      <c r="I625">
        <v>0.102389316352424</v>
      </c>
      <c r="J625">
        <v>0.13415819575552301</v>
      </c>
      <c r="K625">
        <v>9.5359694277951199E-2</v>
      </c>
      <c r="L625">
        <v>761.55997141489797</v>
      </c>
      <c r="M625">
        <v>15.1657685571291</v>
      </c>
      <c r="N625">
        <v>50.788009283860397</v>
      </c>
      <c r="O625">
        <v>49.366924203506201</v>
      </c>
      <c r="P625">
        <v>-7.0775915909080001E-2</v>
      </c>
      <c r="Q625">
        <v>7.8543347627583998E-2</v>
      </c>
      <c r="R625">
        <v>0.97932202703139104</v>
      </c>
      <c r="S625" t="s">
        <v>7193</v>
      </c>
      <c r="T625" t="s">
        <v>13134</v>
      </c>
      <c r="U625" t="s">
        <v>13134</v>
      </c>
      <c r="V625" t="s">
        <v>13134</v>
      </c>
      <c r="W625" t="s">
        <v>13750</v>
      </c>
      <c r="X625">
        <v>1</v>
      </c>
      <c r="Y625" t="s">
        <v>20246</v>
      </c>
      <c r="Z625" t="s">
        <v>26593</v>
      </c>
      <c r="AA625">
        <v>0.50329239480135757</v>
      </c>
      <c r="AB625" t="str">
        <f>HYPERLINK("Melting_Curves/meltCurve_E9PMY4_IFRD1.pdf", "Melting_Curves/meltCurve_E9PMY4_IFRD1.pdf")</f>
        <v>Melting_Curves/meltCurve_E9PMY4_IFRD1.pdf</v>
      </c>
    </row>
    <row r="626" spans="1:28" x14ac:dyDescent="0.25">
      <c r="A626" t="s">
        <v>630</v>
      </c>
      <c r="B626">
        <v>0.99472303558308395</v>
      </c>
      <c r="C626">
        <v>1.06372851226888</v>
      </c>
      <c r="D626">
        <v>0.74265368458984604</v>
      </c>
      <c r="E626">
        <v>0.70227162105313701</v>
      </c>
      <c r="F626">
        <v>1.1341561890674401</v>
      </c>
      <c r="G626">
        <v>0.63444342185071401</v>
      </c>
      <c r="H626">
        <v>0.86157029549080799</v>
      </c>
      <c r="I626">
        <v>0.18377717051335901</v>
      </c>
      <c r="J626">
        <v>0.12885131793721399</v>
      </c>
      <c r="K626">
        <v>0.33392044873191501</v>
      </c>
      <c r="L626">
        <v>14438.425720520199</v>
      </c>
      <c r="M626">
        <v>250</v>
      </c>
      <c r="N626">
        <v>57.884264391908502</v>
      </c>
      <c r="O626">
        <v>57.7500070424406</v>
      </c>
      <c r="P626">
        <v>-0.84900864665617504</v>
      </c>
      <c r="Q626">
        <v>0.21551591593760999</v>
      </c>
      <c r="R626">
        <v>0.71325619464800305</v>
      </c>
      <c r="S626" t="s">
        <v>7194</v>
      </c>
      <c r="T626" t="s">
        <v>13134</v>
      </c>
      <c r="U626" t="s">
        <v>13134</v>
      </c>
      <c r="V626" t="s">
        <v>13134</v>
      </c>
      <c r="W626" t="s">
        <v>13751</v>
      </c>
      <c r="X626">
        <v>29</v>
      </c>
      <c r="Y626" t="s">
        <v>20247</v>
      </c>
      <c r="Z626" t="s">
        <v>26594</v>
      </c>
      <c r="AA626">
        <v>0.75829374865142407</v>
      </c>
      <c r="AB626" t="str">
        <f>HYPERLINK("Melting_Curves/meltCurve_E9PN89_HSPA8.pdf", "Melting_Curves/meltCurve_E9PN89_HSPA8.pdf")</f>
        <v>Melting_Curves/meltCurve_E9PN89_HSPA8.pdf</v>
      </c>
    </row>
    <row r="627" spans="1:28" x14ac:dyDescent="0.25">
      <c r="A627" t="s">
        <v>631</v>
      </c>
      <c r="B627">
        <v>0.99472303558308395</v>
      </c>
      <c r="C627">
        <v>1.13997390828283</v>
      </c>
      <c r="D627">
        <v>0.87749220744838896</v>
      </c>
      <c r="E627">
        <v>0.97928200774261298</v>
      </c>
      <c r="F627">
        <v>0.80942329295981996</v>
      </c>
      <c r="G627">
        <v>0.47559975038035401</v>
      </c>
      <c r="H627">
        <v>0.38768179922117102</v>
      </c>
      <c r="I627">
        <v>0.42794934334819401</v>
      </c>
      <c r="J627">
        <v>0.58284992187485096</v>
      </c>
      <c r="K627">
        <v>0.47699793593434398</v>
      </c>
      <c r="L627">
        <v>3563.6383562553901</v>
      </c>
      <c r="M627">
        <v>70.4103916135454</v>
      </c>
      <c r="N627">
        <v>52.683309720791399</v>
      </c>
      <c r="O627">
        <v>50.571613281480701</v>
      </c>
      <c r="P627">
        <v>-0.18496645670999401</v>
      </c>
      <c r="Q627">
        <v>0.46859834397157302</v>
      </c>
      <c r="R627">
        <v>0.91772766335729905</v>
      </c>
      <c r="S627" t="s">
        <v>7195</v>
      </c>
      <c r="T627" t="s">
        <v>13134</v>
      </c>
      <c r="U627" t="s">
        <v>13134</v>
      </c>
      <c r="V627" t="s">
        <v>13134</v>
      </c>
      <c r="W627" t="s">
        <v>13752</v>
      </c>
      <c r="X627">
        <v>4</v>
      </c>
      <c r="Y627" t="s">
        <v>20248</v>
      </c>
      <c r="Z627" t="s">
        <v>26595</v>
      </c>
      <c r="AA627">
        <v>0.71031653078557844</v>
      </c>
      <c r="AB627" t="str">
        <f>HYPERLINK("Melting_Curves/meltCurve_E9PND3_EBAG9.pdf", "Melting_Curves/meltCurve_E9PND3_EBAG9.pdf")</f>
        <v>Melting_Curves/meltCurve_E9PND3_EBAG9.pdf</v>
      </c>
    </row>
    <row r="628" spans="1:28" x14ac:dyDescent="0.25">
      <c r="A628" t="s">
        <v>632</v>
      </c>
      <c r="B628">
        <v>0.99472303558308395</v>
      </c>
      <c r="C628">
        <v>0.91825382849724202</v>
      </c>
      <c r="D628">
        <v>0.93523858692045003</v>
      </c>
      <c r="E628">
        <v>0.84141741547332405</v>
      </c>
      <c r="F628">
        <v>0.587560696220913</v>
      </c>
      <c r="G628">
        <v>0.46821761246109</v>
      </c>
      <c r="H628">
        <v>0.331772900600178</v>
      </c>
      <c r="I628">
        <v>0.408085766064467</v>
      </c>
      <c r="J628">
        <v>0.54158589709572102</v>
      </c>
      <c r="K628">
        <v>0.44198147097028401</v>
      </c>
      <c r="L628">
        <v>1213.9308490707999</v>
      </c>
      <c r="M628">
        <v>25.197875792297999</v>
      </c>
      <c r="N628">
        <v>52.234460367842502</v>
      </c>
      <c r="O628">
        <v>47.875566454525398</v>
      </c>
      <c r="P628">
        <v>-7.50781140163648E-2</v>
      </c>
      <c r="Q628">
        <v>0.429418509645563</v>
      </c>
      <c r="R628">
        <v>0.94201388095249305</v>
      </c>
      <c r="S628" t="s">
        <v>7196</v>
      </c>
      <c r="T628" t="s">
        <v>13134</v>
      </c>
      <c r="U628" t="s">
        <v>13134</v>
      </c>
      <c r="V628" t="s">
        <v>13134</v>
      </c>
      <c r="W628" t="s">
        <v>13753</v>
      </c>
      <c r="X628">
        <v>11</v>
      </c>
      <c r="Y628" t="s">
        <v>20249</v>
      </c>
      <c r="Z628" t="s">
        <v>26596</v>
      </c>
      <c r="AA628">
        <v>0.64677702946030113</v>
      </c>
      <c r="AB628" t="str">
        <f>HYPERLINK("Melting_Curves/meltCurve_E9PNK6_TPD52L1.pdf", "Melting_Curves/meltCurve_E9PNK6_TPD52L1.pdf")</f>
        <v>Melting_Curves/meltCurve_E9PNK6_TPD52L1.pdf</v>
      </c>
    </row>
    <row r="629" spans="1:28" x14ac:dyDescent="0.25">
      <c r="A629" t="s">
        <v>633</v>
      </c>
      <c r="B629">
        <v>0.99472303558308395</v>
      </c>
      <c r="C629">
        <v>0.97254433198418599</v>
      </c>
      <c r="D629">
        <v>0.89285527344830595</v>
      </c>
      <c r="E629">
        <v>0.84854501779121105</v>
      </c>
      <c r="F629">
        <v>0.69063248538629896</v>
      </c>
      <c r="G629">
        <v>0.47610794886105001</v>
      </c>
      <c r="H629">
        <v>0.40393274328671103</v>
      </c>
      <c r="I629">
        <v>0.27662966329344002</v>
      </c>
      <c r="J629">
        <v>0.18872849785046</v>
      </c>
      <c r="K629">
        <v>0.111009550394309</v>
      </c>
      <c r="L629">
        <v>515.10437781972803</v>
      </c>
      <c r="M629">
        <v>9.4981618487740906</v>
      </c>
      <c r="N629">
        <v>54.232029596507203</v>
      </c>
      <c r="O629">
        <v>51.991264348615303</v>
      </c>
      <c r="P629">
        <v>-4.5698946827184901E-2</v>
      </c>
      <c r="Q629">
        <v>0</v>
      </c>
      <c r="R629">
        <v>0.99444688094860201</v>
      </c>
      <c r="S629" t="s">
        <v>7197</v>
      </c>
      <c r="T629" t="s">
        <v>13134</v>
      </c>
      <c r="U629" t="s">
        <v>13134</v>
      </c>
      <c r="V629" t="s">
        <v>13134</v>
      </c>
      <c r="W629" t="s">
        <v>13754</v>
      </c>
      <c r="X629">
        <v>2</v>
      </c>
      <c r="Y629" t="s">
        <v>20250</v>
      </c>
      <c r="Z629" t="s">
        <v>26597</v>
      </c>
      <c r="AA629">
        <v>0.59023824019128468</v>
      </c>
      <c r="AB629" t="str">
        <f>HYPERLINK("Melting_Curves/meltCurve_E9PNN3_PTS.pdf", "Melting_Curves/meltCurve_E9PNN3_PTS.pdf")</f>
        <v>Melting_Curves/meltCurve_E9PNN3_PTS.pdf</v>
      </c>
    </row>
    <row r="630" spans="1:28" x14ac:dyDescent="0.25">
      <c r="A630" t="s">
        <v>634</v>
      </c>
      <c r="B630">
        <v>0.99472303558308395</v>
      </c>
      <c r="C630">
        <v>1.0432202730076201</v>
      </c>
      <c r="D630">
        <v>0.99256264502887703</v>
      </c>
      <c r="E630">
        <v>0.88274392972417004</v>
      </c>
      <c r="F630">
        <v>0.52579253985449204</v>
      </c>
      <c r="G630">
        <v>0.39056906297261801</v>
      </c>
      <c r="H630">
        <v>0.39746332896775899</v>
      </c>
      <c r="I630">
        <v>0.26419823034452899</v>
      </c>
      <c r="J630">
        <v>0.33955047917883302</v>
      </c>
      <c r="K630">
        <v>0.199744625548362</v>
      </c>
      <c r="L630">
        <v>1225.4355610638199</v>
      </c>
      <c r="M630">
        <v>24.9058519164853</v>
      </c>
      <c r="N630">
        <v>51.012590566700801</v>
      </c>
      <c r="O630">
        <v>48.888802047579503</v>
      </c>
      <c r="P630">
        <v>-8.9998552796671599E-2</v>
      </c>
      <c r="Q630">
        <v>0.29336103509101003</v>
      </c>
      <c r="R630">
        <v>0.97667775147181002</v>
      </c>
      <c r="S630" t="s">
        <v>7198</v>
      </c>
      <c r="T630" t="s">
        <v>13134</v>
      </c>
      <c r="U630" t="s">
        <v>13134</v>
      </c>
      <c r="V630" t="s">
        <v>13134</v>
      </c>
      <c r="W630" t="s">
        <v>13755</v>
      </c>
      <c r="X630">
        <v>5</v>
      </c>
      <c r="Y630" t="s">
        <v>20251</v>
      </c>
      <c r="Z630" t="s">
        <v>26598</v>
      </c>
      <c r="AA630">
        <v>0.58695868580494459</v>
      </c>
      <c r="AB630" t="str">
        <f>HYPERLINK("Melting_Curves/meltCurve_E9PNP3_AAMDC.pdf", "Melting_Curves/meltCurve_E9PNP3_AAMDC.pdf")</f>
        <v>Melting_Curves/meltCurve_E9PNP3_AAMDC.pdf</v>
      </c>
    </row>
    <row r="631" spans="1:28" x14ac:dyDescent="0.25">
      <c r="A631" t="s">
        <v>635</v>
      </c>
      <c r="B631">
        <v>0.99472303558308395</v>
      </c>
      <c r="C631">
        <v>1.1175959641301201</v>
      </c>
      <c r="D631">
        <v>1.00878817809207</v>
      </c>
      <c r="E631">
        <v>0.950403606167047</v>
      </c>
      <c r="F631">
        <v>0.65238599240149797</v>
      </c>
      <c r="G631">
        <v>0.29533363134273499</v>
      </c>
      <c r="H631">
        <v>8.3195506708952996E-2</v>
      </c>
      <c r="I631">
        <v>0.15731102954148299</v>
      </c>
      <c r="J631">
        <v>0.13829238716112099</v>
      </c>
      <c r="K631">
        <v>0</v>
      </c>
      <c r="L631">
        <v>1383.4126793754299</v>
      </c>
      <c r="M631">
        <v>27.015669300648401</v>
      </c>
      <c r="N631">
        <v>51.547621837622899</v>
      </c>
      <c r="O631">
        <v>50.929675710886599</v>
      </c>
      <c r="P631">
        <v>-0.121796290337586</v>
      </c>
      <c r="Q631">
        <v>8.15723722789507E-2</v>
      </c>
      <c r="R631">
        <v>0.98313711574400398</v>
      </c>
      <c r="S631" t="s">
        <v>7199</v>
      </c>
      <c r="T631" t="s">
        <v>13134</v>
      </c>
      <c r="U631" t="s">
        <v>13134</v>
      </c>
      <c r="V631" t="s">
        <v>13134</v>
      </c>
      <c r="W631" t="s">
        <v>13756</v>
      </c>
      <c r="X631">
        <v>2</v>
      </c>
      <c r="Y631" t="s">
        <v>20252</v>
      </c>
      <c r="Z631" t="s">
        <v>26599</v>
      </c>
      <c r="AA631">
        <v>0.52355081798319003</v>
      </c>
      <c r="AB631" t="str">
        <f>HYPERLINK("Melting_Curves/meltCurve_E9PNT2_ARHGAP27.pdf", "Melting_Curves/meltCurve_E9PNT2_ARHGAP27.pdf")</f>
        <v>Melting_Curves/meltCurve_E9PNT2_ARHGAP27.pdf</v>
      </c>
    </row>
    <row r="632" spans="1:28" x14ac:dyDescent="0.25">
      <c r="A632" t="s">
        <v>636</v>
      </c>
      <c r="B632">
        <v>0.99472303558308395</v>
      </c>
      <c r="C632">
        <v>0.95460919339053496</v>
      </c>
      <c r="D632">
        <v>0.90521159688271702</v>
      </c>
      <c r="E632">
        <v>0.87565455729939901</v>
      </c>
      <c r="F632">
        <v>0.58124314111199504</v>
      </c>
      <c r="G632">
        <v>0.48252159910167403</v>
      </c>
      <c r="H632">
        <v>0.31569514113075797</v>
      </c>
      <c r="I632">
        <v>0.48376672369505602</v>
      </c>
      <c r="J632">
        <v>0.54757198454008105</v>
      </c>
      <c r="K632">
        <v>0.59327043356027798</v>
      </c>
      <c r="L632">
        <v>1624.4049164800399</v>
      </c>
      <c r="M632">
        <v>33.826941175768397</v>
      </c>
      <c r="N632">
        <v>53.274642614087298</v>
      </c>
      <c r="O632">
        <v>47.854147413109402</v>
      </c>
      <c r="P632">
        <v>-9.1504233241885599E-2</v>
      </c>
      <c r="Q632">
        <v>0.48220690486505402</v>
      </c>
      <c r="R632">
        <v>0.89257657297809501</v>
      </c>
      <c r="S632" t="s">
        <v>7200</v>
      </c>
      <c r="T632" t="s">
        <v>13134</v>
      </c>
      <c r="U632" t="s">
        <v>13134</v>
      </c>
      <c r="V632" t="s">
        <v>13134</v>
      </c>
      <c r="W632" t="s">
        <v>13757</v>
      </c>
      <c r="X632">
        <v>7</v>
      </c>
      <c r="Y632" t="s">
        <v>20253</v>
      </c>
      <c r="Z632" t="s">
        <v>26600</v>
      </c>
      <c r="AA632">
        <v>0.67483709327427877</v>
      </c>
      <c r="AB632" t="str">
        <f>HYPERLINK("Melting_Curves/meltCurve_E9PNW4_CD59.pdf", "Melting_Curves/meltCurve_E9PNW4_CD59.pdf")</f>
        <v>Melting_Curves/meltCurve_E9PNW4_CD59.pdf</v>
      </c>
    </row>
    <row r="633" spans="1:28" x14ac:dyDescent="0.25">
      <c r="A633" t="s">
        <v>637</v>
      </c>
      <c r="B633">
        <v>0.99472303558308395</v>
      </c>
      <c r="C633">
        <v>1.0928740118532401</v>
      </c>
      <c r="D633">
        <v>0.82957936429954604</v>
      </c>
      <c r="E633">
        <v>0.77087526413778895</v>
      </c>
      <c r="F633">
        <v>0.60030029327960199</v>
      </c>
      <c r="G633">
        <v>0.30790911994643499</v>
      </c>
      <c r="H633">
        <v>0.197276811518421</v>
      </c>
      <c r="I633">
        <v>0.170265321498796</v>
      </c>
      <c r="J633">
        <v>0.1675514723888</v>
      </c>
      <c r="K633">
        <v>0.12624155126269501</v>
      </c>
      <c r="L633">
        <v>734.962145314145</v>
      </c>
      <c r="M633">
        <v>14.6860165577468</v>
      </c>
      <c r="N633">
        <v>50.878840140955099</v>
      </c>
      <c r="O633">
        <v>49.144598090107799</v>
      </c>
      <c r="P633">
        <v>-6.6725328191880096E-2</v>
      </c>
      <c r="Q633">
        <v>0.106951993030642</v>
      </c>
      <c r="R633">
        <v>0.977777946467281</v>
      </c>
      <c r="S633" t="s">
        <v>7201</v>
      </c>
      <c r="T633" t="s">
        <v>13134</v>
      </c>
      <c r="U633" t="s">
        <v>13134</v>
      </c>
      <c r="V633" t="s">
        <v>13134</v>
      </c>
      <c r="W633" t="s">
        <v>13758</v>
      </c>
      <c r="X633">
        <v>2</v>
      </c>
      <c r="Y633" t="s">
        <v>20254</v>
      </c>
      <c r="Z633" t="s">
        <v>26601</v>
      </c>
      <c r="AA633">
        <v>0.51449128028994884</v>
      </c>
      <c r="AB633" t="str">
        <f>HYPERLINK("Melting_Curves/meltCurve_E9PPJ5_MDK.pdf", "Melting_Curves/meltCurve_E9PPJ5_MDK.pdf")</f>
        <v>Melting_Curves/meltCurve_E9PPJ5_MDK.pdf</v>
      </c>
    </row>
    <row r="634" spans="1:28" x14ac:dyDescent="0.25">
      <c r="A634" t="s">
        <v>638</v>
      </c>
      <c r="B634">
        <v>0.99472303558308395</v>
      </c>
      <c r="C634">
        <v>0.96889473104245505</v>
      </c>
      <c r="D634">
        <v>0.77449478235178704</v>
      </c>
      <c r="E634">
        <v>0.62454391982217505</v>
      </c>
      <c r="F634">
        <v>0.79090093652071503</v>
      </c>
      <c r="G634">
        <v>0.36067817328681401</v>
      </c>
      <c r="H634">
        <v>0.31864396681881002</v>
      </c>
      <c r="I634">
        <v>0.111941930873933</v>
      </c>
      <c r="J634">
        <v>9.6299942667425295E-2</v>
      </c>
      <c r="K634">
        <v>0.11880106367080299</v>
      </c>
      <c r="L634">
        <v>487.60822355005001</v>
      </c>
      <c r="M634">
        <v>9.4198370147167001</v>
      </c>
      <c r="N634">
        <v>51.763976619625701</v>
      </c>
      <c r="O634">
        <v>49.5919378300133</v>
      </c>
      <c r="P634">
        <v>-4.7515744036244999E-2</v>
      </c>
      <c r="Q634">
        <v>0</v>
      </c>
      <c r="R634">
        <v>0.92693517351016097</v>
      </c>
      <c r="S634" t="s">
        <v>7202</v>
      </c>
      <c r="T634" t="s">
        <v>13134</v>
      </c>
      <c r="U634" t="s">
        <v>13134</v>
      </c>
      <c r="V634" t="s">
        <v>13134</v>
      </c>
      <c r="W634" t="s">
        <v>13759</v>
      </c>
      <c r="X634">
        <v>7</v>
      </c>
      <c r="Y634" t="s">
        <v>20255</v>
      </c>
      <c r="Z634" t="s">
        <v>26602</v>
      </c>
      <c r="AA634">
        <v>0.5205760142064414</v>
      </c>
      <c r="AB634" t="str">
        <f>HYPERLINK("Melting_Curves/meltCurve_E9PPM8_DERA.pdf", "Melting_Curves/meltCurve_E9PPM8_DERA.pdf")</f>
        <v>Melting_Curves/meltCurve_E9PPM8_DERA.pdf</v>
      </c>
    </row>
    <row r="635" spans="1:28" x14ac:dyDescent="0.25">
      <c r="A635" t="s">
        <v>639</v>
      </c>
      <c r="B635">
        <v>0.99472303558308395</v>
      </c>
      <c r="C635">
        <v>1.0676344142316101</v>
      </c>
      <c r="D635">
        <v>0.85109694144216597</v>
      </c>
      <c r="E635">
        <v>0.67563720671612104</v>
      </c>
      <c r="F635">
        <v>0.52481330112586699</v>
      </c>
      <c r="G635">
        <v>0.18913714211744401</v>
      </c>
      <c r="H635">
        <v>0.10414668709399499</v>
      </c>
      <c r="I635">
        <v>9.19124529640378E-2</v>
      </c>
      <c r="J635">
        <v>9.0305361879441104E-2</v>
      </c>
      <c r="K635">
        <v>6.8505280768384302E-2</v>
      </c>
      <c r="L635">
        <v>759.25740603597296</v>
      </c>
      <c r="M635">
        <v>15.4581777414136</v>
      </c>
      <c r="N635">
        <v>49.405359435493601</v>
      </c>
      <c r="O635">
        <v>48.316912138817003</v>
      </c>
      <c r="P635">
        <v>-7.6538541627740098E-2</v>
      </c>
      <c r="Q635">
        <v>4.3154048463831002E-2</v>
      </c>
      <c r="R635">
        <v>0.98387807153233098</v>
      </c>
      <c r="S635" t="s">
        <v>7203</v>
      </c>
      <c r="T635" t="s">
        <v>13134</v>
      </c>
      <c r="U635" t="s">
        <v>13134</v>
      </c>
      <c r="V635" t="s">
        <v>13134</v>
      </c>
      <c r="W635" t="s">
        <v>13760</v>
      </c>
      <c r="X635">
        <v>4</v>
      </c>
      <c r="Y635" t="s">
        <v>20256</v>
      </c>
      <c r="Z635" t="s">
        <v>26603</v>
      </c>
      <c r="AA635">
        <v>0.44919462102800589</v>
      </c>
      <c r="AB635" t="str">
        <f>HYPERLINK("Melting_Curves/meltCurve_E9PPZ9_GPAA1.pdf", "Melting_Curves/meltCurve_E9PPZ9_GPAA1.pdf")</f>
        <v>Melting_Curves/meltCurve_E9PPZ9_GPAA1.pdf</v>
      </c>
    </row>
    <row r="636" spans="1:28" x14ac:dyDescent="0.25">
      <c r="A636" t="s">
        <v>640</v>
      </c>
      <c r="B636">
        <v>0.99472303558308395</v>
      </c>
      <c r="C636">
        <v>1.06683938556919</v>
      </c>
      <c r="D636">
        <v>0.91602579179328103</v>
      </c>
      <c r="E636">
        <v>0.71216497448543703</v>
      </c>
      <c r="F636">
        <v>0.62971837334537795</v>
      </c>
      <c r="G636">
        <v>0.52950167557218297</v>
      </c>
      <c r="H636">
        <v>0.48907634885624002</v>
      </c>
      <c r="I636">
        <v>0.39171725210763197</v>
      </c>
      <c r="J636">
        <v>0.73092064476399998</v>
      </c>
      <c r="K636">
        <v>0.61905321102926703</v>
      </c>
      <c r="L636">
        <v>1254.2089382424001</v>
      </c>
      <c r="M636">
        <v>27.475073124865901</v>
      </c>
      <c r="O636">
        <v>45.4091994353182</v>
      </c>
      <c r="P636">
        <v>-6.7051984925884794E-2</v>
      </c>
      <c r="Q636">
        <v>0.55672561475058302</v>
      </c>
      <c r="R636">
        <v>0.83296471972234398</v>
      </c>
      <c r="S636" t="s">
        <v>7204</v>
      </c>
      <c r="T636" t="s">
        <v>13134</v>
      </c>
      <c r="U636" t="s">
        <v>13134</v>
      </c>
      <c r="V636" t="s">
        <v>13134</v>
      </c>
      <c r="W636" t="s">
        <v>13761</v>
      </c>
      <c r="X636">
        <v>2</v>
      </c>
      <c r="Y636" t="s">
        <v>20257</v>
      </c>
      <c r="Z636" t="s">
        <v>26604</v>
      </c>
      <c r="AA636">
        <v>0.68753239536615374</v>
      </c>
      <c r="AB636" t="str">
        <f>HYPERLINK("Melting_Curves/meltCurve_E9PQ59_NFRKB.pdf", "Melting_Curves/meltCurve_E9PQ59_NFRKB.pdf")</f>
        <v>Melting_Curves/meltCurve_E9PQ59_NFRKB.pdf</v>
      </c>
    </row>
    <row r="637" spans="1:28" x14ac:dyDescent="0.25">
      <c r="A637" t="s">
        <v>641</v>
      </c>
      <c r="B637">
        <v>0.99472303558308395</v>
      </c>
      <c r="C637">
        <v>1.50676397985123</v>
      </c>
      <c r="D637">
        <v>1.4336973785840801</v>
      </c>
      <c r="E637">
        <v>0.97015390807933899</v>
      </c>
      <c r="F637">
        <v>0.72177610087496702</v>
      </c>
      <c r="G637">
        <v>0.51628440273869503</v>
      </c>
      <c r="H637">
        <v>0.314508320718693</v>
      </c>
      <c r="I637">
        <v>0.23075650227002001</v>
      </c>
      <c r="J637">
        <v>0.15201689542830499</v>
      </c>
      <c r="K637">
        <v>0.141610614230509</v>
      </c>
      <c r="L637">
        <v>1116.94270587343</v>
      </c>
      <c r="M637">
        <v>21.134051615035201</v>
      </c>
      <c r="N637">
        <v>53.796987304048798</v>
      </c>
      <c r="O637">
        <v>52.384021007336102</v>
      </c>
      <c r="P637">
        <v>-8.5202080545061495E-2</v>
      </c>
      <c r="Q637">
        <v>0.15527588497127501</v>
      </c>
      <c r="R637">
        <v>0.80559196758830698</v>
      </c>
      <c r="S637" t="s">
        <v>7205</v>
      </c>
      <c r="T637" t="s">
        <v>13134</v>
      </c>
      <c r="U637" t="s">
        <v>13134</v>
      </c>
      <c r="V637" t="s">
        <v>13134</v>
      </c>
      <c r="W637" t="s">
        <v>13762</v>
      </c>
      <c r="X637">
        <v>1</v>
      </c>
      <c r="Y637" t="s">
        <v>20258</v>
      </c>
      <c r="Z637" t="s">
        <v>26605</v>
      </c>
      <c r="AA637">
        <v>0.61142314703722878</v>
      </c>
      <c r="AB637" t="str">
        <f>HYPERLINK("Melting_Curves/meltCurve_E9PQ62_VWA5B1.pdf", "Melting_Curves/meltCurve_E9PQ62_VWA5B1.pdf")</f>
        <v>Melting_Curves/meltCurve_E9PQ62_VWA5B1.pdf</v>
      </c>
    </row>
    <row r="638" spans="1:28" x14ac:dyDescent="0.25">
      <c r="A638" t="s">
        <v>642</v>
      </c>
      <c r="B638">
        <v>0.99472303558308395</v>
      </c>
      <c r="C638">
        <v>1.11144591496751</v>
      </c>
      <c r="D638">
        <v>0.95878773849186005</v>
      </c>
      <c r="E638">
        <v>0.85277526072030096</v>
      </c>
      <c r="F638">
        <v>0.52681225781199204</v>
      </c>
      <c r="G638">
        <v>0.27358494446827702</v>
      </c>
      <c r="H638">
        <v>0.15345442979301799</v>
      </c>
      <c r="I638">
        <v>0.12652924755036599</v>
      </c>
      <c r="J638">
        <v>0.19088457904644299</v>
      </c>
      <c r="K638">
        <v>0.123202036079538</v>
      </c>
      <c r="L638">
        <v>1171.44467675282</v>
      </c>
      <c r="M638">
        <v>23.533961563159298</v>
      </c>
      <c r="N638">
        <v>50.464970759145203</v>
      </c>
      <c r="O638">
        <v>49.421543525144301</v>
      </c>
      <c r="P638">
        <v>-0.102707835106634</v>
      </c>
      <c r="Q638">
        <v>0.13726501331864099</v>
      </c>
      <c r="R638">
        <v>0.98854283175047597</v>
      </c>
      <c r="S638" t="s">
        <v>7206</v>
      </c>
      <c r="T638" t="s">
        <v>13134</v>
      </c>
      <c r="U638" t="s">
        <v>13134</v>
      </c>
      <c r="V638" t="s">
        <v>13134</v>
      </c>
      <c r="W638" t="s">
        <v>13763</v>
      </c>
      <c r="X638">
        <v>2</v>
      </c>
      <c r="Y638" t="s">
        <v>20259</v>
      </c>
      <c r="Z638" t="s">
        <v>26606</v>
      </c>
      <c r="AA638">
        <v>0.51313913188983762</v>
      </c>
      <c r="AB638" t="str">
        <f>HYPERLINK("Melting_Curves/meltCurve_E9PQN5_PPP2R5B.pdf", "Melting_Curves/meltCurve_E9PQN5_PPP2R5B.pdf")</f>
        <v>Melting_Curves/meltCurve_E9PQN5_PPP2R5B.pdf</v>
      </c>
    </row>
    <row r="639" spans="1:28" x14ac:dyDescent="0.25">
      <c r="A639" t="s">
        <v>643</v>
      </c>
      <c r="B639">
        <v>0.99472303558308395</v>
      </c>
      <c r="C639">
        <v>0.979006171975351</v>
      </c>
      <c r="D639">
        <v>0.97978029896406904</v>
      </c>
      <c r="E639">
        <v>0.87438307786781</v>
      </c>
      <c r="F639">
        <v>0.73375015782388697</v>
      </c>
      <c r="G639">
        <v>0.54384076163528505</v>
      </c>
      <c r="H639">
        <v>0.37633673313729998</v>
      </c>
      <c r="I639">
        <v>0.27686325479757101</v>
      </c>
      <c r="J639">
        <v>0.212490264337069</v>
      </c>
      <c r="K639">
        <v>0.261087993734891</v>
      </c>
      <c r="L639">
        <v>757.67734989311998</v>
      </c>
      <c r="M639">
        <v>14.3945965367075</v>
      </c>
      <c r="N639">
        <v>54.427730995088702</v>
      </c>
      <c r="O639">
        <v>51.651622025035302</v>
      </c>
      <c r="P639">
        <v>-5.6532308519009103E-2</v>
      </c>
      <c r="Q639">
        <v>0.188684497807621</v>
      </c>
      <c r="R639">
        <v>0.99649119727957403</v>
      </c>
      <c r="S639" t="s">
        <v>7207</v>
      </c>
      <c r="T639" t="s">
        <v>13134</v>
      </c>
      <c r="U639" t="s">
        <v>13134</v>
      </c>
      <c r="V639" t="s">
        <v>13134</v>
      </c>
      <c r="W639" t="s">
        <v>13764</v>
      </c>
      <c r="X639">
        <v>5</v>
      </c>
      <c r="Y639" t="s">
        <v>20260</v>
      </c>
      <c r="Z639" t="s">
        <v>26607</v>
      </c>
      <c r="AA639">
        <v>0.62706516639416632</v>
      </c>
      <c r="AB639" t="str">
        <f>HYPERLINK("Melting_Curves/meltCurve_E9PQY3_ACP2.pdf", "Melting_Curves/meltCurve_E9PQY3_ACP2.pdf")</f>
        <v>Melting_Curves/meltCurve_E9PQY3_ACP2.pdf</v>
      </c>
    </row>
    <row r="640" spans="1:28" x14ac:dyDescent="0.25">
      <c r="A640" t="s">
        <v>644</v>
      </c>
      <c r="B640">
        <v>0.99472303558308395</v>
      </c>
      <c r="C640">
        <v>1.16665134179909</v>
      </c>
      <c r="D640">
        <v>0.77576129350011902</v>
      </c>
      <c r="E640">
        <v>0.54418371922960596</v>
      </c>
      <c r="F640">
        <v>0.28598683506116301</v>
      </c>
      <c r="G640">
        <v>0.284937154821017</v>
      </c>
      <c r="H640">
        <v>0.15089567611982499</v>
      </c>
      <c r="I640">
        <v>9.9138625250580995E-2</v>
      </c>
      <c r="J640">
        <v>9.2477972851225901E-2</v>
      </c>
      <c r="K640">
        <v>0</v>
      </c>
      <c r="L640">
        <v>776.47158559732702</v>
      </c>
      <c r="M640">
        <v>16.529364572204202</v>
      </c>
      <c r="N640">
        <v>47.474433214713599</v>
      </c>
      <c r="O640">
        <v>46.303870251675498</v>
      </c>
      <c r="P640">
        <v>-8.2131202514425197E-2</v>
      </c>
      <c r="Q640">
        <v>7.9763606545764698E-2</v>
      </c>
      <c r="R640">
        <v>0.95407552232878901</v>
      </c>
      <c r="S640" t="s">
        <v>7208</v>
      </c>
      <c r="T640" t="s">
        <v>13134</v>
      </c>
      <c r="U640" t="s">
        <v>13134</v>
      </c>
      <c r="V640" t="s">
        <v>13134</v>
      </c>
      <c r="W640" t="s">
        <v>13765</v>
      </c>
      <c r="X640">
        <v>2</v>
      </c>
      <c r="Y640" t="s">
        <v>20261</v>
      </c>
      <c r="Z640" t="s">
        <v>26608</v>
      </c>
      <c r="AA640">
        <v>0.40310575356223222</v>
      </c>
      <c r="AB640" t="str">
        <f>HYPERLINK("Melting_Curves/meltCurve_E9PR25_NEU3.pdf", "Melting_Curves/meltCurve_E9PR25_NEU3.pdf")</f>
        <v>Melting_Curves/meltCurve_E9PR25_NEU3.pdf</v>
      </c>
    </row>
    <row r="641" spans="1:28" x14ac:dyDescent="0.25">
      <c r="A641" t="s">
        <v>645</v>
      </c>
      <c r="B641">
        <v>0.99472303558308395</v>
      </c>
      <c r="C641">
        <v>0.91206412128166403</v>
      </c>
      <c r="D641">
        <v>0.88921716437366405</v>
      </c>
      <c r="E641">
        <v>0.79010147665708297</v>
      </c>
      <c r="F641">
        <v>0.97181230274057395</v>
      </c>
      <c r="G641">
        <v>0.485824283320067</v>
      </c>
      <c r="H641">
        <v>0.34560835006185497</v>
      </c>
      <c r="I641">
        <v>0.33880111525405499</v>
      </c>
      <c r="J641">
        <v>0.33358921120805701</v>
      </c>
      <c r="K641">
        <v>0.39530120782239803</v>
      </c>
      <c r="L641">
        <v>3280.0402619936899</v>
      </c>
      <c r="M641">
        <v>62.3191194579354</v>
      </c>
      <c r="N641">
        <v>53.684350229574903</v>
      </c>
      <c r="O641">
        <v>52.578852422548003</v>
      </c>
      <c r="P641">
        <v>-0.191876465139599</v>
      </c>
      <c r="Q641">
        <v>0.352452935537233</v>
      </c>
      <c r="R641">
        <v>0.91123513491228203</v>
      </c>
      <c r="S641" t="s">
        <v>7209</v>
      </c>
      <c r="T641" t="s">
        <v>13134</v>
      </c>
      <c r="U641" t="s">
        <v>13134</v>
      </c>
      <c r="V641" t="s">
        <v>13134</v>
      </c>
      <c r="W641" t="s">
        <v>13766</v>
      </c>
      <c r="X641">
        <v>2</v>
      </c>
      <c r="Y641" t="s">
        <v>20262</v>
      </c>
      <c r="Z641" t="s">
        <v>26609</v>
      </c>
      <c r="AA641">
        <v>0.69085481189808129</v>
      </c>
      <c r="AB641" t="str">
        <f>HYPERLINK("Melting_Curves/meltCurve_E9PR30_FAU.pdf", "Melting_Curves/meltCurve_E9PR30_FAU.pdf")</f>
        <v>Melting_Curves/meltCurve_E9PR30_FAU.pdf</v>
      </c>
    </row>
    <row r="642" spans="1:28" x14ac:dyDescent="0.25">
      <c r="A642" t="s">
        <v>646</v>
      </c>
      <c r="B642">
        <v>0.99472303558308395</v>
      </c>
      <c r="C642">
        <v>0.86811494668893796</v>
      </c>
      <c r="D642">
        <v>0.81996961078056196</v>
      </c>
      <c r="E642">
        <v>0.47039557920661201</v>
      </c>
      <c r="F642">
        <v>0.2193603784874</v>
      </c>
      <c r="G642">
        <v>0.15639348290777699</v>
      </c>
      <c r="H642">
        <v>9.7020872101830996E-2</v>
      </c>
      <c r="I642">
        <v>8.4603917247531704E-2</v>
      </c>
      <c r="J642">
        <v>0.110938631519231</v>
      </c>
      <c r="K642">
        <v>6.6655632864556294E-2</v>
      </c>
      <c r="L642">
        <v>810.98789010947803</v>
      </c>
      <c r="M642">
        <v>17.694987180852699</v>
      </c>
      <c r="N642">
        <v>46.277517569278999</v>
      </c>
      <c r="O642">
        <v>45.258179323364402</v>
      </c>
      <c r="P642">
        <v>-9.0086708543463997E-2</v>
      </c>
      <c r="Q642">
        <v>7.8395475263664097E-2</v>
      </c>
      <c r="R642">
        <v>0.99332960313009</v>
      </c>
      <c r="S642" t="s">
        <v>7210</v>
      </c>
      <c r="T642" t="s">
        <v>13134</v>
      </c>
      <c r="U642" t="s">
        <v>13134</v>
      </c>
      <c r="V642" t="s">
        <v>13134</v>
      </c>
      <c r="W642" t="s">
        <v>13767</v>
      </c>
      <c r="X642">
        <v>2</v>
      </c>
      <c r="Y642" t="s">
        <v>20263</v>
      </c>
      <c r="Z642" t="s">
        <v>26610</v>
      </c>
      <c r="AA642">
        <v>0.36514183412530599</v>
      </c>
      <c r="AB642" t="str">
        <f>HYPERLINK("Melting_Curves/meltCurve_E9PR76_MAF1.pdf", "Melting_Curves/meltCurve_E9PR76_MAF1.pdf")</f>
        <v>Melting_Curves/meltCurve_E9PR76_MAF1.pdf</v>
      </c>
    </row>
    <row r="643" spans="1:28" x14ac:dyDescent="0.25">
      <c r="A643" t="s">
        <v>647</v>
      </c>
      <c r="B643">
        <v>0.99472303558308395</v>
      </c>
      <c r="C643">
        <v>1.1705000707440401</v>
      </c>
      <c r="D643">
        <v>1.0436358272171899</v>
      </c>
      <c r="E643">
        <v>0.95528078106703496</v>
      </c>
      <c r="F643">
        <v>0.81951518863711403</v>
      </c>
      <c r="G643">
        <v>0.63571567009691299</v>
      </c>
      <c r="H643">
        <v>0.55069677703263897</v>
      </c>
      <c r="I643">
        <v>0.54168006608864605</v>
      </c>
      <c r="J643">
        <v>0.605190555852958</v>
      </c>
      <c r="K643">
        <v>0.310807450886111</v>
      </c>
      <c r="L643">
        <v>947.54385424297698</v>
      </c>
      <c r="M643">
        <v>18.127134499866301</v>
      </c>
      <c r="N643">
        <v>60.553755654581103</v>
      </c>
      <c r="O643">
        <v>51.648428233567103</v>
      </c>
      <c r="P643">
        <v>-4.7550789641185497E-2</v>
      </c>
      <c r="Q643">
        <v>0.458092922662234</v>
      </c>
      <c r="R643">
        <v>0.88672637767304496</v>
      </c>
      <c r="S643" t="s">
        <v>7211</v>
      </c>
      <c r="T643" t="s">
        <v>13134</v>
      </c>
      <c r="U643" t="s">
        <v>13134</v>
      </c>
      <c r="V643" t="s">
        <v>13134</v>
      </c>
      <c r="W643" t="s">
        <v>13768</v>
      </c>
      <c r="X643">
        <v>5</v>
      </c>
      <c r="Y643" t="s">
        <v>20264</v>
      </c>
      <c r="Z643" t="s">
        <v>26611</v>
      </c>
      <c r="AA643">
        <v>0.74200265840856405</v>
      </c>
      <c r="AB643" t="str">
        <f>HYPERLINK("Melting_Curves/meltCurve_E9PRA1_TATDN3.pdf", "Melting_Curves/meltCurve_E9PRA1_TATDN3.pdf")</f>
        <v>Melting_Curves/meltCurve_E9PRA1_TATDN3.pdf</v>
      </c>
    </row>
    <row r="644" spans="1:28" x14ac:dyDescent="0.25">
      <c r="A644" t="s">
        <v>648</v>
      </c>
      <c r="B644">
        <v>0.99472303558308395</v>
      </c>
      <c r="C644">
        <v>0.94437500833261301</v>
      </c>
      <c r="D644">
        <v>0.96220389585847499</v>
      </c>
      <c r="E644">
        <v>0.86571514793701498</v>
      </c>
      <c r="F644">
        <v>0.71464320628524003</v>
      </c>
      <c r="G644">
        <v>0.474525812433848</v>
      </c>
      <c r="H644">
        <v>0.23194554016590599</v>
      </c>
      <c r="I644">
        <v>0.21375926764743</v>
      </c>
      <c r="J644">
        <v>0.19218788671897899</v>
      </c>
      <c r="K644">
        <v>0.188366715641546</v>
      </c>
      <c r="L644">
        <v>895.237974444521</v>
      </c>
      <c r="M644">
        <v>17.2633978729476</v>
      </c>
      <c r="N644">
        <v>52.982076753766201</v>
      </c>
      <c r="O644">
        <v>51.176741230525799</v>
      </c>
      <c r="P644">
        <v>-7.1400874576492093E-2</v>
      </c>
      <c r="Q644">
        <v>0.15338767240269699</v>
      </c>
      <c r="R644">
        <v>0.99264810977349305</v>
      </c>
      <c r="S644" t="s">
        <v>7212</v>
      </c>
      <c r="T644" t="s">
        <v>13134</v>
      </c>
      <c r="U644" t="s">
        <v>13134</v>
      </c>
      <c r="V644" t="s">
        <v>13134</v>
      </c>
      <c r="W644" t="s">
        <v>13769</v>
      </c>
      <c r="X644">
        <v>7</v>
      </c>
      <c r="Y644" t="s">
        <v>20265</v>
      </c>
      <c r="Z644" t="s">
        <v>26612</v>
      </c>
      <c r="AA644">
        <v>0.58631488790026864</v>
      </c>
      <c r="AB644" t="str">
        <f>HYPERLINK("Melting_Curves/meltCurve_E9PRR8_EIF1AD.pdf", "Melting_Curves/meltCurve_E9PRR8_EIF1AD.pdf")</f>
        <v>Melting_Curves/meltCurve_E9PRR8_EIF1AD.pdf</v>
      </c>
    </row>
    <row r="645" spans="1:28" x14ac:dyDescent="0.25">
      <c r="A645" t="s">
        <v>649</v>
      </c>
      <c r="B645">
        <v>0.99472303558308395</v>
      </c>
      <c r="C645">
        <v>0.89622463975448796</v>
      </c>
      <c r="D645">
        <v>0.66137760196012996</v>
      </c>
      <c r="E645">
        <v>0.57373487015380498</v>
      </c>
      <c r="F645">
        <v>0.30031746806271198</v>
      </c>
      <c r="G645">
        <v>5.3363716473727001E-2</v>
      </c>
      <c r="H645">
        <v>3.8159269879699698E-2</v>
      </c>
      <c r="I645">
        <v>3.1835106438687998E-2</v>
      </c>
      <c r="J645">
        <v>3.9095154336991497E-2</v>
      </c>
      <c r="K645">
        <v>3.1948713512781703E-2</v>
      </c>
      <c r="L645">
        <v>623.56793723314797</v>
      </c>
      <c r="M645">
        <v>13.4254329339173</v>
      </c>
      <c r="N645">
        <v>46.4467652913211</v>
      </c>
      <c r="O645">
        <v>45.452572899012502</v>
      </c>
      <c r="P645">
        <v>-7.3854591954277696E-2</v>
      </c>
      <c r="Q645">
        <v>0</v>
      </c>
      <c r="R645">
        <v>0.98158406613679094</v>
      </c>
      <c r="S645" t="s">
        <v>7213</v>
      </c>
      <c r="T645" t="s">
        <v>13134</v>
      </c>
      <c r="U645" t="s">
        <v>13134</v>
      </c>
      <c r="V645" t="s">
        <v>13134</v>
      </c>
      <c r="W645" t="s">
        <v>13770</v>
      </c>
      <c r="X645">
        <v>18</v>
      </c>
      <c r="Y645" t="s">
        <v>20217</v>
      </c>
      <c r="Z645" t="s">
        <v>26613</v>
      </c>
      <c r="AA645">
        <v>0.34275054250770048</v>
      </c>
      <c r="AB645" t="str">
        <f>HYPERLINK("Melting_Curves/meltCurve_E9PRY8_EEF1D.pdf", "Melting_Curves/meltCurve_E9PRY8_EEF1D.pdf")</f>
        <v>Melting_Curves/meltCurve_E9PRY8_EEF1D.pdf</v>
      </c>
    </row>
    <row r="646" spans="1:28" x14ac:dyDescent="0.25">
      <c r="A646" t="s">
        <v>650</v>
      </c>
      <c r="B646">
        <v>0.99472303558308395</v>
      </c>
      <c r="C646">
        <v>1.0736683639986599</v>
      </c>
      <c r="D646">
        <v>0.92982147614490496</v>
      </c>
      <c r="E646">
        <v>0.85550654809538595</v>
      </c>
      <c r="F646">
        <v>0.59063055310566903</v>
      </c>
      <c r="G646">
        <v>0.40454647443761199</v>
      </c>
      <c r="H646">
        <v>0.290937007944986</v>
      </c>
      <c r="I646">
        <v>0.23214130898389301</v>
      </c>
      <c r="J646">
        <v>0.23517703110517699</v>
      </c>
      <c r="K646">
        <v>0.19114203820860801</v>
      </c>
      <c r="L646">
        <v>874.32862870386202</v>
      </c>
      <c r="M646">
        <v>17.380007631328599</v>
      </c>
      <c r="N646">
        <v>51.832124782326602</v>
      </c>
      <c r="O646">
        <v>49.654743229721603</v>
      </c>
      <c r="P646">
        <v>-6.9988688052452896E-2</v>
      </c>
      <c r="Q646">
        <v>0.20021360318321799</v>
      </c>
      <c r="R646">
        <v>0.99193213986215001</v>
      </c>
      <c r="S646" t="s">
        <v>7214</v>
      </c>
      <c r="T646" t="s">
        <v>13134</v>
      </c>
      <c r="U646" t="s">
        <v>13134</v>
      </c>
      <c r="V646" t="s">
        <v>13134</v>
      </c>
      <c r="W646" t="s">
        <v>13771</v>
      </c>
      <c r="X646">
        <v>6</v>
      </c>
      <c r="Y646" t="s">
        <v>20266</v>
      </c>
      <c r="Z646" t="s">
        <v>26614</v>
      </c>
      <c r="AA646">
        <v>0.56823533459243847</v>
      </c>
      <c r="AB646" t="str">
        <f>HYPERLINK("Melting_Curves/meltCurve_E9PS00_FADS3.pdf", "Melting_Curves/meltCurve_E9PS00_FADS3.pdf")</f>
        <v>Melting_Curves/meltCurve_E9PS00_FADS3.pdf</v>
      </c>
    </row>
    <row r="647" spans="1:28" x14ac:dyDescent="0.25">
      <c r="A647" t="s">
        <v>651</v>
      </c>
      <c r="B647">
        <v>0.99472303558308395</v>
      </c>
      <c r="C647">
        <v>0.96715073441954402</v>
      </c>
      <c r="D647">
        <v>0.90133833031617205</v>
      </c>
      <c r="E647">
        <v>0.80759844389275903</v>
      </c>
      <c r="F647">
        <v>0.57916681610114396</v>
      </c>
      <c r="G647">
        <v>0.143738448267482</v>
      </c>
      <c r="H647">
        <v>9.4500608513769097E-2</v>
      </c>
      <c r="I647">
        <v>6.64155216880018E-2</v>
      </c>
      <c r="J647">
        <v>7.8010589261330601E-2</v>
      </c>
      <c r="K647">
        <v>6.0867129477596003E-2</v>
      </c>
      <c r="L647">
        <v>1088.10856166037</v>
      </c>
      <c r="M647">
        <v>21.736852791609302</v>
      </c>
      <c r="N647">
        <v>50.278177124088998</v>
      </c>
      <c r="O647">
        <v>49.6403407479553</v>
      </c>
      <c r="P647">
        <v>-0.10450930832221</v>
      </c>
      <c r="Q647">
        <v>4.5352838640287101E-2</v>
      </c>
      <c r="R647">
        <v>0.98812169739623001</v>
      </c>
      <c r="S647" t="s">
        <v>7215</v>
      </c>
      <c r="T647" t="s">
        <v>13134</v>
      </c>
      <c r="U647" t="s">
        <v>13134</v>
      </c>
      <c r="V647" t="s">
        <v>13134</v>
      </c>
      <c r="W647" t="s">
        <v>13772</v>
      </c>
      <c r="X647">
        <v>12</v>
      </c>
      <c r="Y647" t="s">
        <v>20267</v>
      </c>
      <c r="Z647" t="s">
        <v>26615</v>
      </c>
      <c r="AA647">
        <v>0.47172395640699333</v>
      </c>
      <c r="AB647" t="str">
        <f>HYPERLINK("Melting_Curves/meltCurve_E9PS17_SCYL1.pdf", "Melting_Curves/meltCurve_E9PS17_SCYL1.pdf")</f>
        <v>Melting_Curves/meltCurve_E9PS17_SCYL1.pdf</v>
      </c>
    </row>
    <row r="648" spans="1:28" x14ac:dyDescent="0.25">
      <c r="A648" t="s">
        <v>652</v>
      </c>
      <c r="B648">
        <v>0.99472303558308395</v>
      </c>
      <c r="C648">
        <v>0.97614496336159395</v>
      </c>
      <c r="D648">
        <v>1.1514865386314399</v>
      </c>
      <c r="E648">
        <v>0.98003049933767294</v>
      </c>
      <c r="F648">
        <v>0.48088949395527297</v>
      </c>
      <c r="G648">
        <v>0.51751068717283699</v>
      </c>
      <c r="H648">
        <v>0.377034973610612</v>
      </c>
      <c r="I648">
        <v>0.260201452965859</v>
      </c>
      <c r="J648">
        <v>0.31865887983329599</v>
      </c>
      <c r="K648">
        <v>0.19312336261521401</v>
      </c>
      <c r="L648">
        <v>2198.1767532277099</v>
      </c>
      <c r="M648">
        <v>44.7438367572815</v>
      </c>
      <c r="N648">
        <v>50.3124061161692</v>
      </c>
      <c r="O648">
        <v>49.030202709410297</v>
      </c>
      <c r="P648">
        <v>-0.15385954693586101</v>
      </c>
      <c r="Q648">
        <v>0.32560501495320499</v>
      </c>
      <c r="R648">
        <v>0.92963655820181501</v>
      </c>
      <c r="S648" t="s">
        <v>7216</v>
      </c>
      <c r="T648" t="s">
        <v>13134</v>
      </c>
      <c r="U648" t="s">
        <v>13134</v>
      </c>
      <c r="V648" t="s">
        <v>13134</v>
      </c>
      <c r="W648" t="s">
        <v>13773</v>
      </c>
      <c r="X648">
        <v>6</v>
      </c>
      <c r="Y648" t="s">
        <v>20232</v>
      </c>
      <c r="Z648" t="s">
        <v>26616</v>
      </c>
      <c r="AA648">
        <v>0.60006843702227974</v>
      </c>
      <c r="AB648" t="str">
        <f>HYPERLINK("Melting_Curves/meltCurve_E9PS38_NEDD8_MDP1.pdf", "Melting_Curves/meltCurve_E9PS38_NEDD8_MDP1.pdf")</f>
        <v>Melting_Curves/meltCurve_E9PS38_NEDD8_MDP1.pdf</v>
      </c>
    </row>
    <row r="649" spans="1:28" x14ac:dyDescent="0.25">
      <c r="A649" t="s">
        <v>653</v>
      </c>
      <c r="B649">
        <v>0.99472303558308395</v>
      </c>
      <c r="C649">
        <v>0.90977825590669104</v>
      </c>
      <c r="D649">
        <v>1.0174637624392799</v>
      </c>
      <c r="E649">
        <v>0.81768867785542299</v>
      </c>
      <c r="F649">
        <v>0.55432532100044996</v>
      </c>
      <c r="G649">
        <v>0.49142632126024199</v>
      </c>
      <c r="H649">
        <v>0.486356609481776</v>
      </c>
      <c r="I649">
        <v>0.460484622067099</v>
      </c>
      <c r="J649">
        <v>0.69559657208264503</v>
      </c>
      <c r="K649">
        <v>0.49638749244133301</v>
      </c>
      <c r="L649">
        <v>2386.65459468263</v>
      </c>
      <c r="M649">
        <v>50.734793335518503</v>
      </c>
      <c r="O649">
        <v>46.968872631668702</v>
      </c>
      <c r="P649">
        <v>-0.127627840016375</v>
      </c>
      <c r="Q649">
        <v>0.52738318056606204</v>
      </c>
      <c r="R649">
        <v>0.89989748675694703</v>
      </c>
      <c r="S649" t="s">
        <v>7217</v>
      </c>
      <c r="T649" t="s">
        <v>13134</v>
      </c>
      <c r="U649" t="s">
        <v>13134</v>
      </c>
      <c r="V649" t="s">
        <v>13134</v>
      </c>
      <c r="W649" t="s">
        <v>13774</v>
      </c>
      <c r="X649">
        <v>12</v>
      </c>
      <c r="Y649" t="s">
        <v>20268</v>
      </c>
      <c r="Z649" t="s">
        <v>26617</v>
      </c>
      <c r="AA649">
        <v>0.68653253725306462</v>
      </c>
      <c r="AB649" t="str">
        <f>HYPERLINK("Melting_Curves/meltCurve_E9PSI1_TM9SF1.pdf", "Melting_Curves/meltCurve_E9PSI1_TM9SF1.pdf")</f>
        <v>Melting_Curves/meltCurve_E9PSI1_TM9SF1.pdf</v>
      </c>
    </row>
    <row r="650" spans="1:28" x14ac:dyDescent="0.25">
      <c r="A650" t="s">
        <v>654</v>
      </c>
      <c r="B650">
        <v>0.99472303558308395</v>
      </c>
      <c r="C650">
        <v>1.1091669362693299</v>
      </c>
      <c r="D650">
        <v>0.95346009181626901</v>
      </c>
      <c r="E650">
        <v>0.82722228102561302</v>
      </c>
      <c r="F650">
        <v>0.53377643471354197</v>
      </c>
      <c r="G650">
        <v>0.27629715600871002</v>
      </c>
      <c r="H650">
        <v>0.101729400158916</v>
      </c>
      <c r="I650">
        <v>6.5500086132744703E-2</v>
      </c>
      <c r="J650">
        <v>8.2539751171109704E-2</v>
      </c>
      <c r="K650">
        <v>2.23203257937163E-2</v>
      </c>
      <c r="L650">
        <v>961.36687748799898</v>
      </c>
      <c r="M650">
        <v>19.062939507285101</v>
      </c>
      <c r="N650">
        <v>50.620935970222099</v>
      </c>
      <c r="O650">
        <v>49.886045764612803</v>
      </c>
      <c r="P650">
        <v>-9.2242117962450201E-2</v>
      </c>
      <c r="Q650">
        <v>3.4479472798098799E-2</v>
      </c>
      <c r="R650">
        <v>0.99093560169442896</v>
      </c>
      <c r="S650" t="s">
        <v>7218</v>
      </c>
      <c r="T650" t="s">
        <v>13134</v>
      </c>
      <c r="U650" t="s">
        <v>13134</v>
      </c>
      <c r="V650" t="s">
        <v>13134</v>
      </c>
      <c r="W650" t="s">
        <v>13775</v>
      </c>
      <c r="X650">
        <v>6</v>
      </c>
      <c r="Y650" t="s">
        <v>20269</v>
      </c>
      <c r="Z650" t="s">
        <v>26618</v>
      </c>
      <c r="AA650">
        <v>0.48051621247482579</v>
      </c>
      <c r="AB650" t="str">
        <f>HYPERLINK("Melting_Curves/meltCurve_F2Z2I2_PFKFB3.pdf", "Melting_Curves/meltCurve_F2Z2I2_PFKFB3.pdf")</f>
        <v>Melting_Curves/meltCurve_F2Z2I2_PFKFB3.pdf</v>
      </c>
    </row>
    <row r="651" spans="1:28" x14ac:dyDescent="0.25">
      <c r="A651" t="s">
        <v>655</v>
      </c>
      <c r="B651">
        <v>0.99472303558308395</v>
      </c>
      <c r="C651">
        <v>0.98736449573504004</v>
      </c>
      <c r="D651">
        <v>0.92691796078870803</v>
      </c>
      <c r="E651">
        <v>0.93457015370297503</v>
      </c>
      <c r="F651">
        <v>0.78507240405420298</v>
      </c>
      <c r="G651">
        <v>0.56683251361033904</v>
      </c>
      <c r="H651">
        <v>0.23597731964995</v>
      </c>
      <c r="I651">
        <v>7.0819823038828E-2</v>
      </c>
      <c r="J651">
        <v>7.0926398525738399E-2</v>
      </c>
      <c r="K651">
        <v>6.6713869561538602E-2</v>
      </c>
      <c r="L651">
        <v>1009.51532920412</v>
      </c>
      <c r="M651">
        <v>18.700638054934899</v>
      </c>
      <c r="N651">
        <v>54.0521336098275</v>
      </c>
      <c r="O651">
        <v>53.377018561267697</v>
      </c>
      <c r="P651">
        <v>-8.6555184323077003E-2</v>
      </c>
      <c r="Q651">
        <v>1.1828360929520399E-2</v>
      </c>
      <c r="R651">
        <v>0.99315455438163602</v>
      </c>
      <c r="S651" t="s">
        <v>7219</v>
      </c>
      <c r="T651" t="s">
        <v>13134</v>
      </c>
      <c r="U651" t="s">
        <v>13134</v>
      </c>
      <c r="V651" t="s">
        <v>13134</v>
      </c>
      <c r="W651" t="s">
        <v>13776</v>
      </c>
      <c r="X651">
        <v>5</v>
      </c>
      <c r="Y651" t="s">
        <v>20270</v>
      </c>
      <c r="Z651" t="s">
        <v>26619</v>
      </c>
      <c r="AA651">
        <v>0.58422205406373018</v>
      </c>
      <c r="AB651" t="str">
        <f>HYPERLINK("Melting_Curves/meltCurve_F2Z2Q4_TRMT11.pdf", "Melting_Curves/meltCurve_F2Z2Q4_TRMT11.pdf")</f>
        <v>Melting_Curves/meltCurve_F2Z2Q4_TRMT11.pdf</v>
      </c>
    </row>
    <row r="652" spans="1:28" x14ac:dyDescent="0.25">
      <c r="A652" t="s">
        <v>656</v>
      </c>
      <c r="B652">
        <v>0.99472303558308395</v>
      </c>
      <c r="C652">
        <v>0.94486103971427904</v>
      </c>
      <c r="D652">
        <v>0.84384076727392499</v>
      </c>
      <c r="E652">
        <v>0.81125863503905804</v>
      </c>
      <c r="F652">
        <v>0.70080412861669195</v>
      </c>
      <c r="G652">
        <v>0.26564554204402602</v>
      </c>
      <c r="H652">
        <v>0.114796040406508</v>
      </c>
      <c r="I652">
        <v>9.0669373268805503E-2</v>
      </c>
      <c r="J652">
        <v>0.111383661637366</v>
      </c>
      <c r="K652">
        <v>9.0271250063863398E-2</v>
      </c>
      <c r="L652">
        <v>927.49364651964299</v>
      </c>
      <c r="M652">
        <v>18.1786535633208</v>
      </c>
      <c r="N652">
        <v>51.341887775546503</v>
      </c>
      <c r="O652">
        <v>50.415659553240999</v>
      </c>
      <c r="P652">
        <v>-8.5307795029921807E-2</v>
      </c>
      <c r="Q652">
        <v>5.3693877580955701E-2</v>
      </c>
      <c r="R652">
        <v>0.97235309900286404</v>
      </c>
      <c r="S652" t="s">
        <v>7220</v>
      </c>
      <c r="T652" t="s">
        <v>13134</v>
      </c>
      <c r="U652" t="s">
        <v>13134</v>
      </c>
      <c r="V652" t="s">
        <v>13134</v>
      </c>
      <c r="W652" t="s">
        <v>13777</v>
      </c>
      <c r="X652">
        <v>16</v>
      </c>
      <c r="Y652" t="s">
        <v>20271</v>
      </c>
      <c r="Z652" t="s">
        <v>26620</v>
      </c>
      <c r="AA652">
        <v>0.51041407623939838</v>
      </c>
      <c r="AB652" t="str">
        <f>HYPERLINK("Melting_Curves/meltCurve_F2Z2U8_MYH14.pdf", "Melting_Curves/meltCurve_F2Z2U8_MYH14.pdf")</f>
        <v>Melting_Curves/meltCurve_F2Z2U8_MYH14.pdf</v>
      </c>
    </row>
    <row r="653" spans="1:28" x14ac:dyDescent="0.25">
      <c r="A653" t="s">
        <v>657</v>
      </c>
      <c r="B653">
        <v>0.99472303558308395</v>
      </c>
      <c r="C653">
        <v>0.93956977012985998</v>
      </c>
      <c r="D653">
        <v>1.05069915457185</v>
      </c>
      <c r="E653">
        <v>0.90281774288231298</v>
      </c>
      <c r="F653">
        <v>0.56546124460279801</v>
      </c>
      <c r="G653">
        <v>0.20333811499999699</v>
      </c>
      <c r="H653">
        <v>5.1367940295381401E-2</v>
      </c>
      <c r="I653">
        <v>4.0574634115874003E-2</v>
      </c>
      <c r="J653">
        <v>3.6996249737132399E-2</v>
      </c>
      <c r="K653">
        <v>3.1777885935670297E-2</v>
      </c>
      <c r="L653">
        <v>1353.01954292339</v>
      </c>
      <c r="M653">
        <v>26.732633038800302</v>
      </c>
      <c r="N653">
        <v>50.7238766951196</v>
      </c>
      <c r="O653">
        <v>50.332360756276003</v>
      </c>
      <c r="P653">
        <v>-0.129014553025912</v>
      </c>
      <c r="Q653">
        <v>2.83727590366562E-2</v>
      </c>
      <c r="R653">
        <v>0.99588175236225296</v>
      </c>
      <c r="S653" t="s">
        <v>7221</v>
      </c>
      <c r="T653" t="s">
        <v>13134</v>
      </c>
      <c r="U653" t="s">
        <v>13134</v>
      </c>
      <c r="V653" t="s">
        <v>13134</v>
      </c>
      <c r="W653" t="s">
        <v>13778</v>
      </c>
      <c r="X653">
        <v>13</v>
      </c>
      <c r="Y653" t="s">
        <v>20272</v>
      </c>
      <c r="Z653" t="s">
        <v>26621</v>
      </c>
      <c r="AA653">
        <v>0.47679296392740028</v>
      </c>
      <c r="AB653" t="str">
        <f>HYPERLINK("Melting_Curves/meltCurve_F2Z2V0_CPNE1.pdf", "Melting_Curves/meltCurve_F2Z2V0_CPNE1.pdf")</f>
        <v>Melting_Curves/meltCurve_F2Z2V0_CPNE1.pdf</v>
      </c>
    </row>
    <row r="654" spans="1:28" x14ac:dyDescent="0.25">
      <c r="A654" t="s">
        <v>658</v>
      </c>
      <c r="B654">
        <v>0.99472303558308395</v>
      </c>
      <c r="C654">
        <v>0.920607898278609</v>
      </c>
      <c r="D654">
        <v>0.75288440505291698</v>
      </c>
      <c r="E654">
        <v>0.44846742545839502</v>
      </c>
      <c r="F654">
        <v>0.28806325511227598</v>
      </c>
      <c r="G654">
        <v>0.17340107210684699</v>
      </c>
      <c r="H654">
        <v>0.108319761140281</v>
      </c>
      <c r="I654">
        <v>6.0566213285789899E-2</v>
      </c>
      <c r="J654">
        <v>6.6523783549624599E-2</v>
      </c>
      <c r="K654">
        <v>5.4979285050548499E-2</v>
      </c>
      <c r="L654">
        <v>670.72862376137505</v>
      </c>
      <c r="M654">
        <v>14.585636034994801</v>
      </c>
      <c r="N654">
        <v>46.337264674138197</v>
      </c>
      <c r="O654">
        <v>45.147081116040198</v>
      </c>
      <c r="P654">
        <v>-7.6543792623881293E-2</v>
      </c>
      <c r="Q654">
        <v>5.23994291998197E-2</v>
      </c>
      <c r="R654">
        <v>0.99768266469548395</v>
      </c>
      <c r="S654" t="s">
        <v>7222</v>
      </c>
      <c r="T654" t="s">
        <v>13134</v>
      </c>
      <c r="U654" t="s">
        <v>13134</v>
      </c>
      <c r="V654" t="s">
        <v>13134</v>
      </c>
      <c r="W654" t="s">
        <v>13779</v>
      </c>
      <c r="X654">
        <v>18</v>
      </c>
      <c r="Y654" t="s">
        <v>20273</v>
      </c>
      <c r="Z654" t="s">
        <v>26622</v>
      </c>
      <c r="AA654">
        <v>0.35927182397774099</v>
      </c>
      <c r="AB654" t="str">
        <f>HYPERLINK("Melting_Curves/meltCurve_F2Z2W7_TRMT2A.pdf", "Melting_Curves/meltCurve_F2Z2W7_TRMT2A.pdf")</f>
        <v>Melting_Curves/meltCurve_F2Z2W7_TRMT2A.pdf</v>
      </c>
    </row>
    <row r="655" spans="1:28" x14ac:dyDescent="0.25">
      <c r="A655" t="s">
        <v>659</v>
      </c>
      <c r="B655">
        <v>0.99472303558308395</v>
      </c>
      <c r="C655">
        <v>0.95783251676079895</v>
      </c>
      <c r="D655">
        <v>0.91758864304620702</v>
      </c>
      <c r="E655">
        <v>0.80318901267766296</v>
      </c>
      <c r="F655">
        <v>0.64097888089172805</v>
      </c>
      <c r="G655">
        <v>0.1616560339333</v>
      </c>
      <c r="H655">
        <v>0.100434264649784</v>
      </c>
      <c r="I655">
        <v>6.7133735032038899E-2</v>
      </c>
      <c r="J655">
        <v>7.11247876142619E-2</v>
      </c>
      <c r="K655">
        <v>7.5911479292163797E-2</v>
      </c>
      <c r="L655">
        <v>1121.89716775487</v>
      </c>
      <c r="M655">
        <v>22.228811587759498</v>
      </c>
      <c r="N655">
        <v>50.698639492982998</v>
      </c>
      <c r="O655">
        <v>50.067267371922703</v>
      </c>
      <c r="P655">
        <v>-0.105712283217894</v>
      </c>
      <c r="Q655">
        <v>4.7612294103352201E-2</v>
      </c>
      <c r="R655">
        <v>0.98407464356706698</v>
      </c>
      <c r="S655" t="s">
        <v>7223</v>
      </c>
      <c r="T655" t="s">
        <v>13134</v>
      </c>
      <c r="U655" t="s">
        <v>13134</v>
      </c>
      <c r="V655" t="s">
        <v>13134</v>
      </c>
      <c r="W655" t="s">
        <v>13780</v>
      </c>
      <c r="X655">
        <v>8</v>
      </c>
      <c r="Y655" t="s">
        <v>20274</v>
      </c>
      <c r="Z655" t="s">
        <v>26623</v>
      </c>
      <c r="AA655">
        <v>0.48564150141997903</v>
      </c>
      <c r="AB655" t="str">
        <f>HYPERLINK("Melting_Curves/meltCurve_F2Z2X4_XPO4.pdf", "Melting_Curves/meltCurve_F2Z2X4_XPO4.pdf")</f>
        <v>Melting_Curves/meltCurve_F2Z2X4_XPO4.pdf</v>
      </c>
    </row>
    <row r="656" spans="1:28" x14ac:dyDescent="0.25">
      <c r="A656" t="s">
        <v>660</v>
      </c>
      <c r="B656">
        <v>0.99472303558308395</v>
      </c>
      <c r="C656">
        <v>0.94486620642763697</v>
      </c>
      <c r="D656">
        <v>0.768377771036169</v>
      </c>
      <c r="E656">
        <v>0.53430863706824905</v>
      </c>
      <c r="F656">
        <v>0.43111166605343798</v>
      </c>
      <c r="G656">
        <v>0.18574098965881899</v>
      </c>
      <c r="H656">
        <v>8.7805059534735594E-2</v>
      </c>
      <c r="I656">
        <v>7.1446787311786303E-2</v>
      </c>
      <c r="J656">
        <v>7.9614269993439096E-2</v>
      </c>
      <c r="K656">
        <v>5.5064396188122602E-2</v>
      </c>
      <c r="L656">
        <v>586.08548592430895</v>
      </c>
      <c r="M656">
        <v>12.321293365667101</v>
      </c>
      <c r="N656">
        <v>47.718088536033498</v>
      </c>
      <c r="O656">
        <v>46.365960454471001</v>
      </c>
      <c r="P656">
        <v>-6.5177227245624206E-2</v>
      </c>
      <c r="Q656">
        <v>1.9145567223466501E-2</v>
      </c>
      <c r="R656">
        <v>0.99104187017270495</v>
      </c>
      <c r="S656" t="s">
        <v>7224</v>
      </c>
      <c r="T656" t="s">
        <v>13134</v>
      </c>
      <c r="U656" t="s">
        <v>13134</v>
      </c>
      <c r="V656" t="s">
        <v>13134</v>
      </c>
      <c r="W656" t="s">
        <v>13781</v>
      </c>
      <c r="X656">
        <v>5</v>
      </c>
      <c r="Y656" t="s">
        <v>20275</v>
      </c>
      <c r="Z656" t="s">
        <v>26624</v>
      </c>
      <c r="AA656">
        <v>0.39475118127911218</v>
      </c>
      <c r="AB656" t="str">
        <f>HYPERLINK("Melting_Curves/meltCurve_F5GWD3_GTF2H3.pdf", "Melting_Curves/meltCurve_F5GWD3_GTF2H3.pdf")</f>
        <v>Melting_Curves/meltCurve_F5GWD3_GTF2H3.pdf</v>
      </c>
    </row>
    <row r="657" spans="1:28" x14ac:dyDescent="0.25">
      <c r="A657" t="s">
        <v>661</v>
      </c>
      <c r="B657">
        <v>0.99472303558308395</v>
      </c>
      <c r="C657">
        <v>0.96693326863290896</v>
      </c>
      <c r="D657">
        <v>0.91906848090115101</v>
      </c>
      <c r="E657">
        <v>0.83100514271528003</v>
      </c>
      <c r="F657">
        <v>0.63419317382039297</v>
      </c>
      <c r="G657">
        <v>0.47864116530879403</v>
      </c>
      <c r="H657">
        <v>0.40892774707594298</v>
      </c>
      <c r="I657">
        <v>0.33167842179906298</v>
      </c>
      <c r="J657">
        <v>0.30144812964922801</v>
      </c>
      <c r="K657">
        <v>0.13920785775210201</v>
      </c>
      <c r="L657">
        <v>499.30436937851101</v>
      </c>
      <c r="M657">
        <v>9.4357900924013194</v>
      </c>
      <c r="N657">
        <v>54.193706239589197</v>
      </c>
      <c r="O657">
        <v>50.702623578083397</v>
      </c>
      <c r="P657">
        <v>-4.19107437941438E-2</v>
      </c>
      <c r="Q657">
        <v>9.9727489754963997E-2</v>
      </c>
      <c r="R657">
        <v>0.98577192485232501</v>
      </c>
      <c r="S657" t="s">
        <v>7225</v>
      </c>
      <c r="T657" t="s">
        <v>13134</v>
      </c>
      <c r="U657" t="s">
        <v>13134</v>
      </c>
      <c r="V657" t="s">
        <v>13134</v>
      </c>
      <c r="W657" t="s">
        <v>13782</v>
      </c>
      <c r="X657">
        <v>8</v>
      </c>
      <c r="Y657" t="s">
        <v>20276</v>
      </c>
      <c r="Z657" t="s">
        <v>26625</v>
      </c>
      <c r="AA657">
        <v>0.59798310669645127</v>
      </c>
      <c r="AB657" t="str">
        <f>HYPERLINK("Melting_Curves/meltCurve_F5GWI4_ADA.pdf", "Melting_Curves/meltCurve_F5GWI4_ADA.pdf")</f>
        <v>Melting_Curves/meltCurve_F5GWI4_ADA.pdf</v>
      </c>
    </row>
    <row r="658" spans="1:28" x14ac:dyDescent="0.25">
      <c r="A658" t="s">
        <v>662</v>
      </c>
      <c r="B658">
        <v>0.99472303558308395</v>
      </c>
      <c r="C658">
        <v>0.91670654964242004</v>
      </c>
      <c r="D658">
        <v>0.81731237685484803</v>
      </c>
      <c r="E658">
        <v>0.80569582492473402</v>
      </c>
      <c r="F658">
        <v>0.69246768638845602</v>
      </c>
      <c r="G658">
        <v>0.63063278288291302</v>
      </c>
      <c r="H658">
        <v>0.40093386922732099</v>
      </c>
      <c r="I658">
        <v>0.43950649190740598</v>
      </c>
      <c r="J658">
        <v>0.33302859437189902</v>
      </c>
      <c r="K658">
        <v>0.21197532249527301</v>
      </c>
      <c r="L658">
        <v>358.158872013924</v>
      </c>
      <c r="M658">
        <v>6.3553317252945103</v>
      </c>
      <c r="N658">
        <v>56.355658473170998</v>
      </c>
      <c r="O658">
        <v>51.549999807328</v>
      </c>
      <c r="P658">
        <v>-3.0902402687795399E-2</v>
      </c>
      <c r="Q658">
        <v>0</v>
      </c>
      <c r="R658">
        <v>0.96893955136560295</v>
      </c>
      <c r="S658" t="s">
        <v>7226</v>
      </c>
      <c r="T658" t="s">
        <v>13134</v>
      </c>
      <c r="U658" t="s">
        <v>13134</v>
      </c>
      <c r="V658" t="s">
        <v>13134</v>
      </c>
      <c r="W658" t="s">
        <v>13783</v>
      </c>
      <c r="X658">
        <v>2</v>
      </c>
      <c r="Y658" t="s">
        <v>20277</v>
      </c>
      <c r="Z658" t="s">
        <v>26626</v>
      </c>
      <c r="AA658">
        <v>0.627998486570571</v>
      </c>
      <c r="AB658" t="str">
        <f>HYPERLINK("Melting_Curves/meltCurve_F5GWI9_CCDC53.pdf", "Melting_Curves/meltCurve_F5GWI9_CCDC53.pdf")</f>
        <v>Melting_Curves/meltCurve_F5GWI9_CCDC53.pdf</v>
      </c>
    </row>
    <row r="659" spans="1:28" x14ac:dyDescent="0.25">
      <c r="A659" t="s">
        <v>663</v>
      </c>
      <c r="B659">
        <v>0.99472303558308395</v>
      </c>
      <c r="C659">
        <v>1.1910921850295899</v>
      </c>
      <c r="D659">
        <v>0.80972064403921495</v>
      </c>
      <c r="E659">
        <v>0.60465884506730105</v>
      </c>
      <c r="F659">
        <v>2.3682652448975099</v>
      </c>
      <c r="G659">
        <v>0.30278169697402302</v>
      </c>
      <c r="H659">
        <v>0.31741421565775602</v>
      </c>
      <c r="I659">
        <v>0.23058602216020199</v>
      </c>
      <c r="J659">
        <v>0.176380098200731</v>
      </c>
      <c r="K659">
        <v>0.31543358144672101</v>
      </c>
      <c r="L659">
        <v>13299.9174281409</v>
      </c>
      <c r="M659">
        <v>250</v>
      </c>
      <c r="N659">
        <v>53.356265448908097</v>
      </c>
      <c r="O659">
        <v>53.196256057947799</v>
      </c>
      <c r="P659">
        <v>-0.86947888247569904</v>
      </c>
      <c r="Q659">
        <v>0.25995153182668002</v>
      </c>
      <c r="R659">
        <v>0.48013399723870598</v>
      </c>
      <c r="S659" t="s">
        <v>7227</v>
      </c>
      <c r="T659" t="s">
        <v>13134</v>
      </c>
      <c r="U659" t="s">
        <v>13134</v>
      </c>
      <c r="V659" t="s">
        <v>13134</v>
      </c>
      <c r="W659" t="s">
        <v>13784</v>
      </c>
      <c r="X659">
        <v>13</v>
      </c>
      <c r="Y659" t="s">
        <v>20278</v>
      </c>
      <c r="Z659" t="s">
        <v>26627</v>
      </c>
      <c r="AA659">
        <v>0.65963865134012978</v>
      </c>
      <c r="AB659" t="str">
        <f>HYPERLINK("Melting_Curves/meltCurve_F5GWP8_JUP.pdf", "Melting_Curves/meltCurve_F5GWP8_JUP.pdf")</f>
        <v>Melting_Curves/meltCurve_F5GWP8_JUP.pdf</v>
      </c>
    </row>
    <row r="660" spans="1:28" x14ac:dyDescent="0.25">
      <c r="A660" t="s">
        <v>664</v>
      </c>
      <c r="B660">
        <v>0.99472303558308395</v>
      </c>
      <c r="C660">
        <v>0.97663006095463301</v>
      </c>
      <c r="D660">
        <v>0.90102716238977998</v>
      </c>
      <c r="E660">
        <v>0.76139965229522699</v>
      </c>
      <c r="F660">
        <v>0.54398348421315201</v>
      </c>
      <c r="G660">
        <v>0.25271304216135299</v>
      </c>
      <c r="H660">
        <v>0.101926563950927</v>
      </c>
      <c r="I660">
        <v>6.5040045884243405E-2</v>
      </c>
      <c r="J660">
        <v>8.0369628401429805E-2</v>
      </c>
      <c r="K660">
        <v>8.0030709958617399E-2</v>
      </c>
      <c r="L660">
        <v>816.34731590557703</v>
      </c>
      <c r="M660">
        <v>16.3341520017478</v>
      </c>
      <c r="N660">
        <v>50.2103219109039</v>
      </c>
      <c r="O660">
        <v>49.246868792636199</v>
      </c>
      <c r="P660">
        <v>-7.9907125186266706E-2</v>
      </c>
      <c r="Q660">
        <v>3.6401644159124003E-2</v>
      </c>
      <c r="R660">
        <v>0.99551235612637101</v>
      </c>
      <c r="S660" t="s">
        <v>7228</v>
      </c>
      <c r="T660" t="s">
        <v>13134</v>
      </c>
      <c r="U660" t="s">
        <v>13134</v>
      </c>
      <c r="V660" t="s">
        <v>13134</v>
      </c>
      <c r="W660" t="s">
        <v>13785</v>
      </c>
      <c r="X660">
        <v>29</v>
      </c>
      <c r="Y660" t="s">
        <v>20279</v>
      </c>
      <c r="Z660" t="s">
        <v>26628</v>
      </c>
      <c r="AA660">
        <v>0.4709919493065608</v>
      </c>
      <c r="AB660" t="str">
        <f>HYPERLINK("Melting_Curves/meltCurve_F5GWT4_WNK1.pdf", "Melting_Curves/meltCurve_F5GWT4_WNK1.pdf")</f>
        <v>Melting_Curves/meltCurve_F5GWT4_WNK1.pdf</v>
      </c>
    </row>
    <row r="661" spans="1:28" x14ac:dyDescent="0.25">
      <c r="A661" t="s">
        <v>665</v>
      </c>
      <c r="B661">
        <v>0.99472303558308395</v>
      </c>
      <c r="C661">
        <v>0.98893139288256005</v>
      </c>
      <c r="D661">
        <v>0.97828344381795096</v>
      </c>
      <c r="E661">
        <v>0.75785832340961101</v>
      </c>
      <c r="F661">
        <v>0.211600649869884</v>
      </c>
      <c r="G661">
        <v>0.11269156998236</v>
      </c>
      <c r="H661">
        <v>6.3403053511705304E-2</v>
      </c>
      <c r="I661">
        <v>5.38967282486029E-2</v>
      </c>
      <c r="J661">
        <v>6.1056053492244702E-2</v>
      </c>
      <c r="K661">
        <v>4.9759846921433599E-2</v>
      </c>
      <c r="L661">
        <v>1706.1277493259799</v>
      </c>
      <c r="M661">
        <v>35.579012896779702</v>
      </c>
      <c r="N661">
        <v>48.132926259388498</v>
      </c>
      <c r="O661">
        <v>47.802476180230897</v>
      </c>
      <c r="P661">
        <v>-0.174499899219655</v>
      </c>
      <c r="Q661">
        <v>6.2200052104121002E-2</v>
      </c>
      <c r="R661">
        <v>0.999146262238787</v>
      </c>
      <c r="S661" t="s">
        <v>7229</v>
      </c>
      <c r="T661" t="s">
        <v>13134</v>
      </c>
      <c r="U661" t="s">
        <v>13134</v>
      </c>
      <c r="V661" t="s">
        <v>13134</v>
      </c>
      <c r="W661" t="s">
        <v>13786</v>
      </c>
      <c r="X661">
        <v>11</v>
      </c>
      <c r="Y661" t="s">
        <v>20280</v>
      </c>
      <c r="Z661" t="s">
        <v>26629</v>
      </c>
      <c r="AA661">
        <v>0.4085337075845567</v>
      </c>
      <c r="AB661" t="str">
        <f>HYPERLINK("Melting_Curves/meltCurve_F5GWU7_SMAD5.pdf", "Melting_Curves/meltCurve_F5GWU7_SMAD5.pdf")</f>
        <v>Melting_Curves/meltCurve_F5GWU7_SMAD5.pdf</v>
      </c>
    </row>
    <row r="662" spans="1:28" x14ac:dyDescent="0.25">
      <c r="A662" t="s">
        <v>666</v>
      </c>
      <c r="B662">
        <v>0.99472303558308395</v>
      </c>
      <c r="C662">
        <v>0.89819479939260205</v>
      </c>
      <c r="D662">
        <v>0.63704030493708197</v>
      </c>
      <c r="E662">
        <v>0.31981348140448401</v>
      </c>
      <c r="F662">
        <v>0.16248183309972</v>
      </c>
      <c r="G662">
        <v>9.6790552106660294E-2</v>
      </c>
      <c r="H662">
        <v>8.0174630955733794E-2</v>
      </c>
      <c r="I662">
        <v>6.6808857239027505E-2</v>
      </c>
      <c r="J662">
        <v>8.4373346308647706E-2</v>
      </c>
      <c r="K662">
        <v>6.3060285380990302E-2</v>
      </c>
      <c r="L662">
        <v>842.55346716238898</v>
      </c>
      <c r="M662">
        <v>19.100770642326399</v>
      </c>
      <c r="N662">
        <v>44.462904854243099</v>
      </c>
      <c r="O662">
        <v>43.636001765639698</v>
      </c>
      <c r="P662">
        <v>-0.10175890814376699</v>
      </c>
      <c r="Q662">
        <v>7.0157190654521903E-2</v>
      </c>
      <c r="R662">
        <v>0.99929041643470995</v>
      </c>
      <c r="S662" t="s">
        <v>7230</v>
      </c>
      <c r="T662" t="s">
        <v>13134</v>
      </c>
      <c r="U662" t="s">
        <v>13134</v>
      </c>
      <c r="V662" t="s">
        <v>13134</v>
      </c>
      <c r="W662" t="s">
        <v>13787</v>
      </c>
      <c r="X662">
        <v>47</v>
      </c>
      <c r="Y662" t="s">
        <v>20281</v>
      </c>
      <c r="Z662" t="s">
        <v>26630</v>
      </c>
      <c r="AA662">
        <v>0.30427564408576041</v>
      </c>
      <c r="AB662" t="str">
        <f>HYPERLINK("Melting_Curves/meltCurve_F5GWX5_CHD4.pdf", "Melting_Curves/meltCurve_F5GWX5_CHD4.pdf")</f>
        <v>Melting_Curves/meltCurve_F5GWX5_CHD4.pdf</v>
      </c>
    </row>
    <row r="663" spans="1:28" x14ac:dyDescent="0.25">
      <c r="A663" t="s">
        <v>667</v>
      </c>
      <c r="B663">
        <v>0.99472303558308395</v>
      </c>
      <c r="C663">
        <v>0.99089879345324305</v>
      </c>
      <c r="D663">
        <v>1.0303559405732601</v>
      </c>
      <c r="E663">
        <v>0.87840082408596998</v>
      </c>
      <c r="F663">
        <v>0.54599057253519101</v>
      </c>
      <c r="G663">
        <v>0.36826763587671602</v>
      </c>
      <c r="H663">
        <v>0.207967253194806</v>
      </c>
      <c r="I663">
        <v>0.112624848190076</v>
      </c>
      <c r="J663">
        <v>8.1358891212587894E-2</v>
      </c>
      <c r="K663">
        <v>5.4678723454467199E-2</v>
      </c>
      <c r="L663">
        <v>881.85220374806102</v>
      </c>
      <c r="M663">
        <v>17.244734174883199</v>
      </c>
      <c r="N663">
        <v>51.507874379568698</v>
      </c>
      <c r="O663">
        <v>50.464669066148197</v>
      </c>
      <c r="P663">
        <v>-8.0452829527037306E-2</v>
      </c>
      <c r="Q663">
        <v>5.8312314583002303E-2</v>
      </c>
      <c r="R663">
        <v>0.99333914773062904</v>
      </c>
      <c r="S663" t="s">
        <v>7231</v>
      </c>
      <c r="T663" t="s">
        <v>13134</v>
      </c>
      <c r="U663" t="s">
        <v>13134</v>
      </c>
      <c r="V663" t="s">
        <v>13134</v>
      </c>
      <c r="W663" t="s">
        <v>13788</v>
      </c>
      <c r="X663">
        <v>8</v>
      </c>
      <c r="Y663" t="s">
        <v>20282</v>
      </c>
      <c r="Z663" t="s">
        <v>26631</v>
      </c>
      <c r="AA663">
        <v>0.51761553399971882</v>
      </c>
      <c r="AB663" t="str">
        <f>HYPERLINK("Melting_Curves/meltCurve_F5GX09_FAM76B.pdf", "Melting_Curves/meltCurve_F5GX09_FAM76B.pdf")</f>
        <v>Melting_Curves/meltCurve_F5GX09_FAM76B.pdf</v>
      </c>
    </row>
    <row r="664" spans="1:28" x14ac:dyDescent="0.25">
      <c r="A664" t="s">
        <v>668</v>
      </c>
      <c r="B664">
        <v>0.99472303558308395</v>
      </c>
      <c r="C664">
        <v>1.1976937593247601</v>
      </c>
      <c r="D664">
        <v>0.93186117046488304</v>
      </c>
      <c r="E664">
        <v>0.84192454556054497</v>
      </c>
      <c r="F664">
        <v>0.41347412932405098</v>
      </c>
      <c r="G664">
        <v>8.8545442149176604E-2</v>
      </c>
      <c r="H664">
        <v>2.9826063672191001E-2</v>
      </c>
      <c r="I664">
        <v>1.2664044318198101E-2</v>
      </c>
      <c r="J664">
        <v>1.0618133262264301E-2</v>
      </c>
      <c r="K664">
        <v>4.8659192000715503E-3</v>
      </c>
      <c r="L664">
        <v>1348.6818695919501</v>
      </c>
      <c r="M664">
        <v>27.262151299228702</v>
      </c>
      <c r="N664">
        <v>49.4864881758214</v>
      </c>
      <c r="O664">
        <v>49.206980434427301</v>
      </c>
      <c r="P664">
        <v>-0.13791492016807</v>
      </c>
      <c r="Q664">
        <v>4.2883803589345701E-3</v>
      </c>
      <c r="R664">
        <v>0.97996014041415602</v>
      </c>
      <c r="S664" t="s">
        <v>7232</v>
      </c>
      <c r="T664" t="s">
        <v>13134</v>
      </c>
      <c r="U664" t="s">
        <v>13134</v>
      </c>
      <c r="V664" t="s">
        <v>13134</v>
      </c>
      <c r="W664" t="s">
        <v>13789</v>
      </c>
      <c r="X664">
        <v>71</v>
      </c>
      <c r="Y664" t="s">
        <v>20283</v>
      </c>
      <c r="Z664" t="s">
        <v>26632</v>
      </c>
      <c r="AA664">
        <v>0.42551483713995131</v>
      </c>
      <c r="AB664" t="str">
        <f>HYPERLINK("Melting_Curves/meltCurve_F5GX68_DNMT1.pdf", "Melting_Curves/meltCurve_F5GX68_DNMT1.pdf")</f>
        <v>Melting_Curves/meltCurve_F5GX68_DNMT1.pdf</v>
      </c>
    </row>
    <row r="665" spans="1:28" x14ac:dyDescent="0.25">
      <c r="A665" t="s">
        <v>669</v>
      </c>
      <c r="B665">
        <v>0.99472303558308395</v>
      </c>
      <c r="C665">
        <v>0.96829127333965204</v>
      </c>
      <c r="D665">
        <v>0.73310143212647305</v>
      </c>
      <c r="E665">
        <v>0.68600012892497397</v>
      </c>
      <c r="F665">
        <v>0.83174431562784501</v>
      </c>
      <c r="G665">
        <v>0.16658211856677699</v>
      </c>
      <c r="H665">
        <v>8.8805803263262997E-2</v>
      </c>
      <c r="I665">
        <v>1.9365524203102301E-2</v>
      </c>
      <c r="J665">
        <v>0.20709771576647401</v>
      </c>
      <c r="K665">
        <v>1.46656181842354E-2</v>
      </c>
      <c r="L665">
        <v>671.541203142771</v>
      </c>
      <c r="M665">
        <v>13.2373954321677</v>
      </c>
      <c r="N665">
        <v>50.730615919997703</v>
      </c>
      <c r="O665">
        <v>49.614764663213798</v>
      </c>
      <c r="P665">
        <v>-6.6711843840634805E-2</v>
      </c>
      <c r="Q665">
        <v>0</v>
      </c>
      <c r="R665">
        <v>0.87427778997962302</v>
      </c>
      <c r="S665" t="s">
        <v>7233</v>
      </c>
      <c r="T665" t="s">
        <v>13134</v>
      </c>
      <c r="U665" t="s">
        <v>13134</v>
      </c>
      <c r="V665" t="s">
        <v>13134</v>
      </c>
      <c r="W665" t="s">
        <v>13790</v>
      </c>
      <c r="X665">
        <v>6</v>
      </c>
      <c r="Y665" t="s">
        <v>20284</v>
      </c>
      <c r="Z665" t="s">
        <v>26633</v>
      </c>
      <c r="AA665">
        <v>0.48153004092477492</v>
      </c>
      <c r="AB665" t="str">
        <f>HYPERLINK("Melting_Curves/meltCurve_F5GX82_FRYL.pdf", "Melting_Curves/meltCurve_F5GX82_FRYL.pdf")</f>
        <v>Melting_Curves/meltCurve_F5GX82_FRYL.pdf</v>
      </c>
    </row>
    <row r="666" spans="1:28" x14ac:dyDescent="0.25">
      <c r="A666" t="s">
        <v>670</v>
      </c>
      <c r="B666">
        <v>0.99472303558308395</v>
      </c>
      <c r="C666">
        <v>0.88522223389409005</v>
      </c>
      <c r="D666">
        <v>1.0897669543653301</v>
      </c>
      <c r="E666">
        <v>0.75603016728552197</v>
      </c>
      <c r="F666">
        <v>0.484612801339738</v>
      </c>
      <c r="G666">
        <v>0.20982384979983401</v>
      </c>
      <c r="H666">
        <v>0.17157974213559199</v>
      </c>
      <c r="I666">
        <v>8.3227404603672506E-2</v>
      </c>
      <c r="J666">
        <v>0.15075339922869899</v>
      </c>
      <c r="K666">
        <v>0.154179441140566</v>
      </c>
      <c r="L666">
        <v>1149.8159057703399</v>
      </c>
      <c r="M666">
        <v>23.417012804121502</v>
      </c>
      <c r="N666">
        <v>49.7297030177644</v>
      </c>
      <c r="O666">
        <v>48.747853434804099</v>
      </c>
      <c r="P666">
        <v>-0.104723048449072</v>
      </c>
      <c r="Q666">
        <v>0.127995552106583</v>
      </c>
      <c r="R666">
        <v>0.975512694611117</v>
      </c>
      <c r="S666" t="s">
        <v>7234</v>
      </c>
      <c r="T666" t="s">
        <v>13134</v>
      </c>
      <c r="U666" t="s">
        <v>13134</v>
      </c>
      <c r="V666" t="s">
        <v>13134</v>
      </c>
      <c r="W666" t="s">
        <v>13791</v>
      </c>
      <c r="X666">
        <v>1</v>
      </c>
      <c r="Y666" t="s">
        <v>20285</v>
      </c>
      <c r="Z666" t="s">
        <v>26634</v>
      </c>
      <c r="AA666">
        <v>0.48831304189888092</v>
      </c>
      <c r="AB666" t="str">
        <f>HYPERLINK("Melting_Curves/meltCurve_F5GX85_TRIM3.pdf", "Melting_Curves/meltCurve_F5GX85_TRIM3.pdf")</f>
        <v>Melting_Curves/meltCurve_F5GX85_TRIM3.pdf</v>
      </c>
    </row>
    <row r="667" spans="1:28" x14ac:dyDescent="0.25">
      <c r="A667" t="s">
        <v>671</v>
      </c>
      <c r="B667">
        <v>0.99472303558308395</v>
      </c>
      <c r="C667">
        <v>0.89792154529787205</v>
      </c>
      <c r="D667">
        <v>0.70143238064347002</v>
      </c>
      <c r="E667">
        <v>0.44015867054879498</v>
      </c>
      <c r="F667">
        <v>0.14837349520151999</v>
      </c>
      <c r="G667">
        <v>9.35177510996138E-2</v>
      </c>
      <c r="H667">
        <v>6.1154079128516503E-2</v>
      </c>
      <c r="I667">
        <v>4.9521699221755401E-2</v>
      </c>
      <c r="J667">
        <v>8.22748536826967E-2</v>
      </c>
      <c r="K667">
        <v>5.0901243422592599E-2</v>
      </c>
      <c r="L667">
        <v>783.00932724021095</v>
      </c>
      <c r="M667">
        <v>17.338246630209198</v>
      </c>
      <c r="N667">
        <v>45.4099860852278</v>
      </c>
      <c r="O667">
        <v>44.5728960146104</v>
      </c>
      <c r="P667">
        <v>-9.28395503688388E-2</v>
      </c>
      <c r="Q667">
        <v>4.5372679061266102E-2</v>
      </c>
      <c r="R667">
        <v>0.99597344795417198</v>
      </c>
      <c r="S667" t="s">
        <v>7235</v>
      </c>
      <c r="T667" t="s">
        <v>13134</v>
      </c>
      <c r="U667" t="s">
        <v>13134</v>
      </c>
      <c r="V667" t="s">
        <v>13134</v>
      </c>
      <c r="W667" t="s">
        <v>13792</v>
      </c>
      <c r="X667">
        <v>1</v>
      </c>
      <c r="Y667" t="s">
        <v>20286</v>
      </c>
      <c r="Z667" t="s">
        <v>26635</v>
      </c>
      <c r="AA667">
        <v>0.32190871807454341</v>
      </c>
      <c r="AB667" t="str">
        <f>HYPERLINK("Melting_Curves/meltCurve_F5GXC3_TRAPPC13.pdf", "Melting_Curves/meltCurve_F5GXC3_TRAPPC13.pdf")</f>
        <v>Melting_Curves/meltCurve_F5GXC3_TRAPPC13.pdf</v>
      </c>
    </row>
    <row r="668" spans="1:28" x14ac:dyDescent="0.25">
      <c r="A668" t="s">
        <v>672</v>
      </c>
      <c r="B668">
        <v>0.99472303558308395</v>
      </c>
      <c r="C668">
        <v>0.99216735570557801</v>
      </c>
      <c r="D668">
        <v>1.02703974555143</v>
      </c>
      <c r="E668">
        <v>0.89233809533640496</v>
      </c>
      <c r="F668">
        <v>0.284040189622353</v>
      </c>
      <c r="G668">
        <v>0.104800524529033</v>
      </c>
      <c r="H668">
        <v>5.8270542079637097E-2</v>
      </c>
      <c r="I668">
        <v>3.8397772963693302E-2</v>
      </c>
      <c r="J668">
        <v>4.69723573029837E-2</v>
      </c>
      <c r="K668">
        <v>4.0548756034037799E-2</v>
      </c>
      <c r="L668">
        <v>2020.9092956365</v>
      </c>
      <c r="M668">
        <v>41.349466781874099</v>
      </c>
      <c r="N668">
        <v>49.004457991872201</v>
      </c>
      <c r="O668">
        <v>48.759994288260401</v>
      </c>
      <c r="P668">
        <v>-0.200947723531327</v>
      </c>
      <c r="Q668">
        <v>5.2157831462103899E-2</v>
      </c>
      <c r="R668">
        <v>0.99873025461474896</v>
      </c>
      <c r="S668" t="s">
        <v>7236</v>
      </c>
      <c r="T668" t="s">
        <v>13134</v>
      </c>
      <c r="U668" t="s">
        <v>13134</v>
      </c>
      <c r="V668" t="s">
        <v>13134</v>
      </c>
      <c r="W668" t="s">
        <v>13793</v>
      </c>
      <c r="X668">
        <v>22</v>
      </c>
      <c r="Y668" t="s">
        <v>20287</v>
      </c>
      <c r="Z668" t="s">
        <v>26636</v>
      </c>
      <c r="AA668">
        <v>0.43030493569093559</v>
      </c>
      <c r="AB668" t="str">
        <f>HYPERLINK("Melting_Curves/meltCurve_F5GXC8_SUCLA2.pdf", "Melting_Curves/meltCurve_F5GXC8_SUCLA2.pdf")</f>
        <v>Melting_Curves/meltCurve_F5GXC8_SUCLA2.pdf</v>
      </c>
    </row>
    <row r="669" spans="1:28" x14ac:dyDescent="0.25">
      <c r="A669" t="s">
        <v>673</v>
      </c>
      <c r="B669">
        <v>0.99472303558308395</v>
      </c>
      <c r="C669">
        <v>0.94874098146168695</v>
      </c>
      <c r="D669">
        <v>0.77016438112057495</v>
      </c>
      <c r="E669">
        <v>0.672181388653457</v>
      </c>
      <c r="F669">
        <v>0.56769247102478304</v>
      </c>
      <c r="G669">
        <v>0.23006576697788</v>
      </c>
      <c r="H669">
        <v>0.13219011307196901</v>
      </c>
      <c r="I669">
        <v>9.2228855766642803E-2</v>
      </c>
      <c r="J669">
        <v>7.7678331441550105E-2</v>
      </c>
      <c r="K669">
        <v>9.4446142907137404E-2</v>
      </c>
      <c r="L669">
        <v>555.95337748278996</v>
      </c>
      <c r="M669">
        <v>11.225757080750499</v>
      </c>
      <c r="N669">
        <v>49.524819750348499</v>
      </c>
      <c r="O669">
        <v>48.031189964998198</v>
      </c>
      <c r="P669">
        <v>-5.8447724210094497E-2</v>
      </c>
      <c r="Q669">
        <v>0</v>
      </c>
      <c r="R669">
        <v>0.97998085693893999</v>
      </c>
      <c r="S669" t="s">
        <v>7237</v>
      </c>
      <c r="T669" t="s">
        <v>13134</v>
      </c>
      <c r="U669" t="s">
        <v>13134</v>
      </c>
      <c r="V669" t="s">
        <v>13134</v>
      </c>
      <c r="W669" t="s">
        <v>13794</v>
      </c>
      <c r="X669">
        <v>4</v>
      </c>
      <c r="Y669" t="s">
        <v>20288</v>
      </c>
      <c r="Z669" t="s">
        <v>26637</v>
      </c>
      <c r="AA669">
        <v>0.44874359111012557</v>
      </c>
      <c r="AB669" t="str">
        <f>HYPERLINK("Melting_Curves/meltCurve_F5GXF9_AFF1.pdf", "Melting_Curves/meltCurve_F5GXF9_AFF1.pdf")</f>
        <v>Melting_Curves/meltCurve_F5GXF9_AFF1.pdf</v>
      </c>
    </row>
    <row r="670" spans="1:28" x14ac:dyDescent="0.25">
      <c r="A670" t="s">
        <v>674</v>
      </c>
      <c r="B670">
        <v>0.99472303558308395</v>
      </c>
      <c r="C670">
        <v>1.0297747878597501</v>
      </c>
      <c r="D670">
        <v>0.76566701440722096</v>
      </c>
      <c r="E670">
        <v>0.74104656138785796</v>
      </c>
      <c r="F670">
        <v>0.50006219453710099</v>
      </c>
      <c r="G670">
        <v>0.36765089199137801</v>
      </c>
      <c r="H670">
        <v>0.37789418390920498</v>
      </c>
      <c r="I670">
        <v>0.42615328537452002</v>
      </c>
      <c r="J670">
        <v>0.59239934762424196</v>
      </c>
      <c r="K670">
        <v>0.39942926427336201</v>
      </c>
      <c r="L670">
        <v>861.67671780996795</v>
      </c>
      <c r="M670">
        <v>18.904045124895699</v>
      </c>
      <c r="N670">
        <v>50.786784180801</v>
      </c>
      <c r="O670">
        <v>45.080719203765199</v>
      </c>
      <c r="P670">
        <v>-5.9971128910361403E-2</v>
      </c>
      <c r="Q670">
        <v>0.42796752577119401</v>
      </c>
      <c r="R670">
        <v>0.89426203446079799</v>
      </c>
      <c r="S670" t="s">
        <v>7238</v>
      </c>
      <c r="T670" t="s">
        <v>13134</v>
      </c>
      <c r="U670" t="s">
        <v>13134</v>
      </c>
      <c r="V670" t="s">
        <v>13134</v>
      </c>
      <c r="W670" t="s">
        <v>13795</v>
      </c>
      <c r="X670">
        <v>2</v>
      </c>
      <c r="Y670" t="s">
        <v>20289</v>
      </c>
      <c r="Z670" t="s">
        <v>26638</v>
      </c>
      <c r="AA670">
        <v>0.60000421096079248</v>
      </c>
      <c r="AB670" t="str">
        <f>HYPERLINK("Melting_Curves/meltCurve_F5GXK8_DNAJB11.pdf", "Melting_Curves/meltCurve_F5GXK8_DNAJB11.pdf")</f>
        <v>Melting_Curves/meltCurve_F5GXK8_DNAJB11.pdf</v>
      </c>
    </row>
    <row r="671" spans="1:28" x14ac:dyDescent="0.25">
      <c r="A671" t="s">
        <v>675</v>
      </c>
      <c r="B671">
        <v>0.99472303558308395</v>
      </c>
      <c r="C671">
        <v>0.94775877502511796</v>
      </c>
      <c r="D671">
        <v>0.919332112676156</v>
      </c>
      <c r="E671">
        <v>0.87048403717298295</v>
      </c>
      <c r="F671">
        <v>0.74443563592169604</v>
      </c>
      <c r="G671">
        <v>0.42492028043563201</v>
      </c>
      <c r="H671">
        <v>0.35563497218023898</v>
      </c>
      <c r="I671">
        <v>0.32768413616137598</v>
      </c>
      <c r="J671">
        <v>0.34933100519932803</v>
      </c>
      <c r="K671">
        <v>0.48569021042126298</v>
      </c>
      <c r="L671">
        <v>1275.2259892751399</v>
      </c>
      <c r="M671">
        <v>25.376237243349799</v>
      </c>
      <c r="N671">
        <v>53.021830939339701</v>
      </c>
      <c r="O671">
        <v>49.943798077277201</v>
      </c>
      <c r="P671">
        <v>-8.0390038178253298E-2</v>
      </c>
      <c r="Q671">
        <v>0.36713495735905199</v>
      </c>
      <c r="R671">
        <v>0.95188941178470798</v>
      </c>
      <c r="S671" t="s">
        <v>7239</v>
      </c>
      <c r="T671" t="s">
        <v>13134</v>
      </c>
      <c r="U671" t="s">
        <v>13134</v>
      </c>
      <c r="V671" t="s">
        <v>13134</v>
      </c>
      <c r="W671" t="s">
        <v>13796</v>
      </c>
      <c r="X671">
        <v>2</v>
      </c>
      <c r="Y671" t="s">
        <v>20290</v>
      </c>
      <c r="Z671" t="s">
        <v>26639</v>
      </c>
      <c r="AA671">
        <v>0.65210236112441722</v>
      </c>
      <c r="AB671" t="str">
        <f>HYPERLINK("Melting_Curves/meltCurve_F5GXX5_DAD1.pdf", "Melting_Curves/meltCurve_F5GXX5_DAD1.pdf")</f>
        <v>Melting_Curves/meltCurve_F5GXX5_DAD1.pdf</v>
      </c>
    </row>
    <row r="672" spans="1:28" x14ac:dyDescent="0.25">
      <c r="A672" t="s">
        <v>676</v>
      </c>
      <c r="B672">
        <v>0.99472303558308395</v>
      </c>
      <c r="C672">
        <v>0.91727509584528999</v>
      </c>
      <c r="D672">
        <v>0.77559345789508205</v>
      </c>
      <c r="E672">
        <v>0.36627307360635702</v>
      </c>
      <c r="F672">
        <v>0.25013384698753899</v>
      </c>
      <c r="G672">
        <v>0.11794914943824</v>
      </c>
      <c r="H672">
        <v>0.10807182925488799</v>
      </c>
      <c r="I672">
        <v>4.3981348366270497E-2</v>
      </c>
      <c r="J672">
        <v>4.8321353433641398E-2</v>
      </c>
      <c r="K672">
        <v>5.2270994477763497E-2</v>
      </c>
      <c r="L672">
        <v>805.32995570128196</v>
      </c>
      <c r="M672">
        <v>17.7491106922458</v>
      </c>
      <c r="N672">
        <v>45.690058548767503</v>
      </c>
      <c r="O672">
        <v>44.808774490809597</v>
      </c>
      <c r="P672">
        <v>-9.3293612455270902E-2</v>
      </c>
      <c r="Q672">
        <v>5.7946284699802397E-2</v>
      </c>
      <c r="R672">
        <v>0.993785390283495</v>
      </c>
      <c r="S672" t="s">
        <v>7240</v>
      </c>
      <c r="T672" t="s">
        <v>13134</v>
      </c>
      <c r="U672" t="s">
        <v>13134</v>
      </c>
      <c r="V672" t="s">
        <v>13134</v>
      </c>
      <c r="W672" t="s">
        <v>13797</v>
      </c>
      <c r="X672">
        <v>10</v>
      </c>
      <c r="Y672" t="s">
        <v>20291</v>
      </c>
      <c r="Z672" t="s">
        <v>26640</v>
      </c>
      <c r="AA672">
        <v>0.33666076788180221</v>
      </c>
      <c r="AB672" t="str">
        <f>HYPERLINK("Melting_Curves/meltCurve_F5GXY5_SASS6.pdf", "Melting_Curves/meltCurve_F5GXY5_SASS6.pdf")</f>
        <v>Melting_Curves/meltCurve_F5GXY5_SASS6.pdf</v>
      </c>
    </row>
    <row r="673" spans="1:28" x14ac:dyDescent="0.25">
      <c r="A673" t="s">
        <v>677</v>
      </c>
      <c r="B673">
        <v>0.99472303558308395</v>
      </c>
      <c r="C673">
        <v>1.0277214085394999</v>
      </c>
      <c r="D673">
        <v>0.90366276550709701</v>
      </c>
      <c r="E673">
        <v>0.65757496446085395</v>
      </c>
      <c r="F673">
        <v>0.48855966599530498</v>
      </c>
      <c r="G673">
        <v>0.42941763558950002</v>
      </c>
      <c r="H673">
        <v>0.37826321150519499</v>
      </c>
      <c r="I673">
        <v>0.46105971426438802</v>
      </c>
      <c r="J673">
        <v>0.65291949994596399</v>
      </c>
      <c r="K673">
        <v>0.39511395353261802</v>
      </c>
      <c r="L673">
        <v>1352.5438290130301</v>
      </c>
      <c r="M673">
        <v>29.681181748754401</v>
      </c>
      <c r="N673">
        <v>49.9012863865551</v>
      </c>
      <c r="O673">
        <v>45.363718164785602</v>
      </c>
      <c r="P673">
        <v>-8.8004480705702895E-2</v>
      </c>
      <c r="Q673">
        <v>0.46199132543938698</v>
      </c>
      <c r="R673">
        <v>0.91050202508552003</v>
      </c>
      <c r="S673" t="s">
        <v>7241</v>
      </c>
      <c r="T673" t="s">
        <v>13134</v>
      </c>
      <c r="U673" t="s">
        <v>13134</v>
      </c>
      <c r="V673" t="s">
        <v>13134</v>
      </c>
      <c r="W673" t="s">
        <v>13798</v>
      </c>
      <c r="X673">
        <v>4</v>
      </c>
      <c r="Y673" t="s">
        <v>20292</v>
      </c>
      <c r="Z673" t="s">
        <v>26641</v>
      </c>
      <c r="AA673">
        <v>0.61878005477313314</v>
      </c>
      <c r="AB673" t="str">
        <f>HYPERLINK("Melting_Curves/meltCurve_F5GY92_GPBP1.pdf", "Melting_Curves/meltCurve_F5GY92_GPBP1.pdf")</f>
        <v>Melting_Curves/meltCurve_F5GY92_GPBP1.pdf</v>
      </c>
    </row>
    <row r="674" spans="1:28" x14ac:dyDescent="0.25">
      <c r="A674" t="s">
        <v>678</v>
      </c>
      <c r="B674">
        <v>0.99472303558308395</v>
      </c>
      <c r="C674">
        <v>0.81790842464760205</v>
      </c>
      <c r="D674">
        <v>0.98590104383379895</v>
      </c>
      <c r="E674">
        <v>0.70342319114635299</v>
      </c>
      <c r="F674">
        <v>0.381955403173737</v>
      </c>
      <c r="G674">
        <v>7.5739141550071803E-2</v>
      </c>
      <c r="H674">
        <v>3.5449326409447098E-2</v>
      </c>
      <c r="I674">
        <v>2.9325750391654099E-2</v>
      </c>
      <c r="J674">
        <v>3.69254258681413E-2</v>
      </c>
      <c r="K674">
        <v>3.32928886226024E-2</v>
      </c>
      <c r="L674">
        <v>1054.46372738536</v>
      </c>
      <c r="M674">
        <v>21.6898985894248</v>
      </c>
      <c r="N674">
        <v>48.682515395871697</v>
      </c>
      <c r="O674">
        <v>48.207841716947001</v>
      </c>
      <c r="P674">
        <v>-0.110827666291666</v>
      </c>
      <c r="Q674">
        <v>1.47235793294985E-2</v>
      </c>
      <c r="R674">
        <v>0.97724564425596105</v>
      </c>
      <c r="S674" t="s">
        <v>7242</v>
      </c>
      <c r="T674" t="s">
        <v>13134</v>
      </c>
      <c r="U674" t="s">
        <v>13134</v>
      </c>
      <c r="V674" t="s">
        <v>13134</v>
      </c>
      <c r="W674" t="s">
        <v>13799</v>
      </c>
      <c r="X674">
        <v>4</v>
      </c>
      <c r="Y674" t="s">
        <v>20293</v>
      </c>
      <c r="Z674" t="s">
        <v>26642</v>
      </c>
      <c r="AA674">
        <v>0.40734459216030461</v>
      </c>
      <c r="AB674" t="str">
        <f>HYPERLINK("Melting_Curves/meltCurve_F5GY99_GALNT1.pdf", "Melting_Curves/meltCurve_F5GY99_GALNT1.pdf")</f>
        <v>Melting_Curves/meltCurve_F5GY99_GALNT1.pdf</v>
      </c>
    </row>
    <row r="675" spans="1:28" x14ac:dyDescent="0.25">
      <c r="A675" t="s">
        <v>679</v>
      </c>
      <c r="B675">
        <v>0.99472303558308395</v>
      </c>
      <c r="C675">
        <v>0.92888430409861</v>
      </c>
      <c r="D675">
        <v>0.77121292745131098</v>
      </c>
      <c r="E675">
        <v>0.64828122279771305</v>
      </c>
      <c r="F675">
        <v>0.48247872408939901</v>
      </c>
      <c r="G675">
        <v>0.242061498372411</v>
      </c>
      <c r="H675">
        <v>0.120268599658163</v>
      </c>
      <c r="I675">
        <v>4.6314184164353497E-2</v>
      </c>
      <c r="J675">
        <v>4.8495426301754699E-2</v>
      </c>
      <c r="K675">
        <v>3.4122330367661699E-2</v>
      </c>
      <c r="L675">
        <v>578.00333913336203</v>
      </c>
      <c r="M675">
        <v>11.834379283757</v>
      </c>
      <c r="N675">
        <v>48.8410355535202</v>
      </c>
      <c r="O675">
        <v>47.509061380515199</v>
      </c>
      <c r="P675">
        <v>-6.2290169386738502E-2</v>
      </c>
      <c r="Q675">
        <v>0</v>
      </c>
      <c r="R675">
        <v>0.99200628337012997</v>
      </c>
      <c r="S675" t="s">
        <v>7243</v>
      </c>
      <c r="T675" t="s">
        <v>13134</v>
      </c>
      <c r="U675" t="s">
        <v>13134</v>
      </c>
      <c r="V675" t="s">
        <v>13134</v>
      </c>
      <c r="W675" t="s">
        <v>13800</v>
      </c>
      <c r="X675">
        <v>13</v>
      </c>
      <c r="Y675" t="s">
        <v>20294</v>
      </c>
      <c r="Z675" t="s">
        <v>26643</v>
      </c>
      <c r="AA675">
        <v>0.42524325872804991</v>
      </c>
      <c r="AB675" t="str">
        <f>HYPERLINK("Melting_Curves/meltCurve_F5GYC1_ABCD3.pdf", "Melting_Curves/meltCurve_F5GYC1_ABCD3.pdf")</f>
        <v>Melting_Curves/meltCurve_F5GYC1_ABCD3.pdf</v>
      </c>
    </row>
    <row r="676" spans="1:28" x14ac:dyDescent="0.25">
      <c r="A676" t="s">
        <v>680</v>
      </c>
      <c r="B676">
        <v>0.99472303558308395</v>
      </c>
      <c r="C676">
        <v>1.1475864523136099</v>
      </c>
      <c r="D676">
        <v>0.739198862990188</v>
      </c>
      <c r="E676">
        <v>0.774481803111712</v>
      </c>
      <c r="F676">
        <v>0.85566148549893595</v>
      </c>
      <c r="G676">
        <v>0.37219816767042302</v>
      </c>
      <c r="H676">
        <v>0.17005118102473199</v>
      </c>
      <c r="I676">
        <v>7.0770596405233102E-2</v>
      </c>
      <c r="J676">
        <v>7.0598373897433495E-2</v>
      </c>
      <c r="K676">
        <v>9.4512428754201794E-2</v>
      </c>
      <c r="L676">
        <v>885.59671874877301</v>
      </c>
      <c r="M676">
        <v>16.8402945339339</v>
      </c>
      <c r="N676">
        <v>52.698491029598699</v>
      </c>
      <c r="O676">
        <v>51.863204589256597</v>
      </c>
      <c r="P676">
        <v>-7.9772949481165506E-2</v>
      </c>
      <c r="Q676">
        <v>1.7353181543703699E-2</v>
      </c>
      <c r="R676">
        <v>0.91830041107932503</v>
      </c>
      <c r="S676" t="s">
        <v>7244</v>
      </c>
      <c r="T676" t="s">
        <v>13134</v>
      </c>
      <c r="U676" t="s">
        <v>13134</v>
      </c>
      <c r="V676" t="s">
        <v>13134</v>
      </c>
      <c r="W676" t="s">
        <v>13801</v>
      </c>
      <c r="X676">
        <v>1</v>
      </c>
      <c r="Y676" t="s">
        <v>20295</v>
      </c>
      <c r="Z676" t="s">
        <v>26644</v>
      </c>
      <c r="AA676">
        <v>0.54379170665110388</v>
      </c>
      <c r="AB676" t="str">
        <f>HYPERLINK("Melting_Curves/meltCurve_F5GYC2_MAP7D2.pdf", "Melting_Curves/meltCurve_F5GYC2_MAP7D2.pdf")</f>
        <v>Melting_Curves/meltCurve_F5GYC2_MAP7D2.pdf</v>
      </c>
    </row>
    <row r="677" spans="1:28" x14ac:dyDescent="0.25">
      <c r="A677" t="s">
        <v>681</v>
      </c>
      <c r="B677">
        <v>0.99472303558308395</v>
      </c>
      <c r="C677">
        <v>1.00359399034439</v>
      </c>
      <c r="D677">
        <v>1.0818265074998701</v>
      </c>
      <c r="E677">
        <v>0.92060110331596701</v>
      </c>
      <c r="F677">
        <v>0.59912411491349804</v>
      </c>
      <c r="G677">
        <v>0.54948775856394705</v>
      </c>
      <c r="H677">
        <v>0.36729842850934902</v>
      </c>
      <c r="I677">
        <v>0.30428670169668598</v>
      </c>
      <c r="J677">
        <v>0.34282387488830501</v>
      </c>
      <c r="K677">
        <v>0.223314183971555</v>
      </c>
      <c r="L677">
        <v>910.27862587713298</v>
      </c>
      <c r="M677">
        <v>17.843738362239002</v>
      </c>
      <c r="N677">
        <v>53.414102971061901</v>
      </c>
      <c r="O677">
        <v>50.386117569969002</v>
      </c>
      <c r="P677">
        <v>-6.4125211453754799E-2</v>
      </c>
      <c r="Q677">
        <v>0.27574468128417701</v>
      </c>
      <c r="R677">
        <v>0.96783496844180195</v>
      </c>
      <c r="S677" t="s">
        <v>7245</v>
      </c>
      <c r="T677" t="s">
        <v>13134</v>
      </c>
      <c r="U677" t="s">
        <v>13134</v>
      </c>
      <c r="V677" t="s">
        <v>13134</v>
      </c>
      <c r="W677" t="s">
        <v>13424</v>
      </c>
      <c r="X677">
        <v>2</v>
      </c>
      <c r="Z677" t="s">
        <v>26645</v>
      </c>
      <c r="AA677">
        <v>0.62544723109556832</v>
      </c>
      <c r="AB677" t="str">
        <f>HYPERLINK("Melting_Curves/meltCurve_F5GYJ5_.pdf", "Melting_Curves/meltCurve_F5GYJ5_.pdf")</f>
        <v>Melting_Curves/meltCurve_F5GYJ5_.pdf</v>
      </c>
    </row>
    <row r="678" spans="1:28" x14ac:dyDescent="0.25">
      <c r="A678" t="s">
        <v>682</v>
      </c>
      <c r="B678">
        <v>0.99472303558308395</v>
      </c>
      <c r="C678">
        <v>0.88148416989491496</v>
      </c>
      <c r="D678">
        <v>1.0101421342430801</v>
      </c>
      <c r="E678">
        <v>0.96513504062322497</v>
      </c>
      <c r="F678">
        <v>0.72055506410742998</v>
      </c>
      <c r="G678">
        <v>0.28907230704399101</v>
      </c>
      <c r="H678">
        <v>5.5672625047794001E-2</v>
      </c>
      <c r="I678">
        <v>3.2368869110241102E-2</v>
      </c>
      <c r="J678">
        <v>3.3443689663993602E-2</v>
      </c>
      <c r="K678">
        <v>3.3283357755979098E-2</v>
      </c>
      <c r="L678">
        <v>1494.09295059644</v>
      </c>
      <c r="M678">
        <v>28.816390119332102</v>
      </c>
      <c r="N678">
        <v>51.930558179446599</v>
      </c>
      <c r="O678">
        <v>51.600949235774799</v>
      </c>
      <c r="P678">
        <v>-0.13651331443075301</v>
      </c>
      <c r="Q678">
        <v>2.2200527404477699E-2</v>
      </c>
      <c r="R678">
        <v>0.99167305080327794</v>
      </c>
      <c r="S678" t="s">
        <v>7246</v>
      </c>
      <c r="T678" t="s">
        <v>13134</v>
      </c>
      <c r="U678" t="s">
        <v>13134</v>
      </c>
      <c r="V678" t="s">
        <v>13134</v>
      </c>
      <c r="W678" t="s">
        <v>13802</v>
      </c>
      <c r="X678">
        <v>13</v>
      </c>
      <c r="Y678" t="s">
        <v>20296</v>
      </c>
      <c r="Z678" t="s">
        <v>26646</v>
      </c>
      <c r="AA678">
        <v>0.51282112840604366</v>
      </c>
      <c r="AB678" t="str">
        <f>HYPERLINK("Melting_Curves/meltCurve_F5GYN4_OTUB1.pdf", "Melting_Curves/meltCurve_F5GYN4_OTUB1.pdf")</f>
        <v>Melting_Curves/meltCurve_F5GYN4_OTUB1.pdf</v>
      </c>
    </row>
    <row r="679" spans="1:28" x14ac:dyDescent="0.25">
      <c r="A679" t="s">
        <v>683</v>
      </c>
      <c r="B679">
        <v>0.99472303558308395</v>
      </c>
      <c r="C679">
        <v>0.86926127690684296</v>
      </c>
      <c r="D679">
        <v>0.74526017359171604</v>
      </c>
      <c r="E679">
        <v>0.65023118399521096</v>
      </c>
      <c r="F679">
        <v>0.57363291881105205</v>
      </c>
      <c r="G679">
        <v>0.22423078551123901</v>
      </c>
      <c r="H679">
        <v>0.18384404157722001</v>
      </c>
      <c r="I679">
        <v>7.4749536853285406E-2</v>
      </c>
      <c r="J679">
        <v>8.3899581177545299E-2</v>
      </c>
      <c r="K679">
        <v>6.4907117324195795E-2</v>
      </c>
      <c r="L679">
        <v>499.19607240864298</v>
      </c>
      <c r="M679">
        <v>10.1480195519439</v>
      </c>
      <c r="N679">
        <v>49.1914669002119</v>
      </c>
      <c r="O679">
        <v>47.3959512205778</v>
      </c>
      <c r="P679">
        <v>-5.35525012560885E-2</v>
      </c>
      <c r="Q679">
        <v>0</v>
      </c>
      <c r="R679">
        <v>0.97385288703047701</v>
      </c>
      <c r="S679" t="s">
        <v>7247</v>
      </c>
      <c r="T679" t="s">
        <v>13134</v>
      </c>
      <c r="U679" t="s">
        <v>13134</v>
      </c>
      <c r="V679" t="s">
        <v>13134</v>
      </c>
      <c r="W679" t="s">
        <v>13803</v>
      </c>
      <c r="X679">
        <v>15</v>
      </c>
      <c r="Y679" t="s">
        <v>20297</v>
      </c>
      <c r="Z679" t="s">
        <v>26647</v>
      </c>
      <c r="AA679">
        <v>0.44233236909680029</v>
      </c>
      <c r="AB679" t="str">
        <f>HYPERLINK("Melting_Curves/meltCurve_F5GYQ1_ATP6V0D1.pdf", "Melting_Curves/meltCurve_F5GYQ1_ATP6V0D1.pdf")</f>
        <v>Melting_Curves/meltCurve_F5GYQ1_ATP6V0D1.pdf</v>
      </c>
    </row>
    <row r="680" spans="1:28" x14ac:dyDescent="0.25">
      <c r="A680" t="s">
        <v>684</v>
      </c>
      <c r="B680">
        <v>0.99472303558308395</v>
      </c>
      <c r="C680">
        <v>1.02912397480563</v>
      </c>
      <c r="D680">
        <v>0.889663958007199</v>
      </c>
      <c r="E680">
        <v>0.52579555247348098</v>
      </c>
      <c r="F680">
        <v>0.20944950799974901</v>
      </c>
      <c r="G680">
        <v>0.151164792623455</v>
      </c>
      <c r="H680">
        <v>0.128403268912302</v>
      </c>
      <c r="I680">
        <v>0.101933637955479</v>
      </c>
      <c r="J680">
        <v>0.107474231050705</v>
      </c>
      <c r="K680">
        <v>4.2402240878203497E-2</v>
      </c>
      <c r="L680">
        <v>1166.96992199999</v>
      </c>
      <c r="M680">
        <v>25.132687445721199</v>
      </c>
      <c r="N680">
        <v>46.834274320633597</v>
      </c>
      <c r="O680">
        <v>46.141385891720802</v>
      </c>
      <c r="P680">
        <v>-0.12296497155078701</v>
      </c>
      <c r="Q680">
        <v>9.7000749252001306E-2</v>
      </c>
      <c r="R680">
        <v>0.99568948971540105</v>
      </c>
      <c r="S680" t="s">
        <v>7248</v>
      </c>
      <c r="T680" t="s">
        <v>13134</v>
      </c>
      <c r="U680" t="s">
        <v>13134</v>
      </c>
      <c r="V680" t="s">
        <v>13134</v>
      </c>
      <c r="W680" t="s">
        <v>13804</v>
      </c>
      <c r="X680">
        <v>2</v>
      </c>
      <c r="Y680" t="s">
        <v>20298</v>
      </c>
      <c r="Z680" t="s">
        <v>26648</v>
      </c>
      <c r="AA680">
        <v>0.38835758355362449</v>
      </c>
      <c r="AB680" t="str">
        <f>HYPERLINK("Melting_Curves/meltCurve_F5GYS8_MEIS1.pdf", "Melting_Curves/meltCurve_F5GYS8_MEIS1.pdf")</f>
        <v>Melting_Curves/meltCurve_F5GYS8_MEIS1.pdf</v>
      </c>
    </row>
    <row r="681" spans="1:28" x14ac:dyDescent="0.25">
      <c r="A681" t="s">
        <v>685</v>
      </c>
      <c r="B681">
        <v>0.99472303558308395</v>
      </c>
      <c r="C681">
        <v>0.81287025171463501</v>
      </c>
      <c r="D681">
        <v>0.74784552592825804</v>
      </c>
      <c r="E681">
        <v>0.59151413001986597</v>
      </c>
      <c r="F681">
        <v>0.47517433803437997</v>
      </c>
      <c r="G681">
        <v>0.16082419424130101</v>
      </c>
      <c r="H681">
        <v>8.3905539330713194E-2</v>
      </c>
      <c r="I681">
        <v>7.6352778561720402E-2</v>
      </c>
      <c r="J681">
        <v>8.9969950554781103E-2</v>
      </c>
      <c r="K681">
        <v>7.0953130200812897E-2</v>
      </c>
      <c r="L681">
        <v>505.97480833609302</v>
      </c>
      <c r="M681">
        <v>10.5835554485339</v>
      </c>
      <c r="N681">
        <v>47.807653774884699</v>
      </c>
      <c r="O681">
        <v>46.195508834751003</v>
      </c>
      <c r="P681">
        <v>-5.7298291677758503E-2</v>
      </c>
      <c r="Q681">
        <v>0</v>
      </c>
      <c r="R681">
        <v>0.97481506787660899</v>
      </c>
      <c r="S681" t="s">
        <v>7249</v>
      </c>
      <c r="T681" t="s">
        <v>13134</v>
      </c>
      <c r="U681" t="s">
        <v>13134</v>
      </c>
      <c r="V681" t="s">
        <v>13134</v>
      </c>
      <c r="W681" t="s">
        <v>13805</v>
      </c>
      <c r="X681">
        <v>4</v>
      </c>
      <c r="Y681" t="s">
        <v>20299</v>
      </c>
      <c r="Z681" t="s">
        <v>26649</v>
      </c>
      <c r="AA681">
        <v>0.39804280400444098</v>
      </c>
      <c r="AB681" t="str">
        <f>HYPERLINK("Melting_Curves/meltCurve_F5GZ90_DTL.pdf", "Melting_Curves/meltCurve_F5GZ90_DTL.pdf")</f>
        <v>Melting_Curves/meltCurve_F5GZ90_DTL.pdf</v>
      </c>
    </row>
    <row r="682" spans="1:28" x14ac:dyDescent="0.25">
      <c r="A682" t="s">
        <v>686</v>
      </c>
      <c r="B682">
        <v>0.99472303558308395</v>
      </c>
      <c r="C682">
        <v>0.93094591995006803</v>
      </c>
      <c r="D682">
        <v>0.76539191942669904</v>
      </c>
      <c r="E682">
        <v>0.74895570083970298</v>
      </c>
      <c r="F682">
        <v>1.1702484455597799</v>
      </c>
      <c r="G682">
        <v>0.59067853717319196</v>
      </c>
      <c r="H682">
        <v>0.86060535887655099</v>
      </c>
      <c r="I682">
        <v>0.34180528506664998</v>
      </c>
      <c r="J682">
        <v>0.62788401544655403</v>
      </c>
      <c r="K682">
        <v>0.883069294635633</v>
      </c>
      <c r="L682">
        <v>297.79938735940499</v>
      </c>
      <c r="M682">
        <v>5.9153888445413596</v>
      </c>
      <c r="O682">
        <v>45.489529805723301</v>
      </c>
      <c r="P682">
        <v>-1.35078835081085E-2</v>
      </c>
      <c r="Q682">
        <v>0.58590634494080995</v>
      </c>
      <c r="R682">
        <v>0.20718363053400099</v>
      </c>
      <c r="S682" t="s">
        <v>7250</v>
      </c>
      <c r="T682" t="s">
        <v>13134</v>
      </c>
      <c r="U682" t="s">
        <v>13134</v>
      </c>
      <c r="V682" t="s">
        <v>13134</v>
      </c>
      <c r="W682" t="s">
        <v>13806</v>
      </c>
      <c r="X682">
        <v>13</v>
      </c>
      <c r="Y682" t="s">
        <v>20300</v>
      </c>
      <c r="Z682" t="s">
        <v>26650</v>
      </c>
      <c r="AA682">
        <v>0.78868300498514332</v>
      </c>
      <c r="AB682" t="str">
        <f>HYPERLINK("Melting_Curves/meltCurve_F5GZG1_RAP1B.pdf", "Melting_Curves/meltCurve_F5GZG1_RAP1B.pdf")</f>
        <v>Melting_Curves/meltCurve_F5GZG1_RAP1B.pdf</v>
      </c>
    </row>
    <row r="683" spans="1:28" x14ac:dyDescent="0.25">
      <c r="A683" t="s">
        <v>687</v>
      </c>
      <c r="B683">
        <v>0.99472303558308395</v>
      </c>
      <c r="C683">
        <v>1.1149591016062099</v>
      </c>
      <c r="D683">
        <v>0.97796167846253901</v>
      </c>
      <c r="E683">
        <v>0.93765116903560497</v>
      </c>
      <c r="F683">
        <v>0.75078093710796201</v>
      </c>
      <c r="G683">
        <v>0.390449952742981</v>
      </c>
      <c r="H683">
        <v>0.21889964170169299</v>
      </c>
      <c r="I683">
        <v>0.181966183668196</v>
      </c>
      <c r="J683">
        <v>0.27533276501396597</v>
      </c>
      <c r="K683">
        <v>0.196776690645281</v>
      </c>
      <c r="L683">
        <v>1497.6756322551801</v>
      </c>
      <c r="M683">
        <v>29.0916418037759</v>
      </c>
      <c r="N683">
        <v>52.4494430647431</v>
      </c>
      <c r="O683">
        <v>51.239886190211898</v>
      </c>
      <c r="P683">
        <v>-0.11245196384768701</v>
      </c>
      <c r="Q683">
        <v>0.20774724987412199</v>
      </c>
      <c r="R683">
        <v>0.98447844499869896</v>
      </c>
      <c r="S683" t="s">
        <v>7251</v>
      </c>
      <c r="T683" t="s">
        <v>13134</v>
      </c>
      <c r="U683" t="s">
        <v>13134</v>
      </c>
      <c r="V683" t="s">
        <v>13134</v>
      </c>
      <c r="W683" t="s">
        <v>13807</v>
      </c>
      <c r="X683">
        <v>4</v>
      </c>
      <c r="Y683" t="s">
        <v>20301</v>
      </c>
      <c r="Z683" t="s">
        <v>26651</v>
      </c>
      <c r="AA683">
        <v>0.59544699787599398</v>
      </c>
      <c r="AB683" t="str">
        <f>HYPERLINK("Melting_Curves/meltCurve_F5GZP3_TRIM59.pdf", "Melting_Curves/meltCurve_F5GZP3_TRIM59.pdf")</f>
        <v>Melting_Curves/meltCurve_F5GZP3_TRIM59.pdf</v>
      </c>
    </row>
    <row r="684" spans="1:28" x14ac:dyDescent="0.25">
      <c r="A684" t="s">
        <v>688</v>
      </c>
      <c r="B684">
        <v>0.99472303558308395</v>
      </c>
      <c r="C684">
        <v>0.94787771324703796</v>
      </c>
      <c r="D684">
        <v>0.86574590477172997</v>
      </c>
      <c r="E684">
        <v>0.74450626388289898</v>
      </c>
      <c r="F684">
        <v>0.49150974503566403</v>
      </c>
      <c r="G684">
        <v>0.15268729214815399</v>
      </c>
      <c r="H684">
        <v>8.2193200600920294E-2</v>
      </c>
      <c r="I684">
        <v>6.3010289581709206E-2</v>
      </c>
      <c r="J684">
        <v>6.7759466375384006E-2</v>
      </c>
      <c r="K684">
        <v>6.15452054276222E-2</v>
      </c>
      <c r="L684">
        <v>845.64466603764902</v>
      </c>
      <c r="M684">
        <v>17.1697599306424</v>
      </c>
      <c r="N684">
        <v>49.423821212700197</v>
      </c>
      <c r="O684">
        <v>48.598433876905403</v>
      </c>
      <c r="P684">
        <v>-8.5770379524084395E-2</v>
      </c>
      <c r="Q684">
        <v>2.89768891880911E-2</v>
      </c>
      <c r="R684">
        <v>0.99103703167786505</v>
      </c>
      <c r="S684" t="s">
        <v>7252</v>
      </c>
      <c r="T684" t="s">
        <v>13134</v>
      </c>
      <c r="U684" t="s">
        <v>13134</v>
      </c>
      <c r="V684" t="s">
        <v>13134</v>
      </c>
      <c r="W684" t="s">
        <v>13808</v>
      </c>
      <c r="X684">
        <v>21</v>
      </c>
      <c r="Y684" t="s">
        <v>20302</v>
      </c>
      <c r="Z684" t="s">
        <v>26652</v>
      </c>
      <c r="AA684">
        <v>0.44223887314175209</v>
      </c>
      <c r="AB684" t="str">
        <f>HYPERLINK("Melting_Curves/meltCurve_F5GZS0_DHX36.pdf", "Melting_Curves/meltCurve_F5GZS0_DHX36.pdf")</f>
        <v>Melting_Curves/meltCurve_F5GZS0_DHX36.pdf</v>
      </c>
    </row>
    <row r="685" spans="1:28" x14ac:dyDescent="0.25">
      <c r="A685" t="s">
        <v>689</v>
      </c>
      <c r="B685">
        <v>0.99472303558308395</v>
      </c>
      <c r="C685">
        <v>0.97833034434397004</v>
      </c>
      <c r="D685">
        <v>0.90645657587460904</v>
      </c>
      <c r="E685">
        <v>0.90805482276410998</v>
      </c>
      <c r="F685">
        <v>0.81361527115569299</v>
      </c>
      <c r="G685">
        <v>0.64058161806833902</v>
      </c>
      <c r="H685">
        <v>0.405005105518143</v>
      </c>
      <c r="I685">
        <v>0.35082077015145702</v>
      </c>
      <c r="J685">
        <v>0.25031048528019501</v>
      </c>
      <c r="K685">
        <v>0.37404940586923102</v>
      </c>
      <c r="L685">
        <v>862.38538769470495</v>
      </c>
      <c r="M685">
        <v>16.212773981139801</v>
      </c>
      <c r="N685">
        <v>55.914538881990197</v>
      </c>
      <c r="O685">
        <v>52.402222556850901</v>
      </c>
      <c r="P685">
        <v>-5.6238901934039597E-2</v>
      </c>
      <c r="Q685">
        <v>0.272962413538132</v>
      </c>
      <c r="R685">
        <v>0.97360901832077595</v>
      </c>
      <c r="S685" t="s">
        <v>7253</v>
      </c>
      <c r="T685" t="s">
        <v>13134</v>
      </c>
      <c r="U685" t="s">
        <v>13134</v>
      </c>
      <c r="V685" t="s">
        <v>13134</v>
      </c>
      <c r="W685" t="s">
        <v>13809</v>
      </c>
      <c r="X685">
        <v>23</v>
      </c>
      <c r="Y685" t="s">
        <v>20303</v>
      </c>
      <c r="Z685" t="s">
        <v>26653</v>
      </c>
      <c r="AA685">
        <v>0.67718196848834511</v>
      </c>
      <c r="AB685" t="str">
        <f>HYPERLINK("Melting_Curves/meltCurve_F5GZS6_SLC3A2.pdf", "Melting_Curves/meltCurve_F5GZS6_SLC3A2.pdf")</f>
        <v>Melting_Curves/meltCurve_F5GZS6_SLC3A2.pdf</v>
      </c>
    </row>
    <row r="686" spans="1:28" x14ac:dyDescent="0.25">
      <c r="A686" t="s">
        <v>690</v>
      </c>
      <c r="B686">
        <v>0.99472303558308395</v>
      </c>
      <c r="C686">
        <v>1.0282604144119301</v>
      </c>
      <c r="D686">
        <v>0.80920280615881801</v>
      </c>
      <c r="E686">
        <v>0.365934348955959</v>
      </c>
      <c r="F686">
        <v>0.23437889772169301</v>
      </c>
      <c r="G686">
        <v>0.14539018840687701</v>
      </c>
      <c r="H686">
        <v>9.6788772871828604E-2</v>
      </c>
      <c r="I686">
        <v>6.6933194356471007E-2</v>
      </c>
      <c r="J686">
        <v>0.108167068249911</v>
      </c>
      <c r="K686">
        <v>9.4276259735832105E-2</v>
      </c>
      <c r="L686">
        <v>1128.4432167678001</v>
      </c>
      <c r="M686">
        <v>24.943000123271698</v>
      </c>
      <c r="N686">
        <v>45.671732761180103</v>
      </c>
      <c r="O686">
        <v>44.953093818177699</v>
      </c>
      <c r="P686">
        <v>-0.124176078631529</v>
      </c>
      <c r="Q686">
        <v>0.104835397865538</v>
      </c>
      <c r="R686">
        <v>0.99256939530777299</v>
      </c>
      <c r="S686" t="s">
        <v>7254</v>
      </c>
      <c r="T686" t="s">
        <v>13134</v>
      </c>
      <c r="U686" t="s">
        <v>13134</v>
      </c>
      <c r="V686" t="s">
        <v>13134</v>
      </c>
      <c r="W686" t="s">
        <v>13810</v>
      </c>
      <c r="X686">
        <v>9</v>
      </c>
      <c r="Y686" t="s">
        <v>20304</v>
      </c>
      <c r="Z686" t="s">
        <v>26654</v>
      </c>
      <c r="AA686">
        <v>0.35812910572015583</v>
      </c>
      <c r="AB686" t="str">
        <f>HYPERLINK("Melting_Curves/meltCurve_F5GZW3_ARHGAP4.pdf", "Melting_Curves/meltCurve_F5GZW3_ARHGAP4.pdf")</f>
        <v>Melting_Curves/meltCurve_F5GZW3_ARHGAP4.pdf</v>
      </c>
    </row>
    <row r="687" spans="1:28" x14ac:dyDescent="0.25">
      <c r="A687" t="s">
        <v>691</v>
      </c>
      <c r="B687">
        <v>0.99472303558308395</v>
      </c>
      <c r="C687">
        <v>1.0079618778496999</v>
      </c>
      <c r="D687">
        <v>0.87612714962456095</v>
      </c>
      <c r="E687">
        <v>0.67158523932205105</v>
      </c>
      <c r="F687">
        <v>0.27856675761622102</v>
      </c>
      <c r="G687">
        <v>0.14382540811800201</v>
      </c>
      <c r="H687">
        <v>0.101725600394255</v>
      </c>
      <c r="I687">
        <v>8.5405866595910804E-2</v>
      </c>
      <c r="J687">
        <v>5.0737495921083002E-2</v>
      </c>
      <c r="K687">
        <v>4.51699335788679E-2</v>
      </c>
      <c r="L687">
        <v>997.14747230242801</v>
      </c>
      <c r="M687">
        <v>20.9038289539285</v>
      </c>
      <c r="N687">
        <v>47.985665615408301</v>
      </c>
      <c r="O687">
        <v>47.271574989943403</v>
      </c>
      <c r="P687">
        <v>-0.104122186444232</v>
      </c>
      <c r="Q687">
        <v>5.8185342576030898E-2</v>
      </c>
      <c r="R687">
        <v>0.99714827434208297</v>
      </c>
      <c r="S687" t="s">
        <v>7255</v>
      </c>
      <c r="T687" t="s">
        <v>13134</v>
      </c>
      <c r="U687" t="s">
        <v>13134</v>
      </c>
      <c r="V687" t="s">
        <v>13134</v>
      </c>
      <c r="W687" t="s">
        <v>13811</v>
      </c>
      <c r="X687">
        <v>12</v>
      </c>
      <c r="Y687" t="s">
        <v>20305</v>
      </c>
      <c r="Z687" t="s">
        <v>26655</v>
      </c>
      <c r="AA687">
        <v>0.40550561212895758</v>
      </c>
      <c r="AB687" t="str">
        <f>HYPERLINK("Melting_Curves/meltCurve_F5GZX9_FAM120B.pdf", "Melting_Curves/meltCurve_F5GZX9_FAM120B.pdf")</f>
        <v>Melting_Curves/meltCurve_F5GZX9_FAM120B.pdf</v>
      </c>
    </row>
    <row r="688" spans="1:28" x14ac:dyDescent="0.25">
      <c r="A688" t="s">
        <v>692</v>
      </c>
      <c r="B688">
        <v>0.99472303558308395</v>
      </c>
      <c r="C688">
        <v>1.07537485176073</v>
      </c>
      <c r="D688">
        <v>0.89159855120517395</v>
      </c>
      <c r="E688">
        <v>0.67627599214793399</v>
      </c>
      <c r="F688">
        <v>0.51959187371313997</v>
      </c>
      <c r="G688">
        <v>0.33457330317425599</v>
      </c>
      <c r="H688">
        <v>0.20180972495211699</v>
      </c>
      <c r="I688">
        <v>0.226374991525844</v>
      </c>
      <c r="J688">
        <v>0.239260318228181</v>
      </c>
      <c r="K688">
        <v>0.18497423376144301</v>
      </c>
      <c r="L688">
        <v>783.07840489052899</v>
      </c>
      <c r="M688">
        <v>16.184134774882999</v>
      </c>
      <c r="N688">
        <v>49.872977141620801</v>
      </c>
      <c r="O688">
        <v>47.664888001209697</v>
      </c>
      <c r="P688">
        <v>-6.8640087287153803E-2</v>
      </c>
      <c r="Q688">
        <v>0.191435690077117</v>
      </c>
      <c r="R688">
        <v>0.98435147055288996</v>
      </c>
      <c r="S688" t="s">
        <v>7256</v>
      </c>
      <c r="T688" t="s">
        <v>13134</v>
      </c>
      <c r="U688" t="s">
        <v>13134</v>
      </c>
      <c r="V688" t="s">
        <v>13134</v>
      </c>
      <c r="W688" t="s">
        <v>13812</v>
      </c>
      <c r="X688">
        <v>2</v>
      </c>
      <c r="Y688" t="s">
        <v>20306</v>
      </c>
      <c r="Z688" t="s">
        <v>26656</v>
      </c>
      <c r="AA688">
        <v>0.51384579652824092</v>
      </c>
      <c r="AB688" t="str">
        <f>HYPERLINK("Melting_Curves/meltCurve_F5GZZ0_ALKBH2.pdf", "Melting_Curves/meltCurve_F5GZZ0_ALKBH2.pdf")</f>
        <v>Melting_Curves/meltCurve_F5GZZ0_ALKBH2.pdf</v>
      </c>
    </row>
    <row r="689" spans="1:28" x14ac:dyDescent="0.25">
      <c r="A689" t="s">
        <v>693</v>
      </c>
      <c r="B689">
        <v>0.99472303558308395</v>
      </c>
      <c r="C689">
        <v>0.96242502815061504</v>
      </c>
      <c r="D689">
        <v>0.59969167648242405</v>
      </c>
      <c r="E689">
        <v>0.59636639753006204</v>
      </c>
      <c r="F689">
        <v>0.162667898675804</v>
      </c>
      <c r="G689">
        <v>9.3107778392711796E-2</v>
      </c>
      <c r="H689">
        <v>0</v>
      </c>
      <c r="I689">
        <v>0</v>
      </c>
      <c r="J689">
        <v>0</v>
      </c>
      <c r="K689">
        <v>0</v>
      </c>
      <c r="L689">
        <v>694.16072429542999</v>
      </c>
      <c r="M689">
        <v>15.091105502671301</v>
      </c>
      <c r="N689">
        <v>45.998002795240502</v>
      </c>
      <c r="O689">
        <v>45.212984018668102</v>
      </c>
      <c r="P689">
        <v>-8.3452765223431202E-2</v>
      </c>
      <c r="Q689">
        <v>0</v>
      </c>
      <c r="R689">
        <v>0.96627781346529995</v>
      </c>
      <c r="S689" t="s">
        <v>7257</v>
      </c>
      <c r="T689" t="s">
        <v>13134</v>
      </c>
      <c r="U689" t="s">
        <v>13134</v>
      </c>
      <c r="V689" t="s">
        <v>13134</v>
      </c>
      <c r="W689" t="s">
        <v>13813</v>
      </c>
      <c r="X689">
        <v>3</v>
      </c>
      <c r="Y689" t="s">
        <v>20307</v>
      </c>
      <c r="Z689" t="s">
        <v>26657</v>
      </c>
      <c r="AA689">
        <v>0.32273315022955512</v>
      </c>
      <c r="AB689" t="str">
        <f>HYPERLINK("Melting_Curves/meltCurve_F5H012_TRIM21.pdf", "Melting_Curves/meltCurve_F5H012_TRIM21.pdf")</f>
        <v>Melting_Curves/meltCurve_F5H012_TRIM21.pdf</v>
      </c>
    </row>
    <row r="690" spans="1:28" x14ac:dyDescent="0.25">
      <c r="A690" t="s">
        <v>694</v>
      </c>
      <c r="B690">
        <v>0.99472303558308395</v>
      </c>
      <c r="C690">
        <v>0.98434093982908599</v>
      </c>
      <c r="D690">
        <v>0.88565035423838501</v>
      </c>
      <c r="E690">
        <v>0.59277679938663697</v>
      </c>
      <c r="F690">
        <v>0.249923595916066</v>
      </c>
      <c r="G690">
        <v>0.12513383317180199</v>
      </c>
      <c r="H690">
        <v>9.98642942205267E-2</v>
      </c>
      <c r="I690">
        <v>4.9223018828080001E-2</v>
      </c>
      <c r="J690">
        <v>6.6583157037461593E-2</v>
      </c>
      <c r="K690">
        <v>6.8021269859203898E-2</v>
      </c>
      <c r="L690">
        <v>1012.41856228059</v>
      </c>
      <c r="M690">
        <v>21.4941277241074</v>
      </c>
      <c r="N690">
        <v>47.396305777886099</v>
      </c>
      <c r="O690">
        <v>46.700075955284198</v>
      </c>
      <c r="P690">
        <v>-0.107881371071855</v>
      </c>
      <c r="Q690">
        <v>6.2451842434994603E-2</v>
      </c>
      <c r="R690">
        <v>0.99935471780768104</v>
      </c>
      <c r="S690" t="s">
        <v>7258</v>
      </c>
      <c r="T690" t="s">
        <v>13134</v>
      </c>
      <c r="U690" t="s">
        <v>13134</v>
      </c>
      <c r="V690" t="s">
        <v>13134</v>
      </c>
      <c r="W690" t="s">
        <v>13814</v>
      </c>
      <c r="X690">
        <v>20</v>
      </c>
      <c r="Y690" t="s">
        <v>20308</v>
      </c>
      <c r="Z690" t="s">
        <v>26658</v>
      </c>
      <c r="AA690">
        <v>0.38881669335730462</v>
      </c>
      <c r="AB690" t="str">
        <f>HYPERLINK("Melting_Curves/meltCurve_F5H070_KDM3A.pdf", "Melting_Curves/meltCurve_F5H070_KDM3A.pdf")</f>
        <v>Melting_Curves/meltCurve_F5H070_KDM3A.pdf</v>
      </c>
    </row>
    <row r="691" spans="1:28" x14ac:dyDescent="0.25">
      <c r="A691" t="s">
        <v>695</v>
      </c>
      <c r="B691">
        <v>0.99472303558308395</v>
      </c>
      <c r="C691">
        <v>0.94995673558105398</v>
      </c>
      <c r="D691">
        <v>0.68961610338702495</v>
      </c>
      <c r="E691">
        <v>0.575400892463376</v>
      </c>
      <c r="F691">
        <v>0.504701246489489</v>
      </c>
      <c r="G691">
        <v>0.15893656161747499</v>
      </c>
      <c r="H691">
        <v>9.3874733434083799E-2</v>
      </c>
      <c r="I691">
        <v>7.73032223982206E-2</v>
      </c>
      <c r="J691">
        <v>9.2057850171552699E-2</v>
      </c>
      <c r="K691">
        <v>8.1511814931678805E-2</v>
      </c>
      <c r="L691">
        <v>532.89302392508898</v>
      </c>
      <c r="M691">
        <v>11.134948862268301</v>
      </c>
      <c r="N691">
        <v>47.950242283795198</v>
      </c>
      <c r="O691">
        <v>46.391915770285699</v>
      </c>
      <c r="P691">
        <v>-5.9386017034618099E-2</v>
      </c>
      <c r="Q691">
        <v>1.06301581756025E-2</v>
      </c>
      <c r="R691">
        <v>0.96959373987179098</v>
      </c>
      <c r="S691" t="s">
        <v>7259</v>
      </c>
      <c r="T691" t="s">
        <v>13134</v>
      </c>
      <c r="U691" t="s">
        <v>13134</v>
      </c>
      <c r="V691" t="s">
        <v>13134</v>
      </c>
      <c r="W691" t="s">
        <v>13815</v>
      </c>
      <c r="X691">
        <v>4</v>
      </c>
      <c r="Y691" t="s">
        <v>20309</v>
      </c>
      <c r="Z691" t="s">
        <v>26659</v>
      </c>
      <c r="AA691">
        <v>0.4034545524381789</v>
      </c>
      <c r="AB691" t="str">
        <f>HYPERLINK("Melting_Curves/meltCurve_F5H0F9_ANAPC5.pdf", "Melting_Curves/meltCurve_F5H0F9_ANAPC5.pdf")</f>
        <v>Melting_Curves/meltCurve_F5H0F9_ANAPC5.pdf</v>
      </c>
    </row>
    <row r="692" spans="1:28" x14ac:dyDescent="0.25">
      <c r="A692" t="s">
        <v>696</v>
      </c>
      <c r="B692">
        <v>0.99472303558308395</v>
      </c>
      <c r="C692">
        <v>0.96085957752776996</v>
      </c>
      <c r="D692">
        <v>0.85496080679474995</v>
      </c>
      <c r="E692">
        <v>0.51737917758376095</v>
      </c>
      <c r="F692">
        <v>0.25650080864980601</v>
      </c>
      <c r="G692">
        <v>0.163802438142606</v>
      </c>
      <c r="H692">
        <v>0.134016352325069</v>
      </c>
      <c r="I692">
        <v>0.103623787948601</v>
      </c>
      <c r="J692">
        <v>0.21081795514347401</v>
      </c>
      <c r="K692">
        <v>9.58310479186604E-2</v>
      </c>
      <c r="L692">
        <v>1011.51665578334</v>
      </c>
      <c r="M692">
        <v>21.933536993582099</v>
      </c>
      <c r="N692">
        <v>46.764787996549401</v>
      </c>
      <c r="O692">
        <v>45.7391339375705</v>
      </c>
      <c r="P692">
        <v>-0.104188308845181</v>
      </c>
      <c r="Q692">
        <v>0.13094264994829399</v>
      </c>
      <c r="R692">
        <v>0.99308554551262396</v>
      </c>
      <c r="S692" t="s">
        <v>7260</v>
      </c>
      <c r="T692" t="s">
        <v>13134</v>
      </c>
      <c r="U692" t="s">
        <v>13134</v>
      </c>
      <c r="V692" t="s">
        <v>13134</v>
      </c>
      <c r="W692" t="s">
        <v>13816</v>
      </c>
      <c r="X692">
        <v>5</v>
      </c>
      <c r="Y692" t="s">
        <v>20310</v>
      </c>
      <c r="Z692" t="s">
        <v>26660</v>
      </c>
      <c r="AA692">
        <v>0.40448002379904902</v>
      </c>
      <c r="AB692" t="str">
        <f>HYPERLINK("Melting_Curves/meltCurve_F5H0I3_SOX5.pdf", "Melting_Curves/meltCurve_F5H0I3_SOX5.pdf")</f>
        <v>Melting_Curves/meltCurve_F5H0I3_SOX5.pdf</v>
      </c>
    </row>
    <row r="693" spans="1:28" x14ac:dyDescent="0.25">
      <c r="A693" t="s">
        <v>697</v>
      </c>
      <c r="B693">
        <v>0.99472303558308395</v>
      </c>
      <c r="C693">
        <v>0.90411427562673796</v>
      </c>
      <c r="D693">
        <v>0.75924829471046795</v>
      </c>
      <c r="E693">
        <v>0.51468002763937304</v>
      </c>
      <c r="F693">
        <v>0.19911329468685801</v>
      </c>
      <c r="G693">
        <v>0.13597661388007901</v>
      </c>
      <c r="H693">
        <v>0.100885528133804</v>
      </c>
      <c r="I693">
        <v>7.7198398954770694E-2</v>
      </c>
      <c r="J693">
        <v>0.117239390731355</v>
      </c>
      <c r="K693">
        <v>0.111228505098663</v>
      </c>
      <c r="L693">
        <v>806.09585158548805</v>
      </c>
      <c r="M693">
        <v>17.630591692502499</v>
      </c>
      <c r="N693">
        <v>46.209085973437801</v>
      </c>
      <c r="O693">
        <v>45.145376255499599</v>
      </c>
      <c r="P693">
        <v>-8.9349266316777906E-2</v>
      </c>
      <c r="Q693">
        <v>8.4888190947196407E-2</v>
      </c>
      <c r="R693">
        <v>0.99415008863795895</v>
      </c>
      <c r="S693" t="s">
        <v>7261</v>
      </c>
      <c r="T693" t="s">
        <v>13134</v>
      </c>
      <c r="U693" t="s">
        <v>13134</v>
      </c>
      <c r="V693" t="s">
        <v>13134</v>
      </c>
      <c r="W693" t="s">
        <v>13817</v>
      </c>
      <c r="X693">
        <v>6</v>
      </c>
      <c r="Y693" t="s">
        <v>20311</v>
      </c>
      <c r="Z693" t="s">
        <v>26661</v>
      </c>
      <c r="AA693">
        <v>0.36639108047265362</v>
      </c>
      <c r="AB693" t="str">
        <f>HYPERLINK("Melting_Curves/meltCurve_F5H0K8_KSR1.pdf", "Melting_Curves/meltCurve_F5H0K8_KSR1.pdf")</f>
        <v>Melting_Curves/meltCurve_F5H0K8_KSR1.pdf</v>
      </c>
    </row>
    <row r="694" spans="1:28" x14ac:dyDescent="0.25">
      <c r="A694" t="s">
        <v>698</v>
      </c>
      <c r="B694">
        <v>0.99472303558308395</v>
      </c>
      <c r="C694">
        <v>0.99191526490827597</v>
      </c>
      <c r="D694">
        <v>0.92261950258349701</v>
      </c>
      <c r="E694">
        <v>0.62942378754374495</v>
      </c>
      <c r="F694">
        <v>0.21252101385741101</v>
      </c>
      <c r="G694">
        <v>0.10407324862525701</v>
      </c>
      <c r="H694">
        <v>6.1764105485308501E-2</v>
      </c>
      <c r="I694">
        <v>4.8342694941507898E-2</v>
      </c>
      <c r="J694">
        <v>5.3483504258432402E-2</v>
      </c>
      <c r="K694">
        <v>3.8090931062952998E-2</v>
      </c>
      <c r="L694">
        <v>1220.38073635602</v>
      </c>
      <c r="M694">
        <v>25.778920789761699</v>
      </c>
      <c r="N694">
        <v>47.526905367886101</v>
      </c>
      <c r="O694">
        <v>47.0581432204945</v>
      </c>
      <c r="P694">
        <v>-0.13036096924913301</v>
      </c>
      <c r="Q694">
        <v>4.8141466406126703E-2</v>
      </c>
      <c r="R694">
        <v>0.99951430998006796</v>
      </c>
      <c r="S694" t="s">
        <v>7262</v>
      </c>
      <c r="T694" t="s">
        <v>13134</v>
      </c>
      <c r="U694" t="s">
        <v>13134</v>
      </c>
      <c r="V694" t="s">
        <v>13134</v>
      </c>
      <c r="W694" t="s">
        <v>13818</v>
      </c>
      <c r="X694">
        <v>14</v>
      </c>
      <c r="Y694" t="s">
        <v>20312</v>
      </c>
      <c r="Z694" t="s">
        <v>26662</v>
      </c>
      <c r="AA694">
        <v>0.38377835423970408</v>
      </c>
      <c r="AB694" t="str">
        <f>HYPERLINK("Melting_Curves/meltCurve_F5H0L8_SEC23IP.pdf", "Melting_Curves/meltCurve_F5H0L8_SEC23IP.pdf")</f>
        <v>Melting_Curves/meltCurve_F5H0L8_SEC23IP.pdf</v>
      </c>
    </row>
    <row r="695" spans="1:28" x14ac:dyDescent="0.25">
      <c r="A695" t="s">
        <v>699</v>
      </c>
      <c r="B695">
        <v>0.99472303558308395</v>
      </c>
      <c r="C695">
        <v>0.96164353029527905</v>
      </c>
      <c r="D695">
        <v>0.999977869255262</v>
      </c>
      <c r="E695">
        <v>0.75028217122575203</v>
      </c>
      <c r="F695">
        <v>0.40031099614507898</v>
      </c>
      <c r="G695">
        <v>0.184031757477052</v>
      </c>
      <c r="H695">
        <v>0.14266593427927399</v>
      </c>
      <c r="I695">
        <v>0.117979615657947</v>
      </c>
      <c r="J695">
        <v>0.10773684359170101</v>
      </c>
      <c r="K695">
        <v>0.108843157007872</v>
      </c>
      <c r="L695">
        <v>1163.4186262560399</v>
      </c>
      <c r="M695">
        <v>23.943376578412401</v>
      </c>
      <c r="N695">
        <v>49.1022340846649</v>
      </c>
      <c r="O695">
        <v>48.255275868962499</v>
      </c>
      <c r="P695">
        <v>-0.110348341374127</v>
      </c>
      <c r="Q695">
        <v>0.11043380783154801</v>
      </c>
      <c r="R695">
        <v>0.99791685769696803</v>
      </c>
      <c r="S695" t="s">
        <v>7263</v>
      </c>
      <c r="T695" t="s">
        <v>13134</v>
      </c>
      <c r="U695" t="s">
        <v>13134</v>
      </c>
      <c r="V695" t="s">
        <v>13134</v>
      </c>
      <c r="W695" t="s">
        <v>13819</v>
      </c>
      <c r="X695">
        <v>4</v>
      </c>
      <c r="Y695" t="s">
        <v>20313</v>
      </c>
      <c r="Z695" t="s">
        <v>26663</v>
      </c>
      <c r="AA695">
        <v>0.46243171291393159</v>
      </c>
      <c r="AB695" t="str">
        <f>HYPERLINK("Melting_Curves/meltCurve_F5H0Q6_CLASRP.pdf", "Melting_Curves/meltCurve_F5H0Q6_CLASRP.pdf")</f>
        <v>Melting_Curves/meltCurve_F5H0Q6_CLASRP.pdf</v>
      </c>
    </row>
    <row r="696" spans="1:28" x14ac:dyDescent="0.25">
      <c r="A696" t="s">
        <v>700</v>
      </c>
      <c r="B696">
        <v>0.99472303558308395</v>
      </c>
      <c r="C696">
        <v>0.85856689715669599</v>
      </c>
      <c r="D696">
        <v>0.76920030356142399</v>
      </c>
      <c r="E696">
        <v>0.406849307953634</v>
      </c>
      <c r="F696">
        <v>0.20190408229800599</v>
      </c>
      <c r="G696">
        <v>0.131771744221648</v>
      </c>
      <c r="H696">
        <v>9.0587764685933006E-2</v>
      </c>
      <c r="I696">
        <v>7.5036567247575098E-2</v>
      </c>
      <c r="J696">
        <v>9.3242032850819195E-2</v>
      </c>
      <c r="K696">
        <v>7.8001669746516705E-2</v>
      </c>
      <c r="L696">
        <v>790.07366953492499</v>
      </c>
      <c r="M696">
        <v>17.481553028881901</v>
      </c>
      <c r="N696">
        <v>45.608323035502401</v>
      </c>
      <c r="O696">
        <v>44.6157510366778</v>
      </c>
      <c r="P696">
        <v>-9.0780769755735999E-2</v>
      </c>
      <c r="Q696">
        <v>7.33024713846607E-2</v>
      </c>
      <c r="R696">
        <v>0.99532176639220504</v>
      </c>
      <c r="S696" t="s">
        <v>7264</v>
      </c>
      <c r="T696" t="s">
        <v>13134</v>
      </c>
      <c r="U696" t="s">
        <v>13134</v>
      </c>
      <c r="V696" t="s">
        <v>13134</v>
      </c>
      <c r="W696" t="s">
        <v>13820</v>
      </c>
      <c r="X696">
        <v>16</v>
      </c>
      <c r="Y696" t="s">
        <v>20314</v>
      </c>
      <c r="Z696" t="s">
        <v>26664</v>
      </c>
      <c r="AA696">
        <v>0.34250936461119941</v>
      </c>
      <c r="AB696" t="str">
        <f>HYPERLINK("Melting_Curves/meltCurve_F5H0R1_TUT1.pdf", "Melting_Curves/meltCurve_F5H0R1_TUT1.pdf")</f>
        <v>Melting_Curves/meltCurve_F5H0R1_TUT1.pdf</v>
      </c>
    </row>
    <row r="697" spans="1:28" x14ac:dyDescent="0.25">
      <c r="A697" t="s">
        <v>701</v>
      </c>
      <c r="B697">
        <v>0.99472303558308395</v>
      </c>
      <c r="C697">
        <v>1.0026974090560501</v>
      </c>
      <c r="D697">
        <v>0.96212685701489298</v>
      </c>
      <c r="E697">
        <v>0.79957236505274099</v>
      </c>
      <c r="F697">
        <v>0.38607111568213698</v>
      </c>
      <c r="G697">
        <v>0.13540424715278601</v>
      </c>
      <c r="H697">
        <v>7.23157490762283E-2</v>
      </c>
      <c r="I697">
        <v>5.8099704059052702E-2</v>
      </c>
      <c r="J697">
        <v>6.6568814360323803E-2</v>
      </c>
      <c r="K697">
        <v>4.4895477521492699E-2</v>
      </c>
      <c r="L697">
        <v>1248.53346325489</v>
      </c>
      <c r="M697">
        <v>25.487095712823301</v>
      </c>
      <c r="N697">
        <v>49.1982353771728</v>
      </c>
      <c r="O697">
        <v>48.688299396035497</v>
      </c>
      <c r="P697">
        <v>-0.124084192463293</v>
      </c>
      <c r="Q697">
        <v>5.1853834859377099E-2</v>
      </c>
      <c r="R697">
        <v>0.999746485873242</v>
      </c>
      <c r="S697" t="s">
        <v>7265</v>
      </c>
      <c r="T697" t="s">
        <v>13134</v>
      </c>
      <c r="U697" t="s">
        <v>13134</v>
      </c>
      <c r="V697" t="s">
        <v>13134</v>
      </c>
      <c r="W697" t="s">
        <v>13821</v>
      </c>
      <c r="X697">
        <v>3</v>
      </c>
      <c r="Y697" t="s">
        <v>20315</v>
      </c>
      <c r="Z697" t="s">
        <v>26665</v>
      </c>
      <c r="AA697">
        <v>0.43858732974490938</v>
      </c>
      <c r="AB697" t="str">
        <f>HYPERLINK("Melting_Curves/meltCurve_F5H0U5_GLTP.pdf", "Melting_Curves/meltCurve_F5H0U5_GLTP.pdf")</f>
        <v>Melting_Curves/meltCurve_F5H0U5_GLTP.pdf</v>
      </c>
    </row>
    <row r="698" spans="1:28" x14ac:dyDescent="0.25">
      <c r="A698" t="s">
        <v>702</v>
      </c>
      <c r="B698">
        <v>0.99472303558308395</v>
      </c>
      <c r="C698">
        <v>0.77988330309436005</v>
      </c>
      <c r="D698">
        <v>0.58356045641044596</v>
      </c>
      <c r="E698">
        <v>0.23317562804156899</v>
      </c>
      <c r="F698">
        <v>0.13063600431449801</v>
      </c>
      <c r="G698">
        <v>0.12521503364133299</v>
      </c>
      <c r="H698">
        <v>9.8704571053501902E-2</v>
      </c>
      <c r="I698">
        <v>0</v>
      </c>
      <c r="J698">
        <v>0</v>
      </c>
      <c r="K698">
        <v>0</v>
      </c>
      <c r="L698">
        <v>697.26332038189298</v>
      </c>
      <c r="M698">
        <v>16.0348090393808</v>
      </c>
      <c r="N698">
        <v>43.620600670865898</v>
      </c>
      <c r="O698">
        <v>42.824875993694199</v>
      </c>
      <c r="P698">
        <v>-9.1327573941553705E-2</v>
      </c>
      <c r="Q698">
        <v>2.4425105744302299E-2</v>
      </c>
      <c r="R698">
        <v>0.98701804827968198</v>
      </c>
      <c r="S698" t="s">
        <v>7266</v>
      </c>
      <c r="T698" t="s">
        <v>13134</v>
      </c>
      <c r="U698" t="s">
        <v>13134</v>
      </c>
      <c r="V698" t="s">
        <v>13134</v>
      </c>
      <c r="W698" t="s">
        <v>13822</v>
      </c>
      <c r="X698">
        <v>2</v>
      </c>
      <c r="Y698" t="s">
        <v>20316</v>
      </c>
      <c r="Z698" t="s">
        <v>26666</v>
      </c>
      <c r="AA698">
        <v>0.25692866334336723</v>
      </c>
      <c r="AB698" t="str">
        <f>HYPERLINK("Melting_Curves/meltCurve_F5H148_RRN3.pdf", "Melting_Curves/meltCurve_F5H148_RRN3.pdf")</f>
        <v>Melting_Curves/meltCurve_F5H148_RRN3.pdf</v>
      </c>
    </row>
    <row r="699" spans="1:28" x14ac:dyDescent="0.25">
      <c r="A699" t="s">
        <v>703</v>
      </c>
      <c r="B699">
        <v>0.99472303558308395</v>
      </c>
      <c r="C699">
        <v>0.99001432509871301</v>
      </c>
      <c r="D699">
        <v>0.82814036933621504</v>
      </c>
      <c r="E699">
        <v>0.79770404614352097</v>
      </c>
      <c r="F699">
        <v>0.79433933859025796</v>
      </c>
      <c r="G699">
        <v>0.52347606583973705</v>
      </c>
      <c r="H699">
        <v>0.38127084423805802</v>
      </c>
      <c r="I699">
        <v>0.30540227285826099</v>
      </c>
      <c r="J699">
        <v>0.228555176520333</v>
      </c>
      <c r="K699">
        <v>0.12423681513804199</v>
      </c>
      <c r="L699">
        <v>492.34588780127399</v>
      </c>
      <c r="M699">
        <v>8.9740235380328404</v>
      </c>
      <c r="N699">
        <v>54.863449566934001</v>
      </c>
      <c r="O699">
        <v>52.344489065087899</v>
      </c>
      <c r="P699">
        <v>-4.28918721604509E-2</v>
      </c>
      <c r="Q699">
        <v>0</v>
      </c>
      <c r="R699">
        <v>0.97558507822997298</v>
      </c>
      <c r="S699" t="s">
        <v>7267</v>
      </c>
      <c r="T699" t="s">
        <v>13134</v>
      </c>
      <c r="U699" t="s">
        <v>13134</v>
      </c>
      <c r="V699" t="s">
        <v>13134</v>
      </c>
      <c r="W699" t="s">
        <v>13823</v>
      </c>
      <c r="X699">
        <v>1</v>
      </c>
      <c r="Y699" t="s">
        <v>20317</v>
      </c>
      <c r="Z699" t="s">
        <v>26667</v>
      </c>
      <c r="AA699">
        <v>0.60633816580767141</v>
      </c>
      <c r="AB699" t="str">
        <f>HYPERLINK("Melting_Curves/meltCurve_F5H149_CCDC180.pdf", "Melting_Curves/meltCurve_F5H149_CCDC180.pdf")</f>
        <v>Melting_Curves/meltCurve_F5H149_CCDC180.pdf</v>
      </c>
    </row>
    <row r="700" spans="1:28" x14ac:dyDescent="0.25">
      <c r="A700" t="s">
        <v>704</v>
      </c>
      <c r="B700">
        <v>0.99472303558308395</v>
      </c>
      <c r="C700">
        <v>0.925931984413913</v>
      </c>
      <c r="D700">
        <v>0.74499281760015701</v>
      </c>
      <c r="E700">
        <v>0.60858132745464499</v>
      </c>
      <c r="F700">
        <v>0.389474924740906</v>
      </c>
      <c r="G700">
        <v>0.12636265786943199</v>
      </c>
      <c r="H700">
        <v>7.7471718083404403E-2</v>
      </c>
      <c r="I700">
        <v>5.4058903362330601E-2</v>
      </c>
      <c r="J700">
        <v>5.60715615640551E-2</v>
      </c>
      <c r="K700">
        <v>4.9304899032851901E-2</v>
      </c>
      <c r="L700">
        <v>614.94795728525901</v>
      </c>
      <c r="M700">
        <v>12.9059079695881</v>
      </c>
      <c r="N700">
        <v>47.664741345156102</v>
      </c>
      <c r="O700">
        <v>46.548059606781898</v>
      </c>
      <c r="P700">
        <v>-6.91758107319176E-2</v>
      </c>
      <c r="Q700">
        <v>2.18867187004144E-3</v>
      </c>
      <c r="R700">
        <v>0.990751515013648</v>
      </c>
      <c r="S700" t="s">
        <v>7268</v>
      </c>
      <c r="T700" t="s">
        <v>13134</v>
      </c>
      <c r="U700" t="s">
        <v>13134</v>
      </c>
      <c r="V700" t="s">
        <v>13134</v>
      </c>
      <c r="W700" t="s">
        <v>13824</v>
      </c>
      <c r="X700">
        <v>9</v>
      </c>
      <c r="Y700" t="s">
        <v>20318</v>
      </c>
      <c r="Z700" t="s">
        <v>26668</v>
      </c>
      <c r="AA700">
        <v>0.38476261871327477</v>
      </c>
      <c r="AB700" t="str">
        <f>HYPERLINK("Melting_Curves/meltCurve_F5H1G9_ABI1.pdf", "Melting_Curves/meltCurve_F5H1G9_ABI1.pdf")</f>
        <v>Melting_Curves/meltCurve_F5H1G9_ABI1.pdf</v>
      </c>
    </row>
    <row r="701" spans="1:28" x14ac:dyDescent="0.25">
      <c r="A701" t="s">
        <v>705</v>
      </c>
      <c r="B701">
        <v>0.99472303558308395</v>
      </c>
      <c r="C701">
        <v>0.97210264056200701</v>
      </c>
      <c r="D701">
        <v>0.92689018341986895</v>
      </c>
      <c r="E701">
        <v>0.87781341249530398</v>
      </c>
      <c r="F701">
        <v>0.67562950145074296</v>
      </c>
      <c r="G701">
        <v>0.49867297605388899</v>
      </c>
      <c r="H701">
        <v>0.331161261462107</v>
      </c>
      <c r="I701">
        <v>0.28199587914759899</v>
      </c>
      <c r="J701">
        <v>0.36365449468170602</v>
      </c>
      <c r="K701">
        <v>0.29627175112428</v>
      </c>
      <c r="L701">
        <v>872.08949704870395</v>
      </c>
      <c r="M701">
        <v>17.215566707028099</v>
      </c>
      <c r="N701">
        <v>53.2907127035499</v>
      </c>
      <c r="O701">
        <v>49.988323160151403</v>
      </c>
      <c r="P701">
        <v>-6.1437426597961302E-2</v>
      </c>
      <c r="Q701">
        <v>0.28646575680948899</v>
      </c>
      <c r="R701">
        <v>0.98854355584730702</v>
      </c>
      <c r="S701" t="s">
        <v>7269</v>
      </c>
      <c r="T701" t="s">
        <v>13134</v>
      </c>
      <c r="U701" t="s">
        <v>13134</v>
      </c>
      <c r="V701" t="s">
        <v>13134</v>
      </c>
      <c r="W701" t="s">
        <v>13825</v>
      </c>
      <c r="X701">
        <v>8</v>
      </c>
      <c r="Y701" t="s">
        <v>20319</v>
      </c>
      <c r="Z701" t="s">
        <v>26669</v>
      </c>
      <c r="AA701">
        <v>0.62322794819556271</v>
      </c>
      <c r="AB701" t="str">
        <f>HYPERLINK("Melting_Curves/meltCurve_F5H1L4_TXNRD2.pdf", "Melting_Curves/meltCurve_F5H1L4_TXNRD2.pdf")</f>
        <v>Melting_Curves/meltCurve_F5H1L4_TXNRD2.pdf</v>
      </c>
    </row>
    <row r="702" spans="1:28" x14ac:dyDescent="0.25">
      <c r="A702" t="s">
        <v>706</v>
      </c>
      <c r="B702">
        <v>0.99472303558308395</v>
      </c>
      <c r="C702">
        <v>0.96272652080633703</v>
      </c>
      <c r="D702">
        <v>0.89364452883722201</v>
      </c>
      <c r="E702">
        <v>0.73519002608158901</v>
      </c>
      <c r="F702">
        <v>0.281362484250199</v>
      </c>
      <c r="G702">
        <v>8.9924831705936598E-2</v>
      </c>
      <c r="H702">
        <v>5.6319412095586101E-2</v>
      </c>
      <c r="I702">
        <v>4.3349807938258197E-2</v>
      </c>
      <c r="J702">
        <v>4.9384516192709699E-2</v>
      </c>
      <c r="K702">
        <v>3.8077201872532503E-2</v>
      </c>
      <c r="L702">
        <v>1195.02190245359</v>
      </c>
      <c r="M702">
        <v>24.817957837228899</v>
      </c>
      <c r="N702">
        <v>48.299500362565901</v>
      </c>
      <c r="O702">
        <v>47.842136401473198</v>
      </c>
      <c r="P702">
        <v>-0.12494042138318</v>
      </c>
      <c r="Q702">
        <v>3.66114813887733E-2</v>
      </c>
      <c r="R702">
        <v>0.99644598198379197</v>
      </c>
      <c r="S702" t="s">
        <v>7270</v>
      </c>
      <c r="T702" t="s">
        <v>13134</v>
      </c>
      <c r="U702" t="s">
        <v>13134</v>
      </c>
      <c r="V702" t="s">
        <v>13134</v>
      </c>
      <c r="W702" t="s">
        <v>13826</v>
      </c>
      <c r="X702">
        <v>48</v>
      </c>
      <c r="Y702" t="s">
        <v>20320</v>
      </c>
      <c r="Z702" t="s">
        <v>26670</v>
      </c>
      <c r="AA702">
        <v>0.403066182367111</v>
      </c>
      <c r="AB702" t="str">
        <f>HYPERLINK("Melting_Curves/meltCurve_F5H1X8_LRBA.pdf", "Melting_Curves/meltCurve_F5H1X8_LRBA.pdf")</f>
        <v>Melting_Curves/meltCurve_F5H1X8_LRBA.pdf</v>
      </c>
    </row>
    <row r="703" spans="1:28" x14ac:dyDescent="0.25">
      <c r="A703" t="s">
        <v>707</v>
      </c>
      <c r="B703">
        <v>0.99472303558308395</v>
      </c>
      <c r="C703">
        <v>0.93253623456186197</v>
      </c>
      <c r="D703">
        <v>0.98642808856904896</v>
      </c>
      <c r="E703">
        <v>0.92724090990253005</v>
      </c>
      <c r="F703">
        <v>0.678723611363932</v>
      </c>
      <c r="G703">
        <v>0.56857225121277299</v>
      </c>
      <c r="H703">
        <v>0.53178797037527903</v>
      </c>
      <c r="I703">
        <v>0.574418209818093</v>
      </c>
      <c r="J703">
        <v>0.88107772023874198</v>
      </c>
      <c r="K703">
        <v>0.69196411195096597</v>
      </c>
      <c r="L703">
        <v>2602.04588957138</v>
      </c>
      <c r="M703">
        <v>54.490476895020898</v>
      </c>
      <c r="O703">
        <v>47.688119965117899</v>
      </c>
      <c r="P703">
        <v>-9.9862461737292504E-2</v>
      </c>
      <c r="Q703">
        <v>0.65041596966458104</v>
      </c>
      <c r="R703">
        <v>0.72167127756612703</v>
      </c>
      <c r="S703" t="s">
        <v>7271</v>
      </c>
      <c r="T703" t="s">
        <v>13134</v>
      </c>
      <c r="U703" t="s">
        <v>13134</v>
      </c>
      <c r="V703" t="s">
        <v>13134</v>
      </c>
      <c r="W703" t="s">
        <v>13827</v>
      </c>
      <c r="X703">
        <v>3</v>
      </c>
      <c r="Y703" t="s">
        <v>20321</v>
      </c>
      <c r="Z703" t="s">
        <v>26671</v>
      </c>
      <c r="AA703">
        <v>0.77632988220876387</v>
      </c>
      <c r="AB703" t="str">
        <f>HYPERLINK("Melting_Curves/meltCurve_F5H1Y0_RAD51AP1.pdf", "Melting_Curves/meltCurve_F5H1Y0_RAD51AP1.pdf")</f>
        <v>Melting_Curves/meltCurve_F5H1Y0_RAD51AP1.pdf</v>
      </c>
    </row>
    <row r="704" spans="1:28" x14ac:dyDescent="0.25">
      <c r="A704" t="s">
        <v>708</v>
      </c>
      <c r="B704">
        <v>0.99472303558308395</v>
      </c>
      <c r="C704">
        <v>0.99362376781573702</v>
      </c>
      <c r="D704">
        <v>0.89132257156761896</v>
      </c>
      <c r="E704">
        <v>0.46617904818894501</v>
      </c>
      <c r="F704">
        <v>0.34639778420960199</v>
      </c>
      <c r="G704">
        <v>0.220155597092655</v>
      </c>
      <c r="H704">
        <v>0.12681653486313599</v>
      </c>
      <c r="I704">
        <v>9.8521711802572798E-2</v>
      </c>
      <c r="J704">
        <v>2.7906319411384901E-2</v>
      </c>
      <c r="K704">
        <v>3.6849349340495802E-2</v>
      </c>
      <c r="L704">
        <v>746.75108373822798</v>
      </c>
      <c r="M704">
        <v>15.870651212093801</v>
      </c>
      <c r="N704">
        <v>47.416779590780003</v>
      </c>
      <c r="O704">
        <v>46.324296176592</v>
      </c>
      <c r="P704">
        <v>-8.0738359267993803E-2</v>
      </c>
      <c r="Q704">
        <v>5.74186855881723E-2</v>
      </c>
      <c r="R704">
        <v>0.98385876770533398</v>
      </c>
      <c r="S704" t="s">
        <v>7272</v>
      </c>
      <c r="T704" t="s">
        <v>13134</v>
      </c>
      <c r="U704" t="s">
        <v>13134</v>
      </c>
      <c r="V704" t="s">
        <v>13134</v>
      </c>
      <c r="W704" t="s">
        <v>13828</v>
      </c>
      <c r="X704">
        <v>1</v>
      </c>
      <c r="Y704" t="s">
        <v>20322</v>
      </c>
      <c r="Z704" t="s">
        <v>26672</v>
      </c>
      <c r="AA704">
        <v>0.39239698779511217</v>
      </c>
      <c r="AB704" t="str">
        <f>HYPERLINK("Melting_Curves/meltCurve_F5H254_TMEM135.pdf", "Melting_Curves/meltCurve_F5H254_TMEM135.pdf")</f>
        <v>Melting_Curves/meltCurve_F5H254_TMEM135.pdf</v>
      </c>
    </row>
    <row r="705" spans="1:28" x14ac:dyDescent="0.25">
      <c r="A705" t="s">
        <v>709</v>
      </c>
      <c r="B705">
        <v>0.99472303558308395</v>
      </c>
      <c r="C705">
        <v>0.98560662209543703</v>
      </c>
      <c r="D705">
        <v>0.99642708086805498</v>
      </c>
      <c r="E705">
        <v>0.63092430538607203</v>
      </c>
      <c r="F705">
        <v>0.22203270294237901</v>
      </c>
      <c r="G705">
        <v>0.14949901690999701</v>
      </c>
      <c r="H705">
        <v>0.11633641871709</v>
      </c>
      <c r="I705">
        <v>0.10485545997384201</v>
      </c>
      <c r="J705">
        <v>0.12823183697517501</v>
      </c>
      <c r="K705">
        <v>8.7468841362688093E-2</v>
      </c>
      <c r="L705">
        <v>1579.1232428250601</v>
      </c>
      <c r="M705">
        <v>33.510433285951599</v>
      </c>
      <c r="N705">
        <v>47.492455782783203</v>
      </c>
      <c r="O705">
        <v>46.956475415076397</v>
      </c>
      <c r="P705">
        <v>-0.15795821209386099</v>
      </c>
      <c r="Q705">
        <v>0.11464848861978701</v>
      </c>
      <c r="R705">
        <v>0.99821366513753096</v>
      </c>
      <c r="S705" t="s">
        <v>7273</v>
      </c>
      <c r="T705" t="s">
        <v>13134</v>
      </c>
      <c r="U705" t="s">
        <v>13134</v>
      </c>
      <c r="V705" t="s">
        <v>13134</v>
      </c>
      <c r="W705" t="s">
        <v>13829</v>
      </c>
      <c r="X705">
        <v>1</v>
      </c>
      <c r="Y705" t="s">
        <v>20323</v>
      </c>
      <c r="Z705" t="s">
        <v>26673</v>
      </c>
      <c r="AA705">
        <v>0.4175293514820298</v>
      </c>
      <c r="AB705" t="str">
        <f>HYPERLINK("Melting_Curves/meltCurve_F5H2B0_PIK3C2A.pdf", "Melting_Curves/meltCurve_F5H2B0_PIK3C2A.pdf")</f>
        <v>Melting_Curves/meltCurve_F5H2B0_PIK3C2A.pdf</v>
      </c>
    </row>
    <row r="706" spans="1:28" x14ac:dyDescent="0.25">
      <c r="A706" t="s">
        <v>710</v>
      </c>
      <c r="B706">
        <v>0.99472303558308395</v>
      </c>
      <c r="C706">
        <v>0.897486427073097</v>
      </c>
      <c r="D706">
        <v>0.55405477032822503</v>
      </c>
      <c r="E706">
        <v>0.30333590966547402</v>
      </c>
      <c r="F706">
        <v>0.22125215793303599</v>
      </c>
      <c r="G706">
        <v>0.12619766755416101</v>
      </c>
      <c r="H706">
        <v>8.9085317745762296E-2</v>
      </c>
      <c r="I706">
        <v>6.4043619374419297E-2</v>
      </c>
      <c r="J706">
        <v>7.9821785096756706E-2</v>
      </c>
      <c r="K706">
        <v>5.57967602274917E-2</v>
      </c>
      <c r="L706">
        <v>769.57937553883596</v>
      </c>
      <c r="M706">
        <v>17.627403974565901</v>
      </c>
      <c r="N706">
        <v>44.089223937377902</v>
      </c>
      <c r="O706">
        <v>43.107895679388299</v>
      </c>
      <c r="P706">
        <v>-9.4140915663188399E-2</v>
      </c>
      <c r="Q706">
        <v>7.91616404307382E-2</v>
      </c>
      <c r="R706">
        <v>0.99123684748596297</v>
      </c>
      <c r="S706" t="s">
        <v>7274</v>
      </c>
      <c r="T706" t="s">
        <v>13134</v>
      </c>
      <c r="U706" t="s">
        <v>13134</v>
      </c>
      <c r="V706" t="s">
        <v>13134</v>
      </c>
      <c r="W706" t="s">
        <v>13830</v>
      </c>
      <c r="X706">
        <v>12</v>
      </c>
      <c r="Y706" t="s">
        <v>20324</v>
      </c>
      <c r="Z706" t="s">
        <v>26674</v>
      </c>
      <c r="AA706">
        <v>0.29999938309860752</v>
      </c>
      <c r="AB706" t="str">
        <f>HYPERLINK("Melting_Curves/meltCurve_F5H2H5_ANKLE2.pdf", "Melting_Curves/meltCurve_F5H2H5_ANKLE2.pdf")</f>
        <v>Melting_Curves/meltCurve_F5H2H5_ANKLE2.pdf</v>
      </c>
    </row>
    <row r="707" spans="1:28" x14ac:dyDescent="0.25">
      <c r="A707" t="s">
        <v>711</v>
      </c>
      <c r="B707">
        <v>0.99472303558308395</v>
      </c>
      <c r="C707">
        <v>1.07603448126357</v>
      </c>
      <c r="D707">
        <v>0.91346947063372197</v>
      </c>
      <c r="E707">
        <v>0.85207404347710003</v>
      </c>
      <c r="F707">
        <v>0.77072717899964005</v>
      </c>
      <c r="G707">
        <v>0.457291442392671</v>
      </c>
      <c r="H707">
        <v>0.36343311203901002</v>
      </c>
      <c r="I707">
        <v>0.237182598497825</v>
      </c>
      <c r="J707">
        <v>0.24576267102959901</v>
      </c>
      <c r="K707">
        <v>0.213792177988786</v>
      </c>
      <c r="L707">
        <v>803.08044659568498</v>
      </c>
      <c r="M707">
        <v>15.3973336940642</v>
      </c>
      <c r="N707">
        <v>53.766133337544403</v>
      </c>
      <c r="O707">
        <v>51.301082550985299</v>
      </c>
      <c r="P707">
        <v>-6.1187981560182E-2</v>
      </c>
      <c r="Q707">
        <v>0.18460597358994901</v>
      </c>
      <c r="R707">
        <v>0.98290420103000997</v>
      </c>
      <c r="S707" t="s">
        <v>7275</v>
      </c>
      <c r="T707" t="s">
        <v>13134</v>
      </c>
      <c r="U707" t="s">
        <v>13134</v>
      </c>
      <c r="V707" t="s">
        <v>13134</v>
      </c>
      <c r="W707" t="s">
        <v>13831</v>
      </c>
      <c r="X707">
        <v>2</v>
      </c>
      <c r="Y707" t="s">
        <v>20325</v>
      </c>
      <c r="Z707" t="s">
        <v>26675</v>
      </c>
      <c r="AA707">
        <v>0.61157254495551072</v>
      </c>
      <c r="AB707" t="str">
        <f>HYPERLINK("Melting_Curves/meltCurve_F5H2J3_VMP1.pdf", "Melting_Curves/meltCurve_F5H2J3_VMP1.pdf")</f>
        <v>Melting_Curves/meltCurve_F5H2J3_VMP1.pdf</v>
      </c>
    </row>
    <row r="708" spans="1:28" x14ac:dyDescent="0.25">
      <c r="A708" t="s">
        <v>712</v>
      </c>
      <c r="B708">
        <v>0.99472303558308395</v>
      </c>
      <c r="C708">
        <v>0.97953246168545705</v>
      </c>
      <c r="D708">
        <v>0.849355400799084</v>
      </c>
      <c r="E708">
        <v>0.81671500668623898</v>
      </c>
      <c r="F708">
        <v>0.67085558116424204</v>
      </c>
      <c r="G708">
        <v>0.50952976065189104</v>
      </c>
      <c r="H708">
        <v>0.42454875248968998</v>
      </c>
      <c r="I708">
        <v>0.43787713784744903</v>
      </c>
      <c r="J708">
        <v>0.62183976317805201</v>
      </c>
      <c r="K708">
        <v>0.64503258811372599</v>
      </c>
      <c r="L708">
        <v>836.54630270119901</v>
      </c>
      <c r="M708">
        <v>17.8783488827765</v>
      </c>
      <c r="O708">
        <v>46.217386942199497</v>
      </c>
      <c r="P708">
        <v>-4.6117159745846903E-2</v>
      </c>
      <c r="Q708">
        <v>0.52315347209285201</v>
      </c>
      <c r="R708">
        <v>0.85500625936132701</v>
      </c>
      <c r="S708" t="s">
        <v>7276</v>
      </c>
      <c r="T708" t="s">
        <v>13134</v>
      </c>
      <c r="U708" t="s">
        <v>13134</v>
      </c>
      <c r="V708" t="s">
        <v>13134</v>
      </c>
      <c r="W708" t="s">
        <v>13832</v>
      </c>
      <c r="X708">
        <v>10</v>
      </c>
      <c r="Y708" t="s">
        <v>20326</v>
      </c>
      <c r="Z708" t="s">
        <v>26676</v>
      </c>
      <c r="AA708">
        <v>0.68654466896490796</v>
      </c>
      <c r="AB708" t="str">
        <f>HYPERLINK("Melting_Curves/meltCurve_F5H2Q7_KIAA1715.pdf", "Melting_Curves/meltCurve_F5H2Q7_KIAA1715.pdf")</f>
        <v>Melting_Curves/meltCurve_F5H2Q7_KIAA1715.pdf</v>
      </c>
    </row>
    <row r="709" spans="1:28" x14ac:dyDescent="0.25">
      <c r="A709" t="s">
        <v>713</v>
      </c>
      <c r="B709">
        <v>0.99472303558308395</v>
      </c>
      <c r="C709">
        <v>0.90567551626532605</v>
      </c>
      <c r="D709">
        <v>0.84988116770213995</v>
      </c>
      <c r="E709">
        <v>0.67898624514510797</v>
      </c>
      <c r="F709">
        <v>0.41960835318864698</v>
      </c>
      <c r="G709">
        <v>0.12703377782757599</v>
      </c>
      <c r="H709">
        <v>8.5503762928736196E-2</v>
      </c>
      <c r="I709">
        <v>6.6676640621177993E-2</v>
      </c>
      <c r="J709">
        <v>9.7693011560302898E-2</v>
      </c>
      <c r="K709">
        <v>8.6782128817004797E-2</v>
      </c>
      <c r="L709">
        <v>786.41575862005197</v>
      </c>
      <c r="M709">
        <v>16.313569603409899</v>
      </c>
      <c r="N709">
        <v>48.504939930891901</v>
      </c>
      <c r="O709">
        <v>47.499331545007401</v>
      </c>
      <c r="P709">
        <v>-8.1764654570164699E-2</v>
      </c>
      <c r="Q709">
        <v>4.7790448791616598E-2</v>
      </c>
      <c r="R709">
        <v>0.98868322376175999</v>
      </c>
      <c r="S709" t="s">
        <v>7277</v>
      </c>
      <c r="T709" t="s">
        <v>13134</v>
      </c>
      <c r="U709" t="s">
        <v>13134</v>
      </c>
      <c r="V709" t="s">
        <v>13134</v>
      </c>
      <c r="W709" t="s">
        <v>13833</v>
      </c>
      <c r="X709">
        <v>23</v>
      </c>
      <c r="Y709" t="s">
        <v>20327</v>
      </c>
      <c r="Z709" t="s">
        <v>26677</v>
      </c>
      <c r="AA709">
        <v>0.42158325624088999</v>
      </c>
      <c r="AB709" t="str">
        <f>HYPERLINK("Melting_Curves/meltCurve_F5H2S7_DCTN2.pdf", "Melting_Curves/meltCurve_F5H2S7_DCTN2.pdf")</f>
        <v>Melting_Curves/meltCurve_F5H2S7_DCTN2.pdf</v>
      </c>
    </row>
    <row r="710" spans="1:28" x14ac:dyDescent="0.25">
      <c r="A710" t="s">
        <v>714</v>
      </c>
      <c r="B710">
        <v>0.99472303558308395</v>
      </c>
      <c r="C710">
        <v>0.87365474518142705</v>
      </c>
      <c r="D710">
        <v>0.73985104708239902</v>
      </c>
      <c r="E710">
        <v>0.60414730826248597</v>
      </c>
      <c r="F710">
        <v>0.69074250703878004</v>
      </c>
      <c r="G710">
        <v>0.31713344972402802</v>
      </c>
      <c r="H710">
        <v>0.10209729422139199</v>
      </c>
      <c r="I710">
        <v>6.7050856065088704E-2</v>
      </c>
      <c r="J710">
        <v>7.2539437495197298E-2</v>
      </c>
      <c r="K710">
        <v>7.3125741252360293E-2</v>
      </c>
      <c r="L710">
        <v>502.29974821176501</v>
      </c>
      <c r="M710">
        <v>10.107606738765901</v>
      </c>
      <c r="N710">
        <v>49.695215899184198</v>
      </c>
      <c r="O710">
        <v>47.867616757858698</v>
      </c>
      <c r="P710">
        <v>-5.2813995749296801E-2</v>
      </c>
      <c r="Q710">
        <v>0</v>
      </c>
      <c r="R710">
        <v>0.93704444889786997</v>
      </c>
      <c r="S710" t="s">
        <v>7278</v>
      </c>
      <c r="T710" t="s">
        <v>13134</v>
      </c>
      <c r="U710" t="s">
        <v>13134</v>
      </c>
      <c r="V710" t="s">
        <v>13134</v>
      </c>
      <c r="W710" t="s">
        <v>13834</v>
      </c>
      <c r="X710">
        <v>13</v>
      </c>
      <c r="Y710" t="s">
        <v>20328</v>
      </c>
      <c r="Z710" t="s">
        <v>26678</v>
      </c>
      <c r="AA710">
        <v>0.45773210453306168</v>
      </c>
      <c r="AB710" t="str">
        <f>HYPERLINK("Melting_Curves/meltCurve_F5H2U2_PRPF4B.pdf", "Melting_Curves/meltCurve_F5H2U2_PRPF4B.pdf")</f>
        <v>Melting_Curves/meltCurve_F5H2U2_PRPF4B.pdf</v>
      </c>
    </row>
    <row r="711" spans="1:28" x14ac:dyDescent="0.25">
      <c r="A711" t="s">
        <v>715</v>
      </c>
      <c r="B711">
        <v>0.99472303558308395</v>
      </c>
      <c r="C711">
        <v>1.0682113884212401</v>
      </c>
      <c r="D711">
        <v>0.76834928685697002</v>
      </c>
      <c r="E711">
        <v>0.63541069804761796</v>
      </c>
      <c r="F711">
        <v>0.49012681960895099</v>
      </c>
      <c r="G711">
        <v>0.26873091090419099</v>
      </c>
      <c r="H711">
        <v>0.15528555931750401</v>
      </c>
      <c r="I711">
        <v>0.128605064795319</v>
      </c>
      <c r="J711">
        <v>0.16400049132021899</v>
      </c>
      <c r="K711">
        <v>0.12629513710367199</v>
      </c>
      <c r="L711">
        <v>647.42457869789905</v>
      </c>
      <c r="M711">
        <v>13.4330684278044</v>
      </c>
      <c r="N711">
        <v>49.007899744340897</v>
      </c>
      <c r="O711">
        <v>47.165828749268897</v>
      </c>
      <c r="P711">
        <v>-6.4110883131102706E-2</v>
      </c>
      <c r="Q711">
        <v>9.9722548892730495E-2</v>
      </c>
      <c r="R711">
        <v>0.97676499472192702</v>
      </c>
      <c r="S711" t="s">
        <v>7279</v>
      </c>
      <c r="T711" t="s">
        <v>13134</v>
      </c>
      <c r="U711" t="s">
        <v>13134</v>
      </c>
      <c r="V711" t="s">
        <v>13134</v>
      </c>
      <c r="W711" t="s">
        <v>13835</v>
      </c>
      <c r="X711">
        <v>13</v>
      </c>
      <c r="Y711" t="s">
        <v>20329</v>
      </c>
      <c r="Z711" t="s">
        <v>26679</v>
      </c>
      <c r="AA711">
        <v>0.45929135779198133</v>
      </c>
      <c r="AB711" t="str">
        <f>HYPERLINK("Melting_Curves/meltCurve_F5H2X7_CIZ1.pdf", "Melting_Curves/meltCurve_F5H2X7_CIZ1.pdf")</f>
        <v>Melting_Curves/meltCurve_F5H2X7_CIZ1.pdf</v>
      </c>
    </row>
    <row r="712" spans="1:28" x14ac:dyDescent="0.25">
      <c r="A712" t="s">
        <v>716</v>
      </c>
      <c r="B712">
        <v>0.99472303558308395</v>
      </c>
      <c r="C712">
        <v>0.82897338582011904</v>
      </c>
      <c r="D712">
        <v>0.57472973877392597</v>
      </c>
      <c r="E712">
        <v>0.21753285926419599</v>
      </c>
      <c r="F712">
        <v>0.16984740340625501</v>
      </c>
      <c r="G712">
        <v>0.100469355855794</v>
      </c>
      <c r="H712">
        <v>5.5649664915678097E-2</v>
      </c>
      <c r="I712">
        <v>3.92206502547751E-2</v>
      </c>
      <c r="J712">
        <v>3.9771317737777201E-2</v>
      </c>
      <c r="K712">
        <v>4.3651038728080599E-2</v>
      </c>
      <c r="L712">
        <v>805.89311805632599</v>
      </c>
      <c r="M712">
        <v>18.5882044091091</v>
      </c>
      <c r="N712">
        <v>43.608561138723601</v>
      </c>
      <c r="O712">
        <v>42.862636313416402</v>
      </c>
      <c r="P712">
        <v>-0.10287002988076401</v>
      </c>
      <c r="Q712">
        <v>5.1206891165588103E-2</v>
      </c>
      <c r="R712">
        <v>0.99454634185412805</v>
      </c>
      <c r="S712" t="s">
        <v>7280</v>
      </c>
      <c r="T712" t="s">
        <v>13134</v>
      </c>
      <c r="U712" t="s">
        <v>13134</v>
      </c>
      <c r="V712" t="s">
        <v>13134</v>
      </c>
      <c r="W712" t="s">
        <v>13836</v>
      </c>
      <c r="X712">
        <v>15</v>
      </c>
      <c r="Y712" t="s">
        <v>20330</v>
      </c>
      <c r="Z712" t="s">
        <v>26680</v>
      </c>
      <c r="AA712">
        <v>0.26750870350608208</v>
      </c>
      <c r="AB712" t="str">
        <f>HYPERLINK("Melting_Curves/meltCurve_F5H315_XAB2.pdf", "Melting_Curves/meltCurve_F5H315_XAB2.pdf")</f>
        <v>Melting_Curves/meltCurve_F5H315_XAB2.pdf</v>
      </c>
    </row>
    <row r="713" spans="1:28" x14ac:dyDescent="0.25">
      <c r="A713" t="s">
        <v>717</v>
      </c>
      <c r="B713">
        <v>0.99472303558308395</v>
      </c>
      <c r="C713">
        <v>0.95202151290358605</v>
      </c>
      <c r="D713">
        <v>0.86684384080364396</v>
      </c>
      <c r="E713">
        <v>0.70223106180551897</v>
      </c>
      <c r="F713">
        <v>0.28684930043652901</v>
      </c>
      <c r="G713">
        <v>0.131106100766155</v>
      </c>
      <c r="H713">
        <v>8.0348550189914394E-2</v>
      </c>
      <c r="I713">
        <v>6.8284770085534394E-2</v>
      </c>
      <c r="J713">
        <v>9.6052484496166005E-2</v>
      </c>
      <c r="K713">
        <v>6.5870401376985993E-2</v>
      </c>
      <c r="L713">
        <v>1033.1484885811101</v>
      </c>
      <c r="M713">
        <v>21.614437477568899</v>
      </c>
      <c r="N713">
        <v>48.1043961885049</v>
      </c>
      <c r="O713">
        <v>47.395485026946403</v>
      </c>
      <c r="P713">
        <v>-0.106704164342593</v>
      </c>
      <c r="Q713">
        <v>6.4111585468434706E-2</v>
      </c>
      <c r="R713">
        <v>0.99467994100382795</v>
      </c>
      <c r="S713" t="s">
        <v>7281</v>
      </c>
      <c r="T713" t="s">
        <v>13134</v>
      </c>
      <c r="U713" t="s">
        <v>13134</v>
      </c>
      <c r="V713" t="s">
        <v>13134</v>
      </c>
      <c r="W713" t="s">
        <v>13837</v>
      </c>
      <c r="X713">
        <v>13</v>
      </c>
      <c r="Y713" t="s">
        <v>20331</v>
      </c>
      <c r="Z713" t="s">
        <v>26681</v>
      </c>
      <c r="AA713">
        <v>0.4115835533129043</v>
      </c>
      <c r="AB713" t="str">
        <f>HYPERLINK("Melting_Curves/meltCurve_F5H365_SEC23A.pdf", "Melting_Curves/meltCurve_F5H365_SEC23A.pdf")</f>
        <v>Melting_Curves/meltCurve_F5H365_SEC23A.pdf</v>
      </c>
    </row>
    <row r="714" spans="1:28" x14ac:dyDescent="0.25">
      <c r="A714" t="s">
        <v>718</v>
      </c>
      <c r="B714">
        <v>0.99472303558308395</v>
      </c>
      <c r="C714">
        <v>0.90015290537881198</v>
      </c>
      <c r="D714">
        <v>0.88781693956499896</v>
      </c>
      <c r="E714">
        <v>0.77349639002089898</v>
      </c>
      <c r="F714">
        <v>0.61948708892773197</v>
      </c>
      <c r="G714">
        <v>0.21239711350800899</v>
      </c>
      <c r="H714">
        <v>9.9499011470382703E-2</v>
      </c>
      <c r="I714">
        <v>8.3429328268048705E-2</v>
      </c>
      <c r="J714">
        <v>2.9624393238188999E-2</v>
      </c>
      <c r="K714">
        <v>5.8063512821771898E-2</v>
      </c>
      <c r="L714">
        <v>805.16596442132402</v>
      </c>
      <c r="M714">
        <v>15.938464960233199</v>
      </c>
      <c r="N714">
        <v>50.549361254806897</v>
      </c>
      <c r="O714">
        <v>49.7419858850553</v>
      </c>
      <c r="P714">
        <v>-7.97074520324631E-2</v>
      </c>
      <c r="Q714">
        <v>5.0506873767599703E-3</v>
      </c>
      <c r="R714">
        <v>0.982167306489654</v>
      </c>
      <c r="S714" t="s">
        <v>7282</v>
      </c>
      <c r="T714" t="s">
        <v>13134</v>
      </c>
      <c r="U714" t="s">
        <v>13134</v>
      </c>
      <c r="V714" t="s">
        <v>13134</v>
      </c>
      <c r="W714" t="s">
        <v>13838</v>
      </c>
      <c r="X714">
        <v>1</v>
      </c>
      <c r="Y714" t="s">
        <v>20332</v>
      </c>
      <c r="Z714" t="s">
        <v>26682</v>
      </c>
      <c r="AA714">
        <v>0.47208935258073448</v>
      </c>
      <c r="AB714" t="str">
        <f>HYPERLINK("Melting_Curves/meltCurve_F5H3J3_CHST10.pdf", "Melting_Curves/meltCurve_F5H3J3_CHST10.pdf")</f>
        <v>Melting_Curves/meltCurve_F5H3J3_CHST10.pdf</v>
      </c>
    </row>
    <row r="715" spans="1:28" x14ac:dyDescent="0.25">
      <c r="A715" t="s">
        <v>719</v>
      </c>
      <c r="B715">
        <v>0.99472303558308395</v>
      </c>
      <c r="C715">
        <v>1.09611353498308</v>
      </c>
      <c r="D715">
        <v>1.0389546478234799</v>
      </c>
      <c r="E715">
        <v>0.78095450959456303</v>
      </c>
      <c r="F715">
        <v>0.48066255085333298</v>
      </c>
      <c r="G715">
        <v>0.23683050630553601</v>
      </c>
      <c r="H715">
        <v>0.157355844492782</v>
      </c>
      <c r="I715">
        <v>0.15932669247649001</v>
      </c>
      <c r="J715">
        <v>0.18250583730765699</v>
      </c>
      <c r="K715">
        <v>8.3446224015487402E-2</v>
      </c>
      <c r="L715">
        <v>1159.1049276280701</v>
      </c>
      <c r="M715">
        <v>23.5678630480522</v>
      </c>
      <c r="N715">
        <v>49.852769582849497</v>
      </c>
      <c r="O715">
        <v>48.8316026090666</v>
      </c>
      <c r="P715">
        <v>-0.104257774560053</v>
      </c>
      <c r="Q715">
        <v>0.13594411434926901</v>
      </c>
      <c r="R715">
        <v>0.98643342703796899</v>
      </c>
      <c r="S715" t="s">
        <v>7283</v>
      </c>
      <c r="T715" t="s">
        <v>13134</v>
      </c>
      <c r="U715" t="s">
        <v>13134</v>
      </c>
      <c r="V715" t="s">
        <v>13134</v>
      </c>
      <c r="W715" t="s">
        <v>13839</v>
      </c>
      <c r="X715">
        <v>2</v>
      </c>
      <c r="Y715" t="s">
        <v>20333</v>
      </c>
      <c r="Z715" t="s">
        <v>26683</v>
      </c>
      <c r="AA715">
        <v>0.49518063489190173</v>
      </c>
      <c r="AB715" t="str">
        <f>HYPERLINK("Melting_Curves/meltCurve_F5H3S6_TOM1L2.pdf", "Melting_Curves/meltCurve_F5H3S6_TOM1L2.pdf")</f>
        <v>Melting_Curves/meltCurve_F5H3S6_TOM1L2.pdf</v>
      </c>
    </row>
    <row r="716" spans="1:28" x14ac:dyDescent="0.25">
      <c r="A716" t="s">
        <v>720</v>
      </c>
      <c r="B716">
        <v>0.99472303558308395</v>
      </c>
      <c r="C716">
        <v>1.04875686202317</v>
      </c>
      <c r="D716">
        <v>0.75073462159052096</v>
      </c>
      <c r="E716">
        <v>0.61851006638514605</v>
      </c>
      <c r="F716">
        <v>0.52172236944639605</v>
      </c>
      <c r="G716">
        <v>0.45841553419474901</v>
      </c>
      <c r="H716">
        <v>0.384155701902404</v>
      </c>
      <c r="I716">
        <v>0.41263594408774801</v>
      </c>
      <c r="J716">
        <v>0.60077211597874902</v>
      </c>
      <c r="K716">
        <v>0.43123739583322301</v>
      </c>
      <c r="L716">
        <v>1012.49370336829</v>
      </c>
      <c r="M716">
        <v>22.941435320440799</v>
      </c>
      <c r="N716">
        <v>49.754185628834499</v>
      </c>
      <c r="O716">
        <v>43.802624691662501</v>
      </c>
      <c r="P716">
        <v>-7.0373588389919903E-2</v>
      </c>
      <c r="Q716">
        <v>0.46254652784715</v>
      </c>
      <c r="R716">
        <v>0.915667567785308</v>
      </c>
      <c r="S716" t="s">
        <v>7284</v>
      </c>
      <c r="T716" t="s">
        <v>13134</v>
      </c>
      <c r="U716" t="s">
        <v>13134</v>
      </c>
      <c r="V716" t="s">
        <v>13134</v>
      </c>
      <c r="W716" t="s">
        <v>13840</v>
      </c>
      <c r="X716">
        <v>1</v>
      </c>
      <c r="Y716" t="s">
        <v>20334</v>
      </c>
      <c r="Z716" t="s">
        <v>26684</v>
      </c>
      <c r="AA716">
        <v>0.59566366162153173</v>
      </c>
      <c r="AB716" t="str">
        <f>HYPERLINK("Melting_Curves/meltCurve_F5H433_SALL2.pdf", "Melting_Curves/meltCurve_F5H433_SALL2.pdf")</f>
        <v>Melting_Curves/meltCurve_F5H433_SALL2.pdf</v>
      </c>
    </row>
    <row r="717" spans="1:28" x14ac:dyDescent="0.25">
      <c r="A717" t="s">
        <v>721</v>
      </c>
      <c r="B717">
        <v>0.99472303558308395</v>
      </c>
      <c r="C717">
        <v>0.93824183098180503</v>
      </c>
      <c r="D717">
        <v>1.1160130291344701</v>
      </c>
      <c r="E717">
        <v>0.91515687283059899</v>
      </c>
      <c r="F717">
        <v>0.458876409610259</v>
      </c>
      <c r="G717">
        <v>0.19295135667535801</v>
      </c>
      <c r="H717">
        <v>0.103114279071663</v>
      </c>
      <c r="I717">
        <v>9.4507467189405295E-2</v>
      </c>
      <c r="J717">
        <v>0.10737029236970901</v>
      </c>
      <c r="K717">
        <v>9.4440292342019103E-2</v>
      </c>
      <c r="L717">
        <v>1692.0818963811801</v>
      </c>
      <c r="M717">
        <v>34.076394422963197</v>
      </c>
      <c r="N717">
        <v>49.992774549145103</v>
      </c>
      <c r="O717">
        <v>49.485470899579603</v>
      </c>
      <c r="P717">
        <v>-0.15447818855064799</v>
      </c>
      <c r="Q717">
        <v>0.102675506419464</v>
      </c>
      <c r="R717">
        <v>0.98863543533548404</v>
      </c>
      <c r="S717" t="s">
        <v>7285</v>
      </c>
      <c r="T717" t="s">
        <v>13134</v>
      </c>
      <c r="U717" t="s">
        <v>13134</v>
      </c>
      <c r="V717" t="s">
        <v>13134</v>
      </c>
      <c r="W717" t="s">
        <v>13841</v>
      </c>
      <c r="X717">
        <v>7</v>
      </c>
      <c r="Y717" t="s">
        <v>20335</v>
      </c>
      <c r="Z717" t="s">
        <v>26685</v>
      </c>
      <c r="AA717">
        <v>0.48545999663560352</v>
      </c>
      <c r="AB717" t="str">
        <f>HYPERLINK("Melting_Curves/meltCurve_F5H442_TSG101.pdf", "Melting_Curves/meltCurve_F5H442_TSG101.pdf")</f>
        <v>Melting_Curves/meltCurve_F5H442_TSG101.pdf</v>
      </c>
    </row>
    <row r="718" spans="1:28" x14ac:dyDescent="0.25">
      <c r="A718" t="s">
        <v>722</v>
      </c>
      <c r="B718">
        <v>0.99472303558308395</v>
      </c>
      <c r="C718">
        <v>0.93227790712969605</v>
      </c>
      <c r="D718">
        <v>0.86619024825734403</v>
      </c>
      <c r="E718">
        <v>0.72376859499136503</v>
      </c>
      <c r="F718">
        <v>0.62211712861891399</v>
      </c>
      <c r="G718">
        <v>0.14036066259994001</v>
      </c>
      <c r="H718">
        <v>6.8335932007615702E-2</v>
      </c>
      <c r="I718">
        <v>2.76830785660057E-2</v>
      </c>
      <c r="J718">
        <v>3.18133003655343E-2</v>
      </c>
      <c r="K718">
        <v>3.6471170519536703E-2</v>
      </c>
      <c r="L718">
        <v>840.42273493304697</v>
      </c>
      <c r="M718">
        <v>16.8022981572561</v>
      </c>
      <c r="N718">
        <v>50.018322208553201</v>
      </c>
      <c r="O718">
        <v>49.325930703463101</v>
      </c>
      <c r="P718">
        <v>-8.5165070707000398E-2</v>
      </c>
      <c r="Q718">
        <v>0</v>
      </c>
      <c r="R718">
        <v>0.974090667520361</v>
      </c>
      <c r="S718" t="s">
        <v>7286</v>
      </c>
      <c r="T718" t="s">
        <v>13134</v>
      </c>
      <c r="U718" t="s">
        <v>13134</v>
      </c>
      <c r="V718" t="s">
        <v>13134</v>
      </c>
      <c r="W718" t="s">
        <v>13842</v>
      </c>
      <c r="X718">
        <v>1</v>
      </c>
      <c r="Y718" t="s">
        <v>20336</v>
      </c>
      <c r="Z718" t="s">
        <v>26686</v>
      </c>
      <c r="AA718">
        <v>0.45154433309211661</v>
      </c>
      <c r="AB718" t="str">
        <f>HYPERLINK("Melting_Curves/meltCurve_F5H450_FZD10.pdf", "Melting_Curves/meltCurve_F5H450_FZD10.pdf")</f>
        <v>Melting_Curves/meltCurve_F5H450_FZD10.pdf</v>
      </c>
    </row>
    <row r="719" spans="1:28" x14ac:dyDescent="0.25">
      <c r="A719" t="s">
        <v>723</v>
      </c>
      <c r="B719">
        <v>0.99472303558308395</v>
      </c>
      <c r="C719">
        <v>0.92512465604292105</v>
      </c>
      <c r="D719">
        <v>0.97467053668971004</v>
      </c>
      <c r="E719">
        <v>0.79757460534813496</v>
      </c>
      <c r="F719">
        <v>0.497295294755359</v>
      </c>
      <c r="G719">
        <v>0.47796823364158803</v>
      </c>
      <c r="H719">
        <v>0.285979102619208</v>
      </c>
      <c r="I719">
        <v>0.138883010980936</v>
      </c>
      <c r="J719">
        <v>0.126035615099124</v>
      </c>
      <c r="K719">
        <v>8.3128093986473806E-2</v>
      </c>
      <c r="L719">
        <v>569.400373115158</v>
      </c>
      <c r="M719">
        <v>10.970831840299301</v>
      </c>
      <c r="N719">
        <v>51.993873660672598</v>
      </c>
      <c r="O719">
        <v>50.266246737771603</v>
      </c>
      <c r="P719">
        <v>-5.4054266396670603E-2</v>
      </c>
      <c r="Q719">
        <v>9.6724468032319405E-3</v>
      </c>
      <c r="R719">
        <v>0.98174184403710896</v>
      </c>
      <c r="S719" t="s">
        <v>7287</v>
      </c>
      <c r="T719" t="s">
        <v>13134</v>
      </c>
      <c r="U719" t="s">
        <v>13134</v>
      </c>
      <c r="V719" t="s">
        <v>13134</v>
      </c>
      <c r="W719" t="s">
        <v>13843</v>
      </c>
      <c r="X719">
        <v>3</v>
      </c>
      <c r="Y719" t="s">
        <v>20337</v>
      </c>
      <c r="Z719" t="s">
        <v>26687</v>
      </c>
      <c r="AA719">
        <v>0.5269581244677094</v>
      </c>
      <c r="AB719" t="str">
        <f>HYPERLINK("Melting_Curves/meltCurve_F5H492_RAD9A.pdf", "Melting_Curves/meltCurve_F5H492_RAD9A.pdf")</f>
        <v>Melting_Curves/meltCurve_F5H492_RAD9A.pdf</v>
      </c>
    </row>
    <row r="720" spans="1:28" x14ac:dyDescent="0.25">
      <c r="A720" t="s">
        <v>724</v>
      </c>
      <c r="B720">
        <v>0.99472303558308395</v>
      </c>
      <c r="C720">
        <v>0.69077145365162296</v>
      </c>
      <c r="D720">
        <v>0.49214994956421498</v>
      </c>
      <c r="E720">
        <v>0.24787493536459199</v>
      </c>
      <c r="F720">
        <v>0.167781218867183</v>
      </c>
      <c r="G720">
        <v>7.9622634781427601E-2</v>
      </c>
      <c r="H720">
        <v>4.0755634194862403E-2</v>
      </c>
      <c r="I720">
        <v>2.4244244932834499E-2</v>
      </c>
      <c r="J720">
        <v>3.07464368395136E-2</v>
      </c>
      <c r="K720">
        <v>3.3031114870184397E-2</v>
      </c>
      <c r="L720">
        <v>623.57203080745899</v>
      </c>
      <c r="M720">
        <v>14.596315682676799</v>
      </c>
      <c r="N720">
        <v>42.895084377024801</v>
      </c>
      <c r="O720">
        <v>41.943346788717498</v>
      </c>
      <c r="P720">
        <v>-8.4510403983888302E-2</v>
      </c>
      <c r="Q720">
        <v>2.8727406738964699E-2</v>
      </c>
      <c r="R720">
        <v>0.98779502223286897</v>
      </c>
      <c r="S720" t="s">
        <v>7288</v>
      </c>
      <c r="T720" t="s">
        <v>13134</v>
      </c>
      <c r="U720" t="s">
        <v>13134</v>
      </c>
      <c r="V720" t="s">
        <v>13134</v>
      </c>
      <c r="W720" t="s">
        <v>13844</v>
      </c>
      <c r="X720">
        <v>8</v>
      </c>
      <c r="Y720" t="s">
        <v>20338</v>
      </c>
      <c r="Z720" t="s">
        <v>26688</v>
      </c>
      <c r="AA720">
        <v>0.2417482584397706</v>
      </c>
      <c r="AB720" t="str">
        <f>HYPERLINK("Melting_Curves/meltCurve_F5H4B1_PRAME.pdf", "Melting_Curves/meltCurve_F5H4B1_PRAME.pdf")</f>
        <v>Melting_Curves/meltCurve_F5H4B1_PRAME.pdf</v>
      </c>
    </row>
    <row r="721" spans="1:28" x14ac:dyDescent="0.25">
      <c r="A721" t="s">
        <v>725</v>
      </c>
      <c r="B721">
        <v>0.99472303558308395</v>
      </c>
      <c r="C721">
        <v>0.93428841684643904</v>
      </c>
      <c r="D721">
        <v>0.83111277796266703</v>
      </c>
      <c r="E721">
        <v>0.418610078396084</v>
      </c>
      <c r="F721">
        <v>0.155776066120768</v>
      </c>
      <c r="G721">
        <v>7.7005010729014001E-2</v>
      </c>
      <c r="H721">
        <v>4.6676775234331898E-2</v>
      </c>
      <c r="I721">
        <v>3.4039653530242901E-2</v>
      </c>
      <c r="J721">
        <v>3.4619496163288903E-2</v>
      </c>
      <c r="K721">
        <v>3.6307755693109199E-2</v>
      </c>
      <c r="L721">
        <v>1013.88171694625</v>
      </c>
      <c r="M721">
        <v>22.1415592839043</v>
      </c>
      <c r="N721">
        <v>45.941015522334503</v>
      </c>
      <c r="O721">
        <v>45.422254461200602</v>
      </c>
      <c r="P721">
        <v>-0.117614669066953</v>
      </c>
      <c r="Q721">
        <v>3.4899032140062999E-2</v>
      </c>
      <c r="R721">
        <v>0.99911172767660295</v>
      </c>
      <c r="S721" t="s">
        <v>7289</v>
      </c>
      <c r="T721" t="s">
        <v>13134</v>
      </c>
      <c r="U721" t="s">
        <v>13134</v>
      </c>
      <c r="V721" t="s">
        <v>13134</v>
      </c>
      <c r="W721" t="s">
        <v>13845</v>
      </c>
      <c r="X721">
        <v>15</v>
      </c>
      <c r="Y721" t="s">
        <v>20339</v>
      </c>
      <c r="Z721" t="s">
        <v>26689</v>
      </c>
      <c r="AA721">
        <v>0.32794619139071213</v>
      </c>
      <c r="AB721" t="str">
        <f>HYPERLINK("Melting_Curves/meltCurve_F5H4G7_KPNA6.pdf", "Melting_Curves/meltCurve_F5H4G7_KPNA6.pdf")</f>
        <v>Melting_Curves/meltCurve_F5H4G7_KPNA6.pdf</v>
      </c>
    </row>
    <row r="722" spans="1:28" x14ac:dyDescent="0.25">
      <c r="A722" t="s">
        <v>726</v>
      </c>
      <c r="B722">
        <v>0.99472303558308395</v>
      </c>
      <c r="C722">
        <v>0.99891614845757504</v>
      </c>
      <c r="D722">
        <v>0.94746517644789197</v>
      </c>
      <c r="E722">
        <v>0.67008046731811499</v>
      </c>
      <c r="F722">
        <v>0.43859322974049197</v>
      </c>
      <c r="G722">
        <v>0.22064876705741501</v>
      </c>
      <c r="H722">
        <v>0.13921000130316799</v>
      </c>
      <c r="I722">
        <v>0.14257205216017599</v>
      </c>
      <c r="J722">
        <v>0.13587972228169301</v>
      </c>
      <c r="K722">
        <v>0.138281435938817</v>
      </c>
      <c r="L722">
        <v>920.69239561161703</v>
      </c>
      <c r="M722">
        <v>19.085137787325898</v>
      </c>
      <c r="N722">
        <v>48.969208446342201</v>
      </c>
      <c r="O722">
        <v>47.721049500305902</v>
      </c>
      <c r="P722">
        <v>-8.7638649325323698E-2</v>
      </c>
      <c r="Q722">
        <v>0.12349706159167601</v>
      </c>
      <c r="R722">
        <v>0.99704269856775596</v>
      </c>
      <c r="S722" t="s">
        <v>7290</v>
      </c>
      <c r="T722" t="s">
        <v>13134</v>
      </c>
      <c r="U722" t="s">
        <v>13134</v>
      </c>
      <c r="V722" t="s">
        <v>13134</v>
      </c>
      <c r="W722" t="s">
        <v>13846</v>
      </c>
      <c r="X722">
        <v>1</v>
      </c>
      <c r="Y722" t="s">
        <v>20340</v>
      </c>
      <c r="Z722" t="s">
        <v>26690</v>
      </c>
      <c r="AA722">
        <v>0.46450740997139439</v>
      </c>
      <c r="AB722" t="str">
        <f>HYPERLINK("Melting_Curves/meltCurve_F5H4I2_RNF115.pdf", "Melting_Curves/meltCurve_F5H4I2_RNF115.pdf")</f>
        <v>Melting_Curves/meltCurve_F5H4I2_RNF115.pdf</v>
      </c>
    </row>
    <row r="723" spans="1:28" x14ac:dyDescent="0.25">
      <c r="A723" t="s">
        <v>727</v>
      </c>
      <c r="B723">
        <v>0.99472303558308395</v>
      </c>
      <c r="C723">
        <v>1.1017688221650801</v>
      </c>
      <c r="D723">
        <v>0.92121158497368405</v>
      </c>
      <c r="E723">
        <v>0.80397400580983003</v>
      </c>
      <c r="F723">
        <v>0.67139593729649005</v>
      </c>
      <c r="G723">
        <v>0.44957276138375901</v>
      </c>
      <c r="H723">
        <v>0.27316999109024998</v>
      </c>
      <c r="I723">
        <v>0.238635920285444</v>
      </c>
      <c r="J723">
        <v>0.15348470160462499</v>
      </c>
      <c r="K723">
        <v>0.248852367377351</v>
      </c>
      <c r="L723">
        <v>770.30620387420004</v>
      </c>
      <c r="M723">
        <v>15.0691354945274</v>
      </c>
      <c r="N723">
        <v>52.5507367480038</v>
      </c>
      <c r="O723">
        <v>50.2432661130767</v>
      </c>
      <c r="P723">
        <v>-6.2357219193744297E-2</v>
      </c>
      <c r="Q723">
        <v>0.168440797893955</v>
      </c>
      <c r="R723">
        <v>0.97922064059873903</v>
      </c>
      <c r="S723" t="s">
        <v>7291</v>
      </c>
      <c r="T723" t="s">
        <v>13134</v>
      </c>
      <c r="U723" t="s">
        <v>13134</v>
      </c>
      <c r="V723" t="s">
        <v>13134</v>
      </c>
      <c r="W723" t="s">
        <v>13847</v>
      </c>
      <c r="X723">
        <v>1</v>
      </c>
      <c r="Y723" t="s">
        <v>20341</v>
      </c>
      <c r="Z723" t="s">
        <v>26691</v>
      </c>
      <c r="AA723">
        <v>0.57633121163371159</v>
      </c>
      <c r="AB723" t="str">
        <f>HYPERLINK("Melting_Curves/meltCurve_F5H4N4_PXMP2.pdf", "Melting_Curves/meltCurve_F5H4N4_PXMP2.pdf")</f>
        <v>Melting_Curves/meltCurve_F5H4N4_PXMP2.pdf</v>
      </c>
    </row>
    <row r="724" spans="1:28" x14ac:dyDescent="0.25">
      <c r="A724" t="s">
        <v>728</v>
      </c>
      <c r="B724">
        <v>0.99472303558308395</v>
      </c>
      <c r="C724">
        <v>0.91789196947031904</v>
      </c>
      <c r="D724">
        <v>0.93957006640496898</v>
      </c>
      <c r="E724">
        <v>0.75694783282904299</v>
      </c>
      <c r="F724">
        <v>0.40844748000887399</v>
      </c>
      <c r="G724">
        <v>0.138871822533495</v>
      </c>
      <c r="H724">
        <v>8.3886279693156193E-2</v>
      </c>
      <c r="I724">
        <v>5.4572403321131703E-2</v>
      </c>
      <c r="J724">
        <v>7.0729376205966907E-2</v>
      </c>
      <c r="K724">
        <v>7.97611930001665E-2</v>
      </c>
      <c r="L724">
        <v>1065.95554988198</v>
      </c>
      <c r="M724">
        <v>21.827015594376601</v>
      </c>
      <c r="N724">
        <v>49.099209372799699</v>
      </c>
      <c r="O724">
        <v>48.4321504940742</v>
      </c>
      <c r="P724">
        <v>-0.10646159784868101</v>
      </c>
      <c r="Q724">
        <v>5.5107800632977502E-2</v>
      </c>
      <c r="R724">
        <v>0.99493627722170896</v>
      </c>
      <c r="S724" t="s">
        <v>7292</v>
      </c>
      <c r="T724" t="s">
        <v>13134</v>
      </c>
      <c r="U724" t="s">
        <v>13134</v>
      </c>
      <c r="V724" t="s">
        <v>13134</v>
      </c>
      <c r="W724" t="s">
        <v>13848</v>
      </c>
      <c r="X724">
        <v>3</v>
      </c>
      <c r="Y724" t="s">
        <v>20342</v>
      </c>
      <c r="Z724" t="s">
        <v>26692</v>
      </c>
      <c r="AA724">
        <v>0.43849064533918891</v>
      </c>
      <c r="AB724" t="str">
        <f>HYPERLINK("Melting_Curves/meltCurve_F5H4Q5_VPS37C.pdf", "Melting_Curves/meltCurve_F5H4Q5_VPS37C.pdf")</f>
        <v>Melting_Curves/meltCurve_F5H4Q5_VPS37C.pdf</v>
      </c>
    </row>
    <row r="725" spans="1:28" x14ac:dyDescent="0.25">
      <c r="A725" t="s">
        <v>729</v>
      </c>
      <c r="B725">
        <v>0.99472303558308395</v>
      </c>
      <c r="C725">
        <v>1.0079543449225501</v>
      </c>
      <c r="D725">
        <v>0.83432207338549402</v>
      </c>
      <c r="E725">
        <v>0.54984750190454001</v>
      </c>
      <c r="F725">
        <v>0.36052405258247999</v>
      </c>
      <c r="G725">
        <v>0.174385673930881</v>
      </c>
      <c r="H725">
        <v>0.11790438989949301</v>
      </c>
      <c r="I725">
        <v>8.1905897792172E-2</v>
      </c>
      <c r="J725">
        <v>7.2959786138278193E-2</v>
      </c>
      <c r="K725">
        <v>5.5876601949732201E-2</v>
      </c>
      <c r="L725">
        <v>745.69548976885198</v>
      </c>
      <c r="M725">
        <v>15.764571644580901</v>
      </c>
      <c r="N725">
        <v>47.668917341543697</v>
      </c>
      <c r="O725">
        <v>46.560459266863298</v>
      </c>
      <c r="P725">
        <v>-7.98158885477223E-2</v>
      </c>
      <c r="Q725">
        <v>5.7137557531303097E-2</v>
      </c>
      <c r="R725">
        <v>0.99594778548862195</v>
      </c>
      <c r="S725" t="s">
        <v>7293</v>
      </c>
      <c r="T725" t="s">
        <v>13134</v>
      </c>
      <c r="U725" t="s">
        <v>13134</v>
      </c>
      <c r="V725" t="s">
        <v>13134</v>
      </c>
      <c r="W725" t="s">
        <v>13849</v>
      </c>
      <c r="X725">
        <v>5</v>
      </c>
      <c r="Y725" t="s">
        <v>20343</v>
      </c>
      <c r="Z725" t="s">
        <v>26693</v>
      </c>
      <c r="AA725">
        <v>0.40021666253979038</v>
      </c>
      <c r="AB725" t="str">
        <f>HYPERLINK("Melting_Curves/meltCurve_F5H4R0_EVI5.pdf", "Melting_Curves/meltCurve_F5H4R0_EVI5.pdf")</f>
        <v>Melting_Curves/meltCurve_F5H4R0_EVI5.pdf</v>
      </c>
    </row>
    <row r="726" spans="1:28" x14ac:dyDescent="0.25">
      <c r="A726" t="s">
        <v>730</v>
      </c>
      <c r="B726">
        <v>0.99472303558308395</v>
      </c>
      <c r="C726">
        <v>0.898747846704542</v>
      </c>
      <c r="D726">
        <v>0.72114370744897005</v>
      </c>
      <c r="E726">
        <v>0.38002613059043999</v>
      </c>
      <c r="F726">
        <v>0.20121989673396601</v>
      </c>
      <c r="G726">
        <v>9.1025171668163901E-2</v>
      </c>
      <c r="H726">
        <v>5.8303159635268803E-2</v>
      </c>
      <c r="I726">
        <v>3.4036758264751603E-2</v>
      </c>
      <c r="J726">
        <v>5.1833076966025897E-2</v>
      </c>
      <c r="K726">
        <v>3.6944740325567403E-2</v>
      </c>
      <c r="L726">
        <v>768.03216215130897</v>
      </c>
      <c r="M726">
        <v>17.002760274717399</v>
      </c>
      <c r="N726">
        <v>45.363975652129</v>
      </c>
      <c r="O726">
        <v>44.5600671627098</v>
      </c>
      <c r="P726">
        <v>-9.2070877313954497E-2</v>
      </c>
      <c r="Q726">
        <v>3.4878798817954998E-2</v>
      </c>
      <c r="R726">
        <v>0.99906229732777496</v>
      </c>
      <c r="S726" t="s">
        <v>7294</v>
      </c>
      <c r="T726" t="s">
        <v>13134</v>
      </c>
      <c r="U726" t="s">
        <v>13134</v>
      </c>
      <c r="V726" t="s">
        <v>13134</v>
      </c>
      <c r="W726" t="s">
        <v>13850</v>
      </c>
      <c r="X726">
        <v>4</v>
      </c>
      <c r="Y726" t="s">
        <v>20344</v>
      </c>
      <c r="Z726" t="s">
        <v>26694</v>
      </c>
      <c r="AA726">
        <v>0.31547597000331018</v>
      </c>
      <c r="AB726" t="str">
        <f>HYPERLINK("Melting_Curves/meltCurve_F5H4S8_NFATC1.pdf", "Melting_Curves/meltCurve_F5H4S8_NFATC1.pdf")</f>
        <v>Melting_Curves/meltCurve_F5H4S8_NFATC1.pdf</v>
      </c>
    </row>
    <row r="727" spans="1:28" x14ac:dyDescent="0.25">
      <c r="A727" t="s">
        <v>731</v>
      </c>
      <c r="B727">
        <v>0.99472303558308395</v>
      </c>
      <c r="C727">
        <v>0.991772214388559</v>
      </c>
      <c r="D727">
        <v>0.84346449884623698</v>
      </c>
      <c r="E727">
        <v>0.34006942472869101</v>
      </c>
      <c r="F727">
        <v>0.15228969732057299</v>
      </c>
      <c r="G727">
        <v>8.9565619925644296E-2</v>
      </c>
      <c r="H727">
        <v>6.9468203496262496E-2</v>
      </c>
      <c r="I727">
        <v>3.91649269500733E-2</v>
      </c>
      <c r="J727">
        <v>5.3846780429810497E-2</v>
      </c>
      <c r="K727">
        <v>5.2341729926529398E-2</v>
      </c>
      <c r="L727">
        <v>1286.2079971212099</v>
      </c>
      <c r="M727">
        <v>28.379229075434999</v>
      </c>
      <c r="N727">
        <v>45.536209840744498</v>
      </c>
      <c r="O727">
        <v>45.098912419059097</v>
      </c>
      <c r="P727">
        <v>-0.14749454804425799</v>
      </c>
      <c r="Q727">
        <v>6.2442563404353099E-2</v>
      </c>
      <c r="R727">
        <v>0.99820629335803202</v>
      </c>
      <c r="S727" t="s">
        <v>7295</v>
      </c>
      <c r="T727" t="s">
        <v>13134</v>
      </c>
      <c r="U727" t="s">
        <v>13134</v>
      </c>
      <c r="V727" t="s">
        <v>13134</v>
      </c>
      <c r="W727" t="s">
        <v>13851</v>
      </c>
      <c r="X727">
        <v>8</v>
      </c>
      <c r="Y727" t="s">
        <v>20345</v>
      </c>
      <c r="Z727" t="s">
        <v>26695</v>
      </c>
      <c r="AA727">
        <v>0.32845582640714149</v>
      </c>
      <c r="AB727" t="str">
        <f>HYPERLINK("Melting_Curves/meltCurve_F5H4V9_PDCD2.pdf", "Melting_Curves/meltCurve_F5H4V9_PDCD2.pdf")</f>
        <v>Melting_Curves/meltCurve_F5H4V9_PDCD2.pdf</v>
      </c>
    </row>
    <row r="728" spans="1:28" x14ac:dyDescent="0.25">
      <c r="A728" t="s">
        <v>732</v>
      </c>
      <c r="B728">
        <v>0.99472303558308395</v>
      </c>
      <c r="C728">
        <v>1.0756791653865501</v>
      </c>
      <c r="D728">
        <v>1.02178350929811</v>
      </c>
      <c r="E728">
        <v>0.834684873711387</v>
      </c>
      <c r="F728">
        <v>0.57075288219676301</v>
      </c>
      <c r="G728">
        <v>0.38889072066254599</v>
      </c>
      <c r="H728">
        <v>0.13773796222173501</v>
      </c>
      <c r="I728">
        <v>7.9468173382613902E-2</v>
      </c>
      <c r="J728">
        <v>8.2514601107237295E-2</v>
      </c>
      <c r="K728">
        <v>8.3511259246629804E-2</v>
      </c>
      <c r="L728">
        <v>902.46953911594596</v>
      </c>
      <c r="M728">
        <v>17.653754719004699</v>
      </c>
      <c r="N728">
        <v>51.435530524382102</v>
      </c>
      <c r="O728">
        <v>50.478111874993701</v>
      </c>
      <c r="P728">
        <v>-8.2957535002234503E-2</v>
      </c>
      <c r="Q728">
        <v>5.12346342389179E-2</v>
      </c>
      <c r="R728">
        <v>0.98975272545732995</v>
      </c>
      <c r="S728" t="s">
        <v>7296</v>
      </c>
      <c r="T728" t="s">
        <v>13134</v>
      </c>
      <c r="U728" t="s">
        <v>13134</v>
      </c>
      <c r="V728" t="s">
        <v>13134</v>
      </c>
      <c r="W728" t="s">
        <v>13852</v>
      </c>
      <c r="X728">
        <v>5</v>
      </c>
      <c r="Y728" t="s">
        <v>20346</v>
      </c>
      <c r="Z728" t="s">
        <v>26696</v>
      </c>
      <c r="AA728">
        <v>0.51292236708440764</v>
      </c>
      <c r="AB728" t="str">
        <f>HYPERLINK("Melting_Curves/meltCurve_F5H4Z3_PSMF1.pdf", "Melting_Curves/meltCurve_F5H4Z3_PSMF1.pdf")</f>
        <v>Melting_Curves/meltCurve_F5H4Z3_PSMF1.pdf</v>
      </c>
    </row>
    <row r="729" spans="1:28" x14ac:dyDescent="0.25">
      <c r="A729" t="s">
        <v>733</v>
      </c>
      <c r="B729">
        <v>0.99472303558308395</v>
      </c>
      <c r="C729">
        <v>0.98407473718554905</v>
      </c>
      <c r="D729">
        <v>0.79692129503777198</v>
      </c>
      <c r="E729">
        <v>0.62298188195036797</v>
      </c>
      <c r="F729">
        <v>0.53238557427960997</v>
      </c>
      <c r="G729">
        <v>0.211445123908236</v>
      </c>
      <c r="H729">
        <v>9.7742909741692793E-2</v>
      </c>
      <c r="I729">
        <v>4.46993145260111E-2</v>
      </c>
      <c r="J729">
        <v>2.5458031021983199E-2</v>
      </c>
      <c r="K729">
        <v>3.9699121415186299E-2</v>
      </c>
      <c r="L729">
        <v>628.39599592908598</v>
      </c>
      <c r="M729">
        <v>12.8213433483883</v>
      </c>
      <c r="N729">
        <v>49.011712660197396</v>
      </c>
      <c r="O729">
        <v>47.865331146536597</v>
      </c>
      <c r="P729">
        <v>-6.6978193887319307E-2</v>
      </c>
      <c r="Q729">
        <v>0</v>
      </c>
      <c r="R729">
        <v>0.98495263066564698</v>
      </c>
      <c r="S729" t="s">
        <v>7297</v>
      </c>
      <c r="T729" t="s">
        <v>13134</v>
      </c>
      <c r="U729" t="s">
        <v>13134</v>
      </c>
      <c r="V729" t="s">
        <v>13134</v>
      </c>
      <c r="W729" t="s">
        <v>13853</v>
      </c>
      <c r="X729">
        <v>1</v>
      </c>
      <c r="Y729" t="s">
        <v>20347</v>
      </c>
      <c r="Z729" t="s">
        <v>26697</v>
      </c>
      <c r="AA729">
        <v>0.42753394168148262</v>
      </c>
      <c r="AB729" t="str">
        <f>HYPERLINK("Melting_Curves/meltCurve_F5H523_KLHL42.pdf", "Melting_Curves/meltCurve_F5H523_KLHL42.pdf")</f>
        <v>Melting_Curves/meltCurve_F5H523_KLHL42.pdf</v>
      </c>
    </row>
    <row r="730" spans="1:28" x14ac:dyDescent="0.25">
      <c r="A730" t="s">
        <v>734</v>
      </c>
      <c r="B730">
        <v>0.99472303558308395</v>
      </c>
      <c r="C730">
        <v>1.134748893432</v>
      </c>
      <c r="D730">
        <v>0.807030056509354</v>
      </c>
      <c r="E730">
        <v>0.53948472637334</v>
      </c>
      <c r="F730">
        <v>0.33749463308083799</v>
      </c>
      <c r="G730">
        <v>0.35064357753053099</v>
      </c>
      <c r="H730">
        <v>0.26700437854516201</v>
      </c>
      <c r="I730">
        <v>0.14932314467333299</v>
      </c>
      <c r="J730">
        <v>0.164635755830466</v>
      </c>
      <c r="K730">
        <v>0.136426587632858</v>
      </c>
      <c r="L730">
        <v>850.240915267471</v>
      </c>
      <c r="M730">
        <v>18.3404573312148</v>
      </c>
      <c r="N730">
        <v>47.573187129768101</v>
      </c>
      <c r="O730">
        <v>45.818166235276799</v>
      </c>
      <c r="P730">
        <v>-8.1369299893134905E-2</v>
      </c>
      <c r="Q730">
        <v>0.186929483236879</v>
      </c>
      <c r="R730">
        <v>0.95631233698390405</v>
      </c>
      <c r="S730" t="s">
        <v>7298</v>
      </c>
      <c r="T730" t="s">
        <v>13134</v>
      </c>
      <c r="U730" t="s">
        <v>13134</v>
      </c>
      <c r="V730" t="s">
        <v>13134</v>
      </c>
      <c r="W730" t="s">
        <v>13854</v>
      </c>
      <c r="X730">
        <v>20</v>
      </c>
      <c r="Y730" t="s">
        <v>20348</v>
      </c>
      <c r="Z730" t="s">
        <v>26698</v>
      </c>
      <c r="AA730">
        <v>0.45320168649778969</v>
      </c>
      <c r="AB730" t="str">
        <f>HYPERLINK("Melting_Curves/meltCurve_F5H564_EIF4G3.pdf", "Melting_Curves/meltCurve_F5H564_EIF4G3.pdf")</f>
        <v>Melting_Curves/meltCurve_F5H564_EIF4G3.pdf</v>
      </c>
    </row>
    <row r="731" spans="1:28" x14ac:dyDescent="0.25">
      <c r="A731" t="s">
        <v>735</v>
      </c>
      <c r="B731">
        <v>0.99472303558308395</v>
      </c>
      <c r="C731">
        <v>0.91627297580639699</v>
      </c>
      <c r="D731">
        <v>0.78134400636659196</v>
      </c>
      <c r="E731">
        <v>0.71043533797150904</v>
      </c>
      <c r="F731">
        <v>0.588762891823848</v>
      </c>
      <c r="G731">
        <v>0.26199936725543899</v>
      </c>
      <c r="H731">
        <v>0.205466992216251</v>
      </c>
      <c r="I731">
        <v>9.4950238303044596E-2</v>
      </c>
      <c r="J731">
        <v>9.3942554791016694E-2</v>
      </c>
      <c r="K731">
        <v>0.10118749750650401</v>
      </c>
      <c r="L731">
        <v>526.41478197519598</v>
      </c>
      <c r="M731">
        <v>10.4977247707799</v>
      </c>
      <c r="N731">
        <v>50.145604657487702</v>
      </c>
      <c r="O731">
        <v>48.428442311309702</v>
      </c>
      <c r="P731">
        <v>-5.4213821791889001E-2</v>
      </c>
      <c r="Q731">
        <v>0</v>
      </c>
      <c r="R731">
        <v>0.98155324491116203</v>
      </c>
      <c r="S731" t="s">
        <v>7299</v>
      </c>
      <c r="T731" t="s">
        <v>13134</v>
      </c>
      <c r="U731" t="s">
        <v>13134</v>
      </c>
      <c r="V731" t="s">
        <v>13134</v>
      </c>
      <c r="W731" t="s">
        <v>13855</v>
      </c>
      <c r="X731">
        <v>21</v>
      </c>
      <c r="Y731" t="s">
        <v>20349</v>
      </c>
      <c r="Z731" t="s">
        <v>26699</v>
      </c>
      <c r="AA731">
        <v>0.47013451845239562</v>
      </c>
      <c r="AB731" t="str">
        <f>HYPERLINK("Melting_Curves/meltCurve_F5H569_ATP6V0A1.pdf", "Melting_Curves/meltCurve_F5H569_ATP6V0A1.pdf")</f>
        <v>Melting_Curves/meltCurve_F5H569_ATP6V0A1.pdf</v>
      </c>
    </row>
    <row r="732" spans="1:28" x14ac:dyDescent="0.25">
      <c r="A732" t="s">
        <v>736</v>
      </c>
      <c r="B732">
        <v>0.99472303558308395</v>
      </c>
      <c r="C732">
        <v>0.87459067973293603</v>
      </c>
      <c r="D732">
        <v>1.0185959255802</v>
      </c>
      <c r="E732">
        <v>0.81877869445899498</v>
      </c>
      <c r="F732">
        <v>0.56203377246865205</v>
      </c>
      <c r="G732">
        <v>0.46469423803599902</v>
      </c>
      <c r="H732">
        <v>0.44263452744111198</v>
      </c>
      <c r="I732">
        <v>0.37958982990533302</v>
      </c>
      <c r="J732">
        <v>0.56154780657424197</v>
      </c>
      <c r="K732">
        <v>0.38728758887596898</v>
      </c>
      <c r="L732">
        <v>1397.79154788101</v>
      </c>
      <c r="M732">
        <v>29.196915887352699</v>
      </c>
      <c r="N732">
        <v>51.694987914264097</v>
      </c>
      <c r="O732">
        <v>47.651731504093597</v>
      </c>
      <c r="P732">
        <v>-8.5442906963982199E-2</v>
      </c>
      <c r="Q732">
        <v>0.44220509975039501</v>
      </c>
      <c r="R732">
        <v>0.93288579218224699</v>
      </c>
      <c r="S732" t="s">
        <v>7300</v>
      </c>
      <c r="T732" t="s">
        <v>13134</v>
      </c>
      <c r="U732" t="s">
        <v>13134</v>
      </c>
      <c r="V732" t="s">
        <v>13134</v>
      </c>
      <c r="W732" t="s">
        <v>13856</v>
      </c>
      <c r="X732">
        <v>8</v>
      </c>
      <c r="Y732" t="s">
        <v>20350</v>
      </c>
      <c r="Z732" t="s">
        <v>26700</v>
      </c>
      <c r="AA732">
        <v>0.64787932452937425</v>
      </c>
      <c r="AB732" t="str">
        <f>HYPERLINK("Melting_Curves/meltCurve_F5H577_BRK1.pdf", "Melting_Curves/meltCurve_F5H577_BRK1.pdf")</f>
        <v>Melting_Curves/meltCurve_F5H577_BRK1.pdf</v>
      </c>
    </row>
    <row r="733" spans="1:28" x14ac:dyDescent="0.25">
      <c r="A733" t="s">
        <v>737</v>
      </c>
      <c r="B733">
        <v>0.99472303558308395</v>
      </c>
      <c r="C733">
        <v>0.91635201655286103</v>
      </c>
      <c r="D733">
        <v>0.61441579583939698</v>
      </c>
      <c r="E733">
        <v>0.49958632057726998</v>
      </c>
      <c r="F733">
        <v>0.46556963377610999</v>
      </c>
      <c r="G733">
        <v>0.13564363664064699</v>
      </c>
      <c r="H733">
        <v>0.11197139569862601</v>
      </c>
      <c r="I733">
        <v>8.7169671337795698E-2</v>
      </c>
      <c r="J733">
        <v>9.2115306877629005E-2</v>
      </c>
      <c r="K733">
        <v>7.7045667455110003E-2</v>
      </c>
      <c r="L733">
        <v>498.82845253608599</v>
      </c>
      <c r="M733">
        <v>10.7101095233654</v>
      </c>
      <c r="N733">
        <v>46.807069198554402</v>
      </c>
      <c r="O733">
        <v>45.039812432564801</v>
      </c>
      <c r="P733">
        <v>-5.7935552441314403E-2</v>
      </c>
      <c r="Q733">
        <v>2.5806044206784201E-2</v>
      </c>
      <c r="R733">
        <v>0.96358012837331497</v>
      </c>
      <c r="S733" t="s">
        <v>7301</v>
      </c>
      <c r="T733" t="s">
        <v>13134</v>
      </c>
      <c r="U733" t="s">
        <v>13134</v>
      </c>
      <c r="V733" t="s">
        <v>13134</v>
      </c>
      <c r="W733" t="s">
        <v>13857</v>
      </c>
      <c r="X733">
        <v>6</v>
      </c>
      <c r="Y733" t="s">
        <v>20351</v>
      </c>
      <c r="Z733" t="s">
        <v>26701</v>
      </c>
      <c r="AA733">
        <v>0.37585891427782842</v>
      </c>
      <c r="AB733" t="str">
        <f>HYPERLINK("Melting_Curves/meltCurve_F5H5C2_NUP133.pdf", "Melting_Curves/meltCurve_F5H5C2_NUP133.pdf")</f>
        <v>Melting_Curves/meltCurve_F5H5C2_NUP133.pdf</v>
      </c>
    </row>
    <row r="734" spans="1:28" x14ac:dyDescent="0.25">
      <c r="A734" t="s">
        <v>738</v>
      </c>
      <c r="B734">
        <v>0.99472303558308395</v>
      </c>
      <c r="C734">
        <v>0.89442392112648605</v>
      </c>
      <c r="D734">
        <v>0.95194148749261798</v>
      </c>
      <c r="E734">
        <v>0.87502671099598694</v>
      </c>
      <c r="F734">
        <v>0.68623228555141202</v>
      </c>
      <c r="G734">
        <v>0.53077246611537898</v>
      </c>
      <c r="H734">
        <v>0.30298882205300498</v>
      </c>
      <c r="I734">
        <v>0.15717368551313801</v>
      </c>
      <c r="J734">
        <v>6.9154600027546295E-2</v>
      </c>
      <c r="K734">
        <v>7.1842088524780398E-2</v>
      </c>
      <c r="L734">
        <v>693.87381800448395</v>
      </c>
      <c r="M734">
        <v>12.942438386182999</v>
      </c>
      <c r="N734">
        <v>53.612289409153099</v>
      </c>
      <c r="O734">
        <v>52.380777901208504</v>
      </c>
      <c r="P734">
        <v>-6.1782037385779497E-2</v>
      </c>
      <c r="Q734">
        <v>0</v>
      </c>
      <c r="R734">
        <v>0.98995646106317003</v>
      </c>
      <c r="S734" t="s">
        <v>7302</v>
      </c>
      <c r="T734" t="s">
        <v>13134</v>
      </c>
      <c r="U734" t="s">
        <v>13134</v>
      </c>
      <c r="V734" t="s">
        <v>13134</v>
      </c>
      <c r="W734" t="s">
        <v>13858</v>
      </c>
      <c r="X734">
        <v>31</v>
      </c>
      <c r="Y734" t="s">
        <v>20352</v>
      </c>
      <c r="Z734" t="s">
        <v>26702</v>
      </c>
      <c r="AA734">
        <v>0.57236168116989061</v>
      </c>
      <c r="AB734" t="str">
        <f>HYPERLINK("Melting_Curves/meltCurve_F5H5D3_TUBA1C.pdf", "Melting_Curves/meltCurve_F5H5D3_TUBA1C.pdf")</f>
        <v>Melting_Curves/meltCurve_F5H5D3_TUBA1C.pdf</v>
      </c>
    </row>
    <row r="735" spans="1:28" x14ac:dyDescent="0.25">
      <c r="A735" t="s">
        <v>739</v>
      </c>
      <c r="B735">
        <v>0.99472303558308395</v>
      </c>
      <c r="C735">
        <v>0.88441337119304997</v>
      </c>
      <c r="D735">
        <v>0.85688042016281696</v>
      </c>
      <c r="E735">
        <v>0.63181973518454904</v>
      </c>
      <c r="F735">
        <v>0.27846314130550298</v>
      </c>
      <c r="G735">
        <v>0.13572974337897301</v>
      </c>
      <c r="H735">
        <v>8.8691994956448805E-2</v>
      </c>
      <c r="I735">
        <v>7.5346367902847294E-2</v>
      </c>
      <c r="J735">
        <v>9.1039280084429602E-2</v>
      </c>
      <c r="K735">
        <v>7.9815417703696906E-2</v>
      </c>
      <c r="L735">
        <v>860.25968232032301</v>
      </c>
      <c r="M735">
        <v>18.2085309624958</v>
      </c>
      <c r="N735">
        <v>47.595820560812399</v>
      </c>
      <c r="O735">
        <v>46.686088529444604</v>
      </c>
      <c r="P735">
        <v>-9.1384233894595504E-2</v>
      </c>
      <c r="Q735">
        <v>6.2819290420452797E-2</v>
      </c>
      <c r="R735">
        <v>0.99215501912253201</v>
      </c>
      <c r="S735" t="s">
        <v>7303</v>
      </c>
      <c r="T735" t="s">
        <v>13134</v>
      </c>
      <c r="U735" t="s">
        <v>13134</v>
      </c>
      <c r="V735" t="s">
        <v>13134</v>
      </c>
      <c r="W735" t="s">
        <v>13859</v>
      </c>
      <c r="X735">
        <v>5</v>
      </c>
      <c r="Y735" t="s">
        <v>20353</v>
      </c>
      <c r="Z735" t="s">
        <v>26703</v>
      </c>
      <c r="AA735">
        <v>0.39756588971787032</v>
      </c>
      <c r="AB735" t="str">
        <f>HYPERLINK("Melting_Curves/meltCurve_F5H5I6_GRSF1.pdf", "Melting_Curves/meltCurve_F5H5I6_GRSF1.pdf")</f>
        <v>Melting_Curves/meltCurve_F5H5I6_GRSF1.pdf</v>
      </c>
    </row>
    <row r="736" spans="1:28" x14ac:dyDescent="0.25">
      <c r="A736" t="s">
        <v>740</v>
      </c>
      <c r="B736">
        <v>0.99472303558308395</v>
      </c>
      <c r="C736">
        <v>0.92831326460345698</v>
      </c>
      <c r="D736">
        <v>0.94358117455372303</v>
      </c>
      <c r="E736">
        <v>0.86951395639739404</v>
      </c>
      <c r="F736">
        <v>0.74056812752426604</v>
      </c>
      <c r="G736">
        <v>0.52239327309056605</v>
      </c>
      <c r="H736">
        <v>0.39181996603369401</v>
      </c>
      <c r="I736">
        <v>0.35468573587331198</v>
      </c>
      <c r="J736">
        <v>0.51676995879590804</v>
      </c>
      <c r="K736">
        <v>0.398355209587966</v>
      </c>
      <c r="L736">
        <v>983.92541309168098</v>
      </c>
      <c r="M736">
        <v>19.599177000409099</v>
      </c>
      <c r="N736">
        <v>54.685170211261102</v>
      </c>
      <c r="O736">
        <v>49.6885132553343</v>
      </c>
      <c r="P736">
        <v>-5.9195922919145799E-2</v>
      </c>
      <c r="Q736">
        <v>0.39971895820799003</v>
      </c>
      <c r="R736">
        <v>0.95425614040805495</v>
      </c>
      <c r="S736" t="s">
        <v>7304</v>
      </c>
      <c r="T736" t="s">
        <v>13134</v>
      </c>
      <c r="U736" t="s">
        <v>13134</v>
      </c>
      <c r="V736" t="s">
        <v>13134</v>
      </c>
      <c r="W736" t="s">
        <v>13860</v>
      </c>
      <c r="X736">
        <v>3</v>
      </c>
      <c r="Y736" t="s">
        <v>20354</v>
      </c>
      <c r="Z736" t="s">
        <v>26704</v>
      </c>
      <c r="AA736">
        <v>0.67207087826927359</v>
      </c>
      <c r="AB736" t="str">
        <f>HYPERLINK("Melting_Curves/meltCurve_F5H5M7_IFNGR1.pdf", "Melting_Curves/meltCurve_F5H5M7_IFNGR1.pdf")</f>
        <v>Melting_Curves/meltCurve_F5H5M7_IFNGR1.pdf</v>
      </c>
    </row>
    <row r="737" spans="1:28" x14ac:dyDescent="0.25">
      <c r="A737" t="s">
        <v>741</v>
      </c>
      <c r="B737">
        <v>0.99472303558308395</v>
      </c>
      <c r="C737">
        <v>0.94479365518047598</v>
      </c>
      <c r="D737">
        <v>0.733095578010592</v>
      </c>
      <c r="E737">
        <v>0.56542485378063101</v>
      </c>
      <c r="F737">
        <v>0.21054795839469401</v>
      </c>
      <c r="G737">
        <v>0.103765330537218</v>
      </c>
      <c r="H737">
        <v>6.1205653545598503E-2</v>
      </c>
      <c r="I737">
        <v>4.64567869677006E-2</v>
      </c>
      <c r="J737">
        <v>5.7379618596597397E-2</v>
      </c>
      <c r="K737">
        <v>5.0274064717148903E-2</v>
      </c>
      <c r="L737">
        <v>756.07863493780997</v>
      </c>
      <c r="M737">
        <v>16.2977191015739</v>
      </c>
      <c r="N737">
        <v>46.563619298486699</v>
      </c>
      <c r="O737">
        <v>45.710098339105997</v>
      </c>
      <c r="P737">
        <v>-8.6539669485730705E-2</v>
      </c>
      <c r="Q737">
        <v>2.9202010174914601E-2</v>
      </c>
      <c r="R737">
        <v>0.99249960705455498</v>
      </c>
      <c r="S737" t="s">
        <v>7305</v>
      </c>
      <c r="T737" t="s">
        <v>13134</v>
      </c>
      <c r="U737" t="s">
        <v>13134</v>
      </c>
      <c r="V737" t="s">
        <v>13134</v>
      </c>
      <c r="W737" t="s">
        <v>13861</v>
      </c>
      <c r="X737">
        <v>30</v>
      </c>
      <c r="Y737" t="s">
        <v>20355</v>
      </c>
      <c r="Z737" t="s">
        <v>26705</v>
      </c>
      <c r="AA737">
        <v>0.35207545280273161</v>
      </c>
      <c r="AB737" t="str">
        <f>HYPERLINK("Melting_Curves/meltCurve_F5H5N0_CDC42BPA.pdf", "Melting_Curves/meltCurve_F5H5N0_CDC42BPA.pdf")</f>
        <v>Melting_Curves/meltCurve_F5H5N0_CDC42BPA.pdf</v>
      </c>
    </row>
    <row r="738" spans="1:28" x14ac:dyDescent="0.25">
      <c r="A738" t="s">
        <v>742</v>
      </c>
      <c r="B738">
        <v>0.99472303558308395</v>
      </c>
      <c r="C738">
        <v>0.93963788217650102</v>
      </c>
      <c r="D738">
        <v>0.80363197399789499</v>
      </c>
      <c r="E738">
        <v>0.69352069729864996</v>
      </c>
      <c r="F738">
        <v>0.42075158328696499</v>
      </c>
      <c r="G738">
        <v>0.19410386598298199</v>
      </c>
      <c r="H738">
        <v>9.2676918750318804E-2</v>
      </c>
      <c r="I738">
        <v>5.6836886703320301E-2</v>
      </c>
      <c r="J738">
        <v>4.48211815367862E-2</v>
      </c>
      <c r="K738">
        <v>2.93239857036693E-2</v>
      </c>
      <c r="L738">
        <v>661.48344870001199</v>
      </c>
      <c r="M738">
        <v>13.5679341993569</v>
      </c>
      <c r="N738">
        <v>48.753438755096802</v>
      </c>
      <c r="O738">
        <v>47.730921645288298</v>
      </c>
      <c r="P738">
        <v>-7.1075322756670598E-2</v>
      </c>
      <c r="Q738">
        <v>0</v>
      </c>
      <c r="R738">
        <v>0.99526218665404897</v>
      </c>
      <c r="S738" t="s">
        <v>7306</v>
      </c>
      <c r="T738" t="s">
        <v>13134</v>
      </c>
      <c r="U738" t="s">
        <v>13134</v>
      </c>
      <c r="V738" t="s">
        <v>13134</v>
      </c>
      <c r="W738" t="s">
        <v>13862</v>
      </c>
      <c r="X738">
        <v>5</v>
      </c>
      <c r="Y738" t="s">
        <v>20356</v>
      </c>
      <c r="Z738" t="s">
        <v>26706</v>
      </c>
      <c r="AA738">
        <v>0.41705943619193919</v>
      </c>
      <c r="AB738" t="str">
        <f>HYPERLINK("Melting_Curves/meltCurve_F5H5N1_NDUFS7.pdf", "Melting_Curves/meltCurve_F5H5N1_NDUFS7.pdf")</f>
        <v>Melting_Curves/meltCurve_F5H5N1_NDUFS7.pdf</v>
      </c>
    </row>
    <row r="739" spans="1:28" x14ac:dyDescent="0.25">
      <c r="A739" t="s">
        <v>743</v>
      </c>
      <c r="B739">
        <v>0.99472303558308395</v>
      </c>
      <c r="C739">
        <v>0.89305724998649005</v>
      </c>
      <c r="D739">
        <v>0.68253825281260405</v>
      </c>
      <c r="E739">
        <v>0.52368585616913499</v>
      </c>
      <c r="F739">
        <v>0.491208761217793</v>
      </c>
      <c r="G739">
        <v>0.19191139781952801</v>
      </c>
      <c r="H739">
        <v>8.5016755886333298E-2</v>
      </c>
      <c r="I739">
        <v>1.43771110605208E-2</v>
      </c>
      <c r="J739">
        <v>1.7796390950337401E-2</v>
      </c>
      <c r="K739">
        <v>1.88739433762042E-2</v>
      </c>
      <c r="L739">
        <v>526.30546470332399</v>
      </c>
      <c r="M739">
        <v>11.1045628478503</v>
      </c>
      <c r="N739">
        <v>47.395423952797501</v>
      </c>
      <c r="O739">
        <v>45.936266729170903</v>
      </c>
      <c r="P739">
        <v>-6.04542794620491E-2</v>
      </c>
      <c r="Q739">
        <v>0</v>
      </c>
      <c r="R739">
        <v>0.97266697059532403</v>
      </c>
      <c r="S739" t="s">
        <v>7307</v>
      </c>
      <c r="T739" t="s">
        <v>13134</v>
      </c>
      <c r="U739" t="s">
        <v>13134</v>
      </c>
      <c r="V739" t="s">
        <v>13134</v>
      </c>
      <c r="W739" t="s">
        <v>13863</v>
      </c>
      <c r="X739">
        <v>2</v>
      </c>
      <c r="Y739" t="s">
        <v>20357</v>
      </c>
      <c r="Z739" t="s">
        <v>26707</v>
      </c>
      <c r="AA739">
        <v>0.3827381302624161</v>
      </c>
      <c r="AB739" t="str">
        <f>HYPERLINK("Melting_Curves/meltCurve_F5H5P2_BCKDHA.pdf", "Melting_Curves/meltCurve_F5H5P2_BCKDHA.pdf")</f>
        <v>Melting_Curves/meltCurve_F5H5P2_BCKDHA.pdf</v>
      </c>
    </row>
    <row r="740" spans="1:28" x14ac:dyDescent="0.25">
      <c r="A740" t="s">
        <v>744</v>
      </c>
      <c r="B740">
        <v>0.99472303558308395</v>
      </c>
      <c r="C740">
        <v>0.98495909433413298</v>
      </c>
      <c r="D740">
        <v>0.80508137637480504</v>
      </c>
      <c r="E740">
        <v>0.31617538431034897</v>
      </c>
      <c r="F740">
        <v>0.12010435602990401</v>
      </c>
      <c r="G740">
        <v>8.4341195224366894E-2</v>
      </c>
      <c r="H740">
        <v>4.1647077851590601E-2</v>
      </c>
      <c r="I740">
        <v>3.96777279608388E-2</v>
      </c>
      <c r="J740">
        <v>2.8203976690909401E-2</v>
      </c>
      <c r="K740">
        <v>3.2182332907849699E-2</v>
      </c>
      <c r="L740">
        <v>1221.96231897556</v>
      </c>
      <c r="M740">
        <v>27.0845159028948</v>
      </c>
      <c r="N740">
        <v>45.2705256247256</v>
      </c>
      <c r="O740">
        <v>44.872840136514696</v>
      </c>
      <c r="P740">
        <v>-0.144261196049176</v>
      </c>
      <c r="Q740">
        <v>4.3978292865604403E-2</v>
      </c>
      <c r="R740">
        <v>0.99876942302011795</v>
      </c>
      <c r="S740" t="s">
        <v>7308</v>
      </c>
      <c r="T740" t="s">
        <v>13134</v>
      </c>
      <c r="U740" t="s">
        <v>13134</v>
      </c>
      <c r="V740" t="s">
        <v>13134</v>
      </c>
      <c r="W740" t="s">
        <v>13864</v>
      </c>
      <c r="X740">
        <v>5</v>
      </c>
      <c r="Y740" t="s">
        <v>20358</v>
      </c>
      <c r="Z740" t="s">
        <v>26708</v>
      </c>
      <c r="AA740">
        <v>0.309278781518877</v>
      </c>
      <c r="AB740" t="str">
        <f>HYPERLINK("Melting_Curves/meltCurve_F5H5R8_NAT1.pdf", "Melting_Curves/meltCurve_F5H5R8_NAT1.pdf")</f>
        <v>Melting_Curves/meltCurve_F5H5R8_NAT1.pdf</v>
      </c>
    </row>
    <row r="741" spans="1:28" x14ac:dyDescent="0.25">
      <c r="A741" t="s">
        <v>745</v>
      </c>
      <c r="B741">
        <v>0.99472303558308395</v>
      </c>
      <c r="C741">
        <v>1.0391400577384999</v>
      </c>
      <c r="D741">
        <v>0.81335615835897501</v>
      </c>
      <c r="E741">
        <v>0.69431378966863699</v>
      </c>
      <c r="F741">
        <v>0.431576203662553</v>
      </c>
      <c r="G741">
        <v>0.215398930121492</v>
      </c>
      <c r="H741">
        <v>0.11504317949553899</v>
      </c>
      <c r="I741">
        <v>7.4538388018137197E-2</v>
      </c>
      <c r="J741">
        <v>4.4437730005095502E-2</v>
      </c>
      <c r="K741">
        <v>4.9367430477187203E-2</v>
      </c>
      <c r="L741">
        <v>703.526219221416</v>
      </c>
      <c r="M741">
        <v>14.385957436877201</v>
      </c>
      <c r="N741">
        <v>49.031648584363097</v>
      </c>
      <c r="O741">
        <v>47.987839800608697</v>
      </c>
      <c r="P741">
        <v>-7.3573696992760299E-2</v>
      </c>
      <c r="Q741">
        <v>1.84254092332801E-2</v>
      </c>
      <c r="R741">
        <v>0.99244491061778495</v>
      </c>
      <c r="S741" t="s">
        <v>7309</v>
      </c>
      <c r="T741" t="s">
        <v>13134</v>
      </c>
      <c r="U741" t="s">
        <v>13134</v>
      </c>
      <c r="V741" t="s">
        <v>13134</v>
      </c>
      <c r="W741" t="s">
        <v>13865</v>
      </c>
      <c r="X741">
        <v>3</v>
      </c>
      <c r="Y741" t="s">
        <v>20359</v>
      </c>
      <c r="Z741" t="s">
        <v>26709</v>
      </c>
      <c r="AA741">
        <v>0.43049613975506229</v>
      </c>
      <c r="AB741" t="str">
        <f>HYPERLINK("Melting_Curves/meltCurve_F5H5U2_DDX55.pdf", "Melting_Curves/meltCurve_F5H5U2_DDX55.pdf")</f>
        <v>Melting_Curves/meltCurve_F5H5U2_DDX55.pdf</v>
      </c>
    </row>
    <row r="742" spans="1:28" x14ac:dyDescent="0.25">
      <c r="A742" t="s">
        <v>746</v>
      </c>
      <c r="B742">
        <v>0.99472303558308395</v>
      </c>
      <c r="C742">
        <v>0.97592490742178695</v>
      </c>
      <c r="D742">
        <v>0.48872402384681102</v>
      </c>
      <c r="E742">
        <v>0.29771545823022899</v>
      </c>
      <c r="F742">
        <v>8.3890561845086503E-2</v>
      </c>
      <c r="G742">
        <v>4.1799888933832997E-2</v>
      </c>
      <c r="H742">
        <v>2.7149399429651201E-2</v>
      </c>
      <c r="I742">
        <v>1.1561668109941199E-2</v>
      </c>
      <c r="J742">
        <v>1.5503035212947399E-2</v>
      </c>
      <c r="K742">
        <v>1.8845835652523998E-2</v>
      </c>
      <c r="L742">
        <v>910.98055892991397</v>
      </c>
      <c r="M742">
        <v>20.891152898327899</v>
      </c>
      <c r="N742">
        <v>43.706205422195602</v>
      </c>
      <c r="O742">
        <v>43.212405095935701</v>
      </c>
      <c r="P742">
        <v>-0.11804140135817701</v>
      </c>
      <c r="Q742">
        <v>2.33738329824652E-2</v>
      </c>
      <c r="R742">
        <v>0.98261446896954996</v>
      </c>
      <c r="S742" t="s">
        <v>7310</v>
      </c>
      <c r="T742" t="s">
        <v>13134</v>
      </c>
      <c r="U742" t="s">
        <v>13134</v>
      </c>
      <c r="V742" t="s">
        <v>13134</v>
      </c>
      <c r="W742" t="s">
        <v>13866</v>
      </c>
      <c r="X742">
        <v>3</v>
      </c>
      <c r="Y742" t="s">
        <v>20360</v>
      </c>
      <c r="Z742" t="s">
        <v>26710</v>
      </c>
      <c r="AA742">
        <v>0.25044101212705228</v>
      </c>
      <c r="AB742" t="str">
        <f>HYPERLINK("Melting_Curves/meltCurve_F5H5V6_KDM6A.pdf", "Melting_Curves/meltCurve_F5H5V6_KDM6A.pdf")</f>
        <v>Melting_Curves/meltCurve_F5H5V6_KDM6A.pdf</v>
      </c>
    </row>
    <row r="743" spans="1:28" x14ac:dyDescent="0.25">
      <c r="A743" t="s">
        <v>747</v>
      </c>
      <c r="B743">
        <v>0.99472303558308395</v>
      </c>
      <c r="C743">
        <v>1.0001894312405999</v>
      </c>
      <c r="D743">
        <v>0.97296574421666404</v>
      </c>
      <c r="E743">
        <v>0.82333491333960795</v>
      </c>
      <c r="F743">
        <v>0.32862288782302301</v>
      </c>
      <c r="G743">
        <v>0.111191633013639</v>
      </c>
      <c r="H743">
        <v>7.1673130690953005E-2</v>
      </c>
      <c r="I743">
        <v>5.0691815238138302E-2</v>
      </c>
      <c r="J743">
        <v>6.22775039590324E-2</v>
      </c>
      <c r="K743">
        <v>4.8645770406871201E-2</v>
      </c>
      <c r="L743">
        <v>1506.2472283678901</v>
      </c>
      <c r="M743">
        <v>30.885841378692501</v>
      </c>
      <c r="N743">
        <v>48.956875243297198</v>
      </c>
      <c r="O743">
        <v>48.565135932118999</v>
      </c>
      <c r="P743">
        <v>-0.15007266597778501</v>
      </c>
      <c r="Q743">
        <v>5.6103793085069201E-2</v>
      </c>
      <c r="R743">
        <v>0.999753755174559</v>
      </c>
      <c r="S743" t="s">
        <v>7311</v>
      </c>
      <c r="T743" t="s">
        <v>13134</v>
      </c>
      <c r="U743" t="s">
        <v>13134</v>
      </c>
      <c r="V743" t="s">
        <v>13134</v>
      </c>
      <c r="W743" t="s">
        <v>13867</v>
      </c>
      <c r="X743">
        <v>45</v>
      </c>
      <c r="Y743" t="s">
        <v>20361</v>
      </c>
      <c r="Z743" t="s">
        <v>26711</v>
      </c>
      <c r="AA743">
        <v>0.43171883993913901</v>
      </c>
      <c r="AB743" t="str">
        <f>HYPERLINK("Melting_Curves/meltCurve_F5H604_CLASP2.pdf", "Melting_Curves/meltCurve_F5H604_CLASP2.pdf")</f>
        <v>Melting_Curves/meltCurve_F5H604_CLASP2.pdf</v>
      </c>
    </row>
    <row r="744" spans="1:28" x14ac:dyDescent="0.25">
      <c r="A744" t="s">
        <v>748</v>
      </c>
      <c r="B744">
        <v>0.99472303558308395</v>
      </c>
      <c r="C744">
        <v>0.97410208693117395</v>
      </c>
      <c r="D744">
        <v>1.0164047655472901</v>
      </c>
      <c r="E744">
        <v>0.90880704694711001</v>
      </c>
      <c r="F744">
        <v>0.69313519440377203</v>
      </c>
      <c r="G744">
        <v>0.44709672533693501</v>
      </c>
      <c r="H744">
        <v>0.17244222337602999</v>
      </c>
      <c r="I744">
        <v>7.06804734422809E-2</v>
      </c>
      <c r="J744">
        <v>6.2095652073586999E-2</v>
      </c>
      <c r="K744">
        <v>6.2623134262761601E-2</v>
      </c>
      <c r="L744">
        <v>971.776960148743</v>
      </c>
      <c r="M744">
        <v>18.481194623679102</v>
      </c>
      <c r="N744">
        <v>52.720745520820202</v>
      </c>
      <c r="O744">
        <v>51.977897344910801</v>
      </c>
      <c r="P744">
        <v>-8.6782632187726402E-2</v>
      </c>
      <c r="Q744">
        <v>2.37475416197757E-2</v>
      </c>
      <c r="R744">
        <v>0.99697620278430199</v>
      </c>
      <c r="S744" t="s">
        <v>7312</v>
      </c>
      <c r="T744" t="s">
        <v>13134</v>
      </c>
      <c r="U744" t="s">
        <v>13134</v>
      </c>
      <c r="V744" t="s">
        <v>13134</v>
      </c>
      <c r="W744" t="s">
        <v>13868</v>
      </c>
      <c r="X744">
        <v>9</v>
      </c>
      <c r="Y744" t="s">
        <v>20362</v>
      </c>
      <c r="Z744" t="s">
        <v>26712</v>
      </c>
      <c r="AA744">
        <v>0.54475794094397545</v>
      </c>
      <c r="AB744" t="str">
        <f>HYPERLINK("Melting_Curves/meltCurve_F5H620_OXNAD1.pdf", "Melting_Curves/meltCurve_F5H620_OXNAD1.pdf")</f>
        <v>Melting_Curves/meltCurve_F5H620_OXNAD1.pdf</v>
      </c>
    </row>
    <row r="745" spans="1:28" x14ac:dyDescent="0.25">
      <c r="A745" t="s">
        <v>749</v>
      </c>
      <c r="B745">
        <v>0.99472303558308395</v>
      </c>
      <c r="C745">
        <v>0.99534634611543804</v>
      </c>
      <c r="D745">
        <v>0.93043907622277999</v>
      </c>
      <c r="E745">
        <v>0.70896860679668094</v>
      </c>
      <c r="F745">
        <v>0.19153204363192899</v>
      </c>
      <c r="G745">
        <v>0.13614359501802401</v>
      </c>
      <c r="H745">
        <v>8.1980131063586106E-2</v>
      </c>
      <c r="I745">
        <v>7.6934928508909206E-2</v>
      </c>
      <c r="J745">
        <v>9.9803809392012097E-2</v>
      </c>
      <c r="K745">
        <v>7.8075204389075697E-2</v>
      </c>
      <c r="L745">
        <v>1657.94850503206</v>
      </c>
      <c r="M745">
        <v>34.885787412083303</v>
      </c>
      <c r="N745">
        <v>47.790615947275299</v>
      </c>
      <c r="O745">
        <v>47.369691609792397</v>
      </c>
      <c r="P745">
        <v>-0.16789213132644701</v>
      </c>
      <c r="Q745">
        <v>8.8113472476545301E-2</v>
      </c>
      <c r="R745">
        <v>0.99729091500184797</v>
      </c>
      <c r="S745" t="s">
        <v>7313</v>
      </c>
      <c r="T745" t="s">
        <v>13134</v>
      </c>
      <c r="U745" t="s">
        <v>13134</v>
      </c>
      <c r="V745" t="s">
        <v>13134</v>
      </c>
      <c r="W745" t="s">
        <v>13869</v>
      </c>
      <c r="X745">
        <v>2</v>
      </c>
      <c r="Y745" t="s">
        <v>20363</v>
      </c>
      <c r="Z745" t="s">
        <v>26713</v>
      </c>
      <c r="AA745">
        <v>0.41198311585002051</v>
      </c>
      <c r="AB745" t="str">
        <f>HYPERLINK("Melting_Curves/meltCurve_F5H648_TAP1.pdf", "Melting_Curves/meltCurve_F5H648_TAP1.pdf")</f>
        <v>Melting_Curves/meltCurve_F5H648_TAP1.pdf</v>
      </c>
    </row>
    <row r="746" spans="1:28" x14ac:dyDescent="0.25">
      <c r="A746" t="s">
        <v>750</v>
      </c>
      <c r="B746">
        <v>0.99472303558308395</v>
      </c>
      <c r="C746">
        <v>0.85913491776833995</v>
      </c>
      <c r="D746">
        <v>0.61048795046724402</v>
      </c>
      <c r="E746">
        <v>0.32339824611100099</v>
      </c>
      <c r="F746">
        <v>0.18773004957227901</v>
      </c>
      <c r="G746">
        <v>0.107498447492254</v>
      </c>
      <c r="H746">
        <v>7.7304607527403604E-2</v>
      </c>
      <c r="I746">
        <v>6.9405023224920301E-2</v>
      </c>
      <c r="J746">
        <v>6.8154362777824898E-2</v>
      </c>
      <c r="K746">
        <v>5.7395616325724999E-2</v>
      </c>
      <c r="L746">
        <v>737.82883470746197</v>
      </c>
      <c r="M746">
        <v>16.769737437741</v>
      </c>
      <c r="N746">
        <v>44.353904307728001</v>
      </c>
      <c r="O746">
        <v>43.386277555621298</v>
      </c>
      <c r="P746">
        <v>-9.0547199555771896E-2</v>
      </c>
      <c r="Q746">
        <v>6.3014599667384999E-2</v>
      </c>
      <c r="R746">
        <v>0.99852891028489199</v>
      </c>
      <c r="S746" t="s">
        <v>7314</v>
      </c>
      <c r="T746" t="s">
        <v>13134</v>
      </c>
      <c r="U746" t="s">
        <v>13134</v>
      </c>
      <c r="V746" t="s">
        <v>13134</v>
      </c>
      <c r="W746" t="s">
        <v>13870</v>
      </c>
      <c r="X746">
        <v>34</v>
      </c>
      <c r="Y746" t="s">
        <v>20364</v>
      </c>
      <c r="Z746" t="s">
        <v>26714</v>
      </c>
      <c r="AA746">
        <v>0.29996133987010409</v>
      </c>
      <c r="AB746" t="str">
        <f>HYPERLINK("Melting_Curves/meltCurve_F5H698_LARS.pdf", "Melting_Curves/meltCurve_F5H698_LARS.pdf")</f>
        <v>Melting_Curves/meltCurve_F5H698_LARS.pdf</v>
      </c>
    </row>
    <row r="747" spans="1:28" x14ac:dyDescent="0.25">
      <c r="A747" t="s">
        <v>751</v>
      </c>
      <c r="B747">
        <v>0.99472303558308395</v>
      </c>
      <c r="C747">
        <v>0.95356589277312698</v>
      </c>
      <c r="D747">
        <v>0.63835678468471801</v>
      </c>
      <c r="E747">
        <v>0.37742856034359901</v>
      </c>
      <c r="F747">
        <v>0.113654061352896</v>
      </c>
      <c r="G747">
        <v>7.80005950721748E-2</v>
      </c>
      <c r="H747">
        <v>5.8237277207654099E-2</v>
      </c>
      <c r="I747">
        <v>0</v>
      </c>
      <c r="J747">
        <v>4.8669381854180502E-2</v>
      </c>
      <c r="K747">
        <v>4.1001593677397301E-2</v>
      </c>
      <c r="L747">
        <v>838.68849654751205</v>
      </c>
      <c r="M747">
        <v>18.766689683466598</v>
      </c>
      <c r="N747">
        <v>44.841180808633098</v>
      </c>
      <c r="O747">
        <v>44.192106811314801</v>
      </c>
      <c r="P747">
        <v>-0.102920825521279</v>
      </c>
      <c r="Q747">
        <v>3.0602067142935601E-2</v>
      </c>
      <c r="R747">
        <v>0.99365514762261098</v>
      </c>
      <c r="S747" t="s">
        <v>7315</v>
      </c>
      <c r="T747" t="s">
        <v>13134</v>
      </c>
      <c r="U747" t="s">
        <v>13134</v>
      </c>
      <c r="V747" t="s">
        <v>13134</v>
      </c>
      <c r="W747" t="s">
        <v>13871</v>
      </c>
      <c r="X747">
        <v>2</v>
      </c>
      <c r="Y747" t="s">
        <v>20365</v>
      </c>
      <c r="Z747" t="s">
        <v>26715</v>
      </c>
      <c r="AA747">
        <v>0.29374205229448652</v>
      </c>
      <c r="AB747" t="str">
        <f>HYPERLINK("Melting_Curves/meltCurve_F5H6U2_FAM60A.pdf", "Melting_Curves/meltCurve_F5H6U2_FAM60A.pdf")</f>
        <v>Melting_Curves/meltCurve_F5H6U2_FAM60A.pdf</v>
      </c>
    </row>
    <row r="748" spans="1:28" x14ac:dyDescent="0.25">
      <c r="A748" t="s">
        <v>752</v>
      </c>
      <c r="B748">
        <v>0.99472303558308395</v>
      </c>
      <c r="C748">
        <v>1.0710354837343501</v>
      </c>
      <c r="D748">
        <v>0.97009629919468399</v>
      </c>
      <c r="E748">
        <v>0.747221371221228</v>
      </c>
      <c r="F748">
        <v>0.71207370262219205</v>
      </c>
      <c r="G748">
        <v>0.38052951795604001</v>
      </c>
      <c r="H748">
        <v>0.30465013009546499</v>
      </c>
      <c r="I748">
        <v>0.23249223212409101</v>
      </c>
      <c r="J748">
        <v>0.200304712195263</v>
      </c>
      <c r="K748">
        <v>0.163504045430277</v>
      </c>
      <c r="L748">
        <v>732.77299220589703</v>
      </c>
      <c r="M748">
        <v>14.3188485980276</v>
      </c>
      <c r="N748">
        <v>52.446685522800102</v>
      </c>
      <c r="O748">
        <v>50.208306162748698</v>
      </c>
      <c r="P748">
        <v>-6.0850607989133498E-2</v>
      </c>
      <c r="Q748">
        <v>0.146625305188544</v>
      </c>
      <c r="R748">
        <v>0.97920386925747405</v>
      </c>
      <c r="S748" t="s">
        <v>7316</v>
      </c>
      <c r="T748" t="s">
        <v>13134</v>
      </c>
      <c r="U748" t="s">
        <v>13134</v>
      </c>
      <c r="V748" t="s">
        <v>13134</v>
      </c>
      <c r="W748" t="s">
        <v>13872</v>
      </c>
      <c r="X748">
        <v>4</v>
      </c>
      <c r="Y748" t="s">
        <v>20366</v>
      </c>
      <c r="Z748" t="s">
        <v>26716</v>
      </c>
      <c r="AA748">
        <v>0.56792276222128213</v>
      </c>
      <c r="AB748" t="str">
        <f>HYPERLINK("Melting_Curves/meltCurve_F5H6V0_KCTD10.pdf", "Melting_Curves/meltCurve_F5H6V0_KCTD10.pdf")</f>
        <v>Melting_Curves/meltCurve_F5H6V0_KCTD10.pdf</v>
      </c>
    </row>
    <row r="749" spans="1:28" x14ac:dyDescent="0.25">
      <c r="A749" t="s">
        <v>753</v>
      </c>
      <c r="B749">
        <v>0.99472303558308395</v>
      </c>
      <c r="C749">
        <v>1.38904666796669</v>
      </c>
      <c r="D749">
        <v>0.98718787131036201</v>
      </c>
      <c r="E749">
        <v>1.0581891820990601</v>
      </c>
      <c r="F749">
        <v>0.934874940979605</v>
      </c>
      <c r="G749">
        <v>0.3844642113815</v>
      </c>
      <c r="H749">
        <v>0.14555228364908099</v>
      </c>
      <c r="I749">
        <v>7.3198683784580595E-2</v>
      </c>
      <c r="J749">
        <v>5.1270133612214802E-2</v>
      </c>
      <c r="K749">
        <v>5.7430126656729398E-2</v>
      </c>
      <c r="L749">
        <v>2273.0387358787998</v>
      </c>
      <c r="M749">
        <v>42.871087726572497</v>
      </c>
      <c r="N749">
        <v>53.208912080610403</v>
      </c>
      <c r="O749">
        <v>52.905359856237801</v>
      </c>
      <c r="P749">
        <v>-0.18830536081619301</v>
      </c>
      <c r="Q749">
        <v>7.0483646942408495E-2</v>
      </c>
      <c r="R749">
        <v>0.93360601185616698</v>
      </c>
      <c r="S749" t="s">
        <v>7317</v>
      </c>
      <c r="T749" t="s">
        <v>13134</v>
      </c>
      <c r="U749" t="s">
        <v>13134</v>
      </c>
      <c r="V749" t="s">
        <v>13134</v>
      </c>
      <c r="W749" t="s">
        <v>13873</v>
      </c>
      <c r="X749">
        <v>11</v>
      </c>
      <c r="Y749" t="s">
        <v>20367</v>
      </c>
      <c r="Z749" t="s">
        <v>26717</v>
      </c>
      <c r="AA749">
        <v>0.5698097989161125</v>
      </c>
      <c r="AB749" t="str">
        <f>HYPERLINK("Melting_Curves/meltCurve_F5H715_AIDA.pdf", "Melting_Curves/meltCurve_F5H715_AIDA.pdf")</f>
        <v>Melting_Curves/meltCurve_F5H715_AIDA.pdf</v>
      </c>
    </row>
    <row r="750" spans="1:28" x14ac:dyDescent="0.25">
      <c r="A750" t="s">
        <v>754</v>
      </c>
      <c r="B750">
        <v>0.99472303558308395</v>
      </c>
      <c r="C750">
        <v>0.99306718501716296</v>
      </c>
      <c r="D750">
        <v>1.0365385412963799</v>
      </c>
      <c r="E750">
        <v>0.93194765215386899</v>
      </c>
      <c r="F750">
        <v>0.64467894937555903</v>
      </c>
      <c r="G750">
        <v>0.51833660006351601</v>
      </c>
      <c r="H750">
        <v>0.344034358237013</v>
      </c>
      <c r="I750">
        <v>0.370405686867676</v>
      </c>
      <c r="J750">
        <v>0.49087969564089801</v>
      </c>
      <c r="K750">
        <v>0.34788830264443499</v>
      </c>
      <c r="L750">
        <v>1367.676189776</v>
      </c>
      <c r="M750">
        <v>27.434958357437601</v>
      </c>
      <c r="N750">
        <v>52.811266317216798</v>
      </c>
      <c r="O750">
        <v>49.588994049290697</v>
      </c>
      <c r="P750">
        <v>-8.4019104261183405E-2</v>
      </c>
      <c r="Q750">
        <v>0.39254394273954601</v>
      </c>
      <c r="R750">
        <v>0.97153185431086198</v>
      </c>
      <c r="S750" t="s">
        <v>7318</v>
      </c>
      <c r="T750" t="s">
        <v>13134</v>
      </c>
      <c r="U750" t="s">
        <v>13134</v>
      </c>
      <c r="V750" t="s">
        <v>13134</v>
      </c>
      <c r="W750" t="s">
        <v>13874</v>
      </c>
      <c r="X750">
        <v>28</v>
      </c>
      <c r="Y750" t="s">
        <v>20368</v>
      </c>
      <c r="Z750" t="s">
        <v>26718</v>
      </c>
      <c r="AA750">
        <v>0.65720169866055145</v>
      </c>
      <c r="AB750" t="str">
        <f>HYPERLINK("Melting_Curves/meltCurve_F5H721_WBP11.pdf", "Melting_Curves/meltCurve_F5H721_WBP11.pdf")</f>
        <v>Melting_Curves/meltCurve_F5H721_WBP11.pdf</v>
      </c>
    </row>
    <row r="751" spans="1:28" x14ac:dyDescent="0.25">
      <c r="A751" t="s">
        <v>755</v>
      </c>
      <c r="B751">
        <v>0.99472303558308395</v>
      </c>
      <c r="C751">
        <v>1.18101421893402</v>
      </c>
      <c r="D751">
        <v>1.1561845984891701</v>
      </c>
      <c r="E751">
        <v>0.86193512619927004</v>
      </c>
      <c r="F751">
        <v>0.54243970223287896</v>
      </c>
      <c r="G751">
        <v>0.34695457469009799</v>
      </c>
      <c r="H751">
        <v>0.19356529424903701</v>
      </c>
      <c r="I751">
        <v>0.19005541543818599</v>
      </c>
      <c r="J751">
        <v>0.253025539661003</v>
      </c>
      <c r="K751">
        <v>0.17726269473548401</v>
      </c>
      <c r="L751">
        <v>1330.8915594336599</v>
      </c>
      <c r="M751">
        <v>26.7416749296614</v>
      </c>
      <c r="N751">
        <v>50.766175119760803</v>
      </c>
      <c r="O751">
        <v>49.492632700542003</v>
      </c>
      <c r="P751">
        <v>-0.10747139595746601</v>
      </c>
      <c r="Q751">
        <v>0.20438976196862799</v>
      </c>
      <c r="R751">
        <v>0.95603200015420997</v>
      </c>
      <c r="S751" t="s">
        <v>7319</v>
      </c>
      <c r="T751" t="s">
        <v>13134</v>
      </c>
      <c r="U751" t="s">
        <v>13134</v>
      </c>
      <c r="V751" t="s">
        <v>13134</v>
      </c>
      <c r="W751" t="s">
        <v>13875</v>
      </c>
      <c r="X751">
        <v>1</v>
      </c>
      <c r="Y751" t="s">
        <v>20369</v>
      </c>
      <c r="Z751" t="s">
        <v>26719</v>
      </c>
      <c r="AA751">
        <v>0.54910754714043297</v>
      </c>
      <c r="AB751" t="str">
        <f>HYPERLINK("Melting_Curves/meltCurve_F5H777_CCDC82.pdf", "Melting_Curves/meltCurve_F5H777_CCDC82.pdf")</f>
        <v>Melting_Curves/meltCurve_F5H777_CCDC82.pdf</v>
      </c>
    </row>
    <row r="752" spans="1:28" x14ac:dyDescent="0.25">
      <c r="A752" t="s">
        <v>756</v>
      </c>
      <c r="B752">
        <v>0.99472303558308395</v>
      </c>
      <c r="C752">
        <v>0.71545695609418103</v>
      </c>
      <c r="D752">
        <v>0.80216004834113197</v>
      </c>
      <c r="E752">
        <v>0.55764837241662502</v>
      </c>
      <c r="F752">
        <v>0.199402533942689</v>
      </c>
      <c r="G752">
        <v>0.12609005614281299</v>
      </c>
      <c r="H752">
        <v>7.5716156525933095E-2</v>
      </c>
      <c r="I752">
        <v>6.3999489068939402E-2</v>
      </c>
      <c r="J752">
        <v>6.05427854428921E-2</v>
      </c>
      <c r="K752">
        <v>0.101164284396861</v>
      </c>
      <c r="L752">
        <v>612.20937715521302</v>
      </c>
      <c r="M752">
        <v>13.2906247315203</v>
      </c>
      <c r="N752">
        <v>46.288319221354101</v>
      </c>
      <c r="O752">
        <v>45.0578741432615</v>
      </c>
      <c r="P752">
        <v>-7.1446156515817802E-2</v>
      </c>
      <c r="Q752">
        <v>3.1289725512212603E-2</v>
      </c>
      <c r="R752">
        <v>0.95473515247055096</v>
      </c>
      <c r="S752" t="s">
        <v>7320</v>
      </c>
      <c r="T752" t="s">
        <v>13134</v>
      </c>
      <c r="U752" t="s">
        <v>13134</v>
      </c>
      <c r="V752" t="s">
        <v>13134</v>
      </c>
      <c r="W752" t="s">
        <v>13876</v>
      </c>
      <c r="X752">
        <v>1</v>
      </c>
      <c r="Y752" t="s">
        <v>20370</v>
      </c>
      <c r="Z752" t="s">
        <v>26720</v>
      </c>
      <c r="AA752">
        <v>0.35181739402410289</v>
      </c>
      <c r="AB752" t="str">
        <f>HYPERLINK("Melting_Curves/meltCurve_F5H7B3_CDC14A.pdf", "Melting_Curves/meltCurve_F5H7B3_CDC14A.pdf")</f>
        <v>Melting_Curves/meltCurve_F5H7B3_CDC14A.pdf</v>
      </c>
    </row>
    <row r="753" spans="1:28" x14ac:dyDescent="0.25">
      <c r="A753" t="s">
        <v>757</v>
      </c>
      <c r="B753">
        <v>0.99472303558308395</v>
      </c>
      <c r="C753">
        <v>1.0308373857834201</v>
      </c>
      <c r="D753">
        <v>0.73089932399583102</v>
      </c>
      <c r="E753">
        <v>0.70625625382830703</v>
      </c>
      <c r="F753">
        <v>0.53769865704405995</v>
      </c>
      <c r="G753">
        <v>0.35228019488030199</v>
      </c>
      <c r="H753">
        <v>0.26030603229730098</v>
      </c>
      <c r="I753">
        <v>0.26847836234696898</v>
      </c>
      <c r="J753">
        <v>0.29451205782450002</v>
      </c>
      <c r="K753">
        <v>0.312630435371823</v>
      </c>
      <c r="L753">
        <v>632.63954506794505</v>
      </c>
      <c r="M753">
        <v>13.3673614153037</v>
      </c>
      <c r="N753">
        <v>49.976424510438598</v>
      </c>
      <c r="O753">
        <v>46.305637632814502</v>
      </c>
      <c r="P753">
        <v>-5.3858734771169002E-2</v>
      </c>
      <c r="Q753">
        <v>0.25383394376020602</v>
      </c>
      <c r="R753">
        <v>0.96070621936744804</v>
      </c>
      <c r="S753" t="s">
        <v>7321</v>
      </c>
      <c r="T753" t="s">
        <v>13134</v>
      </c>
      <c r="U753" t="s">
        <v>13134</v>
      </c>
      <c r="V753" t="s">
        <v>13134</v>
      </c>
      <c r="W753" t="s">
        <v>13877</v>
      </c>
      <c r="X753">
        <v>1</v>
      </c>
      <c r="Y753" t="s">
        <v>20371</v>
      </c>
      <c r="Z753" t="s">
        <v>26721</v>
      </c>
      <c r="AA753">
        <v>0.53099617771117946</v>
      </c>
      <c r="AB753" t="str">
        <f>HYPERLINK("Melting_Curves/meltCurve_F5H7F6_MGST1.pdf", "Melting_Curves/meltCurve_F5H7F6_MGST1.pdf")</f>
        <v>Melting_Curves/meltCurve_F5H7F6_MGST1.pdf</v>
      </c>
    </row>
    <row r="754" spans="1:28" x14ac:dyDescent="0.25">
      <c r="A754" t="s">
        <v>758</v>
      </c>
      <c r="B754">
        <v>0.99472303558308395</v>
      </c>
      <c r="C754">
        <v>0.51068111498052104</v>
      </c>
      <c r="D754">
        <v>1.02833887995272</v>
      </c>
      <c r="E754">
        <v>0.31899965793891899</v>
      </c>
      <c r="F754">
        <v>0.120263774157516</v>
      </c>
      <c r="G754">
        <v>5.5087704863791997E-2</v>
      </c>
      <c r="H754">
        <v>6.2795046540249297E-2</v>
      </c>
      <c r="I754">
        <v>3.6820192413916701E-2</v>
      </c>
      <c r="J754">
        <v>6.5634877782004206E-2</v>
      </c>
      <c r="K754">
        <v>4.2575749721780298E-2</v>
      </c>
      <c r="L754">
        <v>5562.4407541553301</v>
      </c>
      <c r="M754">
        <v>120.34717779055499</v>
      </c>
      <c r="N754">
        <v>46.272476372699302</v>
      </c>
      <c r="O754">
        <v>46.207192753910803</v>
      </c>
      <c r="P754">
        <v>-0.60955540292188404</v>
      </c>
      <c r="Q754">
        <v>6.3846986947253007E-2</v>
      </c>
      <c r="R754">
        <v>0.82411575037360796</v>
      </c>
      <c r="S754" t="s">
        <v>7322</v>
      </c>
      <c r="T754" t="s">
        <v>13134</v>
      </c>
      <c r="U754" t="s">
        <v>13134</v>
      </c>
      <c r="V754" t="s">
        <v>13134</v>
      </c>
      <c r="W754" t="s">
        <v>13878</v>
      </c>
      <c r="X754">
        <v>2</v>
      </c>
      <c r="Y754" t="s">
        <v>20372</v>
      </c>
      <c r="Z754" t="s">
        <v>26722</v>
      </c>
      <c r="AA754">
        <v>0.3518844348912733</v>
      </c>
      <c r="AB754" t="str">
        <f>HYPERLINK("Melting_Curves/meltCurve_F5H7I4_GABPB1.pdf", "Melting_Curves/meltCurve_F5H7I4_GABPB1.pdf")</f>
        <v>Melting_Curves/meltCurve_F5H7I4_GABPB1.pdf</v>
      </c>
    </row>
    <row r="755" spans="1:28" x14ac:dyDescent="0.25">
      <c r="A755" t="s">
        <v>759</v>
      </c>
      <c r="B755">
        <v>0.99472303558308395</v>
      </c>
      <c r="C755">
        <v>0.92331357791545499</v>
      </c>
      <c r="D755">
        <v>0.84019401052128495</v>
      </c>
      <c r="E755">
        <v>0.65703798547065495</v>
      </c>
      <c r="F755">
        <v>0.22131294303597299</v>
      </c>
      <c r="G755">
        <v>9.5588939256994104E-2</v>
      </c>
      <c r="H755">
        <v>6.6521614344622004E-2</v>
      </c>
      <c r="I755">
        <v>4.7350682747293801E-2</v>
      </c>
      <c r="J755">
        <v>5.10013606519353E-2</v>
      </c>
      <c r="K755">
        <v>3.6734303167809602E-2</v>
      </c>
      <c r="L755">
        <v>968.55159129507695</v>
      </c>
      <c r="M755">
        <v>20.451406902873799</v>
      </c>
      <c r="N755">
        <v>47.516123218012098</v>
      </c>
      <c r="O755">
        <v>46.912864971495203</v>
      </c>
      <c r="P755">
        <v>-0.105418861384242</v>
      </c>
      <c r="Q755">
        <v>3.27604440370046E-2</v>
      </c>
      <c r="R755">
        <v>0.99212970945540302</v>
      </c>
      <c r="S755" t="s">
        <v>7323</v>
      </c>
      <c r="T755" t="s">
        <v>13134</v>
      </c>
      <c r="U755" t="s">
        <v>13134</v>
      </c>
      <c r="V755" t="s">
        <v>13134</v>
      </c>
      <c r="W755" t="s">
        <v>13879</v>
      </c>
      <c r="X755">
        <v>15</v>
      </c>
      <c r="Y755" t="s">
        <v>20373</v>
      </c>
      <c r="Z755" t="s">
        <v>26723</v>
      </c>
      <c r="AA755">
        <v>0.378879138613408</v>
      </c>
      <c r="AB755" t="str">
        <f>HYPERLINK("Melting_Curves/meltCurve_F5H7J5_RPTOR.pdf", "Melting_Curves/meltCurve_F5H7J5_RPTOR.pdf")</f>
        <v>Melting_Curves/meltCurve_F5H7J5_RPTOR.pdf</v>
      </c>
    </row>
    <row r="756" spans="1:28" x14ac:dyDescent="0.25">
      <c r="A756" t="s">
        <v>760</v>
      </c>
      <c r="B756">
        <v>0.99472303558308395</v>
      </c>
      <c r="C756">
        <v>0.97821244728483003</v>
      </c>
      <c r="D756">
        <v>0.59214438359268895</v>
      </c>
      <c r="E756">
        <v>0.407544965530237</v>
      </c>
      <c r="F756">
        <v>0.284844217249974</v>
      </c>
      <c r="G756">
        <v>0.181943466285406</v>
      </c>
      <c r="H756">
        <v>0.116064145415934</v>
      </c>
      <c r="I756">
        <v>8.4282557863185295E-2</v>
      </c>
      <c r="J756">
        <v>8.3789564873891803E-2</v>
      </c>
      <c r="K756">
        <v>9.0609914799069505E-2</v>
      </c>
      <c r="L756">
        <v>690.58265667800094</v>
      </c>
      <c r="M756">
        <v>15.446269890059</v>
      </c>
      <c r="N756">
        <v>45.3082640859054</v>
      </c>
      <c r="O756">
        <v>43.979437054620497</v>
      </c>
      <c r="P756">
        <v>-7.9695207345974906E-2</v>
      </c>
      <c r="Q756">
        <v>9.2432111171874901E-2</v>
      </c>
      <c r="R756">
        <v>0.98004935084281497</v>
      </c>
      <c r="S756" t="s">
        <v>7324</v>
      </c>
      <c r="T756" t="s">
        <v>13134</v>
      </c>
      <c r="U756" t="s">
        <v>13134</v>
      </c>
      <c r="V756" t="s">
        <v>13134</v>
      </c>
      <c r="W756" t="s">
        <v>13880</v>
      </c>
      <c r="X756">
        <v>4</v>
      </c>
      <c r="Y756" t="s">
        <v>20374</v>
      </c>
      <c r="Z756" t="s">
        <v>26724</v>
      </c>
      <c r="AA756">
        <v>0.34620558968829052</v>
      </c>
      <c r="AB756" t="str">
        <f>HYPERLINK("Melting_Curves/meltCurve_F5H7K2_MGA.pdf", "Melting_Curves/meltCurve_F5H7K2_MGA.pdf")</f>
        <v>Melting_Curves/meltCurve_F5H7K2_MGA.pdf</v>
      </c>
    </row>
    <row r="757" spans="1:28" x14ac:dyDescent="0.25">
      <c r="A757" t="s">
        <v>761</v>
      </c>
      <c r="B757">
        <v>0.99472303558308395</v>
      </c>
      <c r="C757">
        <v>1.0838597613878</v>
      </c>
      <c r="D757">
        <v>0.88838983305825503</v>
      </c>
      <c r="E757">
        <v>0.82405749926760996</v>
      </c>
      <c r="F757">
        <v>0.73902799136456798</v>
      </c>
      <c r="G757">
        <v>0.37463517112379902</v>
      </c>
      <c r="H757">
        <v>0.28915776306139601</v>
      </c>
      <c r="I757">
        <v>0.14371357231826501</v>
      </c>
      <c r="J757">
        <v>0.12737397496057801</v>
      </c>
      <c r="K757">
        <v>0.115935044438465</v>
      </c>
      <c r="L757">
        <v>764.04464643185395</v>
      </c>
      <c r="M757">
        <v>14.648166880217</v>
      </c>
      <c r="N757">
        <v>52.684770900005198</v>
      </c>
      <c r="O757">
        <v>51.216549938778897</v>
      </c>
      <c r="P757">
        <v>-6.6652857191570505E-2</v>
      </c>
      <c r="Q757">
        <v>6.7910400250209502E-2</v>
      </c>
      <c r="R757">
        <v>0.98064146724645895</v>
      </c>
      <c r="S757" t="s">
        <v>7325</v>
      </c>
      <c r="T757" t="s">
        <v>13134</v>
      </c>
      <c r="U757" t="s">
        <v>13134</v>
      </c>
      <c r="V757" t="s">
        <v>13134</v>
      </c>
      <c r="W757" t="s">
        <v>13881</v>
      </c>
      <c r="X757">
        <v>2</v>
      </c>
      <c r="Y757" t="s">
        <v>20375</v>
      </c>
      <c r="Z757" t="s">
        <v>26725</v>
      </c>
      <c r="AA757">
        <v>0.55705164448096789</v>
      </c>
      <c r="AB757" t="str">
        <f>HYPERLINK("Melting_Curves/meltCurve_F5H7N9_MFGE8.pdf", "Melting_Curves/meltCurve_F5H7N9_MFGE8.pdf")</f>
        <v>Melting_Curves/meltCurve_F5H7N9_MFGE8.pdf</v>
      </c>
    </row>
    <row r="758" spans="1:28" x14ac:dyDescent="0.25">
      <c r="A758" t="s">
        <v>762</v>
      </c>
      <c r="B758">
        <v>0.99472303558308395</v>
      </c>
      <c r="C758">
        <v>0.96976213031284397</v>
      </c>
      <c r="D758">
        <v>0.84854723414962596</v>
      </c>
      <c r="E758">
        <v>0.72511495126088399</v>
      </c>
      <c r="F758">
        <v>0.47102129623287198</v>
      </c>
      <c r="G758">
        <v>0.143476287800437</v>
      </c>
      <c r="H758">
        <v>8.7752316212624804E-2</v>
      </c>
      <c r="I758">
        <v>5.8402482102031403E-2</v>
      </c>
      <c r="J758">
        <v>6.2716050925334194E-2</v>
      </c>
      <c r="K758">
        <v>5.3244954810852799E-2</v>
      </c>
      <c r="L758">
        <v>808.53137844747801</v>
      </c>
      <c r="M758">
        <v>16.489160685393301</v>
      </c>
      <c r="N758">
        <v>49.173722396449001</v>
      </c>
      <c r="O758">
        <v>48.329954443970102</v>
      </c>
      <c r="P758">
        <v>-8.3350062468397199E-2</v>
      </c>
      <c r="Q758">
        <v>2.2867683400254302E-2</v>
      </c>
      <c r="R758">
        <v>0.99187093823650996</v>
      </c>
      <c r="S758" t="s">
        <v>7326</v>
      </c>
      <c r="T758" t="s">
        <v>13134</v>
      </c>
      <c r="U758" t="s">
        <v>13134</v>
      </c>
      <c r="V758" t="s">
        <v>13134</v>
      </c>
      <c r="W758" t="s">
        <v>13882</v>
      </c>
      <c r="X758">
        <v>14</v>
      </c>
      <c r="Y758" t="s">
        <v>20376</v>
      </c>
      <c r="Z758" t="s">
        <v>26726</v>
      </c>
      <c r="AA758">
        <v>0.43286002282440877</v>
      </c>
      <c r="AB758" t="str">
        <f>HYPERLINK("Melting_Curves/meltCurve_F5H801_OGDH.pdf", "Melting_Curves/meltCurve_F5H801_OGDH.pdf")</f>
        <v>Melting_Curves/meltCurve_F5H801_OGDH.pdf</v>
      </c>
    </row>
    <row r="759" spans="1:28" x14ac:dyDescent="0.25">
      <c r="A759" t="s">
        <v>763</v>
      </c>
      <c r="B759">
        <v>0.99472303558308395</v>
      </c>
      <c r="C759">
        <v>0.99212789959514602</v>
      </c>
      <c r="D759">
        <v>0.845894625236286</v>
      </c>
      <c r="E759">
        <v>0.46687931064126098</v>
      </c>
      <c r="F759">
        <v>0.37141924018023798</v>
      </c>
      <c r="G759">
        <v>0.15863301978563699</v>
      </c>
      <c r="H759">
        <v>0.14977827916862199</v>
      </c>
      <c r="I759">
        <v>3.8835796338096903E-2</v>
      </c>
      <c r="J759">
        <v>7.8671640468134199E-2</v>
      </c>
      <c r="K759">
        <v>7.7865673320667003E-2</v>
      </c>
      <c r="L759">
        <v>751.17332727619998</v>
      </c>
      <c r="M759">
        <v>16.061998465484901</v>
      </c>
      <c r="N759">
        <v>47.195533179127104</v>
      </c>
      <c r="O759">
        <v>46.060212177039197</v>
      </c>
      <c r="P759">
        <v>-8.1271746305259907E-2</v>
      </c>
      <c r="Q759">
        <v>6.7835993272386194E-2</v>
      </c>
      <c r="R759">
        <v>0.98633941292190597</v>
      </c>
      <c r="S759" t="s">
        <v>7327</v>
      </c>
      <c r="T759" t="s">
        <v>13134</v>
      </c>
      <c r="U759" t="s">
        <v>13134</v>
      </c>
      <c r="V759" t="s">
        <v>13134</v>
      </c>
      <c r="W759" t="s">
        <v>13883</v>
      </c>
      <c r="X759">
        <v>1</v>
      </c>
      <c r="Y759" t="s">
        <v>20377</v>
      </c>
      <c r="Z759" t="s">
        <v>26727</v>
      </c>
      <c r="AA759">
        <v>0.38992121689226622</v>
      </c>
      <c r="AB759" t="str">
        <f>HYPERLINK("Melting_Curves/meltCurve_F5H827_POMGNT1.pdf", "Melting_Curves/meltCurve_F5H827_POMGNT1.pdf")</f>
        <v>Melting_Curves/meltCurve_F5H827_POMGNT1.pdf</v>
      </c>
    </row>
    <row r="760" spans="1:28" x14ac:dyDescent="0.25">
      <c r="A760" t="s">
        <v>764</v>
      </c>
      <c r="B760">
        <v>0.99472303558308395</v>
      </c>
      <c r="C760">
        <v>0.94108054498125004</v>
      </c>
      <c r="D760">
        <v>0.992282809714226</v>
      </c>
      <c r="E760">
        <v>0.81532411918486702</v>
      </c>
      <c r="F760">
        <v>0.70548639464186003</v>
      </c>
      <c r="G760">
        <v>0.48193227462358201</v>
      </c>
      <c r="H760">
        <v>0.16473574598156901</v>
      </c>
      <c r="I760">
        <v>7.4404355093233496E-2</v>
      </c>
      <c r="J760">
        <v>0.100003434564421</v>
      </c>
      <c r="K760">
        <v>8.00848878760239E-2</v>
      </c>
      <c r="L760">
        <v>817.86411134676302</v>
      </c>
      <c r="M760">
        <v>15.5468690240792</v>
      </c>
      <c r="N760">
        <v>52.714062768003799</v>
      </c>
      <c r="O760">
        <v>51.759042173594501</v>
      </c>
      <c r="P760">
        <v>-7.3925064103859198E-2</v>
      </c>
      <c r="Q760">
        <v>1.56334110412427E-2</v>
      </c>
      <c r="R760">
        <v>0.98666484467308302</v>
      </c>
      <c r="S760" t="s">
        <v>7328</v>
      </c>
      <c r="T760" t="s">
        <v>13134</v>
      </c>
      <c r="U760" t="s">
        <v>13134</v>
      </c>
      <c r="V760" t="s">
        <v>13134</v>
      </c>
      <c r="W760" t="s">
        <v>13884</v>
      </c>
      <c r="X760">
        <v>8</v>
      </c>
      <c r="Y760" t="s">
        <v>20378</v>
      </c>
      <c r="Z760" t="s">
        <v>26728</v>
      </c>
      <c r="AA760">
        <v>0.5451373044141542</v>
      </c>
      <c r="AB760" t="str">
        <f>HYPERLINK("Melting_Curves/meltCurve_F5H860_INPP4A.pdf", "Melting_Curves/meltCurve_F5H860_INPP4A.pdf")</f>
        <v>Melting_Curves/meltCurve_F5H860_INPP4A.pdf</v>
      </c>
    </row>
    <row r="761" spans="1:28" x14ac:dyDescent="0.25">
      <c r="A761" t="s">
        <v>765</v>
      </c>
      <c r="B761">
        <v>0.99472303558308395</v>
      </c>
      <c r="C761">
        <v>0.998403762381736</v>
      </c>
      <c r="D761">
        <v>0.79377047309947102</v>
      </c>
      <c r="E761">
        <v>0.76906334204701998</v>
      </c>
      <c r="F761">
        <v>1.01254048996233</v>
      </c>
      <c r="G761">
        <v>0.72118704558428604</v>
      </c>
      <c r="H761">
        <v>0.55439951870563697</v>
      </c>
      <c r="I761">
        <v>0.41105574312252602</v>
      </c>
      <c r="J761">
        <v>0.47265353932902998</v>
      </c>
      <c r="K761">
        <v>0.39803600128077399</v>
      </c>
      <c r="L761">
        <v>374.97202636319798</v>
      </c>
      <c r="M761">
        <v>6.1146745813121299</v>
      </c>
      <c r="N761">
        <v>61.323300404208901</v>
      </c>
      <c r="O761">
        <v>55.7352610826551</v>
      </c>
      <c r="P761">
        <v>-2.75103247579573E-2</v>
      </c>
      <c r="Q761">
        <v>0</v>
      </c>
      <c r="R761">
        <v>0.82617333061693299</v>
      </c>
      <c r="S761" t="s">
        <v>7329</v>
      </c>
      <c r="T761" t="s">
        <v>13134</v>
      </c>
      <c r="U761" t="s">
        <v>13134</v>
      </c>
      <c r="V761" t="s">
        <v>13134</v>
      </c>
      <c r="W761" t="s">
        <v>13885</v>
      </c>
      <c r="X761">
        <v>1</v>
      </c>
      <c r="Y761" t="s">
        <v>20379</v>
      </c>
      <c r="Z761" t="s">
        <v>26729</v>
      </c>
      <c r="AA761">
        <v>0.7233177656848625</v>
      </c>
      <c r="AB761" t="str">
        <f>HYPERLINK("Melting_Curves/meltCurve_F5H872_MED21.pdf", "Melting_Curves/meltCurve_F5H872_MED21.pdf")</f>
        <v>Melting_Curves/meltCurve_F5H872_MED21.pdf</v>
      </c>
    </row>
    <row r="762" spans="1:28" x14ac:dyDescent="0.25">
      <c r="A762" t="s">
        <v>766</v>
      </c>
      <c r="B762">
        <v>0.99472303558308395</v>
      </c>
      <c r="C762">
        <v>0.96666122969071699</v>
      </c>
      <c r="D762">
        <v>1.01246751444886</v>
      </c>
      <c r="E762">
        <v>0.94630966859850296</v>
      </c>
      <c r="F762">
        <v>0.748469942345657</v>
      </c>
      <c r="G762">
        <v>0.58261562438089498</v>
      </c>
      <c r="H762">
        <v>0.18486315720684901</v>
      </c>
      <c r="I762">
        <v>6.0229165085093302E-2</v>
      </c>
      <c r="J762">
        <v>5.5789038361300503E-2</v>
      </c>
      <c r="K762">
        <v>5.3897050106816301E-2</v>
      </c>
      <c r="L762">
        <v>1048.83085519324</v>
      </c>
      <c r="M762">
        <v>19.477626697847899</v>
      </c>
      <c r="N762">
        <v>53.859957655932497</v>
      </c>
      <c r="O762">
        <v>53.290009031056002</v>
      </c>
      <c r="P762">
        <v>-9.11814257474277E-2</v>
      </c>
      <c r="Q762">
        <v>2.1610992793599502E-3</v>
      </c>
      <c r="R762">
        <v>0.99079994281200501</v>
      </c>
      <c r="S762" t="s">
        <v>7330</v>
      </c>
      <c r="T762" t="s">
        <v>13134</v>
      </c>
      <c r="U762" t="s">
        <v>13134</v>
      </c>
      <c r="V762" t="s">
        <v>13134</v>
      </c>
      <c r="W762" t="s">
        <v>13886</v>
      </c>
      <c r="X762">
        <v>39</v>
      </c>
      <c r="Y762" t="s">
        <v>20380</v>
      </c>
      <c r="Z762" t="s">
        <v>26730</v>
      </c>
      <c r="AA762">
        <v>0.5751267487952969</v>
      </c>
      <c r="AB762" t="str">
        <f>HYPERLINK("Melting_Curves/meltCurve_F5H897_TRAP1.pdf", "Melting_Curves/meltCurve_F5H897_TRAP1.pdf")</f>
        <v>Melting_Curves/meltCurve_F5H897_TRAP1.pdf</v>
      </c>
    </row>
    <row r="763" spans="1:28" x14ac:dyDescent="0.25">
      <c r="A763" t="s">
        <v>767</v>
      </c>
      <c r="B763">
        <v>0.99472303558308395</v>
      </c>
      <c r="C763">
        <v>0.99442341381050103</v>
      </c>
      <c r="D763">
        <v>0.96024507234143297</v>
      </c>
      <c r="E763">
        <v>0.59421346064335301</v>
      </c>
      <c r="F763">
        <v>0.22244016200754699</v>
      </c>
      <c r="G763">
        <v>0.12021657400806</v>
      </c>
      <c r="H763">
        <v>8.0473127342586701E-2</v>
      </c>
      <c r="I763">
        <v>6.6115957674703602E-2</v>
      </c>
      <c r="J763">
        <v>7.6549576822514995E-2</v>
      </c>
      <c r="K763">
        <v>6.4497481744726096E-2</v>
      </c>
      <c r="L763">
        <v>1299.8207207120399</v>
      </c>
      <c r="M763">
        <v>27.597438778927199</v>
      </c>
      <c r="N763">
        <v>47.3752306965266</v>
      </c>
      <c r="O763">
        <v>46.854096643480503</v>
      </c>
      <c r="P763">
        <v>-0.13632191804021099</v>
      </c>
      <c r="Q763">
        <v>7.4235354082479499E-2</v>
      </c>
      <c r="R763">
        <v>0.99926646360679094</v>
      </c>
      <c r="S763" t="s">
        <v>7331</v>
      </c>
      <c r="T763" t="s">
        <v>13134</v>
      </c>
      <c r="U763" t="s">
        <v>13134</v>
      </c>
      <c r="V763" t="s">
        <v>13134</v>
      </c>
      <c r="W763" t="s">
        <v>13887</v>
      </c>
      <c r="X763">
        <v>17</v>
      </c>
      <c r="Y763" t="s">
        <v>20381</v>
      </c>
      <c r="Z763" t="s">
        <v>26731</v>
      </c>
      <c r="AA763">
        <v>0.39226926416385011</v>
      </c>
      <c r="AB763" t="str">
        <f>HYPERLINK("Melting_Curves/meltCurve_F5H8D7_XRCC1.pdf", "Melting_Curves/meltCurve_F5H8D7_XRCC1.pdf")</f>
        <v>Melting_Curves/meltCurve_F5H8D7_XRCC1.pdf</v>
      </c>
    </row>
    <row r="764" spans="1:28" x14ac:dyDescent="0.25">
      <c r="A764" t="s">
        <v>768</v>
      </c>
      <c r="B764">
        <v>0.99472303558308395</v>
      </c>
      <c r="C764">
        <v>0.988934227400039</v>
      </c>
      <c r="D764">
        <v>0.92193719268225804</v>
      </c>
      <c r="E764">
        <v>0.79385259243041095</v>
      </c>
      <c r="F764">
        <v>0.62754754930914802</v>
      </c>
      <c r="G764">
        <v>0.43888181926208902</v>
      </c>
      <c r="H764">
        <v>0.24124161870358199</v>
      </c>
      <c r="I764">
        <v>0.111013190459262</v>
      </c>
      <c r="J764">
        <v>9.5928683561418801E-2</v>
      </c>
      <c r="K764">
        <v>8.9454673945238997E-2</v>
      </c>
      <c r="L764">
        <v>634.181434088012</v>
      </c>
      <c r="M764">
        <v>12.1424458691565</v>
      </c>
      <c r="N764">
        <v>52.228475291999601</v>
      </c>
      <c r="O764">
        <v>50.872431558266904</v>
      </c>
      <c r="P764">
        <v>-5.9684792858221897E-2</v>
      </c>
      <c r="Q764">
        <v>0</v>
      </c>
      <c r="R764">
        <v>0.99734631329872503</v>
      </c>
      <c r="S764" t="s">
        <v>7332</v>
      </c>
      <c r="T764" t="s">
        <v>13134</v>
      </c>
      <c r="U764" t="s">
        <v>13134</v>
      </c>
      <c r="V764" t="s">
        <v>13134</v>
      </c>
      <c r="W764" t="s">
        <v>13888</v>
      </c>
      <c r="X764">
        <v>11</v>
      </c>
      <c r="Y764" t="s">
        <v>20382</v>
      </c>
      <c r="Z764" t="s">
        <v>26732</v>
      </c>
      <c r="AA764">
        <v>0.53059673422004816</v>
      </c>
      <c r="AB764" t="str">
        <f>HYPERLINK("Melting_Curves/meltCurve_F5H8H2_MVK.pdf", "Melting_Curves/meltCurve_F5H8H2_MVK.pdf")</f>
        <v>Melting_Curves/meltCurve_F5H8H2_MVK.pdf</v>
      </c>
    </row>
    <row r="765" spans="1:28" x14ac:dyDescent="0.25">
      <c r="A765" t="s">
        <v>769</v>
      </c>
      <c r="B765">
        <v>0.99472303558308395</v>
      </c>
      <c r="C765">
        <v>1.0138574583200599</v>
      </c>
      <c r="D765">
        <v>0.90461680363261698</v>
      </c>
      <c r="E765">
        <v>0.73653179126363999</v>
      </c>
      <c r="F765">
        <v>0.496931970693342</v>
      </c>
      <c r="G765">
        <v>0.13356281714592</v>
      </c>
      <c r="H765">
        <v>9.06206666372254E-2</v>
      </c>
      <c r="I765">
        <v>4.2876427350658899E-2</v>
      </c>
      <c r="J765">
        <v>6.2391160437672399E-2</v>
      </c>
      <c r="K765">
        <v>4.9901985944719798E-2</v>
      </c>
      <c r="L765">
        <v>926.93304022256098</v>
      </c>
      <c r="M765">
        <v>18.788955501884502</v>
      </c>
      <c r="N765">
        <v>49.485191405484201</v>
      </c>
      <c r="O765">
        <v>48.785277615245398</v>
      </c>
      <c r="P765">
        <v>-9.36009581566037E-2</v>
      </c>
      <c r="Q765">
        <v>2.7905834647229899E-2</v>
      </c>
      <c r="R765">
        <v>0.99311862711766397</v>
      </c>
      <c r="S765" t="s">
        <v>7333</v>
      </c>
      <c r="T765" t="s">
        <v>13134</v>
      </c>
      <c r="U765" t="s">
        <v>13134</v>
      </c>
      <c r="V765" t="s">
        <v>13134</v>
      </c>
      <c r="W765" t="s">
        <v>13889</v>
      </c>
      <c r="X765">
        <v>8</v>
      </c>
      <c r="Y765" t="s">
        <v>20383</v>
      </c>
      <c r="Z765" t="s">
        <v>26733</v>
      </c>
      <c r="AA765">
        <v>0.44187746260651739</v>
      </c>
      <c r="AB765" t="str">
        <f>HYPERLINK("Melting_Curves/meltCurve_F5H8J3_CLPTM1.pdf", "Melting_Curves/meltCurve_F5H8J3_CLPTM1.pdf")</f>
        <v>Melting_Curves/meltCurve_F5H8J3_CLPTM1.pdf</v>
      </c>
    </row>
    <row r="766" spans="1:28" x14ac:dyDescent="0.25">
      <c r="A766" t="s">
        <v>770</v>
      </c>
      <c r="B766">
        <v>0.99472303558308395</v>
      </c>
      <c r="C766">
        <v>1.0346379753609001</v>
      </c>
      <c r="D766">
        <v>0.97754256324744804</v>
      </c>
      <c r="E766">
        <v>0.88759499580609003</v>
      </c>
      <c r="F766">
        <v>0.74407160362531</v>
      </c>
      <c r="G766">
        <v>0.50067320020778106</v>
      </c>
      <c r="H766">
        <v>0.28250163519794003</v>
      </c>
      <c r="I766">
        <v>0.190950742443765</v>
      </c>
      <c r="J766">
        <v>0.16234224780509601</v>
      </c>
      <c r="K766">
        <v>0.15762278475237801</v>
      </c>
      <c r="L766">
        <v>888.23604837267806</v>
      </c>
      <c r="M766">
        <v>16.848026835456501</v>
      </c>
      <c r="N766">
        <v>53.595349249552903</v>
      </c>
      <c r="O766">
        <v>51.994560826194501</v>
      </c>
      <c r="P766">
        <v>-7.1274185729720593E-2</v>
      </c>
      <c r="Q766">
        <v>0.120221731019562</v>
      </c>
      <c r="R766">
        <v>0.99762287426860996</v>
      </c>
      <c r="S766" t="s">
        <v>7334</v>
      </c>
      <c r="T766" t="s">
        <v>13134</v>
      </c>
      <c r="U766" t="s">
        <v>13134</v>
      </c>
      <c r="V766" t="s">
        <v>13134</v>
      </c>
      <c r="W766" t="s">
        <v>13890</v>
      </c>
      <c r="X766">
        <v>4</v>
      </c>
      <c r="Y766" t="s">
        <v>20384</v>
      </c>
      <c r="Z766" t="s">
        <v>26734</v>
      </c>
      <c r="AA766">
        <v>0.59533097238515964</v>
      </c>
      <c r="AB766" t="str">
        <f>HYPERLINK("Melting_Curves/meltCurve_F6PQP6_EPN2.pdf", "Melting_Curves/meltCurve_F6PQP6_EPN2.pdf")</f>
        <v>Melting_Curves/meltCurve_F6PQP6_EPN2.pdf</v>
      </c>
    </row>
    <row r="767" spans="1:28" x14ac:dyDescent="0.25">
      <c r="A767" t="s">
        <v>771</v>
      </c>
      <c r="B767">
        <v>0.99472303558308395</v>
      </c>
      <c r="C767">
        <v>0.81815489124066998</v>
      </c>
      <c r="D767">
        <v>0.423857552539669</v>
      </c>
      <c r="E767">
        <v>0.27285273469218901</v>
      </c>
      <c r="F767">
        <v>0.19743221786163101</v>
      </c>
      <c r="G767">
        <v>0.104239187315378</v>
      </c>
      <c r="H767">
        <v>7.8017764376391005E-2</v>
      </c>
      <c r="I767">
        <v>2.9886460043528001E-2</v>
      </c>
      <c r="J767">
        <v>5.6360100534574097E-2</v>
      </c>
      <c r="K767">
        <v>2.8702576521890899E-2</v>
      </c>
      <c r="L767">
        <v>736.69600312904697</v>
      </c>
      <c r="M767">
        <v>17.259442251999399</v>
      </c>
      <c r="N767">
        <v>43.0152428856873</v>
      </c>
      <c r="O767">
        <v>42.123006147798101</v>
      </c>
      <c r="P767">
        <v>-9.6059817226693198E-2</v>
      </c>
      <c r="Q767">
        <v>6.2288889157637098E-2</v>
      </c>
      <c r="R767">
        <v>0.98198696759117698</v>
      </c>
      <c r="S767" t="s">
        <v>7335</v>
      </c>
      <c r="T767" t="s">
        <v>13134</v>
      </c>
      <c r="U767" t="s">
        <v>13134</v>
      </c>
      <c r="V767" t="s">
        <v>13134</v>
      </c>
      <c r="W767" t="s">
        <v>13891</v>
      </c>
      <c r="X767">
        <v>4</v>
      </c>
      <c r="Y767" t="s">
        <v>20385</v>
      </c>
      <c r="Z767" t="s">
        <v>26735</v>
      </c>
      <c r="AA767">
        <v>0.25860109140326742</v>
      </c>
      <c r="AB767" t="str">
        <f>HYPERLINK("Melting_Curves/meltCurve_F6RU81_ELMSAN1.pdf", "Melting_Curves/meltCurve_F6RU81_ELMSAN1.pdf")</f>
        <v>Melting_Curves/meltCurve_F6RU81_ELMSAN1.pdf</v>
      </c>
    </row>
    <row r="768" spans="1:28" x14ac:dyDescent="0.25">
      <c r="A768" t="s">
        <v>772</v>
      </c>
      <c r="B768">
        <v>0.99472303558308395</v>
      </c>
      <c r="C768">
        <v>0.89877250810815701</v>
      </c>
      <c r="D768">
        <v>0.88344615663436499</v>
      </c>
      <c r="E768">
        <v>0.68185577697695798</v>
      </c>
      <c r="F768">
        <v>0.310905781110077</v>
      </c>
      <c r="G768">
        <v>0.19903162503858701</v>
      </c>
      <c r="H768">
        <v>0.143535739483582</v>
      </c>
      <c r="I768">
        <v>7.3193371003033705E-2</v>
      </c>
      <c r="J768">
        <v>0.108925558065725</v>
      </c>
      <c r="K768">
        <v>4.9363543100969999E-2</v>
      </c>
      <c r="L768">
        <v>824.54793799834397</v>
      </c>
      <c r="M768">
        <v>17.229299568502601</v>
      </c>
      <c r="N768">
        <v>48.269633764501499</v>
      </c>
      <c r="O768">
        <v>47.226578292577202</v>
      </c>
      <c r="P768">
        <v>-8.4969518174863298E-2</v>
      </c>
      <c r="Q768">
        <v>6.8428161472397497E-2</v>
      </c>
      <c r="R768">
        <v>0.99136935682329397</v>
      </c>
      <c r="S768" t="s">
        <v>7336</v>
      </c>
      <c r="T768" t="s">
        <v>13134</v>
      </c>
      <c r="U768" t="s">
        <v>13134</v>
      </c>
      <c r="V768" t="s">
        <v>13134</v>
      </c>
      <c r="W768" t="s">
        <v>13892</v>
      </c>
      <c r="X768">
        <v>1</v>
      </c>
      <c r="Y768" t="s">
        <v>20386</v>
      </c>
      <c r="Z768" t="s">
        <v>26736</v>
      </c>
      <c r="AA768">
        <v>0.42171106198632929</v>
      </c>
      <c r="AB768" t="str">
        <f>HYPERLINK("Melting_Curves/meltCurve_F6SS63_TAB3.pdf", "Melting_Curves/meltCurve_F6SS63_TAB3.pdf")</f>
        <v>Melting_Curves/meltCurve_F6SS63_TAB3.pdf</v>
      </c>
    </row>
    <row r="769" spans="1:28" x14ac:dyDescent="0.25">
      <c r="A769" t="s">
        <v>773</v>
      </c>
      <c r="B769">
        <v>0.99472303558308395</v>
      </c>
      <c r="C769">
        <v>0.95819532749757397</v>
      </c>
      <c r="D769">
        <v>0.96652597971048104</v>
      </c>
      <c r="E769">
        <v>0.87160961724680397</v>
      </c>
      <c r="F769">
        <v>0.64845625558587705</v>
      </c>
      <c r="G769">
        <v>0.27849574161634</v>
      </c>
      <c r="H769">
        <v>8.5318848109868006E-2</v>
      </c>
      <c r="I769">
        <v>6.5545922195145795E-2</v>
      </c>
      <c r="J769">
        <v>6.7158971648904595E-2</v>
      </c>
      <c r="K769">
        <v>6.7910009338812402E-2</v>
      </c>
      <c r="L769">
        <v>1160.38178513562</v>
      </c>
      <c r="M769">
        <v>22.687927287186699</v>
      </c>
      <c r="N769">
        <v>51.360381685530903</v>
      </c>
      <c r="O769">
        <v>50.752968583163003</v>
      </c>
      <c r="P769">
        <v>-0.106695113440694</v>
      </c>
      <c r="Q769">
        <v>4.5309570514442198E-2</v>
      </c>
      <c r="R769">
        <v>0.99656102538569402</v>
      </c>
      <c r="S769" t="s">
        <v>7337</v>
      </c>
      <c r="T769" t="s">
        <v>13134</v>
      </c>
      <c r="U769" t="s">
        <v>13134</v>
      </c>
      <c r="V769" t="s">
        <v>13134</v>
      </c>
      <c r="W769" t="s">
        <v>13893</v>
      </c>
      <c r="X769">
        <v>16</v>
      </c>
      <c r="Y769" t="s">
        <v>20387</v>
      </c>
      <c r="Z769" t="s">
        <v>26737</v>
      </c>
      <c r="AA769">
        <v>0.50551011925977207</v>
      </c>
      <c r="AB769" t="str">
        <f>HYPERLINK("Melting_Curves/meltCurve_F6T1Q0_PDE12.pdf", "Melting_Curves/meltCurve_F6T1Q0_PDE12.pdf")</f>
        <v>Melting_Curves/meltCurve_F6T1Q0_PDE12.pdf</v>
      </c>
    </row>
    <row r="770" spans="1:28" x14ac:dyDescent="0.25">
      <c r="A770" t="s">
        <v>774</v>
      </c>
      <c r="B770">
        <v>0.99472303558308395</v>
      </c>
      <c r="C770">
        <v>0.94341622001415804</v>
      </c>
      <c r="D770">
        <v>0.77130837738076397</v>
      </c>
      <c r="E770">
        <v>0.53190172734874697</v>
      </c>
      <c r="F770">
        <v>0.23357560277620301</v>
      </c>
      <c r="G770">
        <v>0.11631045033839101</v>
      </c>
      <c r="H770">
        <v>3.2054593212600298E-2</v>
      </c>
      <c r="I770">
        <v>0</v>
      </c>
      <c r="J770">
        <v>3.1921111348276097E-2</v>
      </c>
      <c r="K770">
        <v>6.4044788273793493E-2</v>
      </c>
      <c r="L770">
        <v>763.98837977381402</v>
      </c>
      <c r="M770">
        <v>16.405174793347701</v>
      </c>
      <c r="N770">
        <v>46.6477210931344</v>
      </c>
      <c r="O770">
        <v>45.894472818883003</v>
      </c>
      <c r="P770">
        <v>-8.8164502095725197E-2</v>
      </c>
      <c r="Q770">
        <v>1.34878416083501E-2</v>
      </c>
      <c r="R770">
        <v>0.99624304387614304</v>
      </c>
      <c r="S770" t="s">
        <v>7338</v>
      </c>
      <c r="T770" t="s">
        <v>13134</v>
      </c>
      <c r="U770" t="s">
        <v>13134</v>
      </c>
      <c r="V770" t="s">
        <v>13134</v>
      </c>
      <c r="W770" t="s">
        <v>13894</v>
      </c>
      <c r="X770">
        <v>9</v>
      </c>
      <c r="Y770" t="s">
        <v>19730</v>
      </c>
      <c r="Z770" t="s">
        <v>26738</v>
      </c>
      <c r="AA770">
        <v>0.34715845032464993</v>
      </c>
      <c r="AB770" t="str">
        <f>HYPERLINK("Melting_Curves/meltCurve_F6U1F2_BAG6.pdf", "Melting_Curves/meltCurve_F6U1F2_BAG6.pdf")</f>
        <v>Melting_Curves/meltCurve_F6U1F2_BAG6.pdf</v>
      </c>
    </row>
    <row r="771" spans="1:28" x14ac:dyDescent="0.25">
      <c r="A771" t="s">
        <v>775</v>
      </c>
      <c r="B771">
        <v>0.99472303558308395</v>
      </c>
      <c r="C771">
        <v>1.1701439650498799</v>
      </c>
      <c r="D771">
        <v>0.93508155921880498</v>
      </c>
      <c r="E771">
        <v>0.85359096954838498</v>
      </c>
      <c r="F771">
        <v>0.721728664243801</v>
      </c>
      <c r="G771">
        <v>0.44068038180090502</v>
      </c>
      <c r="H771">
        <v>0.27080481478062202</v>
      </c>
      <c r="I771">
        <v>0.18379587881734399</v>
      </c>
      <c r="J771">
        <v>0.22497008369204</v>
      </c>
      <c r="K771">
        <v>0.15858532526546101</v>
      </c>
      <c r="L771">
        <v>903.67753402570497</v>
      </c>
      <c r="M771">
        <v>17.450437488607001</v>
      </c>
      <c r="N771">
        <v>52.897350169243403</v>
      </c>
      <c r="O771">
        <v>51.119677987578498</v>
      </c>
      <c r="P771">
        <v>-7.2242152597128406E-2</v>
      </c>
      <c r="Q771">
        <v>0.153536477609894</v>
      </c>
      <c r="R771">
        <v>0.97131465671661599</v>
      </c>
      <c r="S771" t="s">
        <v>7339</v>
      </c>
      <c r="T771" t="s">
        <v>13134</v>
      </c>
      <c r="U771" t="s">
        <v>13134</v>
      </c>
      <c r="V771" t="s">
        <v>13134</v>
      </c>
      <c r="W771" t="s">
        <v>13895</v>
      </c>
      <c r="X771">
        <v>7</v>
      </c>
      <c r="Y771" t="s">
        <v>20388</v>
      </c>
      <c r="Z771" t="s">
        <v>26739</v>
      </c>
      <c r="AA771">
        <v>0.584179435639262</v>
      </c>
      <c r="AB771" t="str">
        <f>HYPERLINK("Melting_Curves/meltCurve_F6U1T9_PPP3R1.pdf", "Melting_Curves/meltCurve_F6U1T9_PPP3R1.pdf")</f>
        <v>Melting_Curves/meltCurve_F6U1T9_PPP3R1.pdf</v>
      </c>
    </row>
    <row r="772" spans="1:28" x14ac:dyDescent="0.25">
      <c r="A772" t="s">
        <v>776</v>
      </c>
      <c r="B772">
        <v>0.99472303558308395</v>
      </c>
      <c r="C772">
        <v>0.97661032116690805</v>
      </c>
      <c r="D772">
        <v>0.80776458327829304</v>
      </c>
      <c r="E772">
        <v>0.72897580396758599</v>
      </c>
      <c r="F772">
        <v>0.98317816908364997</v>
      </c>
      <c r="G772">
        <v>0.53292701824444699</v>
      </c>
      <c r="H772">
        <v>0.74754943534129303</v>
      </c>
      <c r="I772">
        <v>0.49439908306591801</v>
      </c>
      <c r="J772">
        <v>0.63997912962306303</v>
      </c>
      <c r="K772">
        <v>0.89411974620027102</v>
      </c>
      <c r="L772">
        <v>569.83578543856595</v>
      </c>
      <c r="M772">
        <v>12.9300383608897</v>
      </c>
      <c r="O772">
        <v>43.056491079896098</v>
      </c>
      <c r="P772">
        <v>-2.38027700066341E-2</v>
      </c>
      <c r="Q772">
        <v>0.68300826719505403</v>
      </c>
      <c r="R772">
        <v>0.38521716586156002</v>
      </c>
      <c r="S772" t="s">
        <v>7340</v>
      </c>
      <c r="T772" t="s">
        <v>13134</v>
      </c>
      <c r="U772" t="s">
        <v>13134</v>
      </c>
      <c r="V772" t="s">
        <v>13134</v>
      </c>
      <c r="W772" t="s">
        <v>13491</v>
      </c>
      <c r="X772">
        <v>7</v>
      </c>
      <c r="Y772" t="s">
        <v>20389</v>
      </c>
      <c r="Z772" t="s">
        <v>26740</v>
      </c>
      <c r="AA772">
        <v>0.76829640986329273</v>
      </c>
      <c r="AB772" t="str">
        <f>HYPERLINK("Melting_Curves/meltCurve_F6XY72_NME2.pdf", "Melting_Curves/meltCurve_F6XY72_NME2.pdf")</f>
        <v>Melting_Curves/meltCurve_F6XY72_NME2.pdf</v>
      </c>
    </row>
    <row r="773" spans="1:28" x14ac:dyDescent="0.25">
      <c r="A773" t="s">
        <v>777</v>
      </c>
      <c r="B773">
        <v>0.99472303558308395</v>
      </c>
      <c r="C773">
        <v>1.0890629752652401</v>
      </c>
      <c r="D773">
        <v>0.89047800317594195</v>
      </c>
      <c r="E773">
        <v>0.71102233123867498</v>
      </c>
      <c r="F773">
        <v>0.63302202591539303</v>
      </c>
      <c r="G773">
        <v>0.38757100955631002</v>
      </c>
      <c r="H773">
        <v>0.446144947392764</v>
      </c>
      <c r="I773">
        <v>0.37459571263152602</v>
      </c>
      <c r="J773">
        <v>0.54078019846348901</v>
      </c>
      <c r="K773">
        <v>0.80873788517730805</v>
      </c>
      <c r="L773">
        <v>1200.57209405915</v>
      </c>
      <c r="M773">
        <v>26.202861404373699</v>
      </c>
      <c r="O773">
        <v>45.553996373627903</v>
      </c>
      <c r="P773">
        <v>-6.8822875109029305E-2</v>
      </c>
      <c r="Q773">
        <v>0.52140776585219895</v>
      </c>
      <c r="R773">
        <v>0.74792143488325902</v>
      </c>
      <c r="S773" t="s">
        <v>7341</v>
      </c>
      <c r="T773" t="s">
        <v>13134</v>
      </c>
      <c r="U773" t="s">
        <v>13134</v>
      </c>
      <c r="V773" t="s">
        <v>13134</v>
      </c>
      <c r="W773" t="s">
        <v>13896</v>
      </c>
      <c r="X773">
        <v>24</v>
      </c>
      <c r="Y773" t="s">
        <v>20155</v>
      </c>
      <c r="Z773" t="s">
        <v>26741</v>
      </c>
      <c r="AA773">
        <v>0.66568023219161365</v>
      </c>
      <c r="AB773" t="str">
        <f>HYPERLINK("Melting_Curves/meltCurve_F8VP89_EIF4B.pdf", "Melting_Curves/meltCurve_F8VP89_EIF4B.pdf")</f>
        <v>Melting_Curves/meltCurve_F8VP89_EIF4B.pdf</v>
      </c>
    </row>
    <row r="774" spans="1:28" x14ac:dyDescent="0.25">
      <c r="A774" t="s">
        <v>778</v>
      </c>
      <c r="B774">
        <v>0.99472303558308395</v>
      </c>
      <c r="C774">
        <v>0.90258478962438204</v>
      </c>
      <c r="D774">
        <v>0.67595662512730104</v>
      </c>
      <c r="E774">
        <v>0.51901816952532398</v>
      </c>
      <c r="F774">
        <v>0.32251821022139898</v>
      </c>
      <c r="G774">
        <v>9.7756365434720702E-2</v>
      </c>
      <c r="H774">
        <v>6.3446019777579604E-2</v>
      </c>
      <c r="I774">
        <v>5.3569925026068603E-2</v>
      </c>
      <c r="J774">
        <v>6.2200323494755301E-2</v>
      </c>
      <c r="K774">
        <v>5.2772659545281202E-2</v>
      </c>
      <c r="L774">
        <v>598.07134724409798</v>
      </c>
      <c r="M774">
        <v>12.920316167742399</v>
      </c>
      <c r="N774">
        <v>46.399084744985998</v>
      </c>
      <c r="O774">
        <v>45.2224136162869</v>
      </c>
      <c r="P774">
        <v>-7.0363196524421107E-2</v>
      </c>
      <c r="Q774">
        <v>1.50649979979305E-2</v>
      </c>
      <c r="R774">
        <v>0.99034078546482396</v>
      </c>
      <c r="S774" t="s">
        <v>7342</v>
      </c>
      <c r="T774" t="s">
        <v>13134</v>
      </c>
      <c r="U774" t="s">
        <v>13134</v>
      </c>
      <c r="V774" t="s">
        <v>13134</v>
      </c>
      <c r="W774" t="s">
        <v>13897</v>
      </c>
      <c r="X774">
        <v>45</v>
      </c>
      <c r="Y774" t="s">
        <v>20390</v>
      </c>
      <c r="Z774" t="s">
        <v>26742</v>
      </c>
      <c r="AA774">
        <v>0.34956432102315382</v>
      </c>
      <c r="AB774" t="str">
        <f>HYPERLINK("Melting_Curves/meltCurve_F8VPD4_CAD.pdf", "Melting_Curves/meltCurve_F8VPD4_CAD.pdf")</f>
        <v>Melting_Curves/meltCurve_F8VPD4_CAD.pdf</v>
      </c>
    </row>
    <row r="775" spans="1:28" x14ac:dyDescent="0.25">
      <c r="A775" t="s">
        <v>779</v>
      </c>
      <c r="B775">
        <v>0.99472303558308395</v>
      </c>
      <c r="C775">
        <v>0.969904035292528</v>
      </c>
      <c r="D775">
        <v>1.0262972112170401</v>
      </c>
      <c r="E775">
        <v>0.88779207402266103</v>
      </c>
      <c r="F775">
        <v>0.58444400333718505</v>
      </c>
      <c r="G775">
        <v>0.35367188170767</v>
      </c>
      <c r="H775">
        <v>0.11724034082993399</v>
      </c>
      <c r="I775">
        <v>6.0764803303268798E-2</v>
      </c>
      <c r="J775">
        <v>6.3450598558129304E-2</v>
      </c>
      <c r="K775">
        <v>5.4753291257165097E-2</v>
      </c>
      <c r="L775">
        <v>999.813389080207</v>
      </c>
      <c r="M775">
        <v>19.501580663326401</v>
      </c>
      <c r="N775">
        <v>51.463273137106398</v>
      </c>
      <c r="O775">
        <v>50.7383669377883</v>
      </c>
      <c r="P775">
        <v>-9.2670982467145002E-2</v>
      </c>
      <c r="Q775">
        <v>3.56053114380223E-2</v>
      </c>
      <c r="R775">
        <v>0.995733769023319</v>
      </c>
      <c r="S775" t="s">
        <v>7343</v>
      </c>
      <c r="T775" t="s">
        <v>13134</v>
      </c>
      <c r="U775" t="s">
        <v>13134</v>
      </c>
      <c r="V775" t="s">
        <v>13134</v>
      </c>
      <c r="W775" t="s">
        <v>13898</v>
      </c>
      <c r="X775">
        <v>28</v>
      </c>
      <c r="Y775" t="s">
        <v>20391</v>
      </c>
      <c r="Z775" t="s">
        <v>26743</v>
      </c>
      <c r="AA775">
        <v>0.50740087124654254</v>
      </c>
      <c r="AB775" t="str">
        <f>HYPERLINK("Melting_Curves/meltCurve_F8VQ10_DDX39B.pdf", "Melting_Curves/meltCurve_F8VQ10_DDX39B.pdf")</f>
        <v>Melting_Curves/meltCurve_F8VQ10_DDX39B.pdf</v>
      </c>
    </row>
    <row r="776" spans="1:28" x14ac:dyDescent="0.25">
      <c r="A776" t="s">
        <v>780</v>
      </c>
      <c r="B776">
        <v>0.99472303558308395</v>
      </c>
      <c r="C776">
        <v>0.90780132981630401</v>
      </c>
      <c r="D776">
        <v>0.814977034750619</v>
      </c>
      <c r="E776">
        <v>0.75329589539129405</v>
      </c>
      <c r="F776">
        <v>0.93067451657799805</v>
      </c>
      <c r="G776">
        <v>0.58561667153227004</v>
      </c>
      <c r="H776">
        <v>0.23628171729533401</v>
      </c>
      <c r="I776">
        <v>0.15264466232038401</v>
      </c>
      <c r="J776">
        <v>0.23049321156376401</v>
      </c>
      <c r="K776">
        <v>0.23231023945652701</v>
      </c>
      <c r="L776">
        <v>1897.1680426770399</v>
      </c>
      <c r="M776">
        <v>35.404587986236599</v>
      </c>
      <c r="N776">
        <v>54.342248625642</v>
      </c>
      <c r="O776">
        <v>53.415280227141601</v>
      </c>
      <c r="P776">
        <v>-0.13345186437731299</v>
      </c>
      <c r="Q776">
        <v>0.194641698840363</v>
      </c>
      <c r="R776">
        <v>0.89530247287451803</v>
      </c>
      <c r="S776" t="s">
        <v>7344</v>
      </c>
      <c r="T776" t="s">
        <v>13134</v>
      </c>
      <c r="U776" t="s">
        <v>13134</v>
      </c>
      <c r="V776" t="s">
        <v>13134</v>
      </c>
      <c r="W776" t="s">
        <v>13899</v>
      </c>
      <c r="X776">
        <v>12</v>
      </c>
      <c r="Y776" t="s">
        <v>20392</v>
      </c>
      <c r="Z776" t="s">
        <v>26744</v>
      </c>
      <c r="AA776">
        <v>0.64364162203436892</v>
      </c>
      <c r="AB776" t="str">
        <f>HYPERLINK("Melting_Curves/meltCurve_F8VQE1_LIMA1.pdf", "Melting_Curves/meltCurve_F8VQE1_LIMA1.pdf")</f>
        <v>Melting_Curves/meltCurve_F8VQE1_LIMA1.pdf</v>
      </c>
    </row>
    <row r="777" spans="1:28" x14ac:dyDescent="0.25">
      <c r="A777" t="s">
        <v>781</v>
      </c>
      <c r="B777">
        <v>0.99472303558308395</v>
      </c>
      <c r="C777">
        <v>0.89269711069856605</v>
      </c>
      <c r="D777">
        <v>0.91014273470972495</v>
      </c>
      <c r="E777">
        <v>0.72512570089795303</v>
      </c>
      <c r="F777">
        <v>0.47394689461307699</v>
      </c>
      <c r="G777">
        <v>0.42965295971301498</v>
      </c>
      <c r="H777">
        <v>0.39947816548328402</v>
      </c>
      <c r="I777">
        <v>0.353330960523564</v>
      </c>
      <c r="J777">
        <v>0.52252226620912101</v>
      </c>
      <c r="K777">
        <v>0.29165071549386001</v>
      </c>
      <c r="L777">
        <v>882.453578299681</v>
      </c>
      <c r="M777">
        <v>18.8995605853491</v>
      </c>
      <c r="N777">
        <v>50.517151182704403</v>
      </c>
      <c r="O777">
        <v>46.178418195608501</v>
      </c>
      <c r="P777">
        <v>-6.3390252445136103E-2</v>
      </c>
      <c r="Q777">
        <v>0.38048437685316</v>
      </c>
      <c r="R777">
        <v>0.93681687734793795</v>
      </c>
      <c r="S777" t="s">
        <v>7345</v>
      </c>
      <c r="T777" t="s">
        <v>13134</v>
      </c>
      <c r="U777" t="s">
        <v>13134</v>
      </c>
      <c r="V777" t="s">
        <v>13134</v>
      </c>
      <c r="W777" t="s">
        <v>13900</v>
      </c>
      <c r="X777">
        <v>4</v>
      </c>
      <c r="Y777" t="s">
        <v>20393</v>
      </c>
      <c r="Z777" t="s">
        <v>26745</v>
      </c>
      <c r="AA777">
        <v>0.58968310843797889</v>
      </c>
      <c r="AB777" t="str">
        <f>HYPERLINK("Melting_Curves/meltCurve_F8VQR7_CSRP2.pdf", "Melting_Curves/meltCurve_F8VQR7_CSRP2.pdf")</f>
        <v>Melting_Curves/meltCurve_F8VQR7_CSRP2.pdf</v>
      </c>
    </row>
    <row r="778" spans="1:28" x14ac:dyDescent="0.25">
      <c r="A778" t="s">
        <v>782</v>
      </c>
      <c r="B778">
        <v>0.99472303558308395</v>
      </c>
      <c r="C778">
        <v>0.98948455158134396</v>
      </c>
      <c r="D778">
        <v>0.98574639111033302</v>
      </c>
      <c r="E778">
        <v>0.91158711843981799</v>
      </c>
      <c r="F778">
        <v>0.76079398271368204</v>
      </c>
      <c r="G778">
        <v>0.565714687609018</v>
      </c>
      <c r="H778">
        <v>0.529042768314547</v>
      </c>
      <c r="I778">
        <v>0.50542744119244498</v>
      </c>
      <c r="J778">
        <v>0.53276531447380204</v>
      </c>
      <c r="K778">
        <v>0.30157047151039001</v>
      </c>
      <c r="L778">
        <v>747.03598465366099</v>
      </c>
      <c r="M778">
        <v>14.4920837819692</v>
      </c>
      <c r="N778">
        <v>58.133159113764698</v>
      </c>
      <c r="O778">
        <v>50.5961645745057</v>
      </c>
      <c r="P778">
        <v>-4.2741923610513398E-2</v>
      </c>
      <c r="Q778">
        <v>0.40317005200678602</v>
      </c>
      <c r="R778">
        <v>0.948623619212279</v>
      </c>
      <c r="S778" t="s">
        <v>7346</v>
      </c>
      <c r="T778" t="s">
        <v>13134</v>
      </c>
      <c r="U778" t="s">
        <v>13134</v>
      </c>
      <c r="V778" t="s">
        <v>13134</v>
      </c>
      <c r="W778" t="s">
        <v>13901</v>
      </c>
      <c r="X778">
        <v>4</v>
      </c>
      <c r="Y778" t="s">
        <v>20394</v>
      </c>
      <c r="Z778" t="s">
        <v>26746</v>
      </c>
      <c r="AA778">
        <v>0.70479293349734284</v>
      </c>
      <c r="AB778" t="str">
        <f>HYPERLINK("Melting_Curves/meltCurve_F8VQX6_METTL7A.pdf", "Melting_Curves/meltCurve_F8VQX6_METTL7A.pdf")</f>
        <v>Melting_Curves/meltCurve_F8VQX6_METTL7A.pdf</v>
      </c>
    </row>
    <row r="779" spans="1:28" x14ac:dyDescent="0.25">
      <c r="A779" t="s">
        <v>783</v>
      </c>
      <c r="B779">
        <v>0.99472303558308395</v>
      </c>
      <c r="C779">
        <v>1.2074923206626</v>
      </c>
      <c r="D779">
        <v>0.88873597471150501</v>
      </c>
      <c r="E779">
        <v>0.98472945301025605</v>
      </c>
      <c r="F779">
        <v>0.73935589504009203</v>
      </c>
      <c r="G779">
        <v>0.67043745904547003</v>
      </c>
      <c r="H779">
        <v>0.46916300587599902</v>
      </c>
      <c r="I779">
        <v>0.56033317912176706</v>
      </c>
      <c r="J779">
        <v>0.69863899615882397</v>
      </c>
      <c r="K779">
        <v>0.35521335366643703</v>
      </c>
      <c r="L779">
        <v>1108.32875586918</v>
      </c>
      <c r="M779">
        <v>21.9155450041766</v>
      </c>
      <c r="O779">
        <v>50.157292701289997</v>
      </c>
      <c r="P779">
        <v>-5.2864605649493301E-2</v>
      </c>
      <c r="Q779">
        <v>0.51605394956747996</v>
      </c>
      <c r="R779">
        <v>0.79726179486877402</v>
      </c>
      <c r="S779" t="s">
        <v>7347</v>
      </c>
      <c r="T779" t="s">
        <v>13134</v>
      </c>
      <c r="U779" t="s">
        <v>13134</v>
      </c>
      <c r="V779" t="s">
        <v>13134</v>
      </c>
      <c r="W779" t="s">
        <v>13902</v>
      </c>
      <c r="X779">
        <v>28</v>
      </c>
      <c r="Y779" t="s">
        <v>20395</v>
      </c>
      <c r="Z779" t="s">
        <v>26747</v>
      </c>
      <c r="AA779">
        <v>0.7404216787778205</v>
      </c>
      <c r="AB779" t="str">
        <f>HYPERLINK("Melting_Curves/meltCurve_F8VQZ7_METAP2.pdf", "Melting_Curves/meltCurve_F8VQZ7_METAP2.pdf")</f>
        <v>Melting_Curves/meltCurve_F8VQZ7_METAP2.pdf</v>
      </c>
    </row>
    <row r="780" spans="1:28" x14ac:dyDescent="0.25">
      <c r="A780" t="s">
        <v>784</v>
      </c>
      <c r="B780">
        <v>0.99472303558308395</v>
      </c>
      <c r="C780">
        <v>1.02406565716084</v>
      </c>
      <c r="D780">
        <v>0.73335127613336304</v>
      </c>
      <c r="E780">
        <v>0.51618225304862597</v>
      </c>
      <c r="F780">
        <v>0.21405131370446101</v>
      </c>
      <c r="G780">
        <v>0.12943388996014801</v>
      </c>
      <c r="H780">
        <v>8.33857694284139E-2</v>
      </c>
      <c r="I780">
        <v>6.0768416424055498E-2</v>
      </c>
      <c r="J780">
        <v>8.4590176582959101E-2</v>
      </c>
      <c r="K780">
        <v>7.1459536519382194E-2</v>
      </c>
      <c r="L780">
        <v>842.09232940168397</v>
      </c>
      <c r="M780">
        <v>18.2991121612902</v>
      </c>
      <c r="N780">
        <v>46.367240576154003</v>
      </c>
      <c r="O780">
        <v>45.479201648963702</v>
      </c>
      <c r="P780">
        <v>-9.4122815904621696E-2</v>
      </c>
      <c r="Q780">
        <v>6.4340933209914297E-2</v>
      </c>
      <c r="R780">
        <v>0.99123057258266001</v>
      </c>
      <c r="S780" t="s">
        <v>7348</v>
      </c>
      <c r="T780" t="s">
        <v>13134</v>
      </c>
      <c r="U780" t="s">
        <v>13134</v>
      </c>
      <c r="V780" t="s">
        <v>13134</v>
      </c>
      <c r="W780" t="s">
        <v>13903</v>
      </c>
      <c r="X780">
        <v>5</v>
      </c>
      <c r="Y780" t="s">
        <v>20396</v>
      </c>
      <c r="Z780" t="s">
        <v>26748</v>
      </c>
      <c r="AA780">
        <v>0.3602370146795113</v>
      </c>
      <c r="AB780" t="str">
        <f>HYPERLINK("Melting_Curves/meltCurve_F8VR31_DNA2.pdf", "Melting_Curves/meltCurve_F8VR31_DNA2.pdf")</f>
        <v>Melting_Curves/meltCurve_F8VR31_DNA2.pdf</v>
      </c>
    </row>
    <row r="781" spans="1:28" x14ac:dyDescent="0.25">
      <c r="A781" t="s">
        <v>785</v>
      </c>
      <c r="B781">
        <v>0.99472303558308395</v>
      </c>
      <c r="C781">
        <v>0.902367633366017</v>
      </c>
      <c r="D781">
        <v>0.922446716990592</v>
      </c>
      <c r="E781">
        <v>0.66297402690844398</v>
      </c>
      <c r="F781">
        <v>0.47168749285654599</v>
      </c>
      <c r="G781">
        <v>0.32337867525896302</v>
      </c>
      <c r="H781">
        <v>0.30547929205267499</v>
      </c>
      <c r="I781">
        <v>0.29355594178549099</v>
      </c>
      <c r="J781">
        <v>0.24585158549178901</v>
      </c>
      <c r="K781">
        <v>8.6214270634584506E-2</v>
      </c>
      <c r="L781">
        <v>612.58957211794996</v>
      </c>
      <c r="M781">
        <v>12.665754360952301</v>
      </c>
      <c r="N781">
        <v>49.996939545906898</v>
      </c>
      <c r="O781">
        <v>47.207698970330298</v>
      </c>
      <c r="P781">
        <v>-5.5733827290652502E-2</v>
      </c>
      <c r="Q781">
        <v>0.16923999215885299</v>
      </c>
      <c r="R781">
        <v>0.97197654112714305</v>
      </c>
      <c r="S781" t="s">
        <v>7349</v>
      </c>
      <c r="T781" t="s">
        <v>13134</v>
      </c>
      <c r="U781" t="s">
        <v>13134</v>
      </c>
      <c r="V781" t="s">
        <v>13134</v>
      </c>
      <c r="W781" t="s">
        <v>13904</v>
      </c>
      <c r="X781">
        <v>1</v>
      </c>
      <c r="Y781" t="s">
        <v>20397</v>
      </c>
      <c r="Z781" t="s">
        <v>26749</v>
      </c>
      <c r="AA781">
        <v>0.50760303808756335</v>
      </c>
      <c r="AB781" t="str">
        <f>HYPERLINK("Melting_Curves/meltCurve_F8VRE8_TMEM19.pdf", "Melting_Curves/meltCurve_F8VRE8_TMEM19.pdf")</f>
        <v>Melting_Curves/meltCurve_F8VRE8_TMEM19.pdf</v>
      </c>
    </row>
    <row r="782" spans="1:28" x14ac:dyDescent="0.25">
      <c r="A782" t="s">
        <v>786</v>
      </c>
      <c r="B782">
        <v>0.99472303558308395</v>
      </c>
      <c r="C782">
        <v>1.3108113033608999</v>
      </c>
      <c r="D782">
        <v>0.98398481026347495</v>
      </c>
      <c r="E782">
        <v>0.79346882155824106</v>
      </c>
      <c r="F782">
        <v>0.116015886374444</v>
      </c>
      <c r="G782">
        <v>3.3104804832708501E-2</v>
      </c>
      <c r="H782">
        <v>8.6044682701042399E-3</v>
      </c>
      <c r="I782">
        <v>0</v>
      </c>
      <c r="J782">
        <v>0</v>
      </c>
      <c r="K782">
        <v>0</v>
      </c>
      <c r="L782">
        <v>2206.7498026090998</v>
      </c>
      <c r="M782">
        <v>46.022456125314498</v>
      </c>
      <c r="N782">
        <v>47.962990934443098</v>
      </c>
      <c r="O782">
        <v>47.859145013952997</v>
      </c>
      <c r="P782">
        <v>-0.238849881816175</v>
      </c>
      <c r="Q782">
        <v>6.4730552711171202E-3</v>
      </c>
      <c r="R782">
        <v>0.961397282669469</v>
      </c>
      <c r="S782" t="s">
        <v>7350</v>
      </c>
      <c r="T782" t="s">
        <v>13134</v>
      </c>
      <c r="U782" t="s">
        <v>13134</v>
      </c>
      <c r="V782" t="s">
        <v>13134</v>
      </c>
      <c r="W782" t="s">
        <v>13905</v>
      </c>
      <c r="X782">
        <v>6</v>
      </c>
      <c r="Y782" t="s">
        <v>20398</v>
      </c>
      <c r="Z782" t="s">
        <v>26750</v>
      </c>
      <c r="AA782">
        <v>0.37157369004213509</v>
      </c>
      <c r="AB782" t="str">
        <f>HYPERLINK("Melting_Curves/meltCurve_F8VRH0_PCBP2.pdf", "Melting_Curves/meltCurve_F8VRH0_PCBP2.pdf")</f>
        <v>Melting_Curves/meltCurve_F8VRH0_PCBP2.pdf</v>
      </c>
    </row>
    <row r="783" spans="1:28" x14ac:dyDescent="0.25">
      <c r="A783" t="s">
        <v>787</v>
      </c>
      <c r="B783">
        <v>0.99472303558308395</v>
      </c>
      <c r="C783">
        <v>0.87141176493026495</v>
      </c>
      <c r="D783">
        <v>0.86346886176162796</v>
      </c>
      <c r="E783">
        <v>0.75391114157411598</v>
      </c>
      <c r="F783">
        <v>0.60254887563353199</v>
      </c>
      <c r="G783">
        <v>0.384290935465741</v>
      </c>
      <c r="H783">
        <v>0.25804938744390299</v>
      </c>
      <c r="I783">
        <v>0.121140575119781</v>
      </c>
      <c r="J783">
        <v>0.12111584264847799</v>
      </c>
      <c r="K783">
        <v>0.10948747467315401</v>
      </c>
      <c r="L783">
        <v>518.85049189422296</v>
      </c>
      <c r="M783">
        <v>10.085010773693799</v>
      </c>
      <c r="N783">
        <v>51.447688281443597</v>
      </c>
      <c r="O783">
        <v>49.547686090168099</v>
      </c>
      <c r="P783">
        <v>-5.0909338578316102E-2</v>
      </c>
      <c r="Q783">
        <v>0</v>
      </c>
      <c r="R783">
        <v>0.98981655523081602</v>
      </c>
      <c r="S783" t="s">
        <v>7351</v>
      </c>
      <c r="T783" t="s">
        <v>13134</v>
      </c>
      <c r="U783" t="s">
        <v>13134</v>
      </c>
      <c r="V783" t="s">
        <v>13134</v>
      </c>
      <c r="W783" t="s">
        <v>13906</v>
      </c>
      <c r="X783">
        <v>3</v>
      </c>
      <c r="Y783" t="s">
        <v>20399</v>
      </c>
      <c r="Z783" t="s">
        <v>26751</v>
      </c>
      <c r="AA783">
        <v>0.51025400889887862</v>
      </c>
      <c r="AB783" t="str">
        <f>HYPERLINK("Melting_Curves/meltCurve_F8VSL3_NFYB.pdf", "Melting_Curves/meltCurve_F8VSL3_NFYB.pdf")</f>
        <v>Melting_Curves/meltCurve_F8VSL3_NFYB.pdf</v>
      </c>
    </row>
    <row r="784" spans="1:28" x14ac:dyDescent="0.25">
      <c r="A784" t="s">
        <v>788</v>
      </c>
      <c r="B784">
        <v>0.99472303558308395</v>
      </c>
      <c r="C784">
        <v>0.89590568102840995</v>
      </c>
      <c r="D784">
        <v>0.88774287833775201</v>
      </c>
      <c r="E784">
        <v>0.74253463136578901</v>
      </c>
      <c r="F784">
        <v>0.55342576620346096</v>
      </c>
      <c r="G784">
        <v>0.261622592476704</v>
      </c>
      <c r="H784">
        <v>0.105473602896586</v>
      </c>
      <c r="I784">
        <v>6.5994993755369893E-2</v>
      </c>
      <c r="J784">
        <v>9.6709533631365502E-2</v>
      </c>
      <c r="K784">
        <v>5.9000323202083697E-2</v>
      </c>
      <c r="L784">
        <v>701.47763636903505</v>
      </c>
      <c r="M784">
        <v>14.0102803420152</v>
      </c>
      <c r="N784">
        <v>50.167169615240802</v>
      </c>
      <c r="O784">
        <v>49.0818192492262</v>
      </c>
      <c r="P784">
        <v>-7.0404214148223801E-2</v>
      </c>
      <c r="Q784">
        <v>1.3549798794931799E-2</v>
      </c>
      <c r="R784">
        <v>0.98909826921184696</v>
      </c>
      <c r="S784" t="s">
        <v>7352</v>
      </c>
      <c r="T784" t="s">
        <v>13134</v>
      </c>
      <c r="U784" t="s">
        <v>13134</v>
      </c>
      <c r="V784" t="s">
        <v>13134</v>
      </c>
      <c r="W784" t="s">
        <v>13907</v>
      </c>
      <c r="X784">
        <v>29</v>
      </c>
      <c r="Y784" t="s">
        <v>20400</v>
      </c>
      <c r="Z784" t="s">
        <v>26752</v>
      </c>
      <c r="AA784">
        <v>0.46590251572741992</v>
      </c>
      <c r="AB784" t="str">
        <f>HYPERLINK("Melting_Curves/meltCurve_F8VSZ4_PLXNA1.pdf", "Melting_Curves/meltCurve_F8VSZ4_PLXNA1.pdf")</f>
        <v>Melting_Curves/meltCurve_F8VSZ4_PLXNA1.pdf</v>
      </c>
    </row>
    <row r="785" spans="1:28" x14ac:dyDescent="0.25">
      <c r="A785" t="s">
        <v>789</v>
      </c>
      <c r="B785">
        <v>0.99472303558308395</v>
      </c>
      <c r="C785">
        <v>1.1730511146717999</v>
      </c>
      <c r="D785">
        <v>0.96067190077039999</v>
      </c>
      <c r="E785">
        <v>0.73234523404472196</v>
      </c>
      <c r="F785">
        <v>0.35801724595565398</v>
      </c>
      <c r="G785">
        <v>0.18041825703727499</v>
      </c>
      <c r="H785">
        <v>0.200170369920942</v>
      </c>
      <c r="I785">
        <v>0.10584796324395999</v>
      </c>
      <c r="J785">
        <v>0.24253301060747401</v>
      </c>
      <c r="K785">
        <v>0.16169803851811099</v>
      </c>
      <c r="L785">
        <v>1383.65260005143</v>
      </c>
      <c r="M785">
        <v>28.9058238106735</v>
      </c>
      <c r="N785">
        <v>48.574896553410497</v>
      </c>
      <c r="O785">
        <v>47.640265015658798</v>
      </c>
      <c r="P785">
        <v>-0.125633653686019</v>
      </c>
      <c r="Q785">
        <v>0.171768974782361</v>
      </c>
      <c r="R785">
        <v>0.97227388458569397</v>
      </c>
      <c r="S785" t="s">
        <v>7353</v>
      </c>
      <c r="T785" t="s">
        <v>13134</v>
      </c>
      <c r="U785" t="s">
        <v>13134</v>
      </c>
      <c r="V785" t="s">
        <v>13134</v>
      </c>
      <c r="W785" t="s">
        <v>13908</v>
      </c>
      <c r="X785">
        <v>2</v>
      </c>
      <c r="Y785" t="s">
        <v>20401</v>
      </c>
      <c r="Z785" t="s">
        <v>26753</v>
      </c>
      <c r="AA785">
        <v>0.47707078970241218</v>
      </c>
      <c r="AB785" t="str">
        <f>HYPERLINK("Melting_Curves/meltCurve_F8VUJ3_POC1B_GALNT4.pdf", "Melting_Curves/meltCurve_F8VUJ3_POC1B_GALNT4.pdf")</f>
        <v>Melting_Curves/meltCurve_F8VUJ3_POC1B_GALNT4.pdf</v>
      </c>
    </row>
    <row r="786" spans="1:28" x14ac:dyDescent="0.25">
      <c r="A786" t="s">
        <v>790</v>
      </c>
      <c r="B786">
        <v>0.99472303558308395</v>
      </c>
      <c r="C786">
        <v>1.0619896820778201</v>
      </c>
      <c r="D786">
        <v>0.80119442042059696</v>
      </c>
      <c r="E786">
        <v>0.83706376491994605</v>
      </c>
      <c r="F786">
        <v>0.63947951318969498</v>
      </c>
      <c r="G786">
        <v>0.38653511319864298</v>
      </c>
      <c r="H786">
        <v>0.25417006319291202</v>
      </c>
      <c r="I786">
        <v>0.23388695550412</v>
      </c>
      <c r="J786">
        <v>0.25007169842636101</v>
      </c>
      <c r="K786">
        <v>0.27853541069673399</v>
      </c>
      <c r="L786">
        <v>784.49681907251397</v>
      </c>
      <c r="M786">
        <v>15.705510666996201</v>
      </c>
      <c r="N786">
        <v>51.7991732386024</v>
      </c>
      <c r="O786">
        <v>49.161644674715703</v>
      </c>
      <c r="P786">
        <v>-6.2736563310117996E-2</v>
      </c>
      <c r="Q786">
        <v>0.21455042646509501</v>
      </c>
      <c r="R786">
        <v>0.96432047105336804</v>
      </c>
      <c r="S786" t="s">
        <v>7354</v>
      </c>
      <c r="T786" t="s">
        <v>13134</v>
      </c>
      <c r="U786" t="s">
        <v>13134</v>
      </c>
      <c r="V786" t="s">
        <v>13134</v>
      </c>
      <c r="W786" t="s">
        <v>13909</v>
      </c>
      <c r="X786">
        <v>2</v>
      </c>
      <c r="Y786" t="s">
        <v>20402</v>
      </c>
      <c r="Z786" t="s">
        <v>26754</v>
      </c>
      <c r="AA786">
        <v>0.56897709827829268</v>
      </c>
      <c r="AB786" t="str">
        <f>HYPERLINK("Melting_Curves/meltCurve_F8VUY8_SLC38A2.pdf", "Melting_Curves/meltCurve_F8VUY8_SLC38A2.pdf")</f>
        <v>Melting_Curves/meltCurve_F8VUY8_SLC38A2.pdf</v>
      </c>
    </row>
    <row r="787" spans="1:28" x14ac:dyDescent="0.25">
      <c r="A787" t="s">
        <v>791</v>
      </c>
      <c r="B787">
        <v>0.99472303558308395</v>
      </c>
      <c r="C787">
        <v>0.96302275494488698</v>
      </c>
      <c r="D787">
        <v>0.680414526838927</v>
      </c>
      <c r="E787">
        <v>0.508741796951101</v>
      </c>
      <c r="F787">
        <v>0.32724239579435699</v>
      </c>
      <c r="G787">
        <v>0.121917718835033</v>
      </c>
      <c r="H787">
        <v>9.3268504680773398E-2</v>
      </c>
      <c r="I787">
        <v>6.1028721160256302E-2</v>
      </c>
      <c r="J787">
        <v>4.9442842514662397E-2</v>
      </c>
      <c r="K787">
        <v>4.2312060782110403E-2</v>
      </c>
      <c r="L787">
        <v>620.59141515086503</v>
      </c>
      <c r="M787">
        <v>13.369539485222401</v>
      </c>
      <c r="N787">
        <v>46.583564729673199</v>
      </c>
      <c r="O787">
        <v>45.416696818353799</v>
      </c>
      <c r="P787">
        <v>-7.1900649064899694E-2</v>
      </c>
      <c r="Q787">
        <v>2.3160710300270299E-2</v>
      </c>
      <c r="R787">
        <v>0.99042202974443005</v>
      </c>
      <c r="S787" t="s">
        <v>7355</v>
      </c>
      <c r="T787" t="s">
        <v>13134</v>
      </c>
      <c r="U787" t="s">
        <v>13134</v>
      </c>
      <c r="V787" t="s">
        <v>13134</v>
      </c>
      <c r="W787" t="s">
        <v>13910</v>
      </c>
      <c r="X787">
        <v>8</v>
      </c>
      <c r="Y787" t="s">
        <v>20403</v>
      </c>
      <c r="Z787" t="s">
        <v>26755</v>
      </c>
      <c r="AA787">
        <v>0.35727520113590172</v>
      </c>
      <c r="AB787" t="str">
        <f>HYPERLINK("Melting_Curves/meltCurve_F8VV52_CNOT2.pdf", "Melting_Curves/meltCurve_F8VV52_CNOT2.pdf")</f>
        <v>Melting_Curves/meltCurve_F8VV52_CNOT2.pdf</v>
      </c>
    </row>
    <row r="788" spans="1:28" x14ac:dyDescent="0.25">
      <c r="A788" t="s">
        <v>792</v>
      </c>
      <c r="B788">
        <v>0.99472303558308395</v>
      </c>
      <c r="C788">
        <v>1.3058798103728799</v>
      </c>
      <c r="D788">
        <v>0.86332139366472904</v>
      </c>
      <c r="E788">
        <v>0.83278257631497499</v>
      </c>
      <c r="F788">
        <v>1.0188695684193101</v>
      </c>
      <c r="G788">
        <v>0.28105874548272503</v>
      </c>
      <c r="H788">
        <v>0.13308228539962999</v>
      </c>
      <c r="I788">
        <v>4.7974405101084798E-2</v>
      </c>
      <c r="J788">
        <v>5.3598497197945801E-2</v>
      </c>
      <c r="K788">
        <v>5.3045732414963499E-2</v>
      </c>
      <c r="L788">
        <v>8553.7655244063208</v>
      </c>
      <c r="M788">
        <v>160.226652358244</v>
      </c>
      <c r="N788">
        <v>53.437218949383201</v>
      </c>
      <c r="O788">
        <v>53.377094098603997</v>
      </c>
      <c r="P788">
        <v>-0.69647431745966604</v>
      </c>
      <c r="Q788">
        <v>7.1920322053046298E-2</v>
      </c>
      <c r="R788">
        <v>0.93253099569869802</v>
      </c>
      <c r="S788" t="s">
        <v>7356</v>
      </c>
      <c r="T788" t="s">
        <v>13134</v>
      </c>
      <c r="U788" t="s">
        <v>13134</v>
      </c>
      <c r="V788" t="s">
        <v>13134</v>
      </c>
      <c r="W788" t="s">
        <v>13911</v>
      </c>
      <c r="X788">
        <v>9</v>
      </c>
      <c r="Y788" t="s">
        <v>20404</v>
      </c>
      <c r="Z788" t="s">
        <v>26756</v>
      </c>
      <c r="AA788">
        <v>0.57903094199279903</v>
      </c>
      <c r="AB788" t="str">
        <f>HYPERLINK("Melting_Curves/meltCurve_F8VV59_NAP1L1.pdf", "Melting_Curves/meltCurve_F8VV59_NAP1L1.pdf")</f>
        <v>Melting_Curves/meltCurve_F8VV59_NAP1L1.pdf</v>
      </c>
    </row>
    <row r="789" spans="1:28" x14ac:dyDescent="0.25">
      <c r="A789" t="s">
        <v>793</v>
      </c>
      <c r="B789">
        <v>0.99472303558308395</v>
      </c>
      <c r="C789">
        <v>0.935009127332038</v>
      </c>
      <c r="D789">
        <v>0.86820913759304497</v>
      </c>
      <c r="E789">
        <v>0.76993488621564798</v>
      </c>
      <c r="F789">
        <v>0.62729651937571795</v>
      </c>
      <c r="G789">
        <v>0.25609034818881599</v>
      </c>
      <c r="H789">
        <v>0.12686408131698099</v>
      </c>
      <c r="I789">
        <v>6.4245037253953294E-2</v>
      </c>
      <c r="J789">
        <v>5.64015582905786E-2</v>
      </c>
      <c r="K789">
        <v>4.3038737399289997E-2</v>
      </c>
      <c r="L789">
        <v>743.33128227724296</v>
      </c>
      <c r="M789">
        <v>14.646097140976099</v>
      </c>
      <c r="N789">
        <v>50.752858901581099</v>
      </c>
      <c r="O789">
        <v>49.834851992268497</v>
      </c>
      <c r="P789">
        <v>-7.3481314718851901E-2</v>
      </c>
      <c r="Q789">
        <v>0</v>
      </c>
      <c r="R789">
        <v>0.98760668605164703</v>
      </c>
      <c r="S789" t="s">
        <v>7357</v>
      </c>
      <c r="T789" t="s">
        <v>13134</v>
      </c>
      <c r="U789" t="s">
        <v>13134</v>
      </c>
      <c r="V789" t="s">
        <v>13134</v>
      </c>
      <c r="W789" t="s">
        <v>13912</v>
      </c>
      <c r="X789">
        <v>6</v>
      </c>
      <c r="Y789" t="s">
        <v>20405</v>
      </c>
      <c r="Z789" t="s">
        <v>26757</v>
      </c>
      <c r="AA789">
        <v>0.47942513987927182</v>
      </c>
      <c r="AB789" t="str">
        <f>HYPERLINK("Melting_Curves/meltCurve_F8VVA7_COPZ1.pdf", "Melting_Curves/meltCurve_F8VVA7_COPZ1.pdf")</f>
        <v>Melting_Curves/meltCurve_F8VVA7_COPZ1.pdf</v>
      </c>
    </row>
    <row r="790" spans="1:28" x14ac:dyDescent="0.25">
      <c r="A790" t="s">
        <v>794</v>
      </c>
      <c r="B790">
        <v>0.99472303558308395</v>
      </c>
      <c r="C790">
        <v>3.0813642741957201</v>
      </c>
      <c r="D790">
        <v>2.0881300773000202</v>
      </c>
      <c r="E790">
        <v>0.92436610276519604</v>
      </c>
      <c r="F790">
        <v>1.78504161224316</v>
      </c>
      <c r="G790">
        <v>0.23539589408596501</v>
      </c>
      <c r="H790">
        <v>0</v>
      </c>
      <c r="I790">
        <v>0</v>
      </c>
      <c r="J790">
        <v>0.37375790325126201</v>
      </c>
      <c r="K790">
        <v>0</v>
      </c>
      <c r="L790">
        <v>13359.4098192655</v>
      </c>
      <c r="M790">
        <v>250</v>
      </c>
      <c r="N790">
        <v>53.481891757694598</v>
      </c>
      <c r="O790">
        <v>53.434218533933297</v>
      </c>
      <c r="P790">
        <v>-1.0603699047520401</v>
      </c>
      <c r="Q790">
        <v>9.3439387109295904E-2</v>
      </c>
      <c r="R790">
        <v>0.38116605002017601</v>
      </c>
      <c r="S790" t="s">
        <v>7358</v>
      </c>
      <c r="T790" t="s">
        <v>13134</v>
      </c>
      <c r="U790" t="s">
        <v>13134</v>
      </c>
      <c r="V790" t="s">
        <v>13134</v>
      </c>
      <c r="W790" t="s">
        <v>13913</v>
      </c>
      <c r="X790">
        <v>1</v>
      </c>
      <c r="Y790" t="s">
        <v>20406</v>
      </c>
      <c r="Z790" t="s">
        <v>26758</v>
      </c>
      <c r="AA790">
        <v>0.59024828429722509</v>
      </c>
      <c r="AB790" t="str">
        <f>HYPERLINK("Melting_Curves/meltCurve_F8VVN7_TMEM106C.pdf", "Melting_Curves/meltCurve_F8VVN7_TMEM106C.pdf")</f>
        <v>Melting_Curves/meltCurve_F8VVN7_TMEM106C.pdf</v>
      </c>
    </row>
    <row r="791" spans="1:28" x14ac:dyDescent="0.25">
      <c r="A791" t="s">
        <v>795</v>
      </c>
      <c r="B791">
        <v>0.99472303558308395</v>
      </c>
      <c r="C791">
        <v>0.97023456600394997</v>
      </c>
      <c r="D791">
        <v>0.87964662645181801</v>
      </c>
      <c r="E791">
        <v>0.85951813026344304</v>
      </c>
      <c r="F791">
        <v>0.64541277545965603</v>
      </c>
      <c r="G791">
        <v>0.44882148637355801</v>
      </c>
      <c r="H791">
        <v>0.40070488005648203</v>
      </c>
      <c r="I791">
        <v>0.38262428714195201</v>
      </c>
      <c r="J791">
        <v>0.40809114485793802</v>
      </c>
      <c r="K791">
        <v>0.24859207778429401</v>
      </c>
      <c r="L791">
        <v>687.19735741395903</v>
      </c>
      <c r="M791">
        <v>13.7524525993908</v>
      </c>
      <c r="N791">
        <v>53.581213451541302</v>
      </c>
      <c r="O791">
        <v>48.948058928717401</v>
      </c>
      <c r="P791">
        <v>-4.9023790101638799E-2</v>
      </c>
      <c r="Q791">
        <v>0.30215241577508301</v>
      </c>
      <c r="R791">
        <v>0.97338728008506004</v>
      </c>
      <c r="S791" t="s">
        <v>7359</v>
      </c>
      <c r="T791" t="s">
        <v>13134</v>
      </c>
      <c r="U791" t="s">
        <v>13134</v>
      </c>
      <c r="V791" t="s">
        <v>13134</v>
      </c>
      <c r="W791" t="s">
        <v>13914</v>
      </c>
      <c r="X791">
        <v>7</v>
      </c>
      <c r="Y791" t="s">
        <v>20407</v>
      </c>
      <c r="Z791" t="s">
        <v>26759</v>
      </c>
      <c r="AA791">
        <v>0.62031951921510697</v>
      </c>
      <c r="AB791" t="str">
        <f>HYPERLINK("Melting_Curves/meltCurve_F8VVX6_COQ5.pdf", "Melting_Curves/meltCurve_F8VVX6_COQ5.pdf")</f>
        <v>Melting_Curves/meltCurve_F8VVX6_COQ5.pdf</v>
      </c>
    </row>
    <row r="792" spans="1:28" x14ac:dyDescent="0.25">
      <c r="A792" t="s">
        <v>796</v>
      </c>
      <c r="B792">
        <v>0.99472303558308395</v>
      </c>
      <c r="C792">
        <v>1.05365793504938</v>
      </c>
      <c r="D792">
        <v>1.0100761160456699</v>
      </c>
      <c r="E792">
        <v>0.79946854201053097</v>
      </c>
      <c r="F792">
        <v>0.47608122490273003</v>
      </c>
      <c r="G792">
        <v>0.56121973616272003</v>
      </c>
      <c r="H792">
        <v>0.53313534479788705</v>
      </c>
      <c r="I792">
        <v>0.53459213360458402</v>
      </c>
      <c r="J792">
        <v>0.57299041782177895</v>
      </c>
      <c r="K792">
        <v>0.43700021754646701</v>
      </c>
      <c r="L792">
        <v>11665.6056246192</v>
      </c>
      <c r="M792">
        <v>250</v>
      </c>
      <c r="O792">
        <v>46.659436686141603</v>
      </c>
      <c r="P792">
        <v>-0.644068747335662</v>
      </c>
      <c r="Q792">
        <v>0.51916984437341296</v>
      </c>
      <c r="R792">
        <v>0.96833169376389905</v>
      </c>
      <c r="S792" t="s">
        <v>7360</v>
      </c>
      <c r="T792" t="s">
        <v>13134</v>
      </c>
      <c r="U792" t="s">
        <v>13134</v>
      </c>
      <c r="V792" t="s">
        <v>13134</v>
      </c>
      <c r="W792" t="s">
        <v>13915</v>
      </c>
      <c r="X792">
        <v>1</v>
      </c>
      <c r="Y792" t="s">
        <v>20408</v>
      </c>
      <c r="Z792" t="s">
        <v>26760</v>
      </c>
      <c r="AA792">
        <v>0.67407535755491266</v>
      </c>
      <c r="AB792" t="str">
        <f>HYPERLINK("Melting_Curves/meltCurve_F8VW54_TSPAN31.pdf", "Melting_Curves/meltCurve_F8VW54_TSPAN31.pdf")</f>
        <v>Melting_Curves/meltCurve_F8VW54_TSPAN31.pdf</v>
      </c>
    </row>
    <row r="793" spans="1:28" x14ac:dyDescent="0.25">
      <c r="A793" t="s">
        <v>797</v>
      </c>
      <c r="B793">
        <v>0.99472303558308395</v>
      </c>
      <c r="C793">
        <v>0.83339608370669604</v>
      </c>
      <c r="D793">
        <v>0.81969194046170901</v>
      </c>
      <c r="E793">
        <v>0.50786762242551597</v>
      </c>
      <c r="F793">
        <v>0.123566603589068</v>
      </c>
      <c r="G793">
        <v>5.7280967097997897E-2</v>
      </c>
      <c r="H793">
        <v>4.4070462667434203E-2</v>
      </c>
      <c r="I793">
        <v>3.5106606207622799E-2</v>
      </c>
      <c r="J793">
        <v>3.7699846558877897E-2</v>
      </c>
      <c r="K793">
        <v>2.9387235941746699E-2</v>
      </c>
      <c r="L793">
        <v>887.96708850144705</v>
      </c>
      <c r="M793">
        <v>19.260629156626301</v>
      </c>
      <c r="N793">
        <v>46.182608414712703</v>
      </c>
      <c r="O793">
        <v>45.614356216657399</v>
      </c>
      <c r="P793">
        <v>-0.103836333431735</v>
      </c>
      <c r="Q793">
        <v>1.63875982409529E-2</v>
      </c>
      <c r="R793">
        <v>0.98471386806494199</v>
      </c>
      <c r="S793" t="s">
        <v>7361</v>
      </c>
      <c r="T793" t="s">
        <v>13134</v>
      </c>
      <c r="U793" t="s">
        <v>13134</v>
      </c>
      <c r="V793" t="s">
        <v>13134</v>
      </c>
      <c r="W793" t="s">
        <v>13916</v>
      </c>
      <c r="X793">
        <v>7</v>
      </c>
      <c r="Y793" t="s">
        <v>20409</v>
      </c>
      <c r="Z793" t="s">
        <v>26761</v>
      </c>
      <c r="AA793">
        <v>0.32871139579881192</v>
      </c>
      <c r="AB793" t="str">
        <f>HYPERLINK("Melting_Curves/meltCurve_F8VWA6_MON2.pdf", "Melting_Curves/meltCurve_F8VWA6_MON2.pdf")</f>
        <v>Melting_Curves/meltCurve_F8VWA6_MON2.pdf</v>
      </c>
    </row>
    <row r="794" spans="1:28" x14ac:dyDescent="0.25">
      <c r="A794" t="s">
        <v>798</v>
      </c>
      <c r="B794">
        <v>0.99472303558308395</v>
      </c>
      <c r="C794">
        <v>0.93528866661149201</v>
      </c>
      <c r="D794">
        <v>0.82894158475264601</v>
      </c>
      <c r="E794">
        <v>0.67335770802254202</v>
      </c>
      <c r="F794">
        <v>0.66182247597273902</v>
      </c>
      <c r="G794">
        <v>0.23319787735584599</v>
      </c>
      <c r="H794">
        <v>0.17958093957350199</v>
      </c>
      <c r="I794">
        <v>0.104276558102219</v>
      </c>
      <c r="J794">
        <v>0.111953095705453</v>
      </c>
      <c r="K794">
        <v>0.20269286319301799</v>
      </c>
      <c r="L794">
        <v>620.78089647083198</v>
      </c>
      <c r="M794">
        <v>12.5192724548819</v>
      </c>
      <c r="N794">
        <v>50.225709820540203</v>
      </c>
      <c r="O794">
        <v>48.371846662509199</v>
      </c>
      <c r="P794">
        <v>-5.9947359233394802E-2</v>
      </c>
      <c r="Q794">
        <v>7.3693332772401698E-2</v>
      </c>
      <c r="R794">
        <v>0.95519583992510304</v>
      </c>
      <c r="S794" t="s">
        <v>7362</v>
      </c>
      <c r="T794" t="s">
        <v>13134</v>
      </c>
      <c r="U794" t="s">
        <v>13134</v>
      </c>
      <c r="V794" t="s">
        <v>13134</v>
      </c>
      <c r="W794" t="s">
        <v>13917</v>
      </c>
      <c r="X794">
        <v>1</v>
      </c>
      <c r="Y794" t="s">
        <v>20410</v>
      </c>
      <c r="Z794" t="s">
        <v>26762</v>
      </c>
      <c r="AA794">
        <v>0.48753944675883959</v>
      </c>
      <c r="AB794" t="str">
        <f>HYPERLINK("Melting_Curves/meltCurve_F8VWA9_ALG10B.pdf", "Melting_Curves/meltCurve_F8VWA9_ALG10B.pdf")</f>
        <v>Melting_Curves/meltCurve_F8VWA9_ALG10B.pdf</v>
      </c>
    </row>
    <row r="795" spans="1:28" x14ac:dyDescent="0.25">
      <c r="A795" t="s">
        <v>799</v>
      </c>
      <c r="B795">
        <v>0.99472303558308395</v>
      </c>
      <c r="C795">
        <v>0.84612773499398497</v>
      </c>
      <c r="D795">
        <v>0.93805241129067196</v>
      </c>
      <c r="E795">
        <v>0.73590595602783404</v>
      </c>
      <c r="F795">
        <v>0.55906504514310196</v>
      </c>
      <c r="G795">
        <v>0.36839510758975202</v>
      </c>
      <c r="H795">
        <v>0.30533205065086499</v>
      </c>
      <c r="I795">
        <v>0.27716957645934998</v>
      </c>
      <c r="J795">
        <v>0.32870773048688301</v>
      </c>
      <c r="K795">
        <v>0.25963751029063797</v>
      </c>
      <c r="L795">
        <v>696.13543865529198</v>
      </c>
      <c r="M795">
        <v>14.362162378287</v>
      </c>
      <c r="N795">
        <v>50.996842445922397</v>
      </c>
      <c r="O795">
        <v>47.559462753253499</v>
      </c>
      <c r="P795">
        <v>-5.6283466782014097E-2</v>
      </c>
      <c r="Q795">
        <v>0.25457160834546</v>
      </c>
      <c r="R795">
        <v>0.97224202541438598</v>
      </c>
      <c r="S795" t="s">
        <v>7363</v>
      </c>
      <c r="T795" t="s">
        <v>13134</v>
      </c>
      <c r="U795" t="s">
        <v>13134</v>
      </c>
      <c r="V795" t="s">
        <v>13134</v>
      </c>
      <c r="W795" t="s">
        <v>13918</v>
      </c>
      <c r="X795">
        <v>3</v>
      </c>
      <c r="Y795" t="s">
        <v>20411</v>
      </c>
      <c r="Z795" t="s">
        <v>26763</v>
      </c>
      <c r="AA795">
        <v>0.55699673804097549</v>
      </c>
      <c r="AB795" t="str">
        <f>HYPERLINK("Melting_Curves/meltCurve_F8VX04_SLC38A1.pdf", "Melting_Curves/meltCurve_F8VX04_SLC38A1.pdf")</f>
        <v>Melting_Curves/meltCurve_F8VX04_SLC38A1.pdf</v>
      </c>
    </row>
    <row r="796" spans="1:28" x14ac:dyDescent="0.25">
      <c r="A796" t="s">
        <v>800</v>
      </c>
      <c r="B796">
        <v>0.99472303558308395</v>
      </c>
      <c r="C796">
        <v>0.93333847238397105</v>
      </c>
      <c r="D796">
        <v>0.92607878609230898</v>
      </c>
      <c r="E796">
        <v>0.68092436742977303</v>
      </c>
      <c r="F796">
        <v>0.51097613391932895</v>
      </c>
      <c r="G796">
        <v>0.33718510050586697</v>
      </c>
      <c r="H796">
        <v>0.27504841280094799</v>
      </c>
      <c r="I796">
        <v>0.29236906392108603</v>
      </c>
      <c r="J796">
        <v>0.43868901952060002</v>
      </c>
      <c r="K796">
        <v>0.44754126870368999</v>
      </c>
      <c r="L796">
        <v>1051.63802545766</v>
      </c>
      <c r="M796">
        <v>22.500703114126502</v>
      </c>
      <c r="N796">
        <v>49.470830749621101</v>
      </c>
      <c r="O796">
        <v>46.373533056449503</v>
      </c>
      <c r="P796">
        <v>-7.8151734305349302E-2</v>
      </c>
      <c r="Q796">
        <v>0.35573604981743001</v>
      </c>
      <c r="R796">
        <v>0.95043727977618897</v>
      </c>
      <c r="S796" t="s">
        <v>7364</v>
      </c>
      <c r="T796" t="s">
        <v>13134</v>
      </c>
      <c r="U796" t="s">
        <v>13134</v>
      </c>
      <c r="V796" t="s">
        <v>13134</v>
      </c>
      <c r="W796" t="s">
        <v>13919</v>
      </c>
      <c r="X796">
        <v>22</v>
      </c>
      <c r="Y796" t="s">
        <v>20412</v>
      </c>
      <c r="Z796" t="s">
        <v>26764</v>
      </c>
      <c r="AA796">
        <v>0.57152914479264005</v>
      </c>
      <c r="AB796" t="str">
        <f>HYPERLINK("Melting_Curves/meltCurve_F8VXG7_SCAF11.pdf", "Melting_Curves/meltCurve_F8VXG7_SCAF11.pdf")</f>
        <v>Melting_Curves/meltCurve_F8VXG7_SCAF11.pdf</v>
      </c>
    </row>
    <row r="797" spans="1:28" x14ac:dyDescent="0.25">
      <c r="A797" t="s">
        <v>801</v>
      </c>
      <c r="B797">
        <v>0.99472303558308395</v>
      </c>
      <c r="C797">
        <v>0.95465484221604902</v>
      </c>
      <c r="D797">
        <v>0.83114241715764103</v>
      </c>
      <c r="E797">
        <v>0.49069192662447803</v>
      </c>
      <c r="F797">
        <v>0.30566299712363798</v>
      </c>
      <c r="G797">
        <v>0.18768241345665901</v>
      </c>
      <c r="H797">
        <v>5.4954291280979499E-2</v>
      </c>
      <c r="I797">
        <v>4.4939387553255897E-2</v>
      </c>
      <c r="J797">
        <v>0.11217148305142</v>
      </c>
      <c r="K797">
        <v>0.107125465190653</v>
      </c>
      <c r="L797">
        <v>799.15256938559799</v>
      </c>
      <c r="M797">
        <v>17.202616291371701</v>
      </c>
      <c r="N797">
        <v>46.897092516115798</v>
      </c>
      <c r="O797">
        <v>45.841152191846</v>
      </c>
      <c r="P797">
        <v>-8.6803655928344894E-2</v>
      </c>
      <c r="Q797">
        <v>7.4804584372486493E-2</v>
      </c>
      <c r="R797">
        <v>0.99245909767684104</v>
      </c>
      <c r="S797" t="s">
        <v>7365</v>
      </c>
      <c r="T797" t="s">
        <v>13134</v>
      </c>
      <c r="U797" t="s">
        <v>13134</v>
      </c>
      <c r="V797" t="s">
        <v>13134</v>
      </c>
      <c r="W797" t="s">
        <v>13920</v>
      </c>
      <c r="X797">
        <v>4</v>
      </c>
      <c r="Y797" t="s">
        <v>20413</v>
      </c>
      <c r="Z797" t="s">
        <v>26765</v>
      </c>
      <c r="AA797">
        <v>0.38267627328584142</v>
      </c>
      <c r="AB797" t="str">
        <f>HYPERLINK("Melting_Curves/meltCurve_F8VXI9_GIT2.pdf", "Melting_Curves/meltCurve_F8VXI9_GIT2.pdf")</f>
        <v>Melting_Curves/meltCurve_F8VXI9_GIT2.pdf</v>
      </c>
    </row>
    <row r="798" spans="1:28" x14ac:dyDescent="0.25">
      <c r="A798" t="s">
        <v>802</v>
      </c>
      <c r="B798">
        <v>0.99472303558308395</v>
      </c>
      <c r="C798">
        <v>0.97295013924718399</v>
      </c>
      <c r="D798">
        <v>0.96051535026975199</v>
      </c>
      <c r="E798">
        <v>0.85171004153916197</v>
      </c>
      <c r="F798">
        <v>0.73245635703711198</v>
      </c>
      <c r="G798">
        <v>0.60796876944874201</v>
      </c>
      <c r="H798">
        <v>0.38161319973873697</v>
      </c>
      <c r="I798">
        <v>0.169334552941626</v>
      </c>
      <c r="J798">
        <v>0.11322562647062701</v>
      </c>
      <c r="K798">
        <v>9.6191037375432595E-2</v>
      </c>
      <c r="L798">
        <v>680.83090280581496</v>
      </c>
      <c r="M798">
        <v>12.445732796773401</v>
      </c>
      <c r="N798">
        <v>54.703962727588198</v>
      </c>
      <c r="O798">
        <v>53.349239689268202</v>
      </c>
      <c r="P798">
        <v>-5.8334183906934102E-2</v>
      </c>
      <c r="Q798">
        <v>0</v>
      </c>
      <c r="R798">
        <v>0.992306466649296</v>
      </c>
      <c r="S798" t="s">
        <v>7366</v>
      </c>
      <c r="T798" t="s">
        <v>13134</v>
      </c>
      <c r="U798" t="s">
        <v>13134</v>
      </c>
      <c r="V798" t="s">
        <v>13134</v>
      </c>
      <c r="W798" t="s">
        <v>13921</v>
      </c>
      <c r="X798">
        <v>8</v>
      </c>
      <c r="Y798" t="s">
        <v>20414</v>
      </c>
      <c r="Z798" t="s">
        <v>26766</v>
      </c>
      <c r="AA798">
        <v>0.6055554900746033</v>
      </c>
      <c r="AB798" t="str">
        <f>HYPERLINK("Melting_Curves/meltCurve_F8VXU5_VPS29.pdf", "Melting_Curves/meltCurve_F8VXU5_VPS29.pdf")</f>
        <v>Melting_Curves/meltCurve_F8VXU5_VPS29.pdf</v>
      </c>
    </row>
    <row r="799" spans="1:28" x14ac:dyDescent="0.25">
      <c r="A799" t="s">
        <v>803</v>
      </c>
      <c r="B799">
        <v>0.99472303558308395</v>
      </c>
      <c r="C799">
        <v>1.0410164938389701</v>
      </c>
      <c r="D799">
        <v>1.0075864954151299</v>
      </c>
      <c r="E799">
        <v>0.95613448403838597</v>
      </c>
      <c r="F799">
        <v>0.75484344295369599</v>
      </c>
      <c r="G799">
        <v>0.34178219912647401</v>
      </c>
      <c r="H799">
        <v>9.6807760039930899E-2</v>
      </c>
      <c r="I799">
        <v>5.1551237616078202E-2</v>
      </c>
      <c r="J799">
        <v>5.2411888767217599E-2</v>
      </c>
      <c r="K799">
        <v>6.2178559071638002E-2</v>
      </c>
      <c r="L799">
        <v>1445.1950563484099</v>
      </c>
      <c r="M799">
        <v>27.706964584757301</v>
      </c>
      <c r="N799">
        <v>52.333541325331801</v>
      </c>
      <c r="O799">
        <v>51.8905476585659</v>
      </c>
      <c r="P799">
        <v>-0.127629412861856</v>
      </c>
      <c r="Q799">
        <v>4.3893686224882697E-2</v>
      </c>
      <c r="R799">
        <v>0.99851743931117498</v>
      </c>
      <c r="S799" t="s">
        <v>7367</v>
      </c>
      <c r="T799" t="s">
        <v>13134</v>
      </c>
      <c r="U799" t="s">
        <v>13134</v>
      </c>
      <c r="V799" t="s">
        <v>13134</v>
      </c>
      <c r="W799" t="s">
        <v>13922</v>
      </c>
      <c r="X799">
        <v>9</v>
      </c>
      <c r="Y799" t="s">
        <v>20404</v>
      </c>
      <c r="Z799" t="s">
        <v>26767</v>
      </c>
      <c r="AA799">
        <v>0.53406700279344399</v>
      </c>
      <c r="AB799" t="str">
        <f>HYPERLINK("Melting_Curves/meltCurve_F8VY35_NAP1L1.pdf", "Melting_Curves/meltCurve_F8VY35_NAP1L1.pdf")</f>
        <v>Melting_Curves/meltCurve_F8VY35_NAP1L1.pdf</v>
      </c>
    </row>
    <row r="800" spans="1:28" x14ac:dyDescent="0.25">
      <c r="A800" t="s">
        <v>804</v>
      </c>
      <c r="B800">
        <v>0.99472303558308395</v>
      </c>
      <c r="C800">
        <v>1.05007932127766</v>
      </c>
      <c r="D800">
        <v>1.0310875845060501</v>
      </c>
      <c r="E800">
        <v>0.87661454862167099</v>
      </c>
      <c r="F800">
        <v>0.75582283556816698</v>
      </c>
      <c r="G800">
        <v>0.44832139338171101</v>
      </c>
      <c r="H800">
        <v>0.29170686672334301</v>
      </c>
      <c r="I800">
        <v>0.107838189806439</v>
      </c>
      <c r="J800">
        <v>5.72701172098539E-2</v>
      </c>
      <c r="K800">
        <v>6.9970124979014697E-2</v>
      </c>
      <c r="L800">
        <v>863.47175861381299</v>
      </c>
      <c r="M800">
        <v>16.189723070166998</v>
      </c>
      <c r="N800">
        <v>53.440244108210798</v>
      </c>
      <c r="O800">
        <v>52.5407391049593</v>
      </c>
      <c r="P800">
        <v>-7.5826152974863503E-2</v>
      </c>
      <c r="Q800">
        <v>1.5754923999618201E-2</v>
      </c>
      <c r="R800">
        <v>0.99325707877421898</v>
      </c>
      <c r="S800" t="s">
        <v>7368</v>
      </c>
      <c r="T800" t="s">
        <v>13134</v>
      </c>
      <c r="U800" t="s">
        <v>13134</v>
      </c>
      <c r="V800" t="s">
        <v>13134</v>
      </c>
      <c r="W800" t="s">
        <v>13923</v>
      </c>
      <c r="X800">
        <v>17</v>
      </c>
      <c r="Y800" t="s">
        <v>20415</v>
      </c>
      <c r="Z800" t="s">
        <v>26768</v>
      </c>
      <c r="AA800">
        <v>0.56752187036924762</v>
      </c>
      <c r="AB800" t="str">
        <f>HYPERLINK("Melting_Curves/meltCurve_F8VYE8_PPP1CC.pdf", "Melting_Curves/meltCurve_F8VYE8_PPP1CC.pdf")</f>
        <v>Melting_Curves/meltCurve_F8VYE8_PPP1CC.pdf</v>
      </c>
    </row>
    <row r="801" spans="1:28" x14ac:dyDescent="0.25">
      <c r="A801" t="s">
        <v>805</v>
      </c>
      <c r="B801">
        <v>0.99472303558308395</v>
      </c>
      <c r="C801">
        <v>0.92763157378875705</v>
      </c>
      <c r="D801">
        <v>0.83900673773738299</v>
      </c>
      <c r="E801">
        <v>0.73350918447296498</v>
      </c>
      <c r="F801">
        <v>0.65668583366774103</v>
      </c>
      <c r="G801">
        <v>0.31353900408448698</v>
      </c>
      <c r="H801">
        <v>0.151886276652932</v>
      </c>
      <c r="I801">
        <v>0.113654841835481</v>
      </c>
      <c r="J801">
        <v>0.15107920490374599</v>
      </c>
      <c r="K801">
        <v>0.111277843621233</v>
      </c>
      <c r="L801">
        <v>615.05763259961202</v>
      </c>
      <c r="M801">
        <v>12.1494157474822</v>
      </c>
      <c r="N801">
        <v>50.941818805001297</v>
      </c>
      <c r="O801">
        <v>49.3115083617894</v>
      </c>
      <c r="P801">
        <v>-5.93639427711228E-2</v>
      </c>
      <c r="Q801">
        <v>3.6446497870020703E-2</v>
      </c>
      <c r="R801">
        <v>0.97624152963782196</v>
      </c>
      <c r="S801" t="s">
        <v>7369</v>
      </c>
      <c r="T801" t="s">
        <v>13134</v>
      </c>
      <c r="U801" t="s">
        <v>13134</v>
      </c>
      <c r="V801" t="s">
        <v>13134</v>
      </c>
      <c r="W801" t="s">
        <v>13924</v>
      </c>
      <c r="X801">
        <v>11</v>
      </c>
      <c r="Y801" t="s">
        <v>20416</v>
      </c>
      <c r="Z801" t="s">
        <v>26769</v>
      </c>
      <c r="AA801">
        <v>0.49952791592706658</v>
      </c>
      <c r="AB801" t="str">
        <f>HYPERLINK("Melting_Curves/meltCurve_F8VZ44_AAAS.pdf", "Melting_Curves/meltCurve_F8VZ44_AAAS.pdf")</f>
        <v>Melting_Curves/meltCurve_F8VZ44_AAAS.pdf</v>
      </c>
    </row>
    <row r="802" spans="1:28" x14ac:dyDescent="0.25">
      <c r="A802" t="s">
        <v>806</v>
      </c>
      <c r="B802">
        <v>0.99472303558308395</v>
      </c>
      <c r="C802">
        <v>0.95726850961858601</v>
      </c>
      <c r="D802">
        <v>0.99097408164404799</v>
      </c>
      <c r="E802">
        <v>0.96769174141538405</v>
      </c>
      <c r="F802">
        <v>0.72968712583342299</v>
      </c>
      <c r="G802">
        <v>0.593227508005577</v>
      </c>
      <c r="H802">
        <v>0.55457322533698905</v>
      </c>
      <c r="I802">
        <v>0.66786019955549702</v>
      </c>
      <c r="J802">
        <v>0.99691373745877798</v>
      </c>
      <c r="K802">
        <v>0.74361161282141996</v>
      </c>
      <c r="L802">
        <v>3262.78267285927</v>
      </c>
      <c r="M802">
        <v>67.922854159797296</v>
      </c>
      <c r="O802">
        <v>47.9950072651068</v>
      </c>
      <c r="P802">
        <v>-0.10196196360724499</v>
      </c>
      <c r="Q802">
        <v>0.71181046519360303</v>
      </c>
      <c r="R802">
        <v>0.57002691139490103</v>
      </c>
      <c r="S802" t="s">
        <v>7370</v>
      </c>
      <c r="T802" t="s">
        <v>13134</v>
      </c>
      <c r="U802" t="s">
        <v>13134</v>
      </c>
      <c r="V802" t="s">
        <v>13134</v>
      </c>
      <c r="W802" t="s">
        <v>13925</v>
      </c>
      <c r="X802">
        <v>1</v>
      </c>
      <c r="Y802" t="s">
        <v>20417</v>
      </c>
      <c r="Z802" t="s">
        <v>26770</v>
      </c>
      <c r="AA802">
        <v>0.81816156240314097</v>
      </c>
      <c r="AB802" t="str">
        <f>HYPERLINK("Melting_Curves/meltCurve_F8VZH8_UNC13A.pdf", "Melting_Curves/meltCurve_F8VZH8_UNC13A.pdf")</f>
        <v>Melting_Curves/meltCurve_F8VZH8_UNC13A.pdf</v>
      </c>
    </row>
    <row r="803" spans="1:28" x14ac:dyDescent="0.25">
      <c r="A803" t="s">
        <v>807</v>
      </c>
      <c r="B803">
        <v>0.99472303558308395</v>
      </c>
      <c r="C803">
        <v>0.91016597200531202</v>
      </c>
      <c r="D803">
        <v>1.0260655059611701</v>
      </c>
      <c r="E803">
        <v>0.96499471037289597</v>
      </c>
      <c r="F803">
        <v>0.75599230055918498</v>
      </c>
      <c r="G803">
        <v>0.68793348322426995</v>
      </c>
      <c r="H803">
        <v>0.71266539482228897</v>
      </c>
      <c r="I803">
        <v>0.82825534222168096</v>
      </c>
      <c r="J803">
        <v>1.071061636102</v>
      </c>
      <c r="K803">
        <v>0.82370215653374301</v>
      </c>
      <c r="L803">
        <v>11718.3425554814</v>
      </c>
      <c r="M803">
        <v>250</v>
      </c>
      <c r="O803">
        <v>46.870371935304703</v>
      </c>
      <c r="P803">
        <v>-0.249000078276158</v>
      </c>
      <c r="Q803">
        <v>0.81326838489699904</v>
      </c>
      <c r="R803">
        <v>0.36631663985965801</v>
      </c>
      <c r="S803" t="s">
        <v>7371</v>
      </c>
      <c r="T803" t="s">
        <v>13134</v>
      </c>
      <c r="U803" t="s">
        <v>13134</v>
      </c>
      <c r="V803" t="s">
        <v>13134</v>
      </c>
      <c r="W803" t="s">
        <v>13926</v>
      </c>
      <c r="X803">
        <v>7</v>
      </c>
      <c r="Y803" t="s">
        <v>20418</v>
      </c>
      <c r="Z803" t="s">
        <v>26771</v>
      </c>
      <c r="AA803">
        <v>0.87473942475470046</v>
      </c>
      <c r="AB803" t="str">
        <f>HYPERLINK("Melting_Curves/meltCurve_F8VZJ2_NACA.pdf", "Melting_Curves/meltCurve_F8VZJ2_NACA.pdf")</f>
        <v>Melting_Curves/meltCurve_F8VZJ2_NACA.pdf</v>
      </c>
    </row>
    <row r="804" spans="1:28" x14ac:dyDescent="0.25">
      <c r="A804" t="s">
        <v>808</v>
      </c>
      <c r="B804">
        <v>0.99472303558308395</v>
      </c>
      <c r="C804">
        <v>0.926701976098255</v>
      </c>
      <c r="D804">
        <v>0.85419764828307398</v>
      </c>
      <c r="E804">
        <v>0.59722965572557896</v>
      </c>
      <c r="F804">
        <v>0.49743119788805001</v>
      </c>
      <c r="G804">
        <v>0.30822048331391599</v>
      </c>
      <c r="H804">
        <v>0.218375441896281</v>
      </c>
      <c r="I804">
        <v>0.25008449863551901</v>
      </c>
      <c r="J804">
        <v>0.26987348328666999</v>
      </c>
      <c r="K804">
        <v>0.249697855196372</v>
      </c>
      <c r="L804">
        <v>686.81166087929705</v>
      </c>
      <c r="M804">
        <v>14.646377198733401</v>
      </c>
      <c r="N804">
        <v>48.897581715571903</v>
      </c>
      <c r="O804">
        <v>46.044780627588999</v>
      </c>
      <c r="P804">
        <v>-6.1579573489325398E-2</v>
      </c>
      <c r="Q804">
        <v>0.22571882514413599</v>
      </c>
      <c r="R804">
        <v>0.9883862370666</v>
      </c>
      <c r="S804" t="s">
        <v>7372</v>
      </c>
      <c r="T804" t="s">
        <v>13134</v>
      </c>
      <c r="U804" t="s">
        <v>13134</v>
      </c>
      <c r="V804" t="s">
        <v>13134</v>
      </c>
      <c r="W804" t="s">
        <v>13927</v>
      </c>
      <c r="X804">
        <v>6</v>
      </c>
      <c r="Y804" t="s">
        <v>20419</v>
      </c>
      <c r="Z804" t="s">
        <v>26772</v>
      </c>
      <c r="AA804">
        <v>0.4992857744837309</v>
      </c>
      <c r="AB804" t="str">
        <f>HYPERLINK("Melting_Curves/meltCurve_F8W0Q9_PPHLN1.pdf", "Melting_Curves/meltCurve_F8W0Q9_PPHLN1.pdf")</f>
        <v>Melting_Curves/meltCurve_F8W0Q9_PPHLN1.pdf</v>
      </c>
    </row>
    <row r="805" spans="1:28" x14ac:dyDescent="0.25">
      <c r="A805" t="s">
        <v>809</v>
      </c>
      <c r="B805">
        <v>0.99472303558308395</v>
      </c>
      <c r="C805">
        <v>1.08755667553294</v>
      </c>
      <c r="D805">
        <v>0.92234208995502898</v>
      </c>
      <c r="E805">
        <v>0.87301320740825805</v>
      </c>
      <c r="F805">
        <v>0.68048064943280295</v>
      </c>
      <c r="G805">
        <v>0.38524040170881602</v>
      </c>
      <c r="H805">
        <v>0.175771230183384</v>
      </c>
      <c r="I805">
        <v>9.0321801322333695E-2</v>
      </c>
      <c r="J805">
        <v>9.9503516108337894E-2</v>
      </c>
      <c r="K805">
        <v>9.97981192045201E-2</v>
      </c>
      <c r="L805">
        <v>953.25903378820703</v>
      </c>
      <c r="M805">
        <v>18.4101205725357</v>
      </c>
      <c r="N805">
        <v>52.158688617872201</v>
      </c>
      <c r="O805">
        <v>51.179744672891601</v>
      </c>
      <c r="P805">
        <v>-8.4294002632476106E-2</v>
      </c>
      <c r="Q805">
        <v>6.2700138333148706E-2</v>
      </c>
      <c r="R805">
        <v>0.99079918520786703</v>
      </c>
      <c r="S805" t="s">
        <v>7373</v>
      </c>
      <c r="T805" t="s">
        <v>13134</v>
      </c>
      <c r="U805" t="s">
        <v>13134</v>
      </c>
      <c r="V805" t="s">
        <v>13134</v>
      </c>
      <c r="W805" t="s">
        <v>13928</v>
      </c>
      <c r="X805">
        <v>2</v>
      </c>
      <c r="Y805" t="s">
        <v>20420</v>
      </c>
      <c r="Z805" t="s">
        <v>26773</v>
      </c>
      <c r="AA805">
        <v>0.53824974586559982</v>
      </c>
      <c r="AB805" t="str">
        <f>HYPERLINK("Melting_Curves/meltCurve_F8W0R1_ERGIC2.pdf", "Melting_Curves/meltCurve_F8W0R1_ERGIC2.pdf")</f>
        <v>Melting_Curves/meltCurve_F8W0R1_ERGIC2.pdf</v>
      </c>
    </row>
    <row r="806" spans="1:28" x14ac:dyDescent="0.25">
      <c r="A806" t="s">
        <v>810</v>
      </c>
      <c r="B806">
        <v>0.99472303558308395</v>
      </c>
      <c r="C806">
        <v>1.02050596372192</v>
      </c>
      <c r="D806">
        <v>0.82099918590646503</v>
      </c>
      <c r="E806">
        <v>0.60931239362687095</v>
      </c>
      <c r="F806">
        <v>0.38243454739494098</v>
      </c>
      <c r="G806">
        <v>0.22127631939482401</v>
      </c>
      <c r="H806">
        <v>0.16238548390628199</v>
      </c>
      <c r="I806">
        <v>0.13116786717267201</v>
      </c>
      <c r="J806">
        <v>0.193130298692886</v>
      </c>
      <c r="K806">
        <v>0.14781600696093899</v>
      </c>
      <c r="L806">
        <v>805.21910046819596</v>
      </c>
      <c r="M806">
        <v>17.110474687559499</v>
      </c>
      <c r="N806">
        <v>48.000743789985499</v>
      </c>
      <c r="O806">
        <v>46.431311943929401</v>
      </c>
      <c r="P806">
        <v>-7.9009040456126597E-2</v>
      </c>
      <c r="Q806">
        <v>0.14244989400418001</v>
      </c>
      <c r="R806">
        <v>0.993053130459015</v>
      </c>
      <c r="S806" t="s">
        <v>7374</v>
      </c>
      <c r="T806" t="s">
        <v>13134</v>
      </c>
      <c r="U806" t="s">
        <v>13134</v>
      </c>
      <c r="V806" t="s">
        <v>13134</v>
      </c>
      <c r="W806" t="s">
        <v>13929</v>
      </c>
      <c r="X806">
        <v>1</v>
      </c>
      <c r="Y806" t="s">
        <v>20421</v>
      </c>
      <c r="Z806" t="s">
        <v>26774</v>
      </c>
      <c r="AA806">
        <v>0.44516219318804739</v>
      </c>
      <c r="AB806" t="str">
        <f>HYPERLINK("Melting_Curves/meltCurve_F8W184_CTDSP2.pdf", "Melting_Curves/meltCurve_F8W184_CTDSP2.pdf")</f>
        <v>Melting_Curves/meltCurve_F8W184_CTDSP2.pdf</v>
      </c>
    </row>
    <row r="807" spans="1:28" x14ac:dyDescent="0.25">
      <c r="A807" t="s">
        <v>811</v>
      </c>
      <c r="B807">
        <v>0.99472303558308395</v>
      </c>
      <c r="C807">
        <v>0.83143327144827694</v>
      </c>
      <c r="D807">
        <v>0.71871082428594801</v>
      </c>
      <c r="E807">
        <v>0.42864989443719498</v>
      </c>
      <c r="F807">
        <v>0.24500604675055701</v>
      </c>
      <c r="G807">
        <v>0.173286355439175</v>
      </c>
      <c r="H807">
        <v>0.119309318291958</v>
      </c>
      <c r="I807">
        <v>0.109402592426324</v>
      </c>
      <c r="J807">
        <v>0.130976998385403</v>
      </c>
      <c r="K807">
        <v>8.8587337493501297E-2</v>
      </c>
      <c r="L807">
        <v>659.58611018703402</v>
      </c>
      <c r="M807">
        <v>14.675154534301299</v>
      </c>
      <c r="N807">
        <v>45.590902911244903</v>
      </c>
      <c r="O807">
        <v>44.135908664566699</v>
      </c>
      <c r="P807">
        <v>-7.5339279428493694E-2</v>
      </c>
      <c r="Q807">
        <v>9.37601219424785E-2</v>
      </c>
      <c r="R807">
        <v>0.99530176019614802</v>
      </c>
      <c r="S807" t="s">
        <v>7375</v>
      </c>
      <c r="T807" t="s">
        <v>13134</v>
      </c>
      <c r="U807" t="s">
        <v>13134</v>
      </c>
      <c r="V807" t="s">
        <v>13134</v>
      </c>
      <c r="W807" t="s">
        <v>13930</v>
      </c>
      <c r="X807">
        <v>7</v>
      </c>
      <c r="Y807" t="s">
        <v>20422</v>
      </c>
      <c r="Z807" t="s">
        <v>26775</v>
      </c>
      <c r="AA807">
        <v>0.35634683499719672</v>
      </c>
      <c r="AB807" t="str">
        <f>HYPERLINK("Melting_Curves/meltCurve_F8W1N9_NFE2.pdf", "Melting_Curves/meltCurve_F8W1N9_NFE2.pdf")</f>
        <v>Melting_Curves/meltCurve_F8W1N9_NFE2.pdf</v>
      </c>
    </row>
    <row r="808" spans="1:28" x14ac:dyDescent="0.25">
      <c r="A808" t="s">
        <v>812</v>
      </c>
      <c r="B808">
        <v>0.99472303558308395</v>
      </c>
      <c r="C808">
        <v>1.2104529021781001</v>
      </c>
      <c r="D808">
        <v>0.95318308172788702</v>
      </c>
      <c r="E808">
        <v>0.74382544240954995</v>
      </c>
      <c r="F808">
        <v>0.92944485895267903</v>
      </c>
      <c r="G808">
        <v>0.248617942070227</v>
      </c>
      <c r="H808">
        <v>0.12264336083647399</v>
      </c>
      <c r="I808">
        <v>8.3545190708356407E-2</v>
      </c>
      <c r="J808">
        <v>8.5527012679732201E-2</v>
      </c>
      <c r="K808">
        <v>0.12152758556721199</v>
      </c>
      <c r="L808">
        <v>2962.95630585346</v>
      </c>
      <c r="M808">
        <v>56.675420585200101</v>
      </c>
      <c r="N808">
        <v>52.488840417925601</v>
      </c>
      <c r="O808">
        <v>52.214440289645196</v>
      </c>
      <c r="P808">
        <v>-0.24389651080790001</v>
      </c>
      <c r="Q808">
        <v>0.101204146485389</v>
      </c>
      <c r="R808">
        <v>0.93953379232830203</v>
      </c>
      <c r="S808" t="s">
        <v>7376</v>
      </c>
      <c r="T808" t="s">
        <v>13134</v>
      </c>
      <c r="U808" t="s">
        <v>13134</v>
      </c>
      <c r="V808" t="s">
        <v>13134</v>
      </c>
      <c r="W808" t="s">
        <v>13931</v>
      </c>
      <c r="X808">
        <v>5</v>
      </c>
      <c r="Y808" t="s">
        <v>20423</v>
      </c>
      <c r="Z808" t="s">
        <v>26776</v>
      </c>
      <c r="AA808">
        <v>0.56058348656643109</v>
      </c>
      <c r="AB808" t="str">
        <f>HYPERLINK("Melting_Curves/meltCurve_F8W689_RFX5.pdf", "Melting_Curves/meltCurve_F8W689_RFX5.pdf")</f>
        <v>Melting_Curves/meltCurve_F8W689_RFX5.pdf</v>
      </c>
    </row>
    <row r="809" spans="1:28" x14ac:dyDescent="0.25">
      <c r="A809" t="s">
        <v>813</v>
      </c>
      <c r="B809">
        <v>0.99472303558308395</v>
      </c>
      <c r="C809">
        <v>0.872226063293427</v>
      </c>
      <c r="D809">
        <v>0.88020084609008298</v>
      </c>
      <c r="E809">
        <v>0.81478260074378805</v>
      </c>
      <c r="F809">
        <v>0.52617744727963001</v>
      </c>
      <c r="G809">
        <v>0.18072582917944</v>
      </c>
      <c r="H809">
        <v>0.101162717793587</v>
      </c>
      <c r="I809">
        <v>9.3072441143115595E-2</v>
      </c>
      <c r="J809">
        <v>0.102512469123272</v>
      </c>
      <c r="K809">
        <v>8.3077367097443997E-2</v>
      </c>
      <c r="L809">
        <v>978.900502268585</v>
      </c>
      <c r="M809">
        <v>19.708607922848199</v>
      </c>
      <c r="N809">
        <v>50.020006869230201</v>
      </c>
      <c r="O809">
        <v>49.165804267755597</v>
      </c>
      <c r="P809">
        <v>-9.3740623456266894E-2</v>
      </c>
      <c r="Q809">
        <v>6.4637300933081704E-2</v>
      </c>
      <c r="R809">
        <v>0.98042091993199398</v>
      </c>
      <c r="S809" t="s">
        <v>7377</v>
      </c>
      <c r="T809" t="s">
        <v>13134</v>
      </c>
      <c r="U809" t="s">
        <v>13134</v>
      </c>
      <c r="V809" t="s">
        <v>13134</v>
      </c>
      <c r="W809" t="s">
        <v>13932</v>
      </c>
      <c r="X809">
        <v>14</v>
      </c>
      <c r="Y809" t="s">
        <v>20424</v>
      </c>
      <c r="Z809" t="s">
        <v>26777</v>
      </c>
      <c r="AA809">
        <v>0.47228074694331812</v>
      </c>
      <c r="AB809" t="str">
        <f>HYPERLINK("Melting_Curves/meltCurve_F8W6I7_HNRNPA1.pdf", "Melting_Curves/meltCurve_F8W6I7_HNRNPA1.pdf")</f>
        <v>Melting_Curves/meltCurve_F8W6I7_HNRNPA1.pdf</v>
      </c>
    </row>
    <row r="810" spans="1:28" x14ac:dyDescent="0.25">
      <c r="A810" t="s">
        <v>814</v>
      </c>
      <c r="B810">
        <v>0.99472303558308395</v>
      </c>
      <c r="C810">
        <v>0.85701677376990903</v>
      </c>
      <c r="D810">
        <v>0.76830592372996398</v>
      </c>
      <c r="E810">
        <v>0.59883784466342505</v>
      </c>
      <c r="F810">
        <v>0.422208960480977</v>
      </c>
      <c r="G810">
        <v>0.18247317104218699</v>
      </c>
      <c r="H810">
        <v>8.9465068130005099E-2</v>
      </c>
      <c r="I810">
        <v>4.83063217332136E-2</v>
      </c>
      <c r="J810">
        <v>7.9481096327078907E-2</v>
      </c>
      <c r="K810">
        <v>6.9274113235073306E-2</v>
      </c>
      <c r="L810">
        <v>547.20639140077003</v>
      </c>
      <c r="M810">
        <v>11.429812725631599</v>
      </c>
      <c r="N810">
        <v>47.875379982893001</v>
      </c>
      <c r="O810">
        <v>46.480160809849401</v>
      </c>
      <c r="P810">
        <v>-6.1494726083530099E-2</v>
      </c>
      <c r="Q810">
        <v>0</v>
      </c>
      <c r="R810">
        <v>0.98961114376570603</v>
      </c>
      <c r="S810" t="s">
        <v>7378</v>
      </c>
      <c r="T810" t="s">
        <v>13134</v>
      </c>
      <c r="U810" t="s">
        <v>13134</v>
      </c>
      <c r="V810" t="s">
        <v>13134</v>
      </c>
      <c r="W810" t="s">
        <v>13933</v>
      </c>
      <c r="X810">
        <v>5</v>
      </c>
      <c r="Y810" t="s">
        <v>20425</v>
      </c>
      <c r="Z810" t="s">
        <v>26778</v>
      </c>
      <c r="AA810">
        <v>0.39632352748343341</v>
      </c>
      <c r="AB810" t="str">
        <f>HYPERLINK("Melting_Curves/meltCurve_F8W6N3_BAP1.pdf", "Melting_Curves/meltCurve_F8W6N3_BAP1.pdf")</f>
        <v>Melting_Curves/meltCurve_F8W6N3_BAP1.pdf</v>
      </c>
    </row>
    <row r="811" spans="1:28" x14ac:dyDescent="0.25">
      <c r="A811" t="s">
        <v>815</v>
      </c>
      <c r="B811">
        <v>0.99472303558308395</v>
      </c>
      <c r="C811">
        <v>1.0412912616696901</v>
      </c>
      <c r="D811">
        <v>0.69810721032397405</v>
      </c>
      <c r="E811">
        <v>0.50099180506072605</v>
      </c>
      <c r="F811">
        <v>0.216732860912662</v>
      </c>
      <c r="G811">
        <v>0.135892900007277</v>
      </c>
      <c r="H811">
        <v>9.7043138503055196E-2</v>
      </c>
      <c r="I811">
        <v>7.5400032234608796E-2</v>
      </c>
      <c r="J811">
        <v>0.101369075054251</v>
      </c>
      <c r="K811">
        <v>7.3490733641256897E-2</v>
      </c>
      <c r="L811">
        <v>830.43346812092602</v>
      </c>
      <c r="M811">
        <v>18.164949018380302</v>
      </c>
      <c r="N811">
        <v>46.144330823372798</v>
      </c>
      <c r="O811">
        <v>45.173003510237898</v>
      </c>
      <c r="P811">
        <v>-9.2739208651934302E-2</v>
      </c>
      <c r="Q811">
        <v>7.7540090269198697E-2</v>
      </c>
      <c r="R811">
        <v>0.98584796440828404</v>
      </c>
      <c r="S811" t="s">
        <v>7379</v>
      </c>
      <c r="T811" t="s">
        <v>13134</v>
      </c>
      <c r="U811" t="s">
        <v>13134</v>
      </c>
      <c r="V811" t="s">
        <v>13134</v>
      </c>
      <c r="W811" t="s">
        <v>13934</v>
      </c>
      <c r="X811">
        <v>4</v>
      </c>
      <c r="Y811" t="s">
        <v>20426</v>
      </c>
      <c r="Z811" t="s">
        <v>26779</v>
      </c>
      <c r="AA811">
        <v>0.36023380614339262</v>
      </c>
      <c r="AB811" t="str">
        <f>HYPERLINK("Melting_Curves/meltCurve_F8W6N8_TRIM5.pdf", "Melting_Curves/meltCurve_F8W6N8_TRIM5.pdf")</f>
        <v>Melting_Curves/meltCurve_F8W6N8_TRIM5.pdf</v>
      </c>
    </row>
    <row r="812" spans="1:28" x14ac:dyDescent="0.25">
      <c r="A812" t="s">
        <v>816</v>
      </c>
      <c r="B812">
        <v>0.99472303558308395</v>
      </c>
      <c r="C812">
        <v>1.15556811668453</v>
      </c>
      <c r="D812">
        <v>0.831765504516219</v>
      </c>
      <c r="E812">
        <v>0.515982522422468</v>
      </c>
      <c r="F812">
        <v>0.30165329289805898</v>
      </c>
      <c r="G812">
        <v>0.13272512673815501</v>
      </c>
      <c r="H812">
        <v>5.8780079677602001E-2</v>
      </c>
      <c r="I812">
        <v>6.9414140978600006E-2</v>
      </c>
      <c r="J812">
        <v>7.9223305159307006E-2</v>
      </c>
      <c r="K812">
        <v>5.6542351544074401E-2</v>
      </c>
      <c r="L812">
        <v>952.19631124050704</v>
      </c>
      <c r="M812">
        <v>20.3545641362353</v>
      </c>
      <c r="N812">
        <v>47.101664715883501</v>
      </c>
      <c r="O812">
        <v>46.335967934223298</v>
      </c>
      <c r="P812">
        <v>-0.10270759128601201</v>
      </c>
      <c r="Q812">
        <v>6.4797239026284106E-2</v>
      </c>
      <c r="R812">
        <v>0.97617042969280099</v>
      </c>
      <c r="S812" t="s">
        <v>7380</v>
      </c>
      <c r="T812" t="s">
        <v>13134</v>
      </c>
      <c r="U812" t="s">
        <v>13134</v>
      </c>
      <c r="V812" t="s">
        <v>13134</v>
      </c>
      <c r="W812" t="s">
        <v>13935</v>
      </c>
      <c r="X812">
        <v>2</v>
      </c>
      <c r="Y812" t="s">
        <v>20427</v>
      </c>
      <c r="Z812" t="s">
        <v>26780</v>
      </c>
      <c r="AA812">
        <v>0.38150666264368932</v>
      </c>
      <c r="AB812" t="str">
        <f>HYPERLINK("Melting_Curves/meltCurve_F8W6Q3_ZNF384.pdf", "Melting_Curves/meltCurve_F8W6Q3_ZNF384.pdf")</f>
        <v>Melting_Curves/meltCurve_F8W6Q3_ZNF384.pdf</v>
      </c>
    </row>
    <row r="813" spans="1:28" x14ac:dyDescent="0.25">
      <c r="A813" t="s">
        <v>817</v>
      </c>
      <c r="B813">
        <v>0.99472303558308395</v>
      </c>
      <c r="C813">
        <v>1.05053153802497</v>
      </c>
      <c r="D813">
        <v>0.86522013707189804</v>
      </c>
      <c r="E813">
        <v>0.877569694477771</v>
      </c>
      <c r="F813">
        <v>1.1289939001309599</v>
      </c>
      <c r="G813">
        <v>0.61482568246450997</v>
      </c>
      <c r="H813">
        <v>0.947227606810227</v>
      </c>
      <c r="I813">
        <v>0.33235742832183301</v>
      </c>
      <c r="J813">
        <v>0.32293521376039303</v>
      </c>
      <c r="K813">
        <v>0.34900419060054999</v>
      </c>
      <c r="L813">
        <v>1069.39550664598</v>
      </c>
      <c r="M813">
        <v>18.188090603779699</v>
      </c>
      <c r="N813">
        <v>60.606677767932901</v>
      </c>
      <c r="O813">
        <v>58.099525420324603</v>
      </c>
      <c r="P813">
        <v>-6.1863940291656101E-2</v>
      </c>
      <c r="Q813">
        <v>0.20957170658239099</v>
      </c>
      <c r="R813">
        <v>0.75378570103731302</v>
      </c>
      <c r="S813" t="s">
        <v>7381</v>
      </c>
      <c r="T813" t="s">
        <v>13134</v>
      </c>
      <c r="U813" t="s">
        <v>13134</v>
      </c>
      <c r="V813" t="s">
        <v>13134</v>
      </c>
      <c r="W813" t="s">
        <v>13936</v>
      </c>
      <c r="X813">
        <v>45</v>
      </c>
      <c r="Y813" t="s">
        <v>20428</v>
      </c>
      <c r="Z813" t="s">
        <v>26781</v>
      </c>
      <c r="AA813">
        <v>0.78681272837449001</v>
      </c>
      <c r="AB813" t="str">
        <f>HYPERLINK("Melting_Curves/meltCurve_F8W720_GMPS.pdf", "Melting_Curves/meltCurve_F8W720_GMPS.pdf")</f>
        <v>Melting_Curves/meltCurve_F8W720_GMPS.pdf</v>
      </c>
    </row>
    <row r="814" spans="1:28" x14ac:dyDescent="0.25">
      <c r="A814" t="s">
        <v>818</v>
      </c>
      <c r="B814">
        <v>0.99472303558308395</v>
      </c>
      <c r="C814">
        <v>0.95995000138195696</v>
      </c>
      <c r="D814">
        <v>0.78091230016793201</v>
      </c>
      <c r="E814">
        <v>0.77993771397279099</v>
      </c>
      <c r="F814">
        <v>0.65398756189573304</v>
      </c>
      <c r="G814">
        <v>0.36336966963754702</v>
      </c>
      <c r="H814">
        <v>0.21640264242597901</v>
      </c>
      <c r="I814">
        <v>0.18604454189962799</v>
      </c>
      <c r="J814">
        <v>0.188615150563019</v>
      </c>
      <c r="K814">
        <v>0.178159773617939</v>
      </c>
      <c r="L814">
        <v>566.78309737413497</v>
      </c>
      <c r="M814">
        <v>11.194787597447799</v>
      </c>
      <c r="N814">
        <v>51.5151537894942</v>
      </c>
      <c r="O814">
        <v>49.094258302551196</v>
      </c>
      <c r="P814">
        <v>-5.2031199507015603E-2</v>
      </c>
      <c r="Q814">
        <v>8.7565377286662596E-2</v>
      </c>
      <c r="R814">
        <v>0.972610997997015</v>
      </c>
      <c r="S814" t="s">
        <v>7382</v>
      </c>
      <c r="T814" t="s">
        <v>13134</v>
      </c>
      <c r="U814" t="s">
        <v>13134</v>
      </c>
      <c r="V814" t="s">
        <v>13134</v>
      </c>
      <c r="W814" t="s">
        <v>13937</v>
      </c>
      <c r="X814">
        <v>2</v>
      </c>
      <c r="Y814" t="s">
        <v>20429</v>
      </c>
      <c r="Z814" t="s">
        <v>26782</v>
      </c>
      <c r="AA814">
        <v>0.52832093541624281</v>
      </c>
      <c r="AB814" t="str">
        <f>HYPERLINK("Melting_Curves/meltCurve_F8W782_ADIPOR1.pdf", "Melting_Curves/meltCurve_F8W782_ADIPOR1.pdf")</f>
        <v>Melting_Curves/meltCurve_F8W782_ADIPOR1.pdf</v>
      </c>
    </row>
    <row r="815" spans="1:28" x14ac:dyDescent="0.25">
      <c r="A815" t="s">
        <v>819</v>
      </c>
      <c r="B815">
        <v>0.99472303558308395</v>
      </c>
      <c r="C815">
        <v>0.92958061002168901</v>
      </c>
      <c r="D815">
        <v>0.78341601322861998</v>
      </c>
      <c r="E815">
        <v>0.71917606296474101</v>
      </c>
      <c r="F815">
        <v>1.1078475971158199</v>
      </c>
      <c r="G815">
        <v>0.49032615571572102</v>
      </c>
      <c r="H815">
        <v>0.57542975559695597</v>
      </c>
      <c r="I815">
        <v>0.34706242244220398</v>
      </c>
      <c r="J815">
        <v>0.756504827740343</v>
      </c>
      <c r="K815">
        <v>1.51705488442478</v>
      </c>
      <c r="L815">
        <v>9534.5809236637597</v>
      </c>
      <c r="M815">
        <v>238.257228727311</v>
      </c>
      <c r="O815">
        <v>40.015194903587897</v>
      </c>
      <c r="P815">
        <v>-0.31690593119365201</v>
      </c>
      <c r="Q815">
        <v>0.78710316967776695</v>
      </c>
      <c r="R815">
        <v>5.0171552791159001E-2</v>
      </c>
      <c r="S815" t="s">
        <v>7383</v>
      </c>
      <c r="T815" t="s">
        <v>13134</v>
      </c>
      <c r="U815" t="s">
        <v>13134</v>
      </c>
      <c r="V815" t="s">
        <v>13134</v>
      </c>
      <c r="W815" t="s">
        <v>13938</v>
      </c>
      <c r="X815">
        <v>1</v>
      </c>
      <c r="Y815" t="s">
        <v>20430</v>
      </c>
      <c r="Z815" t="s">
        <v>26783</v>
      </c>
      <c r="AA815">
        <v>0.80853714696089651</v>
      </c>
      <c r="AB815" t="str">
        <f>HYPERLINK("Melting_Curves/meltCurve_F8W7A7_CCDC178.pdf", "Melting_Curves/meltCurve_F8W7A7_CCDC178.pdf")</f>
        <v>Melting_Curves/meltCurve_F8W7A7_CCDC178.pdf</v>
      </c>
    </row>
    <row r="816" spans="1:28" x14ac:dyDescent="0.25">
      <c r="A816" t="s">
        <v>820</v>
      </c>
      <c r="B816">
        <v>0.99472303558308395</v>
      </c>
      <c r="C816">
        <v>0.96684802333741005</v>
      </c>
      <c r="D816">
        <v>0.76844320335250305</v>
      </c>
      <c r="E816">
        <v>0.64041280892888197</v>
      </c>
      <c r="F816">
        <v>0.63208392029906402</v>
      </c>
      <c r="G816">
        <v>0.357527588846907</v>
      </c>
      <c r="H816">
        <v>0.222759098703045</v>
      </c>
      <c r="I816">
        <v>0.116748720860772</v>
      </c>
      <c r="J816">
        <v>8.3297100969285401E-2</v>
      </c>
      <c r="K816">
        <v>9.2397598958005603E-2</v>
      </c>
      <c r="L816">
        <v>492.31099151043202</v>
      </c>
      <c r="M816">
        <v>9.7422780006452392</v>
      </c>
      <c r="N816">
        <v>50.533456516623303</v>
      </c>
      <c r="O816">
        <v>48.542206775874298</v>
      </c>
      <c r="P816">
        <v>-5.02012260254667E-2</v>
      </c>
      <c r="Q816">
        <v>0</v>
      </c>
      <c r="R816">
        <v>0.97646006346282299</v>
      </c>
      <c r="S816" t="s">
        <v>7384</v>
      </c>
      <c r="T816" t="s">
        <v>13134</v>
      </c>
      <c r="U816" t="s">
        <v>13134</v>
      </c>
      <c r="V816" t="s">
        <v>13134</v>
      </c>
      <c r="W816" t="s">
        <v>13939</v>
      </c>
      <c r="X816">
        <v>8</v>
      </c>
      <c r="Y816" t="s">
        <v>20431</v>
      </c>
      <c r="Z816" t="s">
        <v>26784</v>
      </c>
      <c r="AA816">
        <v>0.48394535776423209</v>
      </c>
      <c r="AB816" t="str">
        <f>HYPERLINK("Melting_Curves/meltCurve_F8W7D6_GPHN.pdf", "Melting_Curves/meltCurve_F8W7D6_GPHN.pdf")</f>
        <v>Melting_Curves/meltCurve_F8W7D6_GPHN.pdf</v>
      </c>
    </row>
    <row r="817" spans="1:28" x14ac:dyDescent="0.25">
      <c r="A817" t="s">
        <v>821</v>
      </c>
      <c r="B817">
        <v>0.99472303558308395</v>
      </c>
      <c r="C817">
        <v>0.84383363872221395</v>
      </c>
      <c r="D817">
        <v>0.80239825784834296</v>
      </c>
      <c r="E817">
        <v>0.67723185466472402</v>
      </c>
      <c r="F817">
        <v>0.51699638445874196</v>
      </c>
      <c r="G817">
        <v>0.32168278797081501</v>
      </c>
      <c r="H817">
        <v>0.158542451738058</v>
      </c>
      <c r="I817">
        <v>0.111476674750301</v>
      </c>
      <c r="J817">
        <v>0.123688749642017</v>
      </c>
      <c r="K817">
        <v>0.133831357521246</v>
      </c>
      <c r="L817">
        <v>484.39419396248701</v>
      </c>
      <c r="M817">
        <v>9.7926243207725996</v>
      </c>
      <c r="N817">
        <v>49.627830403179601</v>
      </c>
      <c r="O817">
        <v>47.534782008819299</v>
      </c>
      <c r="P817">
        <v>-5.07158788148694E-2</v>
      </c>
      <c r="Q817">
        <v>1.5790733859224099E-2</v>
      </c>
      <c r="R817">
        <v>0.98476634986364997</v>
      </c>
      <c r="S817" t="s">
        <v>7385</v>
      </c>
      <c r="T817" t="s">
        <v>13134</v>
      </c>
      <c r="U817" t="s">
        <v>13134</v>
      </c>
      <c r="V817" t="s">
        <v>13134</v>
      </c>
      <c r="W817" t="s">
        <v>13940</v>
      </c>
      <c r="X817">
        <v>2</v>
      </c>
      <c r="Y817" t="s">
        <v>20432</v>
      </c>
      <c r="Z817" t="s">
        <v>26785</v>
      </c>
      <c r="AA817">
        <v>0.46060889789285508</v>
      </c>
      <c r="AB817" t="str">
        <f>HYPERLINK("Melting_Curves/meltCurve_F8W7G7_FN1.pdf", "Melting_Curves/meltCurve_F8W7G7_FN1.pdf")</f>
        <v>Melting_Curves/meltCurve_F8W7G7_FN1.pdf</v>
      </c>
    </row>
    <row r="818" spans="1:28" x14ac:dyDescent="0.25">
      <c r="A818" t="s">
        <v>822</v>
      </c>
      <c r="B818">
        <v>0.99472303558308395</v>
      </c>
      <c r="C818">
        <v>1.0047085500534001</v>
      </c>
      <c r="D818">
        <v>0.90282797774648704</v>
      </c>
      <c r="E818">
        <v>0.69859365300373699</v>
      </c>
      <c r="F818">
        <v>0.546449557735325</v>
      </c>
      <c r="G818">
        <v>0.35347943160774398</v>
      </c>
      <c r="H818">
        <v>0.28839508974988298</v>
      </c>
      <c r="I818">
        <v>0.35812198685650298</v>
      </c>
      <c r="J818">
        <v>0.422042431683817</v>
      </c>
      <c r="K818">
        <v>0.43358740687823299</v>
      </c>
      <c r="L818">
        <v>998.36926146665598</v>
      </c>
      <c r="M818">
        <v>21.274971290103601</v>
      </c>
      <c r="N818">
        <v>50.049644268163597</v>
      </c>
      <c r="O818">
        <v>46.518247740705803</v>
      </c>
      <c r="P818">
        <v>-7.2329479707111802E-2</v>
      </c>
      <c r="Q818">
        <v>0.36741555943436</v>
      </c>
      <c r="R818">
        <v>0.96858133564932503</v>
      </c>
      <c r="S818" t="s">
        <v>7386</v>
      </c>
      <c r="T818" t="s">
        <v>13134</v>
      </c>
      <c r="U818" t="s">
        <v>13134</v>
      </c>
      <c r="V818" t="s">
        <v>13134</v>
      </c>
      <c r="W818" t="s">
        <v>13941</v>
      </c>
      <c r="X818">
        <v>3</v>
      </c>
      <c r="Y818" t="s">
        <v>20433</v>
      </c>
      <c r="Z818" t="s">
        <v>26786</v>
      </c>
      <c r="AA818">
        <v>0.58406566563185391</v>
      </c>
      <c r="AB818" t="str">
        <f>HYPERLINK("Melting_Curves/meltCurve_F8W7Q4_FAM162A.pdf", "Melting_Curves/meltCurve_F8W7Q4_FAM162A.pdf")</f>
        <v>Melting_Curves/meltCurve_F8W7Q4_FAM162A.pdf</v>
      </c>
    </row>
    <row r="819" spans="1:28" x14ac:dyDescent="0.25">
      <c r="A819" t="s">
        <v>823</v>
      </c>
      <c r="B819">
        <v>0.99472303558308395</v>
      </c>
      <c r="C819">
        <v>1.00918971275203</v>
      </c>
      <c r="D819">
        <v>0.69471084086254997</v>
      </c>
      <c r="E819">
        <v>0.538334938123887</v>
      </c>
      <c r="F819">
        <v>0.30871593711009598</v>
      </c>
      <c r="G819">
        <v>0.196845139079241</v>
      </c>
      <c r="H819">
        <v>0.11740883107426001</v>
      </c>
      <c r="I819">
        <v>0.118155184825588</v>
      </c>
      <c r="J819">
        <v>0.111558061979002</v>
      </c>
      <c r="K819">
        <v>9.24791714410622E-2</v>
      </c>
      <c r="L819">
        <v>689.44812557749594</v>
      </c>
      <c r="M819">
        <v>14.9315657806203</v>
      </c>
      <c r="N819">
        <v>46.800560587588599</v>
      </c>
      <c r="O819">
        <v>45.369401873621698</v>
      </c>
      <c r="P819">
        <v>-7.4830079537563501E-2</v>
      </c>
      <c r="Q819">
        <v>9.0611925065754301E-2</v>
      </c>
      <c r="R819">
        <v>0.98724608763253296</v>
      </c>
      <c r="S819" t="s">
        <v>7387</v>
      </c>
      <c r="T819" t="s">
        <v>13134</v>
      </c>
      <c r="U819" t="s">
        <v>13134</v>
      </c>
      <c r="V819" t="s">
        <v>13134</v>
      </c>
      <c r="W819" t="s">
        <v>13942</v>
      </c>
      <c r="X819">
        <v>5</v>
      </c>
      <c r="Y819" t="s">
        <v>20434</v>
      </c>
      <c r="Z819" t="s">
        <v>26787</v>
      </c>
      <c r="AA819">
        <v>0.38975574787225248</v>
      </c>
      <c r="AB819" t="str">
        <f>HYPERLINK("Melting_Curves/meltCurve_F8W894_KANSL3.pdf", "Melting_Curves/meltCurve_F8W894_KANSL3.pdf")</f>
        <v>Melting_Curves/meltCurve_F8W894_KANSL3.pdf</v>
      </c>
    </row>
    <row r="820" spans="1:28" x14ac:dyDescent="0.25">
      <c r="A820" t="s">
        <v>824</v>
      </c>
      <c r="B820">
        <v>0.99472303558308395</v>
      </c>
      <c r="C820">
        <v>0.96561360670941299</v>
      </c>
      <c r="D820">
        <v>0.93093111394654104</v>
      </c>
      <c r="E820">
        <v>0.59784509474313896</v>
      </c>
      <c r="F820">
        <v>0.36958366401155401</v>
      </c>
      <c r="G820">
        <v>4.2952683096284201E-2</v>
      </c>
      <c r="H820">
        <v>4.0886919426866501E-2</v>
      </c>
      <c r="I820">
        <v>4.7459463979952002E-2</v>
      </c>
      <c r="J820">
        <v>0</v>
      </c>
      <c r="K820">
        <v>6.7942648118018395E-2</v>
      </c>
      <c r="L820">
        <v>948.63627880203398</v>
      </c>
      <c r="M820">
        <v>19.813930344533699</v>
      </c>
      <c r="N820">
        <v>47.962428174972899</v>
      </c>
      <c r="O820">
        <v>47.397550246692099</v>
      </c>
      <c r="P820">
        <v>-0.10270570763025499</v>
      </c>
      <c r="Q820">
        <v>1.7290333794179699E-2</v>
      </c>
      <c r="R820">
        <v>0.99004933270774198</v>
      </c>
      <c r="S820" t="s">
        <v>7388</v>
      </c>
      <c r="T820" t="s">
        <v>13134</v>
      </c>
      <c r="U820" t="s">
        <v>13134</v>
      </c>
      <c r="V820" t="s">
        <v>13134</v>
      </c>
      <c r="W820" t="s">
        <v>13943</v>
      </c>
      <c r="X820">
        <v>2</v>
      </c>
      <c r="Y820" t="s">
        <v>20435</v>
      </c>
      <c r="Z820" t="s">
        <v>26788</v>
      </c>
      <c r="AA820">
        <v>0.38673242283174858</v>
      </c>
      <c r="AB820" t="str">
        <f>HYPERLINK("Melting_Curves/meltCurve_F8W8C2_VEZT.pdf", "Melting_Curves/meltCurve_F8W8C2_VEZT.pdf")</f>
        <v>Melting_Curves/meltCurve_F8W8C2_VEZT.pdf</v>
      </c>
    </row>
    <row r="821" spans="1:28" x14ac:dyDescent="0.25">
      <c r="A821" t="s">
        <v>825</v>
      </c>
      <c r="B821">
        <v>0.99472303558308395</v>
      </c>
      <c r="C821">
        <v>0.95774467140469499</v>
      </c>
      <c r="D821">
        <v>0.89094116828149905</v>
      </c>
      <c r="E821">
        <v>0.55069898938036399</v>
      </c>
      <c r="F821">
        <v>0.23957777862465801</v>
      </c>
      <c r="G821">
        <v>0.13402477618981101</v>
      </c>
      <c r="H821">
        <v>9.3565852746577804E-2</v>
      </c>
      <c r="I821">
        <v>8.4443005436809299E-2</v>
      </c>
      <c r="J821">
        <v>0.114383860773075</v>
      </c>
      <c r="K821">
        <v>9.5457381366818195E-2</v>
      </c>
      <c r="L821">
        <v>1070.8771052621901</v>
      </c>
      <c r="M821">
        <v>22.9643675650299</v>
      </c>
      <c r="N821">
        <v>47.050919328457098</v>
      </c>
      <c r="O821">
        <v>46.2828256093634</v>
      </c>
      <c r="P821">
        <v>-0.112580082634959</v>
      </c>
      <c r="Q821">
        <v>9.2432905244756294E-2</v>
      </c>
      <c r="R821">
        <v>0.99907866531036904</v>
      </c>
      <c r="S821" t="s">
        <v>7389</v>
      </c>
      <c r="T821" t="s">
        <v>13134</v>
      </c>
      <c r="U821" t="s">
        <v>13134</v>
      </c>
      <c r="V821" t="s">
        <v>13134</v>
      </c>
      <c r="W821" t="s">
        <v>13944</v>
      </c>
      <c r="X821">
        <v>11</v>
      </c>
      <c r="Y821" t="s">
        <v>20436</v>
      </c>
      <c r="Z821" t="s">
        <v>26789</v>
      </c>
      <c r="AA821">
        <v>0.39282800934983031</v>
      </c>
      <c r="AB821" t="str">
        <f>HYPERLINK("Melting_Curves/meltCurve_F8W8D3_SLBP.pdf", "Melting_Curves/meltCurve_F8W8D3_SLBP.pdf")</f>
        <v>Melting_Curves/meltCurve_F8W8D3_SLBP.pdf</v>
      </c>
    </row>
    <row r="822" spans="1:28" x14ac:dyDescent="0.25">
      <c r="A822" t="s">
        <v>826</v>
      </c>
      <c r="B822">
        <v>0.99472303558308395</v>
      </c>
      <c r="C822">
        <v>0.85520605376534897</v>
      </c>
      <c r="D822">
        <v>1.03209689067376</v>
      </c>
      <c r="E822">
        <v>0.78726914910009105</v>
      </c>
      <c r="F822">
        <v>0.54898890505305997</v>
      </c>
      <c r="G822">
        <v>0.35417629133618</v>
      </c>
      <c r="H822">
        <v>0.263439328212629</v>
      </c>
      <c r="I822">
        <v>0.22675690409642599</v>
      </c>
      <c r="J822">
        <v>0.212294405781629</v>
      </c>
      <c r="K822">
        <v>0.14294022427115</v>
      </c>
      <c r="L822">
        <v>837.48350016411405</v>
      </c>
      <c r="M822">
        <v>16.8246358594089</v>
      </c>
      <c r="N822">
        <v>51.067900912720503</v>
      </c>
      <c r="O822">
        <v>49.089948295138399</v>
      </c>
      <c r="P822">
        <v>-7.0847989815376697E-2</v>
      </c>
      <c r="Q822">
        <v>0.173188575642999</v>
      </c>
      <c r="R822">
        <v>0.97440300563724802</v>
      </c>
      <c r="S822" t="s">
        <v>7390</v>
      </c>
      <c r="T822" t="s">
        <v>13134</v>
      </c>
      <c r="U822" t="s">
        <v>13134</v>
      </c>
      <c r="V822" t="s">
        <v>13134</v>
      </c>
      <c r="W822" t="s">
        <v>13945</v>
      </c>
      <c r="X822">
        <v>8</v>
      </c>
      <c r="Y822" t="s">
        <v>20437</v>
      </c>
      <c r="Z822" t="s">
        <v>26790</v>
      </c>
      <c r="AA822">
        <v>0.53991888898449714</v>
      </c>
      <c r="AB822" t="str">
        <f>HYPERLINK("Melting_Curves/meltCurve_F8W8H5_RAB24.pdf", "Melting_Curves/meltCurve_F8W8H5_RAB24.pdf")</f>
        <v>Melting_Curves/meltCurve_F8W8H5_RAB24.pdf</v>
      </c>
    </row>
    <row r="823" spans="1:28" x14ac:dyDescent="0.25">
      <c r="A823" t="s">
        <v>827</v>
      </c>
      <c r="B823">
        <v>0.99472303558308395</v>
      </c>
      <c r="C823">
        <v>0.89743900215643702</v>
      </c>
      <c r="D823">
        <v>1.0603741572849199</v>
      </c>
      <c r="E823">
        <v>0.80007255353849605</v>
      </c>
      <c r="F823">
        <v>0.573671258307065</v>
      </c>
      <c r="G823">
        <v>0.27366573141557698</v>
      </c>
      <c r="H823">
        <v>6.26408239537775E-2</v>
      </c>
      <c r="I823">
        <v>5.7802533667994899E-2</v>
      </c>
      <c r="J823">
        <v>3.8829354084092799E-2</v>
      </c>
      <c r="K823">
        <v>3.3971887277705101E-2</v>
      </c>
      <c r="L823">
        <v>983.40628037441604</v>
      </c>
      <c r="M823">
        <v>19.394505666176201</v>
      </c>
      <c r="N823">
        <v>50.781873001592999</v>
      </c>
      <c r="O823">
        <v>50.1755446527063</v>
      </c>
      <c r="P823">
        <v>-9.5246085744636694E-2</v>
      </c>
      <c r="Q823">
        <v>1.4390899545254601E-2</v>
      </c>
      <c r="R823">
        <v>0.98638575167658205</v>
      </c>
      <c r="S823" t="s">
        <v>7391</v>
      </c>
      <c r="T823" t="s">
        <v>13134</v>
      </c>
      <c r="U823" t="s">
        <v>13134</v>
      </c>
      <c r="V823" t="s">
        <v>13134</v>
      </c>
      <c r="W823" t="s">
        <v>13946</v>
      </c>
      <c r="X823">
        <v>7</v>
      </c>
      <c r="Y823" t="s">
        <v>20438</v>
      </c>
      <c r="Z823" t="s">
        <v>26791</v>
      </c>
      <c r="AA823">
        <v>0.47828288044875389</v>
      </c>
      <c r="AB823" t="str">
        <f>HYPERLINK("Melting_Curves/meltCurve_F8W8I6_TIA1.pdf", "Melting_Curves/meltCurve_F8W8I6_TIA1.pdf")</f>
        <v>Melting_Curves/meltCurve_F8W8I6_TIA1.pdf</v>
      </c>
    </row>
    <row r="824" spans="1:28" x14ac:dyDescent="0.25">
      <c r="A824" t="s">
        <v>828</v>
      </c>
      <c r="B824">
        <v>0.99472303558308395</v>
      </c>
      <c r="C824">
        <v>0.98428338768574797</v>
      </c>
      <c r="D824">
        <v>0.83959606993339497</v>
      </c>
      <c r="E824">
        <v>0.55346256582068298</v>
      </c>
      <c r="F824">
        <v>0.26258388073224198</v>
      </c>
      <c r="G824">
        <v>0.10422689822208001</v>
      </c>
      <c r="H824">
        <v>5.36455970654727E-2</v>
      </c>
      <c r="I824">
        <v>3.4312043332165199E-2</v>
      </c>
      <c r="J824">
        <v>4.7959009793856498E-2</v>
      </c>
      <c r="K824">
        <v>3.3137904729385798E-2</v>
      </c>
      <c r="L824">
        <v>871.40800553126098</v>
      </c>
      <c r="M824">
        <v>18.544677331406</v>
      </c>
      <c r="N824">
        <v>47.133994366307597</v>
      </c>
      <c r="O824">
        <v>46.453499373196102</v>
      </c>
      <c r="P824">
        <v>-9.7051779628744603E-2</v>
      </c>
      <c r="Q824">
        <v>2.7603488421376499E-2</v>
      </c>
      <c r="R824">
        <v>0.99939206638432698</v>
      </c>
      <c r="S824" t="s">
        <v>7392</v>
      </c>
      <c r="T824" t="s">
        <v>13134</v>
      </c>
      <c r="U824" t="s">
        <v>13134</v>
      </c>
      <c r="V824" t="s">
        <v>13134</v>
      </c>
      <c r="W824" t="s">
        <v>13947</v>
      </c>
      <c r="X824">
        <v>7</v>
      </c>
      <c r="Y824" t="s">
        <v>20439</v>
      </c>
      <c r="Z824" t="s">
        <v>26792</v>
      </c>
      <c r="AA824">
        <v>0.3661432724679225</v>
      </c>
      <c r="AB824" t="str">
        <f>HYPERLINK("Melting_Curves/meltCurve_F8W930_IGF2BP2.pdf", "Melting_Curves/meltCurve_F8W930_IGF2BP2.pdf")</f>
        <v>Melting_Curves/meltCurve_F8W930_IGF2BP2.pdf</v>
      </c>
    </row>
    <row r="825" spans="1:28" x14ac:dyDescent="0.25">
      <c r="A825" t="s">
        <v>829</v>
      </c>
      <c r="B825">
        <v>0.99472303558308395</v>
      </c>
      <c r="C825">
        <v>0.94316431284551405</v>
      </c>
      <c r="D825">
        <v>0.90545134621557199</v>
      </c>
      <c r="E825">
        <v>0.72645487829900501</v>
      </c>
      <c r="F825">
        <v>0.41882732939407102</v>
      </c>
      <c r="G825">
        <v>0.12153405724081801</v>
      </c>
      <c r="H825">
        <v>6.6083012945973504E-2</v>
      </c>
      <c r="I825">
        <v>6.5855124797753406E-2</v>
      </c>
      <c r="J825">
        <v>7.1562805060388604E-2</v>
      </c>
      <c r="K825">
        <v>8.4488795027045399E-2</v>
      </c>
      <c r="L825">
        <v>984.70903307680305</v>
      </c>
      <c r="M825">
        <v>20.235867033781901</v>
      </c>
      <c r="N825">
        <v>48.916136393686003</v>
      </c>
      <c r="O825">
        <v>48.193827651912102</v>
      </c>
      <c r="P825">
        <v>-9.9728182578017993E-2</v>
      </c>
      <c r="Q825">
        <v>4.9977265411063301E-2</v>
      </c>
      <c r="R825">
        <v>0.99421831045851805</v>
      </c>
      <c r="S825" t="s">
        <v>7393</v>
      </c>
      <c r="T825" t="s">
        <v>13134</v>
      </c>
      <c r="U825" t="s">
        <v>13134</v>
      </c>
      <c r="V825" t="s">
        <v>13134</v>
      </c>
      <c r="W825" t="s">
        <v>13948</v>
      </c>
      <c r="X825">
        <v>9</v>
      </c>
      <c r="Y825" t="s">
        <v>20440</v>
      </c>
      <c r="Z825" t="s">
        <v>26793</v>
      </c>
      <c r="AA825">
        <v>0.4315082696325328</v>
      </c>
      <c r="AB825" t="str">
        <f>HYPERLINK("Melting_Curves/meltCurve_F8W9A8_PPIP5K1.pdf", "Melting_Curves/meltCurve_F8W9A8_PPIP5K1.pdf")</f>
        <v>Melting_Curves/meltCurve_F8W9A8_PPIP5K1.pdf</v>
      </c>
    </row>
    <row r="826" spans="1:28" x14ac:dyDescent="0.25">
      <c r="A826" t="s">
        <v>830</v>
      </c>
      <c r="B826">
        <v>0.99472303558308395</v>
      </c>
      <c r="C826">
        <v>1.1871256881627701</v>
      </c>
      <c r="D826">
        <v>0.853160824774577</v>
      </c>
      <c r="E826">
        <v>0.710044847136452</v>
      </c>
      <c r="F826">
        <v>0.55773292532102503</v>
      </c>
      <c r="G826">
        <v>0.29019002782896802</v>
      </c>
      <c r="H826">
        <v>0.14475457682087201</v>
      </c>
      <c r="I826">
        <v>0.14722697998460099</v>
      </c>
      <c r="J826">
        <v>0.14462954197022099</v>
      </c>
      <c r="K826">
        <v>0.11876378057336701</v>
      </c>
      <c r="L826">
        <v>782.87561622752401</v>
      </c>
      <c r="M826">
        <v>15.8225118598424</v>
      </c>
      <c r="N826">
        <v>50.187863011145701</v>
      </c>
      <c r="O826">
        <v>48.708474747566903</v>
      </c>
      <c r="P826">
        <v>-7.3080141559168796E-2</v>
      </c>
      <c r="Q826">
        <v>0.10018572624809099</v>
      </c>
      <c r="R826">
        <v>0.96156535535839205</v>
      </c>
      <c r="S826" t="s">
        <v>7394</v>
      </c>
      <c r="T826" t="s">
        <v>13134</v>
      </c>
      <c r="U826" t="s">
        <v>13134</v>
      </c>
      <c r="V826" t="s">
        <v>13134</v>
      </c>
      <c r="W826" t="s">
        <v>13949</v>
      </c>
      <c r="X826">
        <v>2</v>
      </c>
      <c r="Y826" t="s">
        <v>20441</v>
      </c>
      <c r="Z826" t="s">
        <v>26794</v>
      </c>
      <c r="AA826">
        <v>0.49206646856345332</v>
      </c>
      <c r="AB826" t="str">
        <f>HYPERLINK("Melting_Curves/meltCurve_F8W9B9_SYTL4.pdf", "Melting_Curves/meltCurve_F8W9B9_SYTL4.pdf")</f>
        <v>Melting_Curves/meltCurve_F8W9B9_SYTL4.pdf</v>
      </c>
    </row>
    <row r="827" spans="1:28" x14ac:dyDescent="0.25">
      <c r="A827" t="s">
        <v>831</v>
      </c>
      <c r="B827">
        <v>0.99472303558308395</v>
      </c>
      <c r="C827">
        <v>1.0082482990377</v>
      </c>
      <c r="D827">
        <v>0.84544594833688003</v>
      </c>
      <c r="E827">
        <v>0.64095911521722604</v>
      </c>
      <c r="F827">
        <v>0.28719917928567401</v>
      </c>
      <c r="G827">
        <v>0.15779015893815099</v>
      </c>
      <c r="H827">
        <v>9.7896961587325401E-2</v>
      </c>
      <c r="I827">
        <v>9.2685429652293594E-2</v>
      </c>
      <c r="J827">
        <v>8.8989688449367998E-2</v>
      </c>
      <c r="K827">
        <v>8.0410822562356696E-2</v>
      </c>
      <c r="L827">
        <v>928.01691892408803</v>
      </c>
      <c r="M827">
        <v>19.596681278667599</v>
      </c>
      <c r="N827">
        <v>47.761014157589699</v>
      </c>
      <c r="O827">
        <v>46.870963751982103</v>
      </c>
      <c r="P827">
        <v>-9.6523097569220603E-2</v>
      </c>
      <c r="Q827">
        <v>7.6584250278327007E-2</v>
      </c>
      <c r="R827">
        <v>0.99706176536326196</v>
      </c>
      <c r="S827" t="s">
        <v>7395</v>
      </c>
      <c r="T827" t="s">
        <v>13134</v>
      </c>
      <c r="U827" t="s">
        <v>13134</v>
      </c>
      <c r="V827" t="s">
        <v>13134</v>
      </c>
      <c r="W827" t="s">
        <v>13950</v>
      </c>
      <c r="X827">
        <v>8</v>
      </c>
      <c r="Y827" t="s">
        <v>20442</v>
      </c>
      <c r="Z827" t="s">
        <v>26795</v>
      </c>
      <c r="AA827">
        <v>0.40793068637874891</v>
      </c>
      <c r="AB827" t="str">
        <f>HYPERLINK("Melting_Curves/meltCurve_F8W9Q9_LENG8.pdf", "Melting_Curves/meltCurve_F8W9Q9_LENG8.pdf")</f>
        <v>Melting_Curves/meltCurve_F8W9Q9_LENG8.pdf</v>
      </c>
    </row>
    <row r="828" spans="1:28" x14ac:dyDescent="0.25">
      <c r="A828" t="s">
        <v>832</v>
      </c>
      <c r="B828">
        <v>0.99472303558308395</v>
      </c>
      <c r="C828">
        <v>0.88506462201372005</v>
      </c>
      <c r="D828">
        <v>0.75125919847567102</v>
      </c>
      <c r="E828">
        <v>0.52236023621459704</v>
      </c>
      <c r="F828">
        <v>0.28136059784357798</v>
      </c>
      <c r="G828">
        <v>0.114206116214304</v>
      </c>
      <c r="H828">
        <v>7.4681223837001098E-2</v>
      </c>
      <c r="I828">
        <v>6.0794368112114597E-2</v>
      </c>
      <c r="J828">
        <v>6.8572449934024504E-2</v>
      </c>
      <c r="K828">
        <v>5.9616720256514003E-2</v>
      </c>
      <c r="L828">
        <v>666.30285175934705</v>
      </c>
      <c r="M828">
        <v>14.3792476811643</v>
      </c>
      <c r="N828">
        <v>46.559908381099497</v>
      </c>
      <c r="O828">
        <v>45.469235833772601</v>
      </c>
      <c r="P828">
        <v>-7.6448896801806596E-2</v>
      </c>
      <c r="Q828">
        <v>3.3145870141819002E-2</v>
      </c>
      <c r="R828">
        <v>0.996841462783286</v>
      </c>
      <c r="S828" t="s">
        <v>7396</v>
      </c>
      <c r="T828" t="s">
        <v>13134</v>
      </c>
      <c r="U828" t="s">
        <v>13134</v>
      </c>
      <c r="V828" t="s">
        <v>13134</v>
      </c>
      <c r="W828" t="s">
        <v>13951</v>
      </c>
      <c r="X828">
        <v>8</v>
      </c>
      <c r="Y828" t="s">
        <v>20443</v>
      </c>
      <c r="Z828" t="s">
        <v>26796</v>
      </c>
      <c r="AA828">
        <v>0.35798687498842002</v>
      </c>
      <c r="AB828" t="str">
        <f>HYPERLINK("Melting_Curves/meltCurve_F8W9X7_CCDC93.pdf", "Melting_Curves/meltCurve_F8W9X7_CCDC93.pdf")</f>
        <v>Melting_Curves/meltCurve_F8W9X7_CCDC93.pdf</v>
      </c>
    </row>
    <row r="829" spans="1:28" x14ac:dyDescent="0.25">
      <c r="A829" t="s">
        <v>833</v>
      </c>
      <c r="B829">
        <v>0.99472303558308395</v>
      </c>
      <c r="C829">
        <v>1.0530269824602201</v>
      </c>
      <c r="D829">
        <v>0.87461485379680304</v>
      </c>
      <c r="E829">
        <v>0.67771679549740405</v>
      </c>
      <c r="F829">
        <v>0.307298749990499</v>
      </c>
      <c r="G829">
        <v>0.15032476349241</v>
      </c>
      <c r="H829">
        <v>0.101808238929295</v>
      </c>
      <c r="I829">
        <v>6.6151060628139094E-2</v>
      </c>
      <c r="J829">
        <v>9.3614471239265501E-2</v>
      </c>
      <c r="K829">
        <v>9.4303399430552395E-2</v>
      </c>
      <c r="L829">
        <v>1033.4183774369901</v>
      </c>
      <c r="M829">
        <v>21.649084649648501</v>
      </c>
      <c r="N829">
        <v>48.115924475949498</v>
      </c>
      <c r="O829">
        <v>47.333275817587797</v>
      </c>
      <c r="P829">
        <v>-0.10534066664574</v>
      </c>
      <c r="Q829">
        <v>7.8760133816033404E-2</v>
      </c>
      <c r="R829">
        <v>0.99485877324521299</v>
      </c>
      <c r="S829" t="s">
        <v>7397</v>
      </c>
      <c r="T829" t="s">
        <v>13134</v>
      </c>
      <c r="U829" t="s">
        <v>13134</v>
      </c>
      <c r="V829" t="s">
        <v>13134</v>
      </c>
      <c r="W829" t="s">
        <v>13952</v>
      </c>
      <c r="X829">
        <v>7</v>
      </c>
      <c r="Y829" t="s">
        <v>20444</v>
      </c>
      <c r="Z829" t="s">
        <v>26797</v>
      </c>
      <c r="AA829">
        <v>0.41878925786404592</v>
      </c>
      <c r="AB829" t="str">
        <f>HYPERLINK("Melting_Curves/meltCurve_F8WA39_MTMR1.pdf", "Melting_Curves/meltCurve_F8WA39_MTMR1.pdf")</f>
        <v>Melting_Curves/meltCurve_F8WA39_MTMR1.pdf</v>
      </c>
    </row>
    <row r="830" spans="1:28" x14ac:dyDescent="0.25">
      <c r="A830" t="s">
        <v>834</v>
      </c>
      <c r="B830">
        <v>0.99472303558308395</v>
      </c>
      <c r="C830">
        <v>0.98192820751190502</v>
      </c>
      <c r="D830">
        <v>0.87185299584873599</v>
      </c>
      <c r="E830">
        <v>0.68384489790307501</v>
      </c>
      <c r="F830">
        <v>0.552654425846139</v>
      </c>
      <c r="G830">
        <v>0.27762771471130998</v>
      </c>
      <c r="H830">
        <v>0.14179565848543699</v>
      </c>
      <c r="I830">
        <v>0.105627956521077</v>
      </c>
      <c r="J830">
        <v>0.10397371980223601</v>
      </c>
      <c r="K830">
        <v>8.2578156720889695E-2</v>
      </c>
      <c r="L830">
        <v>652.46192228697498</v>
      </c>
      <c r="M830">
        <v>13.1214581188582</v>
      </c>
      <c r="N830">
        <v>50.016390087076999</v>
      </c>
      <c r="O830">
        <v>48.612398975463897</v>
      </c>
      <c r="P830">
        <v>-6.5006348957963395E-2</v>
      </c>
      <c r="Q830">
        <v>3.6821610993717099E-2</v>
      </c>
      <c r="R830">
        <v>0.99362875570879605</v>
      </c>
      <c r="S830" t="s">
        <v>7398</v>
      </c>
      <c r="T830" t="s">
        <v>13134</v>
      </c>
      <c r="U830" t="s">
        <v>13134</v>
      </c>
      <c r="V830" t="s">
        <v>13134</v>
      </c>
      <c r="W830" t="s">
        <v>13953</v>
      </c>
      <c r="X830">
        <v>10</v>
      </c>
      <c r="Y830" t="s">
        <v>20445</v>
      </c>
      <c r="Z830" t="s">
        <v>26798</v>
      </c>
      <c r="AA830">
        <v>0.46986279039387802</v>
      </c>
      <c r="AB830" t="str">
        <f>HYPERLINK("Melting_Curves/meltCurve_F8WAC3_UCKL1.pdf", "Melting_Curves/meltCurve_F8WAC3_UCKL1.pdf")</f>
        <v>Melting_Curves/meltCurve_F8WAC3_UCKL1.pdf</v>
      </c>
    </row>
    <row r="831" spans="1:28" x14ac:dyDescent="0.25">
      <c r="A831" t="s">
        <v>835</v>
      </c>
      <c r="B831">
        <v>0.99472303558308395</v>
      </c>
      <c r="C831">
        <v>0.924719325976744</v>
      </c>
      <c r="D831">
        <v>0.80955239267910395</v>
      </c>
      <c r="E831">
        <v>0.66938759569959705</v>
      </c>
      <c r="F831">
        <v>0.70154815979255203</v>
      </c>
      <c r="G831">
        <v>0.25422668185453201</v>
      </c>
      <c r="H831">
        <v>7.0833421061701901E-2</v>
      </c>
      <c r="I831">
        <v>4.6799773628263298E-2</v>
      </c>
      <c r="J831">
        <v>5.9837791670056803E-2</v>
      </c>
      <c r="K831">
        <v>4.7889549658565601E-2</v>
      </c>
      <c r="L831">
        <v>661.05554814067796</v>
      </c>
      <c r="M831">
        <v>13.1387865624444</v>
      </c>
      <c r="N831">
        <v>50.313292394304099</v>
      </c>
      <c r="O831">
        <v>49.190597922289498</v>
      </c>
      <c r="P831">
        <v>-6.6786236040925095E-2</v>
      </c>
      <c r="Q831">
        <v>0</v>
      </c>
      <c r="R831">
        <v>0.95326907728182397</v>
      </c>
      <c r="S831" t="s">
        <v>7399</v>
      </c>
      <c r="T831" t="s">
        <v>13134</v>
      </c>
      <c r="U831" t="s">
        <v>13134</v>
      </c>
      <c r="V831" t="s">
        <v>13134</v>
      </c>
      <c r="W831" t="s">
        <v>13954</v>
      </c>
      <c r="X831">
        <v>16</v>
      </c>
      <c r="Y831" t="s">
        <v>20446</v>
      </c>
      <c r="Z831" t="s">
        <v>26799</v>
      </c>
      <c r="AA831">
        <v>0.46841239644113292</v>
      </c>
      <c r="AB831" t="str">
        <f>HYPERLINK("Melting_Curves/meltCurve_F8WAK8_STAG2.pdf", "Melting_Curves/meltCurve_F8WAK8_STAG2.pdf")</f>
        <v>Melting_Curves/meltCurve_F8WAK8_STAG2.pdf</v>
      </c>
    </row>
    <row r="832" spans="1:28" x14ac:dyDescent="0.25">
      <c r="A832" t="s">
        <v>836</v>
      </c>
      <c r="B832">
        <v>0.99472303558308395</v>
      </c>
      <c r="C832">
        <v>0.91462918252528302</v>
      </c>
      <c r="D832">
        <v>0.93910062980116404</v>
      </c>
      <c r="E832">
        <v>0.88763437900812203</v>
      </c>
      <c r="F832">
        <v>0.58778143583067</v>
      </c>
      <c r="G832">
        <v>0.24815870649515001</v>
      </c>
      <c r="H832">
        <v>0.16433221596043099</v>
      </c>
      <c r="I832">
        <v>0.16945702982153399</v>
      </c>
      <c r="J832">
        <v>0.223214651190043</v>
      </c>
      <c r="K832">
        <v>0.179536101621733</v>
      </c>
      <c r="L832">
        <v>1418.6870318204899</v>
      </c>
      <c r="M832">
        <v>28.371504248866</v>
      </c>
      <c r="N832">
        <v>50.771185908143302</v>
      </c>
      <c r="O832">
        <v>49.757495315612402</v>
      </c>
      <c r="P832">
        <v>-0.117698290631486</v>
      </c>
      <c r="Q832">
        <v>0.17433711760302401</v>
      </c>
      <c r="R832">
        <v>0.98785108659976495</v>
      </c>
      <c r="S832" t="s">
        <v>7400</v>
      </c>
      <c r="T832" t="s">
        <v>13134</v>
      </c>
      <c r="U832" t="s">
        <v>13134</v>
      </c>
      <c r="V832" t="s">
        <v>13134</v>
      </c>
      <c r="W832" t="s">
        <v>13955</v>
      </c>
      <c r="X832">
        <v>5</v>
      </c>
      <c r="Y832" t="s">
        <v>20447</v>
      </c>
      <c r="Z832" t="s">
        <v>26800</v>
      </c>
      <c r="AA832">
        <v>0.53788688285087538</v>
      </c>
      <c r="AB832" t="str">
        <f>HYPERLINK("Melting_Curves/meltCurve_F8WBK5_MRPL40.pdf", "Melting_Curves/meltCurve_F8WBK5_MRPL40.pdf")</f>
        <v>Melting_Curves/meltCurve_F8WBK5_MRPL40.pdf</v>
      </c>
    </row>
    <row r="833" spans="1:28" x14ac:dyDescent="0.25">
      <c r="A833" t="s">
        <v>837</v>
      </c>
      <c r="B833">
        <v>0.99472303558308395</v>
      </c>
      <c r="C833">
        <v>0.77052691789993399</v>
      </c>
      <c r="D833">
        <v>0.74251134765752103</v>
      </c>
      <c r="E833">
        <v>0.75050491275208098</v>
      </c>
      <c r="F833">
        <v>0.41857059440656902</v>
      </c>
      <c r="G833">
        <v>0.32863244254905299</v>
      </c>
      <c r="H833">
        <v>7.8068253824940495E-2</v>
      </c>
      <c r="I833">
        <v>0.17730681468308901</v>
      </c>
      <c r="J833">
        <v>9.3307433092492703E-2</v>
      </c>
      <c r="K833">
        <v>0.20502763440567301</v>
      </c>
      <c r="L833">
        <v>472.01640733952001</v>
      </c>
      <c r="M833">
        <v>9.7610833953384901</v>
      </c>
      <c r="N833">
        <v>48.869812288420803</v>
      </c>
      <c r="O833">
        <v>46.458352005417602</v>
      </c>
      <c r="P833">
        <v>-4.9995636722877303E-2</v>
      </c>
      <c r="Q833">
        <v>4.8680898499705597E-2</v>
      </c>
      <c r="R833">
        <v>0.93038343396937295</v>
      </c>
      <c r="S833" t="s">
        <v>7401</v>
      </c>
      <c r="T833" t="s">
        <v>13134</v>
      </c>
      <c r="U833" t="s">
        <v>13134</v>
      </c>
      <c r="V833" t="s">
        <v>13134</v>
      </c>
      <c r="W833" t="s">
        <v>13956</v>
      </c>
      <c r="X833">
        <v>5</v>
      </c>
      <c r="Y833" t="s">
        <v>20448</v>
      </c>
      <c r="Z833" t="s">
        <v>26801</v>
      </c>
      <c r="AA833">
        <v>0.44710381150862549</v>
      </c>
      <c r="AB833" t="str">
        <f>HYPERLINK("Melting_Curves/meltCurve_F8WBT5_PINX1.pdf", "Melting_Curves/meltCurve_F8WBT5_PINX1.pdf")</f>
        <v>Melting_Curves/meltCurve_F8WBT5_PINX1.pdf</v>
      </c>
    </row>
    <row r="834" spans="1:28" x14ac:dyDescent="0.25">
      <c r="A834" t="s">
        <v>838</v>
      </c>
      <c r="B834">
        <v>0.99472303558308395</v>
      </c>
      <c r="C834">
        <v>0.984503010465832</v>
      </c>
      <c r="D834">
        <v>0.93815218302551595</v>
      </c>
      <c r="E834">
        <v>0.83204061479969305</v>
      </c>
      <c r="F834">
        <v>0.59516839203820904</v>
      </c>
      <c r="G834">
        <v>0.284641847413588</v>
      </c>
      <c r="H834">
        <v>0.104069742944113</v>
      </c>
      <c r="I834">
        <v>7.4916016105363303E-2</v>
      </c>
      <c r="J834">
        <v>0.10449636444647201</v>
      </c>
      <c r="K834">
        <v>6.3993760768802602E-2</v>
      </c>
      <c r="L834">
        <v>970.49633997256205</v>
      </c>
      <c r="M834">
        <v>19.154212902463598</v>
      </c>
      <c r="N834">
        <v>50.957581974937703</v>
      </c>
      <c r="O834">
        <v>50.124940440432397</v>
      </c>
      <c r="P834">
        <v>-9.0601705277614394E-2</v>
      </c>
      <c r="Q834">
        <v>5.1648969711499099E-2</v>
      </c>
      <c r="R834">
        <v>0.99663734357485301</v>
      </c>
      <c r="S834" t="s">
        <v>7402</v>
      </c>
      <c r="T834" t="s">
        <v>13134</v>
      </c>
      <c r="U834" t="s">
        <v>13134</v>
      </c>
      <c r="V834" t="s">
        <v>13134</v>
      </c>
      <c r="W834" t="s">
        <v>13957</v>
      </c>
      <c r="X834">
        <v>4</v>
      </c>
      <c r="Y834" t="s">
        <v>20449</v>
      </c>
      <c r="Z834" t="s">
        <v>26802</v>
      </c>
      <c r="AA834">
        <v>0.49708559643276701</v>
      </c>
      <c r="AB834" t="str">
        <f>HYPERLINK("Melting_Curves/meltCurve_F8WBY6_GTPBP8.pdf", "Melting_Curves/meltCurve_F8WBY6_GTPBP8.pdf")</f>
        <v>Melting_Curves/meltCurve_F8WBY6_GTPBP8.pdf</v>
      </c>
    </row>
    <row r="835" spans="1:28" x14ac:dyDescent="0.25">
      <c r="A835" t="s">
        <v>839</v>
      </c>
      <c r="B835">
        <v>0.99472303558308395</v>
      </c>
      <c r="C835">
        <v>1.01636675860425</v>
      </c>
      <c r="D835">
        <v>1.10085959917509</v>
      </c>
      <c r="E835">
        <v>0.93881600272063404</v>
      </c>
      <c r="F835">
        <v>0.70630684160891799</v>
      </c>
      <c r="G835">
        <v>0.29768810544876101</v>
      </c>
      <c r="H835">
        <v>7.4742986655546698E-2</v>
      </c>
      <c r="I835">
        <v>4.80368113212934E-2</v>
      </c>
      <c r="J835">
        <v>3.0342411664109802E-2</v>
      </c>
      <c r="K835">
        <v>3.1730536023812601E-2</v>
      </c>
      <c r="L835">
        <v>1393.5475692509599</v>
      </c>
      <c r="M835">
        <v>26.901061249942799</v>
      </c>
      <c r="N835">
        <v>51.903181428422997</v>
      </c>
      <c r="O835">
        <v>51.5189744783846</v>
      </c>
      <c r="P835">
        <v>-0.127228779150905</v>
      </c>
      <c r="Q835">
        <v>2.5372230152721501E-2</v>
      </c>
      <c r="R835">
        <v>0.99392241902456602</v>
      </c>
      <c r="S835" t="s">
        <v>7403</v>
      </c>
      <c r="T835" t="s">
        <v>13134</v>
      </c>
      <c r="U835" t="s">
        <v>13134</v>
      </c>
      <c r="V835" t="s">
        <v>13134</v>
      </c>
      <c r="W835" t="s">
        <v>13958</v>
      </c>
      <c r="X835">
        <v>6</v>
      </c>
      <c r="Y835" t="s">
        <v>20450</v>
      </c>
      <c r="Z835" t="s">
        <v>26803</v>
      </c>
      <c r="AA835">
        <v>0.51382008168156679</v>
      </c>
      <c r="AB835" t="str">
        <f>HYPERLINK("Melting_Curves/meltCurve_F8WC68_DOM3Z.pdf", "Melting_Curves/meltCurve_F8WC68_DOM3Z.pdf")</f>
        <v>Melting_Curves/meltCurve_F8WC68_DOM3Z.pdf</v>
      </c>
    </row>
    <row r="836" spans="1:28" x14ac:dyDescent="0.25">
      <c r="A836" t="s">
        <v>840</v>
      </c>
      <c r="B836">
        <v>0.99472303558308395</v>
      </c>
      <c r="C836">
        <v>0.97511255267889396</v>
      </c>
      <c r="D836">
        <v>0.95007111654233001</v>
      </c>
      <c r="E836">
        <v>0.91122332700480602</v>
      </c>
      <c r="F836">
        <v>0.84759310758786399</v>
      </c>
      <c r="G836">
        <v>0.54702258750170696</v>
      </c>
      <c r="H836">
        <v>0.42816936204297401</v>
      </c>
      <c r="I836">
        <v>0.32925917706975999</v>
      </c>
      <c r="J836">
        <v>0.38736245841259098</v>
      </c>
      <c r="K836">
        <v>0.33438516218331898</v>
      </c>
      <c r="L836">
        <v>1164.8197551555199</v>
      </c>
      <c r="M836">
        <v>22.283786133571599</v>
      </c>
      <c r="N836">
        <v>55.052373761960503</v>
      </c>
      <c r="O836">
        <v>51.856559294246601</v>
      </c>
      <c r="P836">
        <v>-7.11481345821314E-2</v>
      </c>
      <c r="Q836">
        <v>0.33773905706403801</v>
      </c>
      <c r="R836">
        <v>0.98730803436470405</v>
      </c>
      <c r="S836" t="s">
        <v>7404</v>
      </c>
      <c r="T836" t="s">
        <v>13134</v>
      </c>
      <c r="U836" t="s">
        <v>13134</v>
      </c>
      <c r="V836" t="s">
        <v>13134</v>
      </c>
      <c r="W836" t="s">
        <v>13959</v>
      </c>
      <c r="X836">
        <v>4</v>
      </c>
      <c r="Y836" t="s">
        <v>20451</v>
      </c>
      <c r="Z836" t="s">
        <v>26804</v>
      </c>
      <c r="AA836">
        <v>0.68202935080491145</v>
      </c>
      <c r="AB836" t="str">
        <f>HYPERLINK("Melting_Curves/meltCurve_F8WCD0_RNF149.pdf", "Melting_Curves/meltCurve_F8WCD0_RNF149.pdf")</f>
        <v>Melting_Curves/meltCurve_F8WCD0_RNF149.pdf</v>
      </c>
    </row>
    <row r="837" spans="1:28" x14ac:dyDescent="0.25">
      <c r="A837" t="s">
        <v>841</v>
      </c>
      <c r="B837">
        <v>0.99472303558308395</v>
      </c>
      <c r="C837">
        <v>0.98748609075028004</v>
      </c>
      <c r="D837">
        <v>0.77964584843646301</v>
      </c>
      <c r="E837">
        <v>0.58667615880727597</v>
      </c>
      <c r="F837">
        <v>0.20350205680684499</v>
      </c>
      <c r="G837">
        <v>0.110161688877872</v>
      </c>
      <c r="H837">
        <v>6.8880196280511202E-2</v>
      </c>
      <c r="I837">
        <v>4.8776441217551002E-2</v>
      </c>
      <c r="J837">
        <v>6.01303739983799E-2</v>
      </c>
      <c r="K837">
        <v>4.9158214659914802E-2</v>
      </c>
      <c r="L837">
        <v>871.13889267193599</v>
      </c>
      <c r="M837">
        <v>18.657261800258802</v>
      </c>
      <c r="N837">
        <v>46.900468249003602</v>
      </c>
      <c r="O837">
        <v>46.165177302119801</v>
      </c>
      <c r="P837">
        <v>-9.7013154407606994E-2</v>
      </c>
      <c r="Q837">
        <v>3.9850727028405898E-2</v>
      </c>
      <c r="R837">
        <v>0.99351728702095099</v>
      </c>
      <c r="S837" t="s">
        <v>7405</v>
      </c>
      <c r="T837" t="s">
        <v>13134</v>
      </c>
      <c r="U837" t="s">
        <v>13134</v>
      </c>
      <c r="V837" t="s">
        <v>13134</v>
      </c>
      <c r="W837" t="s">
        <v>13960</v>
      </c>
      <c r="X837">
        <v>21</v>
      </c>
      <c r="Y837" t="s">
        <v>20452</v>
      </c>
      <c r="Z837" t="s">
        <v>26805</v>
      </c>
      <c r="AA837">
        <v>0.36443147732219128</v>
      </c>
      <c r="AB837" t="str">
        <f>HYPERLINK("Melting_Curves/meltCurve_F8WCP6_KIF21A.pdf", "Melting_Curves/meltCurve_F8WCP6_KIF21A.pdf")</f>
        <v>Melting_Curves/meltCurve_F8WCP6_KIF21A.pdf</v>
      </c>
    </row>
    <row r="838" spans="1:28" x14ac:dyDescent="0.25">
      <c r="A838" t="s">
        <v>842</v>
      </c>
      <c r="B838">
        <v>0.99472303558308395</v>
      </c>
      <c r="C838">
        <v>0.78115400452462003</v>
      </c>
      <c r="D838">
        <v>0.97086125141895396</v>
      </c>
      <c r="E838">
        <v>0.780501350786031</v>
      </c>
      <c r="F838">
        <v>0.60542158578869798</v>
      </c>
      <c r="G838">
        <v>0.232233727935614</v>
      </c>
      <c r="H838">
        <v>0.17853341104540801</v>
      </c>
      <c r="I838">
        <v>8.6153394235419595E-2</v>
      </c>
      <c r="J838">
        <v>0.11280274943148</v>
      </c>
      <c r="K838">
        <v>0.100610461622754</v>
      </c>
      <c r="L838">
        <v>844.51511612633601</v>
      </c>
      <c r="M838">
        <v>16.8076031384152</v>
      </c>
      <c r="N838">
        <v>50.682842993056802</v>
      </c>
      <c r="O838">
        <v>49.550902102028203</v>
      </c>
      <c r="P838">
        <v>-7.9086912440835697E-2</v>
      </c>
      <c r="Q838">
        <v>6.74280610899715E-2</v>
      </c>
      <c r="R838">
        <v>0.95765135544914803</v>
      </c>
      <c r="S838" t="s">
        <v>7406</v>
      </c>
      <c r="T838" t="s">
        <v>13134</v>
      </c>
      <c r="U838" t="s">
        <v>13134</v>
      </c>
      <c r="V838" t="s">
        <v>13134</v>
      </c>
      <c r="W838" t="s">
        <v>13961</v>
      </c>
      <c r="X838">
        <v>3</v>
      </c>
      <c r="Y838" t="s">
        <v>20453</v>
      </c>
      <c r="Z838" t="s">
        <v>26806</v>
      </c>
      <c r="AA838">
        <v>0.49552105487702269</v>
      </c>
      <c r="AB838" t="str">
        <f>HYPERLINK("Melting_Curves/meltCurve_F8WDT8_DDX56.pdf", "Melting_Curves/meltCurve_F8WDT8_DDX56.pdf")</f>
        <v>Melting_Curves/meltCurve_F8WDT8_DDX56.pdf</v>
      </c>
    </row>
    <row r="839" spans="1:28" x14ac:dyDescent="0.25">
      <c r="A839" t="s">
        <v>843</v>
      </c>
      <c r="B839">
        <v>0.99472303558308395</v>
      </c>
      <c r="C839">
        <v>0.98246288862875397</v>
      </c>
      <c r="D839">
        <v>0.72269879916839597</v>
      </c>
      <c r="E839">
        <v>0.54562373233434203</v>
      </c>
      <c r="F839">
        <v>0.556781898586868</v>
      </c>
      <c r="G839">
        <v>0.36346768588582801</v>
      </c>
      <c r="H839">
        <v>0.1088678092686</v>
      </c>
      <c r="I839">
        <v>4.9275334442981898E-2</v>
      </c>
      <c r="J839">
        <v>5.0339516637578602E-2</v>
      </c>
      <c r="K839">
        <v>5.46764530902039E-2</v>
      </c>
      <c r="L839">
        <v>506.19916222287998</v>
      </c>
      <c r="M839">
        <v>10.336497149136401</v>
      </c>
      <c r="N839">
        <v>48.972007465916299</v>
      </c>
      <c r="O839">
        <v>47.245368982087903</v>
      </c>
      <c r="P839">
        <v>-5.4719262532708798E-2</v>
      </c>
      <c r="Q839">
        <v>0</v>
      </c>
      <c r="R839">
        <v>0.96016121114580399</v>
      </c>
      <c r="S839" t="s">
        <v>7407</v>
      </c>
      <c r="T839" t="s">
        <v>13134</v>
      </c>
      <c r="U839" t="s">
        <v>13134</v>
      </c>
      <c r="V839" t="s">
        <v>13134</v>
      </c>
      <c r="W839" t="s">
        <v>13962</v>
      </c>
      <c r="X839">
        <v>1</v>
      </c>
      <c r="Y839" t="s">
        <v>20454</v>
      </c>
      <c r="Z839" t="s">
        <v>26807</v>
      </c>
      <c r="AA839">
        <v>0.43490313597831159</v>
      </c>
      <c r="AB839" t="str">
        <f>HYPERLINK("Melting_Curves/meltCurve_F8WDV1_POLR3H.pdf", "Melting_Curves/meltCurve_F8WDV1_POLR3H.pdf")</f>
        <v>Melting_Curves/meltCurve_F8WDV1_POLR3H.pdf</v>
      </c>
    </row>
    <row r="840" spans="1:28" x14ac:dyDescent="0.25">
      <c r="A840" t="s">
        <v>844</v>
      </c>
      <c r="B840">
        <v>0.99472303558308395</v>
      </c>
      <c r="C840">
        <v>1.0535100945143501</v>
      </c>
      <c r="D840">
        <v>0.74996143047997899</v>
      </c>
      <c r="E840">
        <v>0.70161728766534304</v>
      </c>
      <c r="F840">
        <v>0.611404589190229</v>
      </c>
      <c r="G840">
        <v>0.43454914970505298</v>
      </c>
      <c r="H840">
        <v>0.33395122484859802</v>
      </c>
      <c r="I840">
        <v>0.33145476503062399</v>
      </c>
      <c r="J840">
        <v>0.38084192810693701</v>
      </c>
      <c r="K840">
        <v>0.28341866799416798</v>
      </c>
      <c r="L840">
        <v>562.15306484829705</v>
      </c>
      <c r="M840">
        <v>11.712065328398401</v>
      </c>
      <c r="N840">
        <v>51.749404348760599</v>
      </c>
      <c r="O840">
        <v>46.662569602751901</v>
      </c>
      <c r="P840">
        <v>-4.4808444008853802E-2</v>
      </c>
      <c r="Q840">
        <v>0.28609565407904097</v>
      </c>
      <c r="R840">
        <v>0.95240037301886704</v>
      </c>
      <c r="S840" t="s">
        <v>7408</v>
      </c>
      <c r="T840" t="s">
        <v>13134</v>
      </c>
      <c r="U840" t="s">
        <v>13134</v>
      </c>
      <c r="V840" t="s">
        <v>13134</v>
      </c>
      <c r="W840" t="s">
        <v>13963</v>
      </c>
      <c r="X840">
        <v>1</v>
      </c>
      <c r="Y840" t="s">
        <v>20455</v>
      </c>
      <c r="Z840" t="s">
        <v>26808</v>
      </c>
      <c r="AA840">
        <v>0.57096230107692814</v>
      </c>
      <c r="AB840" t="str">
        <f>HYPERLINK("Melting_Curves/meltCurve_F8WE28_EXOG.pdf", "Melting_Curves/meltCurve_F8WE28_EXOG.pdf")</f>
        <v>Melting_Curves/meltCurve_F8WE28_EXOG.pdf</v>
      </c>
    </row>
    <row r="841" spans="1:28" x14ac:dyDescent="0.25">
      <c r="A841" t="s">
        <v>845</v>
      </c>
      <c r="B841">
        <v>0.99472303558308395</v>
      </c>
      <c r="C841">
        <v>1.2058773997352601</v>
      </c>
      <c r="D841">
        <v>0.76334111935043203</v>
      </c>
      <c r="E841">
        <v>0.72365073716879003</v>
      </c>
      <c r="F841">
        <v>0.59806233905860395</v>
      </c>
      <c r="G841">
        <v>0.451201303052571</v>
      </c>
      <c r="H841">
        <v>0.39874538076844901</v>
      </c>
      <c r="I841">
        <v>0.488265475068965</v>
      </c>
      <c r="J841">
        <v>0.65719725308686605</v>
      </c>
      <c r="K841">
        <v>0.54564695440129696</v>
      </c>
      <c r="L841">
        <v>1041.4348037721099</v>
      </c>
      <c r="M841">
        <v>23.080537437662802</v>
      </c>
      <c r="O841">
        <v>44.7871504264671</v>
      </c>
      <c r="P841">
        <v>-6.2389539895409601E-2</v>
      </c>
      <c r="Q841">
        <v>0.51574822016417798</v>
      </c>
      <c r="R841">
        <v>0.80557180953476604</v>
      </c>
      <c r="S841" t="s">
        <v>7409</v>
      </c>
      <c r="T841" t="s">
        <v>13134</v>
      </c>
      <c r="U841" t="s">
        <v>13134</v>
      </c>
      <c r="V841" t="s">
        <v>13134</v>
      </c>
      <c r="W841" t="s">
        <v>13964</v>
      </c>
      <c r="X841">
        <v>2</v>
      </c>
      <c r="Y841" t="s">
        <v>20456</v>
      </c>
      <c r="Z841" t="s">
        <v>26809</v>
      </c>
      <c r="AA841">
        <v>0.65155173904569041</v>
      </c>
      <c r="AB841" t="str">
        <f>HYPERLINK("Melting_Curves/meltCurve_F8WE91_DNMT3A.pdf", "Melting_Curves/meltCurve_F8WE91_DNMT3A.pdf")</f>
        <v>Melting_Curves/meltCurve_F8WE91_DNMT3A.pdf</v>
      </c>
    </row>
    <row r="842" spans="1:28" x14ac:dyDescent="0.25">
      <c r="A842" t="s">
        <v>846</v>
      </c>
      <c r="B842">
        <v>0.99472303558308395</v>
      </c>
      <c r="C842">
        <v>1.0657829844781199</v>
      </c>
      <c r="D842">
        <v>0.87205226295482696</v>
      </c>
      <c r="E842">
        <v>0.42212387816657099</v>
      </c>
      <c r="F842">
        <v>0.22123369931456299</v>
      </c>
      <c r="G842">
        <v>0.111523031886939</v>
      </c>
      <c r="H842">
        <v>8.9654856053862697E-2</v>
      </c>
      <c r="I842">
        <v>3.8855145704003197E-2</v>
      </c>
      <c r="J842">
        <v>7.3272101620427105E-2</v>
      </c>
      <c r="K842">
        <v>5.3905951472685003E-2</v>
      </c>
      <c r="L842">
        <v>1168.5600869626801</v>
      </c>
      <c r="M842">
        <v>25.429458065746601</v>
      </c>
      <c r="N842">
        <v>46.240665765027899</v>
      </c>
      <c r="O842">
        <v>45.6716544741193</v>
      </c>
      <c r="P842">
        <v>-0.12901551562996699</v>
      </c>
      <c r="Q842">
        <v>7.3157126122506896E-2</v>
      </c>
      <c r="R842">
        <v>0.99171855315777602</v>
      </c>
      <c r="S842" t="s">
        <v>7410</v>
      </c>
      <c r="T842" t="s">
        <v>13134</v>
      </c>
      <c r="U842" t="s">
        <v>13134</v>
      </c>
      <c r="V842" t="s">
        <v>13134</v>
      </c>
      <c r="W842" t="s">
        <v>13965</v>
      </c>
      <c r="X842">
        <v>3</v>
      </c>
      <c r="Y842" t="s">
        <v>20457</v>
      </c>
      <c r="Z842" t="s">
        <v>26810</v>
      </c>
      <c r="AA842">
        <v>0.35716996104559617</v>
      </c>
      <c r="AB842" t="str">
        <f>HYPERLINK("Melting_Curves/meltCurve_F8WEC0_MMADHC.pdf", "Melting_Curves/meltCurve_F8WEC0_MMADHC.pdf")</f>
        <v>Melting_Curves/meltCurve_F8WEC0_MMADHC.pdf</v>
      </c>
    </row>
    <row r="843" spans="1:28" x14ac:dyDescent="0.25">
      <c r="A843" t="s">
        <v>847</v>
      </c>
      <c r="B843">
        <v>0.99472303558308395</v>
      </c>
      <c r="C843">
        <v>1.01566038362549</v>
      </c>
      <c r="D843">
        <v>0.905240758469953</v>
      </c>
      <c r="E843">
        <v>0.671279546697782</v>
      </c>
      <c r="F843">
        <v>0.66694987961559105</v>
      </c>
      <c r="G843">
        <v>0.36394118972156903</v>
      </c>
      <c r="H843">
        <v>0.44675821422634798</v>
      </c>
      <c r="I843">
        <v>0.29693027149774698</v>
      </c>
      <c r="J843">
        <v>0.54329475818413897</v>
      </c>
      <c r="K843">
        <v>0.36786411969029398</v>
      </c>
      <c r="L843">
        <v>797.75772417526798</v>
      </c>
      <c r="M843">
        <v>16.898493071715201</v>
      </c>
      <c r="N843">
        <v>51.956414085401597</v>
      </c>
      <c r="O843">
        <v>46.562548190539999</v>
      </c>
      <c r="P843">
        <v>-5.5053841175301203E-2</v>
      </c>
      <c r="Q843">
        <v>0.39325107339022097</v>
      </c>
      <c r="R843">
        <v>0.90649081408264598</v>
      </c>
      <c r="S843" t="s">
        <v>7411</v>
      </c>
      <c r="T843" t="s">
        <v>13134</v>
      </c>
      <c r="U843" t="s">
        <v>13134</v>
      </c>
      <c r="V843" t="s">
        <v>13134</v>
      </c>
      <c r="W843" t="s">
        <v>13966</v>
      </c>
      <c r="X843">
        <v>3</v>
      </c>
      <c r="Y843" t="s">
        <v>20458</v>
      </c>
      <c r="Z843" t="s">
        <v>26811</v>
      </c>
      <c r="AA843">
        <v>0.61067741195222491</v>
      </c>
      <c r="AB843" t="str">
        <f>HYPERLINK("Melting_Curves/meltCurve_F8WEE4_ZFAND2B.pdf", "Melting_Curves/meltCurve_F8WEE4_ZFAND2B.pdf")</f>
        <v>Melting_Curves/meltCurve_F8WEE4_ZFAND2B.pdf</v>
      </c>
    </row>
    <row r="844" spans="1:28" x14ac:dyDescent="0.25">
      <c r="A844" t="s">
        <v>848</v>
      </c>
      <c r="B844">
        <v>0.99472303558308395</v>
      </c>
      <c r="C844">
        <v>1.0351858300586101</v>
      </c>
      <c r="D844">
        <v>0.99822284757621704</v>
      </c>
      <c r="E844">
        <v>0.54699321159752701</v>
      </c>
      <c r="F844">
        <v>0.25857225762934399</v>
      </c>
      <c r="G844">
        <v>9.6892091611843895E-2</v>
      </c>
      <c r="H844">
        <v>5.7171935571273903E-2</v>
      </c>
      <c r="I844">
        <v>4.1374780095045999E-2</v>
      </c>
      <c r="J844">
        <v>4.5540692020497701E-2</v>
      </c>
      <c r="K844">
        <v>3.4805271827262903E-2</v>
      </c>
      <c r="L844">
        <v>1211.4945324338901</v>
      </c>
      <c r="M844">
        <v>25.691227849928399</v>
      </c>
      <c r="N844">
        <v>47.345716949697497</v>
      </c>
      <c r="O844">
        <v>46.873034950333199</v>
      </c>
      <c r="P844">
        <v>-0.13032364871663699</v>
      </c>
      <c r="Q844">
        <v>4.8921822525691598E-2</v>
      </c>
      <c r="R844">
        <v>0.99318819844638895</v>
      </c>
      <c r="S844" t="s">
        <v>7412</v>
      </c>
      <c r="T844" t="s">
        <v>13134</v>
      </c>
      <c r="U844" t="s">
        <v>13134</v>
      </c>
      <c r="V844" t="s">
        <v>13134</v>
      </c>
      <c r="W844" t="s">
        <v>13967</v>
      </c>
      <c r="X844">
        <v>3</v>
      </c>
      <c r="Y844" t="s">
        <v>20459</v>
      </c>
      <c r="Z844" t="s">
        <v>26812</v>
      </c>
      <c r="AA844">
        <v>0.37847097942220598</v>
      </c>
      <c r="AB844" t="str">
        <f>HYPERLINK("Melting_Curves/meltCurve_F8WEG8_PRKRA.pdf", "Melting_Curves/meltCurve_F8WEG8_PRKRA.pdf")</f>
        <v>Melting_Curves/meltCurve_F8WEG8_PRKRA.pdf</v>
      </c>
    </row>
    <row r="845" spans="1:28" x14ac:dyDescent="0.25">
      <c r="A845" t="s">
        <v>849</v>
      </c>
      <c r="B845">
        <v>0.99472303558308395</v>
      </c>
      <c r="C845">
        <v>1.10829502112671</v>
      </c>
      <c r="D845">
        <v>0.91731047366825003</v>
      </c>
      <c r="E845">
        <v>0.82905347414875297</v>
      </c>
      <c r="F845">
        <v>0.62250990925294902</v>
      </c>
      <c r="G845">
        <v>0.431211703074108</v>
      </c>
      <c r="H845">
        <v>0.26111908008535201</v>
      </c>
      <c r="I845">
        <v>0.26097129312404599</v>
      </c>
      <c r="J845">
        <v>0.22561941783162101</v>
      </c>
      <c r="K845">
        <v>0.180041896295068</v>
      </c>
      <c r="L845">
        <v>801.02139810784104</v>
      </c>
      <c r="M845">
        <v>15.811237850262801</v>
      </c>
      <c r="N845">
        <v>52.165498804848198</v>
      </c>
      <c r="O845">
        <v>49.871919808005302</v>
      </c>
      <c r="P845">
        <v>-6.4756630276397206E-2</v>
      </c>
      <c r="Q845">
        <v>0.183044193641894</v>
      </c>
      <c r="R845">
        <v>0.98399915551499995</v>
      </c>
      <c r="S845" t="s">
        <v>7413</v>
      </c>
      <c r="T845" t="s">
        <v>13134</v>
      </c>
      <c r="U845" t="s">
        <v>13134</v>
      </c>
      <c r="V845" t="s">
        <v>13134</v>
      </c>
      <c r="W845" t="s">
        <v>13968</v>
      </c>
      <c r="X845">
        <v>7</v>
      </c>
      <c r="Y845" t="s">
        <v>20460</v>
      </c>
      <c r="Z845" t="s">
        <v>26813</v>
      </c>
      <c r="AA845">
        <v>0.57057177485248034</v>
      </c>
      <c r="AB845" t="str">
        <f>HYPERLINK("Melting_Curves/meltCurve_F8WF48_SEC62.pdf", "Melting_Curves/meltCurve_F8WF48_SEC62.pdf")</f>
        <v>Melting_Curves/meltCurve_F8WF48_SEC62.pdf</v>
      </c>
    </row>
    <row r="846" spans="1:28" x14ac:dyDescent="0.25">
      <c r="A846" t="s">
        <v>850</v>
      </c>
      <c r="B846">
        <v>0.99472303558308395</v>
      </c>
      <c r="C846">
        <v>0.90730716592548999</v>
      </c>
      <c r="D846">
        <v>0.78783051324769504</v>
      </c>
      <c r="E846">
        <v>0.56192917792978303</v>
      </c>
      <c r="F846">
        <v>0.27506069612898898</v>
      </c>
      <c r="G846">
        <v>0.116874333816152</v>
      </c>
      <c r="H846">
        <v>4.3803726585555001E-2</v>
      </c>
      <c r="I846">
        <v>1.56545932613389E-2</v>
      </c>
      <c r="J846">
        <v>1.8385943754579501E-2</v>
      </c>
      <c r="K846">
        <v>6.3135922797494699E-3</v>
      </c>
      <c r="L846">
        <v>713.252000573955</v>
      </c>
      <c r="M846">
        <v>15.172069057516</v>
      </c>
      <c r="N846">
        <v>47.010853876653798</v>
      </c>
      <c r="O846">
        <v>46.216847846054797</v>
      </c>
      <c r="P846">
        <v>-8.2077926535272794E-2</v>
      </c>
      <c r="Q846">
        <v>0</v>
      </c>
      <c r="R846">
        <v>0.99810968118298604</v>
      </c>
      <c r="S846" t="s">
        <v>7414</v>
      </c>
      <c r="T846" t="s">
        <v>13134</v>
      </c>
      <c r="U846" t="s">
        <v>13134</v>
      </c>
      <c r="V846" t="s">
        <v>13134</v>
      </c>
      <c r="W846" t="s">
        <v>13969</v>
      </c>
      <c r="X846">
        <v>1</v>
      </c>
      <c r="Y846" t="s">
        <v>20461</v>
      </c>
      <c r="Z846" t="s">
        <v>26814</v>
      </c>
      <c r="AA846">
        <v>0.35574605973163798</v>
      </c>
      <c r="AB846" t="str">
        <f>HYPERLINK("Melting_Curves/meltCurve_F8WF93_ALG3.pdf", "Melting_Curves/meltCurve_F8WF93_ALG3.pdf")</f>
        <v>Melting_Curves/meltCurve_F8WF93_ALG3.pdf</v>
      </c>
    </row>
    <row r="847" spans="1:28" x14ac:dyDescent="0.25">
      <c r="A847" t="s">
        <v>851</v>
      </c>
      <c r="B847">
        <v>0.99472303558308395</v>
      </c>
      <c r="C847">
        <v>0.93643623230134498</v>
      </c>
      <c r="D847">
        <v>0.80781520663990103</v>
      </c>
      <c r="E847">
        <v>0.73162658300597205</v>
      </c>
      <c r="F847">
        <v>0.61289063678643896</v>
      </c>
      <c r="G847">
        <v>0.22140948016464199</v>
      </c>
      <c r="H847">
        <v>7.4003537776155898E-2</v>
      </c>
      <c r="I847">
        <v>5.57060336339689E-2</v>
      </c>
      <c r="J847">
        <v>6.0453240708370701E-2</v>
      </c>
      <c r="K847">
        <v>5.6839399604993499E-2</v>
      </c>
      <c r="L847">
        <v>697.17786947495495</v>
      </c>
      <c r="M847">
        <v>13.922468494221199</v>
      </c>
      <c r="N847">
        <v>50.075744893078003</v>
      </c>
      <c r="O847">
        <v>49.076559365020202</v>
      </c>
      <c r="P847">
        <v>-7.0931782157276496E-2</v>
      </c>
      <c r="Q847">
        <v>0</v>
      </c>
      <c r="R847">
        <v>0.97498392489650898</v>
      </c>
      <c r="S847" t="s">
        <v>7415</v>
      </c>
      <c r="T847" t="s">
        <v>13134</v>
      </c>
      <c r="U847" t="s">
        <v>13134</v>
      </c>
      <c r="V847" t="s">
        <v>13134</v>
      </c>
      <c r="W847" t="s">
        <v>13970</v>
      </c>
      <c r="X847">
        <v>12</v>
      </c>
      <c r="Y847" t="s">
        <v>20462</v>
      </c>
      <c r="Z847" t="s">
        <v>26815</v>
      </c>
      <c r="AA847">
        <v>0.45898661179380262</v>
      </c>
      <c r="AB847" t="str">
        <f>HYPERLINK("Melting_Curves/meltCurve_G3V0I5_NDUFV1.pdf", "Melting_Curves/meltCurve_G3V0I5_NDUFV1.pdf")</f>
        <v>Melting_Curves/meltCurve_G3V0I5_NDUFV1.pdf</v>
      </c>
    </row>
    <row r="848" spans="1:28" x14ac:dyDescent="0.25">
      <c r="A848" t="s">
        <v>852</v>
      </c>
      <c r="B848">
        <v>0.99472303558308395</v>
      </c>
      <c r="C848">
        <v>0.98183335435841002</v>
      </c>
      <c r="D848">
        <v>0.80600084625703805</v>
      </c>
      <c r="E848">
        <v>0.69779761597170797</v>
      </c>
      <c r="F848">
        <v>0.42134807603419</v>
      </c>
      <c r="G848">
        <v>0.15267534230124699</v>
      </c>
      <c r="H848">
        <v>8.9215365047627199E-2</v>
      </c>
      <c r="I848">
        <v>7.3945854838454297E-2</v>
      </c>
      <c r="J848">
        <v>6.9028784429255294E-2</v>
      </c>
      <c r="K848">
        <v>6.2214813764635703E-2</v>
      </c>
      <c r="L848">
        <v>746.82880426997497</v>
      </c>
      <c r="M848">
        <v>15.4078938059916</v>
      </c>
      <c r="N848">
        <v>48.669853552274503</v>
      </c>
      <c r="O848">
        <v>47.676069611107103</v>
      </c>
      <c r="P848">
        <v>-7.8331457923404402E-2</v>
      </c>
      <c r="Q848">
        <v>3.0575761281279201E-2</v>
      </c>
      <c r="R848">
        <v>0.99163801053880996</v>
      </c>
      <c r="S848" t="s">
        <v>7416</v>
      </c>
      <c r="T848" t="s">
        <v>13134</v>
      </c>
      <c r="U848" t="s">
        <v>13134</v>
      </c>
      <c r="V848" t="s">
        <v>13134</v>
      </c>
      <c r="W848" t="s">
        <v>13971</v>
      </c>
      <c r="X848">
        <v>6</v>
      </c>
      <c r="Y848" t="s">
        <v>20463</v>
      </c>
      <c r="Z848" t="s">
        <v>26816</v>
      </c>
      <c r="AA848">
        <v>0.42145028910152882</v>
      </c>
      <c r="AB848" t="str">
        <f>HYPERLINK("Melting_Curves/meltCurve_G3V0I6_OTUD4.pdf", "Melting_Curves/meltCurve_G3V0I6_OTUD4.pdf")</f>
        <v>Melting_Curves/meltCurve_G3V0I6_OTUD4.pdf</v>
      </c>
    </row>
    <row r="849" spans="1:28" x14ac:dyDescent="0.25">
      <c r="A849" t="s">
        <v>853</v>
      </c>
      <c r="B849">
        <v>0.99472303558308395</v>
      </c>
      <c r="C849">
        <v>0.74677764320137396</v>
      </c>
      <c r="D849">
        <v>0.64593547813944296</v>
      </c>
      <c r="E849">
        <v>0.19558015122487499</v>
      </c>
      <c r="F849">
        <v>9.6410528232539705E-2</v>
      </c>
      <c r="G849">
        <v>3.4265210098354197E-2</v>
      </c>
      <c r="H849">
        <v>6.7395150820047101E-2</v>
      </c>
      <c r="I849">
        <v>1.6261712287304199E-2</v>
      </c>
      <c r="J849">
        <v>4.2604158043040803E-2</v>
      </c>
      <c r="K849">
        <v>0</v>
      </c>
      <c r="L849">
        <v>776.69750519025604</v>
      </c>
      <c r="M849">
        <v>17.8465717065829</v>
      </c>
      <c r="N849">
        <v>43.605459904149299</v>
      </c>
      <c r="O849">
        <v>42.985435574453099</v>
      </c>
      <c r="P849">
        <v>-0.102032627408025</v>
      </c>
      <c r="Q849">
        <v>1.7023114254469202E-2</v>
      </c>
      <c r="R849">
        <v>0.98193274335024106</v>
      </c>
      <c r="S849" t="s">
        <v>7417</v>
      </c>
      <c r="T849" t="s">
        <v>13134</v>
      </c>
      <c r="U849" t="s">
        <v>13134</v>
      </c>
      <c r="V849" t="s">
        <v>13134</v>
      </c>
      <c r="W849" t="s">
        <v>13972</v>
      </c>
      <c r="X849">
        <v>2</v>
      </c>
      <c r="Y849" t="s">
        <v>20464</v>
      </c>
      <c r="Z849" t="s">
        <v>26817</v>
      </c>
      <c r="AA849">
        <v>0.24790623665786901</v>
      </c>
      <c r="AB849" t="str">
        <f>HYPERLINK("Melting_Curves/meltCurve_G3V167_PARP2.pdf", "Melting_Curves/meltCurve_G3V167_PARP2.pdf")</f>
        <v>Melting_Curves/meltCurve_G3V167_PARP2.pdf</v>
      </c>
    </row>
    <row r="850" spans="1:28" x14ac:dyDescent="0.25">
      <c r="A850" t="s">
        <v>854</v>
      </c>
      <c r="B850">
        <v>0.99472303558308395</v>
      </c>
      <c r="C850">
        <v>0.87977570176144704</v>
      </c>
      <c r="D850">
        <v>0.97102628448040196</v>
      </c>
      <c r="E850">
        <v>0.84416044095217202</v>
      </c>
      <c r="F850">
        <v>0.68911247567021705</v>
      </c>
      <c r="G850">
        <v>0.47970982501995402</v>
      </c>
      <c r="H850">
        <v>8.4345318073555303E-2</v>
      </c>
      <c r="I850">
        <v>3.5369088715416497E-2</v>
      </c>
      <c r="J850">
        <v>5.87443390553627E-2</v>
      </c>
      <c r="K850">
        <v>4.51273785869988E-2</v>
      </c>
      <c r="L850">
        <v>930.25414745363298</v>
      </c>
      <c r="M850">
        <v>17.735257631053202</v>
      </c>
      <c r="N850">
        <v>52.452250446154203</v>
      </c>
      <c r="O850">
        <v>51.799014578332297</v>
      </c>
      <c r="P850">
        <v>-8.5600978506136502E-2</v>
      </c>
      <c r="Q850">
        <v>0</v>
      </c>
      <c r="R850">
        <v>0.97649663349387605</v>
      </c>
      <c r="S850" t="s">
        <v>7418</v>
      </c>
      <c r="T850" t="s">
        <v>13134</v>
      </c>
      <c r="U850" t="s">
        <v>13134</v>
      </c>
      <c r="V850" t="s">
        <v>13134</v>
      </c>
      <c r="W850" t="s">
        <v>13973</v>
      </c>
      <c r="X850">
        <v>24</v>
      </c>
      <c r="Y850" t="s">
        <v>20465</v>
      </c>
      <c r="Z850" t="s">
        <v>26818</v>
      </c>
      <c r="AA850">
        <v>0.53026155451680135</v>
      </c>
      <c r="AB850" t="str">
        <f>HYPERLINK("Melting_Curves/meltCurve_G3V1C3_API5.pdf", "Melting_Curves/meltCurve_G3V1C3_API5.pdf")</f>
        <v>Melting_Curves/meltCurve_G3V1C3_API5.pdf</v>
      </c>
    </row>
    <row r="851" spans="1:28" x14ac:dyDescent="0.25">
      <c r="A851" t="s">
        <v>855</v>
      </c>
      <c r="B851">
        <v>0.99472303558308395</v>
      </c>
      <c r="C851">
        <v>0.96173430693767503</v>
      </c>
      <c r="D851">
        <v>1.05028541374128</v>
      </c>
      <c r="E851">
        <v>0.92556430704056802</v>
      </c>
      <c r="F851">
        <v>0.65719688701077295</v>
      </c>
      <c r="G851">
        <v>0.34911240817933897</v>
      </c>
      <c r="H851">
        <v>8.4605535367534401E-2</v>
      </c>
      <c r="I851">
        <v>4.8197693986234601E-2</v>
      </c>
      <c r="J851">
        <v>4.9707247232424902E-2</v>
      </c>
      <c r="K851">
        <v>3.75651360061134E-2</v>
      </c>
      <c r="L851">
        <v>1167.4106475444801</v>
      </c>
      <c r="M851">
        <v>22.551130620582001</v>
      </c>
      <c r="N851">
        <v>51.879552654164598</v>
      </c>
      <c r="O851">
        <v>51.365349037781002</v>
      </c>
      <c r="P851">
        <v>-0.107146607751731</v>
      </c>
      <c r="Q851">
        <v>2.3816026023808001E-2</v>
      </c>
      <c r="R851">
        <v>0.99547518653449096</v>
      </c>
      <c r="S851" t="s">
        <v>7419</v>
      </c>
      <c r="T851" t="s">
        <v>13134</v>
      </c>
      <c r="U851" t="s">
        <v>13134</v>
      </c>
      <c r="V851" t="s">
        <v>13134</v>
      </c>
      <c r="W851" t="s">
        <v>13974</v>
      </c>
      <c r="X851">
        <v>28</v>
      </c>
      <c r="Y851" t="s">
        <v>20466</v>
      </c>
      <c r="Z851" t="s">
        <v>26819</v>
      </c>
      <c r="AA851">
        <v>0.51470863817240364</v>
      </c>
      <c r="AB851" t="str">
        <f>HYPERLINK("Melting_Curves/meltCurve_G3V1D3_DPP3.pdf", "Melting_Curves/meltCurve_G3V1D3_DPP3.pdf")</f>
        <v>Melting_Curves/meltCurve_G3V1D3_DPP3.pdf</v>
      </c>
    </row>
    <row r="852" spans="1:28" x14ac:dyDescent="0.25">
      <c r="A852" t="s">
        <v>856</v>
      </c>
      <c r="B852">
        <v>0.99472303558308395</v>
      </c>
      <c r="C852">
        <v>0.93629015552577899</v>
      </c>
      <c r="D852">
        <v>0.89294424912869597</v>
      </c>
      <c r="E852">
        <v>0.74005692760312702</v>
      </c>
      <c r="F852">
        <v>0.55788758095122004</v>
      </c>
      <c r="G852">
        <v>0.14573172779475199</v>
      </c>
      <c r="H852">
        <v>0.113913470701222</v>
      </c>
      <c r="I852">
        <v>5.6511220454019601E-2</v>
      </c>
      <c r="J852">
        <v>6.4804529107457695E-2</v>
      </c>
      <c r="K852">
        <v>6.0906147019571401E-2</v>
      </c>
      <c r="L852">
        <v>843.92971954454094</v>
      </c>
      <c r="M852">
        <v>16.989063860182601</v>
      </c>
      <c r="N852">
        <v>49.830683795500903</v>
      </c>
      <c r="O852">
        <v>49.001943107514499</v>
      </c>
      <c r="P852">
        <v>-8.4438712648005995E-2</v>
      </c>
      <c r="Q852">
        <v>2.58663558599555E-2</v>
      </c>
      <c r="R852">
        <v>0.98579943263922998</v>
      </c>
      <c r="S852" t="s">
        <v>7420</v>
      </c>
      <c r="T852" t="s">
        <v>13134</v>
      </c>
      <c r="U852" t="s">
        <v>13134</v>
      </c>
      <c r="V852" t="s">
        <v>13134</v>
      </c>
      <c r="W852" t="s">
        <v>13975</v>
      </c>
      <c r="X852">
        <v>3</v>
      </c>
      <c r="Y852" t="s">
        <v>20467</v>
      </c>
      <c r="Z852" t="s">
        <v>26820</v>
      </c>
      <c r="AA852">
        <v>0.45437932663459951</v>
      </c>
      <c r="AB852" t="str">
        <f>HYPERLINK("Melting_Curves/meltCurve_G3V1K3_PON2.pdf", "Melting_Curves/meltCurve_G3V1K3_PON2.pdf")</f>
        <v>Melting_Curves/meltCurve_G3V1K3_PON2.pdf</v>
      </c>
    </row>
    <row r="853" spans="1:28" x14ac:dyDescent="0.25">
      <c r="A853" t="s">
        <v>857</v>
      </c>
      <c r="B853">
        <v>0.99472303558308395</v>
      </c>
      <c r="C853">
        <v>0.95383699549891598</v>
      </c>
      <c r="D853">
        <v>0.90770931339621097</v>
      </c>
      <c r="E853">
        <v>0.70149276252949699</v>
      </c>
      <c r="F853">
        <v>0.29439722249870598</v>
      </c>
      <c r="G853">
        <v>0.14087210440012701</v>
      </c>
      <c r="H853">
        <v>0.10097347530732501</v>
      </c>
      <c r="I853">
        <v>8.5697612452286201E-2</v>
      </c>
      <c r="J853">
        <v>0.106199508225718</v>
      </c>
      <c r="K853">
        <v>8.32512190129268E-2</v>
      </c>
      <c r="L853">
        <v>1135.0642388394201</v>
      </c>
      <c r="M853">
        <v>23.743554709729501</v>
      </c>
      <c r="N853">
        <v>48.184585175273199</v>
      </c>
      <c r="O853">
        <v>47.469942449167498</v>
      </c>
      <c r="P853">
        <v>-0.114385058561981</v>
      </c>
      <c r="Q853">
        <v>8.5265886104198399E-2</v>
      </c>
      <c r="R853">
        <v>0.99751047438967499</v>
      </c>
      <c r="S853" t="s">
        <v>7421</v>
      </c>
      <c r="T853" t="s">
        <v>13134</v>
      </c>
      <c r="U853" t="s">
        <v>13134</v>
      </c>
      <c r="V853" t="s">
        <v>13134</v>
      </c>
      <c r="W853" t="s">
        <v>13976</v>
      </c>
      <c r="X853">
        <v>38</v>
      </c>
      <c r="Y853" t="s">
        <v>20468</v>
      </c>
      <c r="Z853" t="s">
        <v>26821</v>
      </c>
      <c r="AA853">
        <v>0.42333504196291138</v>
      </c>
      <c r="AB853" t="str">
        <f>HYPERLINK("Melting_Curves/meltCurve_G3V1L9_TJP1.pdf", "Melting_Curves/meltCurve_G3V1L9_TJP1.pdf")</f>
        <v>Melting_Curves/meltCurve_G3V1L9_TJP1.pdf</v>
      </c>
    </row>
    <row r="854" spans="1:28" x14ac:dyDescent="0.25">
      <c r="A854" t="s">
        <v>858</v>
      </c>
      <c r="B854">
        <v>0.99472303558308395</v>
      </c>
      <c r="C854">
        <v>1.0129835833232199</v>
      </c>
      <c r="D854">
        <v>0.85707226764990196</v>
      </c>
      <c r="E854">
        <v>0.83586925503697795</v>
      </c>
      <c r="F854">
        <v>0.94104146678824196</v>
      </c>
      <c r="G854">
        <v>0.52996002909337803</v>
      </c>
      <c r="H854">
        <v>0.55291028478550996</v>
      </c>
      <c r="I854">
        <v>0.29439538677634602</v>
      </c>
      <c r="J854">
        <v>0.52203997012741299</v>
      </c>
      <c r="K854">
        <v>0.58839762060820899</v>
      </c>
      <c r="L854">
        <v>3180.8622275119301</v>
      </c>
      <c r="M854">
        <v>61.407132434406797</v>
      </c>
      <c r="N854">
        <v>55.144913771137503</v>
      </c>
      <c r="O854">
        <v>51.744710289495998</v>
      </c>
      <c r="P854">
        <v>-0.15191767834867301</v>
      </c>
      <c r="Q854">
        <v>0.48794660577170001</v>
      </c>
      <c r="R854">
        <v>0.81561897318990195</v>
      </c>
      <c r="S854" t="s">
        <v>7422</v>
      </c>
      <c r="T854" t="s">
        <v>13134</v>
      </c>
      <c r="U854" t="s">
        <v>13134</v>
      </c>
      <c r="V854" t="s">
        <v>13134</v>
      </c>
      <c r="W854" t="s">
        <v>13977</v>
      </c>
      <c r="X854">
        <v>7</v>
      </c>
      <c r="Y854" t="s">
        <v>20469</v>
      </c>
      <c r="Z854" t="s">
        <v>26822</v>
      </c>
      <c r="AA854">
        <v>0.74132623871559022</v>
      </c>
      <c r="AB854" t="str">
        <f>HYPERLINK("Melting_Curves/meltCurve_G3V1N2_HBA2.pdf", "Melting_Curves/meltCurve_G3V1N2_HBA2.pdf")</f>
        <v>Melting_Curves/meltCurve_G3V1N2_HBA2.pdf</v>
      </c>
    </row>
    <row r="855" spans="1:28" x14ac:dyDescent="0.25">
      <c r="A855" t="s">
        <v>859</v>
      </c>
      <c r="B855">
        <v>0.99472303558308395</v>
      </c>
      <c r="C855">
        <v>0.94143808239235605</v>
      </c>
      <c r="D855">
        <v>0.65821114705157102</v>
      </c>
      <c r="E855">
        <v>0.29490477114480801</v>
      </c>
      <c r="F855">
        <v>0.179820397714825</v>
      </c>
      <c r="G855">
        <v>0.115810127011737</v>
      </c>
      <c r="H855">
        <v>0.12757509827008301</v>
      </c>
      <c r="I855">
        <v>5.0920804607565102E-2</v>
      </c>
      <c r="J855">
        <v>9.5378468834889193E-2</v>
      </c>
      <c r="K855">
        <v>7.4058118715785201E-2</v>
      </c>
      <c r="L855">
        <v>968.15273433051004</v>
      </c>
      <c r="M855">
        <v>21.959791946652999</v>
      </c>
      <c r="N855">
        <v>44.4963014082821</v>
      </c>
      <c r="O855">
        <v>43.726804326987299</v>
      </c>
      <c r="P855">
        <v>-0.11408492865351701</v>
      </c>
      <c r="Q855">
        <v>9.1347190252893506E-2</v>
      </c>
      <c r="R855">
        <v>0.99604568569881102</v>
      </c>
      <c r="S855" t="s">
        <v>7423</v>
      </c>
      <c r="T855" t="s">
        <v>13134</v>
      </c>
      <c r="U855" t="s">
        <v>13134</v>
      </c>
      <c r="V855" t="s">
        <v>13134</v>
      </c>
      <c r="W855" t="s">
        <v>13978</v>
      </c>
      <c r="X855">
        <v>6</v>
      </c>
      <c r="Y855" t="s">
        <v>20470</v>
      </c>
      <c r="Z855" t="s">
        <v>26823</v>
      </c>
      <c r="AA855">
        <v>0.31590622727080819</v>
      </c>
      <c r="AB855" t="str">
        <f>HYPERLINK("Melting_Curves/meltCurve_G3V1N5_USP28.pdf", "Melting_Curves/meltCurve_G3V1N5_USP28.pdf")</f>
        <v>Melting_Curves/meltCurve_G3V1N5_USP28.pdf</v>
      </c>
    </row>
    <row r="856" spans="1:28" x14ac:dyDescent="0.25">
      <c r="A856" t="s">
        <v>860</v>
      </c>
      <c r="B856">
        <v>0.99472303558308395</v>
      </c>
      <c r="C856">
        <v>1.02391314946912</v>
      </c>
      <c r="D856">
        <v>1.0588662899202701</v>
      </c>
      <c r="E856">
        <v>0.889860111876006</v>
      </c>
      <c r="F856">
        <v>0.60305057232300197</v>
      </c>
      <c r="G856">
        <v>0.50014901088913699</v>
      </c>
      <c r="H856">
        <v>0.29930466434429598</v>
      </c>
      <c r="I856">
        <v>0.185160287084294</v>
      </c>
      <c r="J856">
        <v>0.182256525375039</v>
      </c>
      <c r="K856">
        <v>0.110550459070586</v>
      </c>
      <c r="L856">
        <v>786.60213386413602</v>
      </c>
      <c r="M856">
        <v>15.0815283466185</v>
      </c>
      <c r="N856">
        <v>53.012399660134498</v>
      </c>
      <c r="O856">
        <v>51.265435737005198</v>
      </c>
      <c r="P856">
        <v>-6.5606807188137703E-2</v>
      </c>
      <c r="Q856">
        <v>0.108040287620751</v>
      </c>
      <c r="R856">
        <v>0.98472709311565298</v>
      </c>
      <c r="S856" t="s">
        <v>7424</v>
      </c>
      <c r="T856" t="s">
        <v>13134</v>
      </c>
      <c r="U856" t="s">
        <v>13134</v>
      </c>
      <c r="V856" t="s">
        <v>13134</v>
      </c>
      <c r="W856" t="s">
        <v>13979</v>
      </c>
      <c r="X856">
        <v>6</v>
      </c>
      <c r="Y856" t="s">
        <v>20471</v>
      </c>
      <c r="Z856" t="s">
        <v>26824</v>
      </c>
      <c r="AA856">
        <v>0.57548174334965418</v>
      </c>
      <c r="AB856" t="str">
        <f>HYPERLINK("Melting_Curves/meltCurve_G3V1P3_LOH12CR1.pdf", "Melting_Curves/meltCurve_G3V1P3_LOH12CR1.pdf")</f>
        <v>Melting_Curves/meltCurve_G3V1P3_LOH12CR1.pdf</v>
      </c>
    </row>
    <row r="857" spans="1:28" x14ac:dyDescent="0.25">
      <c r="A857" t="s">
        <v>861</v>
      </c>
      <c r="B857">
        <v>0.99472303558308395</v>
      </c>
      <c r="C857">
        <v>0.91793164096715896</v>
      </c>
      <c r="D857">
        <v>0.633861809696317</v>
      </c>
      <c r="E857">
        <v>0.58822847541798795</v>
      </c>
      <c r="F857">
        <v>0.534922998429333</v>
      </c>
      <c r="G857">
        <v>0.14271504477017999</v>
      </c>
      <c r="H857">
        <v>6.9807717162353899E-2</v>
      </c>
      <c r="I857">
        <v>9.2911542568051106E-2</v>
      </c>
      <c r="J857">
        <v>0</v>
      </c>
      <c r="K857">
        <v>0</v>
      </c>
      <c r="L857">
        <v>529.226138599622</v>
      </c>
      <c r="M857">
        <v>11.0968252249901</v>
      </c>
      <c r="N857">
        <v>47.691685232817399</v>
      </c>
      <c r="O857">
        <v>46.221430107441698</v>
      </c>
      <c r="P857">
        <v>-6.0039470552211302E-2</v>
      </c>
      <c r="Q857">
        <v>0</v>
      </c>
      <c r="R857">
        <v>0.95112526949144904</v>
      </c>
      <c r="S857" t="s">
        <v>7425</v>
      </c>
      <c r="T857" t="s">
        <v>13134</v>
      </c>
      <c r="U857" t="s">
        <v>13134</v>
      </c>
      <c r="V857" t="s">
        <v>13134</v>
      </c>
      <c r="W857" t="s">
        <v>13980</v>
      </c>
      <c r="X857">
        <v>1</v>
      </c>
      <c r="Y857" t="s">
        <v>20472</v>
      </c>
      <c r="Z857" t="s">
        <v>26825</v>
      </c>
      <c r="AA857">
        <v>0.39202827889458469</v>
      </c>
      <c r="AB857" t="str">
        <f>HYPERLINK("Melting_Curves/meltCurve_G3V1P9_LEPREL2.pdf", "Melting_Curves/meltCurve_G3V1P9_LEPREL2.pdf")</f>
        <v>Melting_Curves/meltCurve_G3V1P9_LEPREL2.pdf</v>
      </c>
    </row>
    <row r="858" spans="1:28" x14ac:dyDescent="0.25">
      <c r="A858" t="s">
        <v>862</v>
      </c>
      <c r="B858">
        <v>0.99472303558308395</v>
      </c>
      <c r="C858">
        <v>1.0813559555830199</v>
      </c>
      <c r="D858">
        <v>0.79411448661695305</v>
      </c>
      <c r="E858">
        <v>0.62563512930474496</v>
      </c>
      <c r="F858">
        <v>0.99243269743912299</v>
      </c>
      <c r="G858">
        <v>0.44198374109715699</v>
      </c>
      <c r="H858">
        <v>0.26863587427055402</v>
      </c>
      <c r="I858">
        <v>0.13783564790686301</v>
      </c>
      <c r="J858">
        <v>0.131585444428054</v>
      </c>
      <c r="K858">
        <v>9.5815072867684301E-2</v>
      </c>
      <c r="L858">
        <v>649.64418218708499</v>
      </c>
      <c r="M858">
        <v>12.1033251668643</v>
      </c>
      <c r="N858">
        <v>53.674850481071701</v>
      </c>
      <c r="O858">
        <v>52.272643436476898</v>
      </c>
      <c r="P858">
        <v>-5.7899086469392201E-2</v>
      </c>
      <c r="Q858">
        <v>0</v>
      </c>
      <c r="R858">
        <v>0.86632473658114495</v>
      </c>
      <c r="S858" t="s">
        <v>7426</v>
      </c>
      <c r="T858" t="s">
        <v>13134</v>
      </c>
      <c r="U858" t="s">
        <v>13134</v>
      </c>
      <c r="V858" t="s">
        <v>13134</v>
      </c>
      <c r="W858" t="s">
        <v>13981</v>
      </c>
      <c r="X858">
        <v>26</v>
      </c>
      <c r="Y858" t="s">
        <v>20473</v>
      </c>
      <c r="Z858" t="s">
        <v>26826</v>
      </c>
      <c r="AA858">
        <v>0.57478095635900162</v>
      </c>
      <c r="AB858" t="str">
        <f>HYPERLINK("Melting_Curves/meltCurve_G3V1Q4_SEPT7.pdf", "Melting_Curves/meltCurve_G3V1Q4_SEPT7.pdf")</f>
        <v>Melting_Curves/meltCurve_G3V1Q4_SEPT7.pdf</v>
      </c>
    </row>
    <row r="859" spans="1:28" x14ac:dyDescent="0.25">
      <c r="A859" t="s">
        <v>863</v>
      </c>
      <c r="B859">
        <v>0.99472303558308395</v>
      </c>
      <c r="C859">
        <v>1.6501023769215</v>
      </c>
      <c r="D859">
        <v>1.1402675567776399</v>
      </c>
      <c r="E859">
        <v>0.96103971205025596</v>
      </c>
      <c r="F859">
        <v>1.1735458841950299</v>
      </c>
      <c r="G859">
        <v>0.65583947836727197</v>
      </c>
      <c r="H859">
        <v>0.34858055831538598</v>
      </c>
      <c r="I859">
        <v>0.136698957767311</v>
      </c>
      <c r="J859">
        <v>7.6781184051369106E-2</v>
      </c>
      <c r="K859">
        <v>9.9951422027294207E-2</v>
      </c>
      <c r="L859">
        <v>1805.27165016698</v>
      </c>
      <c r="M859">
        <v>32.692569803729498</v>
      </c>
      <c r="N859">
        <v>55.579562895389998</v>
      </c>
      <c r="O859">
        <v>55.014252492336801</v>
      </c>
      <c r="P859">
        <v>-0.134391284270758</v>
      </c>
      <c r="Q859">
        <v>9.5402807047246796E-2</v>
      </c>
      <c r="R859">
        <v>0.81380684712427298</v>
      </c>
      <c r="S859" t="s">
        <v>7427</v>
      </c>
      <c r="T859" t="s">
        <v>13134</v>
      </c>
      <c r="U859" t="s">
        <v>13134</v>
      </c>
      <c r="V859" t="s">
        <v>13134</v>
      </c>
      <c r="W859" t="s">
        <v>13982</v>
      </c>
      <c r="X859">
        <v>1</v>
      </c>
      <c r="Y859" t="s">
        <v>20474</v>
      </c>
      <c r="Z859" t="s">
        <v>26827</v>
      </c>
      <c r="AA859">
        <v>0.64971843182824329</v>
      </c>
      <c r="AB859" t="str">
        <f>HYPERLINK("Melting_Curves/meltCurve_G3V1Q7_PMFBP1.pdf", "Melting_Curves/meltCurve_G3V1Q7_PMFBP1.pdf")</f>
        <v>Melting_Curves/meltCurve_G3V1Q7_PMFBP1.pdf</v>
      </c>
    </row>
    <row r="860" spans="1:28" x14ac:dyDescent="0.25">
      <c r="A860" t="s">
        <v>864</v>
      </c>
      <c r="B860">
        <v>0.99472303558308395</v>
      </c>
      <c r="C860">
        <v>0.80877859778564398</v>
      </c>
      <c r="D860">
        <v>0.88006959645173599</v>
      </c>
      <c r="E860">
        <v>0.583377952724357</v>
      </c>
      <c r="F860">
        <v>0.34739874764156298</v>
      </c>
      <c r="G860">
        <v>0.22292301267690401</v>
      </c>
      <c r="H860">
        <v>0.142723679672453</v>
      </c>
      <c r="I860">
        <v>0.11487858358467599</v>
      </c>
      <c r="J860">
        <v>0.18025117223782</v>
      </c>
      <c r="K860">
        <v>0.180509060289191</v>
      </c>
      <c r="L860">
        <v>722.43439129993499</v>
      </c>
      <c r="M860">
        <v>15.460886324674499</v>
      </c>
      <c r="N860">
        <v>47.667078057254102</v>
      </c>
      <c r="O860">
        <v>45.965802865258503</v>
      </c>
      <c r="P860">
        <v>-7.3041552687688499E-2</v>
      </c>
      <c r="Q860">
        <v>0.13145662861967</v>
      </c>
      <c r="R860">
        <v>0.97358838779815204</v>
      </c>
      <c r="S860" t="s">
        <v>7428</v>
      </c>
      <c r="T860" t="s">
        <v>13134</v>
      </c>
      <c r="U860" t="s">
        <v>13134</v>
      </c>
      <c r="V860" t="s">
        <v>13134</v>
      </c>
      <c r="W860" t="s">
        <v>13983</v>
      </c>
      <c r="X860">
        <v>3</v>
      </c>
      <c r="Y860" t="s">
        <v>20475</v>
      </c>
      <c r="Z860" t="s">
        <v>26828</v>
      </c>
      <c r="AA860">
        <v>0.43166895725152421</v>
      </c>
      <c r="AB860" t="str">
        <f>HYPERLINK("Melting_Curves/meltCurve_G3V1R3_ZEB1.pdf", "Melting_Curves/meltCurve_G3V1R3_ZEB1.pdf")</f>
        <v>Melting_Curves/meltCurve_G3V1R3_ZEB1.pdf</v>
      </c>
    </row>
    <row r="861" spans="1:28" x14ac:dyDescent="0.25">
      <c r="A861" t="s">
        <v>865</v>
      </c>
      <c r="B861">
        <v>0.99472303558308395</v>
      </c>
      <c r="C861">
        <v>0.96344565721205</v>
      </c>
      <c r="D861">
        <v>0.89531763100448802</v>
      </c>
      <c r="E861">
        <v>0.77765539384167903</v>
      </c>
      <c r="F861">
        <v>0.66520951492687797</v>
      </c>
      <c r="G861">
        <v>0.46511941148888097</v>
      </c>
      <c r="H861">
        <v>0.42466182912544698</v>
      </c>
      <c r="I861">
        <v>0.41075581264760902</v>
      </c>
      <c r="J861">
        <v>0.55709854253986602</v>
      </c>
      <c r="K861">
        <v>0.519762648742916</v>
      </c>
      <c r="L861">
        <v>842.67054176551903</v>
      </c>
      <c r="M861">
        <v>17.785478380580699</v>
      </c>
      <c r="N861">
        <v>55.747094266852201</v>
      </c>
      <c r="O861">
        <v>46.792893188323198</v>
      </c>
      <c r="P861">
        <v>-5.0805612307441898E-2</v>
      </c>
      <c r="Q861">
        <v>0.46535739715116903</v>
      </c>
      <c r="R861">
        <v>0.94323046872535898</v>
      </c>
      <c r="S861" t="s">
        <v>7429</v>
      </c>
      <c r="T861" t="s">
        <v>13134</v>
      </c>
      <c r="U861" t="s">
        <v>13134</v>
      </c>
      <c r="V861" t="s">
        <v>13134</v>
      </c>
      <c r="W861" t="s">
        <v>13984</v>
      </c>
      <c r="X861">
        <v>1</v>
      </c>
      <c r="Y861" t="s">
        <v>20476</v>
      </c>
      <c r="Z861" t="s">
        <v>26829</v>
      </c>
      <c r="AA861">
        <v>0.65910104440199102</v>
      </c>
      <c r="AB861" t="str">
        <f>HYPERLINK("Melting_Curves/meltCurve_G3V1U5_GOLT1B.pdf", "Melting_Curves/meltCurve_G3V1U5_GOLT1B.pdf")</f>
        <v>Melting_Curves/meltCurve_G3V1U5_GOLT1B.pdf</v>
      </c>
    </row>
    <row r="862" spans="1:28" x14ac:dyDescent="0.25">
      <c r="A862" t="s">
        <v>866</v>
      </c>
      <c r="B862">
        <v>0.99472303558308395</v>
      </c>
      <c r="C862">
        <v>0.89503229072534896</v>
      </c>
      <c r="D862">
        <v>0.84371789611919801</v>
      </c>
      <c r="E862">
        <v>0.63682056658550101</v>
      </c>
      <c r="F862">
        <v>0.49649355623449098</v>
      </c>
      <c r="G862">
        <v>0.25134792265647699</v>
      </c>
      <c r="H862">
        <v>0.16728012485494201</v>
      </c>
      <c r="I862">
        <v>0.113621927420591</v>
      </c>
      <c r="J862">
        <v>0.15712421050699801</v>
      </c>
      <c r="K862">
        <v>0.142113702551937</v>
      </c>
      <c r="L862">
        <v>605.60187504728594</v>
      </c>
      <c r="M862">
        <v>12.531581456951001</v>
      </c>
      <c r="N862">
        <v>49.069771132744499</v>
      </c>
      <c r="O862">
        <v>47.144974913944097</v>
      </c>
      <c r="P862">
        <v>-6.0717132452950899E-2</v>
      </c>
      <c r="Q862">
        <v>8.6492423283965406E-2</v>
      </c>
      <c r="R862">
        <v>0.99012614548962197</v>
      </c>
      <c r="S862" t="s">
        <v>7430</v>
      </c>
      <c r="T862" t="s">
        <v>13134</v>
      </c>
      <c r="U862" t="s">
        <v>13134</v>
      </c>
      <c r="V862" t="s">
        <v>13134</v>
      </c>
      <c r="W862" t="s">
        <v>13985</v>
      </c>
      <c r="X862">
        <v>2</v>
      </c>
      <c r="Y862" t="s">
        <v>20477</v>
      </c>
      <c r="Z862" t="s">
        <v>26830</v>
      </c>
      <c r="AA862">
        <v>0.45780329823068849</v>
      </c>
      <c r="AB862" t="str">
        <f>HYPERLINK("Melting_Curves/meltCurve_G3V1V1_ZCRB1.pdf", "Melting_Curves/meltCurve_G3V1V1_ZCRB1.pdf")</f>
        <v>Melting_Curves/meltCurve_G3V1V1_ZCRB1.pdf</v>
      </c>
    </row>
    <row r="863" spans="1:28" x14ac:dyDescent="0.25">
      <c r="A863" t="s">
        <v>867</v>
      </c>
      <c r="B863">
        <v>0.99472303558308395</v>
      </c>
      <c r="C863">
        <v>1.02156573808923</v>
      </c>
      <c r="D863">
        <v>0.99011009806137695</v>
      </c>
      <c r="E863">
        <v>0.91388720497742004</v>
      </c>
      <c r="F863">
        <v>0.67546479700665896</v>
      </c>
      <c r="G863">
        <v>0.58743162350891898</v>
      </c>
      <c r="H863">
        <v>0.43620945305599601</v>
      </c>
      <c r="I863">
        <v>0.44076546168547898</v>
      </c>
      <c r="J863">
        <v>0.56744098349846905</v>
      </c>
      <c r="K863">
        <v>0.46482526696429999</v>
      </c>
      <c r="L863">
        <v>1241.1624942342</v>
      </c>
      <c r="M863">
        <v>25.101669718046601</v>
      </c>
      <c r="N863">
        <v>56.773274567216902</v>
      </c>
      <c r="O863">
        <v>49.134791786767103</v>
      </c>
      <c r="P863">
        <v>-6.63612188731105E-2</v>
      </c>
      <c r="Q863">
        <v>0.48041665643220699</v>
      </c>
      <c r="R863">
        <v>0.97028802220800003</v>
      </c>
      <c r="S863" t="s">
        <v>7431</v>
      </c>
      <c r="T863" t="s">
        <v>13134</v>
      </c>
      <c r="U863" t="s">
        <v>13134</v>
      </c>
      <c r="V863" t="s">
        <v>13134</v>
      </c>
      <c r="W863" t="s">
        <v>13986</v>
      </c>
      <c r="X863">
        <v>9</v>
      </c>
      <c r="Y863" t="s">
        <v>20478</v>
      </c>
      <c r="Z863" t="s">
        <v>26831</v>
      </c>
      <c r="AA863">
        <v>0.70044440443578848</v>
      </c>
      <c r="AB863" t="str">
        <f>HYPERLINK("Melting_Curves/meltCurve_G3V1V4_GTSF1.pdf", "Melting_Curves/meltCurve_G3V1V4_GTSF1.pdf")</f>
        <v>Melting_Curves/meltCurve_G3V1V4_GTSF1.pdf</v>
      </c>
    </row>
    <row r="864" spans="1:28" x14ac:dyDescent="0.25">
      <c r="A864" t="s">
        <v>868</v>
      </c>
      <c r="B864">
        <v>0.99472303558308395</v>
      </c>
      <c r="C864">
        <v>0.90062587050239096</v>
      </c>
      <c r="D864">
        <v>1.00399319996701</v>
      </c>
      <c r="E864">
        <v>0.96112622697404504</v>
      </c>
      <c r="F864">
        <v>1.0389394551998701</v>
      </c>
      <c r="G864">
        <v>0.414798994970347</v>
      </c>
      <c r="H864">
        <v>0.16303276929799099</v>
      </c>
      <c r="I864">
        <v>0.14128496364929999</v>
      </c>
      <c r="J864">
        <v>0.12864531051106801</v>
      </c>
      <c r="K864">
        <v>0.135884574025331</v>
      </c>
      <c r="L864">
        <v>13408.8969569944</v>
      </c>
      <c r="M864">
        <v>250</v>
      </c>
      <c r="N864">
        <v>53.707486880553503</v>
      </c>
      <c r="O864">
        <v>53.632158299557403</v>
      </c>
      <c r="P864">
        <v>-0.99961966267537505</v>
      </c>
      <c r="Q864">
        <v>0.14221188584015801</v>
      </c>
      <c r="R864">
        <v>0.99151994392954101</v>
      </c>
      <c r="S864" t="s">
        <v>7432</v>
      </c>
      <c r="T864" t="s">
        <v>13134</v>
      </c>
      <c r="U864" t="s">
        <v>13134</v>
      </c>
      <c r="V864" t="s">
        <v>13134</v>
      </c>
      <c r="W864" t="s">
        <v>13987</v>
      </c>
      <c r="X864">
        <v>6</v>
      </c>
      <c r="Y864" t="s">
        <v>20479</v>
      </c>
      <c r="Z864" t="s">
        <v>26832</v>
      </c>
      <c r="AA864">
        <v>0.61795294614104457</v>
      </c>
      <c r="AB864" t="str">
        <f>HYPERLINK("Melting_Curves/meltCurve_G3V203_RPL18.pdf", "Melting_Curves/meltCurve_G3V203_RPL18.pdf")</f>
        <v>Melting_Curves/meltCurve_G3V203_RPL18.pdf</v>
      </c>
    </row>
    <row r="865" spans="1:28" x14ac:dyDescent="0.25">
      <c r="A865" t="s">
        <v>869</v>
      </c>
      <c r="B865">
        <v>0.99472303558308395</v>
      </c>
      <c r="C865">
        <v>0.99743235784803197</v>
      </c>
      <c r="D865">
        <v>0.82086949409378296</v>
      </c>
      <c r="E865">
        <v>0.66263097695921203</v>
      </c>
      <c r="F865">
        <v>0.41858721682313099</v>
      </c>
      <c r="G865">
        <v>0.197813732066763</v>
      </c>
      <c r="H865">
        <v>0.16208648128136899</v>
      </c>
      <c r="I865">
        <v>6.5695676920644E-2</v>
      </c>
      <c r="J865">
        <v>7.4391452598664407E-2</v>
      </c>
      <c r="K865">
        <v>6.4320111950750006E-2</v>
      </c>
      <c r="L865">
        <v>685.67504789784505</v>
      </c>
      <c r="M865">
        <v>14.154155216544799</v>
      </c>
      <c r="N865">
        <v>48.726170857527499</v>
      </c>
      <c r="O865">
        <v>47.5071530897361</v>
      </c>
      <c r="P865">
        <v>-7.1556346795166606E-2</v>
      </c>
      <c r="Q865">
        <v>3.9431940235595798E-2</v>
      </c>
      <c r="R865">
        <v>0.99545588711177602</v>
      </c>
      <c r="S865" t="s">
        <v>7433</v>
      </c>
      <c r="T865" t="s">
        <v>13134</v>
      </c>
      <c r="U865" t="s">
        <v>13134</v>
      </c>
      <c r="V865" t="s">
        <v>13134</v>
      </c>
      <c r="W865" t="s">
        <v>13988</v>
      </c>
      <c r="X865">
        <v>1</v>
      </c>
      <c r="Y865" t="s">
        <v>20480</v>
      </c>
      <c r="Z865" t="s">
        <v>26833</v>
      </c>
      <c r="AA865">
        <v>0.42882702089001312</v>
      </c>
      <c r="AB865" t="str">
        <f>HYPERLINK("Melting_Curves/meltCurve_G3V238_METTL10.pdf", "Melting_Curves/meltCurve_G3V238_METTL10.pdf")</f>
        <v>Melting_Curves/meltCurve_G3V238_METTL10.pdf</v>
      </c>
    </row>
    <row r="866" spans="1:28" x14ac:dyDescent="0.25">
      <c r="A866" t="s">
        <v>870</v>
      </c>
      <c r="B866">
        <v>0.99472303558308395</v>
      </c>
      <c r="C866">
        <v>1.0286647701949001</v>
      </c>
      <c r="D866">
        <v>0.80869350673686602</v>
      </c>
      <c r="E866">
        <v>0.68821099210594805</v>
      </c>
      <c r="F866">
        <v>0.75589069811415999</v>
      </c>
      <c r="G866">
        <v>0.32184382694394498</v>
      </c>
      <c r="H866">
        <v>0.15982334234298201</v>
      </c>
      <c r="I866">
        <v>8.3551415596775105E-2</v>
      </c>
      <c r="J866">
        <v>0.107203329961319</v>
      </c>
      <c r="K866">
        <v>0.123903543430448</v>
      </c>
      <c r="L866">
        <v>615.61667850648303</v>
      </c>
      <c r="M866">
        <v>11.987100075575301</v>
      </c>
      <c r="N866">
        <v>51.404745214814099</v>
      </c>
      <c r="O866">
        <v>49.989930699144402</v>
      </c>
      <c r="P866">
        <v>-5.9627355524089799E-2</v>
      </c>
      <c r="Q866">
        <v>5.58237367578154E-3</v>
      </c>
      <c r="R866">
        <v>0.94829053935605201</v>
      </c>
      <c r="S866" t="s">
        <v>7434</v>
      </c>
      <c r="T866" t="s">
        <v>13134</v>
      </c>
      <c r="U866" t="s">
        <v>13134</v>
      </c>
      <c r="V866" t="s">
        <v>13134</v>
      </c>
      <c r="W866" t="s">
        <v>13989</v>
      </c>
      <c r="X866">
        <v>2</v>
      </c>
      <c r="Y866" t="s">
        <v>20481</v>
      </c>
      <c r="Z866" t="s">
        <v>26834</v>
      </c>
      <c r="AA866">
        <v>0.50660990749014345</v>
      </c>
      <c r="AB866" t="str">
        <f>HYPERLINK("Melting_Curves/meltCurve_G3V2A6_NDRG2.pdf", "Melting_Curves/meltCurve_G3V2A6_NDRG2.pdf")</f>
        <v>Melting_Curves/meltCurve_G3V2A6_NDRG2.pdf</v>
      </c>
    </row>
    <row r="867" spans="1:28" x14ac:dyDescent="0.25">
      <c r="A867" t="s">
        <v>871</v>
      </c>
      <c r="B867">
        <v>0.99472303558308395</v>
      </c>
      <c r="C867">
        <v>0.95313349220381605</v>
      </c>
      <c r="D867">
        <v>0.88370570961485995</v>
      </c>
      <c r="E867">
        <v>0.79885837125813897</v>
      </c>
      <c r="F867">
        <v>0.71962636495574495</v>
      </c>
      <c r="G867">
        <v>0.28161259878698203</v>
      </c>
      <c r="H867">
        <v>6.9079547814682798E-2</v>
      </c>
      <c r="I867">
        <v>5.0997951675684799E-2</v>
      </c>
      <c r="J867">
        <v>5.2145844724146802E-2</v>
      </c>
      <c r="K867">
        <v>4.3633265277607997E-2</v>
      </c>
      <c r="L867">
        <v>973.95241703809404</v>
      </c>
      <c r="M867">
        <v>18.9105864507499</v>
      </c>
      <c r="N867">
        <v>51.525437144767899</v>
      </c>
      <c r="O867">
        <v>50.937455104935999</v>
      </c>
      <c r="P867">
        <v>-9.2436377547832696E-2</v>
      </c>
      <c r="Q867">
        <v>4.0958180202698598E-3</v>
      </c>
      <c r="R867">
        <v>0.97937480435719004</v>
      </c>
      <c r="S867" t="s">
        <v>7435</v>
      </c>
      <c r="T867" t="s">
        <v>13134</v>
      </c>
      <c r="U867" t="s">
        <v>13134</v>
      </c>
      <c r="V867" t="s">
        <v>13134</v>
      </c>
      <c r="W867" t="s">
        <v>13990</v>
      </c>
      <c r="X867">
        <v>60</v>
      </c>
      <c r="Y867" t="s">
        <v>20482</v>
      </c>
      <c r="Z867" t="s">
        <v>26835</v>
      </c>
      <c r="AA867">
        <v>0.49971781580313468</v>
      </c>
      <c r="AB867" t="str">
        <f>HYPERLINK("Melting_Curves/meltCurve_G3V2B8_MTHFD1.pdf", "Melting_Curves/meltCurve_G3V2B8_MTHFD1.pdf")</f>
        <v>Melting_Curves/meltCurve_G3V2B8_MTHFD1.pdf</v>
      </c>
    </row>
    <row r="868" spans="1:28" x14ac:dyDescent="0.25">
      <c r="A868" t="s">
        <v>872</v>
      </c>
      <c r="B868">
        <v>0.99472303558308395</v>
      </c>
      <c r="C868">
        <v>0.917791108976861</v>
      </c>
      <c r="D868">
        <v>1.0118974465305799</v>
      </c>
      <c r="E868">
        <v>0.94361125533436396</v>
      </c>
      <c r="F868">
        <v>0.75988119776933105</v>
      </c>
      <c r="G868">
        <v>0.43299933646649102</v>
      </c>
      <c r="H868">
        <v>0.13527401708535</v>
      </c>
      <c r="I868">
        <v>6.07555412111234E-2</v>
      </c>
      <c r="J868">
        <v>4.9731403027190202E-2</v>
      </c>
      <c r="K868">
        <v>4.1520657976043797E-2</v>
      </c>
      <c r="L868">
        <v>1194.73623251044</v>
      </c>
      <c r="M868">
        <v>22.626065820524399</v>
      </c>
      <c r="N868">
        <v>52.916238007597002</v>
      </c>
      <c r="O868">
        <v>52.396255647268397</v>
      </c>
      <c r="P868">
        <v>-0.10541906964723401</v>
      </c>
      <c r="Q868">
        <v>2.35238098822226E-2</v>
      </c>
      <c r="R868">
        <v>0.99490655589571098</v>
      </c>
      <c r="S868" t="s">
        <v>7436</v>
      </c>
      <c r="T868" t="s">
        <v>13134</v>
      </c>
      <c r="U868" t="s">
        <v>13134</v>
      </c>
      <c r="V868" t="s">
        <v>13134</v>
      </c>
      <c r="W868" t="s">
        <v>13991</v>
      </c>
      <c r="X868">
        <v>16</v>
      </c>
      <c r="Y868" t="s">
        <v>20483</v>
      </c>
      <c r="Z868" t="s">
        <v>26836</v>
      </c>
      <c r="AA868">
        <v>0.54813549732816491</v>
      </c>
      <c r="AB868" t="str">
        <f>HYPERLINK("Melting_Curves/meltCurve_G3V2F7_TMEM189.pdf", "Melting_Curves/meltCurve_G3V2F7_TMEM189.pdf")</f>
        <v>Melting_Curves/meltCurve_G3V2F7_TMEM189.pdf</v>
      </c>
    </row>
    <row r="869" spans="1:28" x14ac:dyDescent="0.25">
      <c r="A869" t="s">
        <v>873</v>
      </c>
      <c r="B869">
        <v>0.99472303558308395</v>
      </c>
      <c r="C869">
        <v>0.94445224503201497</v>
      </c>
      <c r="D869">
        <v>0.998651671159967</v>
      </c>
      <c r="E869">
        <v>0.92178005829072096</v>
      </c>
      <c r="F869">
        <v>0.86124578369845095</v>
      </c>
      <c r="G869">
        <v>0.514452123300148</v>
      </c>
      <c r="H869">
        <v>0.25035390624472398</v>
      </c>
      <c r="I869">
        <v>0.13259933465129101</v>
      </c>
      <c r="J869">
        <v>0.106383622539686</v>
      </c>
      <c r="K869">
        <v>0.122560822181403</v>
      </c>
      <c r="L869">
        <v>1267.08266155507</v>
      </c>
      <c r="M869">
        <v>23.6859348323703</v>
      </c>
      <c r="N869">
        <v>53.989359337502698</v>
      </c>
      <c r="O869">
        <v>53.1182044069471</v>
      </c>
      <c r="P869">
        <v>-0.10061431947996501</v>
      </c>
      <c r="Q869">
        <v>9.7462073449671602E-2</v>
      </c>
      <c r="R869">
        <v>0.99531945744310502</v>
      </c>
      <c r="S869" t="s">
        <v>7437</v>
      </c>
      <c r="T869" t="s">
        <v>13134</v>
      </c>
      <c r="U869" t="s">
        <v>13134</v>
      </c>
      <c r="V869" t="s">
        <v>13134</v>
      </c>
      <c r="W869" t="s">
        <v>13992</v>
      </c>
      <c r="X869">
        <v>3</v>
      </c>
      <c r="Y869" t="s">
        <v>20484</v>
      </c>
      <c r="Z869" t="s">
        <v>26837</v>
      </c>
      <c r="AA869">
        <v>0.60238648699279262</v>
      </c>
      <c r="AB869" t="str">
        <f>HYPERLINK("Melting_Curves/meltCurve_G3V2U7_ACYP1.pdf", "Melting_Curves/meltCurve_G3V2U7_ACYP1.pdf")</f>
        <v>Melting_Curves/meltCurve_G3V2U7_ACYP1.pdf</v>
      </c>
    </row>
    <row r="870" spans="1:28" x14ac:dyDescent="0.25">
      <c r="A870" t="s">
        <v>874</v>
      </c>
      <c r="B870">
        <v>0.99472303558308395</v>
      </c>
      <c r="C870">
        <v>0.88331564563479603</v>
      </c>
      <c r="D870">
        <v>0.88716950335320199</v>
      </c>
      <c r="E870">
        <v>0.69801794740964895</v>
      </c>
      <c r="F870">
        <v>0.503116370957577</v>
      </c>
      <c r="G870">
        <v>0.33030334597713201</v>
      </c>
      <c r="H870">
        <v>0.313464973465999</v>
      </c>
      <c r="I870">
        <v>0.30288531707537503</v>
      </c>
      <c r="J870">
        <v>0.38719861643095599</v>
      </c>
      <c r="K870">
        <v>0.37883987934515401</v>
      </c>
      <c r="L870">
        <v>828.75584760016204</v>
      </c>
      <c r="M870">
        <v>17.7125852814798</v>
      </c>
      <c r="N870">
        <v>49.780240273081397</v>
      </c>
      <c r="O870">
        <v>46.204916351920701</v>
      </c>
      <c r="P870">
        <v>-6.4452447382292194E-2</v>
      </c>
      <c r="Q870">
        <v>0.32751451554634198</v>
      </c>
      <c r="R870">
        <v>0.97027617885071304</v>
      </c>
      <c r="S870" t="s">
        <v>7438</v>
      </c>
      <c r="T870" t="s">
        <v>13134</v>
      </c>
      <c r="U870" t="s">
        <v>13134</v>
      </c>
      <c r="V870" t="s">
        <v>13134</v>
      </c>
      <c r="W870" t="s">
        <v>13993</v>
      </c>
      <c r="X870">
        <v>9</v>
      </c>
      <c r="Y870" t="s">
        <v>20485</v>
      </c>
      <c r="Z870" t="s">
        <v>26838</v>
      </c>
      <c r="AA870">
        <v>0.5580959649082845</v>
      </c>
      <c r="AB870" t="str">
        <f>HYPERLINK("Melting_Curves/meltCurve_G3V325_ATP5J2_PTCD1.pdf", "Melting_Curves/meltCurve_G3V325_ATP5J2_PTCD1.pdf")</f>
        <v>Melting_Curves/meltCurve_G3V325_ATP5J2_PTCD1.pdf</v>
      </c>
    </row>
    <row r="871" spans="1:28" x14ac:dyDescent="0.25">
      <c r="A871" t="s">
        <v>875</v>
      </c>
      <c r="B871">
        <v>0.99472303558308395</v>
      </c>
      <c r="C871">
        <v>0.85097513909352795</v>
      </c>
      <c r="D871">
        <v>0.65899511841445901</v>
      </c>
      <c r="E871">
        <v>0.522367229025404</v>
      </c>
      <c r="F871">
        <v>0.47628916990456799</v>
      </c>
      <c r="G871">
        <v>0.187670061817928</v>
      </c>
      <c r="H871">
        <v>0.19764523328208</v>
      </c>
      <c r="I871">
        <v>0.200017316303848</v>
      </c>
      <c r="J871">
        <v>0.34572476197402802</v>
      </c>
      <c r="K871">
        <v>0.25258552272129497</v>
      </c>
      <c r="L871">
        <v>584.77604094531205</v>
      </c>
      <c r="M871">
        <v>13.129942167034701</v>
      </c>
      <c r="N871">
        <v>46.660471235609997</v>
      </c>
      <c r="O871">
        <v>43.542480946637497</v>
      </c>
      <c r="P871">
        <v>-5.8443766211549598E-2</v>
      </c>
      <c r="Q871">
        <v>0.224869774896967</v>
      </c>
      <c r="R871">
        <v>0.93792568587929304</v>
      </c>
      <c r="S871" t="s">
        <v>7439</v>
      </c>
      <c r="T871" t="s">
        <v>13134</v>
      </c>
      <c r="U871" t="s">
        <v>13134</v>
      </c>
      <c r="V871" t="s">
        <v>13134</v>
      </c>
      <c r="W871" t="s">
        <v>13994</v>
      </c>
      <c r="X871">
        <v>2</v>
      </c>
      <c r="Y871" t="s">
        <v>20486</v>
      </c>
      <c r="Z871" t="s">
        <v>26839</v>
      </c>
      <c r="AA871">
        <v>0.44406996329925641</v>
      </c>
      <c r="AB871" t="str">
        <f>HYPERLINK("Melting_Curves/meltCurve_G3V379_FERMT2.pdf", "Melting_Curves/meltCurve_G3V379_FERMT2.pdf")</f>
        <v>Melting_Curves/meltCurve_G3V379_FERMT2.pdf</v>
      </c>
    </row>
    <row r="872" spans="1:28" x14ac:dyDescent="0.25">
      <c r="A872" t="s">
        <v>876</v>
      </c>
      <c r="B872">
        <v>0.99472303558308395</v>
      </c>
      <c r="C872">
        <v>1.39625753881587</v>
      </c>
      <c r="D872">
        <v>0.98939436296441297</v>
      </c>
      <c r="E872">
        <v>1.0215201003894501</v>
      </c>
      <c r="F872">
        <v>0.76424369020662197</v>
      </c>
      <c r="G872">
        <v>0.54173985890087395</v>
      </c>
      <c r="H872">
        <v>0.201998290889187</v>
      </c>
      <c r="I872">
        <v>0.140988344314915</v>
      </c>
      <c r="J872">
        <v>0.10939621434885199</v>
      </c>
      <c r="K872">
        <v>8.7752315477767406E-2</v>
      </c>
      <c r="L872">
        <v>1192.9338440475999</v>
      </c>
      <c r="M872">
        <v>22.357482238333699</v>
      </c>
      <c r="N872">
        <v>53.776399404065899</v>
      </c>
      <c r="O872">
        <v>52.9358818116769</v>
      </c>
      <c r="P872">
        <v>-9.7146751103142998E-2</v>
      </c>
      <c r="Q872">
        <v>7.9960581547161402E-2</v>
      </c>
      <c r="R872">
        <v>0.91716001452680096</v>
      </c>
      <c r="S872" t="s">
        <v>7440</v>
      </c>
      <c r="T872" t="s">
        <v>13134</v>
      </c>
      <c r="U872" t="s">
        <v>13134</v>
      </c>
      <c r="V872" t="s">
        <v>13134</v>
      </c>
      <c r="W872" t="s">
        <v>13995</v>
      </c>
      <c r="X872">
        <v>1</v>
      </c>
      <c r="Y872" t="s">
        <v>20487</v>
      </c>
      <c r="Z872" t="s">
        <v>26840</v>
      </c>
      <c r="AA872">
        <v>0.59131819737938529</v>
      </c>
      <c r="AB872" t="str">
        <f>HYPERLINK("Melting_Curves/meltCurve_G3V3E1_SKOR1.pdf", "Melting_Curves/meltCurve_G3V3E1_SKOR1.pdf")</f>
        <v>Melting_Curves/meltCurve_G3V3E1_SKOR1.pdf</v>
      </c>
    </row>
    <row r="873" spans="1:28" x14ac:dyDescent="0.25">
      <c r="A873" t="s">
        <v>877</v>
      </c>
      <c r="B873">
        <v>0.99472303558308395</v>
      </c>
      <c r="C873">
        <v>1.01194532962341</v>
      </c>
      <c r="D873">
        <v>0.79110789086387501</v>
      </c>
      <c r="E873">
        <v>0.673768843230792</v>
      </c>
      <c r="F873">
        <v>0.53712272548902096</v>
      </c>
      <c r="G873">
        <v>0.25615764466348001</v>
      </c>
      <c r="H873">
        <v>6.6086146050166203E-2</v>
      </c>
      <c r="I873">
        <v>4.2070766336294502E-2</v>
      </c>
      <c r="J873">
        <v>3.6349786621104399E-2</v>
      </c>
      <c r="K873">
        <v>3.5687835942795003E-2</v>
      </c>
      <c r="L873">
        <v>661.60449724514694</v>
      </c>
      <c r="M873">
        <v>13.379912360094</v>
      </c>
      <c r="N873">
        <v>49.447571831465098</v>
      </c>
      <c r="O873">
        <v>48.382213625669401</v>
      </c>
      <c r="P873">
        <v>-6.9147442650346905E-2</v>
      </c>
      <c r="Q873">
        <v>0</v>
      </c>
      <c r="R873">
        <v>0.98331052551216203</v>
      </c>
      <c r="S873" t="s">
        <v>7441</v>
      </c>
      <c r="T873" t="s">
        <v>13134</v>
      </c>
      <c r="U873" t="s">
        <v>13134</v>
      </c>
      <c r="V873" t="s">
        <v>13134</v>
      </c>
      <c r="W873" t="s">
        <v>13996</v>
      </c>
      <c r="X873">
        <v>12</v>
      </c>
      <c r="Y873" t="s">
        <v>20488</v>
      </c>
      <c r="Z873" t="s">
        <v>26841</v>
      </c>
      <c r="AA873">
        <v>0.44000909568104329</v>
      </c>
      <c r="AB873" t="str">
        <f>HYPERLINK("Melting_Curves/meltCurve_G3V3G9_DCAF8.pdf", "Melting_Curves/meltCurve_G3V3G9_DCAF8.pdf")</f>
        <v>Melting_Curves/meltCurve_G3V3G9_DCAF8.pdf</v>
      </c>
    </row>
    <row r="874" spans="1:28" x14ac:dyDescent="0.25">
      <c r="A874" t="s">
        <v>878</v>
      </c>
      <c r="B874">
        <v>0.99472303558308395</v>
      </c>
      <c r="C874">
        <v>1.1207910640314001</v>
      </c>
      <c r="D874">
        <v>0.79729245335424304</v>
      </c>
      <c r="E874">
        <v>0.68539103761609599</v>
      </c>
      <c r="F874">
        <v>0.60926597448813402</v>
      </c>
      <c r="G874">
        <v>8.7811275937129396E-2</v>
      </c>
      <c r="H874">
        <v>8.1130191997180107E-2</v>
      </c>
      <c r="I874">
        <v>4.1812119996782401E-2</v>
      </c>
      <c r="J874">
        <v>7.6597708545986007E-2</v>
      </c>
      <c r="K874">
        <v>4.6876814844882903E-2</v>
      </c>
      <c r="L874">
        <v>799.29473257864299</v>
      </c>
      <c r="M874">
        <v>16.1467856819412</v>
      </c>
      <c r="N874">
        <v>49.549505984828201</v>
      </c>
      <c r="O874">
        <v>48.761187953922999</v>
      </c>
      <c r="P874">
        <v>-8.2152554811016201E-2</v>
      </c>
      <c r="Q874">
        <v>7.7151235124387103E-3</v>
      </c>
      <c r="R874">
        <v>0.949801670937093</v>
      </c>
      <c r="S874" t="s">
        <v>7442</v>
      </c>
      <c r="T874" t="s">
        <v>13134</v>
      </c>
      <c r="U874" t="s">
        <v>13134</v>
      </c>
      <c r="V874" t="s">
        <v>13134</v>
      </c>
      <c r="W874" t="s">
        <v>13997</v>
      </c>
      <c r="X874">
        <v>1</v>
      </c>
      <c r="Y874" t="s">
        <v>20489</v>
      </c>
      <c r="Z874" t="s">
        <v>26842</v>
      </c>
      <c r="AA874">
        <v>0.4400139705148835</v>
      </c>
      <c r="AB874" t="str">
        <f>HYPERLINK("Melting_Curves/meltCurve_G3V3H7_AKAP6.pdf", "Melting_Curves/meltCurve_G3V3H7_AKAP6.pdf")</f>
        <v>Melting_Curves/meltCurve_G3V3H7_AKAP6.pdf</v>
      </c>
    </row>
    <row r="875" spans="1:28" x14ac:dyDescent="0.25">
      <c r="A875" t="s">
        <v>879</v>
      </c>
      <c r="B875">
        <v>0.99472303558308395</v>
      </c>
      <c r="C875">
        <v>1.0183723372168001</v>
      </c>
      <c r="D875">
        <v>0.82897945662044903</v>
      </c>
      <c r="E875">
        <v>0.64934712797816196</v>
      </c>
      <c r="F875">
        <v>0.346338886792733</v>
      </c>
      <c r="G875">
        <v>0.15234727565346401</v>
      </c>
      <c r="H875">
        <v>0.10160035559991799</v>
      </c>
      <c r="I875">
        <v>6.3032567679934301E-2</v>
      </c>
      <c r="J875">
        <v>6.5117906048435398E-2</v>
      </c>
      <c r="K875">
        <v>8.3168499866671006E-2</v>
      </c>
      <c r="L875">
        <v>828.09181894100197</v>
      </c>
      <c r="M875">
        <v>17.335015336385801</v>
      </c>
      <c r="N875">
        <v>48.086200357977603</v>
      </c>
      <c r="O875">
        <v>47.147781978412802</v>
      </c>
      <c r="P875">
        <v>-8.6970569864010402E-2</v>
      </c>
      <c r="Q875">
        <v>5.3883776182799603E-2</v>
      </c>
      <c r="R875">
        <v>0.99556103738897594</v>
      </c>
      <c r="S875" t="s">
        <v>7443</v>
      </c>
      <c r="T875" t="s">
        <v>13134</v>
      </c>
      <c r="U875" t="s">
        <v>13134</v>
      </c>
      <c r="V875" t="s">
        <v>13134</v>
      </c>
      <c r="W875" t="s">
        <v>13998</v>
      </c>
      <c r="X875">
        <v>3</v>
      </c>
      <c r="Y875" t="s">
        <v>20490</v>
      </c>
      <c r="Z875" t="s">
        <v>26843</v>
      </c>
      <c r="AA875">
        <v>0.40975539689787799</v>
      </c>
      <c r="AB875" t="str">
        <f>HYPERLINK("Melting_Curves/meltCurve_G3V3I4_NFKBIA.pdf", "Melting_Curves/meltCurve_G3V3I4_NFKBIA.pdf")</f>
        <v>Melting_Curves/meltCurve_G3V3I4_NFKBIA.pdf</v>
      </c>
    </row>
    <row r="876" spans="1:28" x14ac:dyDescent="0.25">
      <c r="A876" t="s">
        <v>880</v>
      </c>
      <c r="B876">
        <v>0.99472303558308395</v>
      </c>
      <c r="C876">
        <v>1.09035466687291</v>
      </c>
      <c r="D876">
        <v>0.93528886993910898</v>
      </c>
      <c r="E876">
        <v>0.801917813733944</v>
      </c>
      <c r="F876">
        <v>0.59799163902904895</v>
      </c>
      <c r="G876">
        <v>0.36758142784400799</v>
      </c>
      <c r="H876">
        <v>0.117514399836781</v>
      </c>
      <c r="I876">
        <v>6.4901670918259893E-2</v>
      </c>
      <c r="J876">
        <v>7.6165044024134501E-2</v>
      </c>
      <c r="K876">
        <v>4.6419349265723303E-2</v>
      </c>
      <c r="L876">
        <v>813.85524239639005</v>
      </c>
      <c r="M876">
        <v>15.8748989002336</v>
      </c>
      <c r="N876">
        <v>51.346683278568598</v>
      </c>
      <c r="O876">
        <v>50.473969747923299</v>
      </c>
      <c r="P876">
        <v>-7.7676322904661602E-2</v>
      </c>
      <c r="Q876">
        <v>1.2197723755147801E-2</v>
      </c>
      <c r="R876">
        <v>0.98983433675216403</v>
      </c>
      <c r="S876" t="s">
        <v>7444</v>
      </c>
      <c r="T876" t="s">
        <v>13134</v>
      </c>
      <c r="U876" t="s">
        <v>13134</v>
      </c>
      <c r="V876" t="s">
        <v>13134</v>
      </c>
      <c r="W876" t="s">
        <v>13999</v>
      </c>
      <c r="X876">
        <v>3</v>
      </c>
      <c r="Y876" t="s">
        <v>20491</v>
      </c>
      <c r="Z876" t="s">
        <v>26844</v>
      </c>
      <c r="AA876">
        <v>0.50019863890593674</v>
      </c>
      <c r="AB876" t="str">
        <f>HYPERLINK("Melting_Curves/meltCurve_G3V3Q2_XRCC3.pdf", "Melting_Curves/meltCurve_G3V3Q2_XRCC3.pdf")</f>
        <v>Melting_Curves/meltCurve_G3V3Q2_XRCC3.pdf</v>
      </c>
    </row>
    <row r="877" spans="1:28" x14ac:dyDescent="0.25">
      <c r="A877" t="s">
        <v>881</v>
      </c>
      <c r="B877">
        <v>0.99472303558308395</v>
      </c>
      <c r="C877">
        <v>0.99592341566658504</v>
      </c>
      <c r="D877">
        <v>0.98791155839399902</v>
      </c>
      <c r="E877">
        <v>0.59841404437962897</v>
      </c>
      <c r="F877">
        <v>0.23686920174509499</v>
      </c>
      <c r="G877">
        <v>0.121815344647379</v>
      </c>
      <c r="H877">
        <v>6.8484819722981302E-2</v>
      </c>
      <c r="I877">
        <v>4.7442288228220997E-2</v>
      </c>
      <c r="J877">
        <v>5.07201445568283E-2</v>
      </c>
      <c r="K877">
        <v>4.3936818141017603E-2</v>
      </c>
      <c r="L877">
        <v>1255.09347282566</v>
      </c>
      <c r="M877">
        <v>26.529127075930798</v>
      </c>
      <c r="N877">
        <v>47.526883227294398</v>
      </c>
      <c r="O877">
        <v>47.0436612611946</v>
      </c>
      <c r="P877">
        <v>-0.13294602882489701</v>
      </c>
      <c r="Q877">
        <v>5.7006248186867399E-2</v>
      </c>
      <c r="R877">
        <v>0.99739742401479503</v>
      </c>
      <c r="S877" t="s">
        <v>7445</v>
      </c>
      <c r="T877" t="s">
        <v>13134</v>
      </c>
      <c r="U877" t="s">
        <v>13134</v>
      </c>
      <c r="V877" t="s">
        <v>13134</v>
      </c>
      <c r="W877" t="s">
        <v>14000</v>
      </c>
      <c r="X877">
        <v>8</v>
      </c>
      <c r="Y877" t="s">
        <v>20492</v>
      </c>
      <c r="Z877" t="s">
        <v>26845</v>
      </c>
      <c r="AA877">
        <v>0.38814461698619662</v>
      </c>
      <c r="AB877" t="str">
        <f>HYPERLINK("Melting_Curves/meltCurve_G3V3R7_ATXN3.pdf", "Melting_Curves/meltCurve_G3V3R7_ATXN3.pdf")</f>
        <v>Melting_Curves/meltCurve_G3V3R7_ATXN3.pdf</v>
      </c>
    </row>
    <row r="878" spans="1:28" x14ac:dyDescent="0.25">
      <c r="A878" t="s">
        <v>882</v>
      </c>
      <c r="B878">
        <v>0.99472303558308395</v>
      </c>
      <c r="C878">
        <v>1.0854704968262101</v>
      </c>
      <c r="D878">
        <v>1.03052225669762</v>
      </c>
      <c r="E878">
        <v>1.0927776635551201</v>
      </c>
      <c r="F878">
        <v>1.39685857079709</v>
      </c>
      <c r="G878">
        <v>1.4558678021959399</v>
      </c>
      <c r="H878">
        <v>0.84051049535909494</v>
      </c>
      <c r="I878">
        <v>0.98600637880680198</v>
      </c>
      <c r="J878">
        <v>1.3226349922509899</v>
      </c>
      <c r="K878">
        <v>0.794833418988799</v>
      </c>
      <c r="L878">
        <v>15000</v>
      </c>
      <c r="M878">
        <v>222.52616169756701</v>
      </c>
      <c r="Q878">
        <v>0</v>
      </c>
      <c r="R878">
        <v>-0.127663183424467</v>
      </c>
      <c r="S878" t="s">
        <v>7446</v>
      </c>
      <c r="T878" t="s">
        <v>13134</v>
      </c>
      <c r="U878" t="s">
        <v>13134</v>
      </c>
      <c r="V878" t="s">
        <v>13134</v>
      </c>
      <c r="W878" t="s">
        <v>14001</v>
      </c>
      <c r="X878">
        <v>1</v>
      </c>
      <c r="Y878" t="s">
        <v>20493</v>
      </c>
      <c r="Z878" t="s">
        <v>26846</v>
      </c>
      <c r="AA878">
        <v>0.99773101285606158</v>
      </c>
      <c r="AB878" t="str">
        <f>HYPERLINK("Melting_Curves/meltCurve_G3V3U6_MRPL52.pdf", "Melting_Curves/meltCurve_G3V3U6_MRPL52.pdf")</f>
        <v>Melting_Curves/meltCurve_G3V3U6_MRPL52.pdf</v>
      </c>
    </row>
    <row r="879" spans="1:28" x14ac:dyDescent="0.25">
      <c r="A879" t="s">
        <v>883</v>
      </c>
      <c r="B879">
        <v>0.99472303558308395</v>
      </c>
      <c r="C879">
        <v>0.75092419002449196</v>
      </c>
      <c r="D879">
        <v>0.62280018128688597</v>
      </c>
      <c r="E879">
        <v>0.496854433195</v>
      </c>
      <c r="F879">
        <v>0.40279444395250102</v>
      </c>
      <c r="G879">
        <v>7.8901096082253402E-2</v>
      </c>
      <c r="H879">
        <v>4.6859423412814599E-2</v>
      </c>
      <c r="I879">
        <v>0</v>
      </c>
      <c r="J879">
        <v>4.3127451088503001E-2</v>
      </c>
      <c r="K879">
        <v>3.493038220644E-2</v>
      </c>
      <c r="L879">
        <v>494.90150722473402</v>
      </c>
      <c r="M879">
        <v>10.818288932354401</v>
      </c>
      <c r="N879">
        <v>45.746745229435597</v>
      </c>
      <c r="O879">
        <v>44.266826878709303</v>
      </c>
      <c r="P879">
        <v>-6.11190213127124E-2</v>
      </c>
      <c r="Q879">
        <v>0</v>
      </c>
      <c r="R879">
        <v>0.96127528254457195</v>
      </c>
      <c r="S879" t="s">
        <v>7447</v>
      </c>
      <c r="T879" t="s">
        <v>13134</v>
      </c>
      <c r="U879" t="s">
        <v>13134</v>
      </c>
      <c r="V879" t="s">
        <v>13134</v>
      </c>
      <c r="W879" t="s">
        <v>14002</v>
      </c>
      <c r="X879">
        <v>2</v>
      </c>
      <c r="Y879" t="s">
        <v>20494</v>
      </c>
      <c r="Z879" t="s">
        <v>26847</v>
      </c>
      <c r="AA879">
        <v>0.33312852929833431</v>
      </c>
      <c r="AB879" t="str">
        <f>HYPERLINK("Melting_Curves/meltCurve_G3V4A5_MED6.pdf", "Melting_Curves/meltCurve_G3V4A5_MED6.pdf")</f>
        <v>Melting_Curves/meltCurve_G3V4A5_MED6.pdf</v>
      </c>
    </row>
    <row r="880" spans="1:28" x14ac:dyDescent="0.25">
      <c r="A880" t="s">
        <v>884</v>
      </c>
      <c r="B880">
        <v>0.99472303558308395</v>
      </c>
      <c r="C880">
        <v>1.0259878388149599</v>
      </c>
      <c r="D880">
        <v>0.92832623684359294</v>
      </c>
      <c r="E880">
        <v>0.85607569418568197</v>
      </c>
      <c r="F880">
        <v>0.71941246937636005</v>
      </c>
      <c r="G880">
        <v>0.42225324506760098</v>
      </c>
      <c r="H880">
        <v>0.23855781011806501</v>
      </c>
      <c r="I880">
        <v>0.18162776035079201</v>
      </c>
      <c r="J880">
        <v>0.23719708608780499</v>
      </c>
      <c r="K880">
        <v>0.28342836109613601</v>
      </c>
      <c r="L880">
        <v>1058.24023613602</v>
      </c>
      <c r="M880">
        <v>20.711030080299999</v>
      </c>
      <c r="N880">
        <v>52.482703842382598</v>
      </c>
      <c r="O880">
        <v>50.626291595298497</v>
      </c>
      <c r="P880">
        <v>-8.0718748748904806E-2</v>
      </c>
      <c r="Q880">
        <v>0.210782845630895</v>
      </c>
      <c r="R880">
        <v>0.98343238757649099</v>
      </c>
      <c r="S880" t="s">
        <v>7448</v>
      </c>
      <c r="T880" t="s">
        <v>13134</v>
      </c>
      <c r="U880" t="s">
        <v>13134</v>
      </c>
      <c r="V880" t="s">
        <v>13134</v>
      </c>
      <c r="W880" t="s">
        <v>14003</v>
      </c>
      <c r="X880">
        <v>2</v>
      </c>
      <c r="Y880" t="s">
        <v>20495</v>
      </c>
      <c r="Z880" t="s">
        <v>26848</v>
      </c>
      <c r="AA880">
        <v>0.5913328578200906</v>
      </c>
      <c r="AB880" t="str">
        <f>HYPERLINK("Melting_Curves/meltCurve_G3V4I0_ENTPD5.pdf", "Melting_Curves/meltCurve_G3V4I0_ENTPD5.pdf")</f>
        <v>Melting_Curves/meltCurve_G3V4I0_ENTPD5.pdf</v>
      </c>
    </row>
    <row r="881" spans="1:28" x14ac:dyDescent="0.25">
      <c r="A881" t="s">
        <v>885</v>
      </c>
      <c r="B881">
        <v>0.99472303558308395</v>
      </c>
      <c r="C881">
        <v>0.94092264442016704</v>
      </c>
      <c r="D881">
        <v>0.70268201989326895</v>
      </c>
      <c r="E881">
        <v>0.43569206367623903</v>
      </c>
      <c r="F881">
        <v>0.16123486590546701</v>
      </c>
      <c r="G881">
        <v>8.2627365974826505E-2</v>
      </c>
      <c r="H881">
        <v>6.4540445179910602E-2</v>
      </c>
      <c r="I881">
        <v>4.7649051183949201E-2</v>
      </c>
      <c r="J881">
        <v>7.5974534362726207E-2</v>
      </c>
      <c r="K881">
        <v>5.0862615571456E-2</v>
      </c>
      <c r="L881">
        <v>823.29496697616696</v>
      </c>
      <c r="M881">
        <v>18.194632610552201</v>
      </c>
      <c r="N881">
        <v>45.494326457274198</v>
      </c>
      <c r="O881">
        <v>44.713347435112603</v>
      </c>
      <c r="P881">
        <v>-9.6986550912472394E-2</v>
      </c>
      <c r="Q881">
        <v>4.6666492264681003E-2</v>
      </c>
      <c r="R881">
        <v>0.99701123629198296</v>
      </c>
      <c r="S881" t="s">
        <v>7449</v>
      </c>
      <c r="T881" t="s">
        <v>13134</v>
      </c>
      <c r="U881" t="s">
        <v>13134</v>
      </c>
      <c r="V881" t="s">
        <v>13134</v>
      </c>
      <c r="W881" t="s">
        <v>14004</v>
      </c>
      <c r="X881">
        <v>4</v>
      </c>
      <c r="Y881" t="s">
        <v>20496</v>
      </c>
      <c r="Z881" t="s">
        <v>26849</v>
      </c>
      <c r="AA881">
        <v>0.32402513634080449</v>
      </c>
      <c r="AB881" t="str">
        <f>HYPERLINK("Melting_Curves/meltCurve_G3V4K3_VIPAS39.pdf", "Melting_Curves/meltCurve_G3V4K3_VIPAS39.pdf")</f>
        <v>Melting_Curves/meltCurve_G3V4K3_VIPAS39.pdf</v>
      </c>
    </row>
    <row r="882" spans="1:28" x14ac:dyDescent="0.25">
      <c r="A882" t="s">
        <v>886</v>
      </c>
      <c r="B882">
        <v>0.99472303558308395</v>
      </c>
      <c r="C882">
        <v>0.95179668689096097</v>
      </c>
      <c r="D882">
        <v>0.904169909855982</v>
      </c>
      <c r="E882">
        <v>0.64901696850685797</v>
      </c>
      <c r="F882">
        <v>0.330493268339136</v>
      </c>
      <c r="G882">
        <v>0.114093288665804</v>
      </c>
      <c r="H882">
        <v>7.4120532140185005E-2</v>
      </c>
      <c r="I882">
        <v>4.74903316061294E-2</v>
      </c>
      <c r="J882">
        <v>4.4653852568168298E-2</v>
      </c>
      <c r="K882">
        <v>4.1421896803812398E-2</v>
      </c>
      <c r="L882">
        <v>923.35860683585895</v>
      </c>
      <c r="M882">
        <v>19.257995039551599</v>
      </c>
      <c r="N882">
        <v>48.112321777332099</v>
      </c>
      <c r="O882">
        <v>47.4387504843287</v>
      </c>
      <c r="P882">
        <v>-9.8238787106549805E-2</v>
      </c>
      <c r="Q882">
        <v>3.2059381413508302E-2</v>
      </c>
      <c r="R882">
        <v>0.99896102859898295</v>
      </c>
      <c r="S882" t="s">
        <v>7450</v>
      </c>
      <c r="T882" t="s">
        <v>13134</v>
      </c>
      <c r="U882" t="s">
        <v>13134</v>
      </c>
      <c r="V882" t="s">
        <v>13134</v>
      </c>
      <c r="W882" t="s">
        <v>14005</v>
      </c>
      <c r="X882">
        <v>2</v>
      </c>
      <c r="Y882" t="s">
        <v>20497</v>
      </c>
      <c r="Z882" t="s">
        <v>26850</v>
      </c>
      <c r="AA882">
        <v>0.39890726132412518</v>
      </c>
      <c r="AB882" t="str">
        <f>HYPERLINK("Melting_Curves/meltCurve_G3V4P7_AP4S1.pdf", "Melting_Curves/meltCurve_G3V4P7_AP4S1.pdf")</f>
        <v>Melting_Curves/meltCurve_G3V4P7_AP4S1.pdf</v>
      </c>
    </row>
    <row r="883" spans="1:28" x14ac:dyDescent="0.25">
      <c r="A883" t="s">
        <v>887</v>
      </c>
      <c r="B883">
        <v>0.99472303558308395</v>
      </c>
      <c r="C883">
        <v>0.94355018001398105</v>
      </c>
      <c r="D883">
        <v>0.80768749214628399</v>
      </c>
      <c r="E883">
        <v>0.697697303343359</v>
      </c>
      <c r="F883">
        <v>0.41137028686743599</v>
      </c>
      <c r="G883">
        <v>0.18760532233133201</v>
      </c>
      <c r="H883">
        <v>0.121794703423017</v>
      </c>
      <c r="I883">
        <v>9.5209525344954096E-2</v>
      </c>
      <c r="J883">
        <v>0.105711078706065</v>
      </c>
      <c r="K883">
        <v>7.5910357347844806E-2</v>
      </c>
      <c r="L883">
        <v>701.42977760660904</v>
      </c>
      <c r="M883">
        <v>14.5235305539412</v>
      </c>
      <c r="N883">
        <v>48.671728931523702</v>
      </c>
      <c r="O883">
        <v>47.408168272684698</v>
      </c>
      <c r="P883">
        <v>-7.2535529448623404E-2</v>
      </c>
      <c r="Q883">
        <v>5.3017487232386598E-2</v>
      </c>
      <c r="R883">
        <v>0.99329159910346498</v>
      </c>
      <c r="S883" t="s">
        <v>7451</v>
      </c>
      <c r="T883" t="s">
        <v>13134</v>
      </c>
      <c r="U883" t="s">
        <v>13134</v>
      </c>
      <c r="V883" t="s">
        <v>13134</v>
      </c>
      <c r="W883" t="s">
        <v>14006</v>
      </c>
      <c r="X883">
        <v>5</v>
      </c>
      <c r="Y883" t="s">
        <v>20498</v>
      </c>
      <c r="Z883" t="s">
        <v>26851</v>
      </c>
      <c r="AA883">
        <v>0.431432609277349</v>
      </c>
      <c r="AB883" t="str">
        <f>HYPERLINK("Melting_Curves/meltCurve_G3V4W0_HNRNPC.pdf", "Melting_Curves/meltCurve_G3V4W0_HNRNPC.pdf")</f>
        <v>Melting_Curves/meltCurve_G3V4W0_HNRNPC.pdf</v>
      </c>
    </row>
    <row r="884" spans="1:28" x14ac:dyDescent="0.25">
      <c r="A884" t="s">
        <v>888</v>
      </c>
      <c r="B884">
        <v>0.99472303558308395</v>
      </c>
      <c r="C884">
        <v>0.98017918154097405</v>
      </c>
      <c r="D884">
        <v>0.91409546124752195</v>
      </c>
      <c r="E884">
        <v>0.80055258713246302</v>
      </c>
      <c r="F884">
        <v>0.660035393758303</v>
      </c>
      <c r="G884">
        <v>0.41286640974684302</v>
      </c>
      <c r="H884">
        <v>0.34738100446410097</v>
      </c>
      <c r="I884">
        <v>0.31147450938594701</v>
      </c>
      <c r="J884">
        <v>0.35962897716390002</v>
      </c>
      <c r="K884">
        <v>0.33692471242828098</v>
      </c>
      <c r="L884">
        <v>820.38664852407601</v>
      </c>
      <c r="M884">
        <v>16.616737279078201</v>
      </c>
      <c r="N884">
        <v>52.419387764773603</v>
      </c>
      <c r="O884">
        <v>48.672682160538301</v>
      </c>
      <c r="P884">
        <v>-5.8916001027699297E-2</v>
      </c>
      <c r="Q884">
        <v>0.30975475417890402</v>
      </c>
      <c r="R884">
        <v>0.989173844442512</v>
      </c>
      <c r="S884" t="s">
        <v>7452</v>
      </c>
      <c r="T884" t="s">
        <v>13134</v>
      </c>
      <c r="U884" t="s">
        <v>13134</v>
      </c>
      <c r="V884" t="s">
        <v>13134</v>
      </c>
      <c r="W884" t="s">
        <v>14007</v>
      </c>
      <c r="X884">
        <v>4</v>
      </c>
      <c r="Y884" t="s">
        <v>20499</v>
      </c>
      <c r="Z884" t="s">
        <v>26852</v>
      </c>
      <c r="AA884">
        <v>0.60689954447881311</v>
      </c>
      <c r="AB884" t="str">
        <f>HYPERLINK("Melting_Curves/meltCurve_G3V583_FAM177A1.pdf", "Melting_Curves/meltCurve_G3V583_FAM177A1.pdf")</f>
        <v>Melting_Curves/meltCurve_G3V583_FAM177A1.pdf</v>
      </c>
    </row>
    <row r="885" spans="1:28" x14ac:dyDescent="0.25">
      <c r="A885" t="s">
        <v>889</v>
      </c>
      <c r="B885">
        <v>0.99472303558308395</v>
      </c>
      <c r="C885">
        <v>1.17930039529096</v>
      </c>
      <c r="D885">
        <v>0.92183513619329105</v>
      </c>
      <c r="E885">
        <v>0.65961290308116005</v>
      </c>
      <c r="F885">
        <v>0.97758276051593596</v>
      </c>
      <c r="G885">
        <v>0.60070181580943005</v>
      </c>
      <c r="H885">
        <v>0.78414580367598397</v>
      </c>
      <c r="I885">
        <v>0.16677992233216399</v>
      </c>
      <c r="J885">
        <v>0.13313741913170199</v>
      </c>
      <c r="K885">
        <v>0.20906866784463199</v>
      </c>
      <c r="L885">
        <v>716.50211485025204</v>
      </c>
      <c r="M885">
        <v>12.432157010330201</v>
      </c>
      <c r="N885">
        <v>57.6329687492589</v>
      </c>
      <c r="O885">
        <v>56.202718016029898</v>
      </c>
      <c r="P885">
        <v>-5.5312137027105697E-2</v>
      </c>
      <c r="Q885">
        <v>0</v>
      </c>
      <c r="R885">
        <v>0.799077314800135</v>
      </c>
      <c r="S885" t="s">
        <v>7453</v>
      </c>
      <c r="T885" t="s">
        <v>13134</v>
      </c>
      <c r="U885" t="s">
        <v>13134</v>
      </c>
      <c r="V885" t="s">
        <v>13134</v>
      </c>
      <c r="W885" t="s">
        <v>14008</v>
      </c>
      <c r="X885">
        <v>2</v>
      </c>
      <c r="Y885" t="s">
        <v>20484</v>
      </c>
      <c r="Z885" t="s">
        <v>26853</v>
      </c>
      <c r="AA885">
        <v>0.68971421975631964</v>
      </c>
      <c r="AB885" t="str">
        <f>HYPERLINK("Melting_Curves/meltCurve_G3V597_ACYP1.pdf", "Melting_Curves/meltCurve_G3V597_ACYP1.pdf")</f>
        <v>Melting_Curves/meltCurve_G3V597_ACYP1.pdf</v>
      </c>
    </row>
    <row r="886" spans="1:28" x14ac:dyDescent="0.25">
      <c r="A886" t="s">
        <v>890</v>
      </c>
      <c r="B886">
        <v>0.99472303558308395</v>
      </c>
      <c r="C886">
        <v>0.98095775615207703</v>
      </c>
      <c r="D886">
        <v>0.94747315678219701</v>
      </c>
      <c r="E886">
        <v>0.62370295919542895</v>
      </c>
      <c r="F886">
        <v>0.20591993205428499</v>
      </c>
      <c r="G886">
        <v>0.102131212847295</v>
      </c>
      <c r="H886">
        <v>6.68333176813692E-2</v>
      </c>
      <c r="I886">
        <v>5.57666753592495E-2</v>
      </c>
      <c r="J886">
        <v>8.0244567923183699E-2</v>
      </c>
      <c r="K886">
        <v>5.8129083681026102E-2</v>
      </c>
      <c r="L886">
        <v>1351.0600777734701</v>
      </c>
      <c r="M886">
        <v>28.6045027827833</v>
      </c>
      <c r="N886">
        <v>47.4627741258657</v>
      </c>
      <c r="O886">
        <v>47.003407175374797</v>
      </c>
      <c r="P886">
        <v>-0.14228161907876399</v>
      </c>
      <c r="Q886">
        <v>6.4809436220380101E-2</v>
      </c>
      <c r="R886">
        <v>0.99954302147298602</v>
      </c>
      <c r="S886" t="s">
        <v>7454</v>
      </c>
      <c r="T886" t="s">
        <v>13134</v>
      </c>
      <c r="U886" t="s">
        <v>13134</v>
      </c>
      <c r="V886" t="s">
        <v>13134</v>
      </c>
      <c r="W886" t="s">
        <v>14009</v>
      </c>
      <c r="X886">
        <v>12</v>
      </c>
      <c r="Y886" t="s">
        <v>20500</v>
      </c>
      <c r="Z886" t="s">
        <v>26854</v>
      </c>
      <c r="AA886">
        <v>0.3897952162774091</v>
      </c>
      <c r="AB886" t="str">
        <f>HYPERLINK("Melting_Curves/meltCurve_G3V599_CTAGE5.pdf", "Melting_Curves/meltCurve_G3V599_CTAGE5.pdf")</f>
        <v>Melting_Curves/meltCurve_G3V599_CTAGE5.pdf</v>
      </c>
    </row>
    <row r="887" spans="1:28" x14ac:dyDescent="0.25">
      <c r="A887" t="s">
        <v>891</v>
      </c>
      <c r="B887">
        <v>0.99472303558308395</v>
      </c>
      <c r="C887">
        <v>1.04064815020054</v>
      </c>
      <c r="D887">
        <v>1.0525178416302201</v>
      </c>
      <c r="E887">
        <v>0.75821943818391402</v>
      </c>
      <c r="F887">
        <v>0.49853262112813201</v>
      </c>
      <c r="G887">
        <v>0.25440072897955601</v>
      </c>
      <c r="H887">
        <v>0.184273569677672</v>
      </c>
      <c r="I887">
        <v>0.113517967420194</v>
      </c>
      <c r="J887">
        <v>0.16496395682175499</v>
      </c>
      <c r="K887">
        <v>0.15179774533926599</v>
      </c>
      <c r="L887">
        <v>1086.6076082043101</v>
      </c>
      <c r="M887">
        <v>22.0850429532261</v>
      </c>
      <c r="N887">
        <v>49.953139165106201</v>
      </c>
      <c r="O887">
        <v>48.802976287297902</v>
      </c>
      <c r="P887">
        <v>-9.7134480852658897E-2</v>
      </c>
      <c r="Q887">
        <v>0.141437083807257</v>
      </c>
      <c r="R887">
        <v>0.99006328266680599</v>
      </c>
      <c r="S887" t="s">
        <v>7455</v>
      </c>
      <c r="T887" t="s">
        <v>13134</v>
      </c>
      <c r="U887" t="s">
        <v>13134</v>
      </c>
      <c r="V887" t="s">
        <v>13134</v>
      </c>
      <c r="W887" t="s">
        <v>14010</v>
      </c>
      <c r="X887">
        <v>1</v>
      </c>
      <c r="Y887" t="s">
        <v>20501</v>
      </c>
      <c r="Z887" t="s">
        <v>26855</v>
      </c>
      <c r="AA887">
        <v>0.50003991666193282</v>
      </c>
      <c r="AB887" t="str">
        <f>HYPERLINK("Melting_Curves/meltCurve_G3V5B9_THTPA.pdf", "Melting_Curves/meltCurve_G3V5B9_THTPA.pdf")</f>
        <v>Melting_Curves/meltCurve_G3V5B9_THTPA.pdf</v>
      </c>
    </row>
    <row r="888" spans="1:28" x14ac:dyDescent="0.25">
      <c r="A888" t="s">
        <v>892</v>
      </c>
      <c r="B888">
        <v>0.99472303558308395</v>
      </c>
      <c r="C888">
        <v>1.2723996707923599</v>
      </c>
      <c r="D888">
        <v>1.16759517480612</v>
      </c>
      <c r="E888">
        <v>0.86365508632226295</v>
      </c>
      <c r="F888">
        <v>0.17986177806765799</v>
      </c>
      <c r="G888">
        <v>7.2277740277729804E-2</v>
      </c>
      <c r="H888">
        <v>6.4033872817543899E-2</v>
      </c>
      <c r="I888">
        <v>4.3558785433835602E-2</v>
      </c>
      <c r="J888">
        <v>7.3273156371163994E-2</v>
      </c>
      <c r="K888">
        <v>4.2997340338000303E-2</v>
      </c>
      <c r="L888">
        <v>2446.96089531813</v>
      </c>
      <c r="M888">
        <v>50.682526665329704</v>
      </c>
      <c r="N888">
        <v>48.399048314110601</v>
      </c>
      <c r="O888">
        <v>48.2051834390614</v>
      </c>
      <c r="P888">
        <v>-0.24746482020684399</v>
      </c>
      <c r="Q888">
        <v>5.8525487916083897E-2</v>
      </c>
      <c r="R888">
        <v>0.958302260091352</v>
      </c>
      <c r="S888" t="s">
        <v>7456</v>
      </c>
      <c r="T888" t="s">
        <v>13134</v>
      </c>
      <c r="U888" t="s">
        <v>13134</v>
      </c>
      <c r="V888" t="s">
        <v>13134</v>
      </c>
      <c r="W888" t="s">
        <v>14011</v>
      </c>
      <c r="X888">
        <v>7</v>
      </c>
      <c r="Y888" t="s">
        <v>20502</v>
      </c>
      <c r="Z888" t="s">
        <v>26856</v>
      </c>
      <c r="AA888">
        <v>0.41447622042543258</v>
      </c>
      <c r="AB888" t="str">
        <f>HYPERLINK("Melting_Curves/meltCurve_G3V5N8_ZFYVE1.pdf", "Melting_Curves/meltCurve_G3V5N8_ZFYVE1.pdf")</f>
        <v>Melting_Curves/meltCurve_G3V5N8_ZFYVE1.pdf</v>
      </c>
    </row>
    <row r="889" spans="1:28" x14ac:dyDescent="0.25">
      <c r="A889" t="s">
        <v>893</v>
      </c>
      <c r="B889">
        <v>0.99472303558308395</v>
      </c>
      <c r="C889">
        <v>1.0076860486322201</v>
      </c>
      <c r="D889">
        <v>1.0403336327827899</v>
      </c>
      <c r="E889">
        <v>0.91601978355440405</v>
      </c>
      <c r="F889">
        <v>0.737889362822858</v>
      </c>
      <c r="G889">
        <v>0.586983232785804</v>
      </c>
      <c r="H889">
        <v>0.240691186777408</v>
      </c>
      <c r="I889">
        <v>8.1692206311152593E-2</v>
      </c>
      <c r="J889">
        <v>0.108345753066033</v>
      </c>
      <c r="K889">
        <v>0.11267908471179899</v>
      </c>
      <c r="L889">
        <v>972.32387660426195</v>
      </c>
      <c r="M889">
        <v>18.123484933306401</v>
      </c>
      <c r="N889">
        <v>53.946587309555497</v>
      </c>
      <c r="O889">
        <v>53.009539387261</v>
      </c>
      <c r="P889">
        <v>-8.1422916677373197E-2</v>
      </c>
      <c r="Q889">
        <v>4.7427189396707203E-2</v>
      </c>
      <c r="R889">
        <v>0.98803166313019397</v>
      </c>
      <c r="S889" t="s">
        <v>7457</v>
      </c>
      <c r="T889" t="s">
        <v>13134</v>
      </c>
      <c r="U889" t="s">
        <v>13134</v>
      </c>
      <c r="V889" t="s">
        <v>13134</v>
      </c>
      <c r="W889" t="s">
        <v>14012</v>
      </c>
      <c r="X889">
        <v>5</v>
      </c>
      <c r="Y889" t="s">
        <v>20503</v>
      </c>
      <c r="Z889" t="s">
        <v>26857</v>
      </c>
      <c r="AA889">
        <v>0.58936637483824539</v>
      </c>
      <c r="AB889" t="str">
        <f>HYPERLINK("Melting_Curves/meltCurve_G3V5T0_GSTZ1.pdf", "Melting_Curves/meltCurve_G3V5T0_GSTZ1.pdf")</f>
        <v>Melting_Curves/meltCurve_G3V5T0_GSTZ1.pdf</v>
      </c>
    </row>
    <row r="890" spans="1:28" x14ac:dyDescent="0.25">
      <c r="A890" t="s">
        <v>894</v>
      </c>
      <c r="B890">
        <v>0.99472303558308395</v>
      </c>
      <c r="C890">
        <v>1.0291327823471801</v>
      </c>
      <c r="D890">
        <v>0.95712404446146104</v>
      </c>
      <c r="E890">
        <v>0.85049328496486198</v>
      </c>
      <c r="F890">
        <v>0.698680342737523</v>
      </c>
      <c r="G890">
        <v>0.45401569142660703</v>
      </c>
      <c r="H890">
        <v>0.28852356534078699</v>
      </c>
      <c r="I890">
        <v>0.19793631490981001</v>
      </c>
      <c r="J890">
        <v>0.19396692655409201</v>
      </c>
      <c r="K890">
        <v>0.11075465146213</v>
      </c>
      <c r="L890">
        <v>753.44353211202395</v>
      </c>
      <c r="M890">
        <v>14.4049221474069</v>
      </c>
      <c r="N890">
        <v>53.120183982458499</v>
      </c>
      <c r="O890">
        <v>51.327556902426998</v>
      </c>
      <c r="P890">
        <v>-6.3208498851843598E-2</v>
      </c>
      <c r="Q890">
        <v>9.9209619800770796E-2</v>
      </c>
      <c r="R890">
        <v>0.99658798098801804</v>
      </c>
      <c r="S890" t="s">
        <v>7458</v>
      </c>
      <c r="T890" t="s">
        <v>13134</v>
      </c>
      <c r="U890" t="s">
        <v>13134</v>
      </c>
      <c r="V890" t="s">
        <v>13134</v>
      </c>
      <c r="W890" t="s">
        <v>14013</v>
      </c>
      <c r="X890">
        <v>16</v>
      </c>
      <c r="Y890" t="s">
        <v>20504</v>
      </c>
      <c r="Z890" t="s">
        <v>26858</v>
      </c>
      <c r="AA890">
        <v>0.57640915163145323</v>
      </c>
      <c r="AB890" t="str">
        <f>HYPERLINK("Melting_Curves/meltCurve_G3V5T9_CDK2.pdf", "Melting_Curves/meltCurve_G3V5T9_CDK2.pdf")</f>
        <v>Melting_Curves/meltCurve_G3V5T9_CDK2.pdf</v>
      </c>
    </row>
    <row r="891" spans="1:28" x14ac:dyDescent="0.25">
      <c r="A891" t="s">
        <v>895</v>
      </c>
      <c r="B891">
        <v>0.99472303558308395</v>
      </c>
      <c r="C891">
        <v>0.855394874021843</v>
      </c>
      <c r="D891">
        <v>0.80012805341656201</v>
      </c>
      <c r="E891">
        <v>0.72531685778736998</v>
      </c>
      <c r="F891">
        <v>1.31065765651674</v>
      </c>
      <c r="G891">
        <v>0.623786743694277</v>
      </c>
      <c r="H891">
        <v>0.715112415678962</v>
      </c>
      <c r="I891">
        <v>0.291522849226173</v>
      </c>
      <c r="J891">
        <v>0.473131690621376</v>
      </c>
      <c r="K891">
        <v>1.12927392388949</v>
      </c>
      <c r="L891">
        <v>13053.824522638</v>
      </c>
      <c r="M891">
        <v>250</v>
      </c>
      <c r="O891">
        <v>52.2119716774761</v>
      </c>
      <c r="P891">
        <v>-0.42312341228082401</v>
      </c>
      <c r="Q891">
        <v>0.64652637975124905</v>
      </c>
      <c r="R891">
        <v>0.23392225736556199</v>
      </c>
      <c r="S891" t="s">
        <v>7459</v>
      </c>
      <c r="T891" t="s">
        <v>13134</v>
      </c>
      <c r="U891" t="s">
        <v>13134</v>
      </c>
      <c r="V891" t="s">
        <v>13134</v>
      </c>
      <c r="W891" t="s">
        <v>14014</v>
      </c>
      <c r="X891">
        <v>3</v>
      </c>
      <c r="Y891" t="s">
        <v>20505</v>
      </c>
      <c r="Z891" t="s">
        <v>26859</v>
      </c>
      <c r="AA891">
        <v>0.82583232100031245</v>
      </c>
      <c r="AB891" t="str">
        <f>HYPERLINK("Melting_Curves/meltCurve_G3V5W1_WARS.pdf", "Melting_Curves/meltCurve_G3V5W1_WARS.pdf")</f>
        <v>Melting_Curves/meltCurve_G3V5W1_WARS.pdf</v>
      </c>
    </row>
    <row r="892" spans="1:28" x14ac:dyDescent="0.25">
      <c r="A892" t="s">
        <v>896</v>
      </c>
      <c r="B892">
        <v>0.99472303558308395</v>
      </c>
      <c r="C892">
        <v>0.99915461176137998</v>
      </c>
      <c r="D892">
        <v>0.76717980208190995</v>
      </c>
      <c r="E892">
        <v>0.70007165523321402</v>
      </c>
      <c r="F892">
        <v>0.99053337969076705</v>
      </c>
      <c r="G892">
        <v>0.379164963357917</v>
      </c>
      <c r="H892">
        <v>0.26611422443073002</v>
      </c>
      <c r="I892">
        <v>0.15112612195459199</v>
      </c>
      <c r="J892">
        <v>0.28252074581083902</v>
      </c>
      <c r="K892">
        <v>0.51828291256875803</v>
      </c>
      <c r="L892">
        <v>4873.7817764850697</v>
      </c>
      <c r="M892">
        <v>92.713329749533699</v>
      </c>
      <c r="N892">
        <v>53.1062165652217</v>
      </c>
      <c r="O892">
        <v>52.543828838402099</v>
      </c>
      <c r="P892">
        <v>-0.30679853494013998</v>
      </c>
      <c r="Q892">
        <v>0.30450665878364402</v>
      </c>
      <c r="R892">
        <v>0.77898705858406903</v>
      </c>
      <c r="S892" t="s">
        <v>7460</v>
      </c>
      <c r="T892" t="s">
        <v>13134</v>
      </c>
      <c r="U892" t="s">
        <v>13134</v>
      </c>
      <c r="V892" t="s">
        <v>13134</v>
      </c>
      <c r="W892" t="s">
        <v>14015</v>
      </c>
      <c r="X892">
        <v>15</v>
      </c>
      <c r="Y892" t="s">
        <v>20506</v>
      </c>
      <c r="Z892" t="s">
        <v>26860</v>
      </c>
      <c r="AA892">
        <v>0.66589538861654063</v>
      </c>
      <c r="AB892" t="str">
        <f>HYPERLINK("Melting_Curves/meltCurve_G3V5Z7_PSMA6.pdf", "Melting_Curves/meltCurve_G3V5Z7_PSMA6.pdf")</f>
        <v>Melting_Curves/meltCurve_G3V5Z7_PSMA6.pdf</v>
      </c>
    </row>
    <row r="893" spans="1:28" x14ac:dyDescent="0.25">
      <c r="A893" t="s">
        <v>897</v>
      </c>
      <c r="B893">
        <v>0.99472303558308395</v>
      </c>
      <c r="C893">
        <v>0.98170209031767997</v>
      </c>
      <c r="D893">
        <v>0.85304758453496399</v>
      </c>
      <c r="E893">
        <v>0.74000177340861895</v>
      </c>
      <c r="F893">
        <v>0.69872928485979402</v>
      </c>
      <c r="G893">
        <v>0.28070792868583899</v>
      </c>
      <c r="H893">
        <v>6.1267181290256399E-2</v>
      </c>
      <c r="I893">
        <v>3.8318719390982102E-2</v>
      </c>
      <c r="J893">
        <v>4.3897881083760498E-2</v>
      </c>
      <c r="K893">
        <v>4.1440824565847703E-2</v>
      </c>
      <c r="L893">
        <v>825.80328459192594</v>
      </c>
      <c r="M893">
        <v>16.181392590733299</v>
      </c>
      <c r="N893">
        <v>51.034129884006603</v>
      </c>
      <c r="O893">
        <v>50.273784017878903</v>
      </c>
      <c r="P893">
        <v>-8.0472391936960597E-2</v>
      </c>
      <c r="Q893">
        <v>0</v>
      </c>
      <c r="R893">
        <v>0.97253909881335199</v>
      </c>
      <c r="S893" t="s">
        <v>7461</v>
      </c>
      <c r="T893" t="s">
        <v>13134</v>
      </c>
      <c r="U893" t="s">
        <v>13134</v>
      </c>
      <c r="V893" t="s">
        <v>13134</v>
      </c>
      <c r="W893" t="s">
        <v>14016</v>
      </c>
      <c r="X893">
        <v>7</v>
      </c>
      <c r="Y893" t="s">
        <v>20507</v>
      </c>
      <c r="Z893" t="s">
        <v>26861</v>
      </c>
      <c r="AA893">
        <v>0.48594180068419629</v>
      </c>
      <c r="AB893" t="str">
        <f>HYPERLINK("Melting_Curves/meltCurve_G3XA81_TMEM48.pdf", "Melting_Curves/meltCurve_G3XA81_TMEM48.pdf")</f>
        <v>Melting_Curves/meltCurve_G3XA81_TMEM48.pdf</v>
      </c>
    </row>
    <row r="894" spans="1:28" x14ac:dyDescent="0.25">
      <c r="A894" t="s">
        <v>898</v>
      </c>
      <c r="B894">
        <v>0.99472303558308395</v>
      </c>
      <c r="C894">
        <v>0.92807746468142105</v>
      </c>
      <c r="D894">
        <v>0.61048990478740595</v>
      </c>
      <c r="E894">
        <v>0.35605513355714502</v>
      </c>
      <c r="F894">
        <v>0.175923122249728</v>
      </c>
      <c r="G894">
        <v>0.120372497364235</v>
      </c>
      <c r="H894">
        <v>8.9125156288674498E-2</v>
      </c>
      <c r="I894">
        <v>0.101023698408716</v>
      </c>
      <c r="J894">
        <v>0.14210562875854599</v>
      </c>
      <c r="K894">
        <v>8.6136600459505899E-2</v>
      </c>
      <c r="L894">
        <v>858.97335891573698</v>
      </c>
      <c r="M894">
        <v>19.530017651927899</v>
      </c>
      <c r="N894">
        <v>44.502177611842299</v>
      </c>
      <c r="O894">
        <v>43.528868789501999</v>
      </c>
      <c r="P894">
        <v>-0.10072809114704</v>
      </c>
      <c r="Q894">
        <v>0.102013490195161</v>
      </c>
      <c r="R894">
        <v>0.99457039219384002</v>
      </c>
      <c r="S894" t="s">
        <v>7462</v>
      </c>
      <c r="T894" t="s">
        <v>13134</v>
      </c>
      <c r="U894" t="s">
        <v>13134</v>
      </c>
      <c r="V894" t="s">
        <v>13134</v>
      </c>
      <c r="W894" t="s">
        <v>14017</v>
      </c>
      <c r="X894">
        <v>5</v>
      </c>
      <c r="Y894" t="s">
        <v>20508</v>
      </c>
      <c r="Z894" t="s">
        <v>26862</v>
      </c>
      <c r="AA894">
        <v>0.32367806071724881</v>
      </c>
      <c r="AB894" t="str">
        <f>HYPERLINK("Melting_Curves/meltCurve_G3XAA0_ARID1B.pdf", "Melting_Curves/meltCurve_G3XAA0_ARID1B.pdf")</f>
        <v>Melting_Curves/meltCurve_G3XAA0_ARID1B.pdf</v>
      </c>
    </row>
    <row r="895" spans="1:28" x14ac:dyDescent="0.25">
      <c r="A895" t="s">
        <v>899</v>
      </c>
      <c r="B895">
        <v>0.99472303558308395</v>
      </c>
      <c r="C895">
        <v>0.76585707742152298</v>
      </c>
      <c r="D895">
        <v>0.94122480129505404</v>
      </c>
      <c r="E895">
        <v>0.61253928353701503</v>
      </c>
      <c r="F895">
        <v>0.76341795851085203</v>
      </c>
      <c r="G895">
        <v>0.33481760200619598</v>
      </c>
      <c r="H895">
        <v>0.35812472550567098</v>
      </c>
      <c r="I895">
        <v>0.26025674060556397</v>
      </c>
      <c r="J895">
        <v>0.63327167854437605</v>
      </c>
      <c r="K895">
        <v>0.46063582578094198</v>
      </c>
      <c r="L895">
        <v>574.02601071394895</v>
      </c>
      <c r="M895">
        <v>12.402654852904799</v>
      </c>
      <c r="N895">
        <v>53.138645900457199</v>
      </c>
      <c r="O895">
        <v>45.128669490474103</v>
      </c>
      <c r="P895">
        <v>-4.1296573106076401E-2</v>
      </c>
      <c r="Q895">
        <v>0.39907537884314498</v>
      </c>
      <c r="R895">
        <v>0.67348118476234997</v>
      </c>
      <c r="S895" t="s">
        <v>7463</v>
      </c>
      <c r="T895" t="s">
        <v>13134</v>
      </c>
      <c r="U895" t="s">
        <v>13134</v>
      </c>
      <c r="V895" t="s">
        <v>13134</v>
      </c>
      <c r="W895" t="s">
        <v>14018</v>
      </c>
      <c r="X895">
        <v>2</v>
      </c>
      <c r="Y895" t="s">
        <v>20509</v>
      </c>
      <c r="Z895" t="s">
        <v>26863</v>
      </c>
      <c r="AA895">
        <v>0.60434562400255809</v>
      </c>
      <c r="AB895" t="str">
        <f>HYPERLINK("Melting_Curves/meltCurve_G3XAB3_TTC17.pdf", "Melting_Curves/meltCurve_G3XAB3_TTC17.pdf")</f>
        <v>Melting_Curves/meltCurve_G3XAB3_TTC17.pdf</v>
      </c>
    </row>
    <row r="896" spans="1:28" x14ac:dyDescent="0.25">
      <c r="A896" t="s">
        <v>900</v>
      </c>
      <c r="B896">
        <v>0.99472303558308395</v>
      </c>
      <c r="C896">
        <v>0.77272346919311896</v>
      </c>
      <c r="D896">
        <v>0.82937255473707505</v>
      </c>
      <c r="E896">
        <v>0.66428191011200199</v>
      </c>
      <c r="F896">
        <v>0.422254727589778</v>
      </c>
      <c r="G896">
        <v>0.330539966611203</v>
      </c>
      <c r="H896">
        <v>0.19203219067811</v>
      </c>
      <c r="I896">
        <v>0.115955342895438</v>
      </c>
      <c r="J896">
        <v>7.7698548668451398E-2</v>
      </c>
      <c r="K896">
        <v>9.4698897759853795E-2</v>
      </c>
      <c r="L896">
        <v>459.38545170461902</v>
      </c>
      <c r="M896">
        <v>9.3590633261386191</v>
      </c>
      <c r="N896">
        <v>49.084545083435799</v>
      </c>
      <c r="O896">
        <v>46.999969069469799</v>
      </c>
      <c r="P896">
        <v>-4.9813452402006103E-2</v>
      </c>
      <c r="Q896">
        <v>0</v>
      </c>
      <c r="R896">
        <v>0.97811054711535195</v>
      </c>
      <c r="S896" t="s">
        <v>7464</v>
      </c>
      <c r="T896" t="s">
        <v>13134</v>
      </c>
      <c r="U896" t="s">
        <v>13134</v>
      </c>
      <c r="V896" t="s">
        <v>13134</v>
      </c>
      <c r="W896" t="s">
        <v>14019</v>
      </c>
      <c r="X896">
        <v>5</v>
      </c>
      <c r="Y896" t="s">
        <v>20510</v>
      </c>
      <c r="Z896" t="s">
        <v>26864</v>
      </c>
      <c r="AA896">
        <v>0.44238883273395918</v>
      </c>
      <c r="AB896" t="str">
        <f>HYPERLINK("Melting_Curves/meltCurve_G3XAC1_SLC26A6.pdf", "Melting_Curves/meltCurve_G3XAC1_SLC26A6.pdf")</f>
        <v>Melting_Curves/meltCurve_G3XAC1_SLC26A6.pdf</v>
      </c>
    </row>
    <row r="897" spans="1:28" x14ac:dyDescent="0.25">
      <c r="A897" t="s">
        <v>901</v>
      </c>
      <c r="B897">
        <v>0.99472303558308395</v>
      </c>
      <c r="C897">
        <v>1.0117100942372199</v>
      </c>
      <c r="D897">
        <v>0.91924835454129095</v>
      </c>
      <c r="E897">
        <v>0.79149453785091395</v>
      </c>
      <c r="F897">
        <v>0.70841140379011402</v>
      </c>
      <c r="G897">
        <v>0.40706848105972399</v>
      </c>
      <c r="H897">
        <v>0.28443598749605498</v>
      </c>
      <c r="I897">
        <v>0.17569083412738001</v>
      </c>
      <c r="J897">
        <v>9.9539057600884495E-2</v>
      </c>
      <c r="K897">
        <v>8.8268353445984604E-2</v>
      </c>
      <c r="L897">
        <v>631.30951851018199</v>
      </c>
      <c r="M897">
        <v>11.9722084957875</v>
      </c>
      <c r="N897">
        <v>52.786623128017403</v>
      </c>
      <c r="O897">
        <v>51.324658435986599</v>
      </c>
      <c r="P897">
        <v>-5.7966362843769603E-2</v>
      </c>
      <c r="Q897">
        <v>6.2383609094485201E-3</v>
      </c>
      <c r="R897">
        <v>0.99363186185047203</v>
      </c>
      <c r="S897" t="s">
        <v>7465</v>
      </c>
      <c r="T897" t="s">
        <v>13134</v>
      </c>
      <c r="U897" t="s">
        <v>13134</v>
      </c>
      <c r="V897" t="s">
        <v>13134</v>
      </c>
      <c r="W897" t="s">
        <v>14020</v>
      </c>
      <c r="X897">
        <v>3</v>
      </c>
      <c r="Y897" t="s">
        <v>20511</v>
      </c>
      <c r="Z897" t="s">
        <v>26865</v>
      </c>
      <c r="AA897">
        <v>0.54907798935434726</v>
      </c>
      <c r="AB897" t="str">
        <f>HYPERLINK("Melting_Curves/meltCurve_G3XAG7_ERCC8.pdf", "Melting_Curves/meltCurve_G3XAG7_ERCC8.pdf")</f>
        <v>Melting_Curves/meltCurve_G3XAG7_ERCC8.pdf</v>
      </c>
    </row>
    <row r="898" spans="1:28" x14ac:dyDescent="0.25">
      <c r="A898" t="s">
        <v>902</v>
      </c>
      <c r="B898">
        <v>0.99472303558308395</v>
      </c>
      <c r="C898">
        <v>0.99163177927951296</v>
      </c>
      <c r="D898">
        <v>0.88831739679758803</v>
      </c>
      <c r="E898">
        <v>0.79029462443848297</v>
      </c>
      <c r="F898">
        <v>0.73438490015995805</v>
      </c>
      <c r="G898">
        <v>0.43476293208039501</v>
      </c>
      <c r="H898">
        <v>0.17453865663809701</v>
      </c>
      <c r="I898">
        <v>9.2477467160390001E-2</v>
      </c>
      <c r="J898">
        <v>8.8176625873039496E-2</v>
      </c>
      <c r="K898">
        <v>7.3385873202114496E-2</v>
      </c>
      <c r="L898">
        <v>735.49836367385899</v>
      </c>
      <c r="M898">
        <v>14.0091778667966</v>
      </c>
      <c r="N898">
        <v>52.501179479029098</v>
      </c>
      <c r="O898">
        <v>51.466113592553903</v>
      </c>
      <c r="P898">
        <v>-6.8059476420349305E-2</v>
      </c>
      <c r="Q898">
        <v>0</v>
      </c>
      <c r="R898">
        <v>0.98511840994742506</v>
      </c>
      <c r="S898" t="s">
        <v>7466</v>
      </c>
      <c r="T898" t="s">
        <v>13134</v>
      </c>
      <c r="U898" t="s">
        <v>13134</v>
      </c>
      <c r="V898" t="s">
        <v>13134</v>
      </c>
      <c r="W898" t="s">
        <v>14021</v>
      </c>
      <c r="X898">
        <v>17</v>
      </c>
      <c r="Y898" t="s">
        <v>20512</v>
      </c>
      <c r="Z898" t="s">
        <v>26866</v>
      </c>
      <c r="AA898">
        <v>0.53654991928638907</v>
      </c>
      <c r="AB898" t="str">
        <f>HYPERLINK("Melting_Curves/meltCurve_G3XAH0_SEPT5.pdf", "Melting_Curves/meltCurve_G3XAH0_SEPT5.pdf")</f>
        <v>Melting_Curves/meltCurve_G3XAH0_SEPT5.pdf</v>
      </c>
    </row>
    <row r="899" spans="1:28" x14ac:dyDescent="0.25">
      <c r="A899" t="s">
        <v>903</v>
      </c>
      <c r="B899">
        <v>0.99472303558308395</v>
      </c>
      <c r="C899">
        <v>1.0163128035204101</v>
      </c>
      <c r="D899">
        <v>0.92271794664670403</v>
      </c>
      <c r="E899">
        <v>0.79188607079494699</v>
      </c>
      <c r="F899">
        <v>0.58533407787075598</v>
      </c>
      <c r="G899">
        <v>0.30653276138272101</v>
      </c>
      <c r="H899">
        <v>0.149445203720208</v>
      </c>
      <c r="I899">
        <v>9.99979577404565E-2</v>
      </c>
      <c r="J899">
        <v>0.15134171107543801</v>
      </c>
      <c r="K899">
        <v>0.15172358053400001</v>
      </c>
      <c r="L899">
        <v>897.45122324192096</v>
      </c>
      <c r="M899">
        <v>17.9050365691085</v>
      </c>
      <c r="N899">
        <v>50.795031546874903</v>
      </c>
      <c r="O899">
        <v>49.510154222632003</v>
      </c>
      <c r="P899">
        <v>-8.0878192581836497E-2</v>
      </c>
      <c r="Q899">
        <v>0.105482933313104</v>
      </c>
      <c r="R899">
        <v>0.99310853663965204</v>
      </c>
      <c r="S899" t="s">
        <v>7467</v>
      </c>
      <c r="T899" t="s">
        <v>13134</v>
      </c>
      <c r="U899" t="s">
        <v>13134</v>
      </c>
      <c r="V899" t="s">
        <v>13134</v>
      </c>
      <c r="W899" t="s">
        <v>14022</v>
      </c>
      <c r="X899">
        <v>15</v>
      </c>
      <c r="Y899" t="s">
        <v>20513</v>
      </c>
      <c r="Z899" t="s">
        <v>26867</v>
      </c>
      <c r="AA899">
        <v>0.51096325123782294</v>
      </c>
      <c r="AB899" t="str">
        <f>HYPERLINK("Melting_Curves/meltCurve_G3XAI2_LAMB1.pdf", "Melting_Curves/meltCurve_G3XAI2_LAMB1.pdf")</f>
        <v>Melting_Curves/meltCurve_G3XAI2_LAMB1.pdf</v>
      </c>
    </row>
    <row r="900" spans="1:28" x14ac:dyDescent="0.25">
      <c r="A900" t="s">
        <v>904</v>
      </c>
      <c r="B900">
        <v>0.99472303558308395</v>
      </c>
      <c r="C900">
        <v>0.93533784621544502</v>
      </c>
      <c r="D900">
        <v>1.0030304908596299</v>
      </c>
      <c r="E900">
        <v>0.87168546854039897</v>
      </c>
      <c r="F900">
        <v>0.64534582766813997</v>
      </c>
      <c r="G900">
        <v>0.56439459584997098</v>
      </c>
      <c r="H900">
        <v>0.42993459577593501</v>
      </c>
      <c r="I900">
        <v>0.47197651404464802</v>
      </c>
      <c r="J900">
        <v>0.56669651947851796</v>
      </c>
      <c r="K900">
        <v>0.373810535103833</v>
      </c>
      <c r="L900">
        <v>1073.15754916026</v>
      </c>
      <c r="M900">
        <v>21.886186569951299</v>
      </c>
      <c r="N900">
        <v>55.335027298686498</v>
      </c>
      <c r="O900">
        <v>48.6297030763875</v>
      </c>
      <c r="P900">
        <v>-6.0911897695590501E-2</v>
      </c>
      <c r="Q900">
        <v>0.45864301344463598</v>
      </c>
      <c r="R900">
        <v>0.94887427166358596</v>
      </c>
      <c r="S900" t="s">
        <v>7468</v>
      </c>
      <c r="T900" t="s">
        <v>13134</v>
      </c>
      <c r="U900" t="s">
        <v>13134</v>
      </c>
      <c r="V900" t="s">
        <v>13134</v>
      </c>
      <c r="W900" t="s">
        <v>14023</v>
      </c>
      <c r="X900">
        <v>3</v>
      </c>
      <c r="Y900" t="s">
        <v>20514</v>
      </c>
      <c r="Z900" t="s">
        <v>26868</v>
      </c>
      <c r="AA900">
        <v>0.68182778855854853</v>
      </c>
      <c r="AB900" t="str">
        <f>HYPERLINK("Melting_Curves/meltCurve_G3XAN8_TIMM8B.pdf", "Melting_Curves/meltCurve_G3XAN8_TIMM8B.pdf")</f>
        <v>Melting_Curves/meltCurve_G3XAN8_TIMM8B.pdf</v>
      </c>
    </row>
    <row r="901" spans="1:28" x14ac:dyDescent="0.25">
      <c r="A901" t="s">
        <v>905</v>
      </c>
      <c r="B901">
        <v>0.99472303558308395</v>
      </c>
      <c r="C901">
        <v>0.94156075920576399</v>
      </c>
      <c r="D901">
        <v>0.91411766666574601</v>
      </c>
      <c r="E901">
        <v>0.76401278272833895</v>
      </c>
      <c r="F901">
        <v>0.52658118440115498</v>
      </c>
      <c r="G901">
        <v>0.18737781658966901</v>
      </c>
      <c r="H901">
        <v>8.9389846157746394E-2</v>
      </c>
      <c r="I901">
        <v>5.7917546547372301E-2</v>
      </c>
      <c r="J901">
        <v>6.2940383129618194E-2</v>
      </c>
      <c r="K901">
        <v>4.7842318134748603E-2</v>
      </c>
      <c r="L901">
        <v>881.12978967697404</v>
      </c>
      <c r="M901">
        <v>17.699990024897801</v>
      </c>
      <c r="N901">
        <v>49.923294315118198</v>
      </c>
      <c r="O901">
        <v>49.158978713521201</v>
      </c>
      <c r="P901">
        <v>-8.7810174318505504E-2</v>
      </c>
      <c r="Q901">
        <v>2.4534834008405299E-2</v>
      </c>
      <c r="R901">
        <v>0.99442470247341896</v>
      </c>
      <c r="S901" t="s">
        <v>7469</v>
      </c>
      <c r="T901" t="s">
        <v>13134</v>
      </c>
      <c r="U901" t="s">
        <v>13134</v>
      </c>
      <c r="V901" t="s">
        <v>13134</v>
      </c>
      <c r="W901" t="s">
        <v>14024</v>
      </c>
      <c r="X901">
        <v>11</v>
      </c>
      <c r="Y901" t="s">
        <v>20515</v>
      </c>
      <c r="Z901" t="s">
        <v>26869</v>
      </c>
      <c r="AA901">
        <v>0.45597010894141798</v>
      </c>
      <c r="AB901" t="str">
        <f>HYPERLINK("Melting_Curves/meltCurve_G3XAP3_ABCB8.pdf", "Melting_Curves/meltCurve_G3XAP3_ABCB8.pdf")</f>
        <v>Melting_Curves/meltCurve_G3XAP3_ABCB8.pdf</v>
      </c>
    </row>
    <row r="902" spans="1:28" x14ac:dyDescent="0.25">
      <c r="A902" t="s">
        <v>906</v>
      </c>
      <c r="B902">
        <v>0.99472303558308395</v>
      </c>
      <c r="C902">
        <v>0.88919048408103896</v>
      </c>
      <c r="D902">
        <v>0.708138125134258</v>
      </c>
      <c r="E902">
        <v>0.55682855101269302</v>
      </c>
      <c r="F902">
        <v>0.450542028081793</v>
      </c>
      <c r="G902">
        <v>0.16574279225198699</v>
      </c>
      <c r="H902">
        <v>0.114495564222459</v>
      </c>
      <c r="I902">
        <v>6.6151401398342802E-2</v>
      </c>
      <c r="J902">
        <v>0.12987006537448301</v>
      </c>
      <c r="K902">
        <v>7.6276860932053298E-2</v>
      </c>
      <c r="L902">
        <v>524.50674293462896</v>
      </c>
      <c r="M902">
        <v>11.0948863657951</v>
      </c>
      <c r="N902">
        <v>47.516732527528497</v>
      </c>
      <c r="O902">
        <v>45.816793320082901</v>
      </c>
      <c r="P902">
        <v>-5.8895024906835701E-2</v>
      </c>
      <c r="Q902">
        <v>2.7479777123578498E-2</v>
      </c>
      <c r="R902">
        <v>0.98161368725332798</v>
      </c>
      <c r="S902" t="s">
        <v>7470</v>
      </c>
      <c r="T902" t="s">
        <v>13134</v>
      </c>
      <c r="U902" t="s">
        <v>13134</v>
      </c>
      <c r="V902" t="s">
        <v>13134</v>
      </c>
      <c r="W902" t="s">
        <v>14025</v>
      </c>
      <c r="X902">
        <v>4</v>
      </c>
      <c r="Y902" t="s">
        <v>20516</v>
      </c>
      <c r="Z902" t="s">
        <v>26870</v>
      </c>
      <c r="AA902">
        <v>0.3960770194211739</v>
      </c>
      <c r="AB902" t="str">
        <f>HYPERLINK("Melting_Curves/meltCurve_G5E933_SBF1.pdf", "Melting_Curves/meltCurve_G5E933_SBF1.pdf")</f>
        <v>Melting_Curves/meltCurve_G5E933_SBF1.pdf</v>
      </c>
    </row>
    <row r="903" spans="1:28" x14ac:dyDescent="0.25">
      <c r="A903" t="s">
        <v>907</v>
      </c>
      <c r="B903">
        <v>0.99472303558308395</v>
      </c>
      <c r="C903">
        <v>0.96011595119480497</v>
      </c>
      <c r="D903">
        <v>0.91633917075512195</v>
      </c>
      <c r="E903">
        <v>0.68459011941237002</v>
      </c>
      <c r="F903">
        <v>0.33803587093811099</v>
      </c>
      <c r="G903">
        <v>0.14186749984865801</v>
      </c>
      <c r="H903">
        <v>6.5259281832959704E-2</v>
      </c>
      <c r="I903">
        <v>5.3019983976745497E-2</v>
      </c>
      <c r="J903">
        <v>5.1450725613951899E-2</v>
      </c>
      <c r="K903">
        <v>4.2723933104260099E-2</v>
      </c>
      <c r="L903">
        <v>959.85261748385301</v>
      </c>
      <c r="M903">
        <v>19.907539971619801</v>
      </c>
      <c r="N903">
        <v>48.402016607866301</v>
      </c>
      <c r="O903">
        <v>47.736910848649899</v>
      </c>
      <c r="P903">
        <v>-0.10041112783752699</v>
      </c>
      <c r="Q903">
        <v>3.69158919297373E-2</v>
      </c>
      <c r="R903">
        <v>0.99944575853987105</v>
      </c>
      <c r="S903" t="s">
        <v>7471</v>
      </c>
      <c r="T903" t="s">
        <v>13134</v>
      </c>
      <c r="U903" t="s">
        <v>13134</v>
      </c>
      <c r="V903" t="s">
        <v>13134</v>
      </c>
      <c r="W903" t="s">
        <v>14026</v>
      </c>
      <c r="X903">
        <v>23</v>
      </c>
      <c r="Y903" t="s">
        <v>20517</v>
      </c>
      <c r="Z903" t="s">
        <v>26871</v>
      </c>
      <c r="AA903">
        <v>0.40973940211638837</v>
      </c>
      <c r="AB903" t="str">
        <f>HYPERLINK("Melting_Curves/meltCurve_G5E948_MAP4K4.pdf", "Melting_Curves/meltCurve_G5E948_MAP4K4.pdf")</f>
        <v>Melting_Curves/meltCurve_G5E948_MAP4K4.pdf</v>
      </c>
    </row>
    <row r="904" spans="1:28" x14ac:dyDescent="0.25">
      <c r="A904" t="s">
        <v>908</v>
      </c>
      <c r="B904">
        <v>0.99472303558308395</v>
      </c>
      <c r="C904">
        <v>0.940912462008756</v>
      </c>
      <c r="D904">
        <v>0.84939539031173705</v>
      </c>
      <c r="E904">
        <v>0.72835942729382797</v>
      </c>
      <c r="F904">
        <v>0.57770101047569</v>
      </c>
      <c r="G904">
        <v>0.23920973601977299</v>
      </c>
      <c r="H904">
        <v>0.14393131336815199</v>
      </c>
      <c r="I904">
        <v>7.3802230358222795E-2</v>
      </c>
      <c r="J904">
        <v>8.3653851728880804E-2</v>
      </c>
      <c r="K904">
        <v>7.6995221330565897E-2</v>
      </c>
      <c r="L904">
        <v>662.91915510198498</v>
      </c>
      <c r="M904">
        <v>13.244707524208501</v>
      </c>
      <c r="N904">
        <v>50.158242864587102</v>
      </c>
      <c r="O904">
        <v>48.9519021602813</v>
      </c>
      <c r="P904">
        <v>-6.6713650363912302E-2</v>
      </c>
      <c r="Q904">
        <v>1.3878225201888E-2</v>
      </c>
      <c r="R904">
        <v>0.98880032115841998</v>
      </c>
      <c r="S904" t="s">
        <v>7472</v>
      </c>
      <c r="T904" t="s">
        <v>13134</v>
      </c>
      <c r="U904" t="s">
        <v>13134</v>
      </c>
      <c r="V904" t="s">
        <v>13134</v>
      </c>
      <c r="W904" t="s">
        <v>14027</v>
      </c>
      <c r="X904">
        <v>4</v>
      </c>
      <c r="Y904" t="s">
        <v>20518</v>
      </c>
      <c r="Z904" t="s">
        <v>26872</v>
      </c>
      <c r="AA904">
        <v>0.4672769550610219</v>
      </c>
      <c r="AB904" t="str">
        <f>HYPERLINK("Melting_Curves/meltCurve_G5E953_MTMR3.pdf", "Melting_Curves/meltCurve_G5E953_MTMR3.pdf")</f>
        <v>Melting_Curves/meltCurve_G5E953_MTMR3.pdf</v>
      </c>
    </row>
    <row r="905" spans="1:28" x14ac:dyDescent="0.25">
      <c r="A905" t="s">
        <v>909</v>
      </c>
      <c r="B905">
        <v>0.99472303558308395</v>
      </c>
      <c r="C905">
        <v>0.75158581872048602</v>
      </c>
      <c r="D905">
        <v>0.50297233475831205</v>
      </c>
      <c r="E905">
        <v>0.195130074459751</v>
      </c>
      <c r="F905">
        <v>7.9166050841440794E-2</v>
      </c>
      <c r="G905">
        <v>4.72310215377163E-2</v>
      </c>
      <c r="H905">
        <v>2.8629092316223799E-2</v>
      </c>
      <c r="I905">
        <v>2.3642045210606501E-2</v>
      </c>
      <c r="J905">
        <v>1.6366448197813199E-2</v>
      </c>
      <c r="K905">
        <v>1.9020809134809202E-2</v>
      </c>
      <c r="L905">
        <v>770.91707271614302</v>
      </c>
      <c r="M905">
        <v>18.0247760986773</v>
      </c>
      <c r="N905">
        <v>42.857443036459102</v>
      </c>
      <c r="O905">
        <v>42.253842427995899</v>
      </c>
      <c r="P905">
        <v>-0.10472239801581799</v>
      </c>
      <c r="Q905">
        <v>1.80835054521583E-2</v>
      </c>
      <c r="R905">
        <v>0.99622297410871496</v>
      </c>
      <c r="S905" t="s">
        <v>7473</v>
      </c>
      <c r="T905" t="s">
        <v>13134</v>
      </c>
      <c r="U905" t="s">
        <v>13134</v>
      </c>
      <c r="V905" t="s">
        <v>13134</v>
      </c>
      <c r="W905" t="s">
        <v>14028</v>
      </c>
      <c r="X905">
        <v>6</v>
      </c>
      <c r="Y905" t="s">
        <v>20519</v>
      </c>
      <c r="Z905" t="s">
        <v>26873</v>
      </c>
      <c r="AA905">
        <v>0.22453857611546629</v>
      </c>
      <c r="AB905" t="str">
        <f>HYPERLINK("Melting_Curves/meltCurve_G5E975_SMARCB1.pdf", "Melting_Curves/meltCurve_G5E975_SMARCB1.pdf")</f>
        <v>Melting_Curves/meltCurve_G5E975_SMARCB1.pdf</v>
      </c>
    </row>
    <row r="906" spans="1:28" x14ac:dyDescent="0.25">
      <c r="A906" t="s">
        <v>910</v>
      </c>
      <c r="B906">
        <v>0.99472303558308395</v>
      </c>
      <c r="C906">
        <v>1.1263992002143599</v>
      </c>
      <c r="D906">
        <v>0.87541384820354096</v>
      </c>
      <c r="E906">
        <v>0.30127895856723003</v>
      </c>
      <c r="F906">
        <v>3.48038277329328E-2</v>
      </c>
      <c r="G906">
        <v>2.9577154808196799E-2</v>
      </c>
      <c r="H906">
        <v>2.5222146455327801E-2</v>
      </c>
      <c r="I906">
        <v>1.8469563737237699E-2</v>
      </c>
      <c r="J906">
        <v>2.1823452581380302E-2</v>
      </c>
      <c r="K906">
        <v>3.3657312897926298E-2</v>
      </c>
      <c r="L906">
        <v>1703.62311087954</v>
      </c>
      <c r="M906">
        <v>37.515123035062302</v>
      </c>
      <c r="N906">
        <v>45.468713231816601</v>
      </c>
      <c r="O906">
        <v>45.283195429053897</v>
      </c>
      <c r="P906">
        <v>-0.202350838240896</v>
      </c>
      <c r="Q906">
        <v>2.3000471755695098E-2</v>
      </c>
      <c r="R906">
        <v>0.99054556859418696</v>
      </c>
      <c r="S906" t="s">
        <v>7474</v>
      </c>
      <c r="T906" t="s">
        <v>13134</v>
      </c>
      <c r="U906" t="s">
        <v>13134</v>
      </c>
      <c r="V906" t="s">
        <v>13134</v>
      </c>
      <c r="W906" t="s">
        <v>14029</v>
      </c>
      <c r="X906">
        <v>1</v>
      </c>
      <c r="Y906" t="s">
        <v>20520</v>
      </c>
      <c r="Z906" t="s">
        <v>26874</v>
      </c>
      <c r="AA906">
        <v>0.3004354990201023</v>
      </c>
      <c r="AB906" t="str">
        <f>HYPERLINK("Melting_Curves/meltCurve_G5E979_ATG4A.pdf", "Melting_Curves/meltCurve_G5E979_ATG4A.pdf")</f>
        <v>Melting_Curves/meltCurve_G5E979_ATG4A.pdf</v>
      </c>
    </row>
    <row r="907" spans="1:28" x14ac:dyDescent="0.25">
      <c r="A907" t="s">
        <v>911</v>
      </c>
      <c r="B907">
        <v>0.99472303558308395</v>
      </c>
      <c r="C907">
        <v>1.14252556008689</v>
      </c>
      <c r="D907">
        <v>0.87459136729779796</v>
      </c>
      <c r="E907">
        <v>0.75791995916684596</v>
      </c>
      <c r="F907">
        <v>0.52822548924280199</v>
      </c>
      <c r="G907">
        <v>0.34751733807181101</v>
      </c>
      <c r="H907">
        <v>0.22772785760460801</v>
      </c>
      <c r="I907">
        <v>0.11987940797661099</v>
      </c>
      <c r="J907">
        <v>0.116679570403183</v>
      </c>
      <c r="K907">
        <v>0.17658074999231599</v>
      </c>
      <c r="L907">
        <v>767.61163560347995</v>
      </c>
      <c r="M907">
        <v>15.4269401885149</v>
      </c>
      <c r="N907">
        <v>50.618320691719198</v>
      </c>
      <c r="O907">
        <v>48.9442812338119</v>
      </c>
      <c r="P907">
        <v>-6.9716461854909401E-2</v>
      </c>
      <c r="Q907">
        <v>0.115336680725173</v>
      </c>
      <c r="R907">
        <v>0.97456787331922801</v>
      </c>
      <c r="S907" t="s">
        <v>7475</v>
      </c>
      <c r="T907" t="s">
        <v>13134</v>
      </c>
      <c r="U907" t="s">
        <v>13134</v>
      </c>
      <c r="V907" t="s">
        <v>13134</v>
      </c>
      <c r="W907" t="s">
        <v>14030</v>
      </c>
      <c r="X907">
        <v>4</v>
      </c>
      <c r="Y907" t="s">
        <v>20521</v>
      </c>
      <c r="Z907" t="s">
        <v>26875</v>
      </c>
      <c r="AA907">
        <v>0.50941946035242536</v>
      </c>
      <c r="AB907" t="str">
        <f>HYPERLINK("Melting_Curves/meltCurve_G5E994_GPR107.pdf", "Melting_Curves/meltCurve_G5E994_GPR107.pdf")</f>
        <v>Melting_Curves/meltCurve_G5E994_GPR107.pdf</v>
      </c>
    </row>
    <row r="908" spans="1:28" x14ac:dyDescent="0.25">
      <c r="A908" t="s">
        <v>912</v>
      </c>
      <c r="B908">
        <v>0.99472303558308395</v>
      </c>
      <c r="C908">
        <v>1.08576382656703</v>
      </c>
      <c r="D908">
        <v>0.66512086465683495</v>
      </c>
      <c r="E908">
        <v>0.45661469562170198</v>
      </c>
      <c r="F908">
        <v>0.31690322560399797</v>
      </c>
      <c r="G908">
        <v>0.18834366137411701</v>
      </c>
      <c r="H908">
        <v>0.117214725321585</v>
      </c>
      <c r="I908">
        <v>6.7112880125023797E-2</v>
      </c>
      <c r="J908">
        <v>0.100328644775398</v>
      </c>
      <c r="K908">
        <v>8.9940611956415506E-2</v>
      </c>
      <c r="L908">
        <v>747.24625370296997</v>
      </c>
      <c r="M908">
        <v>16.354820860087301</v>
      </c>
      <c r="N908">
        <v>46.259375048865898</v>
      </c>
      <c r="O908">
        <v>45.022957568508602</v>
      </c>
      <c r="P908">
        <v>-8.2536120857296794E-2</v>
      </c>
      <c r="Q908">
        <v>9.1215262508896694E-2</v>
      </c>
      <c r="R908">
        <v>0.96874412849515501</v>
      </c>
      <c r="S908" t="s">
        <v>7476</v>
      </c>
      <c r="T908" t="s">
        <v>13134</v>
      </c>
      <c r="U908" t="s">
        <v>13134</v>
      </c>
      <c r="V908" t="s">
        <v>13134</v>
      </c>
      <c r="W908" t="s">
        <v>13393</v>
      </c>
      <c r="X908">
        <v>6</v>
      </c>
      <c r="Y908" t="s">
        <v>20522</v>
      </c>
      <c r="Z908" t="s">
        <v>26876</v>
      </c>
      <c r="AA908">
        <v>0.3723036733850828</v>
      </c>
      <c r="AB908" t="str">
        <f>HYPERLINK("Melting_Curves/meltCurve_G5E9A6_USP11.pdf", "Melting_Curves/meltCurve_G5E9A6_USP11.pdf")</f>
        <v>Melting_Curves/meltCurve_G5E9A6_USP11.pdf</v>
      </c>
    </row>
    <row r="909" spans="1:28" x14ac:dyDescent="0.25">
      <c r="A909" t="s">
        <v>913</v>
      </c>
      <c r="B909">
        <v>0.99472303558308395</v>
      </c>
      <c r="C909">
        <v>0.92199996904025106</v>
      </c>
      <c r="D909">
        <v>0.83239247594400501</v>
      </c>
      <c r="E909">
        <v>0.50832105358171698</v>
      </c>
      <c r="F909">
        <v>0.20884471270944999</v>
      </c>
      <c r="G909">
        <v>9.6404291906652895E-2</v>
      </c>
      <c r="H909">
        <v>6.02180876311742E-2</v>
      </c>
      <c r="I909">
        <v>4.2791896194234097E-2</v>
      </c>
      <c r="J909">
        <v>4.4090039542646599E-2</v>
      </c>
      <c r="K909">
        <v>4.2435559156783501E-2</v>
      </c>
      <c r="L909">
        <v>881.87567695630798</v>
      </c>
      <c r="M909">
        <v>19.00133606903</v>
      </c>
      <c r="N909">
        <v>46.5867988071074</v>
      </c>
      <c r="O909">
        <v>45.906362629211401</v>
      </c>
      <c r="P909">
        <v>-9.9907595591451404E-2</v>
      </c>
      <c r="Q909">
        <v>3.4549669600381902E-2</v>
      </c>
      <c r="R909">
        <v>0.99883675188465704</v>
      </c>
      <c r="S909" t="s">
        <v>7477</v>
      </c>
      <c r="T909" t="s">
        <v>13134</v>
      </c>
      <c r="U909" t="s">
        <v>13134</v>
      </c>
      <c r="V909" t="s">
        <v>13134</v>
      </c>
      <c r="W909" t="s">
        <v>14031</v>
      </c>
      <c r="X909">
        <v>8</v>
      </c>
      <c r="Y909" t="s">
        <v>20523</v>
      </c>
      <c r="Z909" t="s">
        <v>26877</v>
      </c>
      <c r="AA909">
        <v>0.3513969904167259</v>
      </c>
      <c r="AB909" t="str">
        <f>HYPERLINK("Melting_Curves/meltCurve_G5E9C8_SOS1.pdf", "Melting_Curves/meltCurve_G5E9C8_SOS1.pdf")</f>
        <v>Melting_Curves/meltCurve_G5E9C8_SOS1.pdf</v>
      </c>
    </row>
    <row r="910" spans="1:28" x14ac:dyDescent="0.25">
      <c r="A910" t="s">
        <v>914</v>
      </c>
      <c r="B910">
        <v>0.99472303558308395</v>
      </c>
      <c r="C910">
        <v>0.99454898277464998</v>
      </c>
      <c r="D910">
        <v>0.87624006612613103</v>
      </c>
      <c r="E910">
        <v>0.55455739100870405</v>
      </c>
      <c r="F910">
        <v>0.26892964078442799</v>
      </c>
      <c r="G910">
        <v>0.219503522198879</v>
      </c>
      <c r="H910">
        <v>9.1991116699296799E-2</v>
      </c>
      <c r="I910">
        <v>0.117612577674596</v>
      </c>
      <c r="J910">
        <v>0.16794975438253301</v>
      </c>
      <c r="K910">
        <v>6.6241764181944301E-2</v>
      </c>
      <c r="L910">
        <v>969.23565732363602</v>
      </c>
      <c r="M910">
        <v>20.7746107922869</v>
      </c>
      <c r="N910">
        <v>47.240697432083003</v>
      </c>
      <c r="O910">
        <v>46.228974375009997</v>
      </c>
      <c r="P910">
        <v>-9.9590495308123E-2</v>
      </c>
      <c r="Q910">
        <v>0.113564619680898</v>
      </c>
      <c r="R910">
        <v>0.99249802298772105</v>
      </c>
      <c r="S910" t="s">
        <v>7478</v>
      </c>
      <c r="T910" t="s">
        <v>13134</v>
      </c>
      <c r="U910" t="s">
        <v>13134</v>
      </c>
      <c r="V910" t="s">
        <v>13134</v>
      </c>
      <c r="W910" t="s">
        <v>14032</v>
      </c>
      <c r="X910">
        <v>4</v>
      </c>
      <c r="Y910" t="s">
        <v>20524</v>
      </c>
      <c r="Z910" t="s">
        <v>26878</v>
      </c>
      <c r="AA910">
        <v>0.4095946956977557</v>
      </c>
      <c r="AB910" t="str">
        <f>HYPERLINK("Melting_Curves/meltCurve_G5E9L8_ECT2.pdf", "Melting_Curves/meltCurve_G5E9L8_ECT2.pdf")</f>
        <v>Melting_Curves/meltCurve_G5E9L8_ECT2.pdf</v>
      </c>
    </row>
    <row r="911" spans="1:28" x14ac:dyDescent="0.25">
      <c r="A911" t="s">
        <v>915</v>
      </c>
      <c r="B911">
        <v>0.99472303558308395</v>
      </c>
      <c r="C911">
        <v>0.84914199410546298</v>
      </c>
      <c r="D911">
        <v>0.70663975334803897</v>
      </c>
      <c r="E911">
        <v>0.64960384598607601</v>
      </c>
      <c r="F911">
        <v>0.57615445901657003</v>
      </c>
      <c r="G911">
        <v>0.47114349920898102</v>
      </c>
      <c r="H911">
        <v>0.51588107154739904</v>
      </c>
      <c r="I911">
        <v>0.33881210863880501</v>
      </c>
      <c r="J911">
        <v>0.26342375857496703</v>
      </c>
      <c r="K911">
        <v>0.35330966392045599</v>
      </c>
      <c r="L911">
        <v>330.69312879326702</v>
      </c>
      <c r="M911">
        <v>6.8157357832015704</v>
      </c>
      <c r="N911">
        <v>52.853253503018699</v>
      </c>
      <c r="O911">
        <v>44.8565169590834</v>
      </c>
      <c r="P911">
        <v>-2.99149852006316E-2</v>
      </c>
      <c r="Q911">
        <v>0.214086409586801</v>
      </c>
      <c r="R911">
        <v>0.94220005816147401</v>
      </c>
      <c r="S911" t="s">
        <v>7479</v>
      </c>
      <c r="T911" t="s">
        <v>13134</v>
      </c>
      <c r="U911" t="s">
        <v>13134</v>
      </c>
      <c r="V911" t="s">
        <v>13134</v>
      </c>
      <c r="W911" t="s">
        <v>14033</v>
      </c>
      <c r="X911">
        <v>1</v>
      </c>
      <c r="Y911" t="s">
        <v>20525</v>
      </c>
      <c r="Z911" t="s">
        <v>26879</v>
      </c>
      <c r="AA911">
        <v>0.56027059471181684</v>
      </c>
      <c r="AB911" t="str">
        <f>HYPERLINK("Melting_Curves/meltCurve_G5E9N0_ENTPD3.pdf", "Melting_Curves/meltCurve_G5E9N0_ENTPD3.pdf")</f>
        <v>Melting_Curves/meltCurve_G5E9N0_ENTPD3.pdf</v>
      </c>
    </row>
    <row r="912" spans="1:28" x14ac:dyDescent="0.25">
      <c r="A912" t="s">
        <v>916</v>
      </c>
      <c r="B912">
        <v>0.99472303558308395</v>
      </c>
      <c r="C912">
        <v>0.95017543020842998</v>
      </c>
      <c r="D912">
        <v>0.71395460001764399</v>
      </c>
      <c r="E912">
        <v>0.56780544315710202</v>
      </c>
      <c r="F912">
        <v>0.31111163235762501</v>
      </c>
      <c r="G912">
        <v>0.12588640962679501</v>
      </c>
      <c r="H912">
        <v>9.3321234536412806E-2</v>
      </c>
      <c r="I912">
        <v>6.0138255374842901E-2</v>
      </c>
      <c r="J912">
        <v>6.7957400505040996E-2</v>
      </c>
      <c r="K912">
        <v>6.22392502112359E-2</v>
      </c>
      <c r="L912">
        <v>654.40786807473501</v>
      </c>
      <c r="M912">
        <v>14.0086579017632</v>
      </c>
      <c r="N912">
        <v>46.944132421610902</v>
      </c>
      <c r="O912">
        <v>45.793482814974702</v>
      </c>
      <c r="P912">
        <v>-7.39548977962355E-2</v>
      </c>
      <c r="Q912">
        <v>3.3110726078691602E-2</v>
      </c>
      <c r="R912">
        <v>0.99271166912330799</v>
      </c>
      <c r="S912" t="s">
        <v>7480</v>
      </c>
      <c r="T912" t="s">
        <v>13134</v>
      </c>
      <c r="U912" t="s">
        <v>13134</v>
      </c>
      <c r="V912" t="s">
        <v>13134</v>
      </c>
      <c r="W912" t="s">
        <v>14034</v>
      </c>
      <c r="X912">
        <v>5</v>
      </c>
      <c r="Y912" t="s">
        <v>20526</v>
      </c>
      <c r="Z912" t="s">
        <v>26880</v>
      </c>
      <c r="AA912">
        <v>0.37097487053038131</v>
      </c>
      <c r="AB912" t="str">
        <f>HYPERLINK("Melting_Curves/meltCurve_G5E9P1_ITPR1.pdf", "Melting_Curves/meltCurve_G5E9P1_ITPR1.pdf")</f>
        <v>Melting_Curves/meltCurve_G5E9P1_ITPR1.pdf</v>
      </c>
    </row>
    <row r="913" spans="1:28" x14ac:dyDescent="0.25">
      <c r="A913" t="s">
        <v>917</v>
      </c>
      <c r="B913">
        <v>0.99472303558308395</v>
      </c>
      <c r="C913">
        <v>0.93882133510674104</v>
      </c>
      <c r="D913">
        <v>0.89366860261960901</v>
      </c>
      <c r="E913">
        <v>0.77869885724162802</v>
      </c>
      <c r="F913">
        <v>0.55018659681198701</v>
      </c>
      <c r="G913">
        <v>0.43319268757018398</v>
      </c>
      <c r="H913">
        <v>0.32422228776807099</v>
      </c>
      <c r="I913">
        <v>0.24803918576845499</v>
      </c>
      <c r="J913">
        <v>0.213411689901256</v>
      </c>
      <c r="K913">
        <v>0.14401665268094699</v>
      </c>
      <c r="L913">
        <v>533.89519500614199</v>
      </c>
      <c r="M913">
        <v>10.482389041953001</v>
      </c>
      <c r="N913">
        <v>52.081104654770897</v>
      </c>
      <c r="O913">
        <v>49.183653804375602</v>
      </c>
      <c r="P913">
        <v>-4.7802806677139299E-2</v>
      </c>
      <c r="Q913">
        <v>0.103195905982869</v>
      </c>
      <c r="R913">
        <v>0.99637546586009396</v>
      </c>
      <c r="S913" t="s">
        <v>7481</v>
      </c>
      <c r="T913" t="s">
        <v>13134</v>
      </c>
      <c r="U913" t="s">
        <v>13134</v>
      </c>
      <c r="V913" t="s">
        <v>13134</v>
      </c>
      <c r="W913" t="s">
        <v>14035</v>
      </c>
      <c r="X913">
        <v>11</v>
      </c>
      <c r="Y913" t="s">
        <v>20170</v>
      </c>
      <c r="Z913" t="s">
        <v>26881</v>
      </c>
      <c r="AA913">
        <v>0.54623949620677903</v>
      </c>
      <c r="AB913" t="str">
        <f>HYPERLINK("Melting_Curves/meltCurve_G5E9T8_GOSR1.pdf", "Melting_Curves/meltCurve_G5E9T8_GOSR1.pdf")</f>
        <v>Melting_Curves/meltCurve_G5E9T8_GOSR1.pdf</v>
      </c>
    </row>
    <row r="914" spans="1:28" x14ac:dyDescent="0.25">
      <c r="A914" t="s">
        <v>918</v>
      </c>
      <c r="B914">
        <v>0.99472303558308395</v>
      </c>
      <c r="C914">
        <v>1.1622959784233899</v>
      </c>
      <c r="D914">
        <v>0.889936104801757</v>
      </c>
      <c r="E914">
        <v>0.80072884197263505</v>
      </c>
      <c r="F914">
        <v>0.46916426484359097</v>
      </c>
      <c r="G914">
        <v>0.12461035047336499</v>
      </c>
      <c r="H914">
        <v>2.9250998555937002E-2</v>
      </c>
      <c r="I914">
        <v>0</v>
      </c>
      <c r="J914">
        <v>0</v>
      </c>
      <c r="K914">
        <v>0</v>
      </c>
      <c r="L914">
        <v>1115.4015738155299</v>
      </c>
      <c r="M914">
        <v>22.4684404882615</v>
      </c>
      <c r="N914">
        <v>49.643034805006103</v>
      </c>
      <c r="O914">
        <v>49.254796007436099</v>
      </c>
      <c r="P914">
        <v>-0.11404420716844101</v>
      </c>
      <c r="Q914">
        <v>0</v>
      </c>
      <c r="R914">
        <v>0.98190147360514302</v>
      </c>
      <c r="S914" t="s">
        <v>7482</v>
      </c>
      <c r="T914" t="s">
        <v>13134</v>
      </c>
      <c r="U914" t="s">
        <v>13134</v>
      </c>
      <c r="V914" t="s">
        <v>13134</v>
      </c>
      <c r="W914" t="s">
        <v>14036</v>
      </c>
      <c r="X914">
        <v>2</v>
      </c>
      <c r="Y914" t="s">
        <v>20527</v>
      </c>
      <c r="Z914" t="s">
        <v>26882</v>
      </c>
      <c r="AA914">
        <v>0.43209527002248632</v>
      </c>
      <c r="AB914" t="str">
        <f>HYPERLINK("Melting_Curves/meltCurve_G5E9W2_CHPF2.pdf", "Melting_Curves/meltCurve_G5E9W2_CHPF2.pdf")</f>
        <v>Melting_Curves/meltCurve_G5E9W2_CHPF2.pdf</v>
      </c>
    </row>
    <row r="915" spans="1:28" x14ac:dyDescent="0.25">
      <c r="A915" t="s">
        <v>919</v>
      </c>
      <c r="B915">
        <v>0.99472303558308395</v>
      </c>
      <c r="C915">
        <v>0.67673776026147503</v>
      </c>
      <c r="D915">
        <v>0.61061170431756395</v>
      </c>
      <c r="E915">
        <v>0.42711917873169303</v>
      </c>
      <c r="F915">
        <v>0.148346151114358</v>
      </c>
      <c r="G915">
        <v>5.2734631413855697E-2</v>
      </c>
      <c r="H915">
        <v>3.8858167938276199E-2</v>
      </c>
      <c r="I915">
        <v>2.8340728677492599E-2</v>
      </c>
      <c r="J915">
        <v>3.1082633697386501E-2</v>
      </c>
      <c r="K915">
        <v>2.5740750196818599E-2</v>
      </c>
      <c r="L915">
        <v>543.31148072234998</v>
      </c>
      <c r="M915">
        <v>12.2875805088325</v>
      </c>
      <c r="N915">
        <v>44.216316873051198</v>
      </c>
      <c r="O915">
        <v>43.094128604258302</v>
      </c>
      <c r="P915">
        <v>-7.12990598494989E-2</v>
      </c>
      <c r="Q915">
        <v>0</v>
      </c>
      <c r="R915">
        <v>0.97265761341943802</v>
      </c>
      <c r="S915" t="s">
        <v>7483</v>
      </c>
      <c r="T915" t="s">
        <v>13134</v>
      </c>
      <c r="U915" t="s">
        <v>13134</v>
      </c>
      <c r="V915" t="s">
        <v>13134</v>
      </c>
      <c r="W915" t="s">
        <v>14037</v>
      </c>
      <c r="X915">
        <v>4</v>
      </c>
      <c r="Y915" t="s">
        <v>20528</v>
      </c>
      <c r="Z915" t="s">
        <v>26883</v>
      </c>
      <c r="AA915">
        <v>0.27700157547875709</v>
      </c>
      <c r="AB915" t="str">
        <f>HYPERLINK("Melting_Curves/meltCurve_G5E9W7_MRPS22.pdf", "Melting_Curves/meltCurve_G5E9W7_MRPS22.pdf")</f>
        <v>Melting_Curves/meltCurve_G5E9W7_MRPS22.pdf</v>
      </c>
    </row>
    <row r="916" spans="1:28" x14ac:dyDescent="0.25">
      <c r="A916" t="s">
        <v>920</v>
      </c>
      <c r="B916">
        <v>0.99472303558308395</v>
      </c>
      <c r="C916">
        <v>1.2390277466094299</v>
      </c>
      <c r="D916">
        <v>0.91894426664191198</v>
      </c>
      <c r="E916">
        <v>0.80931939798866104</v>
      </c>
      <c r="F916">
        <v>0.65537725241125899</v>
      </c>
      <c r="G916">
        <v>0.24973061161535601</v>
      </c>
      <c r="H916">
        <v>0.18357871107717399</v>
      </c>
      <c r="I916">
        <v>0.18317619704982099</v>
      </c>
      <c r="J916">
        <v>9.6498911034431006E-2</v>
      </c>
      <c r="K916">
        <v>4.7999148425097601E-2</v>
      </c>
      <c r="L916">
        <v>962.975164631442</v>
      </c>
      <c r="M916">
        <v>18.967852114541699</v>
      </c>
      <c r="N916">
        <v>51.247311239344803</v>
      </c>
      <c r="O916">
        <v>50.214584053738903</v>
      </c>
      <c r="P916">
        <v>-8.6773559743790404E-2</v>
      </c>
      <c r="Q916">
        <v>8.1155883685728E-2</v>
      </c>
      <c r="R916">
        <v>0.95323050912098894</v>
      </c>
      <c r="S916" t="s">
        <v>7484</v>
      </c>
      <c r="T916" t="s">
        <v>13134</v>
      </c>
      <c r="U916" t="s">
        <v>13134</v>
      </c>
      <c r="V916" t="s">
        <v>13134</v>
      </c>
      <c r="W916" t="s">
        <v>14038</v>
      </c>
      <c r="X916">
        <v>9</v>
      </c>
      <c r="Y916" t="s">
        <v>20529</v>
      </c>
      <c r="Z916" t="s">
        <v>26884</v>
      </c>
      <c r="AA916">
        <v>0.51602981982443907</v>
      </c>
      <c r="AB916" t="str">
        <f>HYPERLINK("Melting_Curves/meltCurve_G5EA09_SDCBP.pdf", "Melting_Curves/meltCurve_G5EA09_SDCBP.pdf")</f>
        <v>Melting_Curves/meltCurve_G5EA09_SDCBP.pdf</v>
      </c>
    </row>
    <row r="917" spans="1:28" x14ac:dyDescent="0.25">
      <c r="A917" t="s">
        <v>921</v>
      </c>
      <c r="B917">
        <v>0.99472303558308395</v>
      </c>
      <c r="C917">
        <v>0.93842780140397297</v>
      </c>
      <c r="D917">
        <v>0.95565974659254305</v>
      </c>
      <c r="E917">
        <v>0.45418130109575</v>
      </c>
      <c r="F917">
        <v>0.17248795568573699</v>
      </c>
      <c r="G917">
        <v>8.5751361602407705E-2</v>
      </c>
      <c r="H917">
        <v>5.2582076739636198E-2</v>
      </c>
      <c r="I917">
        <v>3.65809962929236E-2</v>
      </c>
      <c r="J917">
        <v>4.89151467262069E-2</v>
      </c>
      <c r="K917">
        <v>3.7233903753878299E-2</v>
      </c>
      <c r="L917">
        <v>1375.31310555959</v>
      </c>
      <c r="M917">
        <v>29.709794889920001</v>
      </c>
      <c r="N917">
        <v>46.465406679656603</v>
      </c>
      <c r="O917">
        <v>46.083363357886</v>
      </c>
      <c r="P917">
        <v>-0.152698152799156</v>
      </c>
      <c r="Q917">
        <v>5.2595706762210502E-2</v>
      </c>
      <c r="R917">
        <v>0.99529701136927895</v>
      </c>
      <c r="S917" t="s">
        <v>7485</v>
      </c>
      <c r="T917" t="s">
        <v>13134</v>
      </c>
      <c r="U917" t="s">
        <v>13134</v>
      </c>
      <c r="V917" t="s">
        <v>13134</v>
      </c>
      <c r="W917" t="s">
        <v>14039</v>
      </c>
      <c r="X917">
        <v>14</v>
      </c>
      <c r="Y917" t="s">
        <v>20530</v>
      </c>
      <c r="Z917" t="s">
        <v>26885</v>
      </c>
      <c r="AA917">
        <v>0.3515674893755486</v>
      </c>
      <c r="AB917" t="str">
        <f>HYPERLINK("Melting_Curves/meltCurve_G5EA30_CELF1.pdf", "Melting_Curves/meltCurve_G5EA30_CELF1.pdf")</f>
        <v>Melting_Curves/meltCurve_G5EA30_CELF1.pdf</v>
      </c>
    </row>
    <row r="918" spans="1:28" x14ac:dyDescent="0.25">
      <c r="A918" t="s">
        <v>922</v>
      </c>
      <c r="B918">
        <v>0.99472303558308395</v>
      </c>
      <c r="C918">
        <v>0.90310726741570102</v>
      </c>
      <c r="D918">
        <v>1.02579089924636</v>
      </c>
      <c r="E918">
        <v>0.83929879313401901</v>
      </c>
      <c r="F918">
        <v>0.33748957312321798</v>
      </c>
      <c r="G918">
        <v>0.128025001555373</v>
      </c>
      <c r="H918">
        <v>7.2105643944291697E-2</v>
      </c>
      <c r="I918">
        <v>5.6006546765939302E-2</v>
      </c>
      <c r="J918">
        <v>6.5589281158596399E-2</v>
      </c>
      <c r="K918">
        <v>5.9396844748679102E-2</v>
      </c>
      <c r="L918">
        <v>1580.54465131506</v>
      </c>
      <c r="M918">
        <v>32.342106365046497</v>
      </c>
      <c r="N918">
        <v>49.078196734269099</v>
      </c>
      <c r="O918">
        <v>48.6838672572664</v>
      </c>
      <c r="P918">
        <v>-0.155416888951208</v>
      </c>
      <c r="Q918">
        <v>6.4221908324084004E-2</v>
      </c>
      <c r="R918">
        <v>0.99345351028284301</v>
      </c>
      <c r="S918" t="s">
        <v>7486</v>
      </c>
      <c r="T918" t="s">
        <v>13134</v>
      </c>
      <c r="U918" t="s">
        <v>13134</v>
      </c>
      <c r="V918" t="s">
        <v>13134</v>
      </c>
      <c r="W918" t="s">
        <v>14040</v>
      </c>
      <c r="X918">
        <v>41</v>
      </c>
      <c r="Y918" t="s">
        <v>20531</v>
      </c>
      <c r="Z918" t="s">
        <v>26886</v>
      </c>
      <c r="AA918">
        <v>0.4393096529727008</v>
      </c>
      <c r="AB918" t="str">
        <f>HYPERLINK("Melting_Curves/meltCurve_G5EA52_PDIA3.pdf", "Melting_Curves/meltCurve_G5EA52_PDIA3.pdf")</f>
        <v>Melting_Curves/meltCurve_G5EA52_PDIA3.pdf</v>
      </c>
    </row>
    <row r="919" spans="1:28" x14ac:dyDescent="0.25">
      <c r="A919" t="s">
        <v>923</v>
      </c>
      <c r="B919">
        <v>0.99472303558308395</v>
      </c>
      <c r="C919">
        <v>1.0723954404196101</v>
      </c>
      <c r="D919">
        <v>0.88944010933208895</v>
      </c>
      <c r="E919">
        <v>0.88421680290320703</v>
      </c>
      <c r="F919">
        <v>0.66401432575348696</v>
      </c>
      <c r="G919">
        <v>0.43587092238602199</v>
      </c>
      <c r="H919">
        <v>0.243822959317434</v>
      </c>
      <c r="I919">
        <v>0.14389088310169301</v>
      </c>
      <c r="J919">
        <v>7.4154600495253895E-2</v>
      </c>
      <c r="K919">
        <v>4.2777655193891102E-2</v>
      </c>
      <c r="L919">
        <v>729.50052336555098</v>
      </c>
      <c r="M919">
        <v>13.8255875687477</v>
      </c>
      <c r="N919">
        <v>52.764524715339398</v>
      </c>
      <c r="O919">
        <v>51.697378713428101</v>
      </c>
      <c r="P919">
        <v>-6.6867549411765898E-2</v>
      </c>
      <c r="Q919">
        <v>0</v>
      </c>
      <c r="R919">
        <v>0.99143943149382296</v>
      </c>
      <c r="S919" t="s">
        <v>7487</v>
      </c>
      <c r="T919" t="s">
        <v>13134</v>
      </c>
      <c r="U919" t="s">
        <v>13134</v>
      </c>
      <c r="V919" t="s">
        <v>13134</v>
      </c>
      <c r="W919" t="s">
        <v>14041</v>
      </c>
      <c r="X919">
        <v>1</v>
      </c>
      <c r="Y919" t="s">
        <v>20532</v>
      </c>
      <c r="Z919" t="s">
        <v>26887</v>
      </c>
      <c r="AA919">
        <v>0.54510635064741886</v>
      </c>
      <c r="AB919" t="str">
        <f>HYPERLINK("Melting_Curves/meltCurve_G8JL88_APOL1.pdf", "Melting_Curves/meltCurve_G8JL88_APOL1.pdf")</f>
        <v>Melting_Curves/meltCurve_G8JL88_APOL1.pdf</v>
      </c>
    </row>
    <row r="920" spans="1:28" x14ac:dyDescent="0.25">
      <c r="A920" t="s">
        <v>924</v>
      </c>
      <c r="B920">
        <v>0.99472303558308395</v>
      </c>
      <c r="C920">
        <v>0.87083935899044795</v>
      </c>
      <c r="D920">
        <v>0.80734687300752905</v>
      </c>
      <c r="E920">
        <v>0.66639381262041597</v>
      </c>
      <c r="F920">
        <v>0.43509113395176202</v>
      </c>
      <c r="G920">
        <v>0.18108629279622401</v>
      </c>
      <c r="H920">
        <v>0.109581568050533</v>
      </c>
      <c r="I920">
        <v>9.5457888598600202E-2</v>
      </c>
      <c r="J920">
        <v>0.12842009885949501</v>
      </c>
      <c r="K920">
        <v>0.105957280665487</v>
      </c>
      <c r="L920">
        <v>636.18770385501</v>
      </c>
      <c r="M920">
        <v>13.249308954078399</v>
      </c>
      <c r="N920">
        <v>48.453638348427802</v>
      </c>
      <c r="O920">
        <v>46.962363891697699</v>
      </c>
      <c r="P920">
        <v>-6.6570699063462899E-2</v>
      </c>
      <c r="Q920">
        <v>5.6311676350096602E-2</v>
      </c>
      <c r="R920">
        <v>0.98557432947898804</v>
      </c>
      <c r="S920" t="s">
        <v>7488</v>
      </c>
      <c r="T920" t="s">
        <v>13134</v>
      </c>
      <c r="U920" t="s">
        <v>13134</v>
      </c>
      <c r="V920" t="s">
        <v>13134</v>
      </c>
      <c r="W920" t="s">
        <v>14042</v>
      </c>
      <c r="X920">
        <v>10</v>
      </c>
      <c r="Y920" t="s">
        <v>20533</v>
      </c>
      <c r="Z920" t="s">
        <v>26888</v>
      </c>
      <c r="AA920">
        <v>0.42826837303093968</v>
      </c>
      <c r="AB920" t="str">
        <f>HYPERLINK("Melting_Curves/meltCurve_G8JLA2_MYL6.pdf", "Melting_Curves/meltCurve_G8JLA2_MYL6.pdf")</f>
        <v>Melting_Curves/meltCurve_G8JLA2_MYL6.pdf</v>
      </c>
    </row>
    <row r="921" spans="1:28" x14ac:dyDescent="0.25">
      <c r="A921" t="s">
        <v>925</v>
      </c>
      <c r="B921">
        <v>0.99472303558308395</v>
      </c>
      <c r="C921">
        <v>0.89053358510930403</v>
      </c>
      <c r="D921">
        <v>0.74091025611546102</v>
      </c>
      <c r="E921">
        <v>0.20303776227572501</v>
      </c>
      <c r="F921">
        <v>0.111059838536108</v>
      </c>
      <c r="G921">
        <v>5.0399192228645501E-2</v>
      </c>
      <c r="H921">
        <v>3.5805676177782603E-2</v>
      </c>
      <c r="I921">
        <v>2.2589485840410799E-2</v>
      </c>
      <c r="J921">
        <v>2.8315926226940499E-2</v>
      </c>
      <c r="K921">
        <v>3.3318550062756601E-2</v>
      </c>
      <c r="L921">
        <v>1202.08170939205</v>
      </c>
      <c r="M921">
        <v>27.123237753737701</v>
      </c>
      <c r="N921">
        <v>44.4383964981281</v>
      </c>
      <c r="O921">
        <v>44.080446868852398</v>
      </c>
      <c r="P921">
        <v>-0.14843428803403799</v>
      </c>
      <c r="Q921">
        <v>3.5073079165370301E-2</v>
      </c>
      <c r="R921">
        <v>0.99434608223097298</v>
      </c>
      <c r="S921" t="s">
        <v>7489</v>
      </c>
      <c r="T921" t="s">
        <v>13134</v>
      </c>
      <c r="U921" t="s">
        <v>13134</v>
      </c>
      <c r="V921" t="s">
        <v>13134</v>
      </c>
      <c r="W921" t="s">
        <v>14043</v>
      </c>
      <c r="X921">
        <v>9</v>
      </c>
      <c r="Y921" t="s">
        <v>20534</v>
      </c>
      <c r="Z921" t="s">
        <v>26889</v>
      </c>
      <c r="AA921">
        <v>0.27713844676994542</v>
      </c>
      <c r="AB921" t="str">
        <f>HYPERLINK("Melting_Curves/meltCurve_G8JLB3_PUS1.pdf", "Melting_Curves/meltCurve_G8JLB3_PUS1.pdf")</f>
        <v>Melting_Curves/meltCurve_G8JLB3_PUS1.pdf</v>
      </c>
    </row>
    <row r="922" spans="1:28" x14ac:dyDescent="0.25">
      <c r="A922" t="s">
        <v>926</v>
      </c>
      <c r="B922">
        <v>0.99472303558308395</v>
      </c>
      <c r="C922">
        <v>0.95787888607423899</v>
      </c>
      <c r="D922">
        <v>0.86682457683035996</v>
      </c>
      <c r="E922">
        <v>0.59527210755784798</v>
      </c>
      <c r="F922">
        <v>0.48811954768705601</v>
      </c>
      <c r="G922">
        <v>0.27826137387961503</v>
      </c>
      <c r="H922">
        <v>0.31261379933126898</v>
      </c>
      <c r="I922">
        <v>0.174229741653388</v>
      </c>
      <c r="J922">
        <v>0.35054140707076697</v>
      </c>
      <c r="K922">
        <v>0.46414961890589002</v>
      </c>
      <c r="L922">
        <v>918.83891354368802</v>
      </c>
      <c r="M922">
        <v>19.9787210316018</v>
      </c>
      <c r="N922">
        <v>48.393386281741499</v>
      </c>
      <c r="O922">
        <v>45.537551790876698</v>
      </c>
      <c r="P922">
        <v>-7.5183867128681095E-2</v>
      </c>
      <c r="Q922">
        <v>0.31455541293197797</v>
      </c>
      <c r="R922">
        <v>0.93109116705572903</v>
      </c>
      <c r="S922" t="s">
        <v>7490</v>
      </c>
      <c r="T922" t="s">
        <v>13134</v>
      </c>
      <c r="U922" t="s">
        <v>13134</v>
      </c>
      <c r="V922" t="s">
        <v>13134</v>
      </c>
      <c r="W922" t="s">
        <v>14044</v>
      </c>
      <c r="X922">
        <v>12</v>
      </c>
      <c r="Y922" t="s">
        <v>20535</v>
      </c>
      <c r="Z922" t="s">
        <v>26890</v>
      </c>
      <c r="AA922">
        <v>0.52896094587249043</v>
      </c>
      <c r="AB922" t="str">
        <f>HYPERLINK("Melting_Curves/meltCurve_G8JLD3_ERC1.pdf", "Melting_Curves/meltCurve_G8JLD3_ERC1.pdf")</f>
        <v>Melting_Curves/meltCurve_G8JLD3_ERC1.pdf</v>
      </c>
    </row>
    <row r="923" spans="1:28" x14ac:dyDescent="0.25">
      <c r="A923" t="s">
        <v>927</v>
      </c>
      <c r="B923">
        <v>0.99472303558308395</v>
      </c>
      <c r="C923">
        <v>0.92331258673304795</v>
      </c>
      <c r="D923">
        <v>1.08159973556775</v>
      </c>
      <c r="E923">
        <v>0.62968488202825901</v>
      </c>
      <c r="F923">
        <v>0.34899266331168299</v>
      </c>
      <c r="G923">
        <v>0.28740014508825501</v>
      </c>
      <c r="H923">
        <v>0.223083290780899</v>
      </c>
      <c r="I923">
        <v>0.222091033509111</v>
      </c>
      <c r="J923">
        <v>0.25539665426250802</v>
      </c>
      <c r="K923">
        <v>0.22718736840598799</v>
      </c>
      <c r="L923">
        <v>1842.5719714480499</v>
      </c>
      <c r="M923">
        <v>39.381222238697703</v>
      </c>
      <c r="N923">
        <v>47.625505729600398</v>
      </c>
      <c r="O923">
        <v>46.667929564967402</v>
      </c>
      <c r="P923">
        <v>-0.15826062208137301</v>
      </c>
      <c r="Q923">
        <v>0.24982737016915399</v>
      </c>
      <c r="R923">
        <v>0.97965173729655197</v>
      </c>
      <c r="S923" t="s">
        <v>7491</v>
      </c>
      <c r="T923" t="s">
        <v>13134</v>
      </c>
      <c r="U923" t="s">
        <v>13134</v>
      </c>
      <c r="V923" t="s">
        <v>13134</v>
      </c>
      <c r="W923" t="s">
        <v>14045</v>
      </c>
      <c r="X923">
        <v>4</v>
      </c>
      <c r="Y923" t="s">
        <v>20536</v>
      </c>
      <c r="Z923" t="s">
        <v>26891</v>
      </c>
      <c r="AA923">
        <v>0.4970903184931364</v>
      </c>
      <c r="AB923" t="str">
        <f>HYPERLINK("Melting_Curves/meltCurve_G8JLE5_TIPIN.pdf", "Melting_Curves/meltCurve_G8JLE5_TIPIN.pdf")</f>
        <v>Melting_Curves/meltCurve_G8JLE5_TIPIN.pdf</v>
      </c>
    </row>
    <row r="924" spans="1:28" x14ac:dyDescent="0.25">
      <c r="A924" t="s">
        <v>928</v>
      </c>
      <c r="B924">
        <v>0.99472303558308395</v>
      </c>
      <c r="C924">
        <v>0.95750880765998503</v>
      </c>
      <c r="D924">
        <v>0.86794359059400505</v>
      </c>
      <c r="E924">
        <v>0.79080628567873901</v>
      </c>
      <c r="F924">
        <v>0.64935642019694395</v>
      </c>
      <c r="G924">
        <v>0.39400729808997198</v>
      </c>
      <c r="H924">
        <v>0.1971813341726</v>
      </c>
      <c r="I924">
        <v>7.8796909092362893E-2</v>
      </c>
      <c r="J924">
        <v>7.4883701798210994E-2</v>
      </c>
      <c r="K924">
        <v>6.2240925925691901E-2</v>
      </c>
      <c r="L924">
        <v>669.65683567646101</v>
      </c>
      <c r="M924">
        <v>12.936587867212699</v>
      </c>
      <c r="N924">
        <v>51.764564420012697</v>
      </c>
      <c r="O924">
        <v>50.574449382816802</v>
      </c>
      <c r="P924">
        <v>-6.3959744215274394E-2</v>
      </c>
      <c r="Q924">
        <v>0</v>
      </c>
      <c r="R924">
        <v>0.99233786855805795</v>
      </c>
      <c r="S924" t="s">
        <v>7492</v>
      </c>
      <c r="T924" t="s">
        <v>13134</v>
      </c>
      <c r="U924" t="s">
        <v>13134</v>
      </c>
      <c r="V924" t="s">
        <v>13134</v>
      </c>
      <c r="W924" t="s">
        <v>14046</v>
      </c>
      <c r="X924">
        <v>10</v>
      </c>
      <c r="Y924" t="s">
        <v>20537</v>
      </c>
      <c r="Z924" t="s">
        <v>26892</v>
      </c>
      <c r="AA924">
        <v>0.51489076792642885</v>
      </c>
      <c r="AB924" t="str">
        <f>HYPERLINK("Melting_Curves/meltCurve_G8JLI5_WDR45.pdf", "Melting_Curves/meltCurve_G8JLI5_WDR45.pdf")</f>
        <v>Melting_Curves/meltCurve_G8JLI5_WDR45.pdf</v>
      </c>
    </row>
    <row r="925" spans="1:28" x14ac:dyDescent="0.25">
      <c r="A925" t="s">
        <v>929</v>
      </c>
      <c r="B925">
        <v>0.99472303558308395</v>
      </c>
      <c r="C925">
        <v>1.0175673233371201</v>
      </c>
      <c r="D925">
        <v>1.00781264799704</v>
      </c>
      <c r="E925">
        <v>0.90408119590226999</v>
      </c>
      <c r="F925">
        <v>0.54771701757218705</v>
      </c>
      <c r="G925">
        <v>0.26724018754965501</v>
      </c>
      <c r="H925">
        <v>0.13130001048332801</v>
      </c>
      <c r="I925">
        <v>8.6920771866460494E-2</v>
      </c>
      <c r="J925">
        <v>0.12488314674772601</v>
      </c>
      <c r="K925">
        <v>9.7752092288630896E-2</v>
      </c>
      <c r="L925">
        <v>1272.66048091527</v>
      </c>
      <c r="M925">
        <v>25.294799563093601</v>
      </c>
      <c r="N925">
        <v>50.7597777177956</v>
      </c>
      <c r="O925">
        <v>50.001826270456498</v>
      </c>
      <c r="P925">
        <v>-0.113852086903688</v>
      </c>
      <c r="Q925">
        <v>9.9777178670660299E-2</v>
      </c>
      <c r="R925">
        <v>0.99837207717605203</v>
      </c>
      <c r="S925" t="s">
        <v>7493</v>
      </c>
      <c r="T925" t="s">
        <v>13134</v>
      </c>
      <c r="U925" t="s">
        <v>13134</v>
      </c>
      <c r="V925" t="s">
        <v>13134</v>
      </c>
      <c r="W925" t="s">
        <v>14047</v>
      </c>
      <c r="X925">
        <v>31</v>
      </c>
      <c r="Y925" t="s">
        <v>20538</v>
      </c>
      <c r="Z925" t="s">
        <v>26893</v>
      </c>
      <c r="AA925">
        <v>0.50699406313631734</v>
      </c>
      <c r="AB925" t="str">
        <f>HYPERLINK("Melting_Curves/meltCurve_G8JLK4_TACC1.pdf", "Melting_Curves/meltCurve_G8JLK4_TACC1.pdf")</f>
        <v>Melting_Curves/meltCurve_G8JLK4_TACC1.pdf</v>
      </c>
    </row>
    <row r="926" spans="1:28" x14ac:dyDescent="0.25">
      <c r="A926" t="s">
        <v>930</v>
      </c>
      <c r="B926">
        <v>0.99472303558308395</v>
      </c>
      <c r="C926">
        <v>1.0693393396146</v>
      </c>
      <c r="D926">
        <v>1.0982384692250899</v>
      </c>
      <c r="E926">
        <v>0.93934199127665297</v>
      </c>
      <c r="F926">
        <v>0.51738639287075605</v>
      </c>
      <c r="G926">
        <v>0.201022452373706</v>
      </c>
      <c r="H926">
        <v>0.147091620338549</v>
      </c>
      <c r="I926">
        <v>0.109428450823747</v>
      </c>
      <c r="J926">
        <v>7.6466360315041906E-2</v>
      </c>
      <c r="K926">
        <v>7.7956437458409897E-2</v>
      </c>
      <c r="L926">
        <v>1639.0107022725399</v>
      </c>
      <c r="M926">
        <v>32.738865165693603</v>
      </c>
      <c r="N926">
        <v>50.4096522855016</v>
      </c>
      <c r="O926">
        <v>49.8774715371516</v>
      </c>
      <c r="P926">
        <v>-0.147562723162179</v>
      </c>
      <c r="Q926">
        <v>0.100760320798344</v>
      </c>
      <c r="R926">
        <v>0.99010542230124798</v>
      </c>
      <c r="S926" t="s">
        <v>7494</v>
      </c>
      <c r="T926" t="s">
        <v>13134</v>
      </c>
      <c r="U926" t="s">
        <v>13134</v>
      </c>
      <c r="V926" t="s">
        <v>13134</v>
      </c>
      <c r="W926" t="s">
        <v>14048</v>
      </c>
      <c r="X926">
        <v>4</v>
      </c>
      <c r="Y926" t="s">
        <v>20539</v>
      </c>
      <c r="Z926" t="s">
        <v>26894</v>
      </c>
      <c r="AA926">
        <v>0.49696831080975967</v>
      </c>
      <c r="AB926" t="str">
        <f>HYPERLINK("Melting_Curves/meltCurve_G8JLK7_NOL6.pdf", "Melting_Curves/meltCurve_G8JLK7_NOL6.pdf")</f>
        <v>Melting_Curves/meltCurve_G8JLK7_NOL6.pdf</v>
      </c>
    </row>
    <row r="927" spans="1:28" x14ac:dyDescent="0.25">
      <c r="A927" t="s">
        <v>931</v>
      </c>
      <c r="B927">
        <v>0.99472303558308395</v>
      </c>
      <c r="C927">
        <v>1.00733387874098</v>
      </c>
      <c r="D927">
        <v>1.0630207730974801</v>
      </c>
      <c r="E927">
        <v>0.91555539123086405</v>
      </c>
      <c r="F927">
        <v>0.68386833125214597</v>
      </c>
      <c r="G927">
        <v>0.62506345934796004</v>
      </c>
      <c r="H927">
        <v>0.47290884269508399</v>
      </c>
      <c r="I927">
        <v>0.32970712663952301</v>
      </c>
      <c r="J927">
        <v>0.15620709177855699</v>
      </c>
      <c r="K927">
        <v>0.14668386529120001</v>
      </c>
      <c r="L927">
        <v>602.19090560548398</v>
      </c>
      <c r="M927">
        <v>10.741944770575699</v>
      </c>
      <c r="N927">
        <v>56.059766662388498</v>
      </c>
      <c r="O927">
        <v>54.221743712085498</v>
      </c>
      <c r="P927">
        <v>-4.9546158769893697E-2</v>
      </c>
      <c r="Q927">
        <v>0</v>
      </c>
      <c r="R927">
        <v>0.97795900052873497</v>
      </c>
      <c r="S927" t="s">
        <v>7495</v>
      </c>
      <c r="T927" t="s">
        <v>13134</v>
      </c>
      <c r="U927" t="s">
        <v>13134</v>
      </c>
      <c r="V927" t="s">
        <v>13134</v>
      </c>
      <c r="W927" t="s">
        <v>14049</v>
      </c>
      <c r="X927">
        <v>3</v>
      </c>
      <c r="Y927" t="s">
        <v>20540</v>
      </c>
      <c r="Z927" t="s">
        <v>26895</v>
      </c>
      <c r="AA927">
        <v>0.64277663962193565</v>
      </c>
      <c r="AB927" t="str">
        <f>HYPERLINK("Melting_Curves/meltCurve_G8JLL2_PPT2.pdf", "Melting_Curves/meltCurve_G8JLL2_PPT2.pdf")</f>
        <v>Melting_Curves/meltCurve_G8JLL2_PPT2.pdf</v>
      </c>
    </row>
    <row r="928" spans="1:28" x14ac:dyDescent="0.25">
      <c r="A928" t="s">
        <v>932</v>
      </c>
      <c r="B928">
        <v>0.99472303558308395</v>
      </c>
      <c r="C928">
        <v>0.79179142249503298</v>
      </c>
      <c r="D928">
        <v>0.58017799297938299</v>
      </c>
      <c r="E928">
        <v>0.38009567474676698</v>
      </c>
      <c r="F928">
        <v>7.5682014192062705E-2</v>
      </c>
      <c r="G928">
        <v>3.9806981900858497E-2</v>
      </c>
      <c r="H928">
        <v>2.9765801103509699E-2</v>
      </c>
      <c r="I928">
        <v>1.82315347568433E-2</v>
      </c>
      <c r="J928">
        <v>3.8427166289839498E-2</v>
      </c>
      <c r="K928">
        <v>2.3745452645289301E-2</v>
      </c>
      <c r="L928">
        <v>669.95905174974803</v>
      </c>
      <c r="M928">
        <v>15.2018630227168</v>
      </c>
      <c r="N928">
        <v>44.094381790003403</v>
      </c>
      <c r="O928">
        <v>43.3293565169093</v>
      </c>
      <c r="P928">
        <v>-8.7365503363507693E-2</v>
      </c>
      <c r="Q928">
        <v>4.0361286886087099E-3</v>
      </c>
      <c r="R928">
        <v>0.98805553271916002</v>
      </c>
      <c r="S928" t="s">
        <v>7496</v>
      </c>
      <c r="T928" t="s">
        <v>13134</v>
      </c>
      <c r="U928" t="s">
        <v>13134</v>
      </c>
      <c r="V928" t="s">
        <v>13134</v>
      </c>
      <c r="W928" t="s">
        <v>14050</v>
      </c>
      <c r="X928">
        <v>7</v>
      </c>
      <c r="Y928" t="s">
        <v>20541</v>
      </c>
      <c r="Z928" t="s">
        <v>26896</v>
      </c>
      <c r="AA928">
        <v>0.26275438546905289</v>
      </c>
      <c r="AB928" t="str">
        <f>HYPERLINK("Melting_Curves/meltCurve_G8JLM6_TAF6.pdf", "Melting_Curves/meltCurve_G8JLM6_TAF6.pdf")</f>
        <v>Melting_Curves/meltCurve_G8JLM6_TAF6.pdf</v>
      </c>
    </row>
    <row r="929" spans="1:28" x14ac:dyDescent="0.25">
      <c r="A929" t="s">
        <v>933</v>
      </c>
      <c r="B929">
        <v>0.99472303558308395</v>
      </c>
      <c r="C929">
        <v>0.76047231612155597</v>
      </c>
      <c r="D929">
        <v>0.45049899812689698</v>
      </c>
      <c r="E929">
        <v>0.20281008150708099</v>
      </c>
      <c r="F929">
        <v>0.162319454074348</v>
      </c>
      <c r="G929">
        <v>9.6023161505654403E-2</v>
      </c>
      <c r="H929">
        <v>8.7712626774773095E-2</v>
      </c>
      <c r="I929">
        <v>0</v>
      </c>
      <c r="J929">
        <v>3.3506041569867501E-2</v>
      </c>
      <c r="K929">
        <v>0</v>
      </c>
      <c r="L929">
        <v>741.90584430189494</v>
      </c>
      <c r="M929">
        <v>17.4550194412198</v>
      </c>
      <c r="N929">
        <v>42.719174377092997</v>
      </c>
      <c r="O929">
        <v>41.957761062488203</v>
      </c>
      <c r="P929">
        <v>-9.9629673754564704E-2</v>
      </c>
      <c r="Q929">
        <v>4.2108146940832598E-2</v>
      </c>
      <c r="R929">
        <v>0.98683899148501297</v>
      </c>
      <c r="S929" t="s">
        <v>7497</v>
      </c>
      <c r="T929" t="s">
        <v>13134</v>
      </c>
      <c r="U929" t="s">
        <v>13134</v>
      </c>
      <c r="V929" t="s">
        <v>13134</v>
      </c>
      <c r="W929" t="s">
        <v>14051</v>
      </c>
      <c r="X929">
        <v>3</v>
      </c>
      <c r="Y929" t="s">
        <v>20542</v>
      </c>
      <c r="Z929" t="s">
        <v>26897</v>
      </c>
      <c r="AA929">
        <v>0.23669762280842749</v>
      </c>
      <c r="AB929" t="str">
        <f>HYPERLINK("Melting_Curves/meltCurve_G8JLP4_KIAA0430.pdf", "Melting_Curves/meltCurve_G8JLP4_KIAA0430.pdf")</f>
        <v>Melting_Curves/meltCurve_G8JLP4_KIAA0430.pdf</v>
      </c>
    </row>
    <row r="930" spans="1:28" x14ac:dyDescent="0.25">
      <c r="A930" t="s">
        <v>934</v>
      </c>
      <c r="B930">
        <v>0.99472303558308395</v>
      </c>
      <c r="C930">
        <v>0.97659986863082704</v>
      </c>
      <c r="D930">
        <v>0.900185900668658</v>
      </c>
      <c r="E930">
        <v>0.56549829526957995</v>
      </c>
      <c r="F930">
        <v>0.17051683046369701</v>
      </c>
      <c r="G930">
        <v>7.8085307465746101E-2</v>
      </c>
      <c r="H930">
        <v>5.2796142022007601E-2</v>
      </c>
      <c r="I930">
        <v>4.4688228694990798E-2</v>
      </c>
      <c r="J930">
        <v>5.1990640200423301E-2</v>
      </c>
      <c r="K930">
        <v>4.0343547817738301E-2</v>
      </c>
      <c r="L930">
        <v>1218.0555158673501</v>
      </c>
      <c r="M930">
        <v>26.0070142024889</v>
      </c>
      <c r="N930">
        <v>46.998902543697</v>
      </c>
      <c r="O930">
        <v>46.561376838956598</v>
      </c>
      <c r="P930">
        <v>-0.133609326956866</v>
      </c>
      <c r="Q930">
        <v>4.3187104760219197E-2</v>
      </c>
      <c r="R930">
        <v>0.99946545456273705</v>
      </c>
      <c r="S930" t="s">
        <v>7498</v>
      </c>
      <c r="T930" t="s">
        <v>13134</v>
      </c>
      <c r="U930" t="s">
        <v>13134</v>
      </c>
      <c r="V930" t="s">
        <v>13134</v>
      </c>
      <c r="W930" t="s">
        <v>14052</v>
      </c>
      <c r="X930">
        <v>9</v>
      </c>
      <c r="Y930" t="s">
        <v>20543</v>
      </c>
      <c r="Z930" t="s">
        <v>26898</v>
      </c>
      <c r="AA930">
        <v>0.36428531306647599</v>
      </c>
      <c r="AB930" t="str">
        <f>HYPERLINK("Melting_Curves/meltCurve_H0UI80_TH1L.pdf", "Melting_Curves/meltCurve_H0UI80_TH1L.pdf")</f>
        <v>Melting_Curves/meltCurve_H0UI80_TH1L.pdf</v>
      </c>
    </row>
    <row r="931" spans="1:28" x14ac:dyDescent="0.25">
      <c r="A931" t="s">
        <v>935</v>
      </c>
      <c r="B931">
        <v>0.99472303558308395</v>
      </c>
      <c r="C931">
        <v>0.85935086718256803</v>
      </c>
      <c r="D931">
        <v>0.91561031117426395</v>
      </c>
      <c r="E931">
        <v>0.487270996823916</v>
      </c>
      <c r="F931">
        <v>9.7545062798384902E-2</v>
      </c>
      <c r="G931">
        <v>6.9129237296263593E-2</v>
      </c>
      <c r="H931">
        <v>3.1627964952408702E-2</v>
      </c>
      <c r="I931">
        <v>1.5931801779826602E-2</v>
      </c>
      <c r="J931">
        <v>1.8101291439594901E-2</v>
      </c>
      <c r="K931">
        <v>0</v>
      </c>
      <c r="L931">
        <v>1266.06451468722</v>
      </c>
      <c r="M931">
        <v>27.287913908058201</v>
      </c>
      <c r="N931">
        <v>46.453819019653999</v>
      </c>
      <c r="O931">
        <v>46.149505913852998</v>
      </c>
      <c r="P931">
        <v>-0.14537870873172301</v>
      </c>
      <c r="Q931">
        <v>1.65474871382323E-2</v>
      </c>
      <c r="R931">
        <v>0.98798201654276696</v>
      </c>
      <c r="S931" t="s">
        <v>7499</v>
      </c>
      <c r="T931" t="s">
        <v>13134</v>
      </c>
      <c r="U931" t="s">
        <v>13134</v>
      </c>
      <c r="V931" t="s">
        <v>13134</v>
      </c>
      <c r="W931" t="s">
        <v>14053</v>
      </c>
      <c r="X931">
        <v>4</v>
      </c>
      <c r="Z931" t="s">
        <v>26899</v>
      </c>
      <c r="AA931">
        <v>0.3314354101910254</v>
      </c>
      <c r="AB931" t="str">
        <f>HYPERLINK("Melting_Curves/meltCurve_H0Y2U5_.pdf", "Melting_Curves/meltCurve_H0Y2U5_.pdf")</f>
        <v>Melting_Curves/meltCurve_H0Y2U5_.pdf</v>
      </c>
    </row>
    <row r="932" spans="1:28" x14ac:dyDescent="0.25">
      <c r="A932" t="s">
        <v>936</v>
      </c>
      <c r="B932">
        <v>0.99472303558308395</v>
      </c>
      <c r="C932">
        <v>0.94316059489669701</v>
      </c>
      <c r="D932">
        <v>0.78996230405710299</v>
      </c>
      <c r="E932">
        <v>0.72244986464813898</v>
      </c>
      <c r="F932">
        <v>0.79898304128386599</v>
      </c>
      <c r="G932">
        <v>0.37677869663119101</v>
      </c>
      <c r="H932">
        <v>0.17046703332273599</v>
      </c>
      <c r="I932">
        <v>6.1719155952433602E-2</v>
      </c>
      <c r="J932">
        <v>6.7626440747107205E-2</v>
      </c>
      <c r="K932">
        <v>6.2981100224140801E-2</v>
      </c>
      <c r="L932">
        <v>678.93206221491403</v>
      </c>
      <c r="M932">
        <v>13.061780251661199</v>
      </c>
      <c r="N932">
        <v>51.978540572249699</v>
      </c>
      <c r="O932">
        <v>50.805431490053998</v>
      </c>
      <c r="P932">
        <v>-6.4284669364608901E-2</v>
      </c>
      <c r="Q932">
        <v>0</v>
      </c>
      <c r="R932">
        <v>0.94487575859259199</v>
      </c>
      <c r="S932" t="s">
        <v>7500</v>
      </c>
      <c r="T932" t="s">
        <v>13134</v>
      </c>
      <c r="U932" t="s">
        <v>13134</v>
      </c>
      <c r="V932" t="s">
        <v>13134</v>
      </c>
      <c r="W932" t="s">
        <v>14054</v>
      </c>
      <c r="X932">
        <v>23</v>
      </c>
      <c r="Y932" t="s">
        <v>20544</v>
      </c>
      <c r="Z932" t="s">
        <v>26900</v>
      </c>
      <c r="AA932">
        <v>0.52141938340641192</v>
      </c>
      <c r="AB932" t="str">
        <f>HYPERLINK("Melting_Curves/meltCurve_H0Y360_AMPD2.pdf", "Melting_Curves/meltCurve_H0Y360_AMPD2.pdf")</f>
        <v>Melting_Curves/meltCurve_H0Y360_AMPD2.pdf</v>
      </c>
    </row>
    <row r="933" spans="1:28" x14ac:dyDescent="0.25">
      <c r="A933" t="s">
        <v>937</v>
      </c>
      <c r="B933">
        <v>0.99472303558308395</v>
      </c>
      <c r="C933">
        <v>0.84266929238546195</v>
      </c>
      <c r="D933">
        <v>0.69788689280529603</v>
      </c>
      <c r="E933">
        <v>0.65465833872694101</v>
      </c>
      <c r="F933">
        <v>0.60496728045394099</v>
      </c>
      <c r="G933">
        <v>0.35941729376824499</v>
      </c>
      <c r="H933">
        <v>0.189153250356762</v>
      </c>
      <c r="I933">
        <v>0.15264041497203301</v>
      </c>
      <c r="J933">
        <v>0.13923893156022699</v>
      </c>
      <c r="K933">
        <v>0.170246734088107</v>
      </c>
      <c r="L933">
        <v>392.96056344086901</v>
      </c>
      <c r="M933">
        <v>7.8681931309233297</v>
      </c>
      <c r="N933">
        <v>49.942921653300402</v>
      </c>
      <c r="O933">
        <v>47.0254362021603</v>
      </c>
      <c r="P933">
        <v>-4.1879779442812098E-2</v>
      </c>
      <c r="Q933">
        <v>0</v>
      </c>
      <c r="R933">
        <v>0.96165918762889402</v>
      </c>
      <c r="S933" t="s">
        <v>7501</v>
      </c>
      <c r="T933" t="s">
        <v>13134</v>
      </c>
      <c r="U933" t="s">
        <v>13134</v>
      </c>
      <c r="V933" t="s">
        <v>13134</v>
      </c>
      <c r="W933" t="s">
        <v>14055</v>
      </c>
      <c r="X933">
        <v>1</v>
      </c>
      <c r="Y933" t="s">
        <v>20545</v>
      </c>
      <c r="Z933" t="s">
        <v>26901</v>
      </c>
      <c r="AA933">
        <v>0.47298874908924993</v>
      </c>
      <c r="AB933" t="str">
        <f>HYPERLINK("Melting_Curves/meltCurve_H0Y362_SLC30A7.pdf", "Melting_Curves/meltCurve_H0Y362_SLC30A7.pdf")</f>
        <v>Melting_Curves/meltCurve_H0Y362_SLC30A7.pdf</v>
      </c>
    </row>
    <row r="934" spans="1:28" x14ac:dyDescent="0.25">
      <c r="A934" t="s">
        <v>938</v>
      </c>
      <c r="B934">
        <v>0.99472303558308395</v>
      </c>
      <c r="C934">
        <v>0.90241596671799595</v>
      </c>
      <c r="D934">
        <v>0.914982576645755</v>
      </c>
      <c r="E934">
        <v>0.55809399993952902</v>
      </c>
      <c r="F934">
        <v>0.27949024393453598</v>
      </c>
      <c r="G934">
        <v>0.13418820581222099</v>
      </c>
      <c r="H934">
        <v>8.0726935230952104E-2</v>
      </c>
      <c r="I934">
        <v>5.5602657521577899E-2</v>
      </c>
      <c r="J934">
        <v>7.7569226573935293E-2</v>
      </c>
      <c r="K934">
        <v>7.7124900094657001E-2</v>
      </c>
      <c r="L934">
        <v>938.80373430228803</v>
      </c>
      <c r="M934">
        <v>19.962787936869798</v>
      </c>
      <c r="N934">
        <v>47.349459075592897</v>
      </c>
      <c r="O934">
        <v>46.563402252472201</v>
      </c>
      <c r="P934">
        <v>-0.100385431920941</v>
      </c>
      <c r="Q934">
        <v>6.3430620927761402E-2</v>
      </c>
      <c r="R934">
        <v>0.99453719370733196</v>
      </c>
      <c r="S934" t="s">
        <v>7502</v>
      </c>
      <c r="T934" t="s">
        <v>13134</v>
      </c>
      <c r="U934" t="s">
        <v>13134</v>
      </c>
      <c r="V934" t="s">
        <v>13134</v>
      </c>
      <c r="W934" t="s">
        <v>14056</v>
      </c>
      <c r="X934">
        <v>7</v>
      </c>
      <c r="Y934" t="s">
        <v>20546</v>
      </c>
      <c r="Z934" t="s">
        <v>26902</v>
      </c>
      <c r="AA934">
        <v>0.3887918709326928</v>
      </c>
      <c r="AB934" t="str">
        <f>HYPERLINK("Melting_Curves/meltCurve_H0Y384_ODF2.pdf", "Melting_Curves/meltCurve_H0Y384_ODF2.pdf")</f>
        <v>Melting_Curves/meltCurve_H0Y384_ODF2.pdf</v>
      </c>
    </row>
    <row r="935" spans="1:28" x14ac:dyDescent="0.25">
      <c r="A935" t="s">
        <v>939</v>
      </c>
      <c r="B935">
        <v>0.99472303558308395</v>
      </c>
      <c r="C935">
        <v>1.13408747000036</v>
      </c>
      <c r="D935">
        <v>1.0166226999770001</v>
      </c>
      <c r="E935">
        <v>1.0242954130170501</v>
      </c>
      <c r="F935">
        <v>0.82223265900456599</v>
      </c>
      <c r="G935">
        <v>0.53967663088960705</v>
      </c>
      <c r="H935">
        <v>0.29447625277543898</v>
      </c>
      <c r="I935">
        <v>0.26301240538926102</v>
      </c>
      <c r="J935">
        <v>0.27999805566969999</v>
      </c>
      <c r="K935">
        <v>0.27299445425299801</v>
      </c>
      <c r="L935">
        <v>1504.1797984836301</v>
      </c>
      <c r="M935">
        <v>28.603484002205398</v>
      </c>
      <c r="N935">
        <v>53.978475659452798</v>
      </c>
      <c r="O935">
        <v>52.332278720483004</v>
      </c>
      <c r="P935">
        <v>-0.101011456768778</v>
      </c>
      <c r="Q935">
        <v>0.26077298686948702</v>
      </c>
      <c r="R935">
        <v>0.98140823921655795</v>
      </c>
      <c r="S935" t="s">
        <v>7503</v>
      </c>
      <c r="T935" t="s">
        <v>13134</v>
      </c>
      <c r="U935" t="s">
        <v>13134</v>
      </c>
      <c r="V935" t="s">
        <v>13134</v>
      </c>
      <c r="W935" t="s">
        <v>14057</v>
      </c>
      <c r="X935">
        <v>1</v>
      </c>
      <c r="Y935" t="s">
        <v>20547</v>
      </c>
      <c r="Z935" t="s">
        <v>26903</v>
      </c>
      <c r="AA935">
        <v>0.64998768088296399</v>
      </c>
      <c r="AB935" t="str">
        <f>HYPERLINK("Melting_Curves/meltCurve_H0Y3A3_DAB2IP.pdf", "Melting_Curves/meltCurve_H0Y3A3_DAB2IP.pdf")</f>
        <v>Melting_Curves/meltCurve_H0Y3A3_DAB2IP.pdf</v>
      </c>
    </row>
    <row r="936" spans="1:28" x14ac:dyDescent="0.25">
      <c r="A936" t="s">
        <v>940</v>
      </c>
      <c r="B936">
        <v>0.99472303558308395</v>
      </c>
      <c r="C936">
        <v>0.88694053062712597</v>
      </c>
      <c r="D936">
        <v>0.91687793427046704</v>
      </c>
      <c r="E936">
        <v>0.37727372452796598</v>
      </c>
      <c r="F936">
        <v>0.14798408517387401</v>
      </c>
      <c r="G936">
        <v>8.2688458589559199E-2</v>
      </c>
      <c r="H936">
        <v>4.9058569248505601E-2</v>
      </c>
      <c r="I936">
        <v>3.8206964272028597E-2</v>
      </c>
      <c r="J936">
        <v>4.1685506543239902E-2</v>
      </c>
      <c r="K936">
        <v>3.51767865981443E-2</v>
      </c>
      <c r="L936">
        <v>1346.63206422341</v>
      </c>
      <c r="M936">
        <v>29.4280194677021</v>
      </c>
      <c r="N936">
        <v>45.924941254629303</v>
      </c>
      <c r="O936">
        <v>45.550445428185697</v>
      </c>
      <c r="P936">
        <v>-0.15342410574943899</v>
      </c>
      <c r="Q936">
        <v>5.0090590570791398E-2</v>
      </c>
      <c r="R936">
        <v>0.99049378595693305</v>
      </c>
      <c r="S936" t="s">
        <v>7504</v>
      </c>
      <c r="T936" t="s">
        <v>13134</v>
      </c>
      <c r="U936" t="s">
        <v>13134</v>
      </c>
      <c r="V936" t="s">
        <v>13134</v>
      </c>
      <c r="W936" t="s">
        <v>14058</v>
      </c>
      <c r="X936">
        <v>35</v>
      </c>
      <c r="Y936" t="s">
        <v>20548</v>
      </c>
      <c r="Z936" t="s">
        <v>26904</v>
      </c>
      <c r="AA936">
        <v>0.33308432697761092</v>
      </c>
      <c r="AB936" t="str">
        <f>HYPERLINK("Melting_Curves/meltCurve_H0Y3P2_EIF4G2.pdf", "Melting_Curves/meltCurve_H0Y3P2_EIF4G2.pdf")</f>
        <v>Melting_Curves/meltCurve_H0Y3P2_EIF4G2.pdf</v>
      </c>
    </row>
    <row r="937" spans="1:28" x14ac:dyDescent="0.25">
      <c r="A937" t="s">
        <v>941</v>
      </c>
      <c r="B937">
        <v>0.99472303558308395</v>
      </c>
      <c r="C937">
        <v>0.95890210048193603</v>
      </c>
      <c r="D937">
        <v>0.80085002798706395</v>
      </c>
      <c r="E937">
        <v>0.32443617936739899</v>
      </c>
      <c r="F937">
        <v>0.13798296449731101</v>
      </c>
      <c r="G937">
        <v>9.5638191712592399E-2</v>
      </c>
      <c r="H937">
        <v>5.5576314315955097E-2</v>
      </c>
      <c r="I937">
        <v>4.55756956761919E-2</v>
      </c>
      <c r="J937">
        <v>4.1879589367077898E-2</v>
      </c>
      <c r="K937">
        <v>2.81069349775184E-2</v>
      </c>
      <c r="L937">
        <v>1143.0091959932199</v>
      </c>
      <c r="M937">
        <v>25.339672852813401</v>
      </c>
      <c r="N937">
        <v>45.298383542498797</v>
      </c>
      <c r="O937">
        <v>44.829383109527299</v>
      </c>
      <c r="P937">
        <v>-0.13415758789753801</v>
      </c>
      <c r="Q937">
        <v>5.0638935306443901E-2</v>
      </c>
      <c r="R937">
        <v>0.99832007738213402</v>
      </c>
      <c r="S937" t="s">
        <v>7505</v>
      </c>
      <c r="T937" t="s">
        <v>13134</v>
      </c>
      <c r="U937" t="s">
        <v>13134</v>
      </c>
      <c r="V937" t="s">
        <v>13134</v>
      </c>
      <c r="W937" t="s">
        <v>14059</v>
      </c>
      <c r="X937">
        <v>6</v>
      </c>
      <c r="Y937" t="s">
        <v>20549</v>
      </c>
      <c r="Z937" t="s">
        <v>26905</v>
      </c>
      <c r="AA937">
        <v>0.3147850742104506</v>
      </c>
      <c r="AB937" t="str">
        <f>HYPERLINK("Melting_Curves/meltCurve_H0Y4G9_MYD88.pdf", "Melting_Curves/meltCurve_H0Y4G9_MYD88.pdf")</f>
        <v>Melting_Curves/meltCurve_H0Y4G9_MYD88.pdf</v>
      </c>
    </row>
    <row r="938" spans="1:28" x14ac:dyDescent="0.25">
      <c r="A938" t="s">
        <v>942</v>
      </c>
      <c r="B938">
        <v>0.99472303558308395</v>
      </c>
      <c r="C938">
        <v>0.94798494420780499</v>
      </c>
      <c r="D938">
        <v>0.77322286946126995</v>
      </c>
      <c r="E938">
        <v>0.76605298508461706</v>
      </c>
      <c r="F938">
        <v>0.84383359467168695</v>
      </c>
      <c r="G938">
        <v>0.30842590683587001</v>
      </c>
      <c r="H938">
        <v>0.158712227071069</v>
      </c>
      <c r="I938">
        <v>0.114649144220052</v>
      </c>
      <c r="J938">
        <v>0.1277258417778</v>
      </c>
      <c r="K938">
        <v>0.14321302505884301</v>
      </c>
      <c r="S938" t="s">
        <v>7506</v>
      </c>
      <c r="T938" t="s">
        <v>13134</v>
      </c>
      <c r="U938" t="s">
        <v>13135</v>
      </c>
      <c r="V938" t="s">
        <v>13134</v>
      </c>
      <c r="W938" t="s">
        <v>14060</v>
      </c>
      <c r="X938">
        <v>10</v>
      </c>
      <c r="Y938" t="s">
        <v>20550</v>
      </c>
      <c r="Z938" t="s">
        <v>26906</v>
      </c>
      <c r="AB938" t="str">
        <f>HYPERLINK("Melting_Curves/meltCurve_H0Y4R1_IMPDH2.pdf", "Melting_Curves/meltCurve_H0Y4R1_IMPDH2.pdf")</f>
        <v>Melting_Curves/meltCurve_H0Y4R1_IMPDH2.pdf</v>
      </c>
    </row>
    <row r="939" spans="1:28" x14ac:dyDescent="0.25">
      <c r="A939" t="s">
        <v>943</v>
      </c>
      <c r="B939">
        <v>0.99472303558308395</v>
      </c>
      <c r="C939">
        <v>1.0604196979679601</v>
      </c>
      <c r="D939">
        <v>0.83490789777111196</v>
      </c>
      <c r="E939">
        <v>0.69751812696717497</v>
      </c>
      <c r="F939">
        <v>0.328031159988799</v>
      </c>
      <c r="G939">
        <v>0.195490384553062</v>
      </c>
      <c r="H939">
        <v>0.11220192919482699</v>
      </c>
      <c r="I939">
        <v>3.6751806184956597E-2</v>
      </c>
      <c r="J939">
        <v>4.6137694113945603E-2</v>
      </c>
      <c r="K939">
        <v>3.1808490849746102E-2</v>
      </c>
      <c r="L939">
        <v>825.07602922132799</v>
      </c>
      <c r="M939">
        <v>17.081164199622901</v>
      </c>
      <c r="N939">
        <v>48.477878796649698</v>
      </c>
      <c r="O939">
        <v>47.655791612130201</v>
      </c>
      <c r="P939">
        <v>-8.6938823761085193E-2</v>
      </c>
      <c r="Q939">
        <v>2.9834934041444501E-2</v>
      </c>
      <c r="R939">
        <v>0.99052432938124402</v>
      </c>
      <c r="S939" t="s">
        <v>7507</v>
      </c>
      <c r="T939" t="s">
        <v>13134</v>
      </c>
      <c r="U939" t="s">
        <v>13134</v>
      </c>
      <c r="V939" t="s">
        <v>13134</v>
      </c>
      <c r="W939" t="s">
        <v>14061</v>
      </c>
      <c r="X939">
        <v>1</v>
      </c>
      <c r="Y939" t="s">
        <v>20551</v>
      </c>
      <c r="Z939" t="s">
        <v>26907</v>
      </c>
      <c r="AA939">
        <v>0.41237082943337688</v>
      </c>
      <c r="AB939" t="str">
        <f>HYPERLINK("Melting_Curves/meltCurve_H0Y4S7_RBCK1.pdf", "Melting_Curves/meltCurve_H0Y4S7_RBCK1.pdf")</f>
        <v>Melting_Curves/meltCurve_H0Y4S7_RBCK1.pdf</v>
      </c>
    </row>
    <row r="940" spans="1:28" x14ac:dyDescent="0.25">
      <c r="A940" t="s">
        <v>944</v>
      </c>
      <c r="B940">
        <v>0.99472303558308395</v>
      </c>
      <c r="C940">
        <v>0.90442087336689403</v>
      </c>
      <c r="D940">
        <v>0.684030480054034</v>
      </c>
      <c r="E940">
        <v>0.53865015605088995</v>
      </c>
      <c r="F940">
        <v>0.56850738576096005</v>
      </c>
      <c r="G940">
        <v>0.246077467153097</v>
      </c>
      <c r="H940">
        <v>0.13412140245552201</v>
      </c>
      <c r="I940">
        <v>7.7125862608243903E-2</v>
      </c>
      <c r="J940">
        <v>7.4685912774939994E-2</v>
      </c>
      <c r="K940">
        <v>7.0644760560964706E-2</v>
      </c>
      <c r="L940">
        <v>464.48660997210101</v>
      </c>
      <c r="M940">
        <v>9.61778762638186</v>
      </c>
      <c r="N940">
        <v>48.2945617469504</v>
      </c>
      <c r="O940">
        <v>46.345203991062199</v>
      </c>
      <c r="P940">
        <v>-5.1910534264415102E-2</v>
      </c>
      <c r="Q940">
        <v>0</v>
      </c>
      <c r="R940">
        <v>0.96386859159403104</v>
      </c>
      <c r="S940" t="s">
        <v>7508</v>
      </c>
      <c r="T940" t="s">
        <v>13134</v>
      </c>
      <c r="U940" t="s">
        <v>13134</v>
      </c>
      <c r="V940" t="s">
        <v>13134</v>
      </c>
      <c r="W940" t="s">
        <v>14062</v>
      </c>
      <c r="X940">
        <v>18</v>
      </c>
      <c r="Y940" t="s">
        <v>20552</v>
      </c>
      <c r="Z940" t="s">
        <v>26908</v>
      </c>
      <c r="AA940">
        <v>0.41765191970313859</v>
      </c>
      <c r="AB940" t="str">
        <f>HYPERLINK("Melting_Curves/meltCurve_H0Y4W2_TRRAP.pdf", "Melting_Curves/meltCurve_H0Y4W2_TRRAP.pdf")</f>
        <v>Melting_Curves/meltCurve_H0Y4W2_TRRAP.pdf</v>
      </c>
    </row>
    <row r="941" spans="1:28" x14ac:dyDescent="0.25">
      <c r="A941" t="s">
        <v>945</v>
      </c>
      <c r="B941">
        <v>0.99472303558308395</v>
      </c>
      <c r="C941">
        <v>1.0648286604192601</v>
      </c>
      <c r="D941">
        <v>1.0196039904183001</v>
      </c>
      <c r="E941">
        <v>0.930935532056962</v>
      </c>
      <c r="F941">
        <v>0.66467920270074299</v>
      </c>
      <c r="G941">
        <v>0.47403650998810998</v>
      </c>
      <c r="H941">
        <v>0.32688483708702298</v>
      </c>
      <c r="I941">
        <v>8.91064475293918E-2</v>
      </c>
      <c r="J941">
        <v>8.7892313707348096E-2</v>
      </c>
      <c r="K941">
        <v>0.103810800366142</v>
      </c>
      <c r="L941">
        <v>831.45519164549103</v>
      </c>
      <c r="M941">
        <v>15.682526881562101</v>
      </c>
      <c r="N941">
        <v>53.3138954059078</v>
      </c>
      <c r="O941">
        <v>52.178316185784098</v>
      </c>
      <c r="P941">
        <v>-7.2012807966687506E-2</v>
      </c>
      <c r="Q941">
        <v>4.1688017123261999E-2</v>
      </c>
      <c r="R941">
        <v>0.98714625830666503</v>
      </c>
      <c r="S941" t="s">
        <v>7509</v>
      </c>
      <c r="T941" t="s">
        <v>13134</v>
      </c>
      <c r="U941" t="s">
        <v>13134</v>
      </c>
      <c r="V941" t="s">
        <v>13134</v>
      </c>
      <c r="W941" t="s">
        <v>14063</v>
      </c>
      <c r="X941">
        <v>2</v>
      </c>
      <c r="Y941" t="s">
        <v>20553</v>
      </c>
      <c r="Z941" t="s">
        <v>26909</v>
      </c>
      <c r="AA941">
        <v>0.56969759894656491</v>
      </c>
      <c r="AB941" t="str">
        <f>HYPERLINK("Melting_Curves/meltCurve_H0Y547_ATP11A.pdf", "Melting_Curves/meltCurve_H0Y547_ATP11A.pdf")</f>
        <v>Melting_Curves/meltCurve_H0Y547_ATP11A.pdf</v>
      </c>
    </row>
    <row r="942" spans="1:28" x14ac:dyDescent="0.25">
      <c r="A942" t="s">
        <v>946</v>
      </c>
      <c r="B942">
        <v>0.99472303558308395</v>
      </c>
      <c r="C942">
        <v>0.89022463663285001</v>
      </c>
      <c r="D942">
        <v>0.95980505085392598</v>
      </c>
      <c r="E942">
        <v>0.77494443861478002</v>
      </c>
      <c r="F942">
        <v>0.37033478431539701</v>
      </c>
      <c r="G942">
        <v>9.2582714619094605E-2</v>
      </c>
      <c r="H942">
        <v>6.5566942493146096E-2</v>
      </c>
      <c r="I942">
        <v>2.29830642006176E-2</v>
      </c>
      <c r="J942">
        <v>4.9203950392444802E-2</v>
      </c>
      <c r="K942">
        <v>2.24435582293766E-2</v>
      </c>
      <c r="L942">
        <v>1194.3743271481101</v>
      </c>
      <c r="M942">
        <v>24.4420817826595</v>
      </c>
      <c r="N942">
        <v>48.973557875941701</v>
      </c>
      <c r="O942">
        <v>48.541902777285202</v>
      </c>
      <c r="P942">
        <v>-0.12257822316876001</v>
      </c>
      <c r="Q942">
        <v>2.62540795672737E-2</v>
      </c>
      <c r="R942">
        <v>0.992244495366014</v>
      </c>
      <c r="S942" t="s">
        <v>7510</v>
      </c>
      <c r="T942" t="s">
        <v>13134</v>
      </c>
      <c r="U942" t="s">
        <v>13134</v>
      </c>
      <c r="V942" t="s">
        <v>13134</v>
      </c>
      <c r="W942" t="s">
        <v>14064</v>
      </c>
      <c r="X942">
        <v>1</v>
      </c>
      <c r="Y942" t="s">
        <v>20554</v>
      </c>
      <c r="Z942" t="s">
        <v>26910</v>
      </c>
      <c r="AA942">
        <v>0.42016275947474102</v>
      </c>
      <c r="AB942" t="str">
        <f>HYPERLINK("Melting_Curves/meltCurve_H0Y5Y0_PREP.pdf", "Melting_Curves/meltCurve_H0Y5Y0_PREP.pdf")</f>
        <v>Melting_Curves/meltCurve_H0Y5Y0_PREP.pdf</v>
      </c>
    </row>
    <row r="943" spans="1:28" x14ac:dyDescent="0.25">
      <c r="A943" t="s">
        <v>947</v>
      </c>
      <c r="B943">
        <v>0.99472303558308395</v>
      </c>
      <c r="C943">
        <v>0.936656843514449</v>
      </c>
      <c r="D943">
        <v>1.0585259283447199</v>
      </c>
      <c r="E943">
        <v>1.00256592738233</v>
      </c>
      <c r="F943">
        <v>0.63902766307266801</v>
      </c>
      <c r="G943">
        <v>0.57202492471004995</v>
      </c>
      <c r="H943">
        <v>0.30599872895971603</v>
      </c>
      <c r="I943">
        <v>0.26434499153914098</v>
      </c>
      <c r="J943">
        <v>0.19466475955093601</v>
      </c>
      <c r="K943">
        <v>0.115191777626415</v>
      </c>
      <c r="L943">
        <v>830.99384010795995</v>
      </c>
      <c r="M943">
        <v>15.6466660004522</v>
      </c>
      <c r="N943">
        <v>54.086815681279802</v>
      </c>
      <c r="O943">
        <v>52.265115915952201</v>
      </c>
      <c r="P943">
        <v>-6.5636257653821306E-2</v>
      </c>
      <c r="Q943">
        <v>0.12308633834641799</v>
      </c>
      <c r="R943">
        <v>0.97021163697765</v>
      </c>
      <c r="S943" t="s">
        <v>7511</v>
      </c>
      <c r="T943" t="s">
        <v>13134</v>
      </c>
      <c r="U943" t="s">
        <v>13134</v>
      </c>
      <c r="V943" t="s">
        <v>13134</v>
      </c>
      <c r="W943" t="s">
        <v>14065</v>
      </c>
      <c r="X943">
        <v>3</v>
      </c>
      <c r="Y943" t="s">
        <v>20555</v>
      </c>
      <c r="Z943" t="s">
        <v>26911</v>
      </c>
      <c r="AA943">
        <v>0.60887026492035956</v>
      </c>
      <c r="AB943" t="str">
        <f>HYPERLINK("Melting_Curves/meltCurve_H0Y614_UFM1.pdf", "Melting_Curves/meltCurve_H0Y614_UFM1.pdf")</f>
        <v>Melting_Curves/meltCurve_H0Y614_UFM1.pdf</v>
      </c>
    </row>
    <row r="944" spans="1:28" x14ac:dyDescent="0.25">
      <c r="A944" t="s">
        <v>948</v>
      </c>
      <c r="B944">
        <v>0.99472303558308395</v>
      </c>
      <c r="C944">
        <v>0.95152459781204302</v>
      </c>
      <c r="D944">
        <v>0.91057398387116795</v>
      </c>
      <c r="E944">
        <v>0.79365236930225602</v>
      </c>
      <c r="F944">
        <v>0.64791751199810399</v>
      </c>
      <c r="G944">
        <v>0.20499160271018699</v>
      </c>
      <c r="H944">
        <v>0.117470098430346</v>
      </c>
      <c r="I944">
        <v>8.8541606368883793E-2</v>
      </c>
      <c r="J944">
        <v>0.104531216791637</v>
      </c>
      <c r="K944">
        <v>0.105107853033454</v>
      </c>
      <c r="L944">
        <v>1017.65328997783</v>
      </c>
      <c r="M944">
        <v>20.182492480870899</v>
      </c>
      <c r="N944">
        <v>50.797834485802397</v>
      </c>
      <c r="O944">
        <v>49.9353834277291</v>
      </c>
      <c r="P944">
        <v>-9.4048192476084994E-2</v>
      </c>
      <c r="Q944">
        <v>6.9255682355964895E-2</v>
      </c>
      <c r="R944">
        <v>0.98303481811978</v>
      </c>
      <c r="S944" t="s">
        <v>7512</v>
      </c>
      <c r="T944" t="s">
        <v>13134</v>
      </c>
      <c r="U944" t="s">
        <v>13134</v>
      </c>
      <c r="V944" t="s">
        <v>13134</v>
      </c>
      <c r="W944" t="s">
        <v>14066</v>
      </c>
      <c r="X944">
        <v>1</v>
      </c>
      <c r="Y944" t="s">
        <v>20556</v>
      </c>
      <c r="Z944" t="s">
        <v>26912</v>
      </c>
      <c r="AA944">
        <v>0.49773547392649597</v>
      </c>
      <c r="AB944" t="str">
        <f>HYPERLINK("Melting_Curves/meltCurve_H0Y6B2_SUSD1.pdf", "Melting_Curves/meltCurve_H0Y6B2_SUSD1.pdf")</f>
        <v>Melting_Curves/meltCurve_H0Y6B2_SUSD1.pdf</v>
      </c>
    </row>
    <row r="945" spans="1:28" x14ac:dyDescent="0.25">
      <c r="A945" t="s">
        <v>949</v>
      </c>
      <c r="B945">
        <v>0.99472303558308395</v>
      </c>
      <c r="C945">
        <v>0.92134351446731599</v>
      </c>
      <c r="D945">
        <v>0.96205333132066395</v>
      </c>
      <c r="E945">
        <v>0.56452122790899395</v>
      </c>
      <c r="F945">
        <v>0.51534379909957395</v>
      </c>
      <c r="G945">
        <v>0.28139233675647202</v>
      </c>
      <c r="H945">
        <v>0.15283116641813899</v>
      </c>
      <c r="I945">
        <v>0.112092243448889</v>
      </c>
      <c r="J945">
        <v>0.172728680834773</v>
      </c>
      <c r="K945">
        <v>0.12974730065200701</v>
      </c>
      <c r="L945">
        <v>689.88409653135204</v>
      </c>
      <c r="M945">
        <v>14.2675083390991</v>
      </c>
      <c r="N945">
        <v>49.175377019384101</v>
      </c>
      <c r="O945">
        <v>47.433349594679299</v>
      </c>
      <c r="P945">
        <v>-6.7229258718502702E-2</v>
      </c>
      <c r="Q945">
        <v>0.10607599630902199</v>
      </c>
      <c r="R945">
        <v>0.97370716928689705</v>
      </c>
      <c r="S945" t="s">
        <v>7513</v>
      </c>
      <c r="T945" t="s">
        <v>13134</v>
      </c>
      <c r="U945" t="s">
        <v>13134</v>
      </c>
      <c r="V945" t="s">
        <v>13134</v>
      </c>
      <c r="W945" t="s">
        <v>14067</v>
      </c>
      <c r="X945">
        <v>1</v>
      </c>
      <c r="Y945" t="s">
        <v>20557</v>
      </c>
      <c r="Z945" t="s">
        <v>26913</v>
      </c>
      <c r="AA945">
        <v>0.46556404690316727</v>
      </c>
      <c r="AB945" t="str">
        <f>HYPERLINK("Melting_Curves/meltCurve_H0Y6F5_ZHX3.pdf", "Melting_Curves/meltCurve_H0Y6F5_ZHX3.pdf")</f>
        <v>Melting_Curves/meltCurve_H0Y6F5_ZHX3.pdf</v>
      </c>
    </row>
    <row r="946" spans="1:28" x14ac:dyDescent="0.25">
      <c r="A946" t="s">
        <v>950</v>
      </c>
      <c r="B946">
        <v>0.99472303558308395</v>
      </c>
      <c r="C946">
        <v>0.970535103511036</v>
      </c>
      <c r="D946">
        <v>0.95277212222938801</v>
      </c>
      <c r="E946">
        <v>0.55573036743189497</v>
      </c>
      <c r="F946">
        <v>0.24917504868965201</v>
      </c>
      <c r="G946">
        <v>0.144547519918242</v>
      </c>
      <c r="H946">
        <v>0.105782528872021</v>
      </c>
      <c r="I946">
        <v>7.2534471124708205E-2</v>
      </c>
      <c r="J946">
        <v>8.6346583573506497E-2</v>
      </c>
      <c r="K946">
        <v>7.8051369902380999E-2</v>
      </c>
      <c r="L946">
        <v>1172.9812995780601</v>
      </c>
      <c r="M946">
        <v>25.018155106872999</v>
      </c>
      <c r="N946">
        <v>47.252850677330699</v>
      </c>
      <c r="O946">
        <v>46.588727299137197</v>
      </c>
      <c r="P946">
        <v>-0.122379005267196</v>
      </c>
      <c r="Q946">
        <v>8.8437090012426403E-2</v>
      </c>
      <c r="R946">
        <v>0.99759228546943801</v>
      </c>
      <c r="S946" t="s">
        <v>7514</v>
      </c>
      <c r="T946" t="s">
        <v>13134</v>
      </c>
      <c r="U946" t="s">
        <v>13134</v>
      </c>
      <c r="V946" t="s">
        <v>13134</v>
      </c>
      <c r="W946" t="s">
        <v>14068</v>
      </c>
      <c r="X946">
        <v>11</v>
      </c>
      <c r="Y946" t="s">
        <v>20558</v>
      </c>
      <c r="Z946" t="s">
        <v>26914</v>
      </c>
      <c r="AA946">
        <v>0.39643499532337401</v>
      </c>
      <c r="AB946" t="str">
        <f>HYPERLINK("Melting_Curves/meltCurve_H0Y6K2_BRD2.pdf", "Melting_Curves/meltCurve_H0Y6K2_BRD2.pdf")</f>
        <v>Melting_Curves/meltCurve_H0Y6K2_BRD2.pdf</v>
      </c>
    </row>
    <row r="947" spans="1:28" x14ac:dyDescent="0.25">
      <c r="A947" t="s">
        <v>951</v>
      </c>
      <c r="B947">
        <v>0.99472303558308395</v>
      </c>
      <c r="C947">
        <v>1.2039840803950601</v>
      </c>
      <c r="D947">
        <v>0.86280525927612395</v>
      </c>
      <c r="E947">
        <v>0.56722902668049302</v>
      </c>
      <c r="F947">
        <v>0.35437355509873403</v>
      </c>
      <c r="G947">
        <v>0.203601741889092</v>
      </c>
      <c r="H947">
        <v>0.102563860311241</v>
      </c>
      <c r="I947">
        <v>9.5037799630764405E-2</v>
      </c>
      <c r="J947">
        <v>0.122575981715232</v>
      </c>
      <c r="K947">
        <v>0.110106839438996</v>
      </c>
      <c r="L947">
        <v>959.63409547894105</v>
      </c>
      <c r="M947">
        <v>20.338340037609299</v>
      </c>
      <c r="N947">
        <v>47.758347014518002</v>
      </c>
      <c r="O947">
        <v>46.734453423932699</v>
      </c>
      <c r="P947">
        <v>-9.6988239349488706E-2</v>
      </c>
      <c r="Q947">
        <v>0.108569464741488</v>
      </c>
      <c r="R947">
        <v>0.96376590303104104</v>
      </c>
      <c r="S947" t="s">
        <v>7515</v>
      </c>
      <c r="T947" t="s">
        <v>13134</v>
      </c>
      <c r="U947" t="s">
        <v>13134</v>
      </c>
      <c r="V947" t="s">
        <v>13134</v>
      </c>
      <c r="W947" t="s">
        <v>14069</v>
      </c>
      <c r="X947">
        <v>5</v>
      </c>
      <c r="Y947" t="s">
        <v>20559</v>
      </c>
      <c r="Z947" t="s">
        <v>26915</v>
      </c>
      <c r="AA947">
        <v>0.42246729590352289</v>
      </c>
      <c r="AB947" t="str">
        <f>HYPERLINK("Melting_Curves/meltCurve_H0Y6K5_SP3.pdf", "Melting_Curves/meltCurve_H0Y6K5_SP3.pdf")</f>
        <v>Melting_Curves/meltCurve_H0Y6K5_SP3.pdf</v>
      </c>
    </row>
    <row r="948" spans="1:28" x14ac:dyDescent="0.25">
      <c r="A948" t="s">
        <v>952</v>
      </c>
      <c r="B948">
        <v>0.99472303558308395</v>
      </c>
      <c r="C948">
        <v>1.0718067205762001</v>
      </c>
      <c r="D948">
        <v>0.72032991768899002</v>
      </c>
      <c r="E948">
        <v>0.68594988347576102</v>
      </c>
      <c r="F948">
        <v>0.30699321886485398</v>
      </c>
      <c r="G948">
        <v>0.122884412248543</v>
      </c>
      <c r="H948">
        <v>6.8101134477416295E-2</v>
      </c>
      <c r="I948">
        <v>3.9763825645295299E-2</v>
      </c>
      <c r="J948">
        <v>3.53430774815542E-2</v>
      </c>
      <c r="K948">
        <v>3.57341380403094E-2</v>
      </c>
      <c r="L948">
        <v>768.03677011339403</v>
      </c>
      <c r="M948">
        <v>16.074487998885498</v>
      </c>
      <c r="N948">
        <v>47.844589066353301</v>
      </c>
      <c r="O948">
        <v>47.058736583318797</v>
      </c>
      <c r="P948">
        <v>-8.4483831708733401E-2</v>
      </c>
      <c r="Q948">
        <v>1.07563873823227E-2</v>
      </c>
      <c r="R948">
        <v>0.97505028554226303</v>
      </c>
      <c r="S948" t="s">
        <v>7516</v>
      </c>
      <c r="T948" t="s">
        <v>13134</v>
      </c>
      <c r="U948" t="s">
        <v>13134</v>
      </c>
      <c r="V948" t="s">
        <v>13134</v>
      </c>
      <c r="W948" t="s">
        <v>14070</v>
      </c>
      <c r="X948">
        <v>6</v>
      </c>
      <c r="Y948" t="s">
        <v>20560</v>
      </c>
      <c r="Z948" t="s">
        <v>26916</v>
      </c>
      <c r="AA948">
        <v>0.38563533165061642</v>
      </c>
      <c r="AB948" t="str">
        <f>HYPERLINK("Melting_Curves/meltCurve_H0Y6N5_SUN1.pdf", "Melting_Curves/meltCurve_H0Y6N5_SUN1.pdf")</f>
        <v>Melting_Curves/meltCurve_H0Y6N5_SUN1.pdf</v>
      </c>
    </row>
    <row r="949" spans="1:28" x14ac:dyDescent="0.25">
      <c r="A949" t="s">
        <v>953</v>
      </c>
      <c r="B949">
        <v>0.99472303558308395</v>
      </c>
      <c r="C949">
        <v>0.86918045156969903</v>
      </c>
      <c r="D949">
        <v>0.78768333825713399</v>
      </c>
      <c r="E949">
        <v>0.66473178617158801</v>
      </c>
      <c r="F949">
        <v>0.50738429021179599</v>
      </c>
      <c r="G949">
        <v>0.20654025418977501</v>
      </c>
      <c r="H949">
        <v>0.113021283713535</v>
      </c>
      <c r="I949">
        <v>7.5886473117627307E-2</v>
      </c>
      <c r="J949">
        <v>7.3070285368508001E-2</v>
      </c>
      <c r="K949">
        <v>6.3663857189757006E-2</v>
      </c>
      <c r="L949">
        <v>559.15367651782401</v>
      </c>
      <c r="M949">
        <v>11.430688479483999</v>
      </c>
      <c r="N949">
        <v>48.916885249186599</v>
      </c>
      <c r="O949">
        <v>47.491542142756501</v>
      </c>
      <c r="P949">
        <v>-6.0189738640873999E-2</v>
      </c>
      <c r="Q949">
        <v>0</v>
      </c>
      <c r="R949">
        <v>0.98507399386449102</v>
      </c>
      <c r="S949" t="s">
        <v>7517</v>
      </c>
      <c r="T949" t="s">
        <v>13134</v>
      </c>
      <c r="U949" t="s">
        <v>13134</v>
      </c>
      <c r="V949" t="s">
        <v>13134</v>
      </c>
      <c r="W949" t="s">
        <v>14071</v>
      </c>
      <c r="X949">
        <v>3</v>
      </c>
      <c r="Y949" t="s">
        <v>20561</v>
      </c>
      <c r="Z949" t="s">
        <v>26917</v>
      </c>
      <c r="AA949">
        <v>0.42904592260020408</v>
      </c>
      <c r="AB949" t="str">
        <f>HYPERLINK("Melting_Curves/meltCurve_H0Y6Y8_MRPL43.pdf", "Melting_Curves/meltCurve_H0Y6Y8_MRPL43.pdf")</f>
        <v>Melting_Curves/meltCurve_H0Y6Y8_MRPL43.pdf</v>
      </c>
    </row>
    <row r="950" spans="1:28" x14ac:dyDescent="0.25">
      <c r="A950" t="s">
        <v>954</v>
      </c>
      <c r="B950">
        <v>0.99472303558308395</v>
      </c>
      <c r="C950">
        <v>0.9295597587569</v>
      </c>
      <c r="D950">
        <v>0.66971204718841104</v>
      </c>
      <c r="E950">
        <v>0.610294175814318</v>
      </c>
      <c r="F950">
        <v>0.51185302904115904</v>
      </c>
      <c r="G950">
        <v>0.214850792905839</v>
      </c>
      <c r="H950">
        <v>0.13074104736110301</v>
      </c>
      <c r="I950">
        <v>0.116260736886674</v>
      </c>
      <c r="J950">
        <v>0.13788960714625001</v>
      </c>
      <c r="K950">
        <v>0.130381119864828</v>
      </c>
      <c r="L950">
        <v>501.36433074594498</v>
      </c>
      <c r="M950">
        <v>10.4964838471683</v>
      </c>
      <c r="N950">
        <v>48.251527551370501</v>
      </c>
      <c r="O950">
        <v>46.128970543761497</v>
      </c>
      <c r="P950">
        <v>-5.40517834233121E-2</v>
      </c>
      <c r="Q950">
        <v>5.0216707683538898E-2</v>
      </c>
      <c r="R950">
        <v>0.96779235746660497</v>
      </c>
      <c r="S950" t="s">
        <v>7518</v>
      </c>
      <c r="T950" t="s">
        <v>13134</v>
      </c>
      <c r="U950" t="s">
        <v>13134</v>
      </c>
      <c r="V950" t="s">
        <v>13134</v>
      </c>
      <c r="W950" t="s">
        <v>14072</v>
      </c>
      <c r="X950">
        <v>4</v>
      </c>
      <c r="Y950" t="s">
        <v>20562</v>
      </c>
      <c r="Z950" t="s">
        <v>26918</v>
      </c>
      <c r="AA950">
        <v>0.42742665769740568</v>
      </c>
      <c r="AB950" t="str">
        <f>HYPERLINK("Melting_Curves/meltCurve_H0Y720_TNRC6B.pdf", "Melting_Curves/meltCurve_H0Y720_TNRC6B.pdf")</f>
        <v>Melting_Curves/meltCurve_H0Y720_TNRC6B.pdf</v>
      </c>
    </row>
    <row r="951" spans="1:28" x14ac:dyDescent="0.25">
      <c r="A951" t="s">
        <v>955</v>
      </c>
      <c r="B951">
        <v>0.99472303558308395</v>
      </c>
      <c r="C951">
        <v>1.22579053894149</v>
      </c>
      <c r="D951">
        <v>0.83624519436810596</v>
      </c>
      <c r="E951">
        <v>0.83951929785189205</v>
      </c>
      <c r="F951">
        <v>0.58473332855292204</v>
      </c>
      <c r="G951">
        <v>0.28950663860709802</v>
      </c>
      <c r="H951">
        <v>9.4809190011095501E-2</v>
      </c>
      <c r="I951">
        <v>4.5569417108458701E-2</v>
      </c>
      <c r="J951">
        <v>8.5037737276374994E-2</v>
      </c>
      <c r="K951">
        <v>4.9705898010702597E-2</v>
      </c>
      <c r="L951">
        <v>928.72171026165199</v>
      </c>
      <c r="M951">
        <v>18.298807335880401</v>
      </c>
      <c r="N951">
        <v>50.912791070291199</v>
      </c>
      <c r="O951">
        <v>50.158643245030198</v>
      </c>
      <c r="P951">
        <v>-8.8665564288026494E-2</v>
      </c>
      <c r="Q951">
        <v>2.78844566553198E-2</v>
      </c>
      <c r="R951">
        <v>0.95842079361698995</v>
      </c>
      <c r="S951" t="s">
        <v>7519</v>
      </c>
      <c r="T951" t="s">
        <v>13134</v>
      </c>
      <c r="U951" t="s">
        <v>13134</v>
      </c>
      <c r="V951" t="s">
        <v>13134</v>
      </c>
      <c r="W951" t="s">
        <v>13894</v>
      </c>
      <c r="X951">
        <v>2</v>
      </c>
      <c r="Y951" t="s">
        <v>19730</v>
      </c>
      <c r="Z951" t="s">
        <v>26919</v>
      </c>
      <c r="AA951">
        <v>0.48829592961863838</v>
      </c>
      <c r="AB951" t="str">
        <f>HYPERLINK("Melting_Curves/meltCurve_H0Y759_BAG6.pdf", "Melting_Curves/meltCurve_H0Y759_BAG6.pdf")</f>
        <v>Melting_Curves/meltCurve_H0Y759_BAG6.pdf</v>
      </c>
    </row>
    <row r="952" spans="1:28" x14ac:dyDescent="0.25">
      <c r="A952" t="s">
        <v>956</v>
      </c>
      <c r="B952">
        <v>0.99472303558308395</v>
      </c>
      <c r="C952">
        <v>2.92294625953524</v>
      </c>
      <c r="D952">
        <v>1.6535556493371799</v>
      </c>
      <c r="E952">
        <v>1.3176330309392299</v>
      </c>
      <c r="F952">
        <v>1.5228709258847899</v>
      </c>
      <c r="G952">
        <v>1.1357060743383001</v>
      </c>
      <c r="H952">
        <v>0.40984746590708399</v>
      </c>
      <c r="I952">
        <v>0.44983697736211198</v>
      </c>
      <c r="J952">
        <v>0.137960605973828</v>
      </c>
      <c r="K952">
        <v>5.4902147336109201E-2</v>
      </c>
      <c r="L952">
        <v>12792.466581543</v>
      </c>
      <c r="M952">
        <v>223.969491341696</v>
      </c>
      <c r="N952">
        <v>57.260032188604697</v>
      </c>
      <c r="O952">
        <v>57.112461494250901</v>
      </c>
      <c r="P952">
        <v>-0.77035689596782397</v>
      </c>
      <c r="Q952">
        <v>0.214232791359315</v>
      </c>
      <c r="R952">
        <v>0.31978314724988499</v>
      </c>
      <c r="S952" t="s">
        <v>7520</v>
      </c>
      <c r="T952" t="s">
        <v>13134</v>
      </c>
      <c r="U952" t="s">
        <v>13134</v>
      </c>
      <c r="V952" t="s">
        <v>13134</v>
      </c>
      <c r="W952" t="s">
        <v>14073</v>
      </c>
      <c r="X952">
        <v>1</v>
      </c>
      <c r="Y952" t="s">
        <v>20563</v>
      </c>
      <c r="Z952" t="s">
        <v>26920</v>
      </c>
      <c r="AA952">
        <v>0.74124036590489095</v>
      </c>
      <c r="AB952" t="str">
        <f>HYPERLINK("Melting_Curves/meltCurve_H0Y773_IGSF23.pdf", "Melting_Curves/meltCurve_H0Y773_IGSF23.pdf")</f>
        <v>Melting_Curves/meltCurve_H0Y773_IGSF23.pdf</v>
      </c>
    </row>
    <row r="953" spans="1:28" x14ac:dyDescent="0.25">
      <c r="A953" t="s">
        <v>957</v>
      </c>
      <c r="B953">
        <v>0.99472303558308395</v>
      </c>
      <c r="C953">
        <v>0.98251377250361804</v>
      </c>
      <c r="D953">
        <v>0.94548643333900395</v>
      </c>
      <c r="E953">
        <v>0.92875194086773905</v>
      </c>
      <c r="F953">
        <v>0.79443917805338005</v>
      </c>
      <c r="G953">
        <v>0.65859370207169099</v>
      </c>
      <c r="H953">
        <v>0.67042132902506202</v>
      </c>
      <c r="I953">
        <v>0.710304309799483</v>
      </c>
      <c r="J953">
        <v>1.08312938259096</v>
      </c>
      <c r="K953">
        <v>0.78663277931082498</v>
      </c>
      <c r="L953">
        <v>2381.8306828571299</v>
      </c>
      <c r="M953">
        <v>50.442994061941</v>
      </c>
      <c r="O953">
        <v>47.144229463272801</v>
      </c>
      <c r="P953">
        <v>-5.8254281389810703E-2</v>
      </c>
      <c r="Q953">
        <v>0.78222140778848703</v>
      </c>
      <c r="R953">
        <v>0.37657208455384</v>
      </c>
      <c r="S953" t="s">
        <v>7521</v>
      </c>
      <c r="T953" t="s">
        <v>13134</v>
      </c>
      <c r="U953" t="s">
        <v>13134</v>
      </c>
      <c r="V953" t="s">
        <v>13134</v>
      </c>
      <c r="W953" t="s">
        <v>14074</v>
      </c>
      <c r="X953">
        <v>13</v>
      </c>
      <c r="Y953" t="s">
        <v>20564</v>
      </c>
      <c r="Z953" t="s">
        <v>26921</v>
      </c>
      <c r="AA953">
        <v>0.85684433923799685</v>
      </c>
      <c r="AB953" t="str">
        <f>HYPERLINK("Melting_Curves/meltCurve_H0Y7A7_CALM2.pdf", "Melting_Curves/meltCurve_H0Y7A7_CALM2.pdf")</f>
        <v>Melting_Curves/meltCurve_H0Y7A7_CALM2.pdf</v>
      </c>
    </row>
    <row r="954" spans="1:28" x14ac:dyDescent="0.25">
      <c r="A954" t="s">
        <v>958</v>
      </c>
      <c r="B954">
        <v>0.99472303558308395</v>
      </c>
      <c r="C954">
        <v>0.99704602200628201</v>
      </c>
      <c r="D954">
        <v>0.74882603700484995</v>
      </c>
      <c r="E954">
        <v>0.46740235572753602</v>
      </c>
      <c r="F954">
        <v>0.19087671361410599</v>
      </c>
      <c r="G954">
        <v>0.111920160318593</v>
      </c>
      <c r="H954">
        <v>7.0790253496193403E-2</v>
      </c>
      <c r="I954">
        <v>7.3447570816242105E-2</v>
      </c>
      <c r="J954">
        <v>6.0449039494560201E-2</v>
      </c>
      <c r="K954">
        <v>4.2681858654515202E-2</v>
      </c>
      <c r="L954">
        <v>871.81848418170205</v>
      </c>
      <c r="M954">
        <v>19.047496663398999</v>
      </c>
      <c r="N954">
        <v>46.046426175627097</v>
      </c>
      <c r="O954">
        <v>45.275231590071797</v>
      </c>
      <c r="P954">
        <v>-9.9512762357095302E-2</v>
      </c>
      <c r="Q954">
        <v>5.3884284006300701E-2</v>
      </c>
      <c r="R954">
        <v>0.99655101475658703</v>
      </c>
      <c r="S954" t="s">
        <v>7522</v>
      </c>
      <c r="T954" t="s">
        <v>13134</v>
      </c>
      <c r="U954" t="s">
        <v>13134</v>
      </c>
      <c r="V954" t="s">
        <v>13134</v>
      </c>
      <c r="W954" t="s">
        <v>14075</v>
      </c>
      <c r="X954">
        <v>2</v>
      </c>
      <c r="Y954" t="s">
        <v>20565</v>
      </c>
      <c r="Z954" t="s">
        <v>26922</v>
      </c>
      <c r="AA954">
        <v>0.34415853204038682</v>
      </c>
      <c r="AB954" t="str">
        <f>HYPERLINK("Melting_Curves/meltCurve_H0Y7L9_ABCD1.pdf", "Melting_Curves/meltCurve_H0Y7L9_ABCD1.pdf")</f>
        <v>Melting_Curves/meltCurve_H0Y7L9_ABCD1.pdf</v>
      </c>
    </row>
    <row r="955" spans="1:28" x14ac:dyDescent="0.25">
      <c r="A955" t="s">
        <v>959</v>
      </c>
      <c r="B955">
        <v>0.99472303558308395</v>
      </c>
      <c r="C955">
        <v>0.80116023569285</v>
      </c>
      <c r="D955">
        <v>0.79228432782666103</v>
      </c>
      <c r="E955">
        <v>0.66074846381999297</v>
      </c>
      <c r="F955">
        <v>0.48695876096042801</v>
      </c>
      <c r="G955">
        <v>0.19631387535950601</v>
      </c>
      <c r="H955">
        <v>0.10699139070319599</v>
      </c>
      <c r="I955">
        <v>0.10250843600209</v>
      </c>
      <c r="J955">
        <v>9.5293583468747695E-2</v>
      </c>
      <c r="K955">
        <v>6.8417963932835807E-2</v>
      </c>
      <c r="L955">
        <v>517.56628838371398</v>
      </c>
      <c r="M955">
        <v>10.6437992825413</v>
      </c>
      <c r="N955">
        <v>48.626084994322397</v>
      </c>
      <c r="O955">
        <v>47.003863969825602</v>
      </c>
      <c r="P955">
        <v>-5.6632978003361902E-2</v>
      </c>
      <c r="Q955">
        <v>0</v>
      </c>
      <c r="R955">
        <v>0.97498533934800502</v>
      </c>
      <c r="S955" t="s">
        <v>7523</v>
      </c>
      <c r="T955" t="s">
        <v>13134</v>
      </c>
      <c r="U955" t="s">
        <v>13134</v>
      </c>
      <c r="V955" t="s">
        <v>13134</v>
      </c>
      <c r="W955" t="s">
        <v>14076</v>
      </c>
      <c r="X955">
        <v>5</v>
      </c>
      <c r="Y955" t="s">
        <v>20566</v>
      </c>
      <c r="Z955" t="s">
        <v>26923</v>
      </c>
      <c r="AA955">
        <v>0.42302618129923952</v>
      </c>
      <c r="AB955" t="str">
        <f>HYPERLINK("Melting_Curves/meltCurve_H0Y7P7_PISD.pdf", "Melting_Curves/meltCurve_H0Y7P7_PISD.pdf")</f>
        <v>Melting_Curves/meltCurve_H0Y7P7_PISD.pdf</v>
      </c>
    </row>
    <row r="956" spans="1:28" x14ac:dyDescent="0.25">
      <c r="A956" t="s">
        <v>960</v>
      </c>
      <c r="B956">
        <v>0.99472303558308395</v>
      </c>
      <c r="C956">
        <v>0.91216265672099806</v>
      </c>
      <c r="D956">
        <v>0.725568471844935</v>
      </c>
      <c r="E956">
        <v>0.73315603972693399</v>
      </c>
      <c r="F956">
        <v>1.2248179931696399</v>
      </c>
      <c r="G956">
        <v>0.58511658678700795</v>
      </c>
      <c r="H956">
        <v>0.58581657383638597</v>
      </c>
      <c r="I956">
        <v>0.22163055915850199</v>
      </c>
      <c r="J956">
        <v>0.32807177330131398</v>
      </c>
      <c r="K956">
        <v>0.51637112626063697</v>
      </c>
      <c r="L956">
        <v>12832.350545683699</v>
      </c>
      <c r="M956">
        <v>239.399189579639</v>
      </c>
      <c r="N956">
        <v>53.996663206117198</v>
      </c>
      <c r="O956">
        <v>53.598573394159999</v>
      </c>
      <c r="P956">
        <v>-0.65549281133349901</v>
      </c>
      <c r="Q956">
        <v>0.41297245709716401</v>
      </c>
      <c r="R956">
        <v>0.65291837067858305</v>
      </c>
      <c r="S956" t="s">
        <v>7524</v>
      </c>
      <c r="T956" t="s">
        <v>13134</v>
      </c>
      <c r="U956" t="s">
        <v>13134</v>
      </c>
      <c r="V956" t="s">
        <v>13134</v>
      </c>
      <c r="W956" t="s">
        <v>14077</v>
      </c>
      <c r="X956">
        <v>9</v>
      </c>
      <c r="Y956" t="s">
        <v>20567</v>
      </c>
      <c r="Z956" t="s">
        <v>26924</v>
      </c>
      <c r="AA956">
        <v>0.73789986722766054</v>
      </c>
      <c r="AB956" t="str">
        <f>HYPERLINK("Melting_Curves/meltCurve_H0Y7S3_ATP2B2.pdf", "Melting_Curves/meltCurve_H0Y7S3_ATP2B2.pdf")</f>
        <v>Melting_Curves/meltCurve_H0Y7S3_ATP2B2.pdf</v>
      </c>
    </row>
    <row r="957" spans="1:28" x14ac:dyDescent="0.25">
      <c r="A957" t="s">
        <v>961</v>
      </c>
      <c r="B957">
        <v>0.99472303558308395</v>
      </c>
      <c r="C957">
        <v>1.03081684387981</v>
      </c>
      <c r="D957">
        <v>0.93707011135131801</v>
      </c>
      <c r="E957">
        <v>0.79188812604507997</v>
      </c>
      <c r="F957">
        <v>0.70628970665675095</v>
      </c>
      <c r="G957">
        <v>0.409259596265096</v>
      </c>
      <c r="H957">
        <v>0.36229450721921902</v>
      </c>
      <c r="I957">
        <v>0.20107789246438301</v>
      </c>
      <c r="J957">
        <v>0.15815763068420899</v>
      </c>
      <c r="K957">
        <v>0.144098747320314</v>
      </c>
      <c r="L957">
        <v>635.73275475517698</v>
      </c>
      <c r="M957">
        <v>12.1414272068803</v>
      </c>
      <c r="N957">
        <v>53.094661448139398</v>
      </c>
      <c r="O957">
        <v>51.000935013607403</v>
      </c>
      <c r="P957">
        <v>-5.4930065244254998E-2</v>
      </c>
      <c r="Q957">
        <v>7.7261869496798904E-2</v>
      </c>
      <c r="R957">
        <v>0.98915615554385505</v>
      </c>
      <c r="S957" t="s">
        <v>7525</v>
      </c>
      <c r="T957" t="s">
        <v>13134</v>
      </c>
      <c r="U957" t="s">
        <v>13134</v>
      </c>
      <c r="V957" t="s">
        <v>13134</v>
      </c>
      <c r="W957" t="s">
        <v>14078</v>
      </c>
      <c r="X957">
        <v>2</v>
      </c>
      <c r="Y957" t="s">
        <v>20568</v>
      </c>
      <c r="Z957" t="s">
        <v>26925</v>
      </c>
      <c r="AA957">
        <v>0.57062518284985486</v>
      </c>
      <c r="AB957" t="str">
        <f>HYPERLINK("Melting_Curves/meltCurve_H0Y8D0_TMEM222.pdf", "Melting_Curves/meltCurve_H0Y8D0_TMEM222.pdf")</f>
        <v>Melting_Curves/meltCurve_H0Y8D0_TMEM222.pdf</v>
      </c>
    </row>
    <row r="958" spans="1:28" x14ac:dyDescent="0.25">
      <c r="A958" t="s">
        <v>962</v>
      </c>
      <c r="B958">
        <v>0.99472303558308395</v>
      </c>
      <c r="C958">
        <v>1.0509243676467199</v>
      </c>
      <c r="D958">
        <v>0.78671117915389299</v>
      </c>
      <c r="E958">
        <v>0.61943399263621601</v>
      </c>
      <c r="F958">
        <v>0.75095240769774496</v>
      </c>
      <c r="G958">
        <v>0.38613714673265997</v>
      </c>
      <c r="H958">
        <v>0.47453167974981397</v>
      </c>
      <c r="I958">
        <v>0.34997883660200801</v>
      </c>
      <c r="J958">
        <v>0.69216937215820895</v>
      </c>
      <c r="K958">
        <v>1.22753576474843</v>
      </c>
      <c r="L958">
        <v>10733.0329568329</v>
      </c>
      <c r="M958">
        <v>250</v>
      </c>
      <c r="O958">
        <v>42.929385717797899</v>
      </c>
      <c r="P958">
        <v>-0.51980313453443305</v>
      </c>
      <c r="Q958">
        <v>0.64296274275478904</v>
      </c>
      <c r="R958">
        <v>0.29590433173321601</v>
      </c>
      <c r="S958" t="s">
        <v>7526</v>
      </c>
      <c r="T958" t="s">
        <v>13134</v>
      </c>
      <c r="U958" t="s">
        <v>13134</v>
      </c>
      <c r="V958" t="s">
        <v>13134</v>
      </c>
      <c r="W958" t="s">
        <v>14079</v>
      </c>
      <c r="X958">
        <v>7</v>
      </c>
      <c r="Y958" t="s">
        <v>20569</v>
      </c>
      <c r="Z958" t="s">
        <v>26926</v>
      </c>
      <c r="AA958">
        <v>0.71358937971487157</v>
      </c>
      <c r="AB958" t="str">
        <f>HYPERLINK("Melting_Curves/meltCurve_H0Y8F2_TACC3.pdf", "Melting_Curves/meltCurve_H0Y8F2_TACC3.pdf")</f>
        <v>Melting_Curves/meltCurve_H0Y8F2_TACC3.pdf</v>
      </c>
    </row>
    <row r="959" spans="1:28" x14ac:dyDescent="0.25">
      <c r="A959" t="s">
        <v>963</v>
      </c>
      <c r="B959">
        <v>0.99472303558308395</v>
      </c>
      <c r="C959">
        <v>0.88206005739419802</v>
      </c>
      <c r="D959">
        <v>0.79334148272134397</v>
      </c>
      <c r="E959">
        <v>0.90077194411364603</v>
      </c>
      <c r="F959">
        <v>1.0301960301042501</v>
      </c>
      <c r="G959">
        <v>0.573667251192161</v>
      </c>
      <c r="H959">
        <v>0.19046078704516101</v>
      </c>
      <c r="I959">
        <v>7.6418519782657304E-2</v>
      </c>
      <c r="J959">
        <v>7.5376515881465503E-2</v>
      </c>
      <c r="K959">
        <v>8.45549614929062E-2</v>
      </c>
      <c r="L959">
        <v>2306.4963105158099</v>
      </c>
      <c r="M959">
        <v>42.655698305998101</v>
      </c>
      <c r="N959">
        <v>54.308622472385302</v>
      </c>
      <c r="O959">
        <v>53.953968667057403</v>
      </c>
      <c r="P959">
        <v>-0.180914302327809</v>
      </c>
      <c r="Q959">
        <v>8.4668226313139E-2</v>
      </c>
      <c r="R959">
        <v>0.95241566762232699</v>
      </c>
      <c r="S959" t="s">
        <v>7527</v>
      </c>
      <c r="T959" t="s">
        <v>13134</v>
      </c>
      <c r="U959" t="s">
        <v>13134</v>
      </c>
      <c r="V959" t="s">
        <v>13134</v>
      </c>
      <c r="W959" t="s">
        <v>14080</v>
      </c>
      <c r="X959">
        <v>10</v>
      </c>
      <c r="Y959" t="s">
        <v>20570</v>
      </c>
      <c r="Z959" t="s">
        <v>26927</v>
      </c>
      <c r="AA959">
        <v>0.60855472128652321</v>
      </c>
      <c r="AB959" t="str">
        <f>HYPERLINK("Melting_Curves/meltCurve_H0Y8P4_UTP15.pdf", "Melting_Curves/meltCurve_H0Y8P4_UTP15.pdf")</f>
        <v>Melting_Curves/meltCurve_H0Y8P4_UTP15.pdf</v>
      </c>
    </row>
    <row r="960" spans="1:28" x14ac:dyDescent="0.25">
      <c r="A960" t="s">
        <v>964</v>
      </c>
      <c r="B960">
        <v>0.99472303558308395</v>
      </c>
      <c r="C960">
        <v>0.96634467962284998</v>
      </c>
      <c r="D960">
        <v>0.87537317129729197</v>
      </c>
      <c r="E960">
        <v>0.71384137828814098</v>
      </c>
      <c r="F960">
        <v>0.566583356694906</v>
      </c>
      <c r="G960">
        <v>0.32238811405408102</v>
      </c>
      <c r="H960">
        <v>0.25821190533320498</v>
      </c>
      <c r="I960">
        <v>0.13661492234559899</v>
      </c>
      <c r="J960">
        <v>8.6777885955585402E-2</v>
      </c>
      <c r="K960">
        <v>7.1999551658543007E-2</v>
      </c>
      <c r="L960">
        <v>552.121305231831</v>
      </c>
      <c r="M960">
        <v>10.8465435636266</v>
      </c>
      <c r="N960">
        <v>50.902971656562698</v>
      </c>
      <c r="O960">
        <v>49.264364529146597</v>
      </c>
      <c r="P960">
        <v>-5.5062145252124398E-2</v>
      </c>
      <c r="Q960">
        <v>0</v>
      </c>
      <c r="R960">
        <v>0.99682989707583602</v>
      </c>
      <c r="S960" t="s">
        <v>7528</v>
      </c>
      <c r="T960" t="s">
        <v>13134</v>
      </c>
      <c r="U960" t="s">
        <v>13134</v>
      </c>
      <c r="V960" t="s">
        <v>13134</v>
      </c>
      <c r="W960" t="s">
        <v>14081</v>
      </c>
      <c r="X960">
        <v>3</v>
      </c>
      <c r="Y960" t="s">
        <v>20571</v>
      </c>
      <c r="Z960" t="s">
        <v>26928</v>
      </c>
      <c r="AA960">
        <v>0.49228422011551642</v>
      </c>
      <c r="AB960" t="str">
        <f>HYPERLINK("Melting_Curves/meltCurve_H0Y8W3_RGS14.pdf", "Melting_Curves/meltCurve_H0Y8W3_RGS14.pdf")</f>
        <v>Melting_Curves/meltCurve_H0Y8W3_RGS14.pdf</v>
      </c>
    </row>
    <row r="961" spans="1:28" x14ac:dyDescent="0.25">
      <c r="A961" t="s">
        <v>965</v>
      </c>
      <c r="B961">
        <v>0.99472303558308395</v>
      </c>
      <c r="C961">
        <v>0.95363750604483999</v>
      </c>
      <c r="D961">
        <v>1.1045839816449501</v>
      </c>
      <c r="E961">
        <v>0.93439909881385297</v>
      </c>
      <c r="F961">
        <v>0.69364805014017095</v>
      </c>
      <c r="G961">
        <v>0.406218502881732</v>
      </c>
      <c r="H961">
        <v>0.46893243270062801</v>
      </c>
      <c r="I961">
        <v>0.48976004446434501</v>
      </c>
      <c r="J961">
        <v>0.35581253403359198</v>
      </c>
      <c r="K961">
        <v>0.23965278962953601</v>
      </c>
      <c r="L961">
        <v>1589.4304462193199</v>
      </c>
      <c r="M961">
        <v>31.687763308156999</v>
      </c>
      <c r="N961">
        <v>52.486695527697002</v>
      </c>
      <c r="O961">
        <v>49.960634026607501</v>
      </c>
      <c r="P961">
        <v>-9.8731168452068405E-2</v>
      </c>
      <c r="Q961">
        <v>0.37734385380774199</v>
      </c>
      <c r="R961">
        <v>0.93859023136051201</v>
      </c>
      <c r="S961" t="s">
        <v>7529</v>
      </c>
      <c r="T961" t="s">
        <v>13134</v>
      </c>
      <c r="U961" t="s">
        <v>13134</v>
      </c>
      <c r="V961" t="s">
        <v>13134</v>
      </c>
      <c r="W961" t="s">
        <v>14082</v>
      </c>
      <c r="X961">
        <v>8</v>
      </c>
      <c r="Y961" t="s">
        <v>20572</v>
      </c>
      <c r="Z961" t="s">
        <v>26929</v>
      </c>
      <c r="AA961">
        <v>0.65390145386019327</v>
      </c>
      <c r="AB961" t="str">
        <f>HYPERLINK("Melting_Curves/meltCurve_H0Y8X4_DNPH1.pdf", "Melting_Curves/meltCurve_H0Y8X4_DNPH1.pdf")</f>
        <v>Melting_Curves/meltCurve_H0Y8X4_DNPH1.pdf</v>
      </c>
    </row>
    <row r="962" spans="1:28" x14ac:dyDescent="0.25">
      <c r="A962" t="s">
        <v>966</v>
      </c>
      <c r="B962">
        <v>0.99472303558308395</v>
      </c>
      <c r="C962">
        <v>0.98920856340641705</v>
      </c>
      <c r="D962">
        <v>0.826211283328807</v>
      </c>
      <c r="E962">
        <v>0.56554364296637805</v>
      </c>
      <c r="F962">
        <v>0.854357769766661</v>
      </c>
      <c r="G962">
        <v>0.48427755649823201</v>
      </c>
      <c r="H962">
        <v>0.46089845688338199</v>
      </c>
      <c r="I962">
        <v>0.155022601535968</v>
      </c>
      <c r="J962">
        <v>0.218615803219809</v>
      </c>
      <c r="K962">
        <v>0.14750618017233499</v>
      </c>
      <c r="L962">
        <v>428.91904109382801</v>
      </c>
      <c r="M962">
        <v>7.9804130147289296</v>
      </c>
      <c r="N962">
        <v>53.746471554719101</v>
      </c>
      <c r="O962">
        <v>50.686393717981197</v>
      </c>
      <c r="P962">
        <v>-3.9406632405534901E-2</v>
      </c>
      <c r="Q962">
        <v>0</v>
      </c>
      <c r="R962">
        <v>0.88041253154925203</v>
      </c>
      <c r="S962" t="s">
        <v>7530</v>
      </c>
      <c r="T962" t="s">
        <v>13134</v>
      </c>
      <c r="U962" t="s">
        <v>13134</v>
      </c>
      <c r="V962" t="s">
        <v>13134</v>
      </c>
      <c r="W962" t="s">
        <v>14053</v>
      </c>
      <c r="X962">
        <v>1</v>
      </c>
      <c r="Z962" t="s">
        <v>26930</v>
      </c>
      <c r="AA962">
        <v>0.57466330251446884</v>
      </c>
      <c r="AB962" t="str">
        <f>HYPERLINK("Melting_Curves/meltCurve_H0Y9B8_.pdf", "Melting_Curves/meltCurve_H0Y9B8_.pdf")</f>
        <v>Melting_Curves/meltCurve_H0Y9B8_.pdf</v>
      </c>
    </row>
    <row r="963" spans="1:28" x14ac:dyDescent="0.25">
      <c r="A963" t="s">
        <v>967</v>
      </c>
      <c r="B963">
        <v>0.99472303558308395</v>
      </c>
      <c r="C963">
        <v>0.98347342716402597</v>
      </c>
      <c r="D963">
        <v>0.69138581566781898</v>
      </c>
      <c r="E963">
        <v>0.510830317935974</v>
      </c>
      <c r="F963">
        <v>0.29891892613459098</v>
      </c>
      <c r="G963">
        <v>0.13304933823381501</v>
      </c>
      <c r="H963">
        <v>8.3152352782971797E-2</v>
      </c>
      <c r="I963">
        <v>5.9330090309073803E-2</v>
      </c>
      <c r="J963">
        <v>5.0860594324987997E-2</v>
      </c>
      <c r="K963">
        <v>5.9725505383753902E-2</v>
      </c>
      <c r="L963">
        <v>667.85440871325795</v>
      </c>
      <c r="M963">
        <v>14.427011758245101</v>
      </c>
      <c r="N963">
        <v>46.533213533648599</v>
      </c>
      <c r="O963">
        <v>45.429788065759901</v>
      </c>
      <c r="P963">
        <v>-7.6539788209359902E-2</v>
      </c>
      <c r="Q963">
        <v>3.60367181000971E-2</v>
      </c>
      <c r="R963">
        <v>0.99128156842432702</v>
      </c>
      <c r="S963" t="s">
        <v>7531</v>
      </c>
      <c r="T963" t="s">
        <v>13134</v>
      </c>
      <c r="U963" t="s">
        <v>13134</v>
      </c>
      <c r="V963" t="s">
        <v>13134</v>
      </c>
      <c r="W963" t="s">
        <v>14083</v>
      </c>
      <c r="X963">
        <v>1</v>
      </c>
      <c r="Y963" t="s">
        <v>20573</v>
      </c>
      <c r="Z963" t="s">
        <v>26931</v>
      </c>
      <c r="AA963">
        <v>0.35831989401955749</v>
      </c>
      <c r="AB963" t="str">
        <f>HYPERLINK("Melting_Curves/meltCurve_H0Y9G6_MRPL3.pdf", "Melting_Curves/meltCurve_H0Y9G6_MRPL3.pdf")</f>
        <v>Melting_Curves/meltCurve_H0Y9G6_MRPL3.pdf</v>
      </c>
    </row>
    <row r="964" spans="1:28" x14ac:dyDescent="0.25">
      <c r="A964" t="s">
        <v>968</v>
      </c>
      <c r="B964">
        <v>0.99472303558308395</v>
      </c>
      <c r="C964">
        <v>0.94659346016661505</v>
      </c>
      <c r="D964">
        <v>0.71841618215497505</v>
      </c>
      <c r="E964">
        <v>0.33908809913785098</v>
      </c>
      <c r="F964">
        <v>0.23416463277885</v>
      </c>
      <c r="G964">
        <v>8.3931489525139805E-2</v>
      </c>
      <c r="H964">
        <v>0.11706326355003201</v>
      </c>
      <c r="I964">
        <v>6.6899871904482294E-2</v>
      </c>
      <c r="J964">
        <v>0.14189867641038201</v>
      </c>
      <c r="K964">
        <v>3.5361103203633101E-2</v>
      </c>
      <c r="L964">
        <v>905.97092576794603</v>
      </c>
      <c r="M964">
        <v>20.260104035178699</v>
      </c>
      <c r="N964">
        <v>45.1419077624466</v>
      </c>
      <c r="O964">
        <v>44.2881654523867</v>
      </c>
      <c r="P964">
        <v>-0.104440486600178</v>
      </c>
      <c r="Q964">
        <v>8.6809062346509897E-2</v>
      </c>
      <c r="R964">
        <v>0.99049342974605203</v>
      </c>
      <c r="S964" t="s">
        <v>7532</v>
      </c>
      <c r="T964" t="s">
        <v>13134</v>
      </c>
      <c r="U964" t="s">
        <v>13134</v>
      </c>
      <c r="V964" t="s">
        <v>13134</v>
      </c>
      <c r="W964" t="s">
        <v>14084</v>
      </c>
      <c r="X964">
        <v>2</v>
      </c>
      <c r="Y964" t="s">
        <v>20574</v>
      </c>
      <c r="Z964" t="s">
        <v>26932</v>
      </c>
      <c r="AA964">
        <v>0.33342655725052872</v>
      </c>
      <c r="AB964" t="str">
        <f>HYPERLINK("Melting_Curves/meltCurve_H0Y9L4_WHSC1.pdf", "Melting_Curves/meltCurve_H0Y9L4_WHSC1.pdf")</f>
        <v>Melting_Curves/meltCurve_H0Y9L4_WHSC1.pdf</v>
      </c>
    </row>
    <row r="965" spans="1:28" x14ac:dyDescent="0.25">
      <c r="A965" t="s">
        <v>969</v>
      </c>
      <c r="B965">
        <v>0.99472303558308395</v>
      </c>
      <c r="C965">
        <v>0.95601545453813697</v>
      </c>
      <c r="D965">
        <v>0.83047521943734404</v>
      </c>
      <c r="E965">
        <v>0.80167641313164695</v>
      </c>
      <c r="F965">
        <v>0.69242173912015104</v>
      </c>
      <c r="G965">
        <v>0.41530549282886597</v>
      </c>
      <c r="H965">
        <v>0.106256776967683</v>
      </c>
      <c r="I965">
        <v>4.4366532177845301E-2</v>
      </c>
      <c r="J965">
        <v>2.86926106833768E-2</v>
      </c>
      <c r="K965">
        <v>3.9168579776921203E-2</v>
      </c>
      <c r="L965">
        <v>807.16082321104602</v>
      </c>
      <c r="M965">
        <v>15.561148056245401</v>
      </c>
      <c r="N965">
        <v>51.8702398602478</v>
      </c>
      <c r="O965">
        <v>51.036295655698801</v>
      </c>
      <c r="P965">
        <v>-7.6232555763367099E-2</v>
      </c>
      <c r="Q965">
        <v>0</v>
      </c>
      <c r="R965">
        <v>0.97574176966168802</v>
      </c>
      <c r="S965" t="s">
        <v>7533</v>
      </c>
      <c r="T965" t="s">
        <v>13134</v>
      </c>
      <c r="U965" t="s">
        <v>13134</v>
      </c>
      <c r="V965" t="s">
        <v>13134</v>
      </c>
      <c r="W965" t="s">
        <v>14085</v>
      </c>
      <c r="X965">
        <v>11</v>
      </c>
      <c r="Y965" t="s">
        <v>20575</v>
      </c>
      <c r="Z965" t="s">
        <v>26933</v>
      </c>
      <c r="AA965">
        <v>0.51412249743199923</v>
      </c>
      <c r="AB965" t="str">
        <f>HYPERLINK("Melting_Curves/meltCurve_H0Y9S9_PPIP5K2.pdf", "Melting_Curves/meltCurve_H0Y9S9_PPIP5K2.pdf")</f>
        <v>Melting_Curves/meltCurve_H0Y9S9_PPIP5K2.pdf</v>
      </c>
    </row>
    <row r="966" spans="1:28" x14ac:dyDescent="0.25">
      <c r="A966" t="s">
        <v>970</v>
      </c>
      <c r="B966">
        <v>0.99472303558308395</v>
      </c>
      <c r="C966">
        <v>1.0598204985529001</v>
      </c>
      <c r="D966">
        <v>0.83512256470371204</v>
      </c>
      <c r="E966">
        <v>0.71918474851254499</v>
      </c>
      <c r="F966">
        <v>0.44741965099890102</v>
      </c>
      <c r="G966">
        <v>0.234368699433461</v>
      </c>
      <c r="H966">
        <v>0.14583748680413899</v>
      </c>
      <c r="I966">
        <v>0.112687593777741</v>
      </c>
      <c r="J966">
        <v>0.11968260195248499</v>
      </c>
      <c r="K966">
        <v>9.5021093247076596E-2</v>
      </c>
      <c r="L966">
        <v>783.738154453741</v>
      </c>
      <c r="M966">
        <v>16.087559605554802</v>
      </c>
      <c r="N966">
        <v>49.274728150036402</v>
      </c>
      <c r="O966">
        <v>47.982928806540897</v>
      </c>
      <c r="P966">
        <v>-7.6848616579006795E-2</v>
      </c>
      <c r="Q966">
        <v>8.3232328400858105E-2</v>
      </c>
      <c r="R966">
        <v>0.99048792708362898</v>
      </c>
      <c r="S966" t="s">
        <v>7534</v>
      </c>
      <c r="T966" t="s">
        <v>13134</v>
      </c>
      <c r="U966" t="s">
        <v>13134</v>
      </c>
      <c r="V966" t="s">
        <v>13134</v>
      </c>
      <c r="W966" t="s">
        <v>14086</v>
      </c>
      <c r="X966">
        <v>4</v>
      </c>
      <c r="Y966" t="s">
        <v>20576</v>
      </c>
      <c r="Z966" t="s">
        <v>26934</v>
      </c>
      <c r="AA966">
        <v>0.45900426590144899</v>
      </c>
      <c r="AB966" t="str">
        <f>HYPERLINK("Melting_Curves/meltCurve_H0Y9T5_DCP2.pdf", "Melting_Curves/meltCurve_H0Y9T5_DCP2.pdf")</f>
        <v>Melting_Curves/meltCurve_H0Y9T5_DCP2.pdf</v>
      </c>
    </row>
    <row r="967" spans="1:28" x14ac:dyDescent="0.25">
      <c r="A967" t="s">
        <v>971</v>
      </c>
      <c r="B967">
        <v>0.99472303558308395</v>
      </c>
      <c r="C967">
        <v>0.860107887353048</v>
      </c>
      <c r="D967">
        <v>0.97556373503628802</v>
      </c>
      <c r="E967">
        <v>0.63013718525611295</v>
      </c>
      <c r="F967">
        <v>0.32877066639241798</v>
      </c>
      <c r="G967">
        <v>0.176886047908629</v>
      </c>
      <c r="H967">
        <v>9.7745055921724305E-2</v>
      </c>
      <c r="I967">
        <v>6.2081223907221497E-2</v>
      </c>
      <c r="J967">
        <v>7.7496486852263999E-2</v>
      </c>
      <c r="K967">
        <v>5.2145342929199798E-2</v>
      </c>
      <c r="L967">
        <v>918.74655373946905</v>
      </c>
      <c r="M967">
        <v>19.190262749779901</v>
      </c>
      <c r="N967">
        <v>48.189693679044701</v>
      </c>
      <c r="O967">
        <v>47.364874549385803</v>
      </c>
      <c r="P967">
        <v>-9.5339837989357107E-2</v>
      </c>
      <c r="Q967">
        <v>5.8775517924519301E-2</v>
      </c>
      <c r="R967">
        <v>0.98558114072561598</v>
      </c>
      <c r="S967" t="s">
        <v>7535</v>
      </c>
      <c r="T967" t="s">
        <v>13134</v>
      </c>
      <c r="U967" t="s">
        <v>13134</v>
      </c>
      <c r="V967" t="s">
        <v>13134</v>
      </c>
      <c r="W967" t="s">
        <v>14087</v>
      </c>
      <c r="X967">
        <v>9</v>
      </c>
      <c r="Y967" t="s">
        <v>20577</v>
      </c>
      <c r="Z967" t="s">
        <v>26935</v>
      </c>
      <c r="AA967">
        <v>0.41335436211897242</v>
      </c>
      <c r="AB967" t="str">
        <f>HYPERLINK("Melting_Curves/meltCurve_H0Y9X1_TMA16.pdf", "Melting_Curves/meltCurve_H0Y9X1_TMA16.pdf")</f>
        <v>Melting_Curves/meltCurve_H0Y9X1_TMA16.pdf</v>
      </c>
    </row>
    <row r="968" spans="1:28" x14ac:dyDescent="0.25">
      <c r="A968" t="s">
        <v>972</v>
      </c>
      <c r="B968">
        <v>0.99472303558308395</v>
      </c>
      <c r="C968">
        <v>0.99207539266798295</v>
      </c>
      <c r="D968">
        <v>0.993755854513103</v>
      </c>
      <c r="E968">
        <v>0.88175345856821996</v>
      </c>
      <c r="F968">
        <v>0.63371506688610402</v>
      </c>
      <c r="G968">
        <v>0.50769164587922799</v>
      </c>
      <c r="H968">
        <v>0.450264590229985</v>
      </c>
      <c r="I968">
        <v>0.45652951488455201</v>
      </c>
      <c r="J968">
        <v>0.60653737662417395</v>
      </c>
      <c r="K968">
        <v>0.41251256281237803</v>
      </c>
      <c r="L968">
        <v>1427.3101450179399</v>
      </c>
      <c r="M968">
        <v>29.354385465760402</v>
      </c>
      <c r="N968">
        <v>54.618075935648498</v>
      </c>
      <c r="O968">
        <v>48.399425689135001</v>
      </c>
      <c r="P968">
        <v>-7.8836997692334196E-2</v>
      </c>
      <c r="Q968">
        <v>0.480058896094812</v>
      </c>
      <c r="R968">
        <v>0.95872415023969804</v>
      </c>
      <c r="S968" t="s">
        <v>7536</v>
      </c>
      <c r="T968" t="s">
        <v>13134</v>
      </c>
      <c r="U968" t="s">
        <v>13134</v>
      </c>
      <c r="V968" t="s">
        <v>13134</v>
      </c>
      <c r="W968" t="s">
        <v>14088</v>
      </c>
      <c r="X968">
        <v>4</v>
      </c>
      <c r="Y968" t="s">
        <v>20578</v>
      </c>
      <c r="Z968" t="s">
        <v>26936</v>
      </c>
      <c r="AA968">
        <v>0.68476173385400119</v>
      </c>
      <c r="AB968" t="str">
        <f>HYPERLINK("Melting_Curves/meltCurve_H0YA52_PCBD2.pdf", "Melting_Curves/meltCurve_H0YA52_PCBD2.pdf")</f>
        <v>Melting_Curves/meltCurve_H0YA52_PCBD2.pdf</v>
      </c>
    </row>
    <row r="969" spans="1:28" x14ac:dyDescent="0.25">
      <c r="A969" t="s">
        <v>973</v>
      </c>
      <c r="B969">
        <v>0.99472303558308395</v>
      </c>
      <c r="C969">
        <v>0.96225199934134997</v>
      </c>
      <c r="D969">
        <v>0.98595390707001496</v>
      </c>
      <c r="E969">
        <v>0.74661100966093097</v>
      </c>
      <c r="F969">
        <v>0.38789472012008003</v>
      </c>
      <c r="G969">
        <v>0.31677528810515199</v>
      </c>
      <c r="H969">
        <v>0.25028034370820501</v>
      </c>
      <c r="I969">
        <v>0.248213094967356</v>
      </c>
      <c r="J969">
        <v>0.331918712011112</v>
      </c>
      <c r="K969">
        <v>0.34310057662072502</v>
      </c>
      <c r="L969">
        <v>1619.5596528184101</v>
      </c>
      <c r="M969">
        <v>34.169184148647901</v>
      </c>
      <c r="N969">
        <v>48.670973327049502</v>
      </c>
      <c r="O969">
        <v>47.236790872110497</v>
      </c>
      <c r="P969">
        <v>-0.127421942971713</v>
      </c>
      <c r="Q969">
        <v>0.29539086482369897</v>
      </c>
      <c r="R969">
        <v>0.98990633927889604</v>
      </c>
      <c r="S969" t="s">
        <v>7537</v>
      </c>
      <c r="T969" t="s">
        <v>13134</v>
      </c>
      <c r="U969" t="s">
        <v>13134</v>
      </c>
      <c r="V969" t="s">
        <v>13134</v>
      </c>
      <c r="W969" t="s">
        <v>14089</v>
      </c>
      <c r="X969">
        <v>2</v>
      </c>
      <c r="Y969" t="s">
        <v>20579</v>
      </c>
      <c r="Z969" t="s">
        <v>26937</v>
      </c>
      <c r="AA969">
        <v>0.54278743588018652</v>
      </c>
      <c r="AB969" t="str">
        <f>HYPERLINK("Melting_Curves/meltCurve_H0YA61_RBM24.pdf", "Melting_Curves/meltCurve_H0YA61_RBM24.pdf")</f>
        <v>Melting_Curves/meltCurve_H0YA61_RBM24.pdf</v>
      </c>
    </row>
    <row r="970" spans="1:28" x14ac:dyDescent="0.25">
      <c r="A970" t="s">
        <v>974</v>
      </c>
      <c r="B970">
        <v>0.99472303558308395</v>
      </c>
      <c r="C970">
        <v>1.0215788988060199</v>
      </c>
      <c r="D970">
        <v>0.89269237552341396</v>
      </c>
      <c r="E970">
        <v>0.888565198367261</v>
      </c>
      <c r="F970">
        <v>0.62596248857553305</v>
      </c>
      <c r="G970">
        <v>0.31158974852886001</v>
      </c>
      <c r="H970">
        <v>0.19703198160239899</v>
      </c>
      <c r="I970">
        <v>0.152827499111061</v>
      </c>
      <c r="J970">
        <v>0.16719218995622501</v>
      </c>
      <c r="K970">
        <v>0.18972978704572399</v>
      </c>
      <c r="L970">
        <v>1135.18708495487</v>
      </c>
      <c r="M970">
        <v>22.478239652452402</v>
      </c>
      <c r="N970">
        <v>51.3545840625696</v>
      </c>
      <c r="O970">
        <v>50.106999623436799</v>
      </c>
      <c r="P970">
        <v>-9.4681417839042201E-2</v>
      </c>
      <c r="Q970">
        <v>0.15578719286766601</v>
      </c>
      <c r="R970">
        <v>0.99140485615219898</v>
      </c>
      <c r="S970" t="s">
        <v>7538</v>
      </c>
      <c r="T970" t="s">
        <v>13134</v>
      </c>
      <c r="U970" t="s">
        <v>13134</v>
      </c>
      <c r="V970" t="s">
        <v>13134</v>
      </c>
      <c r="W970" t="s">
        <v>14090</v>
      </c>
      <c r="X970">
        <v>2</v>
      </c>
      <c r="Y970" t="s">
        <v>20580</v>
      </c>
      <c r="Z970" t="s">
        <v>26938</v>
      </c>
      <c r="AA970">
        <v>0.54475839524107872</v>
      </c>
      <c r="AB970" t="str">
        <f>HYPERLINK("Melting_Curves/meltCurve_H0YA80_UBE2B.pdf", "Melting_Curves/meltCurve_H0YA80_UBE2B.pdf")</f>
        <v>Melting_Curves/meltCurve_H0YA80_UBE2B.pdf</v>
      </c>
    </row>
    <row r="971" spans="1:28" x14ac:dyDescent="0.25">
      <c r="A971" t="s">
        <v>975</v>
      </c>
      <c r="B971">
        <v>0.99472303558308395</v>
      </c>
      <c r="C971">
        <v>0.87005914674243401</v>
      </c>
      <c r="D971">
        <v>1.0138155971346401</v>
      </c>
      <c r="E971">
        <v>0.64183964730923204</v>
      </c>
      <c r="F971">
        <v>0.162594163881258</v>
      </c>
      <c r="G971">
        <v>8.2231421534733506E-2</v>
      </c>
      <c r="H971">
        <v>3.2750527623417798E-2</v>
      </c>
      <c r="I971">
        <v>4.3751880053126101E-2</v>
      </c>
      <c r="J971">
        <v>3.12315475355937E-2</v>
      </c>
      <c r="K971">
        <v>4.5350669371706398E-2</v>
      </c>
      <c r="L971">
        <v>1643.71693446119</v>
      </c>
      <c r="M971">
        <v>34.7280851313037</v>
      </c>
      <c r="N971">
        <v>47.456396481373503</v>
      </c>
      <c r="O971">
        <v>47.174938017260502</v>
      </c>
      <c r="P971">
        <v>-0.175975761833636</v>
      </c>
      <c r="Q971">
        <v>4.3815353708026E-2</v>
      </c>
      <c r="R971">
        <v>0.98860533901421699</v>
      </c>
      <c r="S971" t="s">
        <v>7539</v>
      </c>
      <c r="T971" t="s">
        <v>13134</v>
      </c>
      <c r="U971" t="s">
        <v>13134</v>
      </c>
      <c r="V971" t="s">
        <v>13134</v>
      </c>
      <c r="W971" t="s">
        <v>14091</v>
      </c>
      <c r="X971">
        <v>2</v>
      </c>
      <c r="Y971" t="s">
        <v>20581</v>
      </c>
      <c r="Z971" t="s">
        <v>26939</v>
      </c>
      <c r="AA971">
        <v>0.37725681697906949</v>
      </c>
      <c r="AB971" t="str">
        <f>HYPERLINK("Melting_Curves/meltCurve_H0YAN3_MSRA.pdf", "Melting_Curves/meltCurve_H0YAN3_MSRA.pdf")</f>
        <v>Melting_Curves/meltCurve_H0YAN3_MSRA.pdf</v>
      </c>
    </row>
    <row r="972" spans="1:28" x14ac:dyDescent="0.25">
      <c r="A972" t="s">
        <v>976</v>
      </c>
      <c r="B972">
        <v>0.99472303558308395</v>
      </c>
      <c r="C972">
        <v>1.11556422361314</v>
      </c>
      <c r="D972">
        <v>0.97068737863790999</v>
      </c>
      <c r="E972">
        <v>0.87255145056907701</v>
      </c>
      <c r="F972">
        <v>0.28073157566784501</v>
      </c>
      <c r="G972">
        <v>0.135014527487099</v>
      </c>
      <c r="H972">
        <v>5.4834228650481702E-2</v>
      </c>
      <c r="I972">
        <v>4.9774211088872998E-2</v>
      </c>
      <c r="J972">
        <v>4.7189435309813697E-2</v>
      </c>
      <c r="K972">
        <v>3.2752825769482199E-2</v>
      </c>
      <c r="L972">
        <v>1842.5000774502901</v>
      </c>
      <c r="M972">
        <v>37.781722870123197</v>
      </c>
      <c r="N972">
        <v>48.919737947701499</v>
      </c>
      <c r="O972">
        <v>48.6309482333074</v>
      </c>
      <c r="P972">
        <v>-0.183420599306622</v>
      </c>
      <c r="Q972">
        <v>5.5639187690969302E-2</v>
      </c>
      <c r="R972">
        <v>0.99098936417374806</v>
      </c>
      <c r="S972" t="s">
        <v>7540</v>
      </c>
      <c r="T972" t="s">
        <v>13134</v>
      </c>
      <c r="U972" t="s">
        <v>13134</v>
      </c>
      <c r="V972" t="s">
        <v>13134</v>
      </c>
      <c r="W972" t="s">
        <v>14092</v>
      </c>
      <c r="X972">
        <v>27</v>
      </c>
      <c r="Y972" t="s">
        <v>20582</v>
      </c>
      <c r="Z972" t="s">
        <v>26940</v>
      </c>
      <c r="AA972">
        <v>0.42961829371696159</v>
      </c>
      <c r="AB972" t="str">
        <f>HYPERLINK("Melting_Curves/meltCurve_H0YAR2_PABPC1.pdf", "Melting_Curves/meltCurve_H0YAR2_PABPC1.pdf")</f>
        <v>Melting_Curves/meltCurve_H0YAR2_PABPC1.pdf</v>
      </c>
    </row>
    <row r="973" spans="1:28" x14ac:dyDescent="0.25">
      <c r="A973" t="s">
        <v>977</v>
      </c>
      <c r="B973">
        <v>0.99472303558308395</v>
      </c>
      <c r="C973">
        <v>1.0477559424387899</v>
      </c>
      <c r="D973">
        <v>0.97852953263961595</v>
      </c>
      <c r="E973">
        <v>0.87262158294585601</v>
      </c>
      <c r="F973">
        <v>0.76283588769041999</v>
      </c>
      <c r="G973">
        <v>0.47735033638873797</v>
      </c>
      <c r="H973">
        <v>0.366361646931326</v>
      </c>
      <c r="I973">
        <v>0.22460537791726601</v>
      </c>
      <c r="J973">
        <v>0.16124009410625101</v>
      </c>
      <c r="K973">
        <v>0.161595044715929</v>
      </c>
      <c r="L973">
        <v>780.89700365131398</v>
      </c>
      <c r="M973">
        <v>14.709867850671101</v>
      </c>
      <c r="N973">
        <v>54.029820992730599</v>
      </c>
      <c r="O973">
        <v>52.134453280443097</v>
      </c>
      <c r="P973">
        <v>-6.2557488323714397E-2</v>
      </c>
      <c r="Q973">
        <v>0.113236147678149</v>
      </c>
      <c r="R973">
        <v>0.99388521032973398</v>
      </c>
      <c r="S973" t="s">
        <v>7541</v>
      </c>
      <c r="T973" t="s">
        <v>13134</v>
      </c>
      <c r="U973" t="s">
        <v>13134</v>
      </c>
      <c r="V973" t="s">
        <v>13134</v>
      </c>
      <c r="W973" t="s">
        <v>14093</v>
      </c>
      <c r="X973">
        <v>1</v>
      </c>
      <c r="Y973" t="s">
        <v>20583</v>
      </c>
      <c r="Z973" t="s">
        <v>26941</v>
      </c>
      <c r="AA973">
        <v>0.60473707651800024</v>
      </c>
      <c r="AB973" t="str">
        <f>HYPERLINK("Melting_Curves/meltCurve_H0YAX0_ZDHHC14.pdf", "Melting_Curves/meltCurve_H0YAX0_ZDHHC14.pdf")</f>
        <v>Melting_Curves/meltCurve_H0YAX0_ZDHHC14.pdf</v>
      </c>
    </row>
    <row r="974" spans="1:28" x14ac:dyDescent="0.25">
      <c r="A974" t="s">
        <v>978</v>
      </c>
      <c r="B974">
        <v>0.99472303558308395</v>
      </c>
      <c r="C974">
        <v>0.91955857597291402</v>
      </c>
      <c r="D974">
        <v>0.72021226350879597</v>
      </c>
      <c r="E974">
        <v>0.462850280237255</v>
      </c>
      <c r="F974">
        <v>0.319637533259232</v>
      </c>
      <c r="G974">
        <v>0.21448895178377</v>
      </c>
      <c r="H974">
        <v>0.15881960884195201</v>
      </c>
      <c r="I974">
        <v>0.110724436380977</v>
      </c>
      <c r="J974">
        <v>0.149742782612165</v>
      </c>
      <c r="K974">
        <v>0.118269338251005</v>
      </c>
      <c r="L974">
        <v>667.08011891035005</v>
      </c>
      <c r="M974">
        <v>14.6753380311537</v>
      </c>
      <c r="N974">
        <v>46.3167317928039</v>
      </c>
      <c r="O974">
        <v>44.636841785465002</v>
      </c>
      <c r="P974">
        <v>-7.2390045253882401E-2</v>
      </c>
      <c r="Q974">
        <v>0.119364100175004</v>
      </c>
      <c r="R974">
        <v>0.996608577688743</v>
      </c>
      <c r="S974" t="s">
        <v>7542</v>
      </c>
      <c r="T974" t="s">
        <v>13134</v>
      </c>
      <c r="U974" t="s">
        <v>13134</v>
      </c>
      <c r="V974" t="s">
        <v>13134</v>
      </c>
      <c r="W974" t="s">
        <v>14094</v>
      </c>
      <c r="X974">
        <v>3</v>
      </c>
      <c r="Y974" t="s">
        <v>20584</v>
      </c>
      <c r="Z974" t="s">
        <v>26942</v>
      </c>
      <c r="AA974">
        <v>0.38910706177787469</v>
      </c>
      <c r="AB974" t="str">
        <f>HYPERLINK("Melting_Curves/meltCurve_H0YB94_STAR.pdf", "Melting_Curves/meltCurve_H0YB94_STAR.pdf")</f>
        <v>Melting_Curves/meltCurve_H0YB94_STAR.pdf</v>
      </c>
    </row>
    <row r="975" spans="1:28" x14ac:dyDescent="0.25">
      <c r="A975" t="s">
        <v>979</v>
      </c>
      <c r="B975">
        <v>0.99472303558308395</v>
      </c>
      <c r="C975">
        <v>0.91954146788986402</v>
      </c>
      <c r="D975">
        <v>0.94327383914167495</v>
      </c>
      <c r="E975">
        <v>0.86986296083430303</v>
      </c>
      <c r="F975">
        <v>0.67698966481674905</v>
      </c>
      <c r="G975">
        <v>0.40959983050207599</v>
      </c>
      <c r="H975">
        <v>0.11926608679728699</v>
      </c>
      <c r="I975">
        <v>6.4584140046184693E-2</v>
      </c>
      <c r="J975">
        <v>6.24212356330823E-2</v>
      </c>
      <c r="K975">
        <v>5.2250233396593501E-2</v>
      </c>
      <c r="L975">
        <v>911.86549424375903</v>
      </c>
      <c r="M975">
        <v>17.490727674541301</v>
      </c>
      <c r="N975">
        <v>52.189463374243097</v>
      </c>
      <c r="O975">
        <v>51.467056544982</v>
      </c>
      <c r="P975">
        <v>-8.4186205050163498E-2</v>
      </c>
      <c r="Q975">
        <v>9.1717668720105797E-3</v>
      </c>
      <c r="R975">
        <v>0.99151011159075997</v>
      </c>
      <c r="S975" t="s">
        <v>7543</v>
      </c>
      <c r="T975" t="s">
        <v>13134</v>
      </c>
      <c r="U975" t="s">
        <v>13134</v>
      </c>
      <c r="V975" t="s">
        <v>13134</v>
      </c>
      <c r="W975" t="s">
        <v>14095</v>
      </c>
      <c r="X975">
        <v>23</v>
      </c>
      <c r="Y975" t="s">
        <v>20585</v>
      </c>
      <c r="Z975" t="s">
        <v>26943</v>
      </c>
      <c r="AA975">
        <v>0.52454181813966627</v>
      </c>
      <c r="AB975" t="str">
        <f>HYPERLINK("Melting_Curves/meltCurve_H0YBP1_PTK2.pdf", "Melting_Curves/meltCurve_H0YBP1_PTK2.pdf")</f>
        <v>Melting_Curves/meltCurve_H0YBP1_PTK2.pdf</v>
      </c>
    </row>
    <row r="976" spans="1:28" x14ac:dyDescent="0.25">
      <c r="A976" t="s">
        <v>980</v>
      </c>
      <c r="B976">
        <v>0.99472303558308395</v>
      </c>
      <c r="C976">
        <v>0.93494932921304097</v>
      </c>
      <c r="D976">
        <v>0.82992651286233299</v>
      </c>
      <c r="E976">
        <v>0.58659972174973996</v>
      </c>
      <c r="F976">
        <v>0.51619985795593104</v>
      </c>
      <c r="G976">
        <v>0.14521876724421301</v>
      </c>
      <c r="H976">
        <v>7.1541045548846105E-2</v>
      </c>
      <c r="I976">
        <v>6.3088754905977998E-2</v>
      </c>
      <c r="J976">
        <v>5.9765376746039503E-2</v>
      </c>
      <c r="K976">
        <v>4.5761715553793297E-2</v>
      </c>
      <c r="L976">
        <v>633.13955652926199</v>
      </c>
      <c r="M976">
        <v>13.0416208933687</v>
      </c>
      <c r="N976">
        <v>48.547612464317503</v>
      </c>
      <c r="O976">
        <v>47.448703029991201</v>
      </c>
      <c r="P976">
        <v>-6.8726306629343994E-2</v>
      </c>
      <c r="Q976">
        <v>0</v>
      </c>
      <c r="R976">
        <v>0.98156995640088296</v>
      </c>
      <c r="S976" t="s">
        <v>7544</v>
      </c>
      <c r="T976" t="s">
        <v>13134</v>
      </c>
      <c r="U976" t="s">
        <v>13134</v>
      </c>
      <c r="V976" t="s">
        <v>13134</v>
      </c>
      <c r="W976" t="s">
        <v>14096</v>
      </c>
      <c r="X976">
        <v>2</v>
      </c>
      <c r="Y976" t="s">
        <v>20586</v>
      </c>
      <c r="Z976" t="s">
        <v>26944</v>
      </c>
      <c r="AA976">
        <v>0.41194400750510152</v>
      </c>
      <c r="AB976" t="str">
        <f>HYPERLINK("Melting_Curves/meltCurve_H0YBR0_TRAPPC9.pdf", "Melting_Curves/meltCurve_H0YBR0_TRAPPC9.pdf")</f>
        <v>Melting_Curves/meltCurve_H0YBR0_TRAPPC9.pdf</v>
      </c>
    </row>
    <row r="977" spans="1:28" x14ac:dyDescent="0.25">
      <c r="A977" t="s">
        <v>981</v>
      </c>
      <c r="B977">
        <v>0.99472303558308395</v>
      </c>
      <c r="C977">
        <v>1.00294603988173</v>
      </c>
      <c r="D977">
        <v>0.99834934311546997</v>
      </c>
      <c r="E977">
        <v>0.83399012684398299</v>
      </c>
      <c r="F977">
        <v>0.42148313755320999</v>
      </c>
      <c r="G977">
        <v>5.4585507064950502E-2</v>
      </c>
      <c r="H977">
        <v>2.57771499849439E-2</v>
      </c>
      <c r="I977">
        <v>1.71922515548148E-2</v>
      </c>
      <c r="J977">
        <v>0</v>
      </c>
      <c r="K977">
        <v>7.1095353379345798E-3</v>
      </c>
      <c r="L977">
        <v>1420.2651158169799</v>
      </c>
      <c r="M977">
        <v>28.702028563379301</v>
      </c>
      <c r="N977">
        <v>49.484702457865097</v>
      </c>
      <c r="O977">
        <v>49.244759753176602</v>
      </c>
      <c r="P977">
        <v>-0.14564418945457899</v>
      </c>
      <c r="Q977">
        <v>4.6697350326844501E-4</v>
      </c>
      <c r="R977">
        <v>0.99862908484624902</v>
      </c>
      <c r="S977" t="s">
        <v>7545</v>
      </c>
      <c r="T977" t="s">
        <v>13134</v>
      </c>
      <c r="U977" t="s">
        <v>13134</v>
      </c>
      <c r="V977" t="s">
        <v>13134</v>
      </c>
      <c r="W977" t="s">
        <v>14097</v>
      </c>
      <c r="X977">
        <v>2</v>
      </c>
      <c r="Y977" t="s">
        <v>20587</v>
      </c>
      <c r="Z977" t="s">
        <v>26945</v>
      </c>
      <c r="AA977">
        <v>0.42301207856665679</v>
      </c>
      <c r="AB977" t="str">
        <f>HYPERLINK("Melting_Curves/meltCurve_H0YBS1_INTS8.pdf", "Melting_Curves/meltCurve_H0YBS1_INTS8.pdf")</f>
        <v>Melting_Curves/meltCurve_H0YBS1_INTS8.pdf</v>
      </c>
    </row>
    <row r="978" spans="1:28" x14ac:dyDescent="0.25">
      <c r="A978" t="s">
        <v>982</v>
      </c>
      <c r="B978">
        <v>0.99472303558308395</v>
      </c>
      <c r="C978">
        <v>0.93628492926807505</v>
      </c>
      <c r="D978">
        <v>0.69448709772334005</v>
      </c>
      <c r="E978">
        <v>0.41597135749942399</v>
      </c>
      <c r="F978">
        <v>0.18313313823341901</v>
      </c>
      <c r="G978">
        <v>9.6117995329488698E-2</v>
      </c>
      <c r="H978">
        <v>5.7979753064436299E-2</v>
      </c>
      <c r="I978">
        <v>4.6255354351139102E-2</v>
      </c>
      <c r="J978">
        <v>4.6763962308780403E-2</v>
      </c>
      <c r="K978">
        <v>5.6309743855948599E-2</v>
      </c>
      <c r="L978">
        <v>785.62007552964701</v>
      </c>
      <c r="M978">
        <v>17.3787721198713</v>
      </c>
      <c r="N978">
        <v>45.432292392177303</v>
      </c>
      <c r="O978">
        <v>44.619909830878598</v>
      </c>
      <c r="P978">
        <v>-9.3335054764154102E-2</v>
      </c>
      <c r="Q978">
        <v>4.1505182008706301E-2</v>
      </c>
      <c r="R978">
        <v>0.99852499419211105</v>
      </c>
      <c r="S978" t="s">
        <v>7546</v>
      </c>
      <c r="T978" t="s">
        <v>13134</v>
      </c>
      <c r="U978" t="s">
        <v>13134</v>
      </c>
      <c r="V978" t="s">
        <v>13134</v>
      </c>
      <c r="W978" t="s">
        <v>14098</v>
      </c>
      <c r="X978">
        <v>5</v>
      </c>
      <c r="Y978" t="s">
        <v>20588</v>
      </c>
      <c r="Z978" t="s">
        <v>26946</v>
      </c>
      <c r="AA978">
        <v>0.32050029990597539</v>
      </c>
      <c r="AB978" t="str">
        <f>HYPERLINK("Melting_Curves/meltCurve_H0YC02_HMBOX1.pdf", "Melting_Curves/meltCurve_H0YC02_HMBOX1.pdf")</f>
        <v>Melting_Curves/meltCurve_H0YC02_HMBOX1.pdf</v>
      </c>
    </row>
    <row r="979" spans="1:28" x14ac:dyDescent="0.25">
      <c r="A979" t="s">
        <v>983</v>
      </c>
      <c r="B979">
        <v>0.99472303558308395</v>
      </c>
      <c r="C979">
        <v>0.96770910064731697</v>
      </c>
      <c r="D979">
        <v>0.93293569472629301</v>
      </c>
      <c r="E979">
        <v>0.808600391260753</v>
      </c>
      <c r="F979">
        <v>0.453190001528393</v>
      </c>
      <c r="G979">
        <v>0.18026010918375401</v>
      </c>
      <c r="H979">
        <v>0.10600726200501399</v>
      </c>
      <c r="I979">
        <v>0.10468409844147999</v>
      </c>
      <c r="J979">
        <v>0.113697841322806</v>
      </c>
      <c r="K979">
        <v>9.1026880592373502E-2</v>
      </c>
      <c r="L979">
        <v>1142.3955719666401</v>
      </c>
      <c r="M979">
        <v>23.221839495516701</v>
      </c>
      <c r="N979">
        <v>49.616879982081301</v>
      </c>
      <c r="O979">
        <v>48.834415794657303</v>
      </c>
      <c r="P979">
        <v>-0.108229525314053</v>
      </c>
      <c r="Q979">
        <v>8.9610381600985695E-2</v>
      </c>
      <c r="R979">
        <v>0.99774500182537595</v>
      </c>
      <c r="S979" t="s">
        <v>7547</v>
      </c>
      <c r="T979" t="s">
        <v>13134</v>
      </c>
      <c r="U979" t="s">
        <v>13134</v>
      </c>
      <c r="V979" t="s">
        <v>13134</v>
      </c>
      <c r="W979" t="s">
        <v>14099</v>
      </c>
      <c r="X979">
        <v>4</v>
      </c>
      <c r="Y979" t="s">
        <v>20589</v>
      </c>
      <c r="Z979" t="s">
        <v>26947</v>
      </c>
      <c r="AA979">
        <v>0.46876772690773999</v>
      </c>
      <c r="AB979" t="str">
        <f>HYPERLINK("Melting_Curves/meltCurve_H0YCB3_ASCC1.pdf", "Melting_Curves/meltCurve_H0YCB3_ASCC1.pdf")</f>
        <v>Melting_Curves/meltCurve_H0YCB3_ASCC1.pdf</v>
      </c>
    </row>
    <row r="980" spans="1:28" x14ac:dyDescent="0.25">
      <c r="A980" t="s">
        <v>984</v>
      </c>
      <c r="B980">
        <v>0.99472303558308395</v>
      </c>
      <c r="C980">
        <v>1.0447292365219001</v>
      </c>
      <c r="D980">
        <v>0.80161116417783496</v>
      </c>
      <c r="E980">
        <v>0.65516056868801598</v>
      </c>
      <c r="F980">
        <v>0.42126108384524202</v>
      </c>
      <c r="G980">
        <v>0.24927712820040701</v>
      </c>
      <c r="H980">
        <v>0.14355593229112101</v>
      </c>
      <c r="I980">
        <v>6.2431329841008E-2</v>
      </c>
      <c r="J980">
        <v>7.9802433557651806E-2</v>
      </c>
      <c r="K980">
        <v>7.2742107276265594E-2</v>
      </c>
      <c r="L980">
        <v>665.39401717485396</v>
      </c>
      <c r="M980">
        <v>13.7052196026624</v>
      </c>
      <c r="N980">
        <v>48.839418891342397</v>
      </c>
      <c r="O980">
        <v>47.551761727442397</v>
      </c>
      <c r="P980">
        <v>-6.9257672329408201E-2</v>
      </c>
      <c r="Q980">
        <v>3.8949852408960303E-2</v>
      </c>
      <c r="R980">
        <v>0.99040210113564198</v>
      </c>
      <c r="S980" t="s">
        <v>7548</v>
      </c>
      <c r="T980" t="s">
        <v>13134</v>
      </c>
      <c r="U980" t="s">
        <v>13134</v>
      </c>
      <c r="V980" t="s">
        <v>13134</v>
      </c>
      <c r="W980" t="s">
        <v>14100</v>
      </c>
      <c r="X980">
        <v>2</v>
      </c>
      <c r="Y980" t="s">
        <v>20590</v>
      </c>
      <c r="Z980" t="s">
        <v>26948</v>
      </c>
      <c r="AA980">
        <v>0.43306707175228432</v>
      </c>
      <c r="AB980" t="str">
        <f>HYPERLINK("Melting_Curves/meltCurve_H0YCY4_GLB1L2.pdf", "Melting_Curves/meltCurve_H0YCY4_GLB1L2.pdf")</f>
        <v>Melting_Curves/meltCurve_H0YCY4_GLB1L2.pdf</v>
      </c>
    </row>
    <row r="981" spans="1:28" x14ac:dyDescent="0.25">
      <c r="A981" t="s">
        <v>985</v>
      </c>
      <c r="B981">
        <v>0.99472303558308395</v>
      </c>
      <c r="C981">
        <v>0.93041110596431598</v>
      </c>
      <c r="D981">
        <v>1.05856460991649</v>
      </c>
      <c r="E981">
        <v>0.79295815782358003</v>
      </c>
      <c r="F981">
        <v>0.62899495315890397</v>
      </c>
      <c r="G981">
        <v>0.48173262969612701</v>
      </c>
      <c r="H981">
        <v>0.39075113748992302</v>
      </c>
      <c r="I981">
        <v>0.38933916633486099</v>
      </c>
      <c r="J981">
        <v>0.38066759664185101</v>
      </c>
      <c r="K981">
        <v>0.51374188090171202</v>
      </c>
      <c r="L981">
        <v>1121.3773128478799</v>
      </c>
      <c r="M981">
        <v>23.113282256705102</v>
      </c>
      <c r="N981">
        <v>52.624517809359403</v>
      </c>
      <c r="O981">
        <v>48.157778166671001</v>
      </c>
      <c r="P981">
        <v>-6.9869702490156796E-2</v>
      </c>
      <c r="Q981">
        <v>0.41770143046533897</v>
      </c>
      <c r="R981">
        <v>0.95575396794934497</v>
      </c>
      <c r="S981" t="s">
        <v>7549</v>
      </c>
      <c r="T981" t="s">
        <v>13134</v>
      </c>
      <c r="U981" t="s">
        <v>13134</v>
      </c>
      <c r="V981" t="s">
        <v>13134</v>
      </c>
      <c r="W981" t="s">
        <v>14101</v>
      </c>
      <c r="X981">
        <v>2</v>
      </c>
      <c r="Y981" t="s">
        <v>20591</v>
      </c>
      <c r="Z981" t="s">
        <v>26949</v>
      </c>
      <c r="AA981">
        <v>0.64706174355321278</v>
      </c>
      <c r="AB981" t="str">
        <f>HYPERLINK("Melting_Curves/meltCurve_H0YD13_CD44.pdf", "Melting_Curves/meltCurve_H0YD13_CD44.pdf")</f>
        <v>Melting_Curves/meltCurve_H0YD13_CD44.pdf</v>
      </c>
    </row>
    <row r="982" spans="1:28" x14ac:dyDescent="0.25">
      <c r="A982" t="s">
        <v>986</v>
      </c>
      <c r="B982">
        <v>0.99472303558308395</v>
      </c>
      <c r="C982">
        <v>1.0359886467962101</v>
      </c>
      <c r="D982">
        <v>0.855702671559744</v>
      </c>
      <c r="E982">
        <v>0.70546977992474602</v>
      </c>
      <c r="F982">
        <v>0.45928949960847099</v>
      </c>
      <c r="G982">
        <v>0.25828508855688798</v>
      </c>
      <c r="H982">
        <v>0.19502150374912799</v>
      </c>
      <c r="I982">
        <v>0.139409891717343</v>
      </c>
      <c r="J982">
        <v>0.18680173526036001</v>
      </c>
      <c r="K982">
        <v>0.15611231103338899</v>
      </c>
      <c r="L982">
        <v>803.37218242963604</v>
      </c>
      <c r="M982">
        <v>16.628971223492901</v>
      </c>
      <c r="N982">
        <v>49.303558418104103</v>
      </c>
      <c r="O982">
        <v>47.629139478195199</v>
      </c>
      <c r="P982">
        <v>-7.4879042285244904E-2</v>
      </c>
      <c r="Q982">
        <v>0.142175531076801</v>
      </c>
      <c r="R982">
        <v>0.99299794750415704</v>
      </c>
      <c r="S982" t="s">
        <v>7550</v>
      </c>
      <c r="T982" t="s">
        <v>13134</v>
      </c>
      <c r="U982" t="s">
        <v>13134</v>
      </c>
      <c r="V982" t="s">
        <v>13134</v>
      </c>
      <c r="W982" t="s">
        <v>14102</v>
      </c>
      <c r="X982">
        <v>1</v>
      </c>
      <c r="Y982" t="s">
        <v>20592</v>
      </c>
      <c r="Z982" t="s">
        <v>26950</v>
      </c>
      <c r="AA982">
        <v>0.48137532135825439</v>
      </c>
      <c r="AB982" t="str">
        <f>HYPERLINK("Melting_Curves/meltCurve_H0YD75_NLK.pdf", "Melting_Curves/meltCurve_H0YD75_NLK.pdf")</f>
        <v>Melting_Curves/meltCurve_H0YD75_NLK.pdf</v>
      </c>
    </row>
    <row r="983" spans="1:28" x14ac:dyDescent="0.25">
      <c r="A983" t="s">
        <v>987</v>
      </c>
      <c r="B983">
        <v>0.99472303558308395</v>
      </c>
      <c r="C983">
        <v>0.92843943843848997</v>
      </c>
      <c r="D983">
        <v>0.846063210862115</v>
      </c>
      <c r="E983">
        <v>0.85432445374421295</v>
      </c>
      <c r="F983">
        <v>2.0355794755553398</v>
      </c>
      <c r="G983">
        <v>0.57436095513126095</v>
      </c>
      <c r="H983">
        <v>0.224435491857846</v>
      </c>
      <c r="I983">
        <v>0.103129253226172</v>
      </c>
      <c r="J983">
        <v>6.98868426149271E-2</v>
      </c>
      <c r="K983">
        <v>0.10144028389203701</v>
      </c>
      <c r="L983">
        <v>13452.951028319099</v>
      </c>
      <c r="M983">
        <v>250</v>
      </c>
      <c r="N983">
        <v>53.8736421333371</v>
      </c>
      <c r="O983">
        <v>53.8083644863652</v>
      </c>
      <c r="P983">
        <v>-1.01666019025898</v>
      </c>
      <c r="Q983">
        <v>0.12472291233680299</v>
      </c>
      <c r="R983">
        <v>0.65710984309682896</v>
      </c>
      <c r="S983" t="s">
        <v>7551</v>
      </c>
      <c r="T983" t="s">
        <v>13134</v>
      </c>
      <c r="U983" t="s">
        <v>13134</v>
      </c>
      <c r="V983" t="s">
        <v>13134</v>
      </c>
      <c r="W983" t="s">
        <v>14103</v>
      </c>
      <c r="X983">
        <v>7</v>
      </c>
      <c r="Y983" t="s">
        <v>20593</v>
      </c>
      <c r="Z983" t="s">
        <v>26951</v>
      </c>
      <c r="AA983">
        <v>0.61530513727795688</v>
      </c>
      <c r="AB983" t="str">
        <f>HYPERLINK("Melting_Curves/meltCurve_H0YDD4_DLAT.pdf", "Melting_Curves/meltCurve_H0YDD4_DLAT.pdf")</f>
        <v>Melting_Curves/meltCurve_H0YDD4_DLAT.pdf</v>
      </c>
    </row>
    <row r="984" spans="1:28" x14ac:dyDescent="0.25">
      <c r="A984" t="s">
        <v>988</v>
      </c>
      <c r="B984">
        <v>0.99472303558308395</v>
      </c>
      <c r="C984">
        <v>0.92166197877453004</v>
      </c>
      <c r="D984">
        <v>0.81468465447518301</v>
      </c>
      <c r="E984">
        <v>0.75236640553450096</v>
      </c>
      <c r="F984">
        <v>0.66535055184973102</v>
      </c>
      <c r="G984">
        <v>0.259621178203855</v>
      </c>
      <c r="H984">
        <v>0.109311365348886</v>
      </c>
      <c r="I984">
        <v>8.2384161001294795E-2</v>
      </c>
      <c r="J984">
        <v>8.0787484886989905E-2</v>
      </c>
      <c r="K984">
        <v>7.2221758009484896E-2</v>
      </c>
      <c r="L984">
        <v>668.48639437034706</v>
      </c>
      <c r="M984">
        <v>13.1813772541779</v>
      </c>
      <c r="N984">
        <v>50.714458946003603</v>
      </c>
      <c r="O984">
        <v>49.589803963664401</v>
      </c>
      <c r="P984">
        <v>-6.6463144128699594E-2</v>
      </c>
      <c r="Q984">
        <v>0</v>
      </c>
      <c r="R984">
        <v>0.970456584545349</v>
      </c>
      <c r="S984" t="s">
        <v>7552</v>
      </c>
      <c r="T984" t="s">
        <v>13134</v>
      </c>
      <c r="U984" t="s">
        <v>13134</v>
      </c>
      <c r="V984" t="s">
        <v>13134</v>
      </c>
      <c r="W984" t="s">
        <v>14104</v>
      </c>
      <c r="X984">
        <v>1</v>
      </c>
      <c r="Y984" t="s">
        <v>20594</v>
      </c>
      <c r="Z984" t="s">
        <v>26952</v>
      </c>
      <c r="AA984">
        <v>0.48113371349824141</v>
      </c>
      <c r="AB984" t="str">
        <f>HYPERLINK("Melting_Curves/meltCurve_H0YDQ1_ALG8.pdf", "Melting_Curves/meltCurve_H0YDQ1_ALG8.pdf")</f>
        <v>Melting_Curves/meltCurve_H0YDQ1_ALG8.pdf</v>
      </c>
    </row>
    <row r="985" spans="1:28" x14ac:dyDescent="0.25">
      <c r="A985" t="s">
        <v>989</v>
      </c>
      <c r="B985">
        <v>0.99472303558308395</v>
      </c>
      <c r="C985">
        <v>1.00251521401975</v>
      </c>
      <c r="D985">
        <v>0.87497518987491596</v>
      </c>
      <c r="E985">
        <v>0.82139259427100897</v>
      </c>
      <c r="F985">
        <v>0.53500613824813503</v>
      </c>
      <c r="G985">
        <v>0.33303791451721099</v>
      </c>
      <c r="H985">
        <v>0.28083686160287402</v>
      </c>
      <c r="I985">
        <v>0.263763262218565</v>
      </c>
      <c r="J985">
        <v>0.326206107431877</v>
      </c>
      <c r="K985">
        <v>0.27761475645980399</v>
      </c>
      <c r="L985">
        <v>1001.50984450346</v>
      </c>
      <c r="M985">
        <v>20.5771596096358</v>
      </c>
      <c r="N985">
        <v>50.594375036262697</v>
      </c>
      <c r="O985">
        <v>48.218268380140202</v>
      </c>
      <c r="P985">
        <v>-7.7743549023074607E-2</v>
      </c>
      <c r="Q985">
        <v>0.27131823347696399</v>
      </c>
      <c r="R985">
        <v>0.98721822150133798</v>
      </c>
      <c r="S985" t="s">
        <v>7553</v>
      </c>
      <c r="T985" t="s">
        <v>13134</v>
      </c>
      <c r="U985" t="s">
        <v>13134</v>
      </c>
      <c r="V985" t="s">
        <v>13134</v>
      </c>
      <c r="W985" t="s">
        <v>14105</v>
      </c>
      <c r="X985">
        <v>1</v>
      </c>
      <c r="Y985" t="s">
        <v>20595</v>
      </c>
      <c r="Z985" t="s">
        <v>26953</v>
      </c>
      <c r="AA985">
        <v>0.56389893283110004</v>
      </c>
      <c r="AB985" t="str">
        <f>HYPERLINK("Melting_Curves/meltCurve_H0YDR5_SIGIRR.pdf", "Melting_Curves/meltCurve_H0YDR5_SIGIRR.pdf")</f>
        <v>Melting_Curves/meltCurve_H0YDR5_SIGIRR.pdf</v>
      </c>
    </row>
    <row r="986" spans="1:28" x14ac:dyDescent="0.25">
      <c r="A986" t="s">
        <v>990</v>
      </c>
      <c r="B986">
        <v>0.99472303558308395</v>
      </c>
      <c r="C986">
        <v>0.94827860008275</v>
      </c>
      <c r="D986">
        <v>1.0099081211231</v>
      </c>
      <c r="E986">
        <v>0.85354678294154995</v>
      </c>
      <c r="F986">
        <v>0.46811983826773301</v>
      </c>
      <c r="G986">
        <v>0.219267802254932</v>
      </c>
      <c r="H986">
        <v>8.3164026129226701E-2</v>
      </c>
      <c r="I986">
        <v>5.5517735135897799E-2</v>
      </c>
      <c r="J986">
        <v>6.7418528133051506E-2</v>
      </c>
      <c r="K986">
        <v>5.6271788477336597E-2</v>
      </c>
      <c r="L986">
        <v>1186.9574531712501</v>
      </c>
      <c r="M986">
        <v>23.826006627930401</v>
      </c>
      <c r="N986">
        <v>50.062693277187101</v>
      </c>
      <c r="O986">
        <v>49.4707671809281</v>
      </c>
      <c r="P986">
        <v>-0.11378128821080701</v>
      </c>
      <c r="Q986">
        <v>5.5023217985093902E-2</v>
      </c>
      <c r="R986">
        <v>0.99716448487020404</v>
      </c>
      <c r="S986" t="s">
        <v>7554</v>
      </c>
      <c r="T986" t="s">
        <v>13134</v>
      </c>
      <c r="U986" t="s">
        <v>13134</v>
      </c>
      <c r="V986" t="s">
        <v>13134</v>
      </c>
      <c r="W986" t="s">
        <v>13563</v>
      </c>
      <c r="X986">
        <v>23</v>
      </c>
      <c r="Y986" t="s">
        <v>20596</v>
      </c>
      <c r="Z986" t="s">
        <v>26954</v>
      </c>
      <c r="AA986">
        <v>0.46780892909278587</v>
      </c>
      <c r="AB986" t="str">
        <f>HYPERLINK("Melting_Curves/meltCurve_H0YDU8_PPP5C.pdf", "Melting_Curves/meltCurve_H0YDU8_PPP5C.pdf")</f>
        <v>Melting_Curves/meltCurve_H0YDU8_PPP5C.pdf</v>
      </c>
    </row>
    <row r="987" spans="1:28" x14ac:dyDescent="0.25">
      <c r="A987" t="s">
        <v>991</v>
      </c>
      <c r="B987">
        <v>0.99472303558308395</v>
      </c>
      <c r="C987">
        <v>0.91300242363337103</v>
      </c>
      <c r="D987">
        <v>0.74686870119212401</v>
      </c>
      <c r="E987">
        <v>0.74375108514862298</v>
      </c>
      <c r="F987">
        <v>1.0403496475048599</v>
      </c>
      <c r="G987">
        <v>0.45026703060761802</v>
      </c>
      <c r="H987">
        <v>0.31911517423791003</v>
      </c>
      <c r="I987">
        <v>0.196975090700552</v>
      </c>
      <c r="J987">
        <v>0.27907937931992899</v>
      </c>
      <c r="K987">
        <v>0.68048679285035496</v>
      </c>
      <c r="L987">
        <v>13347.2078234978</v>
      </c>
      <c r="M987">
        <v>250</v>
      </c>
      <c r="N987">
        <v>53.676291450272402</v>
      </c>
      <c r="O987">
        <v>53.385414678328402</v>
      </c>
      <c r="P987">
        <v>-0.73883230077043605</v>
      </c>
      <c r="Q987">
        <v>0.36891409966986499</v>
      </c>
      <c r="R987">
        <v>0.67505078863763901</v>
      </c>
      <c r="S987" t="s">
        <v>7555</v>
      </c>
      <c r="T987" t="s">
        <v>13134</v>
      </c>
      <c r="U987" t="s">
        <v>13134</v>
      </c>
      <c r="V987" t="s">
        <v>13134</v>
      </c>
      <c r="W987" t="s">
        <v>14106</v>
      </c>
      <c r="X987">
        <v>8</v>
      </c>
      <c r="Y987" t="s">
        <v>20597</v>
      </c>
      <c r="Z987" t="s">
        <v>26955</v>
      </c>
      <c r="AA987">
        <v>0.71373190867041447</v>
      </c>
      <c r="AB987" t="str">
        <f>HYPERLINK("Melting_Curves/meltCurve_H0YEB6_SSSCA1.pdf", "Melting_Curves/meltCurve_H0YEB6_SSSCA1.pdf")</f>
        <v>Melting_Curves/meltCurve_H0YEB6_SSSCA1.pdf</v>
      </c>
    </row>
    <row r="988" spans="1:28" x14ac:dyDescent="0.25">
      <c r="A988" t="s">
        <v>992</v>
      </c>
      <c r="B988">
        <v>0.99472303558308395</v>
      </c>
      <c r="C988">
        <v>0.82497857006492303</v>
      </c>
      <c r="D988">
        <v>1.0982912296679801</v>
      </c>
      <c r="E988">
        <v>0.76482911306851598</v>
      </c>
      <c r="F988">
        <v>0.17403336690403501</v>
      </c>
      <c r="G988">
        <v>8.28732311060138E-2</v>
      </c>
      <c r="H988">
        <v>8.2590856230228299E-2</v>
      </c>
      <c r="I988">
        <v>5.2059219886968801E-2</v>
      </c>
      <c r="J988">
        <v>6.4446719784004E-2</v>
      </c>
      <c r="K988">
        <v>3.3813381697779497E-2</v>
      </c>
      <c r="L988">
        <v>2083.8937734616102</v>
      </c>
      <c r="M988">
        <v>43.577877325472699</v>
      </c>
      <c r="N988">
        <v>47.966678759026699</v>
      </c>
      <c r="O988">
        <v>47.719619851952601</v>
      </c>
      <c r="P988">
        <v>-0.21405991534325899</v>
      </c>
      <c r="Q988">
        <v>6.2382715881055498E-2</v>
      </c>
      <c r="R988">
        <v>0.97557455421905004</v>
      </c>
      <c r="S988" t="s">
        <v>7556</v>
      </c>
      <c r="T988" t="s">
        <v>13134</v>
      </c>
      <c r="U988" t="s">
        <v>13134</v>
      </c>
      <c r="V988" t="s">
        <v>13134</v>
      </c>
      <c r="W988" t="s">
        <v>14107</v>
      </c>
      <c r="X988">
        <v>5</v>
      </c>
      <c r="Y988" t="s">
        <v>20598</v>
      </c>
      <c r="Z988" t="s">
        <v>26956</v>
      </c>
      <c r="AA988">
        <v>0.40315789514612288</v>
      </c>
      <c r="AB988" t="str">
        <f>HYPERLINK("Melting_Curves/meltCurve_H0YEF3_RNASEH2C.pdf", "Melting_Curves/meltCurve_H0YEF3_RNASEH2C.pdf")</f>
        <v>Melting_Curves/meltCurve_H0YEF3_RNASEH2C.pdf</v>
      </c>
    </row>
    <row r="989" spans="1:28" x14ac:dyDescent="0.25">
      <c r="A989" t="s">
        <v>993</v>
      </c>
      <c r="B989">
        <v>0.99472303558308395</v>
      </c>
      <c r="C989">
        <v>1.0163549670932699</v>
      </c>
      <c r="D989">
        <v>0.70017113024236499</v>
      </c>
      <c r="E989">
        <v>0.49912045443964098</v>
      </c>
      <c r="F989">
        <v>0.219020064578792</v>
      </c>
      <c r="G989">
        <v>0.113884776556779</v>
      </c>
      <c r="H989">
        <v>6.6347722586440394E-2</v>
      </c>
      <c r="I989">
        <v>3.9463456403812401E-2</v>
      </c>
      <c r="J989">
        <v>7.1993831330061306E-2</v>
      </c>
      <c r="K989">
        <v>6.6558662959780607E-2</v>
      </c>
      <c r="L989">
        <v>792.97834588661203</v>
      </c>
      <c r="M989">
        <v>17.2813023740222</v>
      </c>
      <c r="N989">
        <v>46.1587195182721</v>
      </c>
      <c r="O989">
        <v>45.285270243699799</v>
      </c>
      <c r="P989">
        <v>-9.0785596614908995E-2</v>
      </c>
      <c r="Q989">
        <v>4.8448559123242502E-2</v>
      </c>
      <c r="R989">
        <v>0.98951324131359297</v>
      </c>
      <c r="S989" t="s">
        <v>7557</v>
      </c>
      <c r="T989" t="s">
        <v>13134</v>
      </c>
      <c r="U989" t="s">
        <v>13134</v>
      </c>
      <c r="V989" t="s">
        <v>13134</v>
      </c>
      <c r="W989" t="s">
        <v>14108</v>
      </c>
      <c r="X989">
        <v>8</v>
      </c>
      <c r="Y989" t="s">
        <v>20599</v>
      </c>
      <c r="Z989" t="s">
        <v>26957</v>
      </c>
      <c r="AA989">
        <v>0.34701540284873211</v>
      </c>
      <c r="AB989" t="str">
        <f>HYPERLINK("Melting_Curves/meltCurve_H0YEN0_RIC8A.pdf", "Melting_Curves/meltCurve_H0YEN0_RIC8A.pdf")</f>
        <v>Melting_Curves/meltCurve_H0YEN0_RIC8A.pdf</v>
      </c>
    </row>
    <row r="990" spans="1:28" x14ac:dyDescent="0.25">
      <c r="A990" t="s">
        <v>994</v>
      </c>
      <c r="B990">
        <v>0.99472303558308395</v>
      </c>
      <c r="C990">
        <v>0.97476431249713202</v>
      </c>
      <c r="D990">
        <v>0.74229257498672196</v>
      </c>
      <c r="E990">
        <v>0.55647958856538005</v>
      </c>
      <c r="F990">
        <v>0.36523545537801</v>
      </c>
      <c r="G990">
        <v>0.19560733742273201</v>
      </c>
      <c r="H990">
        <v>7.1802597612745406E-2</v>
      </c>
      <c r="I990">
        <v>3.99819490349742E-2</v>
      </c>
      <c r="J990">
        <v>7.9616645125159299E-2</v>
      </c>
      <c r="K990">
        <v>8.5521421220342606E-2</v>
      </c>
      <c r="L990">
        <v>636.66419390758097</v>
      </c>
      <c r="M990">
        <v>13.498581163714499</v>
      </c>
      <c r="N990">
        <v>47.4158713186673</v>
      </c>
      <c r="O990">
        <v>46.166229631031797</v>
      </c>
      <c r="P990">
        <v>-7.0591808551591306E-2</v>
      </c>
      <c r="Q990">
        <v>3.4428795839674502E-2</v>
      </c>
      <c r="R990">
        <v>0.99112825448199804</v>
      </c>
      <c r="S990" t="s">
        <v>7558</v>
      </c>
      <c r="T990" t="s">
        <v>13134</v>
      </c>
      <c r="U990" t="s">
        <v>13134</v>
      </c>
      <c r="V990" t="s">
        <v>13134</v>
      </c>
      <c r="W990" t="s">
        <v>14109</v>
      </c>
      <c r="X990">
        <v>4</v>
      </c>
      <c r="Y990" t="s">
        <v>20600</v>
      </c>
      <c r="Z990" t="s">
        <v>26958</v>
      </c>
      <c r="AA990">
        <v>0.38759648335386188</v>
      </c>
      <c r="AB990" t="str">
        <f>HYPERLINK("Melting_Curves/meltCurve_H0YER1_RSF1.pdf", "Melting_Curves/meltCurve_H0YER1_RSF1.pdf")</f>
        <v>Melting_Curves/meltCurve_H0YER1_RSF1.pdf</v>
      </c>
    </row>
    <row r="991" spans="1:28" x14ac:dyDescent="0.25">
      <c r="A991" t="s">
        <v>995</v>
      </c>
      <c r="B991">
        <v>0.99472303558308395</v>
      </c>
      <c r="C991">
        <v>0.87150635592863801</v>
      </c>
      <c r="D991">
        <v>0.59423149505885198</v>
      </c>
      <c r="E991">
        <v>0.38778584376971797</v>
      </c>
      <c r="F991">
        <v>0.19547711525507999</v>
      </c>
      <c r="G991">
        <v>6.2875900279513994E-2</v>
      </c>
      <c r="H991">
        <v>4.7509260213161701E-2</v>
      </c>
      <c r="I991">
        <v>2.42996975847702E-2</v>
      </c>
      <c r="J991">
        <v>7.3828073841670097E-3</v>
      </c>
      <c r="K991">
        <v>2.6962289374362701E-2</v>
      </c>
      <c r="L991">
        <v>645.05639297177299</v>
      </c>
      <c r="M991">
        <v>14.4235539144152</v>
      </c>
      <c r="N991">
        <v>44.758938865095502</v>
      </c>
      <c r="O991">
        <v>43.889122111378398</v>
      </c>
      <c r="P991">
        <v>-8.16882389540977E-2</v>
      </c>
      <c r="Q991">
        <v>5.8475572589537098E-3</v>
      </c>
      <c r="R991">
        <v>0.99504111211782398</v>
      </c>
      <c r="S991" t="s">
        <v>7559</v>
      </c>
      <c r="T991" t="s">
        <v>13134</v>
      </c>
      <c r="U991" t="s">
        <v>13134</v>
      </c>
      <c r="V991" t="s">
        <v>13134</v>
      </c>
      <c r="W991" t="s">
        <v>14110</v>
      </c>
      <c r="X991">
        <v>2</v>
      </c>
      <c r="Y991" t="s">
        <v>20601</v>
      </c>
      <c r="Z991" t="s">
        <v>26959</v>
      </c>
      <c r="AA991">
        <v>0.28760646438016341</v>
      </c>
      <c r="AB991" t="str">
        <f>HYPERLINK("Melting_Curves/meltCurve_H0YF22_RCOR3.pdf", "Melting_Curves/meltCurve_H0YF22_RCOR3.pdf")</f>
        <v>Melting_Curves/meltCurve_H0YF22_RCOR3.pdf</v>
      </c>
    </row>
    <row r="992" spans="1:28" x14ac:dyDescent="0.25">
      <c r="A992" t="s">
        <v>996</v>
      </c>
      <c r="B992">
        <v>0.99472303558308395</v>
      </c>
      <c r="C992">
        <v>0.98120938340983699</v>
      </c>
      <c r="D992">
        <v>0.99940426868828502</v>
      </c>
      <c r="E992">
        <v>0.933424182534903</v>
      </c>
      <c r="F992">
        <v>0.77240683125607701</v>
      </c>
      <c r="G992">
        <v>0.58142727841201003</v>
      </c>
      <c r="H992">
        <v>0.29650018102772402</v>
      </c>
      <c r="I992">
        <v>0.13694210306783799</v>
      </c>
      <c r="J992">
        <v>0.14917832708470399</v>
      </c>
      <c r="K992">
        <v>0.13645116236361099</v>
      </c>
      <c r="L992">
        <v>964.21712006239704</v>
      </c>
      <c r="M992">
        <v>17.940476427195701</v>
      </c>
      <c r="N992">
        <v>54.3268889537162</v>
      </c>
      <c r="O992">
        <v>53.090939171322702</v>
      </c>
      <c r="P992">
        <v>-7.71032436460099E-2</v>
      </c>
      <c r="Q992">
        <v>8.7364703722318499E-2</v>
      </c>
      <c r="R992">
        <v>0.99537485910397805</v>
      </c>
      <c r="S992" t="s">
        <v>7560</v>
      </c>
      <c r="T992" t="s">
        <v>13134</v>
      </c>
      <c r="U992" t="s">
        <v>13134</v>
      </c>
      <c r="V992" t="s">
        <v>13134</v>
      </c>
      <c r="W992" t="s">
        <v>14111</v>
      </c>
      <c r="X992">
        <v>4</v>
      </c>
      <c r="Y992" t="s">
        <v>20602</v>
      </c>
      <c r="Z992" t="s">
        <v>26960</v>
      </c>
      <c r="AA992">
        <v>0.60955886464383879</v>
      </c>
      <c r="AB992" t="str">
        <f>HYPERLINK("Melting_Curves/meltCurve_H0YF29_C8orf82.pdf", "Melting_Curves/meltCurve_H0YF29_C8orf82.pdf")</f>
        <v>Melting_Curves/meltCurve_H0YF29_C8orf82.pdf</v>
      </c>
    </row>
    <row r="993" spans="1:28" x14ac:dyDescent="0.25">
      <c r="A993" t="s">
        <v>997</v>
      </c>
      <c r="B993">
        <v>0.99472303558308395</v>
      </c>
      <c r="C993">
        <v>1.1386038894344199</v>
      </c>
      <c r="D993">
        <v>1.21462030871952</v>
      </c>
      <c r="E993">
        <v>0.81664851813035799</v>
      </c>
      <c r="F993">
        <v>0.71803118329018201</v>
      </c>
      <c r="G993">
        <v>0.38057454320858802</v>
      </c>
      <c r="H993">
        <v>0.11275143915536</v>
      </c>
      <c r="I993">
        <v>8.4314696546607004E-2</v>
      </c>
      <c r="J993">
        <v>0</v>
      </c>
      <c r="K993">
        <v>0</v>
      </c>
      <c r="L993">
        <v>1061.6419809348699</v>
      </c>
      <c r="M993">
        <v>20.292065887825601</v>
      </c>
      <c r="N993">
        <v>52.318084748497697</v>
      </c>
      <c r="O993">
        <v>51.817947072872499</v>
      </c>
      <c r="P993">
        <v>-9.7903799489009194E-2</v>
      </c>
      <c r="Q993">
        <v>0</v>
      </c>
      <c r="R993">
        <v>0.95972158442966404</v>
      </c>
      <c r="S993" t="s">
        <v>7561</v>
      </c>
      <c r="T993" t="s">
        <v>13134</v>
      </c>
      <c r="U993" t="s">
        <v>13134</v>
      </c>
      <c r="V993" t="s">
        <v>13134</v>
      </c>
      <c r="W993" t="s">
        <v>14112</v>
      </c>
      <c r="X993">
        <v>3</v>
      </c>
      <c r="Y993" t="s">
        <v>20603</v>
      </c>
      <c r="Z993" t="s">
        <v>26961</v>
      </c>
      <c r="AA993">
        <v>0.52315005519554714</v>
      </c>
      <c r="AB993" t="str">
        <f>HYPERLINK("Melting_Curves/meltCurve_H0YFN7_KIAA1432.pdf", "Melting_Curves/meltCurve_H0YFN7_KIAA1432.pdf")</f>
        <v>Melting_Curves/meltCurve_H0YFN7_KIAA1432.pdf</v>
      </c>
    </row>
    <row r="994" spans="1:28" x14ac:dyDescent="0.25">
      <c r="A994" t="s">
        <v>998</v>
      </c>
      <c r="B994">
        <v>0.99472303558308395</v>
      </c>
      <c r="C994">
        <v>1.10592082188486</v>
      </c>
      <c r="D994">
        <v>0.96732512656552505</v>
      </c>
      <c r="E994">
        <v>0.957541165684615</v>
      </c>
      <c r="F994">
        <v>0.895121317108728</v>
      </c>
      <c r="G994">
        <v>0.67286842594023899</v>
      </c>
      <c r="H994">
        <v>0.58781324164448301</v>
      </c>
      <c r="I994">
        <v>0.667202173416234</v>
      </c>
      <c r="J994">
        <v>0.88947387122281196</v>
      </c>
      <c r="K994">
        <v>0.776018625750305</v>
      </c>
      <c r="L994">
        <v>12576.114574396601</v>
      </c>
      <c r="M994">
        <v>250</v>
      </c>
      <c r="O994">
        <v>50.301239119111401</v>
      </c>
      <c r="P994">
        <v>-0.34954995712925502</v>
      </c>
      <c r="Q994">
        <v>0.71867526453768804</v>
      </c>
      <c r="R994">
        <v>0.73088147715844598</v>
      </c>
      <c r="S994" t="s">
        <v>7562</v>
      </c>
      <c r="T994" t="s">
        <v>13134</v>
      </c>
      <c r="U994" t="s">
        <v>13134</v>
      </c>
      <c r="V994" t="s">
        <v>13134</v>
      </c>
      <c r="W994" t="s">
        <v>14113</v>
      </c>
      <c r="X994">
        <v>16</v>
      </c>
      <c r="Y994" t="s">
        <v>20604</v>
      </c>
      <c r="Z994" t="s">
        <v>26962</v>
      </c>
      <c r="AA994">
        <v>0.84346254124954678</v>
      </c>
      <c r="AB994" t="str">
        <f>HYPERLINK("Melting_Curves/meltCurve_H0YGR4_REXO2.pdf", "Melting_Curves/meltCurve_H0YGR4_REXO2.pdf")</f>
        <v>Melting_Curves/meltCurve_H0YGR4_REXO2.pdf</v>
      </c>
    </row>
    <row r="995" spans="1:28" x14ac:dyDescent="0.25">
      <c r="A995" t="s">
        <v>999</v>
      </c>
      <c r="B995">
        <v>0.99472303558308395</v>
      </c>
      <c r="C995">
        <v>1.0595277699975101</v>
      </c>
      <c r="D995">
        <v>0.96411026346918305</v>
      </c>
      <c r="E995">
        <v>0.95567249841411295</v>
      </c>
      <c r="F995">
        <v>0.73498961142515495</v>
      </c>
      <c r="G995">
        <v>0.46504852373730099</v>
      </c>
      <c r="H995">
        <v>0.18844013595364401</v>
      </c>
      <c r="I995">
        <v>0.108602355040543</v>
      </c>
      <c r="J995">
        <v>6.9558587292878796E-2</v>
      </c>
      <c r="K995">
        <v>6.4141038299997899E-2</v>
      </c>
      <c r="L995">
        <v>1052.4948647006199</v>
      </c>
      <c r="M995">
        <v>19.89924690262</v>
      </c>
      <c r="N995">
        <v>53.1302738326496</v>
      </c>
      <c r="O995">
        <v>52.365734725383803</v>
      </c>
      <c r="P995">
        <v>-9.0935940997221507E-2</v>
      </c>
      <c r="Q995">
        <v>4.2824252423672098E-2</v>
      </c>
      <c r="R995">
        <v>0.99623836832166202</v>
      </c>
      <c r="S995" t="s">
        <v>7563</v>
      </c>
      <c r="T995" t="s">
        <v>13134</v>
      </c>
      <c r="U995" t="s">
        <v>13134</v>
      </c>
      <c r="V995" t="s">
        <v>13134</v>
      </c>
      <c r="W995" t="s">
        <v>14114</v>
      </c>
      <c r="X995">
        <v>6</v>
      </c>
      <c r="Y995" t="s">
        <v>20605</v>
      </c>
      <c r="Z995" t="s">
        <v>26963</v>
      </c>
      <c r="AA995">
        <v>0.5620333501296958</v>
      </c>
      <c r="AB995" t="str">
        <f>HYPERLINK("Melting_Curves/meltCurve_H0YH69_ETNK1.pdf", "Melting_Curves/meltCurve_H0YH69_ETNK1.pdf")</f>
        <v>Melting_Curves/meltCurve_H0YH69_ETNK1.pdf</v>
      </c>
    </row>
    <row r="996" spans="1:28" x14ac:dyDescent="0.25">
      <c r="A996" t="s">
        <v>1000</v>
      </c>
      <c r="B996">
        <v>0.99472303558308395</v>
      </c>
      <c r="C996">
        <v>1.0156198117875701</v>
      </c>
      <c r="D996">
        <v>1.0389463801396099</v>
      </c>
      <c r="E996">
        <v>0.97217590130332898</v>
      </c>
      <c r="F996">
        <v>0.77658529564476397</v>
      </c>
      <c r="G996">
        <v>0.69565645316755698</v>
      </c>
      <c r="H996">
        <v>0.60012530962501498</v>
      </c>
      <c r="I996">
        <v>0.74701564706409396</v>
      </c>
      <c r="J996">
        <v>0.98740448413715898</v>
      </c>
      <c r="K996">
        <v>0.70337883135062795</v>
      </c>
      <c r="L996">
        <v>2829.2322634247898</v>
      </c>
      <c r="M996">
        <v>58.531020649488497</v>
      </c>
      <c r="O996">
        <v>48.280983796676601</v>
      </c>
      <c r="P996">
        <v>-7.6616882288268504E-2</v>
      </c>
      <c r="Q996">
        <v>0.74720161680689801</v>
      </c>
      <c r="R996">
        <v>0.64476466506081398</v>
      </c>
      <c r="S996" t="s">
        <v>7564</v>
      </c>
      <c r="T996" t="s">
        <v>13134</v>
      </c>
      <c r="U996" t="s">
        <v>13134</v>
      </c>
      <c r="V996" t="s">
        <v>13134</v>
      </c>
      <c r="W996" t="s">
        <v>14053</v>
      </c>
      <c r="X996">
        <v>14</v>
      </c>
      <c r="Z996" t="s">
        <v>26964</v>
      </c>
      <c r="AA996">
        <v>0.84312950284127708</v>
      </c>
      <c r="AB996" t="str">
        <f>HYPERLINK("Melting_Curves/meltCurve_H0YHG0_.pdf", "Melting_Curves/meltCurve_H0YHG0_.pdf")</f>
        <v>Melting_Curves/meltCurve_H0YHG0_.pdf</v>
      </c>
    </row>
    <row r="997" spans="1:28" x14ac:dyDescent="0.25">
      <c r="A997" t="s">
        <v>1001</v>
      </c>
      <c r="B997">
        <v>0.99472303558308395</v>
      </c>
      <c r="C997">
        <v>0.64641221370482405</v>
      </c>
      <c r="D997">
        <v>0.54126255167793202</v>
      </c>
      <c r="E997">
        <v>0.40225445730883302</v>
      </c>
      <c r="F997">
        <v>0.557201757096354</v>
      </c>
      <c r="G997">
        <v>0.45462265179641997</v>
      </c>
      <c r="H997">
        <v>0.26445286114894301</v>
      </c>
      <c r="I997">
        <v>0.206086578019159</v>
      </c>
      <c r="J997">
        <v>0.13734677489228</v>
      </c>
      <c r="K997">
        <v>7.4694284199594299E-2</v>
      </c>
      <c r="L997">
        <v>271.81406594702298</v>
      </c>
      <c r="M997">
        <v>5.7641525410026597</v>
      </c>
      <c r="N997">
        <v>47.155946300811401</v>
      </c>
      <c r="O997">
        <v>42.406485982419902</v>
      </c>
      <c r="P997">
        <v>-3.4108445207178199E-2</v>
      </c>
      <c r="Q997">
        <v>0</v>
      </c>
      <c r="R997">
        <v>0.85015987694799899</v>
      </c>
      <c r="S997" t="s">
        <v>7565</v>
      </c>
      <c r="T997" t="s">
        <v>13134</v>
      </c>
      <c r="U997" t="s">
        <v>13134</v>
      </c>
      <c r="V997" t="s">
        <v>13134</v>
      </c>
      <c r="W997" t="s">
        <v>14115</v>
      </c>
      <c r="X997">
        <v>1</v>
      </c>
      <c r="Y997" t="s">
        <v>20606</v>
      </c>
      <c r="Z997" t="s">
        <v>26965</v>
      </c>
      <c r="AA997">
        <v>0.41623566537788143</v>
      </c>
      <c r="AB997" t="str">
        <f>HYPERLINK("Melting_Curves/meltCurve_H0YIE8_WDR83.pdf", "Melting_Curves/meltCurve_H0YIE8_WDR83.pdf")</f>
        <v>Melting_Curves/meltCurve_H0YIE8_WDR83.pdf</v>
      </c>
    </row>
    <row r="998" spans="1:28" x14ac:dyDescent="0.25">
      <c r="A998" t="s">
        <v>1002</v>
      </c>
      <c r="B998">
        <v>0.99472303558308395</v>
      </c>
      <c r="C998">
        <v>1.10480076253649</v>
      </c>
      <c r="D998">
        <v>0.56005223367269796</v>
      </c>
      <c r="E998">
        <v>0.279126158274842</v>
      </c>
      <c r="F998">
        <v>0.12446111952667099</v>
      </c>
      <c r="G998">
        <v>2.7216336918250601E-2</v>
      </c>
      <c r="H998">
        <v>7.2506003696439295E-2</v>
      </c>
      <c r="I998">
        <v>4.8035063434758399E-2</v>
      </c>
      <c r="J998">
        <v>3.5590901865809398E-2</v>
      </c>
      <c r="K998">
        <v>4.0462757623720202E-2</v>
      </c>
      <c r="L998">
        <v>1170.92402830024</v>
      </c>
      <c r="M998">
        <v>26.7090653225249</v>
      </c>
      <c r="N998">
        <v>44.036987950761102</v>
      </c>
      <c r="O998">
        <v>43.596403010683197</v>
      </c>
      <c r="P998">
        <v>-0.144536247679728</v>
      </c>
      <c r="Q998">
        <v>5.6321097873137001E-2</v>
      </c>
      <c r="R998">
        <v>0.97192171065770605</v>
      </c>
      <c r="S998" t="s">
        <v>7566</v>
      </c>
      <c r="T998" t="s">
        <v>13134</v>
      </c>
      <c r="U998" t="s">
        <v>13134</v>
      </c>
      <c r="V998" t="s">
        <v>13134</v>
      </c>
      <c r="W998" t="s">
        <v>14116</v>
      </c>
      <c r="X998">
        <v>3</v>
      </c>
      <c r="Y998" t="s">
        <v>20607</v>
      </c>
      <c r="Z998" t="s">
        <v>26966</v>
      </c>
      <c r="AA998">
        <v>0.27820112349994519</v>
      </c>
      <c r="AB998" t="str">
        <f>HYPERLINK("Melting_Curves/meltCurve_H0YIQ8_KANSL2.pdf", "Melting_Curves/meltCurve_H0YIQ8_KANSL2.pdf")</f>
        <v>Melting_Curves/meltCurve_H0YIQ8_KANSL2.pdf</v>
      </c>
    </row>
    <row r="999" spans="1:28" x14ac:dyDescent="0.25">
      <c r="A999" t="s">
        <v>1003</v>
      </c>
      <c r="B999">
        <v>0.99472303558308395</v>
      </c>
      <c r="C999">
        <v>0.94079098301312403</v>
      </c>
      <c r="D999">
        <v>1.0567721790143001</v>
      </c>
      <c r="E999">
        <v>0.81400970676669804</v>
      </c>
      <c r="F999">
        <v>0.72271538345699704</v>
      </c>
      <c r="G999">
        <v>0.39804079082372301</v>
      </c>
      <c r="H999">
        <v>0.19874655415922601</v>
      </c>
      <c r="I999">
        <v>0.12820455494945401</v>
      </c>
      <c r="J999">
        <v>8.3118330644725402E-2</v>
      </c>
      <c r="K999">
        <v>0.157272264465324</v>
      </c>
      <c r="L999">
        <v>958.46534412862604</v>
      </c>
      <c r="M999">
        <v>18.487298864176498</v>
      </c>
      <c r="N999">
        <v>52.4004483578221</v>
      </c>
      <c r="O999">
        <v>51.249350187893903</v>
      </c>
      <c r="P999">
        <v>-8.2156190611051103E-2</v>
      </c>
      <c r="Q999">
        <v>8.9047182880235401E-2</v>
      </c>
      <c r="R999">
        <v>0.98376962916139199</v>
      </c>
      <c r="S999" t="s">
        <v>7567</v>
      </c>
      <c r="T999" t="s">
        <v>13134</v>
      </c>
      <c r="U999" t="s">
        <v>13134</v>
      </c>
      <c r="V999" t="s">
        <v>13134</v>
      </c>
      <c r="W999" t="s">
        <v>14117</v>
      </c>
      <c r="X999">
        <v>2</v>
      </c>
      <c r="Y999" t="s">
        <v>20608</v>
      </c>
      <c r="Z999" t="s">
        <v>26967</v>
      </c>
      <c r="AA999">
        <v>0.55311131057775564</v>
      </c>
      <c r="AB999" t="str">
        <f>HYPERLINK("Melting_Curves/meltCurve_H0YIV5_LETMD1.pdf", "Melting_Curves/meltCurve_H0YIV5_LETMD1.pdf")</f>
        <v>Melting_Curves/meltCurve_H0YIV5_LETMD1.pdf</v>
      </c>
    </row>
    <row r="1000" spans="1:28" x14ac:dyDescent="0.25">
      <c r="A1000" t="s">
        <v>1004</v>
      </c>
      <c r="B1000">
        <v>0.99472303558308395</v>
      </c>
      <c r="C1000">
        <v>1.0034011969019001</v>
      </c>
      <c r="D1000">
        <v>0.87993936639885995</v>
      </c>
      <c r="E1000">
        <v>0.77030070840599296</v>
      </c>
      <c r="F1000">
        <v>0.41143642756710502</v>
      </c>
      <c r="G1000">
        <v>0.23139489885404099</v>
      </c>
      <c r="H1000">
        <v>0.18165071902392699</v>
      </c>
      <c r="I1000">
        <v>0.14525772540635401</v>
      </c>
      <c r="J1000">
        <v>0.21373665198761399</v>
      </c>
      <c r="K1000">
        <v>0.17961011236459201</v>
      </c>
      <c r="L1000">
        <v>1063.4425475564899</v>
      </c>
      <c r="M1000">
        <v>22.035304564108799</v>
      </c>
      <c r="N1000">
        <v>49.173762169808199</v>
      </c>
      <c r="O1000">
        <v>47.868643104512202</v>
      </c>
      <c r="P1000">
        <v>-9.5765217510433598E-2</v>
      </c>
      <c r="Q1000">
        <v>0.167871695915392</v>
      </c>
      <c r="R1000">
        <v>0.99267358553251295</v>
      </c>
      <c r="S1000" t="s">
        <v>7568</v>
      </c>
      <c r="T1000" t="s">
        <v>13134</v>
      </c>
      <c r="U1000" t="s">
        <v>13134</v>
      </c>
      <c r="V1000" t="s">
        <v>13134</v>
      </c>
      <c r="W1000" t="s">
        <v>14053</v>
      </c>
      <c r="X1000">
        <v>8</v>
      </c>
      <c r="Z1000" t="s">
        <v>26968</v>
      </c>
      <c r="AA1000">
        <v>0.48932324396456672</v>
      </c>
      <c r="AB1000" t="str">
        <f>HYPERLINK("Melting_Curves/meltCurve_H0YIV9_.pdf", "Melting_Curves/meltCurve_H0YIV9_.pdf")</f>
        <v>Melting_Curves/meltCurve_H0YIV9_.pdf</v>
      </c>
    </row>
    <row r="1001" spans="1:28" x14ac:dyDescent="0.25">
      <c r="A1001" t="s">
        <v>1005</v>
      </c>
      <c r="B1001">
        <v>0.99472303558308395</v>
      </c>
      <c r="C1001">
        <v>1.0718035963985599</v>
      </c>
      <c r="D1001">
        <v>0.93761316789545202</v>
      </c>
      <c r="E1001">
        <v>0.95886697325814296</v>
      </c>
      <c r="F1001">
        <v>0.57803954018329295</v>
      </c>
      <c r="G1001">
        <v>0.38612291291580197</v>
      </c>
      <c r="H1001">
        <v>0.19089809386227199</v>
      </c>
      <c r="I1001">
        <v>0.21432464666473</v>
      </c>
      <c r="J1001">
        <v>0.12501495734923601</v>
      </c>
      <c r="K1001">
        <v>3.2356408168398998</v>
      </c>
      <c r="L1001">
        <v>11716.268874109701</v>
      </c>
      <c r="M1001">
        <v>250</v>
      </c>
      <c r="O1001">
        <v>46.862077056581398</v>
      </c>
      <c r="P1001">
        <v>-0.28229094385051101</v>
      </c>
      <c r="Q1001">
        <v>0.78834016361176995</v>
      </c>
      <c r="R1001">
        <v>1.3414872343556299E-2</v>
      </c>
      <c r="S1001" t="s">
        <v>7569</v>
      </c>
      <c r="T1001" t="s">
        <v>13134</v>
      </c>
      <c r="U1001" t="s">
        <v>13134</v>
      </c>
      <c r="V1001" t="s">
        <v>13134</v>
      </c>
      <c r="W1001" t="s">
        <v>14118</v>
      </c>
      <c r="X1001">
        <v>1</v>
      </c>
      <c r="Y1001" t="s">
        <v>20609</v>
      </c>
      <c r="Z1001" t="s">
        <v>26969</v>
      </c>
      <c r="AA1001">
        <v>0.85795891428399018</v>
      </c>
      <c r="AB1001" t="str">
        <f>HYPERLINK("Melting_Curves/meltCurve_H0YIZ9_CEP128.pdf", "Melting_Curves/meltCurve_H0YIZ9_CEP128.pdf")</f>
        <v>Melting_Curves/meltCurve_H0YIZ9_CEP128.pdf</v>
      </c>
    </row>
    <row r="1002" spans="1:28" x14ac:dyDescent="0.25">
      <c r="A1002" t="s">
        <v>1006</v>
      </c>
      <c r="B1002">
        <v>0.99472303558308395</v>
      </c>
      <c r="C1002">
        <v>1.1392132785767299</v>
      </c>
      <c r="D1002">
        <v>0.98483067111328304</v>
      </c>
      <c r="E1002">
        <v>0.64009866882923405</v>
      </c>
      <c r="F1002">
        <v>0.161129931182251</v>
      </c>
      <c r="G1002">
        <v>8.7137453707358703E-2</v>
      </c>
      <c r="H1002">
        <v>7.9027329193009102E-2</v>
      </c>
      <c r="I1002">
        <v>9.0645176647317E-2</v>
      </c>
      <c r="J1002">
        <v>0.154588534164943</v>
      </c>
      <c r="K1002">
        <v>4.3571396411700998E-2</v>
      </c>
      <c r="L1002">
        <v>1945.4066607310299</v>
      </c>
      <c r="M1002">
        <v>41.315749726262098</v>
      </c>
      <c r="N1002">
        <v>47.315578275464397</v>
      </c>
      <c r="O1002">
        <v>46.976412481363099</v>
      </c>
      <c r="P1002">
        <v>-0.19993033567576299</v>
      </c>
      <c r="Q1002">
        <v>9.0710646448108598E-2</v>
      </c>
      <c r="R1002">
        <v>0.98569989344128295</v>
      </c>
      <c r="S1002" t="s">
        <v>7570</v>
      </c>
      <c r="T1002" t="s">
        <v>13134</v>
      </c>
      <c r="U1002" t="s">
        <v>13134</v>
      </c>
      <c r="V1002" t="s">
        <v>13134</v>
      </c>
      <c r="W1002" t="s">
        <v>14119</v>
      </c>
      <c r="X1002">
        <v>4</v>
      </c>
      <c r="Y1002" t="s">
        <v>20610</v>
      </c>
      <c r="Z1002" t="s">
        <v>26970</v>
      </c>
      <c r="AA1002">
        <v>0.3991966327144027</v>
      </c>
      <c r="AB1002" t="str">
        <f>HYPERLINK("Melting_Curves/meltCurve_H0YJN0_EVL.pdf", "Melting_Curves/meltCurve_H0YJN0_EVL.pdf")</f>
        <v>Melting_Curves/meltCurve_H0YJN0_EVL.pdf</v>
      </c>
    </row>
    <row r="1003" spans="1:28" x14ac:dyDescent="0.25">
      <c r="A1003" t="s">
        <v>1007</v>
      </c>
      <c r="B1003">
        <v>0.99472303558308395</v>
      </c>
      <c r="C1003">
        <v>1.0269962708938101</v>
      </c>
      <c r="D1003">
        <v>0.96744168836530597</v>
      </c>
      <c r="E1003">
        <v>0.88125423828497396</v>
      </c>
      <c r="F1003">
        <v>0.80502058240596297</v>
      </c>
      <c r="G1003">
        <v>0.53839563521495903</v>
      </c>
      <c r="H1003">
        <v>0.52862446133780905</v>
      </c>
      <c r="I1003">
        <v>0.41722504382578102</v>
      </c>
      <c r="J1003">
        <v>0.64033703200879299</v>
      </c>
      <c r="K1003">
        <v>0.60393320202962197</v>
      </c>
      <c r="L1003">
        <v>1341.9017704508101</v>
      </c>
      <c r="M1003">
        <v>26.905331539954801</v>
      </c>
      <c r="O1003">
        <v>49.601837512413198</v>
      </c>
      <c r="P1003">
        <v>-6.2810391842683402E-2</v>
      </c>
      <c r="Q1003">
        <v>0.53682326413259296</v>
      </c>
      <c r="R1003">
        <v>0.90560060316672897</v>
      </c>
      <c r="S1003" t="s">
        <v>7571</v>
      </c>
      <c r="T1003" t="s">
        <v>13134</v>
      </c>
      <c r="U1003" t="s">
        <v>13134</v>
      </c>
      <c r="V1003" t="s">
        <v>13134</v>
      </c>
      <c r="W1003" t="s">
        <v>14120</v>
      </c>
      <c r="X1003">
        <v>23</v>
      </c>
      <c r="Y1003" t="s">
        <v>20611</v>
      </c>
      <c r="Z1003" t="s">
        <v>26971</v>
      </c>
      <c r="AA1003">
        <v>0.73911352229988836</v>
      </c>
      <c r="AB1003" t="str">
        <f>HYPERLINK("Melting_Curves/meltCurve_H0YK48_TPM1.pdf", "Melting_Curves/meltCurve_H0YK48_TPM1.pdf")</f>
        <v>Melting_Curves/meltCurve_H0YK48_TPM1.pdf</v>
      </c>
    </row>
    <row r="1004" spans="1:28" x14ac:dyDescent="0.25">
      <c r="A1004" t="s">
        <v>1008</v>
      </c>
      <c r="B1004">
        <v>0.99472303558308395</v>
      </c>
      <c r="C1004">
        <v>0.92614828513694403</v>
      </c>
      <c r="D1004">
        <v>0.71406290729411404</v>
      </c>
      <c r="E1004">
        <v>0.64202807898295999</v>
      </c>
      <c r="F1004">
        <v>0.59121995809994399</v>
      </c>
      <c r="G1004">
        <v>0.24958513988898001</v>
      </c>
      <c r="H1004">
        <v>0.13767853793822701</v>
      </c>
      <c r="I1004">
        <v>8.4373138874863904E-2</v>
      </c>
      <c r="J1004">
        <v>7.3698066310458193E-2</v>
      </c>
      <c r="K1004">
        <v>9.27631429315314E-2</v>
      </c>
      <c r="L1004">
        <v>505.22007343536501</v>
      </c>
      <c r="M1004">
        <v>10.2571393515205</v>
      </c>
      <c r="N1004">
        <v>49.255446078534398</v>
      </c>
      <c r="O1004">
        <v>47.4934322977224</v>
      </c>
      <c r="P1004">
        <v>-5.40162638046E-2</v>
      </c>
      <c r="Q1004">
        <v>0</v>
      </c>
      <c r="R1004">
        <v>0.96809613695417296</v>
      </c>
      <c r="S1004" t="s">
        <v>7572</v>
      </c>
      <c r="T1004" t="s">
        <v>13134</v>
      </c>
      <c r="U1004" t="s">
        <v>13134</v>
      </c>
      <c r="V1004" t="s">
        <v>13134</v>
      </c>
      <c r="W1004" t="s">
        <v>14121</v>
      </c>
      <c r="X1004">
        <v>5</v>
      </c>
      <c r="Y1004" t="s">
        <v>20612</v>
      </c>
      <c r="Z1004" t="s">
        <v>26972</v>
      </c>
      <c r="AA1004">
        <v>0.44385531432913627</v>
      </c>
      <c r="AB1004" t="str">
        <f>HYPERLINK("Melting_Curves/meltCurve_H0YK61_EMC4.pdf", "Melting_Curves/meltCurve_H0YK61_EMC4.pdf")</f>
        <v>Melting_Curves/meltCurve_H0YK61_EMC4.pdf</v>
      </c>
    </row>
    <row r="1005" spans="1:28" x14ac:dyDescent="0.25">
      <c r="A1005" t="s">
        <v>1009</v>
      </c>
      <c r="B1005">
        <v>0.99472303558308395</v>
      </c>
      <c r="C1005">
        <v>1.03935284739222</v>
      </c>
      <c r="D1005">
        <v>1.13006660952839</v>
      </c>
      <c r="E1005">
        <v>0.86530029935930897</v>
      </c>
      <c r="F1005">
        <v>0.50577348653469401</v>
      </c>
      <c r="G1005">
        <v>0.532378780987388</v>
      </c>
      <c r="H1005">
        <v>0.48452678972417101</v>
      </c>
      <c r="I1005">
        <v>0.60146218788940897</v>
      </c>
      <c r="J1005">
        <v>0.89755798515100105</v>
      </c>
      <c r="K1005">
        <v>0.53718596655498396</v>
      </c>
      <c r="L1005">
        <v>11682.774505506201</v>
      </c>
      <c r="M1005">
        <v>250</v>
      </c>
      <c r="O1005">
        <v>46.728107693397</v>
      </c>
      <c r="P1005">
        <v>-0.54417524352449698</v>
      </c>
      <c r="Q1005">
        <v>0.59314753166162903</v>
      </c>
      <c r="R1005">
        <v>0.75760052691637503</v>
      </c>
      <c r="S1005" t="s">
        <v>7573</v>
      </c>
      <c r="T1005" t="s">
        <v>13134</v>
      </c>
      <c r="U1005" t="s">
        <v>13134</v>
      </c>
      <c r="V1005" t="s">
        <v>13134</v>
      </c>
      <c r="W1005" t="s">
        <v>14122</v>
      </c>
      <c r="X1005">
        <v>2</v>
      </c>
      <c r="Y1005" t="s">
        <v>20613</v>
      </c>
      <c r="Z1005" t="s">
        <v>26973</v>
      </c>
      <c r="AA1005">
        <v>0.72515160691866609</v>
      </c>
      <c r="AB1005" t="str">
        <f>HYPERLINK("Melting_Curves/meltCurve_H0YKJ9_TSPAN3.pdf", "Melting_Curves/meltCurve_H0YKJ9_TSPAN3.pdf")</f>
        <v>Melting_Curves/meltCurve_H0YKJ9_TSPAN3.pdf</v>
      </c>
    </row>
    <row r="1006" spans="1:28" x14ac:dyDescent="0.25">
      <c r="A1006" t="s">
        <v>1010</v>
      </c>
      <c r="B1006">
        <v>0.99472303558308395</v>
      </c>
      <c r="C1006">
        <v>0.99938542463378399</v>
      </c>
      <c r="D1006">
        <v>0.96745879263087697</v>
      </c>
      <c r="E1006">
        <v>0.61452454849237204</v>
      </c>
      <c r="F1006">
        <v>0.15944395259783001</v>
      </c>
      <c r="G1006">
        <v>9.1631828335062906E-2</v>
      </c>
      <c r="H1006">
        <v>3.1370961390144503E-2</v>
      </c>
      <c r="I1006">
        <v>3.4434969107888402E-2</v>
      </c>
      <c r="J1006">
        <v>3.3848422529188002E-2</v>
      </c>
      <c r="K1006">
        <v>3.2301037655129601E-2</v>
      </c>
      <c r="L1006">
        <v>1492.0808764103699</v>
      </c>
      <c r="M1006">
        <v>31.6110198906078</v>
      </c>
      <c r="N1006">
        <v>47.322079069374396</v>
      </c>
      <c r="O1006">
        <v>47.013594424091899</v>
      </c>
      <c r="P1006">
        <v>-0.16158105082604199</v>
      </c>
      <c r="Q1006">
        <v>3.8757272765640498E-2</v>
      </c>
      <c r="R1006">
        <v>0.99916490087176202</v>
      </c>
      <c r="S1006" t="s">
        <v>7574</v>
      </c>
      <c r="T1006" t="s">
        <v>13134</v>
      </c>
      <c r="U1006" t="s">
        <v>13134</v>
      </c>
      <c r="V1006" t="s">
        <v>13134</v>
      </c>
      <c r="W1006" t="s">
        <v>14123</v>
      </c>
      <c r="X1006">
        <v>1</v>
      </c>
      <c r="Y1006" t="s">
        <v>20614</v>
      </c>
      <c r="Z1006" t="s">
        <v>26974</v>
      </c>
      <c r="AA1006">
        <v>0.370666772427858</v>
      </c>
      <c r="AB1006" t="str">
        <f>HYPERLINK("Melting_Curves/meltCurve_H0YL26_TRAF3.pdf", "Melting_Curves/meltCurve_H0YL26_TRAF3.pdf")</f>
        <v>Melting_Curves/meltCurve_H0YL26_TRAF3.pdf</v>
      </c>
    </row>
    <row r="1007" spans="1:28" x14ac:dyDescent="0.25">
      <c r="A1007" t="s">
        <v>1011</v>
      </c>
      <c r="B1007">
        <v>0.99472303558308395</v>
      </c>
      <c r="C1007">
        <v>0.85690547310090803</v>
      </c>
      <c r="D1007">
        <v>0.88449459111622097</v>
      </c>
      <c r="E1007">
        <v>0.82284375625232498</v>
      </c>
      <c r="F1007">
        <v>0.89757474989171604</v>
      </c>
      <c r="G1007">
        <v>0.289634472031361</v>
      </c>
      <c r="H1007">
        <v>0.12941846975831101</v>
      </c>
      <c r="I1007">
        <v>9.3459728478043999E-2</v>
      </c>
      <c r="J1007">
        <v>6.65931879785297E-2</v>
      </c>
      <c r="K1007">
        <v>7.1701192360480698E-2</v>
      </c>
      <c r="L1007">
        <v>2284.2331970120699</v>
      </c>
      <c r="M1007">
        <v>43.625270026146701</v>
      </c>
      <c r="N1007">
        <v>52.579236729563597</v>
      </c>
      <c r="O1007">
        <v>52.250660350241297</v>
      </c>
      <c r="P1007">
        <v>-0.19139654214288901</v>
      </c>
      <c r="Q1007">
        <v>8.3047008496290306E-2</v>
      </c>
      <c r="R1007">
        <v>0.95633938684614095</v>
      </c>
      <c r="S1007" t="s">
        <v>7575</v>
      </c>
      <c r="T1007" t="s">
        <v>13134</v>
      </c>
      <c r="U1007" t="s">
        <v>13134</v>
      </c>
      <c r="V1007" t="s">
        <v>13134</v>
      </c>
      <c r="W1007" t="s">
        <v>14124</v>
      </c>
      <c r="X1007">
        <v>31</v>
      </c>
      <c r="Y1007" t="s">
        <v>20615</v>
      </c>
      <c r="Z1007" t="s">
        <v>26975</v>
      </c>
      <c r="AA1007">
        <v>0.55531907910395617</v>
      </c>
      <c r="AB1007" t="str">
        <f>HYPERLINK("Melting_Curves/meltCurve_H0YL33_ANXA2.pdf", "Melting_Curves/meltCurve_H0YL33_ANXA2.pdf")</f>
        <v>Melting_Curves/meltCurve_H0YL33_ANXA2.pdf</v>
      </c>
    </row>
    <row r="1008" spans="1:28" x14ac:dyDescent="0.25">
      <c r="A1008" t="s">
        <v>1012</v>
      </c>
      <c r="B1008">
        <v>0.99472303558308395</v>
      </c>
      <c r="C1008">
        <v>0.96341591961138895</v>
      </c>
      <c r="D1008">
        <v>0.88719005292929998</v>
      </c>
      <c r="E1008">
        <v>0.73778233872725396</v>
      </c>
      <c r="F1008">
        <v>0.59742611474072904</v>
      </c>
      <c r="G1008">
        <v>0.34250800142385102</v>
      </c>
      <c r="H1008">
        <v>0.16801545902871401</v>
      </c>
      <c r="I1008">
        <v>8.9413417944893298E-2</v>
      </c>
      <c r="J1008">
        <v>8.7078949139745204E-2</v>
      </c>
      <c r="K1008">
        <v>8.1263672182098304E-2</v>
      </c>
      <c r="L1008">
        <v>635.44409305467696</v>
      </c>
      <c r="M1008">
        <v>12.4793025163943</v>
      </c>
      <c r="N1008">
        <v>50.965651394904803</v>
      </c>
      <c r="O1008">
        <v>49.665332221987299</v>
      </c>
      <c r="P1008">
        <v>-6.2479572435647703E-2</v>
      </c>
      <c r="Q1008">
        <v>5.5770906819934199E-3</v>
      </c>
      <c r="R1008">
        <v>0.99512979275128299</v>
      </c>
      <c r="S1008" t="s">
        <v>7576</v>
      </c>
      <c r="T1008" t="s">
        <v>13134</v>
      </c>
      <c r="U1008" t="s">
        <v>13134</v>
      </c>
      <c r="V1008" t="s">
        <v>13134</v>
      </c>
      <c r="W1008" t="s">
        <v>14125</v>
      </c>
      <c r="X1008">
        <v>17</v>
      </c>
      <c r="Y1008" t="s">
        <v>20616</v>
      </c>
      <c r="Z1008" t="s">
        <v>26976</v>
      </c>
      <c r="AA1008">
        <v>0.49200287125891862</v>
      </c>
      <c r="AB1008" t="str">
        <f>HYPERLINK("Melting_Curves/meltCurve_H0YL70_TLE3.pdf", "Melting_Curves/meltCurve_H0YL70_TLE3.pdf")</f>
        <v>Melting_Curves/meltCurve_H0YL70_TLE3.pdf</v>
      </c>
    </row>
    <row r="1009" spans="1:28" x14ac:dyDescent="0.25">
      <c r="A1009" t="s">
        <v>1013</v>
      </c>
      <c r="B1009">
        <v>0.99472303558308395</v>
      </c>
      <c r="C1009">
        <v>1.01206313950492</v>
      </c>
      <c r="D1009">
        <v>0.79855818543828805</v>
      </c>
      <c r="E1009">
        <v>0.51257994618716796</v>
      </c>
      <c r="F1009">
        <v>0.176830586119228</v>
      </c>
      <c r="G1009">
        <v>9.2261586263905404E-2</v>
      </c>
      <c r="H1009">
        <v>5.4926922835571303E-2</v>
      </c>
      <c r="I1009">
        <v>4.0706607703313899E-2</v>
      </c>
      <c r="J1009">
        <v>4.6311735700721703E-2</v>
      </c>
      <c r="K1009">
        <v>3.8001376185727E-2</v>
      </c>
      <c r="L1009">
        <v>955.24394880501302</v>
      </c>
      <c r="M1009">
        <v>20.6307174972249</v>
      </c>
      <c r="N1009">
        <v>46.473219182158097</v>
      </c>
      <c r="O1009">
        <v>45.873563962507703</v>
      </c>
      <c r="P1009">
        <v>-0.108321540245777</v>
      </c>
      <c r="Q1009">
        <v>3.6591278956514803E-2</v>
      </c>
      <c r="R1009">
        <v>0.99694125788154098</v>
      </c>
      <c r="S1009" t="s">
        <v>7577</v>
      </c>
      <c r="T1009" t="s">
        <v>13134</v>
      </c>
      <c r="U1009" t="s">
        <v>13134</v>
      </c>
      <c r="V1009" t="s">
        <v>13134</v>
      </c>
      <c r="W1009" t="s">
        <v>14126</v>
      </c>
      <c r="X1009">
        <v>6</v>
      </c>
      <c r="Y1009" t="s">
        <v>20617</v>
      </c>
      <c r="Z1009" t="s">
        <v>26977</v>
      </c>
      <c r="AA1009">
        <v>0.34714550303170222</v>
      </c>
      <c r="AB1009" t="str">
        <f>HYPERLINK("Melting_Curves/meltCurve_H0YLB5_POU2F1.pdf", "Melting_Curves/meltCurve_H0YLB5_POU2F1.pdf")</f>
        <v>Melting_Curves/meltCurve_H0YLB5_POU2F1.pdf</v>
      </c>
    </row>
    <row r="1010" spans="1:28" x14ac:dyDescent="0.25">
      <c r="A1010" t="s">
        <v>1014</v>
      </c>
      <c r="B1010">
        <v>0.99472303558308395</v>
      </c>
      <c r="C1010">
        <v>0.94118033878196705</v>
      </c>
      <c r="D1010">
        <v>0.85056232160790601</v>
      </c>
      <c r="E1010">
        <v>0.581310032321398</v>
      </c>
      <c r="F1010">
        <v>0.51045074438968496</v>
      </c>
      <c r="G1010">
        <v>0.22608942645327099</v>
      </c>
      <c r="H1010">
        <v>0.15501304317623901</v>
      </c>
      <c r="I1010">
        <v>0.12990989596725</v>
      </c>
      <c r="J1010">
        <v>0.14503228472177501</v>
      </c>
      <c r="K1010">
        <v>9.2886439787278993E-2</v>
      </c>
      <c r="L1010">
        <v>613.17154904400502</v>
      </c>
      <c r="M1010">
        <v>12.710253900122799</v>
      </c>
      <c r="N1010">
        <v>48.849340317945099</v>
      </c>
      <c r="O1010">
        <v>47.094860463820297</v>
      </c>
      <c r="P1010">
        <v>-6.2554456912605305E-2</v>
      </c>
      <c r="Q1010">
        <v>7.3055486554856205E-2</v>
      </c>
      <c r="R1010">
        <v>0.98737613325971996</v>
      </c>
      <c r="S1010" t="s">
        <v>7578</v>
      </c>
      <c r="T1010" t="s">
        <v>13134</v>
      </c>
      <c r="U1010" t="s">
        <v>13134</v>
      </c>
      <c r="V1010" t="s">
        <v>13134</v>
      </c>
      <c r="W1010" t="s">
        <v>14127</v>
      </c>
      <c r="X1010">
        <v>4</v>
      </c>
      <c r="Y1010" t="s">
        <v>20618</v>
      </c>
      <c r="Z1010" t="s">
        <v>26978</v>
      </c>
      <c r="AA1010">
        <v>0.4467807629576388</v>
      </c>
      <c r="AB1010" t="str">
        <f>HYPERLINK("Melting_Curves/meltCurve_H0YLB9_MAN2A2.pdf", "Melting_Curves/meltCurve_H0YLB9_MAN2A2.pdf")</f>
        <v>Melting_Curves/meltCurve_H0YLB9_MAN2A2.pdf</v>
      </c>
    </row>
    <row r="1011" spans="1:28" x14ac:dyDescent="0.25">
      <c r="A1011" t="s">
        <v>1015</v>
      </c>
      <c r="B1011">
        <v>0.99472303558308395</v>
      </c>
      <c r="C1011">
        <v>1.0125793140419199</v>
      </c>
      <c r="D1011">
        <v>1.03555238865524</v>
      </c>
      <c r="E1011">
        <v>0.72838352472896495</v>
      </c>
      <c r="F1011">
        <v>0.51745705286746801</v>
      </c>
      <c r="G1011">
        <v>0.24883064197308999</v>
      </c>
      <c r="H1011">
        <v>0.197307660077464</v>
      </c>
      <c r="I1011">
        <v>0.103154602056998</v>
      </c>
      <c r="J1011">
        <v>0.15587671431105399</v>
      </c>
      <c r="K1011">
        <v>0.127385788070665</v>
      </c>
      <c r="L1011">
        <v>970.95574790657304</v>
      </c>
      <c r="M1011">
        <v>19.699644105130702</v>
      </c>
      <c r="N1011">
        <v>50.010082914562403</v>
      </c>
      <c r="O1011">
        <v>48.788520271706197</v>
      </c>
      <c r="P1011">
        <v>-8.8451674235123706E-2</v>
      </c>
      <c r="Q1011">
        <v>0.12378579512431299</v>
      </c>
      <c r="R1011">
        <v>0.98965303073231004</v>
      </c>
      <c r="S1011" t="s">
        <v>7579</v>
      </c>
      <c r="T1011" t="s">
        <v>13134</v>
      </c>
      <c r="U1011" t="s">
        <v>13134</v>
      </c>
      <c r="V1011" t="s">
        <v>13134</v>
      </c>
      <c r="W1011" t="s">
        <v>14128</v>
      </c>
      <c r="X1011">
        <v>3</v>
      </c>
      <c r="Y1011" t="s">
        <v>20619</v>
      </c>
      <c r="Z1011" t="s">
        <v>26979</v>
      </c>
      <c r="AA1011">
        <v>0.49454832842912139</v>
      </c>
      <c r="AB1011" t="str">
        <f>HYPERLINK("Melting_Curves/meltCurve_H0YLF3_B2M.pdf", "Melting_Curves/meltCurve_H0YLF3_B2M.pdf")</f>
        <v>Melting_Curves/meltCurve_H0YLF3_B2M.pdf</v>
      </c>
    </row>
    <row r="1012" spans="1:28" x14ac:dyDescent="0.25">
      <c r="A1012" t="s">
        <v>1016</v>
      </c>
      <c r="B1012">
        <v>0.99472303558308395</v>
      </c>
      <c r="C1012">
        <v>1.0123369032652401</v>
      </c>
      <c r="D1012">
        <v>0.83097911453693596</v>
      </c>
      <c r="E1012">
        <v>0.57926477521198705</v>
      </c>
      <c r="F1012">
        <v>0.219075306153002</v>
      </c>
      <c r="G1012">
        <v>0.12571910982066201</v>
      </c>
      <c r="H1012">
        <v>8.9203591929140999E-2</v>
      </c>
      <c r="I1012">
        <v>5.5859167341841397E-2</v>
      </c>
      <c r="J1012">
        <v>0.175156560941607</v>
      </c>
      <c r="K1012">
        <v>3.5791196628558702E-2</v>
      </c>
      <c r="L1012">
        <v>1012.2213345108</v>
      </c>
      <c r="M1012">
        <v>21.6922238412924</v>
      </c>
      <c r="N1012">
        <v>47.039591929402903</v>
      </c>
      <c r="O1012">
        <v>46.271731468333101</v>
      </c>
      <c r="P1012">
        <v>-0.10785766321880499</v>
      </c>
      <c r="Q1012">
        <v>7.9736030448270795E-2</v>
      </c>
      <c r="R1012">
        <v>0.98869047131424703</v>
      </c>
      <c r="S1012" t="s">
        <v>7580</v>
      </c>
      <c r="T1012" t="s">
        <v>13134</v>
      </c>
      <c r="U1012" t="s">
        <v>13134</v>
      </c>
      <c r="V1012" t="s">
        <v>13134</v>
      </c>
      <c r="W1012" t="s">
        <v>14129</v>
      </c>
      <c r="X1012">
        <v>2</v>
      </c>
      <c r="Y1012" t="s">
        <v>20620</v>
      </c>
      <c r="Z1012" t="s">
        <v>26980</v>
      </c>
      <c r="AA1012">
        <v>0.38638724536056918</v>
      </c>
      <c r="AB1012" t="str">
        <f>HYPERLINK("Melting_Curves/meltCurve_H0YLI7_AP3S2.pdf", "Melting_Curves/meltCurve_H0YLI7_AP3S2.pdf")</f>
        <v>Melting_Curves/meltCurve_H0YLI7_AP3S2.pdf</v>
      </c>
    </row>
    <row r="1013" spans="1:28" x14ac:dyDescent="0.25">
      <c r="A1013" t="s">
        <v>1017</v>
      </c>
      <c r="B1013">
        <v>0.99472303558308395</v>
      </c>
      <c r="C1013">
        <v>0.95415145754603103</v>
      </c>
      <c r="D1013">
        <v>0.73760464695315398</v>
      </c>
      <c r="E1013">
        <v>0.57720845419107802</v>
      </c>
      <c r="F1013">
        <v>0.367829665287013</v>
      </c>
      <c r="G1013">
        <v>0.141211809498619</v>
      </c>
      <c r="H1013">
        <v>9.0591242819110906E-2</v>
      </c>
      <c r="I1013">
        <v>8.8210899710825894E-2</v>
      </c>
      <c r="J1013">
        <v>5.7072694647824898E-2</v>
      </c>
      <c r="K1013">
        <v>8.8664746410046305E-2</v>
      </c>
      <c r="L1013">
        <v>644.47201842848199</v>
      </c>
      <c r="M1013">
        <v>13.6866802150771</v>
      </c>
      <c r="N1013">
        <v>47.3746136326466</v>
      </c>
      <c r="O1013">
        <v>46.116448210276197</v>
      </c>
      <c r="P1013">
        <v>-7.1253898662509793E-2</v>
      </c>
      <c r="Q1013">
        <v>3.9796011785766902E-2</v>
      </c>
      <c r="R1013">
        <v>0.99183196819480601</v>
      </c>
      <c r="S1013" t="s">
        <v>7581</v>
      </c>
      <c r="T1013" t="s">
        <v>13134</v>
      </c>
      <c r="U1013" t="s">
        <v>13134</v>
      </c>
      <c r="V1013" t="s">
        <v>13134</v>
      </c>
      <c r="W1013" t="s">
        <v>14130</v>
      </c>
      <c r="X1013">
        <v>1</v>
      </c>
      <c r="Y1013" t="s">
        <v>20621</v>
      </c>
      <c r="Z1013" t="s">
        <v>26981</v>
      </c>
      <c r="AA1013">
        <v>0.38797859010591917</v>
      </c>
      <c r="AB1013" t="str">
        <f>HYPERLINK("Melting_Curves/meltCurve_H0YLN8_TRPM7.pdf", "Melting_Curves/meltCurve_H0YLN8_TRPM7.pdf")</f>
        <v>Melting_Curves/meltCurve_H0YLN8_TRPM7.pdf</v>
      </c>
    </row>
    <row r="1014" spans="1:28" x14ac:dyDescent="0.25">
      <c r="A1014" t="s">
        <v>1018</v>
      </c>
      <c r="B1014">
        <v>0.99472303558308395</v>
      </c>
      <c r="C1014">
        <v>0.98276769020625798</v>
      </c>
      <c r="D1014">
        <v>0.96750818767648905</v>
      </c>
      <c r="E1014">
        <v>0.60586584617649697</v>
      </c>
      <c r="F1014">
        <v>0.21998126008076099</v>
      </c>
      <c r="G1014">
        <v>0.13130224233742299</v>
      </c>
      <c r="H1014">
        <v>7.3772284639186697E-2</v>
      </c>
      <c r="I1014">
        <v>6.2974670262221297E-2</v>
      </c>
      <c r="J1014">
        <v>8.98813851579294E-2</v>
      </c>
      <c r="K1014">
        <v>6.8130182799284997E-2</v>
      </c>
      <c r="L1014">
        <v>1334.7373125347401</v>
      </c>
      <c r="M1014">
        <v>28.3092253497394</v>
      </c>
      <c r="N1014">
        <v>47.4323813321705</v>
      </c>
      <c r="O1014">
        <v>46.915100319713098</v>
      </c>
      <c r="P1014">
        <v>-0.13909896918679901</v>
      </c>
      <c r="Q1014">
        <v>7.7927550287793704E-2</v>
      </c>
      <c r="R1014">
        <v>0.99866191373623503</v>
      </c>
      <c r="S1014" t="s">
        <v>7582</v>
      </c>
      <c r="T1014" t="s">
        <v>13134</v>
      </c>
      <c r="U1014" t="s">
        <v>13134</v>
      </c>
      <c r="V1014" t="s">
        <v>13134</v>
      </c>
      <c r="W1014" t="s">
        <v>14131</v>
      </c>
      <c r="X1014">
        <v>2</v>
      </c>
      <c r="Y1014" t="s">
        <v>20622</v>
      </c>
      <c r="Z1014" t="s">
        <v>26982</v>
      </c>
      <c r="AA1014">
        <v>0.39589117181133532</v>
      </c>
      <c r="AB1014" t="str">
        <f>HYPERLINK("Melting_Curves/meltCurve_H0YLR1_FAM63B.pdf", "Melting_Curves/meltCurve_H0YLR1_FAM63B.pdf")</f>
        <v>Melting_Curves/meltCurve_H0YLR1_FAM63B.pdf</v>
      </c>
    </row>
    <row r="1015" spans="1:28" x14ac:dyDescent="0.25">
      <c r="A1015" t="s">
        <v>1019</v>
      </c>
      <c r="B1015">
        <v>0.99472303558308395</v>
      </c>
      <c r="C1015">
        <v>1.0871200755463799</v>
      </c>
      <c r="D1015">
        <v>0.65665593926864496</v>
      </c>
      <c r="E1015">
        <v>0.46966104065244502</v>
      </c>
      <c r="F1015">
        <v>0.39471470056826502</v>
      </c>
      <c r="G1015">
        <v>0.16338747204074</v>
      </c>
      <c r="H1015">
        <v>0.11845653930357999</v>
      </c>
      <c r="I1015">
        <v>6.8570291709787803E-2</v>
      </c>
      <c r="J1015">
        <v>8.0201979666117501E-2</v>
      </c>
      <c r="K1015">
        <v>6.3212109497516503E-2</v>
      </c>
      <c r="L1015">
        <v>651.12976150611098</v>
      </c>
      <c r="M1015">
        <v>14.041484736083699</v>
      </c>
      <c r="N1015">
        <v>46.789213171983498</v>
      </c>
      <c r="O1015">
        <v>45.461698216568301</v>
      </c>
      <c r="P1015">
        <v>-7.2680506873812806E-2</v>
      </c>
      <c r="Q1015">
        <v>5.8860999350562798E-2</v>
      </c>
      <c r="R1015">
        <v>0.95983562897484798</v>
      </c>
      <c r="S1015" t="s">
        <v>7583</v>
      </c>
      <c r="T1015" t="s">
        <v>13134</v>
      </c>
      <c r="U1015" t="s">
        <v>13134</v>
      </c>
      <c r="V1015" t="s">
        <v>13134</v>
      </c>
      <c r="W1015" t="s">
        <v>14132</v>
      </c>
      <c r="X1015">
        <v>1</v>
      </c>
      <c r="Y1015" t="s">
        <v>20623</v>
      </c>
      <c r="Z1015" t="s">
        <v>26983</v>
      </c>
      <c r="AA1015">
        <v>0.37713240677385368</v>
      </c>
      <c r="AB1015" t="str">
        <f>HYPERLINK("Melting_Curves/meltCurve_H0YLX2_RFX7.pdf", "Melting_Curves/meltCurve_H0YLX2_RFX7.pdf")</f>
        <v>Melting_Curves/meltCurve_H0YLX2_RFX7.pdf</v>
      </c>
    </row>
    <row r="1016" spans="1:28" x14ac:dyDescent="0.25">
      <c r="A1016" t="s">
        <v>1020</v>
      </c>
      <c r="B1016">
        <v>0.99472303558308395</v>
      </c>
      <c r="C1016">
        <v>0.86130684398959501</v>
      </c>
      <c r="D1016">
        <v>0.97238710820950902</v>
      </c>
      <c r="E1016">
        <v>0.61773370441207498</v>
      </c>
      <c r="F1016">
        <v>0.40662863326079801</v>
      </c>
      <c r="G1016">
        <v>0.37330458724801502</v>
      </c>
      <c r="H1016">
        <v>0.25947451133648097</v>
      </c>
      <c r="I1016">
        <v>0.12733406717336801</v>
      </c>
      <c r="J1016">
        <v>8.5340671271013205E-2</v>
      </c>
      <c r="K1016">
        <v>0.13488177758730799</v>
      </c>
      <c r="L1016">
        <v>585.30224436950698</v>
      </c>
      <c r="M1016">
        <v>11.9844428524262</v>
      </c>
      <c r="N1016">
        <v>49.563457527314803</v>
      </c>
      <c r="O1016">
        <v>47.5382929777575</v>
      </c>
      <c r="P1016">
        <v>-5.7972348649094903E-2</v>
      </c>
      <c r="Q1016">
        <v>8.03948146764418E-2</v>
      </c>
      <c r="R1016">
        <v>0.96682345487228105</v>
      </c>
      <c r="S1016" t="s">
        <v>7584</v>
      </c>
      <c r="T1016" t="s">
        <v>13134</v>
      </c>
      <c r="U1016" t="s">
        <v>13134</v>
      </c>
      <c r="V1016" t="s">
        <v>13134</v>
      </c>
      <c r="W1016" t="s">
        <v>14133</v>
      </c>
      <c r="X1016">
        <v>2</v>
      </c>
      <c r="Y1016" t="s">
        <v>20624</v>
      </c>
      <c r="Z1016" t="s">
        <v>26984</v>
      </c>
      <c r="AA1016">
        <v>0.47090710766716992</v>
      </c>
      <c r="AB1016" t="str">
        <f>HYPERLINK("Melting_Curves/meltCurve_H0YLY9_PIGH.pdf", "Melting_Curves/meltCurve_H0YLY9_PIGH.pdf")</f>
        <v>Melting_Curves/meltCurve_H0YLY9_PIGH.pdf</v>
      </c>
    </row>
    <row r="1017" spans="1:28" x14ac:dyDescent="0.25">
      <c r="A1017" t="s">
        <v>1021</v>
      </c>
      <c r="B1017">
        <v>0.99472303558308395</v>
      </c>
      <c r="C1017">
        <v>1.06566914841398</v>
      </c>
      <c r="D1017">
        <v>0.89469730764807698</v>
      </c>
      <c r="E1017">
        <v>0.79215544709423702</v>
      </c>
      <c r="F1017">
        <v>0.61649662686370899</v>
      </c>
      <c r="G1017">
        <v>0.32541982349533</v>
      </c>
      <c r="H1017">
        <v>0.29210572880437602</v>
      </c>
      <c r="I1017">
        <v>0.231699634669634</v>
      </c>
      <c r="J1017">
        <v>0.40448492202664299</v>
      </c>
      <c r="K1017">
        <v>0.28294559386226797</v>
      </c>
      <c r="L1017">
        <v>981.67327442619398</v>
      </c>
      <c r="M1017">
        <v>20.055995941719701</v>
      </c>
      <c r="N1017">
        <v>51.082020599654498</v>
      </c>
      <c r="O1017">
        <v>48.467792585704601</v>
      </c>
      <c r="P1017">
        <v>-7.4093163627811098E-2</v>
      </c>
      <c r="Q1017">
        <v>0.28380176937319601</v>
      </c>
      <c r="R1017">
        <v>0.96257406769916998</v>
      </c>
      <c r="S1017" t="s">
        <v>7585</v>
      </c>
      <c r="T1017" t="s">
        <v>13134</v>
      </c>
      <c r="U1017" t="s">
        <v>13134</v>
      </c>
      <c r="V1017" t="s">
        <v>13134</v>
      </c>
      <c r="W1017" t="s">
        <v>14134</v>
      </c>
      <c r="X1017">
        <v>15</v>
      </c>
      <c r="Y1017" t="s">
        <v>20625</v>
      </c>
      <c r="Z1017" t="s">
        <v>26985</v>
      </c>
      <c r="AA1017">
        <v>0.57839351316230281</v>
      </c>
      <c r="AB1017" t="str">
        <f>HYPERLINK("Melting_Curves/meltCurve_H0YMA9_CUX1.pdf", "Melting_Curves/meltCurve_H0YMA9_CUX1.pdf")</f>
        <v>Melting_Curves/meltCurve_H0YMA9_CUX1.pdf</v>
      </c>
    </row>
    <row r="1018" spans="1:28" x14ac:dyDescent="0.25">
      <c r="A1018" t="s">
        <v>1022</v>
      </c>
      <c r="B1018">
        <v>0.99472303558308395</v>
      </c>
      <c r="C1018">
        <v>0.89234782486623299</v>
      </c>
      <c r="D1018">
        <v>0.864837437288832</v>
      </c>
      <c r="E1018">
        <v>0.71066409970983802</v>
      </c>
      <c r="F1018">
        <v>0.65186239947610403</v>
      </c>
      <c r="G1018">
        <v>0.45429657453136102</v>
      </c>
      <c r="H1018">
        <v>0.39161149486244901</v>
      </c>
      <c r="I1018">
        <v>0.24699405647556899</v>
      </c>
      <c r="J1018">
        <v>0.51022178261833895</v>
      </c>
      <c r="K1018">
        <v>0.48172041464481902</v>
      </c>
      <c r="L1018">
        <v>616.80651594522703</v>
      </c>
      <c r="M1018">
        <v>13.0893444790311</v>
      </c>
      <c r="N1018">
        <v>53.1082767866654</v>
      </c>
      <c r="O1018">
        <v>46.063615006692999</v>
      </c>
      <c r="P1018">
        <v>-4.3651687440148197E-2</v>
      </c>
      <c r="Q1018">
        <v>0.385635025472155</v>
      </c>
      <c r="R1018">
        <v>0.88961293642030503</v>
      </c>
      <c r="S1018" t="s">
        <v>7586</v>
      </c>
      <c r="T1018" t="s">
        <v>13134</v>
      </c>
      <c r="U1018" t="s">
        <v>13134</v>
      </c>
      <c r="V1018" t="s">
        <v>13134</v>
      </c>
      <c r="W1018" t="s">
        <v>14135</v>
      </c>
      <c r="X1018">
        <v>11</v>
      </c>
      <c r="Y1018" t="s">
        <v>20626</v>
      </c>
      <c r="Z1018" t="s">
        <v>26986</v>
      </c>
      <c r="AA1018">
        <v>0.61037535112495678</v>
      </c>
      <c r="AB1018" t="str">
        <f>HYPERLINK("Melting_Curves/meltCurve_H0YMB3_GMPR2.pdf", "Melting_Curves/meltCurve_H0YMB3_GMPR2.pdf")</f>
        <v>Melting_Curves/meltCurve_H0YMB3_GMPR2.pdf</v>
      </c>
    </row>
    <row r="1019" spans="1:28" x14ac:dyDescent="0.25">
      <c r="A1019" t="s">
        <v>1023</v>
      </c>
      <c r="B1019">
        <v>0.99472303558308395</v>
      </c>
      <c r="C1019">
        <v>1.01083297458498</v>
      </c>
      <c r="D1019">
        <v>1.0119076395086399</v>
      </c>
      <c r="E1019">
        <v>0.721046404100251</v>
      </c>
      <c r="F1019">
        <v>0.57604669021799904</v>
      </c>
      <c r="G1019">
        <v>0.32849897667698102</v>
      </c>
      <c r="H1019">
        <v>0.191834215101338</v>
      </c>
      <c r="I1019">
        <v>8.2445907409928895E-2</v>
      </c>
      <c r="J1019">
        <v>5.2066854368734497E-2</v>
      </c>
      <c r="K1019">
        <v>3.58829905631039E-2</v>
      </c>
      <c r="L1019">
        <v>715.44111878053798</v>
      </c>
      <c r="M1019">
        <v>14.0230219798171</v>
      </c>
      <c r="N1019">
        <v>51.033208308351</v>
      </c>
      <c r="O1019">
        <v>50.015109989795</v>
      </c>
      <c r="P1019">
        <v>-6.9966944936947897E-2</v>
      </c>
      <c r="Q1019">
        <v>1.9427343456899001E-3</v>
      </c>
      <c r="R1019">
        <v>0.991555529271123</v>
      </c>
      <c r="S1019" t="s">
        <v>7587</v>
      </c>
      <c r="T1019" t="s">
        <v>13134</v>
      </c>
      <c r="U1019" t="s">
        <v>13134</v>
      </c>
      <c r="V1019" t="s">
        <v>13134</v>
      </c>
      <c r="W1019" t="s">
        <v>14136</v>
      </c>
      <c r="X1019">
        <v>10</v>
      </c>
      <c r="Y1019" t="s">
        <v>20627</v>
      </c>
      <c r="Z1019" t="s">
        <v>26987</v>
      </c>
      <c r="AA1019">
        <v>0.49018973842780539</v>
      </c>
      <c r="AB1019" t="str">
        <f>HYPERLINK("Melting_Curves/meltCurve_H0YMF4_RPL28.pdf", "Melting_Curves/meltCurve_H0YMF4_RPL28.pdf")</f>
        <v>Melting_Curves/meltCurve_H0YMF4_RPL28.pdf</v>
      </c>
    </row>
    <row r="1020" spans="1:28" x14ac:dyDescent="0.25">
      <c r="A1020" t="s">
        <v>1024</v>
      </c>
      <c r="B1020">
        <v>0.99472303558308395</v>
      </c>
      <c r="C1020">
        <v>0.93282917294300105</v>
      </c>
      <c r="D1020">
        <v>0.93097503625731304</v>
      </c>
      <c r="E1020">
        <v>0.688064217587256</v>
      </c>
      <c r="F1020">
        <v>0.34337050710239497</v>
      </c>
      <c r="G1020">
        <v>0.165067468172545</v>
      </c>
      <c r="H1020">
        <v>9.7379758491670895E-2</v>
      </c>
      <c r="I1020">
        <v>6.10829962655784E-2</v>
      </c>
      <c r="J1020">
        <v>0.109029042090282</v>
      </c>
      <c r="K1020">
        <v>5.7165334742621102E-2</v>
      </c>
      <c r="L1020">
        <v>979.15892768780498</v>
      </c>
      <c r="M1020">
        <v>20.3507986293545</v>
      </c>
      <c r="N1020">
        <v>48.458545711779003</v>
      </c>
      <c r="O1020">
        <v>47.656667872633498</v>
      </c>
      <c r="P1020">
        <v>-9.9570444573576694E-2</v>
      </c>
      <c r="Q1020">
        <v>6.7348166190815906E-2</v>
      </c>
      <c r="R1020">
        <v>0.99672188968555397</v>
      </c>
      <c r="S1020" t="s">
        <v>7588</v>
      </c>
      <c r="T1020" t="s">
        <v>13134</v>
      </c>
      <c r="U1020" t="s">
        <v>13134</v>
      </c>
      <c r="V1020" t="s">
        <v>13134</v>
      </c>
      <c r="W1020" t="s">
        <v>14137</v>
      </c>
      <c r="X1020">
        <v>9</v>
      </c>
      <c r="Y1020" t="s">
        <v>20628</v>
      </c>
      <c r="Z1020" t="s">
        <v>26988</v>
      </c>
      <c r="AA1020">
        <v>0.4247280865378118</v>
      </c>
      <c r="AB1020" t="str">
        <f>HYPERLINK("Melting_Curves/meltCurve_H0YMJ0_MORF4L1.pdf", "Melting_Curves/meltCurve_H0YMJ0_MORF4L1.pdf")</f>
        <v>Melting_Curves/meltCurve_H0YMJ0_MORF4L1.pdf</v>
      </c>
    </row>
    <row r="1021" spans="1:28" x14ac:dyDescent="0.25">
      <c r="A1021" t="s">
        <v>1025</v>
      </c>
      <c r="B1021">
        <v>0.99472303558308395</v>
      </c>
      <c r="C1021">
        <v>1.0497659047564301</v>
      </c>
      <c r="D1021">
        <v>0.78670682105518697</v>
      </c>
      <c r="E1021">
        <v>0.483675881582741</v>
      </c>
      <c r="F1021">
        <v>0.15157938690105499</v>
      </c>
      <c r="G1021">
        <v>7.7186067618376306E-2</v>
      </c>
      <c r="H1021">
        <v>5.8446422877325099E-2</v>
      </c>
      <c r="I1021">
        <v>2.38665856918376E-2</v>
      </c>
      <c r="J1021">
        <v>2.93649722079177E-2</v>
      </c>
      <c r="K1021">
        <v>1.8911144166003199E-2</v>
      </c>
      <c r="L1021">
        <v>994.42544308773404</v>
      </c>
      <c r="M1021">
        <v>21.557861481462201</v>
      </c>
      <c r="N1021">
        <v>46.245589994327403</v>
      </c>
      <c r="O1021">
        <v>45.736784685693998</v>
      </c>
      <c r="P1021">
        <v>-0.114701926255333</v>
      </c>
      <c r="Q1021">
        <v>2.6625085909778599E-2</v>
      </c>
      <c r="R1021">
        <v>0.99369548710411704</v>
      </c>
      <c r="S1021" t="s">
        <v>7589</v>
      </c>
      <c r="T1021" t="s">
        <v>13134</v>
      </c>
      <c r="U1021" t="s">
        <v>13134</v>
      </c>
      <c r="V1021" t="s">
        <v>13134</v>
      </c>
      <c r="W1021" t="s">
        <v>14138</v>
      </c>
      <c r="X1021">
        <v>1</v>
      </c>
      <c r="Y1021" t="s">
        <v>20629</v>
      </c>
      <c r="Z1021" t="s">
        <v>26989</v>
      </c>
      <c r="AA1021">
        <v>0.33372696742006269</v>
      </c>
      <c r="AB1021" t="str">
        <f>HYPERLINK("Melting_Curves/meltCurve_H0YMX0_PKNOX1.pdf", "Melting_Curves/meltCurve_H0YMX0_PKNOX1.pdf")</f>
        <v>Melting_Curves/meltCurve_H0YMX0_PKNOX1.pdf</v>
      </c>
    </row>
    <row r="1022" spans="1:28" x14ac:dyDescent="0.25">
      <c r="A1022" t="s">
        <v>1026</v>
      </c>
      <c r="B1022">
        <v>0.99472303558308395</v>
      </c>
      <c r="C1022">
        <v>0.76471471490765897</v>
      </c>
      <c r="D1022">
        <v>1.05851355911628</v>
      </c>
      <c r="E1022">
        <v>0.73252312477701198</v>
      </c>
      <c r="F1022">
        <v>0.42057871630483901</v>
      </c>
      <c r="G1022">
        <v>0.357476510847759</v>
      </c>
      <c r="H1022">
        <v>0.293776875875434</v>
      </c>
      <c r="I1022">
        <v>0.28707098153862298</v>
      </c>
      <c r="J1022">
        <v>0.55662539219614104</v>
      </c>
      <c r="K1022">
        <v>0.452935025305717</v>
      </c>
      <c r="L1022">
        <v>3081.0341837907899</v>
      </c>
      <c r="M1022">
        <v>65.868720835305595</v>
      </c>
      <c r="N1022">
        <v>47.899851668448399</v>
      </c>
      <c r="O1022">
        <v>46.732335238239898</v>
      </c>
      <c r="P1022">
        <v>-0.21371989052313201</v>
      </c>
      <c r="Q1022">
        <v>0.39348309946348897</v>
      </c>
      <c r="R1022">
        <v>0.84340621291361495</v>
      </c>
      <c r="S1022" t="s">
        <v>7590</v>
      </c>
      <c r="T1022" t="s">
        <v>13134</v>
      </c>
      <c r="U1022" t="s">
        <v>13134</v>
      </c>
      <c r="V1022" t="s">
        <v>13134</v>
      </c>
      <c r="W1022" t="s">
        <v>14139</v>
      </c>
      <c r="X1022">
        <v>4</v>
      </c>
      <c r="Y1022" t="s">
        <v>20630</v>
      </c>
      <c r="Z1022" t="s">
        <v>26990</v>
      </c>
      <c r="AA1022">
        <v>0.59183349079420178</v>
      </c>
      <c r="AB1022" t="str">
        <f>HYPERLINK("Melting_Curves/meltCurve_H0YN78_C15orf57.pdf", "Melting_Curves/meltCurve_H0YN78_C15orf57.pdf")</f>
        <v>Melting_Curves/meltCurve_H0YN78_C15orf57.pdf</v>
      </c>
    </row>
    <row r="1023" spans="1:28" x14ac:dyDescent="0.25">
      <c r="A1023" t="s">
        <v>1027</v>
      </c>
      <c r="B1023">
        <v>0.99472303558308395</v>
      </c>
      <c r="C1023">
        <v>0.92561569327422</v>
      </c>
      <c r="D1023">
        <v>0.90897969464086703</v>
      </c>
      <c r="E1023">
        <v>0.85220514500159605</v>
      </c>
      <c r="F1023">
        <v>0.81024002678718898</v>
      </c>
      <c r="G1023">
        <v>0.41527025276044799</v>
      </c>
      <c r="H1023">
        <v>0.16983033698802599</v>
      </c>
      <c r="I1023">
        <v>0.125890320500158</v>
      </c>
      <c r="J1023">
        <v>0.14224754143309601</v>
      </c>
      <c r="K1023">
        <v>0.118417994058741</v>
      </c>
      <c r="L1023">
        <v>1206.69793685171</v>
      </c>
      <c r="M1023">
        <v>23.039282575579001</v>
      </c>
      <c r="N1023">
        <v>52.901131501200602</v>
      </c>
      <c r="O1023">
        <v>51.985873917050398</v>
      </c>
      <c r="P1023">
        <v>-9.9466219136710901E-2</v>
      </c>
      <c r="Q1023">
        <v>0.102273752859198</v>
      </c>
      <c r="R1023">
        <v>0.97914031909727794</v>
      </c>
      <c r="S1023" t="s">
        <v>7591</v>
      </c>
      <c r="T1023" t="s">
        <v>13134</v>
      </c>
      <c r="U1023" t="s">
        <v>13134</v>
      </c>
      <c r="V1023" t="s">
        <v>13134</v>
      </c>
      <c r="W1023" t="s">
        <v>14140</v>
      </c>
      <c r="X1023">
        <v>16</v>
      </c>
      <c r="Y1023" t="s">
        <v>20631</v>
      </c>
      <c r="Z1023" t="s">
        <v>26991</v>
      </c>
      <c r="AA1023">
        <v>0.57153948327114712</v>
      </c>
      <c r="AB1023" t="str">
        <f>HYPERLINK("Melting_Curves/meltCurve_H0YNE3_PSME1.pdf", "Melting_Curves/meltCurve_H0YNE3_PSME1.pdf")</f>
        <v>Melting_Curves/meltCurve_H0YNE3_PSME1.pdf</v>
      </c>
    </row>
    <row r="1024" spans="1:28" x14ac:dyDescent="0.25">
      <c r="A1024" t="s">
        <v>1028</v>
      </c>
      <c r="B1024">
        <v>0.99472303558308395</v>
      </c>
      <c r="C1024">
        <v>0.97833720055384299</v>
      </c>
      <c r="D1024">
        <v>0.798847270386149</v>
      </c>
      <c r="E1024">
        <v>0.70228500907881397</v>
      </c>
      <c r="F1024">
        <v>0.54533338166410805</v>
      </c>
      <c r="G1024">
        <v>0.23988265315381499</v>
      </c>
      <c r="H1024">
        <v>7.6611842094608695E-2</v>
      </c>
      <c r="I1024">
        <v>5.0299382133124099E-2</v>
      </c>
      <c r="J1024">
        <v>8.1286627195019501E-2</v>
      </c>
      <c r="K1024">
        <v>6.41775881582414E-2</v>
      </c>
      <c r="L1024">
        <v>649.31555664226698</v>
      </c>
      <c r="M1024">
        <v>13.0860262570855</v>
      </c>
      <c r="N1024">
        <v>49.619021566223097</v>
      </c>
      <c r="O1024">
        <v>48.503156506546603</v>
      </c>
      <c r="P1024">
        <v>-6.74609518389645E-2</v>
      </c>
      <c r="Q1024">
        <v>0</v>
      </c>
      <c r="R1024">
        <v>0.98391548482100699</v>
      </c>
      <c r="S1024" t="s">
        <v>7592</v>
      </c>
      <c r="T1024" t="s">
        <v>13134</v>
      </c>
      <c r="U1024" t="s">
        <v>13134</v>
      </c>
      <c r="V1024" t="s">
        <v>13134</v>
      </c>
      <c r="W1024" t="s">
        <v>14141</v>
      </c>
      <c r="X1024">
        <v>14</v>
      </c>
      <c r="Y1024" t="s">
        <v>20632</v>
      </c>
      <c r="Z1024" t="s">
        <v>26992</v>
      </c>
      <c r="AA1024">
        <v>0.44629114648244272</v>
      </c>
      <c r="AB1024" t="str">
        <f>HYPERLINK("Melting_Curves/meltCurve_H0YNG3_SEC11A.pdf", "Melting_Curves/meltCurve_H0YNG3_SEC11A.pdf")</f>
        <v>Melting_Curves/meltCurve_H0YNG3_SEC11A.pdf</v>
      </c>
    </row>
    <row r="1025" spans="1:28" x14ac:dyDescent="0.25">
      <c r="A1025" t="s">
        <v>1029</v>
      </c>
      <c r="B1025">
        <v>0.99472303558308395</v>
      </c>
      <c r="C1025">
        <v>1.0901468209899601</v>
      </c>
      <c r="D1025">
        <v>0.92345212826124201</v>
      </c>
      <c r="E1025">
        <v>1.0168840997441</v>
      </c>
      <c r="F1025">
        <v>0.94185510179724397</v>
      </c>
      <c r="G1025">
        <v>0.56886245025279802</v>
      </c>
      <c r="H1025">
        <v>0.31499997111707101</v>
      </c>
      <c r="I1025">
        <v>0.22753520025853299</v>
      </c>
      <c r="J1025">
        <v>0.29621032172134498</v>
      </c>
      <c r="K1025">
        <v>0.41813304517538502</v>
      </c>
      <c r="L1025">
        <v>2440.9087338169902</v>
      </c>
      <c r="M1025">
        <v>45.919176195069703</v>
      </c>
      <c r="N1025">
        <v>54.295184955094797</v>
      </c>
      <c r="O1025">
        <v>53.056094318875601</v>
      </c>
      <c r="P1025">
        <v>-0.14948860276768</v>
      </c>
      <c r="Q1025">
        <v>0.30911005312123602</v>
      </c>
      <c r="R1025">
        <v>0.96847010573219405</v>
      </c>
      <c r="S1025" t="s">
        <v>7593</v>
      </c>
      <c r="T1025" t="s">
        <v>13134</v>
      </c>
      <c r="U1025" t="s">
        <v>13134</v>
      </c>
      <c r="V1025" t="s">
        <v>13134</v>
      </c>
      <c r="W1025" t="s">
        <v>14142</v>
      </c>
      <c r="X1025">
        <v>1</v>
      </c>
      <c r="Y1025" t="s">
        <v>20633</v>
      </c>
      <c r="Z1025" t="s">
        <v>26993</v>
      </c>
      <c r="AA1025">
        <v>0.68311117927106357</v>
      </c>
      <c r="AB1025" t="str">
        <f>HYPERLINK("Melting_Curves/meltCurve_H0YNH6_EMC9.pdf", "Melting_Curves/meltCurve_H0YNH6_EMC9.pdf")</f>
        <v>Melting_Curves/meltCurve_H0YNH6_EMC9.pdf</v>
      </c>
    </row>
    <row r="1026" spans="1:28" x14ac:dyDescent="0.25">
      <c r="A1026" t="s">
        <v>1030</v>
      </c>
      <c r="B1026">
        <v>0.99472303558308395</v>
      </c>
      <c r="C1026">
        <v>1.1282090142180601</v>
      </c>
      <c r="D1026">
        <v>1.0507632820388599</v>
      </c>
      <c r="E1026">
        <v>1.19584587023262</v>
      </c>
      <c r="F1026">
        <v>0.76287034565258705</v>
      </c>
      <c r="G1026">
        <v>0.74812556950949305</v>
      </c>
      <c r="H1026">
        <v>0.60072824920999202</v>
      </c>
      <c r="I1026">
        <v>0.495821351562097</v>
      </c>
      <c r="J1026">
        <v>0.93695657493995899</v>
      </c>
      <c r="K1026">
        <v>0.75107922196589305</v>
      </c>
      <c r="L1026">
        <v>12477.841924353799</v>
      </c>
      <c r="M1026">
        <v>250</v>
      </c>
      <c r="O1026">
        <v>49.908182131819899</v>
      </c>
      <c r="P1026">
        <v>-0.36749718282548599</v>
      </c>
      <c r="Q1026">
        <v>0.70654218845245598</v>
      </c>
      <c r="R1026">
        <v>0.64508599788834198</v>
      </c>
      <c r="S1026" t="s">
        <v>7594</v>
      </c>
      <c r="T1026" t="s">
        <v>13134</v>
      </c>
      <c r="U1026" t="s">
        <v>13134</v>
      </c>
      <c r="V1026" t="s">
        <v>13134</v>
      </c>
      <c r="W1026" t="s">
        <v>14143</v>
      </c>
      <c r="X1026">
        <v>1</v>
      </c>
      <c r="Y1026" t="s">
        <v>20634</v>
      </c>
      <c r="Z1026" t="s">
        <v>26994</v>
      </c>
      <c r="AA1026">
        <v>0.83286595045249734</v>
      </c>
      <c r="AB1026" t="str">
        <f>HYPERLINK("Melting_Curves/meltCurve_H0YNJ3_PPP2R5C.pdf", "Melting_Curves/meltCurve_H0YNJ3_PPP2R5C.pdf")</f>
        <v>Melting_Curves/meltCurve_H0YNJ3_PPP2R5C.pdf</v>
      </c>
    </row>
    <row r="1027" spans="1:28" x14ac:dyDescent="0.25">
      <c r="A1027" t="s">
        <v>1031</v>
      </c>
      <c r="B1027">
        <v>0.99472303558308395</v>
      </c>
      <c r="C1027">
        <v>1.3123169974776301</v>
      </c>
      <c r="D1027">
        <v>1.01406979316554</v>
      </c>
      <c r="E1027">
        <v>0.97948569924814899</v>
      </c>
      <c r="F1027">
        <v>1.1830625503388901</v>
      </c>
      <c r="G1027">
        <v>0.63005922785193103</v>
      </c>
      <c r="H1027">
        <v>0.43070304114323299</v>
      </c>
      <c r="I1027">
        <v>0.352256806054702</v>
      </c>
      <c r="J1027">
        <v>0.485393179752792</v>
      </c>
      <c r="K1027">
        <v>0.36997215449807302</v>
      </c>
      <c r="L1027">
        <v>13422.156079508301</v>
      </c>
      <c r="M1027">
        <v>250</v>
      </c>
      <c r="N1027">
        <v>54.058419311567803</v>
      </c>
      <c r="O1027">
        <v>53.685164125265302</v>
      </c>
      <c r="P1027">
        <v>-0.68736221471318604</v>
      </c>
      <c r="Q1027">
        <v>0.40958127661416999</v>
      </c>
      <c r="R1027">
        <v>0.87785145598200998</v>
      </c>
      <c r="S1027" t="s">
        <v>7595</v>
      </c>
      <c r="T1027" t="s">
        <v>13134</v>
      </c>
      <c r="U1027" t="s">
        <v>13134</v>
      </c>
      <c r="V1027" t="s">
        <v>13134</v>
      </c>
      <c r="W1027" t="s">
        <v>14144</v>
      </c>
      <c r="X1027">
        <v>1</v>
      </c>
      <c r="Y1027" t="s">
        <v>20635</v>
      </c>
      <c r="Z1027" t="s">
        <v>26995</v>
      </c>
      <c r="AA1027">
        <v>0.73807944962443972</v>
      </c>
      <c r="AB1027" t="str">
        <f>HYPERLINK("Melting_Curves/meltCurve_H0YNX7_GCHFR.pdf", "Melting_Curves/meltCurve_H0YNX7_GCHFR.pdf")</f>
        <v>Melting_Curves/meltCurve_H0YNX7_GCHFR.pdf</v>
      </c>
    </row>
    <row r="1028" spans="1:28" x14ac:dyDescent="0.25">
      <c r="A1028" t="s">
        <v>1032</v>
      </c>
      <c r="B1028">
        <v>0.99472303558308395</v>
      </c>
      <c r="C1028">
        <v>0.87477533470838598</v>
      </c>
      <c r="D1028">
        <v>1.0877147120875901</v>
      </c>
      <c r="E1028">
        <v>0.85232011455386503</v>
      </c>
      <c r="F1028">
        <v>0.518320865910472</v>
      </c>
      <c r="G1028">
        <v>0.34876267474239803</v>
      </c>
      <c r="H1028">
        <v>9.95194200288851E-2</v>
      </c>
      <c r="I1028">
        <v>8.1462506675872806E-2</v>
      </c>
      <c r="J1028">
        <v>0.103385511761588</v>
      </c>
      <c r="K1028">
        <v>7.2268953374742997E-2</v>
      </c>
      <c r="L1028">
        <v>1014.04074027249</v>
      </c>
      <c r="M1028">
        <v>20.075432620203198</v>
      </c>
      <c r="N1028">
        <v>50.880307133030598</v>
      </c>
      <c r="O1028">
        <v>50.018337583008503</v>
      </c>
      <c r="P1028">
        <v>-9.3549512735651805E-2</v>
      </c>
      <c r="Q1028">
        <v>6.7708051148151996E-2</v>
      </c>
      <c r="R1028">
        <v>0.97591702230769095</v>
      </c>
      <c r="S1028" t="s">
        <v>7596</v>
      </c>
      <c r="T1028" t="s">
        <v>13134</v>
      </c>
      <c r="U1028" t="s">
        <v>13134</v>
      </c>
      <c r="V1028" t="s">
        <v>13134</v>
      </c>
      <c r="W1028" t="s">
        <v>14145</v>
      </c>
      <c r="X1028">
        <v>12</v>
      </c>
      <c r="Y1028" t="s">
        <v>20636</v>
      </c>
      <c r="Z1028" t="s">
        <v>26996</v>
      </c>
      <c r="AA1028">
        <v>0.49976994025405658</v>
      </c>
      <c r="AB1028" t="str">
        <f>HYPERLINK("Melting_Curves/meltCurve_H3BLU7_AKR7A2.pdf", "Melting_Curves/meltCurve_H3BLU7_AKR7A2.pdf")</f>
        <v>Melting_Curves/meltCurve_H3BLU7_AKR7A2.pdf</v>
      </c>
    </row>
    <row r="1029" spans="1:28" x14ac:dyDescent="0.25">
      <c r="A1029" t="s">
        <v>1033</v>
      </c>
      <c r="B1029">
        <v>0.99472303558308395</v>
      </c>
      <c r="C1029">
        <v>0.96306434378445205</v>
      </c>
      <c r="D1029">
        <v>0.77718579901463702</v>
      </c>
      <c r="E1029">
        <v>0.68560003782394796</v>
      </c>
      <c r="F1029">
        <v>0.58799187658649199</v>
      </c>
      <c r="G1029">
        <v>0.32396770826833798</v>
      </c>
      <c r="H1029">
        <v>0.279333908787816</v>
      </c>
      <c r="I1029">
        <v>0.24238250641286799</v>
      </c>
      <c r="J1029">
        <v>0.34946609233036402</v>
      </c>
      <c r="K1029">
        <v>0.437128006797803</v>
      </c>
      <c r="L1029">
        <v>667.27763467888803</v>
      </c>
      <c r="M1029">
        <v>14.262893814411401</v>
      </c>
      <c r="N1029">
        <v>50.089193612335599</v>
      </c>
      <c r="O1029">
        <v>45.893315224922503</v>
      </c>
      <c r="P1029">
        <v>-5.4012937140678001E-2</v>
      </c>
      <c r="Q1029">
        <v>0.30490185498423</v>
      </c>
      <c r="R1029">
        <v>0.93175939288197396</v>
      </c>
      <c r="S1029" t="s">
        <v>7597</v>
      </c>
      <c r="T1029" t="s">
        <v>13134</v>
      </c>
      <c r="U1029" t="s">
        <v>13134</v>
      </c>
      <c r="V1029" t="s">
        <v>13134</v>
      </c>
      <c r="W1029" t="s">
        <v>14146</v>
      </c>
      <c r="X1029">
        <v>4</v>
      </c>
      <c r="Y1029" t="s">
        <v>20637</v>
      </c>
      <c r="Z1029" t="s">
        <v>26997</v>
      </c>
      <c r="AA1029">
        <v>0.54881308754391356</v>
      </c>
      <c r="AB1029" t="str">
        <f>HYPERLINK("Melting_Curves/meltCurve_H3BLV0_CD55.pdf", "Melting_Curves/meltCurve_H3BLV0_CD55.pdf")</f>
        <v>Melting_Curves/meltCurve_H3BLV0_CD55.pdf</v>
      </c>
    </row>
    <row r="1030" spans="1:28" x14ac:dyDescent="0.25">
      <c r="A1030" t="s">
        <v>1034</v>
      </c>
      <c r="B1030">
        <v>0.99472303558308395</v>
      </c>
      <c r="C1030">
        <v>0.96122395281200201</v>
      </c>
      <c r="D1030">
        <v>0.81760954922286799</v>
      </c>
      <c r="E1030">
        <v>0.68780219521822294</v>
      </c>
      <c r="F1030">
        <v>0.48711942155365701</v>
      </c>
      <c r="G1030">
        <v>0.16040404664548299</v>
      </c>
      <c r="H1030">
        <v>6.8208037753129502E-2</v>
      </c>
      <c r="I1030">
        <v>5.7933261141184397E-2</v>
      </c>
      <c r="J1030">
        <v>6.7259172004572501E-2</v>
      </c>
      <c r="K1030">
        <v>5.46602337264303E-2</v>
      </c>
      <c r="L1030">
        <v>706.07037765064797</v>
      </c>
      <c r="M1030">
        <v>14.4267737952472</v>
      </c>
      <c r="N1030">
        <v>48.9961936114073</v>
      </c>
      <c r="O1030">
        <v>48.030136439568203</v>
      </c>
      <c r="P1030">
        <v>-7.4503083450717697E-2</v>
      </c>
      <c r="Q1030">
        <v>7.9633045336529908E-3</v>
      </c>
      <c r="R1030">
        <v>0.98853078137892902</v>
      </c>
      <c r="S1030" t="s">
        <v>7598</v>
      </c>
      <c r="T1030" t="s">
        <v>13134</v>
      </c>
      <c r="U1030" t="s">
        <v>13134</v>
      </c>
      <c r="V1030" t="s">
        <v>13134</v>
      </c>
      <c r="W1030" t="s">
        <v>14147</v>
      </c>
      <c r="X1030">
        <v>16</v>
      </c>
      <c r="Y1030" t="s">
        <v>20638</v>
      </c>
      <c r="Z1030" t="s">
        <v>26998</v>
      </c>
      <c r="AA1030">
        <v>0.4255573131850916</v>
      </c>
      <c r="AB1030" t="str">
        <f>HYPERLINK("Melting_Curves/meltCurve_H3BLV9_SRPK1.pdf", "Melting_Curves/meltCurve_H3BLV9_SRPK1.pdf")</f>
        <v>Melting_Curves/meltCurve_H3BLV9_SRPK1.pdf</v>
      </c>
    </row>
    <row r="1031" spans="1:28" x14ac:dyDescent="0.25">
      <c r="A1031" t="s">
        <v>1035</v>
      </c>
      <c r="B1031">
        <v>0.99472303558308395</v>
      </c>
      <c r="C1031">
        <v>1.28783247576548</v>
      </c>
      <c r="D1031">
        <v>1.06811015895325</v>
      </c>
      <c r="E1031">
        <v>0.95512898677657998</v>
      </c>
      <c r="F1031">
        <v>1.0116198467323501</v>
      </c>
      <c r="G1031">
        <v>0.69429335436857698</v>
      </c>
      <c r="H1031">
        <v>0.57599982472236799</v>
      </c>
      <c r="I1031">
        <v>0.538919735491588</v>
      </c>
      <c r="J1031">
        <v>0.70754484283172603</v>
      </c>
      <c r="K1031">
        <v>0.66502970606386402</v>
      </c>
      <c r="L1031">
        <v>13372.520150140601</v>
      </c>
      <c r="M1031">
        <v>250</v>
      </c>
      <c r="O1031">
        <v>53.486657768501701</v>
      </c>
      <c r="P1031">
        <v>-0.44184672897312499</v>
      </c>
      <c r="Q1031">
        <v>0.62187352524421902</v>
      </c>
      <c r="R1031">
        <v>0.80318743174913998</v>
      </c>
      <c r="S1031" t="s">
        <v>7599</v>
      </c>
      <c r="T1031" t="s">
        <v>13134</v>
      </c>
      <c r="U1031" t="s">
        <v>13134</v>
      </c>
      <c r="V1031" t="s">
        <v>13134</v>
      </c>
      <c r="W1031" t="s">
        <v>14148</v>
      </c>
      <c r="X1031">
        <v>1</v>
      </c>
      <c r="Y1031" t="s">
        <v>20639</v>
      </c>
      <c r="Z1031" t="s">
        <v>26999</v>
      </c>
      <c r="AA1031">
        <v>0.82975355645114701</v>
      </c>
      <c r="AB1031" t="str">
        <f>HYPERLINK("Melting_Curves/meltCurve_H3BLZ2_DBNDD1.pdf", "Melting_Curves/meltCurve_H3BLZ2_DBNDD1.pdf")</f>
        <v>Melting_Curves/meltCurve_H3BLZ2_DBNDD1.pdf</v>
      </c>
    </row>
    <row r="1032" spans="1:28" x14ac:dyDescent="0.25">
      <c r="A1032" t="s">
        <v>1036</v>
      </c>
      <c r="B1032">
        <v>0.99472303558308395</v>
      </c>
      <c r="C1032">
        <v>0.92812840601525903</v>
      </c>
      <c r="D1032">
        <v>0.90332305932746804</v>
      </c>
      <c r="E1032">
        <v>0.779810383683603</v>
      </c>
      <c r="F1032">
        <v>0.46692228499543997</v>
      </c>
      <c r="G1032">
        <v>9.7761239411022105E-2</v>
      </c>
      <c r="H1032">
        <v>7.1353302738018098E-2</v>
      </c>
      <c r="I1032">
        <v>4.6391873516705401E-2</v>
      </c>
      <c r="J1032">
        <v>5.2185233470720897E-2</v>
      </c>
      <c r="K1032">
        <v>4.5302247338670103E-2</v>
      </c>
      <c r="L1032">
        <v>1058.62458166436</v>
      </c>
      <c r="M1032">
        <v>21.4761495245586</v>
      </c>
      <c r="N1032">
        <v>49.424161999200699</v>
      </c>
      <c r="O1032">
        <v>48.871621007940597</v>
      </c>
      <c r="P1032">
        <v>-0.10682038583643599</v>
      </c>
      <c r="Q1032">
        <v>2.76922471405067E-2</v>
      </c>
      <c r="R1032">
        <v>0.99068773588260295</v>
      </c>
      <c r="S1032" t="s">
        <v>7600</v>
      </c>
      <c r="T1032" t="s">
        <v>13134</v>
      </c>
      <c r="U1032" t="s">
        <v>13134</v>
      </c>
      <c r="V1032" t="s">
        <v>13134</v>
      </c>
      <c r="W1032" t="s">
        <v>14149</v>
      </c>
      <c r="X1032">
        <v>40</v>
      </c>
      <c r="Y1032" t="s">
        <v>20640</v>
      </c>
      <c r="Z1032" t="s">
        <v>27000</v>
      </c>
      <c r="AA1032">
        <v>0.43736192072146141</v>
      </c>
      <c r="AB1032" t="str">
        <f>HYPERLINK("Melting_Curves/meltCurve_H3BLZ8_DDX17.pdf", "Melting_Curves/meltCurve_H3BLZ8_DDX17.pdf")</f>
        <v>Melting_Curves/meltCurve_H3BLZ8_DDX17.pdf</v>
      </c>
    </row>
    <row r="1033" spans="1:28" x14ac:dyDescent="0.25">
      <c r="A1033" t="s">
        <v>1037</v>
      </c>
      <c r="B1033">
        <v>0.99472303558308395</v>
      </c>
      <c r="C1033">
        <v>0.99792070354956397</v>
      </c>
      <c r="D1033">
        <v>0.78154774042789299</v>
      </c>
      <c r="E1033">
        <v>0.43634467309602398</v>
      </c>
      <c r="F1033">
        <v>0.23539029835091599</v>
      </c>
      <c r="G1033">
        <v>0.124368850886288</v>
      </c>
      <c r="H1033">
        <v>8.3818136864908896E-2</v>
      </c>
      <c r="I1033">
        <v>6.2616334893780906E-2</v>
      </c>
      <c r="J1033">
        <v>7.9046943547084594E-2</v>
      </c>
      <c r="K1033">
        <v>6.5004556059211294E-2</v>
      </c>
      <c r="L1033">
        <v>896.13069218529495</v>
      </c>
      <c r="M1033">
        <v>19.588762394247301</v>
      </c>
      <c r="N1033">
        <v>46.103204192184897</v>
      </c>
      <c r="O1033">
        <v>45.278431342902998</v>
      </c>
      <c r="P1033">
        <v>-0.100569039454764</v>
      </c>
      <c r="Q1033">
        <v>7.0192054406328003E-2</v>
      </c>
      <c r="R1033">
        <v>0.99731388002817201</v>
      </c>
      <c r="S1033" t="s">
        <v>7601</v>
      </c>
      <c r="T1033" t="s">
        <v>13134</v>
      </c>
      <c r="U1033" t="s">
        <v>13134</v>
      </c>
      <c r="V1033" t="s">
        <v>13134</v>
      </c>
      <c r="W1033" t="s">
        <v>14150</v>
      </c>
      <c r="X1033">
        <v>18</v>
      </c>
      <c r="Y1033" t="s">
        <v>20641</v>
      </c>
      <c r="Z1033" t="s">
        <v>27001</v>
      </c>
      <c r="AA1033">
        <v>0.35398799598259179</v>
      </c>
      <c r="AB1033" t="str">
        <f>HYPERLINK("Melting_Curves/meltCurve_H3BM14_NUB1.pdf", "Melting_Curves/meltCurve_H3BM14_NUB1.pdf")</f>
        <v>Melting_Curves/meltCurve_H3BM14_NUB1.pdf</v>
      </c>
    </row>
    <row r="1034" spans="1:28" x14ac:dyDescent="0.25">
      <c r="A1034" t="s">
        <v>1038</v>
      </c>
      <c r="B1034">
        <v>0.99472303558308395</v>
      </c>
      <c r="C1034">
        <v>0.87038333378098398</v>
      </c>
      <c r="D1034">
        <v>0.68828894534732399</v>
      </c>
      <c r="E1034">
        <v>0.48716452571021701</v>
      </c>
      <c r="F1034">
        <v>0.34547949782667697</v>
      </c>
      <c r="G1034">
        <v>0.21507346375335901</v>
      </c>
      <c r="H1034">
        <v>0.11429029948998</v>
      </c>
      <c r="I1034">
        <v>7.4483440097935699E-2</v>
      </c>
      <c r="J1034">
        <v>9.8840647590404104E-2</v>
      </c>
      <c r="K1034">
        <v>7.4199327280579402E-2</v>
      </c>
      <c r="L1034">
        <v>532.48704058176702</v>
      </c>
      <c r="M1034">
        <v>11.528661304597099</v>
      </c>
      <c r="N1034">
        <v>46.564987029540397</v>
      </c>
      <c r="O1034">
        <v>44.863978878123802</v>
      </c>
      <c r="P1034">
        <v>-6.1397976535766001E-2</v>
      </c>
      <c r="Q1034">
        <v>4.4543916830130099E-2</v>
      </c>
      <c r="R1034">
        <v>0.99501860685457599</v>
      </c>
      <c r="S1034" t="s">
        <v>7602</v>
      </c>
      <c r="T1034" t="s">
        <v>13134</v>
      </c>
      <c r="U1034" t="s">
        <v>13134</v>
      </c>
      <c r="V1034" t="s">
        <v>13134</v>
      </c>
      <c r="W1034" t="s">
        <v>14151</v>
      </c>
      <c r="X1034">
        <v>2</v>
      </c>
      <c r="Y1034" t="s">
        <v>20642</v>
      </c>
      <c r="Z1034" t="s">
        <v>27002</v>
      </c>
      <c r="AA1034">
        <v>0.37207513226783412</v>
      </c>
      <c r="AB1034" t="str">
        <f>HYPERLINK("Melting_Curves/meltCurve_H3BM91_COMMD4.pdf", "Melting_Curves/meltCurve_H3BM91_COMMD4.pdf")</f>
        <v>Melting_Curves/meltCurve_H3BM91_COMMD4.pdf</v>
      </c>
    </row>
    <row r="1035" spans="1:28" x14ac:dyDescent="0.25">
      <c r="A1035" t="s">
        <v>1039</v>
      </c>
      <c r="B1035">
        <v>0.99472303558308395</v>
      </c>
      <c r="C1035">
        <v>1.12644251714238</v>
      </c>
      <c r="D1035">
        <v>0.89071264739029299</v>
      </c>
      <c r="E1035">
        <v>0.840618947885995</v>
      </c>
      <c r="F1035">
        <v>0.71872581600288399</v>
      </c>
      <c r="G1035">
        <v>0.54791842261896395</v>
      </c>
      <c r="H1035">
        <v>0.42446254302571002</v>
      </c>
      <c r="I1035">
        <v>0.55377228132127299</v>
      </c>
      <c r="J1035">
        <v>0.75866399945190999</v>
      </c>
      <c r="K1035">
        <v>0.58159343969463195</v>
      </c>
      <c r="L1035">
        <v>1112.8219362411901</v>
      </c>
      <c r="M1035">
        <v>23.404154146796198</v>
      </c>
      <c r="O1035">
        <v>47.2049979268618</v>
      </c>
      <c r="P1035">
        <v>-5.2821225275155897E-2</v>
      </c>
      <c r="Q1035">
        <v>0.57385646101103405</v>
      </c>
      <c r="R1035">
        <v>0.803679135099303</v>
      </c>
      <c r="S1035" t="s">
        <v>7603</v>
      </c>
      <c r="T1035" t="s">
        <v>13134</v>
      </c>
      <c r="U1035" t="s">
        <v>13134</v>
      </c>
      <c r="V1035" t="s">
        <v>13134</v>
      </c>
      <c r="W1035" t="s">
        <v>14152</v>
      </c>
      <c r="X1035">
        <v>5</v>
      </c>
      <c r="Y1035" t="s">
        <v>20643</v>
      </c>
      <c r="Z1035" t="s">
        <v>27003</v>
      </c>
      <c r="AA1035">
        <v>0.7278017760361728</v>
      </c>
      <c r="AB1035" t="str">
        <f>HYPERLINK("Melting_Curves/meltCurve_H3BMD8_ARPP19.pdf", "Melting_Curves/meltCurve_H3BMD8_ARPP19.pdf")</f>
        <v>Melting_Curves/meltCurve_H3BMD8_ARPP19.pdf</v>
      </c>
    </row>
    <row r="1036" spans="1:28" x14ac:dyDescent="0.25">
      <c r="A1036" t="s">
        <v>1040</v>
      </c>
      <c r="B1036">
        <v>0.99472303558308395</v>
      </c>
      <c r="C1036">
        <v>0.866370701054615</v>
      </c>
      <c r="D1036">
        <v>0.80617245138791604</v>
      </c>
      <c r="E1036">
        <v>0.682620860191822</v>
      </c>
      <c r="F1036">
        <v>0.81790086660138395</v>
      </c>
      <c r="G1036">
        <v>0.53137449668103998</v>
      </c>
      <c r="H1036">
        <v>0.29261190038255402</v>
      </c>
      <c r="I1036">
        <v>0.26269339963282801</v>
      </c>
      <c r="J1036">
        <v>0.32171321275714498</v>
      </c>
      <c r="K1036">
        <v>0.56769587288039502</v>
      </c>
      <c r="L1036">
        <v>453.33838181239997</v>
      </c>
      <c r="M1036">
        <v>9.2628838211659303</v>
      </c>
      <c r="N1036">
        <v>54.455387613747497</v>
      </c>
      <c r="O1036">
        <v>46.822557878746203</v>
      </c>
      <c r="P1036">
        <v>-3.4430787969450802E-2</v>
      </c>
      <c r="Q1036">
        <v>0.30428210208537398</v>
      </c>
      <c r="R1036">
        <v>0.770767570172468</v>
      </c>
      <c r="S1036" t="s">
        <v>7604</v>
      </c>
      <c r="T1036" t="s">
        <v>13134</v>
      </c>
      <c r="U1036" t="s">
        <v>13134</v>
      </c>
      <c r="V1036" t="s">
        <v>13134</v>
      </c>
      <c r="W1036" t="s">
        <v>14153</v>
      </c>
      <c r="X1036">
        <v>3</v>
      </c>
      <c r="Y1036" t="s">
        <v>20644</v>
      </c>
      <c r="Z1036" t="s">
        <v>27004</v>
      </c>
      <c r="AA1036">
        <v>0.60941808106699868</v>
      </c>
      <c r="AB1036" t="str">
        <f>HYPERLINK("Melting_Curves/meltCurve_H3BMF4_SPNS1.pdf", "Melting_Curves/meltCurve_H3BMF4_SPNS1.pdf")</f>
        <v>Melting_Curves/meltCurve_H3BMF4_SPNS1.pdf</v>
      </c>
    </row>
    <row r="1037" spans="1:28" x14ac:dyDescent="0.25">
      <c r="A1037" t="s">
        <v>1041</v>
      </c>
      <c r="B1037">
        <v>0.99472303558308395</v>
      </c>
      <c r="C1037">
        <v>0.87967949497609998</v>
      </c>
      <c r="D1037">
        <v>0.60586495751888103</v>
      </c>
      <c r="E1037">
        <v>0.46494588933632902</v>
      </c>
      <c r="F1037">
        <v>0.185809577495121</v>
      </c>
      <c r="G1037">
        <v>0.11860097433396501</v>
      </c>
      <c r="H1037">
        <v>7.3024773592706205E-2</v>
      </c>
      <c r="I1037">
        <v>5.5447398591789897E-2</v>
      </c>
      <c r="J1037">
        <v>7.4046031244996105E-2</v>
      </c>
      <c r="K1037">
        <v>5.6346637668453603E-2</v>
      </c>
      <c r="L1037">
        <v>643.07550697206898</v>
      </c>
      <c r="M1037">
        <v>14.324348454581999</v>
      </c>
      <c r="N1037">
        <v>45.175423099994099</v>
      </c>
      <c r="O1037">
        <v>44.046117235948898</v>
      </c>
      <c r="P1037">
        <v>-7.7840620099887806E-2</v>
      </c>
      <c r="Q1037">
        <v>4.2703697753643598E-2</v>
      </c>
      <c r="R1037">
        <v>0.99040079359687005</v>
      </c>
      <c r="S1037" t="s">
        <v>7605</v>
      </c>
      <c r="T1037" t="s">
        <v>13134</v>
      </c>
      <c r="U1037" t="s">
        <v>13134</v>
      </c>
      <c r="V1037" t="s">
        <v>13134</v>
      </c>
      <c r="W1037" t="s">
        <v>14154</v>
      </c>
      <c r="X1037">
        <v>4</v>
      </c>
      <c r="Y1037" t="s">
        <v>20645</v>
      </c>
      <c r="Z1037" t="s">
        <v>27005</v>
      </c>
      <c r="AA1037">
        <v>0.31964741643226358</v>
      </c>
      <c r="AB1037" t="str">
        <f>HYPERLINK("Melting_Curves/meltCurve_H3BMQ0_TSC2.pdf", "Melting_Curves/meltCurve_H3BMQ0_TSC2.pdf")</f>
        <v>Melting_Curves/meltCurve_H3BMQ0_TSC2.pdf</v>
      </c>
    </row>
    <row r="1038" spans="1:28" x14ac:dyDescent="0.25">
      <c r="A1038" t="s">
        <v>1042</v>
      </c>
      <c r="B1038">
        <v>0.99472303558308395</v>
      </c>
      <c r="C1038">
        <v>0.94127663846097798</v>
      </c>
      <c r="D1038">
        <v>0.92550702119985195</v>
      </c>
      <c r="E1038">
        <v>0.84134390788684899</v>
      </c>
      <c r="F1038">
        <v>0.74978307410080502</v>
      </c>
      <c r="G1038">
        <v>0.46315166176058298</v>
      </c>
      <c r="H1038">
        <v>0.30942153386205001</v>
      </c>
      <c r="I1038">
        <v>0.32192800349730799</v>
      </c>
      <c r="J1038">
        <v>0.39349257201815602</v>
      </c>
      <c r="K1038">
        <v>0.32868365787290899</v>
      </c>
      <c r="L1038">
        <v>948.98913092633995</v>
      </c>
      <c r="M1038">
        <v>18.765603866881801</v>
      </c>
      <c r="N1038">
        <v>53.382302513621603</v>
      </c>
      <c r="O1038">
        <v>50.006904796849</v>
      </c>
      <c r="P1038">
        <v>-6.4368260733245405E-2</v>
      </c>
      <c r="Q1038">
        <v>0.31391037592043303</v>
      </c>
      <c r="R1038">
        <v>0.97009795269948995</v>
      </c>
      <c r="S1038" t="s">
        <v>7606</v>
      </c>
      <c r="T1038" t="s">
        <v>13134</v>
      </c>
      <c r="U1038" t="s">
        <v>13134</v>
      </c>
      <c r="V1038" t="s">
        <v>13134</v>
      </c>
      <c r="W1038" t="s">
        <v>14053</v>
      </c>
      <c r="X1038">
        <v>8</v>
      </c>
      <c r="Z1038" t="s">
        <v>27006</v>
      </c>
      <c r="AA1038">
        <v>0.63429207798826936</v>
      </c>
      <c r="AB1038" t="str">
        <f>HYPERLINK("Melting_Curves/meltCurve_H3BN98_.pdf", "Melting_Curves/meltCurve_H3BN98_.pdf")</f>
        <v>Melting_Curves/meltCurve_H3BN98_.pdf</v>
      </c>
    </row>
    <row r="1039" spans="1:28" x14ac:dyDescent="0.25">
      <c r="A1039" t="s">
        <v>1043</v>
      </c>
      <c r="B1039">
        <v>0.99472303558308395</v>
      </c>
      <c r="C1039">
        <v>1.1456999740854299</v>
      </c>
      <c r="D1039">
        <v>0.79980183845631803</v>
      </c>
      <c r="E1039">
        <v>0.79739579161079399</v>
      </c>
      <c r="F1039">
        <v>0.60274866232565005</v>
      </c>
      <c r="G1039">
        <v>0.396774628010576</v>
      </c>
      <c r="H1039">
        <v>0.17745386202093799</v>
      </c>
      <c r="I1039">
        <v>6.1324133143940703E-2</v>
      </c>
      <c r="J1039">
        <v>6.1368303624988303E-2</v>
      </c>
      <c r="K1039">
        <v>4.7151821814726699E-2</v>
      </c>
      <c r="L1039">
        <v>693.04796411002906</v>
      </c>
      <c r="M1039">
        <v>13.469556250526701</v>
      </c>
      <c r="N1039">
        <v>51.452917426700999</v>
      </c>
      <c r="O1039">
        <v>50.358542689687297</v>
      </c>
      <c r="P1039">
        <v>-6.6878597052330693E-2</v>
      </c>
      <c r="Q1039">
        <v>0</v>
      </c>
      <c r="R1039">
        <v>0.96780271615649005</v>
      </c>
      <c r="S1039" t="s">
        <v>7607</v>
      </c>
      <c r="T1039" t="s">
        <v>13134</v>
      </c>
      <c r="U1039" t="s">
        <v>13134</v>
      </c>
      <c r="V1039" t="s">
        <v>13134</v>
      </c>
      <c r="W1039" t="s">
        <v>14155</v>
      </c>
      <c r="X1039">
        <v>9</v>
      </c>
      <c r="Y1039" t="s">
        <v>20646</v>
      </c>
      <c r="Z1039" t="s">
        <v>27007</v>
      </c>
      <c r="AA1039">
        <v>0.50409918689971367</v>
      </c>
      <c r="AB1039" t="str">
        <f>HYPERLINK("Melting_Curves/meltCurve_H3BND3_NUDT21.pdf", "Melting_Curves/meltCurve_H3BND3_NUDT21.pdf")</f>
        <v>Melting_Curves/meltCurve_H3BND3_NUDT21.pdf</v>
      </c>
    </row>
    <row r="1040" spans="1:28" x14ac:dyDescent="0.25">
      <c r="A1040" t="s">
        <v>1044</v>
      </c>
      <c r="B1040">
        <v>0.99472303558308395</v>
      </c>
      <c r="C1040">
        <v>0.92055424753734705</v>
      </c>
      <c r="D1040">
        <v>0.85863364069344505</v>
      </c>
      <c r="E1040">
        <v>0.67879043582059995</v>
      </c>
      <c r="F1040">
        <v>0.57650486847621996</v>
      </c>
      <c r="G1040">
        <v>0.36666832270642202</v>
      </c>
      <c r="H1040">
        <v>0.14461873226375799</v>
      </c>
      <c r="I1040">
        <v>0.102044307093644</v>
      </c>
      <c r="J1040">
        <v>0.116273227395229</v>
      </c>
      <c r="K1040">
        <v>9.0037415652084701E-2</v>
      </c>
      <c r="L1040">
        <v>545.16605451406895</v>
      </c>
      <c r="M1040">
        <v>10.795079534894599</v>
      </c>
      <c r="N1040">
        <v>50.501345443140799</v>
      </c>
      <c r="O1040">
        <v>48.860957924007003</v>
      </c>
      <c r="P1040">
        <v>-5.52537009674237E-2</v>
      </c>
      <c r="Q1040">
        <v>0</v>
      </c>
      <c r="R1040">
        <v>0.98875823581251299</v>
      </c>
      <c r="S1040" t="s">
        <v>7608</v>
      </c>
      <c r="T1040" t="s">
        <v>13134</v>
      </c>
      <c r="U1040" t="s">
        <v>13134</v>
      </c>
      <c r="V1040" t="s">
        <v>13134</v>
      </c>
      <c r="W1040" t="s">
        <v>14156</v>
      </c>
      <c r="X1040">
        <v>2</v>
      </c>
      <c r="Y1040" t="s">
        <v>20647</v>
      </c>
      <c r="Z1040" t="s">
        <v>27008</v>
      </c>
      <c r="AA1040">
        <v>0.48015221764622651</v>
      </c>
      <c r="AB1040" t="str">
        <f>HYPERLINK("Melting_Curves/meltCurve_H3BNK2_LYRM1.pdf", "Melting_Curves/meltCurve_H3BNK2_LYRM1.pdf")</f>
        <v>Melting_Curves/meltCurve_H3BNK2_LYRM1.pdf</v>
      </c>
    </row>
    <row r="1041" spans="1:28" x14ac:dyDescent="0.25">
      <c r="A1041" t="s">
        <v>1045</v>
      </c>
      <c r="B1041">
        <v>0.99472303558308395</v>
      </c>
      <c r="C1041">
        <v>0.85353932738844696</v>
      </c>
      <c r="D1041">
        <v>0.72678528501790496</v>
      </c>
      <c r="E1041">
        <v>0.44661419121639101</v>
      </c>
      <c r="F1041">
        <v>0.28206556046636</v>
      </c>
      <c r="G1041">
        <v>0.23514676692710201</v>
      </c>
      <c r="H1041">
        <v>0.15003588109680799</v>
      </c>
      <c r="I1041">
        <v>0.158589309749742</v>
      </c>
      <c r="J1041">
        <v>0.19635700920504001</v>
      </c>
      <c r="K1041">
        <v>0.172380171998533</v>
      </c>
      <c r="L1041">
        <v>701.41692026879298</v>
      </c>
      <c r="M1041">
        <v>15.692220512594901</v>
      </c>
      <c r="N1041">
        <v>45.830526935024103</v>
      </c>
      <c r="O1041">
        <v>43.991373445389399</v>
      </c>
      <c r="P1041">
        <v>-7.4855768143987506E-2</v>
      </c>
      <c r="Q1041">
        <v>0.16067220677353999</v>
      </c>
      <c r="R1041">
        <v>0.99438423826512101</v>
      </c>
      <c r="S1041" t="s">
        <v>7609</v>
      </c>
      <c r="T1041" t="s">
        <v>13134</v>
      </c>
      <c r="U1041" t="s">
        <v>13134</v>
      </c>
      <c r="V1041" t="s">
        <v>13134</v>
      </c>
      <c r="W1041" t="s">
        <v>14157</v>
      </c>
      <c r="X1041">
        <v>2</v>
      </c>
      <c r="Y1041" t="s">
        <v>20648</v>
      </c>
      <c r="Z1041" t="s">
        <v>27009</v>
      </c>
      <c r="AA1041">
        <v>0.39447863355119561</v>
      </c>
      <c r="AB1041" t="str">
        <f>HYPERLINK("Melting_Curves/meltCurve_H3BNM4_INO80E.pdf", "Melting_Curves/meltCurve_H3BNM4_INO80E.pdf")</f>
        <v>Melting_Curves/meltCurve_H3BNM4_INO80E.pdf</v>
      </c>
    </row>
    <row r="1042" spans="1:28" x14ac:dyDescent="0.25">
      <c r="A1042" t="s">
        <v>1046</v>
      </c>
      <c r="B1042">
        <v>0.99472303558308395</v>
      </c>
      <c r="C1042">
        <v>0.81942068710605698</v>
      </c>
      <c r="D1042">
        <v>0.92327392188568502</v>
      </c>
      <c r="E1042">
        <v>0.55632593482489001</v>
      </c>
      <c r="F1042">
        <v>0.339701458528889</v>
      </c>
      <c r="G1042">
        <v>0.377625126263467</v>
      </c>
      <c r="H1042">
        <v>0.20105332787903199</v>
      </c>
      <c r="I1042">
        <v>7.7215741305899296E-2</v>
      </c>
      <c r="J1042">
        <v>0.12720833795335601</v>
      </c>
      <c r="K1042">
        <v>7.8388247473600806E-2</v>
      </c>
      <c r="L1042">
        <v>533.96967815345101</v>
      </c>
      <c r="M1042">
        <v>11.105249753134901</v>
      </c>
      <c r="N1042">
        <v>48.551158438450997</v>
      </c>
      <c r="O1042">
        <v>46.602502864338902</v>
      </c>
      <c r="P1042">
        <v>-5.6565632576785603E-2</v>
      </c>
      <c r="Q1042">
        <v>5.0811993339798203E-2</v>
      </c>
      <c r="R1042">
        <v>0.95740385363070402</v>
      </c>
      <c r="S1042" t="s">
        <v>7610</v>
      </c>
      <c r="T1042" t="s">
        <v>13134</v>
      </c>
      <c r="U1042" t="s">
        <v>13134</v>
      </c>
      <c r="V1042" t="s">
        <v>13134</v>
      </c>
      <c r="W1042" t="s">
        <v>14158</v>
      </c>
      <c r="X1042">
        <v>3</v>
      </c>
      <c r="Y1042" t="s">
        <v>20649</v>
      </c>
      <c r="Z1042" t="s">
        <v>27010</v>
      </c>
      <c r="AA1042">
        <v>0.434476683543778</v>
      </c>
      <c r="AB1042" t="str">
        <f>HYPERLINK("Melting_Curves/meltCurve_H3BNV8_RAB40C.pdf", "Melting_Curves/meltCurve_H3BNV8_RAB40C.pdf")</f>
        <v>Melting_Curves/meltCurve_H3BNV8_RAB40C.pdf</v>
      </c>
    </row>
    <row r="1043" spans="1:28" x14ac:dyDescent="0.25">
      <c r="A1043" t="s">
        <v>1047</v>
      </c>
      <c r="B1043">
        <v>0.99472303558308395</v>
      </c>
      <c r="C1043">
        <v>0.96588753121899296</v>
      </c>
      <c r="D1043">
        <v>0.95927148864558498</v>
      </c>
      <c r="E1043">
        <v>0.81885422231424199</v>
      </c>
      <c r="F1043">
        <v>0.64943671063487396</v>
      </c>
      <c r="G1043">
        <v>0.48336394487016698</v>
      </c>
      <c r="H1043">
        <v>0.25602724200043903</v>
      </c>
      <c r="I1043">
        <v>0.110647758957447</v>
      </c>
      <c r="J1043">
        <v>9.3446446113943996E-2</v>
      </c>
      <c r="K1043">
        <v>9.1392179678042099E-2</v>
      </c>
      <c r="L1043">
        <v>665.92325006965302</v>
      </c>
      <c r="M1043">
        <v>12.6175741822991</v>
      </c>
      <c r="N1043">
        <v>52.777440702911598</v>
      </c>
      <c r="O1043">
        <v>51.504379703344497</v>
      </c>
      <c r="P1043">
        <v>-6.1257303820758398E-2</v>
      </c>
      <c r="Q1043">
        <v>0</v>
      </c>
      <c r="R1043">
        <v>0.99571951027939798</v>
      </c>
      <c r="S1043" t="s">
        <v>7611</v>
      </c>
      <c r="T1043" t="s">
        <v>13134</v>
      </c>
      <c r="U1043" t="s">
        <v>13134</v>
      </c>
      <c r="V1043" t="s">
        <v>13134</v>
      </c>
      <c r="W1043" t="s">
        <v>14159</v>
      </c>
      <c r="X1043">
        <v>13</v>
      </c>
      <c r="Y1043" t="s">
        <v>20650</v>
      </c>
      <c r="Z1043" t="s">
        <v>27011</v>
      </c>
      <c r="AA1043">
        <v>0.54694582105587775</v>
      </c>
      <c r="AB1043" t="str">
        <f>HYPERLINK("Melting_Curves/meltCurve_H3BP20_HEXA.pdf", "Melting_Curves/meltCurve_H3BP20_HEXA.pdf")</f>
        <v>Melting_Curves/meltCurve_H3BP20_HEXA.pdf</v>
      </c>
    </row>
    <row r="1044" spans="1:28" x14ac:dyDescent="0.25">
      <c r="A1044" t="s">
        <v>1048</v>
      </c>
      <c r="B1044">
        <v>0.99472303558308395</v>
      </c>
      <c r="C1044">
        <v>1.0188645775242</v>
      </c>
      <c r="D1044">
        <v>0.99747157733671299</v>
      </c>
      <c r="E1044">
        <v>0.84090562531790303</v>
      </c>
      <c r="F1044">
        <v>0.70498094432507996</v>
      </c>
      <c r="G1044">
        <v>0.51689302610042898</v>
      </c>
      <c r="H1044">
        <v>0.35942352027221802</v>
      </c>
      <c r="I1044">
        <v>0.25606224304137698</v>
      </c>
      <c r="J1044">
        <v>0.213964145269392</v>
      </c>
      <c r="K1044">
        <v>0.17386321506438401</v>
      </c>
      <c r="L1044">
        <v>689.77759270548904</v>
      </c>
      <c r="M1044">
        <v>13.064025311646001</v>
      </c>
      <c r="N1044">
        <v>54.039090199284999</v>
      </c>
      <c r="O1044">
        <v>51.608535371531701</v>
      </c>
      <c r="P1044">
        <v>-5.5101929002010303E-2</v>
      </c>
      <c r="Q1044">
        <v>0.12944494779212501</v>
      </c>
      <c r="R1044">
        <v>0.996714546824359</v>
      </c>
      <c r="S1044" t="s">
        <v>7612</v>
      </c>
      <c r="T1044" t="s">
        <v>13134</v>
      </c>
      <c r="U1044" t="s">
        <v>13134</v>
      </c>
      <c r="V1044" t="s">
        <v>13134</v>
      </c>
      <c r="W1044" t="s">
        <v>14160</v>
      </c>
      <c r="X1044">
        <v>7</v>
      </c>
      <c r="Y1044" t="s">
        <v>20651</v>
      </c>
      <c r="Z1044" t="s">
        <v>27012</v>
      </c>
      <c r="AA1044">
        <v>0.60574561614758515</v>
      </c>
      <c r="AB1044" t="str">
        <f>HYPERLINK("Melting_Curves/meltCurve_H3BP28_COQ7.pdf", "Melting_Curves/meltCurve_H3BP28_COQ7.pdf")</f>
        <v>Melting_Curves/meltCurve_H3BP28_COQ7.pdf</v>
      </c>
    </row>
    <row r="1045" spans="1:28" x14ac:dyDescent="0.25">
      <c r="A1045" t="s">
        <v>1049</v>
      </c>
      <c r="B1045">
        <v>0.99472303558308395</v>
      </c>
      <c r="C1045">
        <v>0.91315019761616401</v>
      </c>
      <c r="D1045">
        <v>1.0150832296195</v>
      </c>
      <c r="E1045">
        <v>0.78072170564280796</v>
      </c>
      <c r="F1045">
        <v>0.49469523569951002</v>
      </c>
      <c r="G1045">
        <v>0.20074378663915399</v>
      </c>
      <c r="H1045">
        <v>9.5528002891923994E-2</v>
      </c>
      <c r="I1045">
        <v>7.1001385088204902E-2</v>
      </c>
      <c r="J1045">
        <v>6.21764788723786E-2</v>
      </c>
      <c r="K1045">
        <v>5.6280045262709799E-2</v>
      </c>
      <c r="L1045">
        <v>1025.77522540426</v>
      </c>
      <c r="M1045">
        <v>20.640269247407499</v>
      </c>
      <c r="N1045">
        <v>49.943346187085098</v>
      </c>
      <c r="O1045">
        <v>49.238314258066403</v>
      </c>
      <c r="P1045">
        <v>-9.97436071982888E-2</v>
      </c>
      <c r="Q1045">
        <v>4.8255460269490999E-2</v>
      </c>
      <c r="R1045">
        <v>0.99328044649404101</v>
      </c>
      <c r="S1045" t="s">
        <v>7613</v>
      </c>
      <c r="T1045" t="s">
        <v>13134</v>
      </c>
      <c r="U1045" t="s">
        <v>13134</v>
      </c>
      <c r="V1045" t="s">
        <v>13134</v>
      </c>
      <c r="W1045" t="s">
        <v>14161</v>
      </c>
      <c r="X1045">
        <v>7</v>
      </c>
      <c r="Y1045" t="s">
        <v>20652</v>
      </c>
      <c r="Z1045" t="s">
        <v>27013</v>
      </c>
      <c r="AA1045">
        <v>0.46294438845847419</v>
      </c>
      <c r="AB1045" t="str">
        <f>HYPERLINK("Melting_Curves/meltCurve_H3BPB8_MPI.pdf", "Melting_Curves/meltCurve_H3BPB8_MPI.pdf")</f>
        <v>Melting_Curves/meltCurve_H3BPB8_MPI.pdf</v>
      </c>
    </row>
    <row r="1046" spans="1:28" x14ac:dyDescent="0.25">
      <c r="A1046" t="s">
        <v>1050</v>
      </c>
      <c r="B1046">
        <v>0.99472303558308395</v>
      </c>
      <c r="C1046">
        <v>0.92848780297159605</v>
      </c>
      <c r="D1046">
        <v>1.04683220457422</v>
      </c>
      <c r="E1046">
        <v>0.96555920962520703</v>
      </c>
      <c r="F1046">
        <v>0.602265844143407</v>
      </c>
      <c r="G1046">
        <v>0.277299923261904</v>
      </c>
      <c r="H1046">
        <v>0.109682091022709</v>
      </c>
      <c r="I1046">
        <v>9.3783514880856997E-2</v>
      </c>
      <c r="J1046">
        <v>9.7692550526201599E-2</v>
      </c>
      <c r="K1046">
        <v>7.9050282386871604E-2</v>
      </c>
      <c r="L1046">
        <v>1421.3881960665101</v>
      </c>
      <c r="M1046">
        <v>27.9456865824028</v>
      </c>
      <c r="N1046">
        <v>51.211600850703697</v>
      </c>
      <c r="O1046">
        <v>50.604215160245502</v>
      </c>
      <c r="P1046">
        <v>-0.126088310514544</v>
      </c>
      <c r="Q1046">
        <v>8.6722041197807298E-2</v>
      </c>
      <c r="R1046">
        <v>0.99367919782879599</v>
      </c>
      <c r="S1046" t="s">
        <v>7614</v>
      </c>
      <c r="T1046" t="s">
        <v>13134</v>
      </c>
      <c r="U1046" t="s">
        <v>13134</v>
      </c>
      <c r="V1046" t="s">
        <v>13134</v>
      </c>
      <c r="W1046" t="s">
        <v>14162</v>
      </c>
      <c r="X1046">
        <v>7</v>
      </c>
      <c r="Y1046" t="s">
        <v>20653</v>
      </c>
      <c r="Z1046" t="s">
        <v>27014</v>
      </c>
      <c r="AA1046">
        <v>0.51524985086612329</v>
      </c>
      <c r="AB1046" t="str">
        <f>HYPERLINK("Melting_Curves/meltCurve_H3BPC4_UBE2I.pdf", "Melting_Curves/meltCurve_H3BPC4_UBE2I.pdf")</f>
        <v>Melting_Curves/meltCurve_H3BPC4_UBE2I.pdf</v>
      </c>
    </row>
    <row r="1047" spans="1:28" x14ac:dyDescent="0.25">
      <c r="A1047" t="s">
        <v>1051</v>
      </c>
      <c r="B1047">
        <v>0.99472303558308395</v>
      </c>
      <c r="C1047">
        <v>1.1093712706997001</v>
      </c>
      <c r="D1047">
        <v>0.68217702078935805</v>
      </c>
      <c r="E1047">
        <v>0.60111979186174902</v>
      </c>
      <c r="F1047">
        <v>0.51805055984456505</v>
      </c>
      <c r="G1047">
        <v>0.21960459703993801</v>
      </c>
      <c r="H1047">
        <v>0.19401316917832701</v>
      </c>
      <c r="I1047">
        <v>6.6283100618319296E-2</v>
      </c>
      <c r="J1047">
        <v>8.0814969924431698E-2</v>
      </c>
      <c r="K1047">
        <v>0.14561948406494801</v>
      </c>
      <c r="L1047">
        <v>585.73354709991202</v>
      </c>
      <c r="M1047">
        <v>12.1522904279896</v>
      </c>
      <c r="N1047">
        <v>48.693709770316801</v>
      </c>
      <c r="O1047">
        <v>46.949920536691998</v>
      </c>
      <c r="P1047">
        <v>-6.0968061271549703E-2</v>
      </c>
      <c r="Q1047">
        <v>5.8024509506114298E-2</v>
      </c>
      <c r="R1047">
        <v>0.94411508476162898</v>
      </c>
      <c r="S1047" t="s">
        <v>7615</v>
      </c>
      <c r="T1047" t="s">
        <v>13134</v>
      </c>
      <c r="U1047" t="s">
        <v>13134</v>
      </c>
      <c r="V1047" t="s">
        <v>13134</v>
      </c>
      <c r="W1047" t="s">
        <v>14163</v>
      </c>
      <c r="X1047">
        <v>2</v>
      </c>
      <c r="Y1047" t="s">
        <v>20654</v>
      </c>
      <c r="Z1047" t="s">
        <v>27015</v>
      </c>
      <c r="AA1047">
        <v>0.43834952070213867</v>
      </c>
      <c r="AB1047" t="str">
        <f>HYPERLINK("Melting_Curves/meltCurve_H3BPD5_NTHL1.pdf", "Melting_Curves/meltCurve_H3BPD5_NTHL1.pdf")</f>
        <v>Melting_Curves/meltCurve_H3BPD5_NTHL1.pdf</v>
      </c>
    </row>
    <row r="1048" spans="1:28" x14ac:dyDescent="0.25">
      <c r="A1048" t="s">
        <v>1052</v>
      </c>
      <c r="B1048">
        <v>0.99472303558308395</v>
      </c>
      <c r="C1048">
        <v>0.94831149682647398</v>
      </c>
      <c r="D1048">
        <v>0.77671393309310999</v>
      </c>
      <c r="E1048">
        <v>0.53613322380996498</v>
      </c>
      <c r="F1048">
        <v>0.15335383327750801</v>
      </c>
      <c r="G1048">
        <v>8.4417406890055904E-2</v>
      </c>
      <c r="H1048">
        <v>5.4210963571822701E-2</v>
      </c>
      <c r="I1048">
        <v>3.8575098618044402E-2</v>
      </c>
      <c r="J1048">
        <v>4.59611206624524E-2</v>
      </c>
      <c r="K1048">
        <v>4.2348527472603099E-2</v>
      </c>
      <c r="L1048">
        <v>888.920420837802</v>
      </c>
      <c r="M1048">
        <v>19.221043654336899</v>
      </c>
      <c r="N1048">
        <v>46.392916983821898</v>
      </c>
      <c r="O1048">
        <v>45.755384459025898</v>
      </c>
      <c r="P1048">
        <v>-0.101949225942675</v>
      </c>
      <c r="Q1048">
        <v>2.9282991432930901E-2</v>
      </c>
      <c r="R1048">
        <v>0.99473640333772195</v>
      </c>
      <c r="S1048" t="s">
        <v>7616</v>
      </c>
      <c r="T1048" t="s">
        <v>13134</v>
      </c>
      <c r="U1048" t="s">
        <v>13134</v>
      </c>
      <c r="V1048" t="s">
        <v>13134</v>
      </c>
      <c r="W1048" t="s">
        <v>14164</v>
      </c>
      <c r="X1048">
        <v>170</v>
      </c>
      <c r="Y1048" t="s">
        <v>20238</v>
      </c>
      <c r="Z1048" t="s">
        <v>27016</v>
      </c>
      <c r="AA1048">
        <v>0.34224017333773321</v>
      </c>
      <c r="AB1048" t="str">
        <f>HYPERLINK("Melting_Curves/meltCurve_H3BPE1_MACF1.pdf", "Melting_Curves/meltCurve_H3BPE1_MACF1.pdf")</f>
        <v>Melting_Curves/meltCurve_H3BPE1_MACF1.pdf</v>
      </c>
    </row>
    <row r="1049" spans="1:28" x14ac:dyDescent="0.25">
      <c r="A1049" t="s">
        <v>1053</v>
      </c>
      <c r="B1049">
        <v>0.99472303558308395</v>
      </c>
      <c r="C1049">
        <v>0.98035035700116502</v>
      </c>
      <c r="D1049">
        <v>0.77363362472082897</v>
      </c>
      <c r="E1049">
        <v>0.53911830436599495</v>
      </c>
      <c r="F1049">
        <v>0.29493816752317398</v>
      </c>
      <c r="G1049">
        <v>0.223222105331501</v>
      </c>
      <c r="H1049">
        <v>0.150621161055778</v>
      </c>
      <c r="I1049">
        <v>8.4393708741054702E-2</v>
      </c>
      <c r="J1049">
        <v>0.17501257222514199</v>
      </c>
      <c r="K1049">
        <v>7.92726880714055E-2</v>
      </c>
      <c r="L1049">
        <v>747.00604360950103</v>
      </c>
      <c r="M1049">
        <v>16.129005064782</v>
      </c>
      <c r="N1049">
        <v>47.02929915264</v>
      </c>
      <c r="O1049">
        <v>45.620046938187102</v>
      </c>
      <c r="P1049">
        <v>-7.8785007667768803E-2</v>
      </c>
      <c r="Q1049">
        <v>0.108710651363675</v>
      </c>
      <c r="R1049">
        <v>0.99174391112041005</v>
      </c>
      <c r="S1049" t="s">
        <v>7617</v>
      </c>
      <c r="T1049" t="s">
        <v>13134</v>
      </c>
      <c r="U1049" t="s">
        <v>13134</v>
      </c>
      <c r="V1049" t="s">
        <v>13134</v>
      </c>
      <c r="W1049" t="s">
        <v>14165</v>
      </c>
      <c r="X1049">
        <v>7</v>
      </c>
      <c r="Y1049" t="s">
        <v>20655</v>
      </c>
      <c r="Z1049" t="s">
        <v>27017</v>
      </c>
      <c r="AA1049">
        <v>0.40321877419690011</v>
      </c>
      <c r="AB1049" t="str">
        <f>HYPERLINK("Melting_Curves/meltCurve_H3BPJ7_TCF4.pdf", "Melting_Curves/meltCurve_H3BPJ7_TCF4.pdf")</f>
        <v>Melting_Curves/meltCurve_H3BPJ7_TCF4.pdf</v>
      </c>
    </row>
    <row r="1050" spans="1:28" x14ac:dyDescent="0.25">
      <c r="A1050" t="s">
        <v>1054</v>
      </c>
      <c r="B1050">
        <v>0.99472303558308395</v>
      </c>
      <c r="C1050">
        <v>1.01178991630185</v>
      </c>
      <c r="D1050">
        <v>0.95364208533742201</v>
      </c>
      <c r="E1050">
        <v>0.85740766216833697</v>
      </c>
      <c r="F1050">
        <v>0.61515836353610098</v>
      </c>
      <c r="G1050">
        <v>0.423104546418065</v>
      </c>
      <c r="H1050">
        <v>0.290643689535934</v>
      </c>
      <c r="I1050">
        <v>0.26124719182138401</v>
      </c>
      <c r="J1050">
        <v>0.27760053057807699</v>
      </c>
      <c r="K1050">
        <v>0.16347406729962599</v>
      </c>
      <c r="L1050">
        <v>846.05734148852696</v>
      </c>
      <c r="M1050">
        <v>16.730593961076199</v>
      </c>
      <c r="N1050">
        <v>52.213953337730103</v>
      </c>
      <c r="O1050">
        <v>49.8635627389748</v>
      </c>
      <c r="P1050">
        <v>-6.6707835739860902E-2</v>
      </c>
      <c r="Q1050">
        <v>0.204792688924854</v>
      </c>
      <c r="R1050">
        <v>0.99379445643645803</v>
      </c>
      <c r="S1050" t="s">
        <v>7618</v>
      </c>
      <c r="T1050" t="s">
        <v>13134</v>
      </c>
      <c r="U1050" t="s">
        <v>13134</v>
      </c>
      <c r="V1050" t="s">
        <v>13134</v>
      </c>
      <c r="W1050" t="s">
        <v>14166</v>
      </c>
      <c r="X1050">
        <v>11</v>
      </c>
      <c r="Y1050" t="s">
        <v>20656</v>
      </c>
      <c r="Z1050" t="s">
        <v>27018</v>
      </c>
      <c r="AA1050">
        <v>0.57839918990134209</v>
      </c>
      <c r="AB1050" t="str">
        <f>HYPERLINK("Melting_Curves/meltCurve_H3BPK3_HAGH.pdf", "Melting_Curves/meltCurve_H3BPK3_HAGH.pdf")</f>
        <v>Melting_Curves/meltCurve_H3BPK3_HAGH.pdf</v>
      </c>
    </row>
    <row r="1051" spans="1:28" x14ac:dyDescent="0.25">
      <c r="A1051" t="s">
        <v>1055</v>
      </c>
      <c r="B1051">
        <v>0.99472303558308395</v>
      </c>
      <c r="C1051">
        <v>0.99912666688995</v>
      </c>
      <c r="D1051">
        <v>0.78783997936398198</v>
      </c>
      <c r="E1051">
        <v>0.75394127133849997</v>
      </c>
      <c r="F1051">
        <v>0.69072628936146596</v>
      </c>
      <c r="G1051">
        <v>0.43480516745817399</v>
      </c>
      <c r="H1051">
        <v>0.35424138738191702</v>
      </c>
      <c r="I1051">
        <v>0.36078530598702502</v>
      </c>
      <c r="J1051">
        <v>0.38712563395953697</v>
      </c>
      <c r="K1051">
        <v>0.33797614343357402</v>
      </c>
      <c r="L1051">
        <v>552.60078963524404</v>
      </c>
      <c r="M1051">
        <v>11.2952842077535</v>
      </c>
      <c r="N1051">
        <v>53.225835360363497</v>
      </c>
      <c r="O1051">
        <v>47.464916632133999</v>
      </c>
      <c r="P1051">
        <v>-4.1695768468953599E-2</v>
      </c>
      <c r="Q1051">
        <v>0.29935947244066102</v>
      </c>
      <c r="R1051">
        <v>0.95839803912793498</v>
      </c>
      <c r="S1051" t="s">
        <v>7619</v>
      </c>
      <c r="T1051" t="s">
        <v>13134</v>
      </c>
      <c r="U1051" t="s">
        <v>13134</v>
      </c>
      <c r="V1051" t="s">
        <v>13134</v>
      </c>
      <c r="W1051" t="s">
        <v>14167</v>
      </c>
      <c r="X1051">
        <v>1</v>
      </c>
      <c r="Y1051" t="s">
        <v>20657</v>
      </c>
      <c r="Z1051" t="s">
        <v>27019</v>
      </c>
      <c r="AA1051">
        <v>0.60044472249521852</v>
      </c>
      <c r="AB1051" t="str">
        <f>HYPERLINK("Melting_Curves/meltCurve_H3BPL0_CLN3.pdf", "Melting_Curves/meltCurve_H3BPL0_CLN3.pdf")</f>
        <v>Melting_Curves/meltCurve_H3BPL0_CLN3.pdf</v>
      </c>
    </row>
    <row r="1052" spans="1:28" x14ac:dyDescent="0.25">
      <c r="A1052" t="s">
        <v>1056</v>
      </c>
      <c r="B1052">
        <v>0.99472303558308395</v>
      </c>
      <c r="C1052">
        <v>1.0142987286237499</v>
      </c>
      <c r="D1052">
        <v>0.81279107862587696</v>
      </c>
      <c r="E1052">
        <v>0.71924030415463303</v>
      </c>
      <c r="F1052">
        <v>0.795256667713655</v>
      </c>
      <c r="G1052">
        <v>0.39541208921556398</v>
      </c>
      <c r="H1052">
        <v>0.282570988807339</v>
      </c>
      <c r="I1052">
        <v>0.13850170916630899</v>
      </c>
      <c r="J1052">
        <v>0.22935451940242399</v>
      </c>
      <c r="K1052">
        <v>0.141694694519234</v>
      </c>
      <c r="L1052">
        <v>544.97860218611902</v>
      </c>
      <c r="M1052">
        <v>10.417559288515401</v>
      </c>
      <c r="N1052">
        <v>52.721535981561601</v>
      </c>
      <c r="O1052">
        <v>50.495961437042602</v>
      </c>
      <c r="P1052">
        <v>-4.9599057159173898E-2</v>
      </c>
      <c r="Q1052">
        <v>3.8734158750266597E-2</v>
      </c>
      <c r="R1052">
        <v>0.94458498220683695</v>
      </c>
      <c r="S1052" t="s">
        <v>7620</v>
      </c>
      <c r="T1052" t="s">
        <v>13134</v>
      </c>
      <c r="U1052" t="s">
        <v>13134</v>
      </c>
      <c r="V1052" t="s">
        <v>13134</v>
      </c>
      <c r="W1052" t="s">
        <v>14168</v>
      </c>
      <c r="X1052">
        <v>31</v>
      </c>
      <c r="Y1052" t="s">
        <v>20658</v>
      </c>
      <c r="Z1052" t="s">
        <v>27020</v>
      </c>
      <c r="AA1052">
        <v>0.55338561778083417</v>
      </c>
      <c r="AB1052" t="str">
        <f>HYPERLINK("Melting_Curves/meltCurve_H3BPS8_ALDOA.pdf", "Melting_Curves/meltCurve_H3BPS8_ALDOA.pdf")</f>
        <v>Melting_Curves/meltCurve_H3BPS8_ALDOA.pdf</v>
      </c>
    </row>
    <row r="1053" spans="1:28" x14ac:dyDescent="0.25">
      <c r="A1053" t="s">
        <v>1057</v>
      </c>
      <c r="B1053">
        <v>0.99472303558308395</v>
      </c>
      <c r="C1053">
        <v>0.95546594986322297</v>
      </c>
      <c r="D1053">
        <v>0.86839093739697004</v>
      </c>
      <c r="E1053">
        <v>0.72179397995107997</v>
      </c>
      <c r="F1053">
        <v>0.68013171368909797</v>
      </c>
      <c r="G1053">
        <v>0.36520417256022503</v>
      </c>
      <c r="H1053">
        <v>0.14669806646335201</v>
      </c>
      <c r="I1053">
        <v>0.152782891554119</v>
      </c>
      <c r="J1053">
        <v>0.172387535454608</v>
      </c>
      <c r="K1053">
        <v>0.194947101750195</v>
      </c>
      <c r="L1053">
        <v>668.96371255964095</v>
      </c>
      <c r="M1053">
        <v>13.2711059000913</v>
      </c>
      <c r="N1053">
        <v>51.280277719321397</v>
      </c>
      <c r="O1053">
        <v>49.304232068288201</v>
      </c>
      <c r="P1053">
        <v>-6.04995098226742E-2</v>
      </c>
      <c r="Q1053">
        <v>0.101086019787569</v>
      </c>
      <c r="R1053">
        <v>0.96902226813025205</v>
      </c>
      <c r="S1053" t="s">
        <v>7621</v>
      </c>
      <c r="T1053" t="s">
        <v>13134</v>
      </c>
      <c r="U1053" t="s">
        <v>13134</v>
      </c>
      <c r="V1053" t="s">
        <v>13134</v>
      </c>
      <c r="W1053" t="s">
        <v>14169</v>
      </c>
      <c r="X1053">
        <v>2</v>
      </c>
      <c r="Y1053" t="s">
        <v>20659</v>
      </c>
      <c r="Z1053" t="s">
        <v>27021</v>
      </c>
      <c r="AA1053">
        <v>0.52458819955541436</v>
      </c>
      <c r="AB1053" t="str">
        <f>HYPERLINK("Melting_Curves/meltCurve_H3BPX2_OBSCN.pdf", "Melting_Curves/meltCurve_H3BPX2_OBSCN.pdf")</f>
        <v>Melting_Curves/meltCurve_H3BPX2_OBSCN.pdf</v>
      </c>
    </row>
    <row r="1054" spans="1:28" x14ac:dyDescent="0.25">
      <c r="A1054" t="s">
        <v>1058</v>
      </c>
      <c r="B1054">
        <v>0.99472303558308395</v>
      </c>
      <c r="C1054">
        <v>0.90796930659450803</v>
      </c>
      <c r="D1054">
        <v>0.707411454500809</v>
      </c>
      <c r="E1054">
        <v>0.85062639927806305</v>
      </c>
      <c r="F1054">
        <v>0.60526706356328497</v>
      </c>
      <c r="G1054">
        <v>0.43148137665398401</v>
      </c>
      <c r="H1054">
        <v>0.42950562007702398</v>
      </c>
      <c r="I1054">
        <v>0.46190265572144401</v>
      </c>
      <c r="J1054">
        <v>0.65057319828905402</v>
      </c>
      <c r="K1054">
        <v>0.59271845609723595</v>
      </c>
      <c r="L1054">
        <v>586.78657391448598</v>
      </c>
      <c r="M1054">
        <v>13.1653703740377</v>
      </c>
      <c r="O1054">
        <v>43.5797659560033</v>
      </c>
      <c r="P1054">
        <v>-3.6999052634176202E-2</v>
      </c>
      <c r="Q1054">
        <v>0.51018813356875803</v>
      </c>
      <c r="R1054">
        <v>0.74615927947387595</v>
      </c>
      <c r="S1054" t="s">
        <v>7622</v>
      </c>
      <c r="T1054" t="s">
        <v>13134</v>
      </c>
      <c r="U1054" t="s">
        <v>13134</v>
      </c>
      <c r="V1054" t="s">
        <v>13134</v>
      </c>
      <c r="W1054" t="s">
        <v>14170</v>
      </c>
      <c r="X1054">
        <v>5</v>
      </c>
      <c r="Y1054" t="s">
        <v>20660</v>
      </c>
      <c r="Z1054" t="s">
        <v>27022</v>
      </c>
      <c r="AA1054">
        <v>0.64913253450259856</v>
      </c>
      <c r="AB1054" t="str">
        <f>HYPERLINK("Melting_Curves/meltCurve_H3BQA0_SNAPC5.pdf", "Melting_Curves/meltCurve_H3BQA0_SNAPC5.pdf")</f>
        <v>Melting_Curves/meltCurve_H3BQA0_SNAPC5.pdf</v>
      </c>
    </row>
    <row r="1055" spans="1:28" x14ac:dyDescent="0.25">
      <c r="A1055" t="s">
        <v>1059</v>
      </c>
      <c r="B1055">
        <v>0.99472303558308395</v>
      </c>
      <c r="C1055">
        <v>0.84836043823624097</v>
      </c>
      <c r="D1055">
        <v>0.860321338344333</v>
      </c>
      <c r="E1055">
        <v>0.57060920480090704</v>
      </c>
      <c r="F1055">
        <v>0.39740174889394297</v>
      </c>
      <c r="G1055">
        <v>0.22402614494513301</v>
      </c>
      <c r="H1055">
        <v>0.12666190506217501</v>
      </c>
      <c r="I1055">
        <v>7.4347962547312504E-2</v>
      </c>
      <c r="J1055">
        <v>7.4619172890928398E-2</v>
      </c>
      <c r="K1055">
        <v>6.9799645601346494E-2</v>
      </c>
      <c r="L1055">
        <v>584.978906166309</v>
      </c>
      <c r="M1055">
        <v>12.2127563169445</v>
      </c>
      <c r="N1055">
        <v>48.1006296289396</v>
      </c>
      <c r="O1055">
        <v>46.669043007939599</v>
      </c>
      <c r="P1055">
        <v>-6.3804104855977095E-2</v>
      </c>
      <c r="Q1055">
        <v>2.4951829250279101E-2</v>
      </c>
      <c r="R1055">
        <v>0.99134716030569803</v>
      </c>
      <c r="S1055" t="s">
        <v>7623</v>
      </c>
      <c r="T1055" t="s">
        <v>13134</v>
      </c>
      <c r="U1055" t="s">
        <v>13134</v>
      </c>
      <c r="V1055" t="s">
        <v>13134</v>
      </c>
      <c r="W1055" t="s">
        <v>14171</v>
      </c>
      <c r="X1055">
        <v>7</v>
      </c>
      <c r="Y1055" t="s">
        <v>20661</v>
      </c>
      <c r="Z1055" t="s">
        <v>27023</v>
      </c>
      <c r="AA1055">
        <v>0.40907514256431698</v>
      </c>
      <c r="AB1055" t="str">
        <f>HYPERLINK("Melting_Curves/meltCurve_H3BR29_C16orf58.pdf", "Melting_Curves/meltCurve_H3BR29_C16orf58.pdf")</f>
        <v>Melting_Curves/meltCurve_H3BR29_C16orf58.pdf</v>
      </c>
    </row>
    <row r="1056" spans="1:28" x14ac:dyDescent="0.25">
      <c r="A1056" t="s">
        <v>1060</v>
      </c>
      <c r="B1056">
        <v>0.99472303558308395</v>
      </c>
      <c r="C1056">
        <v>0.98290360992766201</v>
      </c>
      <c r="D1056">
        <v>0.91891617334511499</v>
      </c>
      <c r="E1056">
        <v>0.76507635012359598</v>
      </c>
      <c r="F1056">
        <v>0.66174723688004899</v>
      </c>
      <c r="G1056">
        <v>0.41858982792906702</v>
      </c>
      <c r="H1056">
        <v>0.247109454157524</v>
      </c>
      <c r="I1056">
        <v>0.210606396891625</v>
      </c>
      <c r="J1056">
        <v>0.18680226871054201</v>
      </c>
      <c r="K1056">
        <v>0.13202533516765899</v>
      </c>
      <c r="L1056">
        <v>634.97547127315897</v>
      </c>
      <c r="M1056">
        <v>12.351747424341101</v>
      </c>
      <c r="N1056">
        <v>52.249896164934803</v>
      </c>
      <c r="O1056">
        <v>50.116001499780602</v>
      </c>
      <c r="P1056">
        <v>-5.60665474441518E-2</v>
      </c>
      <c r="Q1056">
        <v>9.0257945145750404E-2</v>
      </c>
      <c r="R1056">
        <v>0.99449040080545204</v>
      </c>
      <c r="S1056" t="s">
        <v>7624</v>
      </c>
      <c r="T1056" t="s">
        <v>13134</v>
      </c>
      <c r="U1056" t="s">
        <v>13134</v>
      </c>
      <c r="V1056" t="s">
        <v>13134</v>
      </c>
      <c r="W1056" t="s">
        <v>14172</v>
      </c>
      <c r="X1056">
        <v>3</v>
      </c>
      <c r="Y1056" t="s">
        <v>20662</v>
      </c>
      <c r="Z1056" t="s">
        <v>27024</v>
      </c>
      <c r="AA1056">
        <v>0.54943747686908284</v>
      </c>
      <c r="AB1056" t="str">
        <f>HYPERLINK("Melting_Curves/meltCurve_H3BR94_DCTN5.pdf", "Melting_Curves/meltCurve_H3BR94_DCTN5.pdf")</f>
        <v>Melting_Curves/meltCurve_H3BR94_DCTN5.pdf</v>
      </c>
    </row>
    <row r="1057" spans="1:28" x14ac:dyDescent="0.25">
      <c r="A1057" t="s">
        <v>1061</v>
      </c>
      <c r="B1057">
        <v>0.99472303558308395</v>
      </c>
      <c r="C1057">
        <v>1.0037223999705001</v>
      </c>
      <c r="D1057">
        <v>0.95407170007798503</v>
      </c>
      <c r="E1057">
        <v>0.87631813111230905</v>
      </c>
      <c r="F1057">
        <v>0.64397580763240203</v>
      </c>
      <c r="G1057">
        <v>0.53265152034740904</v>
      </c>
      <c r="H1057">
        <v>0.45248735320142802</v>
      </c>
      <c r="I1057">
        <v>0.43300617043129802</v>
      </c>
      <c r="J1057">
        <v>0.48861269710495298</v>
      </c>
      <c r="K1057">
        <v>0.37692850859487798</v>
      </c>
      <c r="L1057">
        <v>968.28784773213602</v>
      </c>
      <c r="M1057">
        <v>19.648250509420699</v>
      </c>
      <c r="N1057">
        <v>54.5576856782072</v>
      </c>
      <c r="O1057">
        <v>48.7791649986507</v>
      </c>
      <c r="P1057">
        <v>-5.78806650418556E-2</v>
      </c>
      <c r="Q1057">
        <v>0.42523710499162498</v>
      </c>
      <c r="R1057">
        <v>0.98772483865354499</v>
      </c>
      <c r="S1057" t="s">
        <v>7625</v>
      </c>
      <c r="T1057" t="s">
        <v>13134</v>
      </c>
      <c r="U1057" t="s">
        <v>13134</v>
      </c>
      <c r="V1057" t="s">
        <v>13134</v>
      </c>
      <c r="W1057" t="s">
        <v>14173</v>
      </c>
      <c r="X1057">
        <v>13</v>
      </c>
      <c r="Y1057" t="s">
        <v>20663</v>
      </c>
      <c r="Z1057" t="s">
        <v>27025</v>
      </c>
      <c r="AA1057">
        <v>0.66834818213939895</v>
      </c>
      <c r="AB1057" t="str">
        <f>HYPERLINK("Melting_Curves/meltCurve_H3BRF9_ZFYVE19.pdf", "Melting_Curves/meltCurve_H3BRF9_ZFYVE19.pdf")</f>
        <v>Melting_Curves/meltCurve_H3BRF9_ZFYVE19.pdf</v>
      </c>
    </row>
    <row r="1058" spans="1:28" x14ac:dyDescent="0.25">
      <c r="A1058" t="s">
        <v>1062</v>
      </c>
      <c r="B1058">
        <v>0.99472303558308395</v>
      </c>
      <c r="C1058">
        <v>0.96973614408116704</v>
      </c>
      <c r="D1058">
        <v>1.0554151119113899</v>
      </c>
      <c r="E1058">
        <v>0.85056553249031897</v>
      </c>
      <c r="F1058">
        <v>0.53401749512271801</v>
      </c>
      <c r="G1058">
        <v>0.22954685200876401</v>
      </c>
      <c r="H1058">
        <v>0.113896962111634</v>
      </c>
      <c r="I1058">
        <v>8.8810117734425098E-2</v>
      </c>
      <c r="J1058">
        <v>0.120346704627106</v>
      </c>
      <c r="K1058">
        <v>9.2652169842304399E-2</v>
      </c>
      <c r="L1058">
        <v>1249.54166480767</v>
      </c>
      <c r="M1058">
        <v>24.9802835990711</v>
      </c>
      <c r="N1058">
        <v>50.434573038808097</v>
      </c>
      <c r="O1058">
        <v>49.7038808158213</v>
      </c>
      <c r="P1058">
        <v>-0.11401408793786499</v>
      </c>
      <c r="Q1058">
        <v>9.2586163046932096E-2</v>
      </c>
      <c r="R1058">
        <v>0.99534074796721395</v>
      </c>
      <c r="S1058" t="s">
        <v>7626</v>
      </c>
      <c r="T1058" t="s">
        <v>13134</v>
      </c>
      <c r="U1058" t="s">
        <v>13134</v>
      </c>
      <c r="V1058" t="s">
        <v>13134</v>
      </c>
      <c r="W1058" t="s">
        <v>14174</v>
      </c>
      <c r="X1058">
        <v>11</v>
      </c>
      <c r="Y1058" t="s">
        <v>20664</v>
      </c>
      <c r="Z1058" t="s">
        <v>27026</v>
      </c>
      <c r="AA1058">
        <v>0.49438687929961489</v>
      </c>
      <c r="AB1058" t="str">
        <f>HYPERLINK("Melting_Curves/meltCurve_H3BRL3_UBFD1.pdf", "Melting_Curves/meltCurve_H3BRL3_UBFD1.pdf")</f>
        <v>Melting_Curves/meltCurve_H3BRL3_UBFD1.pdf</v>
      </c>
    </row>
    <row r="1059" spans="1:28" x14ac:dyDescent="0.25">
      <c r="A1059" t="s">
        <v>1063</v>
      </c>
      <c r="B1059">
        <v>0.99472303558308395</v>
      </c>
      <c r="C1059">
        <v>1.05883485063257</v>
      </c>
      <c r="D1059">
        <v>0.78738940913182798</v>
      </c>
      <c r="E1059">
        <v>0.65509199067602497</v>
      </c>
      <c r="F1059">
        <v>0.58154307664823202</v>
      </c>
      <c r="G1059">
        <v>0.37592422739237702</v>
      </c>
      <c r="H1059">
        <v>0.26042941568414102</v>
      </c>
      <c r="I1059">
        <v>0.18211475691610299</v>
      </c>
      <c r="J1059">
        <v>0.213475168167954</v>
      </c>
      <c r="K1059">
        <v>0.188863171449523</v>
      </c>
      <c r="L1059">
        <v>560.71699338126496</v>
      </c>
      <c r="M1059">
        <v>11.404639247381899</v>
      </c>
      <c r="N1059">
        <v>50.582641079733897</v>
      </c>
      <c r="O1059">
        <v>47.726863291082601</v>
      </c>
      <c r="P1059">
        <v>-5.1585887115933503E-2</v>
      </c>
      <c r="Q1059">
        <v>0.136733703755475</v>
      </c>
      <c r="R1059">
        <v>0.97310045995637595</v>
      </c>
      <c r="S1059" t="s">
        <v>7627</v>
      </c>
      <c r="T1059" t="s">
        <v>13134</v>
      </c>
      <c r="U1059" t="s">
        <v>13134</v>
      </c>
      <c r="V1059" t="s">
        <v>13134</v>
      </c>
      <c r="W1059" t="s">
        <v>13424</v>
      </c>
      <c r="X1059">
        <v>1</v>
      </c>
      <c r="Z1059" t="s">
        <v>27027</v>
      </c>
      <c r="AA1059">
        <v>0.5139248628508446</v>
      </c>
      <c r="AB1059" t="str">
        <f>HYPERLINK("Melting_Curves/meltCurve_H3BRN7_.pdf", "Melting_Curves/meltCurve_H3BRN7_.pdf")</f>
        <v>Melting_Curves/meltCurve_H3BRN7_.pdf</v>
      </c>
    </row>
    <row r="1060" spans="1:28" x14ac:dyDescent="0.25">
      <c r="A1060" t="s">
        <v>1064</v>
      </c>
      <c r="B1060">
        <v>0.99472303558308395</v>
      </c>
      <c r="C1060">
        <v>0.95520154717487804</v>
      </c>
      <c r="D1060">
        <v>0.83892222593893695</v>
      </c>
      <c r="E1060">
        <v>0.80730552009933199</v>
      </c>
      <c r="F1060">
        <v>0.85638084493755995</v>
      </c>
      <c r="G1060">
        <v>0.55800707302618102</v>
      </c>
      <c r="H1060">
        <v>0.54863358404164897</v>
      </c>
      <c r="I1060">
        <v>0.43129620403035801</v>
      </c>
      <c r="J1060">
        <v>0.79623463133885597</v>
      </c>
      <c r="K1060">
        <v>0.63156629105194995</v>
      </c>
      <c r="L1060">
        <v>582.237853546878</v>
      </c>
      <c r="M1060">
        <v>12.4169678960243</v>
      </c>
      <c r="O1060">
        <v>45.724108915404301</v>
      </c>
      <c r="P1060">
        <v>-2.8182781015935701E-2</v>
      </c>
      <c r="Q1060">
        <v>0.58496775237887699</v>
      </c>
      <c r="R1060">
        <v>0.65316639080816596</v>
      </c>
      <c r="S1060" t="s">
        <v>7628</v>
      </c>
      <c r="T1060" t="s">
        <v>13134</v>
      </c>
      <c r="U1060" t="s">
        <v>13134</v>
      </c>
      <c r="V1060" t="s">
        <v>13134</v>
      </c>
      <c r="W1060" t="s">
        <v>14175</v>
      </c>
      <c r="X1060">
        <v>3</v>
      </c>
      <c r="Y1060" t="s">
        <v>20665</v>
      </c>
      <c r="Z1060" t="s">
        <v>27028</v>
      </c>
      <c r="AA1060">
        <v>0.73476843839756323</v>
      </c>
      <c r="AB1060" t="str">
        <f>HYPERLINK("Melting_Curves/meltCurve_H3BRQ0_PPCDC.pdf", "Melting_Curves/meltCurve_H3BRQ0_PPCDC.pdf")</f>
        <v>Melting_Curves/meltCurve_H3BRQ0_PPCDC.pdf</v>
      </c>
    </row>
    <row r="1061" spans="1:28" x14ac:dyDescent="0.25">
      <c r="A1061" t="s">
        <v>1065</v>
      </c>
      <c r="B1061">
        <v>0.99472303558308395</v>
      </c>
      <c r="C1061">
        <v>0.936732341666352</v>
      </c>
      <c r="D1061">
        <v>0.81776795052216</v>
      </c>
      <c r="E1061">
        <v>0.53210376309459795</v>
      </c>
      <c r="F1061">
        <v>0.23941891522703601</v>
      </c>
      <c r="G1061">
        <v>0.13226911225906099</v>
      </c>
      <c r="H1061">
        <v>9.29422405385395E-2</v>
      </c>
      <c r="I1061">
        <v>5.9116539681253903E-2</v>
      </c>
      <c r="J1061">
        <v>6.1822460661120002E-2</v>
      </c>
      <c r="K1061">
        <v>6.01364722687368E-2</v>
      </c>
      <c r="L1061">
        <v>825.83292521798001</v>
      </c>
      <c r="M1061">
        <v>17.755414955717001</v>
      </c>
      <c r="N1061">
        <v>46.8063671457464</v>
      </c>
      <c r="O1061">
        <v>45.933654787721103</v>
      </c>
      <c r="P1061">
        <v>-9.1529497053677605E-2</v>
      </c>
      <c r="Q1061">
        <v>5.2894082909849698E-2</v>
      </c>
      <c r="R1061">
        <v>0.99938246565926403</v>
      </c>
      <c r="S1061" t="s">
        <v>7629</v>
      </c>
      <c r="T1061" t="s">
        <v>13134</v>
      </c>
      <c r="U1061" t="s">
        <v>13134</v>
      </c>
      <c r="V1061" t="s">
        <v>13134</v>
      </c>
      <c r="W1061" t="s">
        <v>14176</v>
      </c>
      <c r="X1061">
        <v>8</v>
      </c>
      <c r="Y1061" t="s">
        <v>20666</v>
      </c>
      <c r="Z1061" t="s">
        <v>27029</v>
      </c>
      <c r="AA1061">
        <v>0.36883534241981059</v>
      </c>
      <c r="AB1061" t="str">
        <f>HYPERLINK("Melting_Curves/meltCurve_H3BRS1_NFATC3.pdf", "Melting_Curves/meltCurve_H3BRS1_NFATC3.pdf")</f>
        <v>Melting_Curves/meltCurve_H3BRS1_NFATC3.pdf</v>
      </c>
    </row>
    <row r="1062" spans="1:28" x14ac:dyDescent="0.25">
      <c r="A1062" t="s">
        <v>1066</v>
      </c>
      <c r="B1062">
        <v>0.99472303558308395</v>
      </c>
      <c r="C1062">
        <v>0.68873490178534502</v>
      </c>
      <c r="D1062">
        <v>0.78136161353729106</v>
      </c>
      <c r="E1062">
        <v>0.75653677144393605</v>
      </c>
      <c r="F1062">
        <v>0.57764569375136998</v>
      </c>
      <c r="G1062">
        <v>0.45230239523065502</v>
      </c>
      <c r="H1062">
        <v>0.43044217298441501</v>
      </c>
      <c r="I1062">
        <v>0.49783048522149498</v>
      </c>
      <c r="J1062">
        <v>0.57412147334351604</v>
      </c>
      <c r="K1062">
        <v>0.53132199252827605</v>
      </c>
      <c r="L1062">
        <v>422.97035154952601</v>
      </c>
      <c r="M1062">
        <v>9.8165099706766092</v>
      </c>
      <c r="N1062">
        <v>63.135623245599902</v>
      </c>
      <c r="O1062">
        <v>41.4137349679362</v>
      </c>
      <c r="P1062">
        <v>-3.0957655118357699E-2</v>
      </c>
      <c r="Q1062">
        <v>0.47785766696344201</v>
      </c>
      <c r="R1062">
        <v>0.76589566513602403</v>
      </c>
      <c r="S1062" t="s">
        <v>7630</v>
      </c>
      <c r="T1062" t="s">
        <v>13134</v>
      </c>
      <c r="U1062" t="s">
        <v>13134</v>
      </c>
      <c r="V1062" t="s">
        <v>13134</v>
      </c>
      <c r="W1062" t="s">
        <v>14177</v>
      </c>
      <c r="X1062">
        <v>1</v>
      </c>
      <c r="Y1062" t="s">
        <v>20667</v>
      </c>
      <c r="Z1062" t="s">
        <v>27030</v>
      </c>
      <c r="AA1062">
        <v>0.61469214346428236</v>
      </c>
      <c r="AB1062" t="str">
        <f>HYPERLINK("Melting_Curves/meltCurve_H3BRU1_FAM219B.pdf", "Melting_Curves/meltCurve_H3BRU1_FAM219B.pdf")</f>
        <v>Melting_Curves/meltCurve_H3BRU1_FAM219B.pdf</v>
      </c>
    </row>
    <row r="1063" spans="1:28" x14ac:dyDescent="0.25">
      <c r="A1063" t="s">
        <v>1067</v>
      </c>
      <c r="B1063">
        <v>0.99472303558308395</v>
      </c>
      <c r="C1063">
        <v>0.87562899631852498</v>
      </c>
      <c r="D1063">
        <v>0.680878839357137</v>
      </c>
      <c r="E1063">
        <v>0.45426658445263701</v>
      </c>
      <c r="F1063">
        <v>0.160638602776981</v>
      </c>
      <c r="G1063">
        <v>7.6581814572023899E-2</v>
      </c>
      <c r="H1063">
        <v>5.5057735477629002E-2</v>
      </c>
      <c r="I1063">
        <v>3.7255305485691698E-2</v>
      </c>
      <c r="J1063">
        <v>4.1439240073024901E-2</v>
      </c>
      <c r="K1063">
        <v>3.9311247348692201E-2</v>
      </c>
      <c r="L1063">
        <v>706.32508570841196</v>
      </c>
      <c r="M1063">
        <v>15.596015720067699</v>
      </c>
      <c r="N1063">
        <v>45.407763966384202</v>
      </c>
      <c r="O1063">
        <v>44.563832897708998</v>
      </c>
      <c r="P1063">
        <v>-8.57490309903612E-2</v>
      </c>
      <c r="Q1063">
        <v>2.0012747242679499E-2</v>
      </c>
      <c r="R1063">
        <v>0.99557569441934002</v>
      </c>
      <c r="S1063" t="s">
        <v>7631</v>
      </c>
      <c r="T1063" t="s">
        <v>13134</v>
      </c>
      <c r="U1063" t="s">
        <v>13134</v>
      </c>
      <c r="V1063" t="s">
        <v>13134</v>
      </c>
      <c r="W1063" t="s">
        <v>14178</v>
      </c>
      <c r="X1063">
        <v>35</v>
      </c>
      <c r="Y1063" t="s">
        <v>20668</v>
      </c>
      <c r="Z1063" t="s">
        <v>27031</v>
      </c>
      <c r="AA1063">
        <v>0.31214519275156971</v>
      </c>
      <c r="AB1063" t="str">
        <f>HYPERLINK("Melting_Curves/meltCurve_H3BRV0_EIF3C.pdf", "Melting_Curves/meltCurve_H3BRV0_EIF3C.pdf")</f>
        <v>Melting_Curves/meltCurve_H3BRV0_EIF3C.pdf</v>
      </c>
    </row>
    <row r="1064" spans="1:28" x14ac:dyDescent="0.25">
      <c r="A1064" t="s">
        <v>1068</v>
      </c>
      <c r="B1064">
        <v>0.99472303558308395</v>
      </c>
      <c r="C1064">
        <v>0.92451153148962095</v>
      </c>
      <c r="D1064">
        <v>0.77708292201928797</v>
      </c>
      <c r="E1064">
        <v>0.60821635621560799</v>
      </c>
      <c r="F1064">
        <v>0.30316137753454098</v>
      </c>
      <c r="G1064">
        <v>0.13922028779727</v>
      </c>
      <c r="H1064">
        <v>6.3995985684231704E-2</v>
      </c>
      <c r="I1064">
        <v>4.1775816227187103E-2</v>
      </c>
      <c r="J1064">
        <v>3.5139212058714502E-2</v>
      </c>
      <c r="K1064">
        <v>2.4822928555723201E-2</v>
      </c>
      <c r="L1064">
        <v>675.77612887823295</v>
      </c>
      <c r="M1064">
        <v>14.2458655811581</v>
      </c>
      <c r="N1064">
        <v>47.436645884285497</v>
      </c>
      <c r="O1064">
        <v>46.531278452738</v>
      </c>
      <c r="P1064">
        <v>-7.6548653192867896E-2</v>
      </c>
      <c r="Q1064">
        <v>0</v>
      </c>
      <c r="R1064">
        <v>0.99688027545830704</v>
      </c>
      <c r="S1064" t="s">
        <v>7632</v>
      </c>
      <c r="T1064" t="s">
        <v>13134</v>
      </c>
      <c r="U1064" t="s">
        <v>13134</v>
      </c>
      <c r="V1064" t="s">
        <v>13134</v>
      </c>
      <c r="W1064" t="s">
        <v>14179</v>
      </c>
      <c r="X1064">
        <v>4</v>
      </c>
      <c r="Y1064" t="s">
        <v>20669</v>
      </c>
      <c r="Z1064" t="s">
        <v>27032</v>
      </c>
      <c r="AA1064">
        <v>0.37225766479287692</v>
      </c>
      <c r="AB1064" t="str">
        <f>HYPERLINK("Melting_Curves/meltCurve_H3BS01_C15orf41.pdf", "Melting_Curves/meltCurve_H3BS01_C15orf41.pdf")</f>
        <v>Melting_Curves/meltCurve_H3BS01_C15orf41.pdf</v>
      </c>
    </row>
    <row r="1065" spans="1:28" x14ac:dyDescent="0.25">
      <c r="A1065" t="s">
        <v>1069</v>
      </c>
      <c r="B1065">
        <v>0.99472303558308395</v>
      </c>
      <c r="C1065">
        <v>1.0790107509237501</v>
      </c>
      <c r="D1065">
        <v>0.90041754796558604</v>
      </c>
      <c r="E1065">
        <v>0.92979105028029196</v>
      </c>
      <c r="F1065">
        <v>0.85991617668312104</v>
      </c>
      <c r="G1065">
        <v>0.60271304701412998</v>
      </c>
      <c r="H1065">
        <v>0.52138889179151304</v>
      </c>
      <c r="I1065">
        <v>0.53600799672986399</v>
      </c>
      <c r="J1065">
        <v>0.65678536747833405</v>
      </c>
      <c r="K1065">
        <v>0.69460988745538998</v>
      </c>
      <c r="L1065">
        <v>3056.5117265315798</v>
      </c>
      <c r="M1065">
        <v>60.301104162790502</v>
      </c>
      <c r="O1065">
        <v>50.631836320222597</v>
      </c>
      <c r="P1065">
        <v>-0.119076765727878</v>
      </c>
      <c r="Q1065">
        <v>0.60006882991918398</v>
      </c>
      <c r="R1065">
        <v>0.87903996882688495</v>
      </c>
      <c r="S1065" t="s">
        <v>7633</v>
      </c>
      <c r="T1065" t="s">
        <v>13134</v>
      </c>
      <c r="U1065" t="s">
        <v>13134</v>
      </c>
      <c r="V1065" t="s">
        <v>13134</v>
      </c>
      <c r="W1065" t="s">
        <v>14180</v>
      </c>
      <c r="X1065">
        <v>2</v>
      </c>
      <c r="Y1065" t="s">
        <v>20670</v>
      </c>
      <c r="Z1065" t="s">
        <v>27033</v>
      </c>
      <c r="AA1065">
        <v>0.78315100654363889</v>
      </c>
      <c r="AB1065" t="str">
        <f>HYPERLINK("Melting_Curves/meltCurve_H3BS66_SMIM1.pdf", "Melting_Curves/meltCurve_H3BS66_SMIM1.pdf")</f>
        <v>Melting_Curves/meltCurve_H3BS66_SMIM1.pdf</v>
      </c>
    </row>
    <row r="1066" spans="1:28" x14ac:dyDescent="0.25">
      <c r="A1066" t="s">
        <v>1070</v>
      </c>
      <c r="B1066">
        <v>0.99472303558308395</v>
      </c>
      <c r="C1066">
        <v>0.78422794794871897</v>
      </c>
      <c r="D1066">
        <v>0.65379422260758902</v>
      </c>
      <c r="E1066">
        <v>0.32168064058121498</v>
      </c>
      <c r="F1066">
        <v>0.25983215443365998</v>
      </c>
      <c r="G1066">
        <v>0.14637817525667601</v>
      </c>
      <c r="H1066">
        <v>8.0729289246710897E-2</v>
      </c>
      <c r="I1066">
        <v>0</v>
      </c>
      <c r="J1066">
        <v>0</v>
      </c>
      <c r="K1066">
        <v>0</v>
      </c>
      <c r="L1066">
        <v>551.71401939439795</v>
      </c>
      <c r="M1066">
        <v>12.307223355043901</v>
      </c>
      <c r="N1066">
        <v>44.828473256744097</v>
      </c>
      <c r="O1066">
        <v>43.694229229671002</v>
      </c>
      <c r="P1066">
        <v>-7.0432145789080206E-2</v>
      </c>
      <c r="Q1066">
        <v>0</v>
      </c>
      <c r="R1066">
        <v>0.98644310038635596</v>
      </c>
      <c r="S1066" t="s">
        <v>7634</v>
      </c>
      <c r="T1066" t="s">
        <v>13134</v>
      </c>
      <c r="U1066" t="s">
        <v>13134</v>
      </c>
      <c r="V1066" t="s">
        <v>13134</v>
      </c>
      <c r="W1066" t="s">
        <v>14181</v>
      </c>
      <c r="X1066">
        <v>1</v>
      </c>
      <c r="Y1066" t="s">
        <v>20671</v>
      </c>
      <c r="Z1066" t="s">
        <v>27034</v>
      </c>
      <c r="AA1066">
        <v>0.29601550924580883</v>
      </c>
      <c r="AB1066" t="str">
        <f>HYPERLINK("Melting_Curves/meltCurve_H3BS99_ZNF106.pdf", "Melting_Curves/meltCurve_H3BS99_ZNF106.pdf")</f>
        <v>Melting_Curves/meltCurve_H3BS99_ZNF106.pdf</v>
      </c>
    </row>
    <row r="1067" spans="1:28" x14ac:dyDescent="0.25">
      <c r="A1067" t="s">
        <v>1071</v>
      </c>
      <c r="B1067">
        <v>0.99472303558308395</v>
      </c>
      <c r="C1067">
        <v>1.00344889120797</v>
      </c>
      <c r="D1067">
        <v>0.91677545284208795</v>
      </c>
      <c r="E1067">
        <v>1.0098935826789499</v>
      </c>
      <c r="F1067">
        <v>1.2403564263008999</v>
      </c>
      <c r="G1067">
        <v>0.61520631356845501</v>
      </c>
      <c r="H1067">
        <v>0.17006015107549899</v>
      </c>
      <c r="I1067">
        <v>7.2395911824618506E-2</v>
      </c>
      <c r="J1067">
        <v>5.8274086439462199E-2</v>
      </c>
      <c r="K1067">
        <v>6.7237876617628006E-2</v>
      </c>
      <c r="L1067">
        <v>4190.77774246234</v>
      </c>
      <c r="M1067">
        <v>77.5567077506728</v>
      </c>
      <c r="N1067">
        <v>54.171849584360103</v>
      </c>
      <c r="O1067">
        <v>53.999140461502797</v>
      </c>
      <c r="P1067">
        <v>-0.32712584767685599</v>
      </c>
      <c r="Q1067">
        <v>8.8950225215964102E-2</v>
      </c>
      <c r="R1067">
        <v>0.96421022638954001</v>
      </c>
      <c r="S1067" t="s">
        <v>7635</v>
      </c>
      <c r="T1067" t="s">
        <v>13134</v>
      </c>
      <c r="U1067" t="s">
        <v>13134</v>
      </c>
      <c r="V1067" t="s">
        <v>13134</v>
      </c>
      <c r="W1067" t="s">
        <v>14182</v>
      </c>
      <c r="X1067">
        <v>10</v>
      </c>
      <c r="Y1067" t="s">
        <v>20672</v>
      </c>
      <c r="Z1067" t="s">
        <v>27035</v>
      </c>
      <c r="AA1067">
        <v>0.60717462778179521</v>
      </c>
      <c r="AB1067" t="str">
        <f>HYPERLINK("Melting_Curves/meltCurve_H3BSH7_CIRH1A.pdf", "Melting_Curves/meltCurve_H3BSH7_CIRH1A.pdf")</f>
        <v>Melting_Curves/meltCurve_H3BSH7_CIRH1A.pdf</v>
      </c>
    </row>
    <row r="1068" spans="1:28" x14ac:dyDescent="0.25">
      <c r="A1068" t="s">
        <v>1072</v>
      </c>
      <c r="B1068">
        <v>0.99472303558308395</v>
      </c>
      <c r="C1068">
        <v>1.00561871576509</v>
      </c>
      <c r="D1068">
        <v>0.53368364504892196</v>
      </c>
      <c r="E1068">
        <v>0.438691510716616</v>
      </c>
      <c r="F1068">
        <v>0.23176554527016499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705.71251268023298</v>
      </c>
      <c r="M1068">
        <v>15.664985276490301</v>
      </c>
      <c r="N1068">
        <v>45.0503153050986</v>
      </c>
      <c r="O1068">
        <v>44.335319390491101</v>
      </c>
      <c r="P1068">
        <v>-8.8339954385399502E-2</v>
      </c>
      <c r="Q1068">
        <v>0</v>
      </c>
      <c r="R1068">
        <v>0.96542874618966201</v>
      </c>
      <c r="S1068" t="s">
        <v>7636</v>
      </c>
      <c r="T1068" t="s">
        <v>13134</v>
      </c>
      <c r="U1068" t="s">
        <v>13134</v>
      </c>
      <c r="V1068" t="s">
        <v>13134</v>
      </c>
      <c r="W1068" t="s">
        <v>14183</v>
      </c>
      <c r="X1068">
        <v>1</v>
      </c>
      <c r="Y1068" t="s">
        <v>20673</v>
      </c>
      <c r="Z1068" t="s">
        <v>27036</v>
      </c>
      <c r="AA1068">
        <v>0.29011278273509122</v>
      </c>
      <c r="AB1068" t="str">
        <f>HYPERLINK("Melting_Curves/meltCurve_H3BSR5_FANCA.pdf", "Melting_Curves/meltCurve_H3BSR5_FANCA.pdf")</f>
        <v>Melting_Curves/meltCurve_H3BSR5_FANCA.pdf</v>
      </c>
    </row>
    <row r="1069" spans="1:28" x14ac:dyDescent="0.25">
      <c r="A1069" t="s">
        <v>1073</v>
      </c>
      <c r="B1069">
        <v>0.99472303558308395</v>
      </c>
      <c r="C1069">
        <v>0.97774393419308403</v>
      </c>
      <c r="D1069">
        <v>0.91509615462987004</v>
      </c>
      <c r="E1069">
        <v>0.72940515742862</v>
      </c>
      <c r="F1069">
        <v>0.477736509364866</v>
      </c>
      <c r="G1069">
        <v>0.17582233610855399</v>
      </c>
      <c r="H1069">
        <v>8.3818130778712405E-2</v>
      </c>
      <c r="I1069">
        <v>5.29627637266454E-2</v>
      </c>
      <c r="J1069">
        <v>4.93781136735418E-2</v>
      </c>
      <c r="K1069">
        <v>4.27539687558076E-2</v>
      </c>
      <c r="L1069">
        <v>861.46790898687095</v>
      </c>
      <c r="M1069">
        <v>17.454499848917099</v>
      </c>
      <c r="N1069">
        <v>49.474378044546697</v>
      </c>
      <c r="O1069">
        <v>48.720873971104602</v>
      </c>
      <c r="P1069">
        <v>-8.7722733521815199E-2</v>
      </c>
      <c r="Q1069">
        <v>2.0609779291626301E-2</v>
      </c>
      <c r="R1069">
        <v>0.99774505796513402</v>
      </c>
      <c r="S1069" t="s">
        <v>7637</v>
      </c>
      <c r="T1069" t="s">
        <v>13134</v>
      </c>
      <c r="U1069" t="s">
        <v>13134</v>
      </c>
      <c r="V1069" t="s">
        <v>13134</v>
      </c>
      <c r="W1069" t="s">
        <v>14184</v>
      </c>
      <c r="X1069">
        <v>14</v>
      </c>
      <c r="Y1069" t="s">
        <v>20674</v>
      </c>
      <c r="Z1069" t="s">
        <v>27037</v>
      </c>
      <c r="AA1069">
        <v>0.44031952662071938</v>
      </c>
      <c r="AB1069" t="str">
        <f>HYPERLINK("Melting_Curves/meltCurve_H3BSW6_CTU2.pdf", "Melting_Curves/meltCurve_H3BSW6_CTU2.pdf")</f>
        <v>Melting_Curves/meltCurve_H3BSW6_CTU2.pdf</v>
      </c>
    </row>
    <row r="1070" spans="1:28" x14ac:dyDescent="0.25">
      <c r="A1070" t="s">
        <v>1074</v>
      </c>
      <c r="B1070">
        <v>0.99472303558308395</v>
      </c>
      <c r="C1070">
        <v>0.94106094771203996</v>
      </c>
      <c r="D1070">
        <v>0.78164293593473499</v>
      </c>
      <c r="E1070">
        <v>0.60377197342726296</v>
      </c>
      <c r="F1070">
        <v>0.29450103956395501</v>
      </c>
      <c r="G1070">
        <v>0.12561263978644099</v>
      </c>
      <c r="H1070">
        <v>7.8586113464009996E-2</v>
      </c>
      <c r="I1070">
        <v>5.6721450929280999E-2</v>
      </c>
      <c r="J1070">
        <v>7.4718963560699597E-2</v>
      </c>
      <c r="K1070">
        <v>6.7705800888318096E-2</v>
      </c>
      <c r="L1070">
        <v>745.97725702364903</v>
      </c>
      <c r="M1070">
        <v>15.850865412716599</v>
      </c>
      <c r="N1070">
        <v>47.3123297229481</v>
      </c>
      <c r="O1070">
        <v>46.332284137427401</v>
      </c>
      <c r="P1070">
        <v>-8.2097833493330899E-2</v>
      </c>
      <c r="Q1070">
        <v>4.0185999589513403E-2</v>
      </c>
      <c r="R1070">
        <v>0.99553541568911297</v>
      </c>
      <c r="S1070" t="s">
        <v>7638</v>
      </c>
      <c r="T1070" t="s">
        <v>13134</v>
      </c>
      <c r="U1070" t="s">
        <v>13134</v>
      </c>
      <c r="V1070" t="s">
        <v>13134</v>
      </c>
      <c r="W1070" t="s">
        <v>14185</v>
      </c>
      <c r="X1070">
        <v>4</v>
      </c>
      <c r="Y1070" t="s">
        <v>20675</v>
      </c>
      <c r="Z1070" t="s">
        <v>27038</v>
      </c>
      <c r="AA1070">
        <v>0.38164698638812872</v>
      </c>
      <c r="AB1070" t="str">
        <f>HYPERLINK("Melting_Curves/meltCurve_H3BSZ4_MLST8.pdf", "Melting_Curves/meltCurve_H3BSZ4_MLST8.pdf")</f>
        <v>Melting_Curves/meltCurve_H3BSZ4_MLST8.pdf</v>
      </c>
    </row>
    <row r="1071" spans="1:28" x14ac:dyDescent="0.25">
      <c r="A1071" t="s">
        <v>1075</v>
      </c>
      <c r="B1071">
        <v>0.99472303558308395</v>
      </c>
      <c r="C1071">
        <v>1.0558276391381201</v>
      </c>
      <c r="D1071">
        <v>0.90627887732582602</v>
      </c>
      <c r="E1071">
        <v>0.99773562060698096</v>
      </c>
      <c r="F1071">
        <v>0.48261948361001999</v>
      </c>
      <c r="G1071">
        <v>0.27911596044399001</v>
      </c>
      <c r="H1071">
        <v>9.4606307296653799E-2</v>
      </c>
      <c r="I1071">
        <v>0</v>
      </c>
      <c r="J1071">
        <v>7.5039714365038396E-2</v>
      </c>
      <c r="K1071">
        <v>0.10496205564889299</v>
      </c>
      <c r="L1071">
        <v>1388.89120369125</v>
      </c>
      <c r="M1071">
        <v>27.611876416996399</v>
      </c>
      <c r="N1071">
        <v>50.574664238590202</v>
      </c>
      <c r="O1071">
        <v>50.0388844790034</v>
      </c>
      <c r="P1071">
        <v>-0.128364246925919</v>
      </c>
      <c r="Q1071">
        <v>6.9509739720118702E-2</v>
      </c>
      <c r="R1071">
        <v>0.97956854578366004</v>
      </c>
      <c r="S1071" t="s">
        <v>7639</v>
      </c>
      <c r="T1071" t="s">
        <v>13134</v>
      </c>
      <c r="U1071" t="s">
        <v>13134</v>
      </c>
      <c r="V1071" t="s">
        <v>13134</v>
      </c>
      <c r="W1071" t="s">
        <v>14186</v>
      </c>
      <c r="X1071">
        <v>1</v>
      </c>
      <c r="Y1071" t="s">
        <v>20676</v>
      </c>
      <c r="Z1071" t="s">
        <v>27039</v>
      </c>
      <c r="AA1071">
        <v>0.48878902181875339</v>
      </c>
      <c r="AB1071" t="str">
        <f>HYPERLINK("Melting_Curves/meltCurve_H3BTK5_SENP8.pdf", "Melting_Curves/meltCurve_H3BTK5_SENP8.pdf")</f>
        <v>Melting_Curves/meltCurve_H3BTK5_SENP8.pdf</v>
      </c>
    </row>
    <row r="1072" spans="1:28" x14ac:dyDescent="0.25">
      <c r="A1072" t="s">
        <v>1076</v>
      </c>
      <c r="B1072">
        <v>0.99472303558308395</v>
      </c>
      <c r="C1072">
        <v>1.04034285716663</v>
      </c>
      <c r="D1072">
        <v>1.0099320662922799</v>
      </c>
      <c r="E1072">
        <v>0.84198168801175899</v>
      </c>
      <c r="F1072">
        <v>0.64700656868426598</v>
      </c>
      <c r="G1072">
        <v>0.35907153327560398</v>
      </c>
      <c r="H1072">
        <v>0.13133605028651699</v>
      </c>
      <c r="I1072">
        <v>6.2191755740419102E-2</v>
      </c>
      <c r="J1072">
        <v>6.7127020930984604E-2</v>
      </c>
      <c r="K1072">
        <v>7.0500579869580401E-2</v>
      </c>
      <c r="L1072">
        <v>963.85727122413903</v>
      </c>
      <c r="M1072">
        <v>18.698127213821</v>
      </c>
      <c r="N1072">
        <v>51.746236999016702</v>
      </c>
      <c r="O1072">
        <v>50.969571308142697</v>
      </c>
      <c r="P1072">
        <v>-8.8551237707874306E-2</v>
      </c>
      <c r="Q1072">
        <v>3.4507142688358798E-2</v>
      </c>
      <c r="R1072">
        <v>0.99557290785574903</v>
      </c>
      <c r="S1072" t="s">
        <v>7640</v>
      </c>
      <c r="T1072" t="s">
        <v>13134</v>
      </c>
      <c r="U1072" t="s">
        <v>13134</v>
      </c>
      <c r="V1072" t="s">
        <v>13134</v>
      </c>
      <c r="W1072" t="s">
        <v>14187</v>
      </c>
      <c r="X1072">
        <v>7</v>
      </c>
      <c r="Y1072" t="s">
        <v>20677</v>
      </c>
      <c r="Z1072" t="s">
        <v>27040</v>
      </c>
      <c r="AA1072">
        <v>0.51668114191287207</v>
      </c>
      <c r="AB1072" t="str">
        <f>HYPERLINK("Melting_Curves/meltCurve_H3BTL1_MAP1LC3B.pdf", "Melting_Curves/meltCurve_H3BTL1_MAP1LC3B.pdf")</f>
        <v>Melting_Curves/meltCurve_H3BTL1_MAP1LC3B.pdf</v>
      </c>
    </row>
    <row r="1073" spans="1:28" x14ac:dyDescent="0.25">
      <c r="A1073" t="s">
        <v>1077</v>
      </c>
      <c r="B1073">
        <v>0.99472303558308395</v>
      </c>
      <c r="C1073">
        <v>0.81174766280546795</v>
      </c>
      <c r="D1073">
        <v>0.79034995412639297</v>
      </c>
      <c r="E1073">
        <v>0.67165821440831097</v>
      </c>
      <c r="F1073">
        <v>1.2587849231969199</v>
      </c>
      <c r="G1073">
        <v>0.55889717485470802</v>
      </c>
      <c r="H1073">
        <v>0.79767298850616897</v>
      </c>
      <c r="I1073">
        <v>0.224492833982437</v>
      </c>
      <c r="J1073">
        <v>0.101261435909652</v>
      </c>
      <c r="K1073">
        <v>0.236292050940003</v>
      </c>
      <c r="L1073">
        <v>1111.34543910087</v>
      </c>
      <c r="M1073">
        <v>19.1813050915483</v>
      </c>
      <c r="N1073">
        <v>58.3984820627118</v>
      </c>
      <c r="O1073">
        <v>57.320255738088598</v>
      </c>
      <c r="P1073">
        <v>-7.7801812385844105E-2</v>
      </c>
      <c r="Q1073">
        <v>7.0042556240241693E-2</v>
      </c>
      <c r="R1073">
        <v>0.65166480784355296</v>
      </c>
      <c r="S1073" t="s">
        <v>7641</v>
      </c>
      <c r="T1073" t="s">
        <v>13134</v>
      </c>
      <c r="U1073" t="s">
        <v>13134</v>
      </c>
      <c r="V1073" t="s">
        <v>13134</v>
      </c>
      <c r="W1073" t="s">
        <v>14188</v>
      </c>
      <c r="X1073">
        <v>42</v>
      </c>
      <c r="Y1073" t="s">
        <v>20678</v>
      </c>
      <c r="Z1073" t="s">
        <v>27041</v>
      </c>
      <c r="AA1073">
        <v>0.72544109152199987</v>
      </c>
      <c r="AB1073" t="str">
        <f>HYPERLINK("Melting_Curves/meltCurve_H3BTN5_PKM.pdf", "Melting_Curves/meltCurve_H3BTN5_PKM.pdf")</f>
        <v>Melting_Curves/meltCurve_H3BTN5_PKM.pdf</v>
      </c>
    </row>
    <row r="1074" spans="1:28" x14ac:dyDescent="0.25">
      <c r="A1074" t="s">
        <v>1078</v>
      </c>
      <c r="B1074">
        <v>0.99472303558308395</v>
      </c>
      <c r="C1074">
        <v>0.91142138082511004</v>
      </c>
      <c r="D1074">
        <v>0.82025397857025995</v>
      </c>
      <c r="E1074">
        <v>0.54730151001432303</v>
      </c>
      <c r="F1074">
        <v>0.41092182969028901</v>
      </c>
      <c r="G1074">
        <v>0.29252914056747897</v>
      </c>
      <c r="H1074">
        <v>0.35673413424589101</v>
      </c>
      <c r="I1074">
        <v>0.41858080317934399</v>
      </c>
      <c r="J1074">
        <v>0.62791166368804696</v>
      </c>
      <c r="K1074">
        <v>0.423474554514985</v>
      </c>
      <c r="L1074">
        <v>1169.1271442262</v>
      </c>
      <c r="M1074">
        <v>26.498008691953199</v>
      </c>
      <c r="N1074">
        <v>47.3834458598227</v>
      </c>
      <c r="O1074">
        <v>43.872329756957299</v>
      </c>
      <c r="P1074">
        <v>-8.7678839735615896E-2</v>
      </c>
      <c r="Q1074">
        <v>0.41933237843439503</v>
      </c>
      <c r="R1074">
        <v>0.87501920875822903</v>
      </c>
      <c r="S1074" t="s">
        <v>7642</v>
      </c>
      <c r="T1074" t="s">
        <v>13134</v>
      </c>
      <c r="U1074" t="s">
        <v>13134</v>
      </c>
      <c r="V1074" t="s">
        <v>13134</v>
      </c>
      <c r="W1074" t="s">
        <v>14053</v>
      </c>
      <c r="X1074">
        <v>4</v>
      </c>
      <c r="Z1074" t="s">
        <v>27042</v>
      </c>
      <c r="AA1074">
        <v>0.56137344590762694</v>
      </c>
      <c r="AB1074" t="str">
        <f>HYPERLINK("Melting_Curves/meltCurve_H3BTX0_.pdf", "Melting_Curves/meltCurve_H3BTX0_.pdf")</f>
        <v>Melting_Curves/meltCurve_H3BTX0_.pdf</v>
      </c>
    </row>
    <row r="1075" spans="1:28" x14ac:dyDescent="0.25">
      <c r="A1075" t="s">
        <v>1079</v>
      </c>
      <c r="B1075">
        <v>0.99472303558308395</v>
      </c>
      <c r="C1075">
        <v>0.99324603716998905</v>
      </c>
      <c r="D1075">
        <v>0.99698904561559798</v>
      </c>
      <c r="E1075">
        <v>0.86280788383927298</v>
      </c>
      <c r="F1075">
        <v>0.52961727119520396</v>
      </c>
      <c r="G1075">
        <v>0.41007195903555099</v>
      </c>
      <c r="H1075">
        <v>0.25639867048613701</v>
      </c>
      <c r="I1075">
        <v>0.26039768968192101</v>
      </c>
      <c r="J1075">
        <v>0.27759269736331699</v>
      </c>
      <c r="K1075">
        <v>0.19551064905585999</v>
      </c>
      <c r="L1075">
        <v>1059.4795863505201</v>
      </c>
      <c r="M1075">
        <v>21.369904201724601</v>
      </c>
      <c r="N1075">
        <v>51.129983072597703</v>
      </c>
      <c r="O1075">
        <v>49.150095672484703</v>
      </c>
      <c r="P1075">
        <v>-8.2762661124190007E-2</v>
      </c>
      <c r="Q1075">
        <v>0.238613186236876</v>
      </c>
      <c r="R1075">
        <v>0.99169746598417396</v>
      </c>
      <c r="S1075" t="s">
        <v>7643</v>
      </c>
      <c r="T1075" t="s">
        <v>13134</v>
      </c>
      <c r="U1075" t="s">
        <v>13134</v>
      </c>
      <c r="V1075" t="s">
        <v>13134</v>
      </c>
      <c r="W1075" t="s">
        <v>14189</v>
      </c>
      <c r="X1075">
        <v>4</v>
      </c>
      <c r="Y1075" t="s">
        <v>20679</v>
      </c>
      <c r="Z1075" t="s">
        <v>27043</v>
      </c>
      <c r="AA1075">
        <v>0.56674157773945733</v>
      </c>
      <c r="AB1075" t="str">
        <f>HYPERLINK("Melting_Curves/meltCurve_H3BTX7_RNF166.pdf", "Melting_Curves/meltCurve_H3BTX7_RNF166.pdf")</f>
        <v>Melting_Curves/meltCurve_H3BTX7_RNF166.pdf</v>
      </c>
    </row>
    <row r="1076" spans="1:28" x14ac:dyDescent="0.25">
      <c r="A1076" t="s">
        <v>1080</v>
      </c>
      <c r="B1076">
        <v>0.99472303558308395</v>
      </c>
      <c r="C1076">
        <v>0.91088957559446304</v>
      </c>
      <c r="D1076">
        <v>0.92534612749129097</v>
      </c>
      <c r="E1076">
        <v>0.62284356813743003</v>
      </c>
      <c r="F1076">
        <v>0.27600370271485603</v>
      </c>
      <c r="G1076">
        <v>0.15040505847908001</v>
      </c>
      <c r="H1076">
        <v>8.3147313527558706E-2</v>
      </c>
      <c r="I1076">
        <v>8.9359733378568604E-2</v>
      </c>
      <c r="J1076">
        <v>9.4349261744805193E-2</v>
      </c>
      <c r="K1076">
        <v>7.8701509096560998E-2</v>
      </c>
      <c r="L1076">
        <v>1036.92005492045</v>
      </c>
      <c r="M1076">
        <v>21.9050214030087</v>
      </c>
      <c r="N1076">
        <v>47.7153515746324</v>
      </c>
      <c r="O1076">
        <v>46.947875720151501</v>
      </c>
      <c r="P1076">
        <v>-0.107350769494478</v>
      </c>
      <c r="Q1076">
        <v>7.9703975293409807E-2</v>
      </c>
      <c r="R1076">
        <v>0.99551379157930997</v>
      </c>
      <c r="S1076" t="s">
        <v>7644</v>
      </c>
      <c r="T1076" t="s">
        <v>13134</v>
      </c>
      <c r="U1076" t="s">
        <v>13134</v>
      </c>
      <c r="V1076" t="s">
        <v>13134</v>
      </c>
      <c r="W1076" t="s">
        <v>14190</v>
      </c>
      <c r="X1076">
        <v>3</v>
      </c>
      <c r="Y1076" t="s">
        <v>20680</v>
      </c>
      <c r="Z1076" t="s">
        <v>27044</v>
      </c>
      <c r="AA1076">
        <v>0.40690835518658008</v>
      </c>
      <c r="AB1076" t="str">
        <f>HYPERLINK("Melting_Curves/meltCurve_H3BU49_ARL2BP.pdf", "Melting_Curves/meltCurve_H3BU49_ARL2BP.pdf")</f>
        <v>Melting_Curves/meltCurve_H3BU49_ARL2BP.pdf</v>
      </c>
    </row>
    <row r="1077" spans="1:28" x14ac:dyDescent="0.25">
      <c r="A1077" t="s">
        <v>1081</v>
      </c>
      <c r="B1077">
        <v>0.99472303558308395</v>
      </c>
      <c r="C1077">
        <v>0.96530513395096496</v>
      </c>
      <c r="D1077">
        <v>1.0055126635937599</v>
      </c>
      <c r="E1077">
        <v>0.77941510820216997</v>
      </c>
      <c r="F1077">
        <v>0.45547221593336101</v>
      </c>
      <c r="G1077">
        <v>0.29443425035257897</v>
      </c>
      <c r="H1077">
        <v>0.19985992554462001</v>
      </c>
      <c r="I1077">
        <v>0.152605290312158</v>
      </c>
      <c r="J1077">
        <v>0.12827633742411099</v>
      </c>
      <c r="K1077">
        <v>8.2698218423736203E-2</v>
      </c>
      <c r="L1077">
        <v>934.31864941051003</v>
      </c>
      <c r="M1077">
        <v>18.940045025412701</v>
      </c>
      <c r="N1077">
        <v>50.037385691143001</v>
      </c>
      <c r="O1077">
        <v>48.790274976399601</v>
      </c>
      <c r="P1077">
        <v>-8.5657931772980006E-2</v>
      </c>
      <c r="Q1077">
        <v>0.117403288725606</v>
      </c>
      <c r="R1077">
        <v>0.994196800438788</v>
      </c>
      <c r="S1077" t="s">
        <v>7645</v>
      </c>
      <c r="T1077" t="s">
        <v>13134</v>
      </c>
      <c r="U1077" t="s">
        <v>13134</v>
      </c>
      <c r="V1077" t="s">
        <v>13134</v>
      </c>
      <c r="W1077" t="s">
        <v>14191</v>
      </c>
      <c r="X1077">
        <v>16</v>
      </c>
      <c r="Y1077" t="s">
        <v>20681</v>
      </c>
      <c r="Z1077" t="s">
        <v>27045</v>
      </c>
      <c r="AA1077">
        <v>0.4929749182533445</v>
      </c>
      <c r="AB1077" t="str">
        <f>HYPERLINK("Melting_Curves/meltCurve_H3BUQ2_OGFOD1.pdf", "Melting_Curves/meltCurve_H3BUQ2_OGFOD1.pdf")</f>
        <v>Melting_Curves/meltCurve_H3BUQ2_OGFOD1.pdf</v>
      </c>
    </row>
    <row r="1078" spans="1:28" x14ac:dyDescent="0.25">
      <c r="A1078" t="s">
        <v>1082</v>
      </c>
      <c r="B1078">
        <v>0.99472303558308395</v>
      </c>
      <c r="C1078">
        <v>0.826039791436185</v>
      </c>
      <c r="D1078">
        <v>0.83007459467088596</v>
      </c>
      <c r="E1078">
        <v>0.78836059756344401</v>
      </c>
      <c r="F1078">
        <v>0.51904114064556395</v>
      </c>
      <c r="G1078">
        <v>0.204805482939173</v>
      </c>
      <c r="H1078">
        <v>0.109241605290178</v>
      </c>
      <c r="I1078">
        <v>8.9545328750240502E-2</v>
      </c>
      <c r="J1078">
        <v>0.12952958291091099</v>
      </c>
      <c r="K1078">
        <v>0.116161306458978</v>
      </c>
      <c r="L1078">
        <v>732.38743865045899</v>
      </c>
      <c r="M1078">
        <v>14.8488298791874</v>
      </c>
      <c r="N1078">
        <v>49.735243985070802</v>
      </c>
      <c r="O1078">
        <v>48.454255538390299</v>
      </c>
      <c r="P1078">
        <v>-7.2183164726489293E-2</v>
      </c>
      <c r="Q1078">
        <v>5.7915282095949698E-2</v>
      </c>
      <c r="R1078">
        <v>0.96326066594903204</v>
      </c>
      <c r="S1078" t="s">
        <v>7646</v>
      </c>
      <c r="T1078" t="s">
        <v>13134</v>
      </c>
      <c r="U1078" t="s">
        <v>13134</v>
      </c>
      <c r="V1078" t="s">
        <v>13134</v>
      </c>
      <c r="W1078" t="s">
        <v>14192</v>
      </c>
      <c r="X1078">
        <v>6</v>
      </c>
      <c r="Y1078" t="s">
        <v>20682</v>
      </c>
      <c r="Z1078" t="s">
        <v>27046</v>
      </c>
      <c r="AA1078">
        <v>0.46529620192170662</v>
      </c>
      <c r="AB1078" t="str">
        <f>HYPERLINK("Melting_Curves/meltCurve_H3BV80_RNPS1.pdf", "Melting_Curves/meltCurve_H3BV80_RNPS1.pdf")</f>
        <v>Melting_Curves/meltCurve_H3BV80_RNPS1.pdf</v>
      </c>
    </row>
    <row r="1079" spans="1:28" x14ac:dyDescent="0.25">
      <c r="A1079" t="s">
        <v>1083</v>
      </c>
      <c r="B1079">
        <v>0.99472303558308395</v>
      </c>
      <c r="C1079">
        <v>1.0430400371262101</v>
      </c>
      <c r="D1079">
        <v>1.02511787186028</v>
      </c>
      <c r="E1079">
        <v>0.59121341523252802</v>
      </c>
      <c r="F1079">
        <v>0.35392698820848301</v>
      </c>
      <c r="G1079">
        <v>0.27185367524745302</v>
      </c>
      <c r="H1079">
        <v>0.117322619188706</v>
      </c>
      <c r="I1079">
        <v>2.34169374339919E-2</v>
      </c>
      <c r="J1079">
        <v>7.2914821115243694E-2</v>
      </c>
      <c r="K1079">
        <v>2.0982906030937901E-2</v>
      </c>
      <c r="L1079">
        <v>871.64656591986397</v>
      </c>
      <c r="M1079">
        <v>18.046309114443702</v>
      </c>
      <c r="N1079">
        <v>48.582333488972097</v>
      </c>
      <c r="O1079">
        <v>47.719162435672096</v>
      </c>
      <c r="P1079">
        <v>-8.9850844008319997E-2</v>
      </c>
      <c r="Q1079">
        <v>4.9689849630623999E-2</v>
      </c>
      <c r="R1079">
        <v>0.97720117155966701</v>
      </c>
      <c r="S1079" t="s">
        <v>7647</v>
      </c>
      <c r="T1079" t="s">
        <v>13134</v>
      </c>
      <c r="U1079" t="s">
        <v>13134</v>
      </c>
      <c r="V1079" t="s">
        <v>13134</v>
      </c>
      <c r="W1079" t="s">
        <v>14193</v>
      </c>
      <c r="X1079">
        <v>3</v>
      </c>
      <c r="Y1079" t="s">
        <v>20683</v>
      </c>
      <c r="Z1079" t="s">
        <v>27047</v>
      </c>
      <c r="AA1079">
        <v>0.42275620548357917</v>
      </c>
      <c r="AB1079" t="str">
        <f>HYPERLINK("Melting_Curves/meltCurve_H3BVB1_FBXL19.pdf", "Melting_Curves/meltCurve_H3BVB1_FBXL19.pdf")</f>
        <v>Melting_Curves/meltCurve_H3BVB1_FBXL19.pdf</v>
      </c>
    </row>
    <row r="1080" spans="1:28" x14ac:dyDescent="0.25">
      <c r="A1080" t="s">
        <v>1084</v>
      </c>
      <c r="B1080">
        <v>0.99472303558308395</v>
      </c>
      <c r="C1080">
        <v>1.01311710214922</v>
      </c>
      <c r="D1080">
        <v>0.87292205399412504</v>
      </c>
      <c r="E1080">
        <v>0.84481692203319703</v>
      </c>
      <c r="F1080">
        <v>0.67938798445780102</v>
      </c>
      <c r="G1080">
        <v>0.55573424862064402</v>
      </c>
      <c r="H1080">
        <v>0.39696425879290298</v>
      </c>
      <c r="I1080">
        <v>0.28268311218886899</v>
      </c>
      <c r="J1080">
        <v>0.20020444089564299</v>
      </c>
      <c r="K1080">
        <v>0.213177688528396</v>
      </c>
      <c r="L1080">
        <v>519.38895703531898</v>
      </c>
      <c r="M1080">
        <v>9.6407332836220494</v>
      </c>
      <c r="N1080">
        <v>54.6369232083157</v>
      </c>
      <c r="O1080">
        <v>51.7095390871633</v>
      </c>
      <c r="P1080">
        <v>-4.3700692185308303E-2</v>
      </c>
      <c r="Q1080">
        <v>6.2943197483095306E-2</v>
      </c>
      <c r="R1080">
        <v>0.99228966406470798</v>
      </c>
      <c r="S1080" t="s">
        <v>7648</v>
      </c>
      <c r="T1080" t="s">
        <v>13134</v>
      </c>
      <c r="U1080" t="s">
        <v>13134</v>
      </c>
      <c r="V1080" t="s">
        <v>13134</v>
      </c>
      <c r="W1080" t="s">
        <v>14194</v>
      </c>
      <c r="X1080">
        <v>5</v>
      </c>
      <c r="Y1080" t="s">
        <v>20684</v>
      </c>
      <c r="Z1080" t="s">
        <v>27048</v>
      </c>
      <c r="AA1080">
        <v>0.60686967431915906</v>
      </c>
      <c r="AB1080" t="str">
        <f>HYPERLINK("Melting_Curves/meltCurve_H3BVD9_SPINT1.pdf", "Melting_Curves/meltCurve_H3BVD9_SPINT1.pdf")</f>
        <v>Melting_Curves/meltCurve_H3BVD9_SPINT1.pdf</v>
      </c>
    </row>
    <row r="1081" spans="1:28" x14ac:dyDescent="0.25">
      <c r="A1081" t="s">
        <v>1085</v>
      </c>
      <c r="B1081">
        <v>0.99472303558308395</v>
      </c>
      <c r="C1081">
        <v>0.961597965071466</v>
      </c>
      <c r="D1081">
        <v>0.74634582814211603</v>
      </c>
      <c r="E1081">
        <v>0.57699288504906898</v>
      </c>
      <c r="F1081">
        <v>0.41175921938933902</v>
      </c>
      <c r="G1081">
        <v>0.201148364275924</v>
      </c>
      <c r="H1081">
        <v>0.14309968641719101</v>
      </c>
      <c r="I1081">
        <v>8.8876767520911601E-2</v>
      </c>
      <c r="J1081">
        <v>0.109661017507224</v>
      </c>
      <c r="K1081">
        <v>0.118494520942636</v>
      </c>
      <c r="L1081">
        <v>612.59384095051803</v>
      </c>
      <c r="M1081">
        <v>12.9722812292769</v>
      </c>
      <c r="N1081">
        <v>47.785868461313498</v>
      </c>
      <c r="O1081">
        <v>46.143351214414302</v>
      </c>
      <c r="P1081">
        <v>-6.5317093505413606E-2</v>
      </c>
      <c r="Q1081">
        <v>7.0815184919289606E-2</v>
      </c>
      <c r="R1081">
        <v>0.99201024870348997</v>
      </c>
      <c r="S1081" t="s">
        <v>7649</v>
      </c>
      <c r="T1081" t="s">
        <v>13134</v>
      </c>
      <c r="U1081" t="s">
        <v>13134</v>
      </c>
      <c r="V1081" t="s">
        <v>13134</v>
      </c>
      <c r="W1081" t="s">
        <v>14195</v>
      </c>
      <c r="X1081">
        <v>11</v>
      </c>
      <c r="Y1081" t="s">
        <v>20685</v>
      </c>
      <c r="Z1081" t="s">
        <v>27049</v>
      </c>
      <c r="AA1081">
        <v>0.4141240452226238</v>
      </c>
      <c r="AB1081" t="str">
        <f>HYPERLINK("Melting_Curves/meltCurve_H7BXF4_SMPD4.pdf", "Melting_Curves/meltCurve_H7BXF4_SMPD4.pdf")</f>
        <v>Melting_Curves/meltCurve_H7BXF4_SMPD4.pdf</v>
      </c>
    </row>
    <row r="1082" spans="1:28" x14ac:dyDescent="0.25">
      <c r="A1082" t="s">
        <v>1086</v>
      </c>
      <c r="B1082">
        <v>0.99472303558308395</v>
      </c>
      <c r="C1082">
        <v>0.94087666369635103</v>
      </c>
      <c r="D1082">
        <v>0.64899658406454597</v>
      </c>
      <c r="E1082">
        <v>0.50805289941094001</v>
      </c>
      <c r="F1082">
        <v>0.30840928650383498</v>
      </c>
      <c r="G1082">
        <v>0.22189388160086199</v>
      </c>
      <c r="H1082">
        <v>0.15585630147216101</v>
      </c>
      <c r="I1082">
        <v>0.17621202437808201</v>
      </c>
      <c r="J1082">
        <v>0.198042992692741</v>
      </c>
      <c r="K1082">
        <v>0.117050008363524</v>
      </c>
      <c r="L1082">
        <v>659.95603572940604</v>
      </c>
      <c r="M1082">
        <v>14.6401186097464</v>
      </c>
      <c r="N1082">
        <v>46.177677621910902</v>
      </c>
      <c r="O1082">
        <v>44.262582035902298</v>
      </c>
      <c r="P1082">
        <v>-7.0532712107258699E-2</v>
      </c>
      <c r="Q1082">
        <v>0.147107149866753</v>
      </c>
      <c r="R1082">
        <v>0.98644720204483705</v>
      </c>
      <c r="S1082" t="s">
        <v>7650</v>
      </c>
      <c r="T1082" t="s">
        <v>13134</v>
      </c>
      <c r="U1082" t="s">
        <v>13134</v>
      </c>
      <c r="V1082" t="s">
        <v>13134</v>
      </c>
      <c r="W1082" t="s">
        <v>14196</v>
      </c>
      <c r="X1082">
        <v>3</v>
      </c>
      <c r="Y1082" t="s">
        <v>20686</v>
      </c>
      <c r="Z1082" t="s">
        <v>27050</v>
      </c>
      <c r="AA1082">
        <v>0.39800546443191648</v>
      </c>
      <c r="AB1082" t="str">
        <f>HYPERLINK("Melting_Curves/meltCurve_H7BXF5_SAP130.pdf", "Melting_Curves/meltCurve_H7BXF5_SAP130.pdf")</f>
        <v>Melting_Curves/meltCurve_H7BXF5_SAP130.pdf</v>
      </c>
    </row>
    <row r="1083" spans="1:28" x14ac:dyDescent="0.25">
      <c r="A1083" t="s">
        <v>1087</v>
      </c>
      <c r="B1083">
        <v>0.99472303558308395</v>
      </c>
      <c r="C1083">
        <v>0.91122975461966105</v>
      </c>
      <c r="D1083">
        <v>0.800726806672172</v>
      </c>
      <c r="E1083">
        <v>0.75789410805906299</v>
      </c>
      <c r="F1083">
        <v>0.76442505791881699</v>
      </c>
      <c r="G1083">
        <v>0.43404200894396799</v>
      </c>
      <c r="H1083">
        <v>0.12927869749234799</v>
      </c>
      <c r="I1083">
        <v>5.7214411717086897E-2</v>
      </c>
      <c r="J1083">
        <v>6.3820709481344107E-2</v>
      </c>
      <c r="K1083">
        <v>5.67354686299519E-2</v>
      </c>
      <c r="L1083">
        <v>727.84973619528705</v>
      </c>
      <c r="M1083">
        <v>13.9568035021681</v>
      </c>
      <c r="N1083">
        <v>52.150166604964397</v>
      </c>
      <c r="O1083">
        <v>51.114556129904699</v>
      </c>
      <c r="P1083">
        <v>-6.8271522616305202E-2</v>
      </c>
      <c r="Q1083">
        <v>0</v>
      </c>
      <c r="R1083">
        <v>0.95182641196684703</v>
      </c>
      <c r="S1083" t="s">
        <v>7651</v>
      </c>
      <c r="T1083" t="s">
        <v>13134</v>
      </c>
      <c r="U1083" t="s">
        <v>13134</v>
      </c>
      <c r="V1083" t="s">
        <v>13134</v>
      </c>
      <c r="W1083" t="s">
        <v>14197</v>
      </c>
      <c r="X1083">
        <v>17</v>
      </c>
      <c r="Y1083" t="s">
        <v>20687</v>
      </c>
      <c r="Z1083" t="s">
        <v>27051</v>
      </c>
      <c r="AA1083">
        <v>0.52548272314968947</v>
      </c>
      <c r="AB1083" t="str">
        <f>HYPERLINK("Melting_Curves/meltCurve_H7BXH2_PPP6R3.pdf", "Melting_Curves/meltCurve_H7BXH2_PPP6R3.pdf")</f>
        <v>Melting_Curves/meltCurve_H7BXH2_PPP6R3.pdf</v>
      </c>
    </row>
    <row r="1084" spans="1:28" x14ac:dyDescent="0.25">
      <c r="A1084" t="s">
        <v>1088</v>
      </c>
      <c r="B1084">
        <v>0.99472303558308395</v>
      </c>
      <c r="C1084">
        <v>0.82476219680796303</v>
      </c>
      <c r="D1084">
        <v>0.99575217292734797</v>
      </c>
      <c r="E1084">
        <v>0.96410257917859798</v>
      </c>
      <c r="F1084">
        <v>0.89756412144268305</v>
      </c>
      <c r="G1084">
        <v>0.68531438071767703</v>
      </c>
      <c r="H1084">
        <v>0.35271574876902301</v>
      </c>
      <c r="I1084">
        <v>9.8382887842696401E-2</v>
      </c>
      <c r="J1084">
        <v>7.1166791783682501E-2</v>
      </c>
      <c r="K1084">
        <v>8.6753440804547804E-2</v>
      </c>
      <c r="L1084">
        <v>1276.1234590076201</v>
      </c>
      <c r="M1084">
        <v>23.0377674980294</v>
      </c>
      <c r="N1084">
        <v>55.580896210180299</v>
      </c>
      <c r="O1084">
        <v>54.980363604922999</v>
      </c>
      <c r="P1084">
        <v>-0.100825323173114</v>
      </c>
      <c r="Q1084">
        <v>3.7526560485644699E-2</v>
      </c>
      <c r="R1084">
        <v>0.97584176354105201</v>
      </c>
      <c r="S1084" t="s">
        <v>7652</v>
      </c>
      <c r="T1084" t="s">
        <v>13134</v>
      </c>
      <c r="U1084" t="s">
        <v>13134</v>
      </c>
      <c r="V1084" t="s">
        <v>13134</v>
      </c>
      <c r="W1084" t="s">
        <v>14198</v>
      </c>
      <c r="X1084">
        <v>3</v>
      </c>
      <c r="Y1084" t="s">
        <v>20688</v>
      </c>
      <c r="Z1084" t="s">
        <v>27052</v>
      </c>
      <c r="AA1084">
        <v>0.63660161052486364</v>
      </c>
      <c r="AB1084" t="str">
        <f>HYPERLINK("Melting_Curves/meltCurve_H7BXH9_METTL21A.pdf", "Melting_Curves/meltCurve_H7BXH9_METTL21A.pdf")</f>
        <v>Melting_Curves/meltCurve_H7BXH9_METTL21A.pdf</v>
      </c>
    </row>
    <row r="1085" spans="1:28" x14ac:dyDescent="0.25">
      <c r="A1085" t="s">
        <v>1089</v>
      </c>
      <c r="B1085">
        <v>0.99472303558308395</v>
      </c>
      <c r="C1085">
        <v>0.97532348867643104</v>
      </c>
      <c r="D1085">
        <v>0.89546601903600798</v>
      </c>
      <c r="E1085">
        <v>0.66035221579514103</v>
      </c>
      <c r="F1085">
        <v>0.38175718166989198</v>
      </c>
      <c r="G1085">
        <v>0.156531599519739</v>
      </c>
      <c r="H1085">
        <v>7.4974563569756195E-2</v>
      </c>
      <c r="I1085">
        <v>5.2123239956854098E-2</v>
      </c>
      <c r="J1085">
        <v>6.1064397098468899E-2</v>
      </c>
      <c r="K1085">
        <v>5.5423994520345597E-2</v>
      </c>
      <c r="L1085">
        <v>852.59705126147401</v>
      </c>
      <c r="M1085">
        <v>17.659293980844001</v>
      </c>
      <c r="N1085">
        <v>48.486542657716299</v>
      </c>
      <c r="O1085">
        <v>47.674004317513401</v>
      </c>
      <c r="P1085">
        <v>-8.9259504285521304E-2</v>
      </c>
      <c r="Q1085">
        <v>3.6171741679178603E-2</v>
      </c>
      <c r="R1085">
        <v>0.99910372553104598</v>
      </c>
      <c r="S1085" t="s">
        <v>7653</v>
      </c>
      <c r="T1085" t="s">
        <v>13134</v>
      </c>
      <c r="U1085" t="s">
        <v>13134</v>
      </c>
      <c r="V1085" t="s">
        <v>13134</v>
      </c>
      <c r="W1085" t="s">
        <v>14199</v>
      </c>
      <c r="X1085">
        <v>24</v>
      </c>
      <c r="Y1085" t="s">
        <v>19629</v>
      </c>
      <c r="Z1085" t="s">
        <v>27053</v>
      </c>
      <c r="AA1085">
        <v>0.41450644912434859</v>
      </c>
      <c r="AB1085" t="str">
        <f>HYPERLINK("Melting_Curves/meltCurve_H7BXI1_ESYT2.pdf", "Melting_Curves/meltCurve_H7BXI1_ESYT2.pdf")</f>
        <v>Melting_Curves/meltCurve_H7BXI1_ESYT2.pdf</v>
      </c>
    </row>
    <row r="1086" spans="1:28" x14ac:dyDescent="0.25">
      <c r="A1086" t="s">
        <v>1090</v>
      </c>
      <c r="B1086">
        <v>0.99472303558308395</v>
      </c>
      <c r="C1086">
        <v>1.01149046923325</v>
      </c>
      <c r="D1086">
        <v>0.92212067534520303</v>
      </c>
      <c r="E1086">
        <v>0.85200590816237898</v>
      </c>
      <c r="F1086">
        <v>0.69164762192736495</v>
      </c>
      <c r="G1086">
        <v>0.45951075510895101</v>
      </c>
      <c r="H1086">
        <v>0.205494745680837</v>
      </c>
      <c r="I1086">
        <v>0.106778444579604</v>
      </c>
      <c r="J1086">
        <v>0.11391671743645899</v>
      </c>
      <c r="K1086">
        <v>9.4827599540117893E-2</v>
      </c>
      <c r="L1086">
        <v>794.45072445673998</v>
      </c>
      <c r="M1086">
        <v>15.1526589688177</v>
      </c>
      <c r="N1086">
        <v>52.706406153127098</v>
      </c>
      <c r="O1086">
        <v>51.542075677582403</v>
      </c>
      <c r="P1086">
        <v>-7.0694119987769005E-2</v>
      </c>
      <c r="Q1086">
        <v>3.8223850554867198E-2</v>
      </c>
      <c r="R1086">
        <v>0.99457307867572298</v>
      </c>
      <c r="S1086" t="s">
        <v>7654</v>
      </c>
      <c r="T1086" t="s">
        <v>13134</v>
      </c>
      <c r="U1086" t="s">
        <v>13134</v>
      </c>
      <c r="V1086" t="s">
        <v>13134</v>
      </c>
      <c r="W1086" t="s">
        <v>14200</v>
      </c>
      <c r="X1086">
        <v>7</v>
      </c>
      <c r="Y1086" t="s">
        <v>20689</v>
      </c>
      <c r="Z1086" t="s">
        <v>27054</v>
      </c>
      <c r="AA1086">
        <v>0.55060542961754311</v>
      </c>
      <c r="AB1086" t="str">
        <f>HYPERLINK("Melting_Curves/meltCurve_H7BXI5_ERGIC3.pdf", "Melting_Curves/meltCurve_H7BXI5_ERGIC3.pdf")</f>
        <v>Melting_Curves/meltCurve_H7BXI5_ERGIC3.pdf</v>
      </c>
    </row>
    <row r="1087" spans="1:28" x14ac:dyDescent="0.25">
      <c r="A1087" t="s">
        <v>1091</v>
      </c>
      <c r="B1087">
        <v>0.99472303558308395</v>
      </c>
      <c r="C1087">
        <v>0.92816648355254405</v>
      </c>
      <c r="D1087">
        <v>0.87507816527525495</v>
      </c>
      <c r="E1087">
        <v>0.77086784384641605</v>
      </c>
      <c r="F1087">
        <v>0.57889405311967901</v>
      </c>
      <c r="G1087">
        <v>0.34310766416413002</v>
      </c>
      <c r="H1087">
        <v>0.25938073764012198</v>
      </c>
      <c r="I1087">
        <v>0.211291748585126</v>
      </c>
      <c r="J1087">
        <v>0.22085009913300799</v>
      </c>
      <c r="K1087">
        <v>0.20264465339491999</v>
      </c>
      <c r="L1087">
        <v>673.47554428861997</v>
      </c>
      <c r="M1087">
        <v>13.5955751429907</v>
      </c>
      <c r="N1087">
        <v>51.034754966765</v>
      </c>
      <c r="O1087">
        <v>48.501515163411902</v>
      </c>
      <c r="P1087">
        <v>-5.8554849425747998E-2</v>
      </c>
      <c r="Q1087">
        <v>0.16455826667586501</v>
      </c>
      <c r="R1087">
        <v>0.99328160434495405</v>
      </c>
      <c r="S1087" t="s">
        <v>7655</v>
      </c>
      <c r="T1087" t="s">
        <v>13134</v>
      </c>
      <c r="U1087" t="s">
        <v>13134</v>
      </c>
      <c r="V1087" t="s">
        <v>13134</v>
      </c>
      <c r="W1087" t="s">
        <v>14201</v>
      </c>
      <c r="X1087">
        <v>3</v>
      </c>
      <c r="Y1087" t="s">
        <v>20690</v>
      </c>
      <c r="Z1087" t="s">
        <v>27055</v>
      </c>
      <c r="AA1087">
        <v>0.53409537533717399</v>
      </c>
      <c r="AB1087" t="str">
        <f>HYPERLINK("Melting_Curves/meltCurve_H7BXL1_TMEM41A.pdf", "Melting_Curves/meltCurve_H7BXL1_TMEM41A.pdf")</f>
        <v>Melting_Curves/meltCurve_H7BXL1_TMEM41A.pdf</v>
      </c>
    </row>
    <row r="1088" spans="1:28" x14ac:dyDescent="0.25">
      <c r="A1088" t="s">
        <v>1092</v>
      </c>
      <c r="B1088">
        <v>0.99472303558308395</v>
      </c>
      <c r="C1088">
        <v>1.1048860435661101</v>
      </c>
      <c r="D1088">
        <v>0.86186983646417104</v>
      </c>
      <c r="E1088">
        <v>0.62895814724034405</v>
      </c>
      <c r="F1088">
        <v>0.41338232937366598</v>
      </c>
      <c r="G1088">
        <v>0.25916783282419098</v>
      </c>
      <c r="H1088">
        <v>0.13761072016061199</v>
      </c>
      <c r="I1088">
        <v>8.8605132699402206E-2</v>
      </c>
      <c r="J1088">
        <v>8.7175501440137304E-2</v>
      </c>
      <c r="K1088">
        <v>0.127309308948612</v>
      </c>
      <c r="L1088">
        <v>788.28610475899404</v>
      </c>
      <c r="M1088">
        <v>16.381589278113701</v>
      </c>
      <c r="N1088">
        <v>48.706956211850397</v>
      </c>
      <c r="O1088">
        <v>47.420311925898098</v>
      </c>
      <c r="P1088">
        <v>-7.8636450761908394E-2</v>
      </c>
      <c r="Q1088">
        <v>8.9539285296722101E-2</v>
      </c>
      <c r="R1088">
        <v>0.98350081544970602</v>
      </c>
      <c r="S1088" t="s">
        <v>7656</v>
      </c>
      <c r="T1088" t="s">
        <v>13134</v>
      </c>
      <c r="U1088" t="s">
        <v>13134</v>
      </c>
      <c r="V1088" t="s">
        <v>13134</v>
      </c>
      <c r="W1088" t="s">
        <v>14202</v>
      </c>
      <c r="X1088">
        <v>2</v>
      </c>
      <c r="Y1088" t="s">
        <v>20691</v>
      </c>
      <c r="Z1088" t="s">
        <v>27056</v>
      </c>
      <c r="AA1088">
        <v>0.44422871603746727</v>
      </c>
      <c r="AB1088" t="str">
        <f>HYPERLINK("Melting_Curves/meltCurve_H7BXP5_TPRN.pdf", "Melting_Curves/meltCurve_H7BXP5_TPRN.pdf")</f>
        <v>Melting_Curves/meltCurve_H7BXP5_TPRN.pdf</v>
      </c>
    </row>
    <row r="1089" spans="1:28" x14ac:dyDescent="0.25">
      <c r="A1089" t="s">
        <v>1093</v>
      </c>
      <c r="B1089">
        <v>0.99472303558308395</v>
      </c>
      <c r="C1089">
        <v>1.28392846485722</v>
      </c>
      <c r="D1089">
        <v>0.92303181909528098</v>
      </c>
      <c r="E1089">
        <v>0.92165329831902998</v>
      </c>
      <c r="F1089">
        <v>0.723686537668772</v>
      </c>
      <c r="G1089">
        <v>0.60425069201857495</v>
      </c>
      <c r="H1089">
        <v>0.47800896494573603</v>
      </c>
      <c r="I1089">
        <v>0.62654879204826797</v>
      </c>
      <c r="J1089">
        <v>0.84744765426655899</v>
      </c>
      <c r="K1089">
        <v>0.79297216485621003</v>
      </c>
      <c r="L1089">
        <v>1995.18220860667</v>
      </c>
      <c r="M1089">
        <v>41.676331298957301</v>
      </c>
      <c r="O1089">
        <v>47.763420837158698</v>
      </c>
      <c r="P1089">
        <v>-7.1735658415761294E-2</v>
      </c>
      <c r="Q1089">
        <v>0.67114803333183404</v>
      </c>
      <c r="R1089">
        <v>0.63092290587529998</v>
      </c>
      <c r="S1089" t="s">
        <v>7657</v>
      </c>
      <c r="T1089" t="s">
        <v>13134</v>
      </c>
      <c r="U1089" t="s">
        <v>13134</v>
      </c>
      <c r="V1089" t="s">
        <v>13134</v>
      </c>
      <c r="W1089" t="s">
        <v>14203</v>
      </c>
      <c r="X1089">
        <v>3</v>
      </c>
      <c r="Y1089" t="s">
        <v>20692</v>
      </c>
      <c r="Z1089" t="s">
        <v>27057</v>
      </c>
      <c r="AA1089">
        <v>0.79133976882204315</v>
      </c>
      <c r="AB1089" t="str">
        <f>HYPERLINK("Melting_Curves/meltCurve_H7BXT7_BET1L.pdf", "Melting_Curves/meltCurve_H7BXT7_BET1L.pdf")</f>
        <v>Melting_Curves/meltCurve_H7BXT7_BET1L.pdf</v>
      </c>
    </row>
    <row r="1090" spans="1:28" x14ac:dyDescent="0.25">
      <c r="A1090" t="s">
        <v>1094</v>
      </c>
      <c r="B1090">
        <v>0.99472303558308395</v>
      </c>
      <c r="C1090">
        <v>0.55793249104785902</v>
      </c>
      <c r="D1090">
        <v>1.50234482340594</v>
      </c>
      <c r="E1090">
        <v>0.52801618876308898</v>
      </c>
      <c r="F1090">
        <v>0.260919112372619</v>
      </c>
      <c r="G1090">
        <v>0.71035449013479801</v>
      </c>
      <c r="H1090">
        <v>0.33532968773609401</v>
      </c>
      <c r="I1090">
        <v>0.21212508736289901</v>
      </c>
      <c r="J1090">
        <v>0.34597296341135803</v>
      </c>
      <c r="K1090">
        <v>0.46097814760510403</v>
      </c>
      <c r="L1090">
        <v>11593.5008483902</v>
      </c>
      <c r="M1090">
        <v>250</v>
      </c>
      <c r="N1090">
        <v>46.652567120499697</v>
      </c>
      <c r="O1090">
        <v>46.371058874843499</v>
      </c>
      <c r="P1090">
        <v>-0.82538962387185999</v>
      </c>
      <c r="Q1090">
        <v>0.38761325004568098</v>
      </c>
      <c r="R1090">
        <v>0.56760729933181797</v>
      </c>
      <c r="S1090" t="s">
        <v>7658</v>
      </c>
      <c r="T1090" t="s">
        <v>13134</v>
      </c>
      <c r="U1090" t="s">
        <v>13134</v>
      </c>
      <c r="V1090" t="s">
        <v>13134</v>
      </c>
      <c r="W1090" t="s">
        <v>14204</v>
      </c>
      <c r="X1090">
        <v>2</v>
      </c>
      <c r="Y1090" t="s">
        <v>20693</v>
      </c>
      <c r="Z1090" t="s">
        <v>27058</v>
      </c>
      <c r="AA1090">
        <v>0.57901360528340839</v>
      </c>
      <c r="AB1090" t="str">
        <f>HYPERLINK("Melting_Curves/meltCurve_H7BXW7_MPC1.pdf", "Melting_Curves/meltCurve_H7BXW7_MPC1.pdf")</f>
        <v>Melting_Curves/meltCurve_H7BXW7_MPC1.pdf</v>
      </c>
    </row>
    <row r="1091" spans="1:28" x14ac:dyDescent="0.25">
      <c r="A1091" t="s">
        <v>1095</v>
      </c>
      <c r="B1091">
        <v>0.99472303558308395</v>
      </c>
      <c r="C1091">
        <v>0.97661572804630603</v>
      </c>
      <c r="D1091">
        <v>0.97862377382000598</v>
      </c>
      <c r="E1091">
        <v>0.83685427274190405</v>
      </c>
      <c r="F1091">
        <v>0.62803671920610704</v>
      </c>
      <c r="G1091">
        <v>0.37125092806048599</v>
      </c>
      <c r="H1091">
        <v>0.23180751103068201</v>
      </c>
      <c r="I1091">
        <v>0.207186913569855</v>
      </c>
      <c r="J1091">
        <v>0.26333790020983899</v>
      </c>
      <c r="K1091">
        <v>0.22542171557920801</v>
      </c>
      <c r="L1091">
        <v>1021.31974700989</v>
      </c>
      <c r="M1091">
        <v>20.358638689898299</v>
      </c>
      <c r="N1091">
        <v>51.562970330605502</v>
      </c>
      <c r="O1091">
        <v>49.689909690837801</v>
      </c>
      <c r="P1091">
        <v>-8.0723182670219107E-2</v>
      </c>
      <c r="Q1091">
        <v>0.21193045809502201</v>
      </c>
      <c r="R1091">
        <v>0.99491550265360695</v>
      </c>
      <c r="S1091" t="s">
        <v>7659</v>
      </c>
      <c r="T1091" t="s">
        <v>13134</v>
      </c>
      <c r="U1091" t="s">
        <v>13134</v>
      </c>
      <c r="V1091" t="s">
        <v>13134</v>
      </c>
      <c r="W1091" t="s">
        <v>14205</v>
      </c>
      <c r="X1091">
        <v>4</v>
      </c>
      <c r="Y1091" t="s">
        <v>20694</v>
      </c>
      <c r="Z1091" t="s">
        <v>27059</v>
      </c>
      <c r="AA1091">
        <v>0.5678544399224108</v>
      </c>
      <c r="AB1091" t="str">
        <f>HYPERLINK("Melting_Curves/meltCurve_H7BXY3_DHX30.pdf", "Melting_Curves/meltCurve_H7BXY3_DHX30.pdf")</f>
        <v>Melting_Curves/meltCurve_H7BXY3_DHX30.pdf</v>
      </c>
    </row>
    <row r="1092" spans="1:28" x14ac:dyDescent="0.25">
      <c r="A1092" t="s">
        <v>1096</v>
      </c>
      <c r="B1092">
        <v>0.99472303558308395</v>
      </c>
      <c r="C1092">
        <v>1.0397469428548001</v>
      </c>
      <c r="D1092">
        <v>0.99841298226311104</v>
      </c>
      <c r="E1092">
        <v>0.93628029258015999</v>
      </c>
      <c r="F1092">
        <v>0.71513415130323399</v>
      </c>
      <c r="G1092">
        <v>0.45401051342498</v>
      </c>
      <c r="H1092">
        <v>7.9289485002037793E-2</v>
      </c>
      <c r="I1092">
        <v>6.0572692318528798E-2</v>
      </c>
      <c r="J1092">
        <v>5.4026381469209302E-2</v>
      </c>
      <c r="K1092">
        <v>5.5278704925020697E-2</v>
      </c>
      <c r="L1092">
        <v>1164.86790377273</v>
      </c>
      <c r="M1092">
        <v>22.154733234717799</v>
      </c>
      <c r="N1092">
        <v>52.686063022627401</v>
      </c>
      <c r="O1092">
        <v>52.155981449186399</v>
      </c>
      <c r="P1092">
        <v>-0.103854044312556</v>
      </c>
      <c r="Q1092">
        <v>2.2061437162192499E-2</v>
      </c>
      <c r="R1092">
        <v>0.99256894389213202</v>
      </c>
      <c r="S1092" t="s">
        <v>7660</v>
      </c>
      <c r="T1092" t="s">
        <v>13134</v>
      </c>
      <c r="U1092" t="s">
        <v>13134</v>
      </c>
      <c r="V1092" t="s">
        <v>13134</v>
      </c>
      <c r="W1092" t="s">
        <v>14206</v>
      </c>
      <c r="X1092">
        <v>18</v>
      </c>
      <c r="Y1092" t="s">
        <v>20695</v>
      </c>
      <c r="Z1092" t="s">
        <v>27060</v>
      </c>
      <c r="AA1092">
        <v>0.54052157983078652</v>
      </c>
      <c r="AB1092" t="str">
        <f>HYPERLINK("Melting_Curves/meltCurve_H7BY58_PCMT1.pdf", "Melting_Curves/meltCurve_H7BY58_PCMT1.pdf")</f>
        <v>Melting_Curves/meltCurve_H7BY58_PCMT1.pdf</v>
      </c>
    </row>
    <row r="1093" spans="1:28" x14ac:dyDescent="0.25">
      <c r="A1093" t="s">
        <v>1097</v>
      </c>
      <c r="B1093">
        <v>0.99472303558308395</v>
      </c>
      <c r="C1093">
        <v>0.893163407151078</v>
      </c>
      <c r="D1093">
        <v>0.89932513825516702</v>
      </c>
      <c r="E1093">
        <v>0.63646140156109698</v>
      </c>
      <c r="F1093">
        <v>0.54438168220440197</v>
      </c>
      <c r="G1093">
        <v>0.43996490737636001</v>
      </c>
      <c r="H1093">
        <v>0.29439625579780998</v>
      </c>
      <c r="I1093">
        <v>0.31529382671300699</v>
      </c>
      <c r="J1093">
        <v>0.267863041196088</v>
      </c>
      <c r="K1093">
        <v>0.19428224758276899</v>
      </c>
      <c r="L1093">
        <v>500.93838519517402</v>
      </c>
      <c r="M1093">
        <v>10.246944208030801</v>
      </c>
      <c r="N1093">
        <v>51.159786328769499</v>
      </c>
      <c r="O1093">
        <v>47.134471004998503</v>
      </c>
      <c r="P1093">
        <v>-4.4430255776229E-2</v>
      </c>
      <c r="Q1093">
        <v>0.182870621789989</v>
      </c>
      <c r="R1093">
        <v>0.98266259634150599</v>
      </c>
      <c r="S1093" t="s">
        <v>7661</v>
      </c>
      <c r="T1093" t="s">
        <v>13134</v>
      </c>
      <c r="U1093" t="s">
        <v>13134</v>
      </c>
      <c r="V1093" t="s">
        <v>13134</v>
      </c>
      <c r="W1093" t="s">
        <v>14207</v>
      </c>
      <c r="X1093">
        <v>3</v>
      </c>
      <c r="Y1093" t="s">
        <v>20696</v>
      </c>
      <c r="Z1093" t="s">
        <v>27061</v>
      </c>
      <c r="AA1093">
        <v>0.53641165152741876</v>
      </c>
      <c r="AB1093" t="str">
        <f>HYPERLINK("Melting_Curves/meltCurve_H7BYE5_WRB.pdf", "Melting_Curves/meltCurve_H7BYE5_WRB.pdf")</f>
        <v>Melting_Curves/meltCurve_H7BYE5_WRB.pdf</v>
      </c>
    </row>
    <row r="1094" spans="1:28" x14ac:dyDescent="0.25">
      <c r="A1094" t="s">
        <v>1098</v>
      </c>
      <c r="B1094">
        <v>0.99472303558308395</v>
      </c>
      <c r="C1094">
        <v>1.0302084253485699</v>
      </c>
      <c r="D1094">
        <v>0.83054039818328995</v>
      </c>
      <c r="E1094">
        <v>0.71488997490362005</v>
      </c>
      <c r="F1094">
        <v>0.54045790751181599</v>
      </c>
      <c r="G1094">
        <v>0.33594839814122301</v>
      </c>
      <c r="H1094">
        <v>0.14827019146902401</v>
      </c>
      <c r="I1094">
        <v>0.12805562605043</v>
      </c>
      <c r="J1094">
        <v>0.13349432812780099</v>
      </c>
      <c r="K1094">
        <v>8.3817940277361502E-2</v>
      </c>
      <c r="L1094">
        <v>627.92263504559696</v>
      </c>
      <c r="M1094">
        <v>12.5750742947757</v>
      </c>
      <c r="N1094">
        <v>50.322770151702002</v>
      </c>
      <c r="O1094">
        <v>48.7216117304555</v>
      </c>
      <c r="P1094">
        <v>-6.1550005242641197E-2</v>
      </c>
      <c r="Q1094">
        <v>4.6299804838285399E-2</v>
      </c>
      <c r="R1094">
        <v>0.98942819917805302</v>
      </c>
      <c r="S1094" t="s">
        <v>7662</v>
      </c>
      <c r="T1094" t="s">
        <v>13134</v>
      </c>
      <c r="U1094" t="s">
        <v>13134</v>
      </c>
      <c r="V1094" t="s">
        <v>13134</v>
      </c>
      <c r="W1094" t="s">
        <v>14208</v>
      </c>
      <c r="X1094">
        <v>7</v>
      </c>
      <c r="Y1094" t="s">
        <v>20697</v>
      </c>
      <c r="Z1094" t="s">
        <v>27062</v>
      </c>
      <c r="AA1094">
        <v>0.48280452690826647</v>
      </c>
      <c r="AB1094" t="str">
        <f>HYPERLINK("Melting_Curves/meltCurve_H7BYQ6_INTS9.pdf", "Melting_Curves/meltCurve_H7BYQ6_INTS9.pdf")</f>
        <v>Melting_Curves/meltCurve_H7BYQ6_INTS9.pdf</v>
      </c>
    </row>
    <row r="1095" spans="1:28" x14ac:dyDescent="0.25">
      <c r="A1095" t="s">
        <v>1099</v>
      </c>
      <c r="B1095">
        <v>0.99472303558308395</v>
      </c>
      <c r="C1095">
        <v>0.90822081157282397</v>
      </c>
      <c r="D1095">
        <v>0.79476584898135105</v>
      </c>
      <c r="E1095">
        <v>0.74233676753129796</v>
      </c>
      <c r="F1095">
        <v>0.69001112780011797</v>
      </c>
      <c r="G1095">
        <v>0.40756832940951199</v>
      </c>
      <c r="H1095">
        <v>0.36626712582229498</v>
      </c>
      <c r="I1095">
        <v>0.29396081304777399</v>
      </c>
      <c r="J1095">
        <v>0.33726988237088401</v>
      </c>
      <c r="K1095">
        <v>0.51489650055941805</v>
      </c>
      <c r="L1095">
        <v>552.95350276433703</v>
      </c>
      <c r="M1095">
        <v>11.580792123748401</v>
      </c>
      <c r="N1095">
        <v>52.8524648070876</v>
      </c>
      <c r="O1095">
        <v>46.3903598721691</v>
      </c>
      <c r="P1095">
        <v>-4.1412067652888199E-2</v>
      </c>
      <c r="Q1095">
        <v>0.33662935734664901</v>
      </c>
      <c r="R1095">
        <v>0.89642317341793998</v>
      </c>
      <c r="S1095" t="s">
        <v>7663</v>
      </c>
      <c r="T1095" t="s">
        <v>13134</v>
      </c>
      <c r="U1095" t="s">
        <v>13134</v>
      </c>
      <c r="V1095" t="s">
        <v>13134</v>
      </c>
      <c r="W1095" t="s">
        <v>14209</v>
      </c>
      <c r="X1095">
        <v>1</v>
      </c>
      <c r="Y1095" t="s">
        <v>20698</v>
      </c>
      <c r="Z1095" t="s">
        <v>27063</v>
      </c>
      <c r="AA1095">
        <v>0.59644361355220876</v>
      </c>
      <c r="AB1095" t="str">
        <f>HYPERLINK("Melting_Curves/meltCurve_H7BYV1_IFITM2.pdf", "Melting_Curves/meltCurve_H7BYV1_IFITM2.pdf")</f>
        <v>Melting_Curves/meltCurve_H7BYV1_IFITM2.pdf</v>
      </c>
    </row>
    <row r="1096" spans="1:28" x14ac:dyDescent="0.25">
      <c r="A1096" t="s">
        <v>1100</v>
      </c>
      <c r="B1096">
        <v>0.99472303558308395</v>
      </c>
      <c r="C1096">
        <v>0.98090359578967801</v>
      </c>
      <c r="D1096">
        <v>0.94398398901019598</v>
      </c>
      <c r="E1096">
        <v>0.82515840151534303</v>
      </c>
      <c r="F1096">
        <v>0.66422680932994504</v>
      </c>
      <c r="G1096">
        <v>0.51530526294433898</v>
      </c>
      <c r="H1096">
        <v>0.46232838889225503</v>
      </c>
      <c r="I1096">
        <v>0.53193450949589405</v>
      </c>
      <c r="J1096">
        <v>0.79817557104960901</v>
      </c>
      <c r="K1096">
        <v>0.56770265442030698</v>
      </c>
      <c r="L1096">
        <v>1335.3928881607001</v>
      </c>
      <c r="M1096">
        <v>28.360080110611101</v>
      </c>
      <c r="O1096">
        <v>46.854799653413998</v>
      </c>
      <c r="P1096">
        <v>-6.4021675256997396E-2</v>
      </c>
      <c r="Q1096">
        <v>0.57691250047774001</v>
      </c>
      <c r="R1096">
        <v>0.81064456368309901</v>
      </c>
      <c r="S1096" t="s">
        <v>7664</v>
      </c>
      <c r="T1096" t="s">
        <v>13134</v>
      </c>
      <c r="U1096" t="s">
        <v>13134</v>
      </c>
      <c r="V1096" t="s">
        <v>13134</v>
      </c>
      <c r="W1096" t="s">
        <v>14210</v>
      </c>
      <c r="X1096">
        <v>28</v>
      </c>
      <c r="Y1096" t="s">
        <v>20611</v>
      </c>
      <c r="Z1096" t="s">
        <v>27064</v>
      </c>
      <c r="AA1096">
        <v>0.7219288337314842</v>
      </c>
      <c r="AB1096" t="str">
        <f>HYPERLINK("Melting_Curves/meltCurve_H7BYY1_TPM1.pdf", "Melting_Curves/meltCurve_H7BYY1_TPM1.pdf")</f>
        <v>Melting_Curves/meltCurve_H7BYY1_TPM1.pdf</v>
      </c>
    </row>
    <row r="1097" spans="1:28" x14ac:dyDescent="0.25">
      <c r="A1097" t="s">
        <v>1101</v>
      </c>
      <c r="B1097">
        <v>0.99472303558308395</v>
      </c>
      <c r="C1097">
        <v>0.94944807392213004</v>
      </c>
      <c r="D1097">
        <v>1.0045600885085999</v>
      </c>
      <c r="E1097">
        <v>0.82532608848744404</v>
      </c>
      <c r="F1097">
        <v>0.626432732592062</v>
      </c>
      <c r="G1097">
        <v>0.37584636363562601</v>
      </c>
      <c r="H1097">
        <v>0.19678754916421601</v>
      </c>
      <c r="I1097">
        <v>0.130770794552234</v>
      </c>
      <c r="J1097">
        <v>8.7603734999830499E-2</v>
      </c>
      <c r="K1097">
        <v>0.10320337723546801</v>
      </c>
      <c r="L1097">
        <v>834.62437390339699</v>
      </c>
      <c r="M1097">
        <v>16.253271221680201</v>
      </c>
      <c r="N1097">
        <v>51.797453262299598</v>
      </c>
      <c r="O1097">
        <v>50.5926798604862</v>
      </c>
      <c r="P1097">
        <v>-7.5072375073179903E-2</v>
      </c>
      <c r="Q1097">
        <v>6.5337029511252698E-2</v>
      </c>
      <c r="R1097">
        <v>0.99642799014403505</v>
      </c>
      <c r="S1097" t="s">
        <v>7665</v>
      </c>
      <c r="T1097" t="s">
        <v>13134</v>
      </c>
      <c r="U1097" t="s">
        <v>13134</v>
      </c>
      <c r="V1097" t="s">
        <v>13134</v>
      </c>
      <c r="W1097" t="s">
        <v>14053</v>
      </c>
      <c r="X1097">
        <v>6</v>
      </c>
      <c r="Z1097" t="s">
        <v>27065</v>
      </c>
      <c r="AA1097">
        <v>0.52911679817132407</v>
      </c>
      <c r="AB1097" t="str">
        <f>HYPERLINK("Melting_Curves/meltCurve_H7BZ11_.pdf", "Melting_Curves/meltCurve_H7BZ11_.pdf")</f>
        <v>Melting_Curves/meltCurve_H7BZ11_.pdf</v>
      </c>
    </row>
    <row r="1098" spans="1:28" x14ac:dyDescent="0.25">
      <c r="A1098" t="s">
        <v>1102</v>
      </c>
      <c r="B1098">
        <v>0.99472303558308395</v>
      </c>
      <c r="C1098">
        <v>0.845176511680238</v>
      </c>
      <c r="D1098">
        <v>0.859996681458711</v>
      </c>
      <c r="E1098">
        <v>0.473409549374256</v>
      </c>
      <c r="F1098">
        <v>0.20755153984073299</v>
      </c>
      <c r="G1098">
        <v>0.116407348598522</v>
      </c>
      <c r="H1098">
        <v>5.8048485451699799E-2</v>
      </c>
      <c r="I1098">
        <v>5.1309457264775399E-2</v>
      </c>
      <c r="J1098">
        <v>5.4486141388325998E-2</v>
      </c>
      <c r="K1098">
        <v>3.9395660244304902E-2</v>
      </c>
      <c r="L1098">
        <v>840.95150693383903</v>
      </c>
      <c r="M1098">
        <v>18.198136472127</v>
      </c>
      <c r="N1098">
        <v>46.415078842721798</v>
      </c>
      <c r="O1098">
        <v>45.663690998222997</v>
      </c>
      <c r="P1098">
        <v>-9.5802650584547497E-2</v>
      </c>
      <c r="Q1098">
        <v>3.8473877843651701E-2</v>
      </c>
      <c r="R1098">
        <v>0.98937661291225998</v>
      </c>
      <c r="S1098" t="s">
        <v>7666</v>
      </c>
      <c r="T1098" t="s">
        <v>13134</v>
      </c>
      <c r="U1098" t="s">
        <v>13134</v>
      </c>
      <c r="V1098" t="s">
        <v>13134</v>
      </c>
      <c r="W1098" t="s">
        <v>14211</v>
      </c>
      <c r="X1098">
        <v>4</v>
      </c>
      <c r="Y1098" t="s">
        <v>20699</v>
      </c>
      <c r="Z1098" t="s">
        <v>27066</v>
      </c>
      <c r="AA1098">
        <v>0.34886945763613442</v>
      </c>
      <c r="AB1098" t="str">
        <f>HYPERLINK("Melting_Curves/meltCurve_H7BZ14_PPIL3.pdf", "Melting_Curves/meltCurve_H7BZ14_PPIL3.pdf")</f>
        <v>Melting_Curves/meltCurve_H7BZ14_PPIL3.pdf</v>
      </c>
    </row>
    <row r="1099" spans="1:28" x14ac:dyDescent="0.25">
      <c r="A1099" t="s">
        <v>1103</v>
      </c>
      <c r="B1099">
        <v>0.99472303558308395</v>
      </c>
      <c r="C1099">
        <v>1.02627052215352</v>
      </c>
      <c r="D1099">
        <v>1.1466877264297901</v>
      </c>
      <c r="E1099">
        <v>1.0282182200772501</v>
      </c>
      <c r="F1099">
        <v>0.64665012980766601</v>
      </c>
      <c r="G1099">
        <v>0.54326407043994795</v>
      </c>
      <c r="H1099">
        <v>0.28259422414825802</v>
      </c>
      <c r="I1099">
        <v>0.188977250092041</v>
      </c>
      <c r="J1099">
        <v>7.0088638936084094E-2</v>
      </c>
      <c r="K1099">
        <v>4.4162980474048701E-2</v>
      </c>
      <c r="L1099">
        <v>881.15991461211001</v>
      </c>
      <c r="M1099">
        <v>16.402537689332998</v>
      </c>
      <c r="N1099">
        <v>53.905475028077198</v>
      </c>
      <c r="O1099">
        <v>52.941497089794296</v>
      </c>
      <c r="P1099">
        <v>-7.5346748711854206E-2</v>
      </c>
      <c r="Q1099">
        <v>2.7300285015206101E-2</v>
      </c>
      <c r="R1099">
        <v>0.96689660851297599</v>
      </c>
      <c r="S1099" t="s">
        <v>7667</v>
      </c>
      <c r="T1099" t="s">
        <v>13134</v>
      </c>
      <c r="U1099" t="s">
        <v>13134</v>
      </c>
      <c r="V1099" t="s">
        <v>13134</v>
      </c>
      <c r="W1099" t="s">
        <v>14212</v>
      </c>
      <c r="X1099">
        <v>1</v>
      </c>
      <c r="Y1099" t="s">
        <v>20700</v>
      </c>
      <c r="Z1099" t="s">
        <v>27067</v>
      </c>
      <c r="AA1099">
        <v>0.5844557393892168</v>
      </c>
      <c r="AB1099" t="str">
        <f>HYPERLINK("Melting_Curves/meltCurve_H7BZF5_C2orf80.pdf", "Melting_Curves/meltCurve_H7BZF5_C2orf80.pdf")</f>
        <v>Melting_Curves/meltCurve_H7BZF5_C2orf80.pdf</v>
      </c>
    </row>
    <row r="1100" spans="1:28" x14ac:dyDescent="0.25">
      <c r="A1100" t="s">
        <v>1104</v>
      </c>
      <c r="B1100">
        <v>0.99472303558308395</v>
      </c>
      <c r="C1100">
        <v>0.98309879740353401</v>
      </c>
      <c r="D1100">
        <v>0.83944535683011201</v>
      </c>
      <c r="E1100">
        <v>0.63865145121128097</v>
      </c>
      <c r="F1100">
        <v>0.35507026657408303</v>
      </c>
      <c r="G1100">
        <v>0.150887664208741</v>
      </c>
      <c r="H1100">
        <v>0.100040621643918</v>
      </c>
      <c r="I1100">
        <v>4.7718731880414297E-2</v>
      </c>
      <c r="J1100">
        <v>5.3511648835511801E-2</v>
      </c>
      <c r="K1100">
        <v>5.6013189882359801E-2</v>
      </c>
      <c r="L1100">
        <v>778.80759737194603</v>
      </c>
      <c r="M1100">
        <v>16.254993964986699</v>
      </c>
      <c r="N1100">
        <v>48.113679248422002</v>
      </c>
      <c r="O1100">
        <v>47.204378065076597</v>
      </c>
      <c r="P1100">
        <v>-8.3257871017382898E-2</v>
      </c>
      <c r="Q1100">
        <v>3.2950737132533499E-2</v>
      </c>
      <c r="R1100">
        <v>0.99832341048073603</v>
      </c>
      <c r="S1100" t="s">
        <v>7668</v>
      </c>
      <c r="T1100" t="s">
        <v>13134</v>
      </c>
      <c r="U1100" t="s">
        <v>13134</v>
      </c>
      <c r="V1100" t="s">
        <v>13134</v>
      </c>
      <c r="W1100" t="s">
        <v>14213</v>
      </c>
      <c r="X1100">
        <v>2</v>
      </c>
      <c r="Y1100" t="s">
        <v>20701</v>
      </c>
      <c r="Z1100" t="s">
        <v>27068</v>
      </c>
      <c r="AA1100">
        <v>0.40327092324511449</v>
      </c>
      <c r="AB1100" t="str">
        <f>HYPERLINK("Melting_Curves/meltCurve_H7BZG6_AP1S2.pdf", "Melting_Curves/meltCurve_H7BZG6_AP1S2.pdf")</f>
        <v>Melting_Curves/meltCurve_H7BZG6_AP1S2.pdf</v>
      </c>
    </row>
    <row r="1101" spans="1:28" x14ac:dyDescent="0.25">
      <c r="A1101" t="s">
        <v>1105</v>
      </c>
      <c r="B1101">
        <v>0.99472303558308395</v>
      </c>
      <c r="C1101">
        <v>0.94161813809205197</v>
      </c>
      <c r="D1101">
        <v>0.97412129686691096</v>
      </c>
      <c r="E1101">
        <v>0.83761666225050102</v>
      </c>
      <c r="F1101">
        <v>0.43037994350710301</v>
      </c>
      <c r="G1101">
        <v>0.16006912717092001</v>
      </c>
      <c r="H1101">
        <v>0.110718075087728</v>
      </c>
      <c r="I1101">
        <v>8.8281387648569104E-2</v>
      </c>
      <c r="J1101">
        <v>0.11778428547504401</v>
      </c>
      <c r="K1101">
        <v>9.6980845061377594E-2</v>
      </c>
      <c r="L1101">
        <v>1361.79787885425</v>
      </c>
      <c r="M1101">
        <v>27.690952241685899</v>
      </c>
      <c r="N1101">
        <v>49.559000040243298</v>
      </c>
      <c r="O1101">
        <v>48.924112211474402</v>
      </c>
      <c r="P1101">
        <v>-0.12794847629273301</v>
      </c>
      <c r="Q1101">
        <v>9.5775558665622804E-2</v>
      </c>
      <c r="R1101">
        <v>0.99729419205630898</v>
      </c>
      <c r="S1101" t="s">
        <v>7669</v>
      </c>
      <c r="T1101" t="s">
        <v>13134</v>
      </c>
      <c r="U1101" t="s">
        <v>13134</v>
      </c>
      <c r="V1101" t="s">
        <v>13134</v>
      </c>
      <c r="W1101" t="s">
        <v>14214</v>
      </c>
      <c r="X1101">
        <v>10</v>
      </c>
      <c r="Y1101" t="s">
        <v>20531</v>
      </c>
      <c r="Z1101" t="s">
        <v>27069</v>
      </c>
      <c r="AA1101">
        <v>0.46925600021382619</v>
      </c>
      <c r="AB1101" t="str">
        <f>HYPERLINK("Melting_Curves/meltCurve_H7BZJ3_PDIA3.pdf", "Melting_Curves/meltCurve_H7BZJ3_PDIA3.pdf")</f>
        <v>Melting_Curves/meltCurve_H7BZJ3_PDIA3.pdf</v>
      </c>
    </row>
    <row r="1102" spans="1:28" x14ac:dyDescent="0.25">
      <c r="A1102" t="s">
        <v>1106</v>
      </c>
      <c r="B1102">
        <v>0.99472303558308395</v>
      </c>
      <c r="C1102">
        <v>0.97983679153899705</v>
      </c>
      <c r="D1102">
        <v>0.77269899025797795</v>
      </c>
      <c r="E1102">
        <v>0.82489387373323497</v>
      </c>
      <c r="F1102">
        <v>0.76169796733098805</v>
      </c>
      <c r="G1102">
        <v>0.42000834022336397</v>
      </c>
      <c r="H1102">
        <v>0.17604704110750199</v>
      </c>
      <c r="I1102">
        <v>4.0646844134945799E-2</v>
      </c>
      <c r="J1102">
        <v>1.37105175630403E-2</v>
      </c>
      <c r="K1102">
        <v>1.16872204485874E-2</v>
      </c>
      <c r="L1102">
        <v>869.36927565944495</v>
      </c>
      <c r="M1102">
        <v>16.549901787975401</v>
      </c>
      <c r="N1102">
        <v>52.530178253276603</v>
      </c>
      <c r="O1102">
        <v>51.781195334213599</v>
      </c>
      <c r="P1102">
        <v>-7.9908538004742999E-2</v>
      </c>
      <c r="Q1102">
        <v>0</v>
      </c>
      <c r="R1102">
        <v>0.96283368603524799</v>
      </c>
      <c r="S1102" t="s">
        <v>7670</v>
      </c>
      <c r="T1102" t="s">
        <v>13134</v>
      </c>
      <c r="U1102" t="s">
        <v>13134</v>
      </c>
      <c r="V1102" t="s">
        <v>13134</v>
      </c>
      <c r="W1102" t="s">
        <v>14215</v>
      </c>
      <c r="X1102">
        <v>2</v>
      </c>
      <c r="Y1102" t="s">
        <v>20702</v>
      </c>
      <c r="Z1102" t="s">
        <v>27070</v>
      </c>
      <c r="AA1102">
        <v>0.53420722579481306</v>
      </c>
      <c r="AB1102" t="str">
        <f>HYPERLINK("Melting_Curves/meltCurve_H7BZK6_USP46.pdf", "Melting_Curves/meltCurve_H7BZK6_USP46.pdf")</f>
        <v>Melting_Curves/meltCurve_H7BZK6_USP46.pdf</v>
      </c>
    </row>
    <row r="1103" spans="1:28" x14ac:dyDescent="0.25">
      <c r="A1103" t="s">
        <v>1107</v>
      </c>
      <c r="B1103">
        <v>0.99472303558308395</v>
      </c>
      <c r="C1103">
        <v>0.94740658454687798</v>
      </c>
      <c r="D1103">
        <v>0.93181508304528804</v>
      </c>
      <c r="E1103">
        <v>0.60465595891780599</v>
      </c>
      <c r="F1103">
        <v>0.37665808902280701</v>
      </c>
      <c r="G1103">
        <v>0.36339006013004699</v>
      </c>
      <c r="H1103">
        <v>0.38004028714028998</v>
      </c>
      <c r="I1103">
        <v>0.39643945048524298</v>
      </c>
      <c r="J1103">
        <v>0.54288680044273596</v>
      </c>
      <c r="K1103">
        <v>0.36056361188159303</v>
      </c>
      <c r="L1103">
        <v>1684.55207544524</v>
      </c>
      <c r="M1103">
        <v>36.912541524267503</v>
      </c>
      <c r="N1103">
        <v>47.731507360798503</v>
      </c>
      <c r="O1103">
        <v>45.502988187661202</v>
      </c>
      <c r="P1103">
        <v>-0.12146273988680199</v>
      </c>
      <c r="Q1103">
        <v>0.40108146071381801</v>
      </c>
      <c r="R1103">
        <v>0.955429019356964</v>
      </c>
      <c r="S1103" t="s">
        <v>7671</v>
      </c>
      <c r="T1103" t="s">
        <v>13134</v>
      </c>
      <c r="U1103" t="s">
        <v>13134</v>
      </c>
      <c r="V1103" t="s">
        <v>13134</v>
      </c>
      <c r="W1103" t="s">
        <v>13424</v>
      </c>
      <c r="X1103">
        <v>3</v>
      </c>
      <c r="Z1103" t="s">
        <v>27071</v>
      </c>
      <c r="AA1103">
        <v>0.57572130627068319</v>
      </c>
      <c r="AB1103" t="str">
        <f>HYPERLINK("Melting_Curves/meltCurve_H7BZT4_.pdf", "Melting_Curves/meltCurve_H7BZT4_.pdf")</f>
        <v>Melting_Curves/meltCurve_H7BZT4_.pdf</v>
      </c>
    </row>
    <row r="1104" spans="1:28" x14ac:dyDescent="0.25">
      <c r="A1104" t="s">
        <v>1108</v>
      </c>
      <c r="B1104">
        <v>0.99472303558308395</v>
      </c>
      <c r="C1104">
        <v>1.0687518501976201</v>
      </c>
      <c r="D1104">
        <v>0.85786538117922995</v>
      </c>
      <c r="E1104">
        <v>0.61010031708109602</v>
      </c>
      <c r="F1104">
        <v>0.38322955330108999</v>
      </c>
      <c r="G1104">
        <v>0.226897998725861</v>
      </c>
      <c r="H1104">
        <v>0.103494686868422</v>
      </c>
      <c r="I1104">
        <v>9.3354053213475993E-2</v>
      </c>
      <c r="J1104">
        <v>0.109383324846845</v>
      </c>
      <c r="K1104">
        <v>8.30163695194132E-2</v>
      </c>
      <c r="L1104">
        <v>803.52652210145095</v>
      </c>
      <c r="M1104">
        <v>16.8136532517427</v>
      </c>
      <c r="N1104">
        <v>48.291800840187399</v>
      </c>
      <c r="O1104">
        <v>47.129443433183802</v>
      </c>
      <c r="P1104">
        <v>-8.2047072231285198E-2</v>
      </c>
      <c r="Q1104">
        <v>8.0132406935990205E-2</v>
      </c>
      <c r="R1104">
        <v>0.990531770856107</v>
      </c>
      <c r="S1104" t="s">
        <v>7672</v>
      </c>
      <c r="T1104" t="s">
        <v>13134</v>
      </c>
      <c r="U1104" t="s">
        <v>13134</v>
      </c>
      <c r="V1104" t="s">
        <v>13134</v>
      </c>
      <c r="W1104" t="s">
        <v>14053</v>
      </c>
      <c r="X1104">
        <v>7</v>
      </c>
      <c r="Z1104" t="s">
        <v>27072</v>
      </c>
      <c r="AA1104">
        <v>0.42764411093350091</v>
      </c>
      <c r="AB1104" t="str">
        <f>HYPERLINK("Melting_Curves/meltCurve_H7C0C1_.pdf", "Melting_Curves/meltCurve_H7C0C1_.pdf")</f>
        <v>Melting_Curves/meltCurve_H7C0C1_.pdf</v>
      </c>
    </row>
    <row r="1105" spans="1:28" x14ac:dyDescent="0.25">
      <c r="A1105" t="s">
        <v>1109</v>
      </c>
      <c r="B1105">
        <v>0.99472303558308395</v>
      </c>
      <c r="C1105">
        <v>1.0620493242260001</v>
      </c>
      <c r="D1105">
        <v>0.95185525800340898</v>
      </c>
      <c r="E1105">
        <v>0.90770134926955603</v>
      </c>
      <c r="F1105">
        <v>0.79418328720932096</v>
      </c>
      <c r="G1105">
        <v>0.55139120833851596</v>
      </c>
      <c r="H1105">
        <v>0.22023641635375499</v>
      </c>
      <c r="I1105">
        <v>0.123045329639857</v>
      </c>
      <c r="J1105">
        <v>0.104428868371147</v>
      </c>
      <c r="K1105">
        <v>7.6926692705093599E-2</v>
      </c>
      <c r="L1105">
        <v>1017.7277028513799</v>
      </c>
      <c r="M1105">
        <v>18.966777285184801</v>
      </c>
      <c r="N1105">
        <v>53.935583813710799</v>
      </c>
      <c r="O1105">
        <v>53.072628910004902</v>
      </c>
      <c r="P1105">
        <v>-8.5198680021944806E-2</v>
      </c>
      <c r="Q1105">
        <v>4.6430209463552502E-2</v>
      </c>
      <c r="R1105">
        <v>0.99267782944333505</v>
      </c>
      <c r="S1105" t="s">
        <v>7673</v>
      </c>
      <c r="T1105" t="s">
        <v>13134</v>
      </c>
      <c r="U1105" t="s">
        <v>13134</v>
      </c>
      <c r="V1105" t="s">
        <v>13134</v>
      </c>
      <c r="W1105" t="s">
        <v>14216</v>
      </c>
      <c r="X1105">
        <v>3</v>
      </c>
      <c r="Y1105" t="s">
        <v>20703</v>
      </c>
      <c r="Z1105" t="s">
        <v>27073</v>
      </c>
      <c r="AA1105">
        <v>0.58848553959972882</v>
      </c>
      <c r="AB1105" t="str">
        <f>HYPERLINK("Melting_Curves/meltCurve_H7C0G7_NHEJ1.pdf", "Melting_Curves/meltCurve_H7C0G7_NHEJ1.pdf")</f>
        <v>Melting_Curves/meltCurve_H7C0G7_NHEJ1.pdf</v>
      </c>
    </row>
    <row r="1106" spans="1:28" x14ac:dyDescent="0.25">
      <c r="A1106" t="s">
        <v>1110</v>
      </c>
      <c r="B1106">
        <v>0.99472303558308395</v>
      </c>
      <c r="C1106">
        <v>0.86357757210554298</v>
      </c>
      <c r="D1106">
        <v>0.80863898976361903</v>
      </c>
      <c r="E1106">
        <v>0.64964526897515296</v>
      </c>
      <c r="F1106">
        <v>0.59871536080351195</v>
      </c>
      <c r="G1106">
        <v>0.53633479565407405</v>
      </c>
      <c r="H1106">
        <v>0.28841186454517898</v>
      </c>
      <c r="I1106">
        <v>0.25095550572893499</v>
      </c>
      <c r="J1106">
        <v>0.31071196861082101</v>
      </c>
      <c r="K1106">
        <v>0.106168494488201</v>
      </c>
      <c r="L1106">
        <v>358.62904334204302</v>
      </c>
      <c r="M1106">
        <v>6.8532052911289503</v>
      </c>
      <c r="N1106">
        <v>52.330118235887603</v>
      </c>
      <c r="O1106">
        <v>48.417795991807303</v>
      </c>
      <c r="P1106">
        <v>-3.5456670964491198E-2</v>
      </c>
      <c r="Q1106">
        <v>0</v>
      </c>
      <c r="R1106">
        <v>0.95926675509835502</v>
      </c>
      <c r="S1106" t="s">
        <v>7674</v>
      </c>
      <c r="T1106" t="s">
        <v>13134</v>
      </c>
      <c r="U1106" t="s">
        <v>13134</v>
      </c>
      <c r="V1106" t="s">
        <v>13134</v>
      </c>
      <c r="W1106" t="s">
        <v>14217</v>
      </c>
      <c r="X1106">
        <v>4</v>
      </c>
      <c r="Y1106" t="s">
        <v>20704</v>
      </c>
      <c r="Z1106" t="s">
        <v>27074</v>
      </c>
      <c r="AA1106">
        <v>0.53687798993495828</v>
      </c>
      <c r="AB1106" t="str">
        <f>HYPERLINK("Melting_Curves/meltCurve_H7C0N4_SF1.pdf", "Melting_Curves/meltCurve_H7C0N4_SF1.pdf")</f>
        <v>Melting_Curves/meltCurve_H7C0N4_SF1.pdf</v>
      </c>
    </row>
    <row r="1107" spans="1:28" x14ac:dyDescent="0.25">
      <c r="A1107" t="s">
        <v>1111</v>
      </c>
      <c r="B1107">
        <v>0.99472303558308395</v>
      </c>
      <c r="C1107">
        <v>1.0413414072235101</v>
      </c>
      <c r="D1107">
        <v>0.98785537459328299</v>
      </c>
      <c r="E1107">
        <v>0.782514066484712</v>
      </c>
      <c r="F1107">
        <v>0.41385200961994201</v>
      </c>
      <c r="G1107">
        <v>0.19413393534298101</v>
      </c>
      <c r="H1107">
        <v>0.13043231931347801</v>
      </c>
      <c r="I1107">
        <v>5.84936692815239E-2</v>
      </c>
      <c r="J1107">
        <v>9.1200278422161898E-2</v>
      </c>
      <c r="K1107">
        <v>4.1218149865617303E-2</v>
      </c>
      <c r="L1107">
        <v>1102.24013696323</v>
      </c>
      <c r="M1107">
        <v>22.4371433686537</v>
      </c>
      <c r="N1107">
        <v>49.444703991797802</v>
      </c>
      <c r="O1107">
        <v>48.740449412214097</v>
      </c>
      <c r="P1107">
        <v>-0.107331921929384</v>
      </c>
      <c r="Q1107">
        <v>6.7386074796991505E-2</v>
      </c>
      <c r="R1107">
        <v>0.99675869178217902</v>
      </c>
      <c r="S1107" t="s">
        <v>7675</v>
      </c>
      <c r="T1107" t="s">
        <v>13134</v>
      </c>
      <c r="U1107" t="s">
        <v>13134</v>
      </c>
      <c r="V1107" t="s">
        <v>13134</v>
      </c>
      <c r="W1107" t="s">
        <v>14218</v>
      </c>
      <c r="X1107">
        <v>2</v>
      </c>
      <c r="Y1107" t="s">
        <v>20705</v>
      </c>
      <c r="Z1107" t="s">
        <v>27075</v>
      </c>
      <c r="AA1107">
        <v>0.45426929542546712</v>
      </c>
      <c r="AB1107" t="str">
        <f>HYPERLINK("Melting_Curves/meltCurve_H7C0S3_CDKN3.pdf", "Melting_Curves/meltCurve_H7C0S3_CDKN3.pdf")</f>
        <v>Melting_Curves/meltCurve_H7C0S3_CDKN3.pdf</v>
      </c>
    </row>
    <row r="1108" spans="1:28" x14ac:dyDescent="0.25">
      <c r="A1108" t="s">
        <v>1112</v>
      </c>
      <c r="B1108">
        <v>0.99472303558308395</v>
      </c>
      <c r="C1108">
        <v>1.22443206685666</v>
      </c>
      <c r="D1108">
        <v>0.82099711888488303</v>
      </c>
      <c r="E1108">
        <v>0.90380370007039101</v>
      </c>
      <c r="F1108">
        <v>1.0961512173133201</v>
      </c>
      <c r="G1108">
        <v>0.31333122789365703</v>
      </c>
      <c r="H1108">
        <v>0.22478905342865901</v>
      </c>
      <c r="I1108">
        <v>7.8055463685583207E-2</v>
      </c>
      <c r="J1108">
        <v>0</v>
      </c>
      <c r="K1108">
        <v>8.9271975714222296E-2</v>
      </c>
      <c r="L1108">
        <v>13125.691085004501</v>
      </c>
      <c r="M1108">
        <v>245.131764866948</v>
      </c>
      <c r="N1108">
        <v>53.593161413301097</v>
      </c>
      <c r="O1108">
        <v>53.541887767004503</v>
      </c>
      <c r="P1108">
        <v>-1.03237731519353</v>
      </c>
      <c r="Q1108">
        <v>9.8029090074211095E-2</v>
      </c>
      <c r="R1108">
        <v>0.93778490453112195</v>
      </c>
      <c r="S1108" t="s">
        <v>7676</v>
      </c>
      <c r="T1108" t="s">
        <v>13134</v>
      </c>
      <c r="U1108" t="s">
        <v>13134</v>
      </c>
      <c r="V1108" t="s">
        <v>13134</v>
      </c>
      <c r="W1108" t="s">
        <v>14219</v>
      </c>
      <c r="X1108">
        <v>1</v>
      </c>
      <c r="Y1108" t="s">
        <v>20706</v>
      </c>
      <c r="Z1108" t="s">
        <v>27076</v>
      </c>
      <c r="AA1108">
        <v>0.59556778900345064</v>
      </c>
      <c r="AB1108" t="str">
        <f>HYPERLINK("Melting_Curves/meltCurve_H7C0T0_FAM120A.pdf", "Melting_Curves/meltCurve_H7C0T0_FAM120A.pdf")</f>
        <v>Melting_Curves/meltCurve_H7C0T0_FAM120A.pdf</v>
      </c>
    </row>
    <row r="1109" spans="1:28" x14ac:dyDescent="0.25">
      <c r="A1109" t="s">
        <v>1113</v>
      </c>
      <c r="B1109">
        <v>0.99472303558308395</v>
      </c>
      <c r="C1109">
        <v>1.06525367377109</v>
      </c>
      <c r="D1109">
        <v>0.85005837172019405</v>
      </c>
      <c r="E1109">
        <v>0.661014761831622</v>
      </c>
      <c r="F1109">
        <v>0.316691071679086</v>
      </c>
      <c r="G1109">
        <v>5.0244572106947799E-2</v>
      </c>
      <c r="H1109">
        <v>3.4309516301126303E-2</v>
      </c>
      <c r="I1109">
        <v>2.9465376860342701E-2</v>
      </c>
      <c r="J1109">
        <v>2.6647772707013798E-2</v>
      </c>
      <c r="K1109">
        <v>3.00465218241391E-2</v>
      </c>
      <c r="L1109">
        <v>989.52478482557501</v>
      </c>
      <c r="M1109">
        <v>20.6425320939702</v>
      </c>
      <c r="N1109">
        <v>47.982659956579901</v>
      </c>
      <c r="O1109">
        <v>47.493140891520802</v>
      </c>
      <c r="P1109">
        <v>-0.107588808254848</v>
      </c>
      <c r="Q1109">
        <v>9.89204223205843E-3</v>
      </c>
      <c r="R1109">
        <v>0.99132048100608705</v>
      </c>
      <c r="S1109" t="s">
        <v>7677</v>
      </c>
      <c r="T1109" t="s">
        <v>13134</v>
      </c>
      <c r="U1109" t="s">
        <v>13134</v>
      </c>
      <c r="V1109" t="s">
        <v>13134</v>
      </c>
      <c r="W1109" t="s">
        <v>14220</v>
      </c>
      <c r="X1109">
        <v>6</v>
      </c>
      <c r="Y1109" t="s">
        <v>20707</v>
      </c>
      <c r="Z1109" t="s">
        <v>27077</v>
      </c>
      <c r="AA1109">
        <v>0.38307213412009039</v>
      </c>
      <c r="AB1109" t="str">
        <f>HYPERLINK("Melting_Curves/meltCurve_H7C107_IQSEC1.pdf", "Melting_Curves/meltCurve_H7C107_IQSEC1.pdf")</f>
        <v>Melting_Curves/meltCurve_H7C107_IQSEC1.pdf</v>
      </c>
    </row>
    <row r="1110" spans="1:28" x14ac:dyDescent="0.25">
      <c r="A1110" t="s">
        <v>1114</v>
      </c>
      <c r="B1110">
        <v>0.99472303558308395</v>
      </c>
      <c r="C1110">
        <v>0.96183197723620195</v>
      </c>
      <c r="D1110">
        <v>0.769340288767695</v>
      </c>
      <c r="E1110">
        <v>0.56869518773211802</v>
      </c>
      <c r="F1110">
        <v>0.12038993037711899</v>
      </c>
      <c r="G1110">
        <v>6.00320171584421E-2</v>
      </c>
      <c r="H1110">
        <v>3.3194422428164901E-2</v>
      </c>
      <c r="I1110">
        <v>1.21121307080563E-2</v>
      </c>
      <c r="J1110">
        <v>1.8351535905494199E-2</v>
      </c>
      <c r="K1110">
        <v>1.42173179889622E-2</v>
      </c>
      <c r="L1110">
        <v>918.40745723699195</v>
      </c>
      <c r="M1110">
        <v>19.751999721084001</v>
      </c>
      <c r="N1110">
        <v>46.504671181355697</v>
      </c>
      <c r="O1110">
        <v>46.028183877450303</v>
      </c>
      <c r="P1110">
        <v>-0.10710999195852899</v>
      </c>
      <c r="Q1110">
        <v>1.6378611336971599E-3</v>
      </c>
      <c r="R1110">
        <v>0.99021790609356197</v>
      </c>
      <c r="S1110" t="s">
        <v>7678</v>
      </c>
      <c r="T1110" t="s">
        <v>13134</v>
      </c>
      <c r="U1110" t="s">
        <v>13134</v>
      </c>
      <c r="V1110" t="s">
        <v>13134</v>
      </c>
      <c r="W1110" t="s">
        <v>14221</v>
      </c>
      <c r="X1110">
        <v>5</v>
      </c>
      <c r="Y1110" t="s">
        <v>20708</v>
      </c>
      <c r="Z1110" t="s">
        <v>27078</v>
      </c>
      <c r="AA1110">
        <v>0.33106675672286517</v>
      </c>
      <c r="AB1110" t="str">
        <f>HYPERLINK("Melting_Curves/meltCurve_H7C124_THEMIS2.pdf", "Melting_Curves/meltCurve_H7C124_THEMIS2.pdf")</f>
        <v>Melting_Curves/meltCurve_H7C124_THEMIS2.pdf</v>
      </c>
    </row>
    <row r="1111" spans="1:28" x14ac:dyDescent="0.25">
      <c r="A1111" t="s">
        <v>1115</v>
      </c>
      <c r="B1111">
        <v>0.99472303558308395</v>
      </c>
      <c r="C1111">
        <v>1.0804406043891901</v>
      </c>
      <c r="D1111">
        <v>0.75503854172432106</v>
      </c>
      <c r="E1111">
        <v>0.69682946605226603</v>
      </c>
      <c r="F1111">
        <v>0.59478385996281402</v>
      </c>
      <c r="G1111">
        <v>0.229964831187664</v>
      </c>
      <c r="H1111">
        <v>0.31627962530689002</v>
      </c>
      <c r="I1111">
        <v>0.17947252936320299</v>
      </c>
      <c r="J1111">
        <v>0.19130548031582501</v>
      </c>
      <c r="K1111">
        <v>0.242110332726653</v>
      </c>
      <c r="L1111">
        <v>653.02770109562698</v>
      </c>
      <c r="M1111">
        <v>13.480530024735399</v>
      </c>
      <c r="N1111">
        <v>50.0395461888792</v>
      </c>
      <c r="O1111">
        <v>47.413543607581097</v>
      </c>
      <c r="P1111">
        <v>-5.8660820727363797E-2</v>
      </c>
      <c r="Q1111">
        <v>0.17484228018873299</v>
      </c>
      <c r="R1111">
        <v>0.94282117517923103</v>
      </c>
      <c r="S1111" t="s">
        <v>7679</v>
      </c>
      <c r="T1111" t="s">
        <v>13134</v>
      </c>
      <c r="U1111" t="s">
        <v>13134</v>
      </c>
      <c r="V1111" t="s">
        <v>13134</v>
      </c>
      <c r="W1111" t="s">
        <v>14222</v>
      </c>
      <c r="X1111">
        <v>8</v>
      </c>
      <c r="Y1111" t="s">
        <v>20709</v>
      </c>
      <c r="Z1111" t="s">
        <v>27079</v>
      </c>
      <c r="AA1111">
        <v>0.51086796368469123</v>
      </c>
      <c r="AB1111" t="str">
        <f>HYPERLINK("Melting_Curves/meltCurve_H7C137_RANBP1.pdf", "Melting_Curves/meltCurve_H7C137_RANBP1.pdf")</f>
        <v>Melting_Curves/meltCurve_H7C137_RANBP1.pdf</v>
      </c>
    </row>
    <row r="1112" spans="1:28" x14ac:dyDescent="0.25">
      <c r="A1112" t="s">
        <v>1116</v>
      </c>
      <c r="B1112">
        <v>0.99472303558308395</v>
      </c>
      <c r="C1112">
        <v>0.84953457347716699</v>
      </c>
      <c r="D1112">
        <v>0.75676391965197498</v>
      </c>
      <c r="E1112">
        <v>0.39163249193386601</v>
      </c>
      <c r="F1112">
        <v>0.174863817247812</v>
      </c>
      <c r="G1112">
        <v>7.3499020600121201E-2</v>
      </c>
      <c r="H1112">
        <v>4.9443043830307898E-2</v>
      </c>
      <c r="I1112">
        <v>4.2447857039774897E-2</v>
      </c>
      <c r="J1112">
        <v>6.9941931580363798E-2</v>
      </c>
      <c r="K1112">
        <v>3.9504216771944399E-2</v>
      </c>
      <c r="L1112">
        <v>788.33564807463995</v>
      </c>
      <c r="M1112">
        <v>17.436268513038101</v>
      </c>
      <c r="N1112">
        <v>45.402000448518301</v>
      </c>
      <c r="O1112">
        <v>44.6302748547484</v>
      </c>
      <c r="P1112">
        <v>-9.4246721312812795E-2</v>
      </c>
      <c r="Q1112">
        <v>3.5109645968832703E-2</v>
      </c>
      <c r="R1112">
        <v>0.99465086902799704</v>
      </c>
      <c r="S1112" t="s">
        <v>7680</v>
      </c>
      <c r="T1112" t="s">
        <v>13134</v>
      </c>
      <c r="U1112" t="s">
        <v>13134</v>
      </c>
      <c r="V1112" t="s">
        <v>13134</v>
      </c>
      <c r="W1112" t="s">
        <v>14223</v>
      </c>
      <c r="X1112">
        <v>8</v>
      </c>
      <c r="Y1112" t="s">
        <v>20710</v>
      </c>
      <c r="Z1112" t="s">
        <v>27080</v>
      </c>
      <c r="AA1112">
        <v>0.31606442755063607</v>
      </c>
      <c r="AB1112" t="str">
        <f>HYPERLINK("Melting_Curves/meltCurve_H7C155_RAF1.pdf", "Melting_Curves/meltCurve_H7C155_RAF1.pdf")</f>
        <v>Melting_Curves/meltCurve_H7C155_RAF1.pdf</v>
      </c>
    </row>
    <row r="1113" spans="1:28" x14ac:dyDescent="0.25">
      <c r="A1113" t="s">
        <v>1117</v>
      </c>
      <c r="B1113">
        <v>0.99472303558308395</v>
      </c>
      <c r="C1113">
        <v>0.97013064147308403</v>
      </c>
      <c r="D1113">
        <v>0.84119051442402504</v>
      </c>
      <c r="E1113">
        <v>0.77004238960086402</v>
      </c>
      <c r="F1113">
        <v>0.79310635276877395</v>
      </c>
      <c r="G1113">
        <v>0.59895412775921497</v>
      </c>
      <c r="H1113">
        <v>0.46344401940834601</v>
      </c>
      <c r="I1113">
        <v>0.48175060487857002</v>
      </c>
      <c r="J1113">
        <v>0.54778915106062298</v>
      </c>
      <c r="K1113">
        <v>0.49983323118330802</v>
      </c>
      <c r="L1113">
        <v>497.01313935920399</v>
      </c>
      <c r="M1113">
        <v>10.1358020958459</v>
      </c>
      <c r="N1113">
        <v>63.080874326669203</v>
      </c>
      <c r="O1113">
        <v>47.241512383269097</v>
      </c>
      <c r="P1113">
        <v>-2.9640300277963001E-2</v>
      </c>
      <c r="Q1113">
        <v>0.447658519520999</v>
      </c>
      <c r="R1113">
        <v>0.92961813775100999</v>
      </c>
      <c r="S1113" t="s">
        <v>7681</v>
      </c>
      <c r="T1113" t="s">
        <v>13134</v>
      </c>
      <c r="U1113" t="s">
        <v>13134</v>
      </c>
      <c r="V1113" t="s">
        <v>13134</v>
      </c>
      <c r="W1113" t="s">
        <v>14224</v>
      </c>
      <c r="X1113">
        <v>3</v>
      </c>
      <c r="Y1113" t="s">
        <v>20711</v>
      </c>
      <c r="Z1113" t="s">
        <v>27081</v>
      </c>
      <c r="AA1113">
        <v>0.68938746458790912</v>
      </c>
      <c r="AB1113" t="str">
        <f>HYPERLINK("Melting_Curves/meltCurve_H7C173_MZT2B.pdf", "Melting_Curves/meltCurve_H7C173_MZT2B.pdf")</f>
        <v>Melting_Curves/meltCurve_H7C173_MZT2B.pdf</v>
      </c>
    </row>
    <row r="1114" spans="1:28" x14ac:dyDescent="0.25">
      <c r="A1114" t="s">
        <v>1118</v>
      </c>
      <c r="B1114">
        <v>0.99472303558308395</v>
      </c>
      <c r="C1114">
        <v>0.78611112717325904</v>
      </c>
      <c r="D1114">
        <v>0.42686041692101401</v>
      </c>
      <c r="E1114">
        <v>0.23555061527738999</v>
      </c>
      <c r="F1114">
        <v>0.20672033705096901</v>
      </c>
      <c r="G1114">
        <v>0.130114964910579</v>
      </c>
      <c r="H1114">
        <v>6.9508348295012706E-2</v>
      </c>
      <c r="I1114">
        <v>4.6979532312377302E-2</v>
      </c>
      <c r="J1114">
        <v>4.8259582458304001E-2</v>
      </c>
      <c r="K1114">
        <v>4.88098851890948E-2</v>
      </c>
      <c r="L1114">
        <v>766.83066355920903</v>
      </c>
      <c r="M1114">
        <v>18.0970835235007</v>
      </c>
      <c r="N1114">
        <v>42.754591629407301</v>
      </c>
      <c r="O1114">
        <v>41.865928751075899</v>
      </c>
      <c r="P1114">
        <v>-0.100014461484366</v>
      </c>
      <c r="Q1114">
        <v>7.4547886328247201E-2</v>
      </c>
      <c r="R1114">
        <v>0.98388964604692297</v>
      </c>
      <c r="S1114" t="s">
        <v>7682</v>
      </c>
      <c r="T1114" t="s">
        <v>13134</v>
      </c>
      <c r="U1114" t="s">
        <v>13134</v>
      </c>
      <c r="V1114" t="s">
        <v>13134</v>
      </c>
      <c r="W1114" t="s">
        <v>14225</v>
      </c>
      <c r="X1114">
        <v>3</v>
      </c>
      <c r="Y1114" t="s">
        <v>20712</v>
      </c>
      <c r="Z1114" t="s">
        <v>27082</v>
      </c>
      <c r="AA1114">
        <v>0.25726975434108079</v>
      </c>
      <c r="AB1114" t="str">
        <f>HYPERLINK("Melting_Curves/meltCurve_H7C1M5_DNTTIP1.pdf", "Melting_Curves/meltCurve_H7C1M5_DNTTIP1.pdf")</f>
        <v>Melting_Curves/meltCurve_H7C1M5_DNTTIP1.pdf</v>
      </c>
    </row>
    <row r="1115" spans="1:28" x14ac:dyDescent="0.25">
      <c r="A1115" t="s">
        <v>1119</v>
      </c>
      <c r="B1115">
        <v>0.99472303558308395</v>
      </c>
      <c r="C1115">
        <v>0.92450583202055603</v>
      </c>
      <c r="D1115">
        <v>0.864807303573769</v>
      </c>
      <c r="E1115">
        <v>0.77980563945376502</v>
      </c>
      <c r="F1115">
        <v>0.667810543144431</v>
      </c>
      <c r="G1115">
        <v>0.40682891457485398</v>
      </c>
      <c r="H1115">
        <v>0.34710138280331798</v>
      </c>
      <c r="I1115">
        <v>0.36667547475766399</v>
      </c>
      <c r="J1115">
        <v>0.41391347855062099</v>
      </c>
      <c r="K1115">
        <v>0.51595101070515104</v>
      </c>
      <c r="L1115">
        <v>763.23679273487096</v>
      </c>
      <c r="M1115">
        <v>15.944807302457299</v>
      </c>
      <c r="N1115">
        <v>52.916518910997198</v>
      </c>
      <c r="O1115">
        <v>47.133500053080802</v>
      </c>
      <c r="P1115">
        <v>-5.1526043599346698E-2</v>
      </c>
      <c r="Q1115">
        <v>0.39079641473291998</v>
      </c>
      <c r="R1115">
        <v>0.92742313748648697</v>
      </c>
      <c r="S1115" t="s">
        <v>7683</v>
      </c>
      <c r="T1115" t="s">
        <v>13134</v>
      </c>
      <c r="U1115" t="s">
        <v>13134</v>
      </c>
      <c r="V1115" t="s">
        <v>13134</v>
      </c>
      <c r="W1115" t="s">
        <v>14226</v>
      </c>
      <c r="X1115">
        <v>3</v>
      </c>
      <c r="Y1115" t="s">
        <v>20713</v>
      </c>
      <c r="Z1115" t="s">
        <v>27083</v>
      </c>
      <c r="AA1115">
        <v>0.62359077048541245</v>
      </c>
      <c r="AB1115" t="str">
        <f>HYPERLINK("Melting_Curves/meltCurve_H7C1N3_BET1.pdf", "Melting_Curves/meltCurve_H7C1N3_BET1.pdf")</f>
        <v>Melting_Curves/meltCurve_H7C1N3_BET1.pdf</v>
      </c>
    </row>
    <row r="1116" spans="1:28" x14ac:dyDescent="0.25">
      <c r="A1116" t="s">
        <v>1120</v>
      </c>
      <c r="B1116">
        <v>0.99472303558308395</v>
      </c>
      <c r="C1116">
        <v>1.0189389720602999</v>
      </c>
      <c r="D1116">
        <v>0.93527997796024098</v>
      </c>
      <c r="E1116">
        <v>0.79695809655564998</v>
      </c>
      <c r="F1116">
        <v>0.39280184590929301</v>
      </c>
      <c r="G1116">
        <v>0.141227807389747</v>
      </c>
      <c r="H1116">
        <v>9.8658413802644798E-2</v>
      </c>
      <c r="I1116">
        <v>7.4568163638410304E-2</v>
      </c>
      <c r="J1116">
        <v>8.6131074386357698E-2</v>
      </c>
      <c r="K1116">
        <v>6.9610915470022905E-2</v>
      </c>
      <c r="L1116">
        <v>1227.1989690564701</v>
      </c>
      <c r="M1116">
        <v>25.103925364186999</v>
      </c>
      <c r="N1116">
        <v>49.187719553194398</v>
      </c>
      <c r="O1116">
        <v>48.577721872936898</v>
      </c>
      <c r="P1116">
        <v>-0.119941904990786</v>
      </c>
      <c r="Q1116">
        <v>7.1631088599067E-2</v>
      </c>
      <c r="R1116">
        <v>0.99857934169375195</v>
      </c>
      <c r="S1116" t="s">
        <v>7684</v>
      </c>
      <c r="T1116" t="s">
        <v>13134</v>
      </c>
      <c r="U1116" t="s">
        <v>13134</v>
      </c>
      <c r="V1116" t="s">
        <v>13134</v>
      </c>
      <c r="W1116" t="s">
        <v>14227</v>
      </c>
      <c r="X1116">
        <v>20</v>
      </c>
      <c r="Y1116" t="s">
        <v>20714</v>
      </c>
      <c r="Z1116" t="s">
        <v>27084</v>
      </c>
      <c r="AA1116">
        <v>0.44735747802878589</v>
      </c>
      <c r="AB1116" t="str">
        <f>HYPERLINK("Melting_Curves/meltCurve_H7C1U3_CC2D1B.pdf", "Melting_Curves/meltCurve_H7C1U3_CC2D1B.pdf")</f>
        <v>Melting_Curves/meltCurve_H7C1U3_CC2D1B.pdf</v>
      </c>
    </row>
    <row r="1117" spans="1:28" x14ac:dyDescent="0.25">
      <c r="A1117" t="s">
        <v>1121</v>
      </c>
      <c r="B1117">
        <v>0.99472303558308395</v>
      </c>
      <c r="C1117">
        <v>1.0696045593983801</v>
      </c>
      <c r="D1117">
        <v>0.96973692459829597</v>
      </c>
      <c r="E1117">
        <v>0.92872123423694597</v>
      </c>
      <c r="F1117">
        <v>0.69127474202998895</v>
      </c>
      <c r="G1117">
        <v>0.55911835439497504</v>
      </c>
      <c r="H1117">
        <v>0.47025261517077299</v>
      </c>
      <c r="I1117">
        <v>0.54571892060449101</v>
      </c>
      <c r="J1117">
        <v>0.77716376157395795</v>
      </c>
      <c r="K1117">
        <v>0.63033440247600003</v>
      </c>
      <c r="L1117">
        <v>1954.5820270778099</v>
      </c>
      <c r="M1117">
        <v>40.301381370135402</v>
      </c>
      <c r="O1117">
        <v>48.3801790756023</v>
      </c>
      <c r="P1117">
        <v>-8.3962878070621999E-2</v>
      </c>
      <c r="Q1117">
        <v>0.59682464729358697</v>
      </c>
      <c r="R1117">
        <v>0.85464277369984298</v>
      </c>
      <c r="S1117" t="s">
        <v>7685</v>
      </c>
      <c r="T1117" t="s">
        <v>13134</v>
      </c>
      <c r="U1117" t="s">
        <v>13134</v>
      </c>
      <c r="V1117" t="s">
        <v>13134</v>
      </c>
      <c r="W1117" t="s">
        <v>14228</v>
      </c>
      <c r="X1117">
        <v>6</v>
      </c>
      <c r="Y1117" t="s">
        <v>20715</v>
      </c>
      <c r="Z1117" t="s">
        <v>27085</v>
      </c>
      <c r="AA1117">
        <v>0.75269475511113604</v>
      </c>
      <c r="AB1117" t="str">
        <f>HYPERLINK("Melting_Curves/meltCurve_H7C1U8_APOO.pdf", "Melting_Curves/meltCurve_H7C1U8_APOO.pdf")</f>
        <v>Melting_Curves/meltCurve_H7C1U8_APOO.pdf</v>
      </c>
    </row>
    <row r="1118" spans="1:28" x14ac:dyDescent="0.25">
      <c r="A1118" t="s">
        <v>1122</v>
      </c>
      <c r="B1118">
        <v>0.99472303558308395</v>
      </c>
      <c r="C1118">
        <v>0.91190828620639297</v>
      </c>
      <c r="D1118">
        <v>0.77338257251079601</v>
      </c>
      <c r="E1118">
        <v>0.71739795746947699</v>
      </c>
      <c r="F1118">
        <v>0.670493117260055</v>
      </c>
      <c r="G1118">
        <v>0.44501307960967601</v>
      </c>
      <c r="H1118">
        <v>0.34672510644948001</v>
      </c>
      <c r="I1118">
        <v>0.31373651822631599</v>
      </c>
      <c r="J1118">
        <v>0.39810486500440001</v>
      </c>
      <c r="K1118">
        <v>0.31339903011951398</v>
      </c>
      <c r="L1118">
        <v>448.89431461581501</v>
      </c>
      <c r="M1118">
        <v>9.1891392777561993</v>
      </c>
      <c r="N1118">
        <v>52.9240581882962</v>
      </c>
      <c r="O1118">
        <v>46.703993987110302</v>
      </c>
      <c r="P1118">
        <v>-3.67431939346297E-2</v>
      </c>
      <c r="Q1118">
        <v>0.25350881769760802</v>
      </c>
      <c r="R1118">
        <v>0.95972786037056002</v>
      </c>
      <c r="S1118" t="s">
        <v>7686</v>
      </c>
      <c r="T1118" t="s">
        <v>13134</v>
      </c>
      <c r="U1118" t="s">
        <v>13134</v>
      </c>
      <c r="V1118" t="s">
        <v>13134</v>
      </c>
      <c r="W1118" t="s">
        <v>14229</v>
      </c>
      <c r="X1118">
        <v>2</v>
      </c>
      <c r="Y1118" t="s">
        <v>20716</v>
      </c>
      <c r="Z1118" t="s">
        <v>27086</v>
      </c>
      <c r="AA1118">
        <v>0.57917195353533901</v>
      </c>
      <c r="AB1118" t="str">
        <f>HYPERLINK("Melting_Curves/meltCurve_H7C1W4_TATDN2.pdf", "Melting_Curves/meltCurve_H7C1W4_TATDN2.pdf")</f>
        <v>Melting_Curves/meltCurve_H7C1W4_TATDN2.pdf</v>
      </c>
    </row>
    <row r="1119" spans="1:28" x14ac:dyDescent="0.25">
      <c r="A1119" t="s">
        <v>1123</v>
      </c>
      <c r="B1119">
        <v>0.99472303558308395</v>
      </c>
      <c r="C1119">
        <v>1.01683107355126</v>
      </c>
      <c r="D1119">
        <v>0.85031926920802103</v>
      </c>
      <c r="E1119">
        <v>0.78707887365930196</v>
      </c>
      <c r="F1119">
        <v>1.11492707334233</v>
      </c>
      <c r="G1119">
        <v>0.58834187589778397</v>
      </c>
      <c r="H1119">
        <v>0.34653124704726102</v>
      </c>
      <c r="I1119">
        <v>7.5302398452445199E-2</v>
      </c>
      <c r="J1119">
        <v>6.01821633200713E-2</v>
      </c>
      <c r="K1119">
        <v>7.8861521755171707E-2</v>
      </c>
      <c r="L1119">
        <v>1563.9653048661701</v>
      </c>
      <c r="M1119">
        <v>28.440627986355899</v>
      </c>
      <c r="N1119">
        <v>55.230265991111096</v>
      </c>
      <c r="O1119">
        <v>54.720819465630001</v>
      </c>
      <c r="P1119">
        <v>-0.122391207637155</v>
      </c>
      <c r="Q1119">
        <v>5.8066820219332897E-2</v>
      </c>
      <c r="R1119">
        <v>0.931400539709623</v>
      </c>
      <c r="S1119" t="s">
        <v>7687</v>
      </c>
      <c r="T1119" t="s">
        <v>13134</v>
      </c>
      <c r="U1119" t="s">
        <v>13134</v>
      </c>
      <c r="V1119" t="s">
        <v>13134</v>
      </c>
      <c r="W1119" t="s">
        <v>14230</v>
      </c>
      <c r="X1119">
        <v>1</v>
      </c>
      <c r="Y1119" t="s">
        <v>20717</v>
      </c>
      <c r="Z1119" t="s">
        <v>27087</v>
      </c>
      <c r="AA1119">
        <v>0.62947345725369674</v>
      </c>
      <c r="AB1119" t="str">
        <f>HYPERLINK("Melting_Curves/meltCurve_H7C261_PCLO.pdf", "Melting_Curves/meltCurve_H7C261_PCLO.pdf")</f>
        <v>Melting_Curves/meltCurve_H7C261_PCLO.pdf</v>
      </c>
    </row>
    <row r="1120" spans="1:28" x14ac:dyDescent="0.25">
      <c r="A1120" t="s">
        <v>1124</v>
      </c>
      <c r="B1120">
        <v>0.99472303558308395</v>
      </c>
      <c r="C1120">
        <v>0.87413493432555001</v>
      </c>
      <c r="D1120">
        <v>0.96602031175704195</v>
      </c>
      <c r="E1120">
        <v>0.79630500157025097</v>
      </c>
      <c r="F1120">
        <v>0.47045815438155097</v>
      </c>
      <c r="G1120">
        <v>0.180897345197049</v>
      </c>
      <c r="H1120">
        <v>0.109145276179493</v>
      </c>
      <c r="I1120">
        <v>5.9366305817944102E-2</v>
      </c>
      <c r="J1120">
        <v>6.2053212086519899E-2</v>
      </c>
      <c r="K1120">
        <v>7.7803387625032597E-2</v>
      </c>
      <c r="L1120">
        <v>1039.3469681031499</v>
      </c>
      <c r="M1120">
        <v>21.006969584268202</v>
      </c>
      <c r="N1120">
        <v>49.7511105559187</v>
      </c>
      <c r="O1120">
        <v>49.034484748125102</v>
      </c>
      <c r="P1120">
        <v>-0.10123843067138499</v>
      </c>
      <c r="Q1120">
        <v>5.4782039506529698E-2</v>
      </c>
      <c r="R1120">
        <v>0.98954522560916702</v>
      </c>
      <c r="S1120" t="s">
        <v>7688</v>
      </c>
      <c r="T1120" t="s">
        <v>13134</v>
      </c>
      <c r="U1120" t="s">
        <v>13134</v>
      </c>
      <c r="V1120" t="s">
        <v>13134</v>
      </c>
      <c r="W1120" t="s">
        <v>14231</v>
      </c>
      <c r="X1120">
        <v>2</v>
      </c>
      <c r="Y1120" t="s">
        <v>20718</v>
      </c>
      <c r="Z1120" t="s">
        <v>27088</v>
      </c>
      <c r="AA1120">
        <v>0.45927403666584171</v>
      </c>
      <c r="AB1120" t="str">
        <f>HYPERLINK("Melting_Curves/meltCurve_H7C270_CTDSP1.pdf", "Melting_Curves/meltCurve_H7C270_CTDSP1.pdf")</f>
        <v>Melting_Curves/meltCurve_H7C270_CTDSP1.pdf</v>
      </c>
    </row>
    <row r="1121" spans="1:28" x14ac:dyDescent="0.25">
      <c r="A1121" t="s">
        <v>1125</v>
      </c>
      <c r="B1121">
        <v>0.99472303558308395</v>
      </c>
      <c r="C1121">
        <v>0.896602985939422</v>
      </c>
      <c r="D1121">
        <v>0.85328478535210595</v>
      </c>
      <c r="E1121">
        <v>0.80736046525344296</v>
      </c>
      <c r="F1121">
        <v>0.74318679605735105</v>
      </c>
      <c r="G1121">
        <v>0.50956042113814204</v>
      </c>
      <c r="H1121">
        <v>0.38817499751021201</v>
      </c>
      <c r="I1121">
        <v>0.33896422398947401</v>
      </c>
      <c r="J1121">
        <v>0.299389307507961</v>
      </c>
      <c r="K1121">
        <v>0.18913534857016301</v>
      </c>
      <c r="L1121">
        <v>405.18723988554098</v>
      </c>
      <c r="M1121">
        <v>7.3541806920239896</v>
      </c>
      <c r="N1121">
        <v>55.096184467999599</v>
      </c>
      <c r="O1121">
        <v>51.461635016650497</v>
      </c>
      <c r="P1121">
        <v>-3.5781756930667999E-2</v>
      </c>
      <c r="Q1121">
        <v>0</v>
      </c>
      <c r="R1121">
        <v>0.98167500955657505</v>
      </c>
      <c r="S1121" t="s">
        <v>7689</v>
      </c>
      <c r="T1121" t="s">
        <v>13134</v>
      </c>
      <c r="U1121" t="s">
        <v>13134</v>
      </c>
      <c r="V1121" t="s">
        <v>13134</v>
      </c>
      <c r="W1121" t="s">
        <v>14232</v>
      </c>
      <c r="X1121">
        <v>2</v>
      </c>
      <c r="Y1121" t="s">
        <v>20719</v>
      </c>
      <c r="Z1121" t="s">
        <v>27089</v>
      </c>
      <c r="AA1121">
        <v>0.6062459091047856</v>
      </c>
      <c r="AB1121" t="str">
        <f>HYPERLINK("Melting_Curves/meltCurve_H7C2B1_NOL7.pdf", "Melting_Curves/meltCurve_H7C2B1_NOL7.pdf")</f>
        <v>Melting_Curves/meltCurve_H7C2B1_NOL7.pdf</v>
      </c>
    </row>
    <row r="1122" spans="1:28" x14ac:dyDescent="0.25">
      <c r="A1122" t="s">
        <v>1126</v>
      </c>
      <c r="B1122">
        <v>0.99472303558308395</v>
      </c>
      <c r="C1122">
        <v>0.85949325800795495</v>
      </c>
      <c r="D1122">
        <v>0.78933155632884999</v>
      </c>
      <c r="E1122">
        <v>0.72981434675558998</v>
      </c>
      <c r="F1122">
        <v>0.85304478195804201</v>
      </c>
      <c r="G1122">
        <v>0.250682143977143</v>
      </c>
      <c r="H1122">
        <v>0.125592913882315</v>
      </c>
      <c r="I1122">
        <v>0.12026616094203101</v>
      </c>
      <c r="J1122">
        <v>0.13608552670336699</v>
      </c>
      <c r="K1122">
        <v>0.10689037509861</v>
      </c>
      <c r="L1122">
        <v>634.94563280692796</v>
      </c>
      <c r="M1122">
        <v>12.321620005509899</v>
      </c>
      <c r="N1122">
        <v>51.596559996342002</v>
      </c>
      <c r="O1122">
        <v>50.230125185391501</v>
      </c>
      <c r="P1122">
        <v>-6.08629174094244E-2</v>
      </c>
      <c r="Q1122">
        <v>7.7649286997211898E-3</v>
      </c>
      <c r="R1122">
        <v>0.89214794818617604</v>
      </c>
      <c r="S1122" t="s">
        <v>7690</v>
      </c>
      <c r="T1122" t="s">
        <v>13134</v>
      </c>
      <c r="U1122" t="s">
        <v>13134</v>
      </c>
      <c r="V1122" t="s">
        <v>13134</v>
      </c>
      <c r="W1122" t="s">
        <v>14233</v>
      </c>
      <c r="X1122">
        <v>2</v>
      </c>
      <c r="Y1122" t="s">
        <v>20720</v>
      </c>
      <c r="Z1122" t="s">
        <v>27090</v>
      </c>
      <c r="AA1122">
        <v>0.5124615565533932</v>
      </c>
      <c r="AB1122" t="str">
        <f>HYPERLINK("Melting_Curves/meltCurve_H7C2Q8_EBNA1BP2.pdf", "Melting_Curves/meltCurve_H7C2Q8_EBNA1BP2.pdf")</f>
        <v>Melting_Curves/meltCurve_H7C2Q8_EBNA1BP2.pdf</v>
      </c>
    </row>
    <row r="1123" spans="1:28" x14ac:dyDescent="0.25">
      <c r="A1123" t="s">
        <v>1127</v>
      </c>
      <c r="B1123">
        <v>0.99472303558308395</v>
      </c>
      <c r="C1123">
        <v>0.86771287454531598</v>
      </c>
      <c r="D1123">
        <v>1.2724999107695301</v>
      </c>
      <c r="E1123">
        <v>1.0808308401181901</v>
      </c>
      <c r="F1123">
        <v>0.49052546446099798</v>
      </c>
      <c r="G1123">
        <v>0.125897658011594</v>
      </c>
      <c r="H1123">
        <v>7.0808953190126506E-2</v>
      </c>
      <c r="I1123">
        <v>4.0155270787526502E-2</v>
      </c>
      <c r="J1123">
        <v>4.3490443020296601E-2</v>
      </c>
      <c r="K1123">
        <v>3.2414331443024198E-2</v>
      </c>
      <c r="L1123">
        <v>3908.6893938938001</v>
      </c>
      <c r="M1123">
        <v>78.025154590434695</v>
      </c>
      <c r="N1123">
        <v>50.179575062655097</v>
      </c>
      <c r="O1123">
        <v>50.062370411099302</v>
      </c>
      <c r="P1123">
        <v>-0.36569851858144797</v>
      </c>
      <c r="Q1123">
        <v>6.1444659764741602E-2</v>
      </c>
      <c r="R1123">
        <v>0.95428453723968898</v>
      </c>
      <c r="S1123" t="s">
        <v>7691</v>
      </c>
      <c r="T1123" t="s">
        <v>13134</v>
      </c>
      <c r="U1123" t="s">
        <v>13134</v>
      </c>
      <c r="V1123" t="s">
        <v>13134</v>
      </c>
      <c r="W1123" t="s">
        <v>14234</v>
      </c>
      <c r="X1123">
        <v>1</v>
      </c>
      <c r="Y1123" t="s">
        <v>20721</v>
      </c>
      <c r="Z1123" t="s">
        <v>27091</v>
      </c>
      <c r="AA1123">
        <v>0.47198065013214391</v>
      </c>
      <c r="AB1123" t="str">
        <f>HYPERLINK("Melting_Curves/meltCurve_H7C347_PPM1N.pdf", "Melting_Curves/meltCurve_H7C347_PPM1N.pdf")</f>
        <v>Melting_Curves/meltCurve_H7C347_PPM1N.pdf</v>
      </c>
    </row>
    <row r="1124" spans="1:28" x14ac:dyDescent="0.25">
      <c r="A1124" t="s">
        <v>1128</v>
      </c>
      <c r="B1124">
        <v>0.99472303558308395</v>
      </c>
      <c r="C1124">
        <v>1.1343136719640701</v>
      </c>
      <c r="D1124">
        <v>0.83720287909684299</v>
      </c>
      <c r="E1124">
        <v>0.85327932772720305</v>
      </c>
      <c r="F1124">
        <v>0.92205983055857699</v>
      </c>
      <c r="G1124">
        <v>0.50990335405961495</v>
      </c>
      <c r="H1124">
        <v>0.365512602564182</v>
      </c>
      <c r="I1124">
        <v>0.27545180725959101</v>
      </c>
      <c r="J1124">
        <v>0.24606478829950801</v>
      </c>
      <c r="K1124">
        <v>0.25010463101022501</v>
      </c>
      <c r="L1124">
        <v>1312.9333653379999</v>
      </c>
      <c r="M1124">
        <v>24.779325737505001</v>
      </c>
      <c r="N1124">
        <v>54.463899120347101</v>
      </c>
      <c r="O1124">
        <v>52.643568874138303</v>
      </c>
      <c r="P1124">
        <v>-8.8861164216646901E-2</v>
      </c>
      <c r="Q1124">
        <v>0.244869995239579</v>
      </c>
      <c r="R1124">
        <v>0.937397578662725</v>
      </c>
      <c r="S1124" t="s">
        <v>7692</v>
      </c>
      <c r="T1124" t="s">
        <v>13134</v>
      </c>
      <c r="U1124" t="s">
        <v>13134</v>
      </c>
      <c r="V1124" t="s">
        <v>13134</v>
      </c>
      <c r="W1124" t="s">
        <v>14235</v>
      </c>
      <c r="X1124">
        <v>2</v>
      </c>
      <c r="Y1124" t="s">
        <v>20722</v>
      </c>
      <c r="Z1124" t="s">
        <v>27092</v>
      </c>
      <c r="AA1124">
        <v>0.65400523930956789</v>
      </c>
      <c r="AB1124" t="str">
        <f>HYPERLINK("Melting_Curves/meltCurve_H7C3D5_FAM134A.pdf", "Melting_Curves/meltCurve_H7C3D5_FAM134A.pdf")</f>
        <v>Melting_Curves/meltCurve_H7C3D5_FAM134A.pdf</v>
      </c>
    </row>
    <row r="1125" spans="1:28" x14ac:dyDescent="0.25">
      <c r="A1125" t="s">
        <v>1129</v>
      </c>
      <c r="B1125">
        <v>0.99472303558308395</v>
      </c>
      <c r="C1125">
        <v>1.0195449764920901</v>
      </c>
      <c r="D1125">
        <v>0.94861684605319097</v>
      </c>
      <c r="E1125">
        <v>0.90022887907398497</v>
      </c>
      <c r="F1125">
        <v>0.82493578932011802</v>
      </c>
      <c r="G1125">
        <v>0.62116907025635104</v>
      </c>
      <c r="H1125">
        <v>0.36394299203943697</v>
      </c>
      <c r="I1125">
        <v>0.241740590430361</v>
      </c>
      <c r="J1125">
        <v>0.18941730808804999</v>
      </c>
      <c r="K1125">
        <v>0.18683912777013401</v>
      </c>
      <c r="L1125">
        <v>863.33176799567502</v>
      </c>
      <c r="M1125">
        <v>15.899133329524201</v>
      </c>
      <c r="N1125">
        <v>55.299274003786699</v>
      </c>
      <c r="O1125">
        <v>53.463306290967502</v>
      </c>
      <c r="P1125">
        <v>-6.5073042745464896E-2</v>
      </c>
      <c r="Q1125">
        <v>0.124797542225442</v>
      </c>
      <c r="R1125">
        <v>0.99494399239772102</v>
      </c>
      <c r="S1125" t="s">
        <v>7693</v>
      </c>
      <c r="T1125" t="s">
        <v>13134</v>
      </c>
      <c r="U1125" t="s">
        <v>13134</v>
      </c>
      <c r="V1125" t="s">
        <v>13134</v>
      </c>
      <c r="W1125" t="s">
        <v>14236</v>
      </c>
      <c r="X1125">
        <v>9</v>
      </c>
      <c r="Y1125" t="s">
        <v>20723</v>
      </c>
      <c r="Z1125" t="s">
        <v>27093</v>
      </c>
      <c r="AA1125">
        <v>0.64263728775667428</v>
      </c>
      <c r="AB1125" t="str">
        <f>HYPERLINK("Melting_Curves/meltCurve_H7C3G9_NAGK.pdf", "Melting_Curves/meltCurve_H7C3G9_NAGK.pdf")</f>
        <v>Melting_Curves/meltCurve_H7C3G9_NAGK.pdf</v>
      </c>
    </row>
    <row r="1126" spans="1:28" x14ac:dyDescent="0.25">
      <c r="A1126" t="s">
        <v>1130</v>
      </c>
      <c r="B1126">
        <v>0.99472303558308395</v>
      </c>
      <c r="C1126">
        <v>0.94357414608482904</v>
      </c>
      <c r="D1126">
        <v>0.97633794783011596</v>
      </c>
      <c r="E1126">
        <v>0.90503334219795095</v>
      </c>
      <c r="F1126">
        <v>0.73638656527764901</v>
      </c>
      <c r="G1126">
        <v>0.56732107646412899</v>
      </c>
      <c r="H1126">
        <v>0.41676461890522598</v>
      </c>
      <c r="I1126">
        <v>0.50723115156232002</v>
      </c>
      <c r="J1126">
        <v>0.46048164513137302</v>
      </c>
      <c r="K1126">
        <v>0.236437356755864</v>
      </c>
      <c r="L1126">
        <v>682.54228832888498</v>
      </c>
      <c r="M1126">
        <v>13.127222851580299</v>
      </c>
      <c r="N1126">
        <v>56.434464155154302</v>
      </c>
      <c r="O1126">
        <v>50.832222411853301</v>
      </c>
      <c r="P1126">
        <v>-4.3780444454558802E-2</v>
      </c>
      <c r="Q1126">
        <v>0.32199557787883698</v>
      </c>
      <c r="R1126">
        <v>0.94239573431813595</v>
      </c>
      <c r="S1126" t="s">
        <v>7694</v>
      </c>
      <c r="T1126" t="s">
        <v>13134</v>
      </c>
      <c r="U1126" t="s">
        <v>13134</v>
      </c>
      <c r="V1126" t="s">
        <v>13134</v>
      </c>
      <c r="W1126" t="s">
        <v>14237</v>
      </c>
      <c r="X1126">
        <v>9</v>
      </c>
      <c r="Y1126" t="s">
        <v>20724</v>
      </c>
      <c r="Z1126" t="s">
        <v>27094</v>
      </c>
      <c r="AA1126">
        <v>0.67578958624705843</v>
      </c>
      <c r="AB1126" t="str">
        <f>HYPERLINK("Melting_Curves/meltCurve_H7C3P4_GNS.pdf", "Melting_Curves/meltCurve_H7C3P4_GNS.pdf")</f>
        <v>Melting_Curves/meltCurve_H7C3P4_GNS.pdf</v>
      </c>
    </row>
    <row r="1127" spans="1:28" x14ac:dyDescent="0.25">
      <c r="A1127" t="s">
        <v>1131</v>
      </c>
      <c r="B1127">
        <v>0.99472303558308395</v>
      </c>
      <c r="C1127">
        <v>0.98610302498845204</v>
      </c>
      <c r="D1127">
        <v>0.85213472955635206</v>
      </c>
      <c r="E1127">
        <v>0.76268806213245699</v>
      </c>
      <c r="F1127">
        <v>0.62600813237252095</v>
      </c>
      <c r="G1127">
        <v>0.35186987169769501</v>
      </c>
      <c r="H1127">
        <v>0.17937007590301399</v>
      </c>
      <c r="I1127">
        <v>0.10322490395888299</v>
      </c>
      <c r="J1127">
        <v>0.1029942392148</v>
      </c>
      <c r="K1127">
        <v>8.1798439478059898E-2</v>
      </c>
      <c r="L1127">
        <v>628.65269855267695</v>
      </c>
      <c r="M1127">
        <v>12.2720134608007</v>
      </c>
      <c r="N1127">
        <v>51.2834461184001</v>
      </c>
      <c r="O1127">
        <v>49.9232931770619</v>
      </c>
      <c r="P1127">
        <v>-6.1052217723607E-2</v>
      </c>
      <c r="Q1127">
        <v>6.76350117469915E-3</v>
      </c>
      <c r="R1127">
        <v>0.99175890092290198</v>
      </c>
      <c r="S1127" t="s">
        <v>7695</v>
      </c>
      <c r="T1127" t="s">
        <v>13134</v>
      </c>
      <c r="U1127" t="s">
        <v>13134</v>
      </c>
      <c r="V1127" t="s">
        <v>13134</v>
      </c>
      <c r="W1127" t="s">
        <v>14238</v>
      </c>
      <c r="X1127">
        <v>13</v>
      </c>
      <c r="Y1127" t="s">
        <v>20725</v>
      </c>
      <c r="Z1127" t="s">
        <v>27095</v>
      </c>
      <c r="AA1127">
        <v>0.50260584715940049</v>
      </c>
      <c r="AB1127" t="str">
        <f>HYPERLINK("Melting_Curves/meltCurve_H7C3T2_ATG2A.pdf", "Melting_Curves/meltCurve_H7C3T2_ATG2A.pdf")</f>
        <v>Melting_Curves/meltCurve_H7C3T2_ATG2A.pdf</v>
      </c>
    </row>
    <row r="1128" spans="1:28" x14ac:dyDescent="0.25">
      <c r="A1128" t="s">
        <v>1132</v>
      </c>
      <c r="B1128">
        <v>0.99472303558308395</v>
      </c>
      <c r="C1128">
        <v>0.88675003788143303</v>
      </c>
      <c r="D1128">
        <v>0.67289408368339998</v>
      </c>
      <c r="E1128">
        <v>0.69274004933662703</v>
      </c>
      <c r="F1128">
        <v>0.60979172091863398</v>
      </c>
      <c r="G1128">
        <v>0.224283854724181</v>
      </c>
      <c r="H1128">
        <v>0.10752601432334701</v>
      </c>
      <c r="I1128">
        <v>0.10803657459384999</v>
      </c>
      <c r="J1128">
        <v>0.14759081458993101</v>
      </c>
      <c r="K1128">
        <v>3.8191093223829201E-2</v>
      </c>
      <c r="L1128">
        <v>489.57651356924401</v>
      </c>
      <c r="M1128">
        <v>9.9406443302653003</v>
      </c>
      <c r="N1128">
        <v>49.249968902270098</v>
      </c>
      <c r="O1128">
        <v>47.381230394822502</v>
      </c>
      <c r="P1128">
        <v>-5.2476429425412197E-2</v>
      </c>
      <c r="Q1128">
        <v>0</v>
      </c>
      <c r="R1128">
        <v>0.94353618763357106</v>
      </c>
      <c r="S1128" t="s">
        <v>7696</v>
      </c>
      <c r="T1128" t="s">
        <v>13134</v>
      </c>
      <c r="U1128" t="s">
        <v>13134</v>
      </c>
      <c r="V1128" t="s">
        <v>13134</v>
      </c>
      <c r="W1128" t="s">
        <v>14239</v>
      </c>
      <c r="X1128">
        <v>1</v>
      </c>
      <c r="Y1128" t="s">
        <v>20726</v>
      </c>
      <c r="Z1128" t="s">
        <v>27096</v>
      </c>
      <c r="AA1128">
        <v>0.44491580839554201</v>
      </c>
      <c r="AB1128" t="str">
        <f>HYPERLINK("Melting_Curves/meltCurve_H7C446_PPAN.pdf", "Melting_Curves/meltCurve_H7C446_PPAN.pdf")</f>
        <v>Melting_Curves/meltCurve_H7C446_PPAN.pdf</v>
      </c>
    </row>
    <row r="1129" spans="1:28" x14ac:dyDescent="0.25">
      <c r="A1129" t="s">
        <v>1133</v>
      </c>
      <c r="B1129">
        <v>0.99472303558308395</v>
      </c>
      <c r="C1129">
        <v>0.63333828491428601</v>
      </c>
      <c r="D1129">
        <v>0.88273687287458003</v>
      </c>
      <c r="E1129">
        <v>0.63256681678081095</v>
      </c>
      <c r="F1129">
        <v>0.354465119578111</v>
      </c>
      <c r="G1129">
        <v>0.269584183100543</v>
      </c>
      <c r="H1129">
        <v>0.18108074395561499</v>
      </c>
      <c r="I1129">
        <v>5.3429663945654203E-2</v>
      </c>
      <c r="J1129">
        <v>4.6232351966162197E-2</v>
      </c>
      <c r="K1129">
        <v>2.3680519138301898E-2</v>
      </c>
      <c r="L1129">
        <v>481.20291234285401</v>
      </c>
      <c r="M1129">
        <v>10.023137946845599</v>
      </c>
      <c r="N1129">
        <v>48.0092221020114</v>
      </c>
      <c r="O1129">
        <v>46.215594779360202</v>
      </c>
      <c r="P1129">
        <v>-5.42456196652054E-2</v>
      </c>
      <c r="Q1129">
        <v>0</v>
      </c>
      <c r="R1129">
        <v>0.92228352509311695</v>
      </c>
      <c r="S1129" t="s">
        <v>7697</v>
      </c>
      <c r="T1129" t="s">
        <v>13134</v>
      </c>
      <c r="U1129" t="s">
        <v>13134</v>
      </c>
      <c r="V1129" t="s">
        <v>13134</v>
      </c>
      <c r="W1129" t="s">
        <v>14240</v>
      </c>
      <c r="X1129">
        <v>5</v>
      </c>
      <c r="Y1129" t="s">
        <v>20727</v>
      </c>
      <c r="Z1129" t="s">
        <v>27097</v>
      </c>
      <c r="AA1129">
        <v>0.40699087983095711</v>
      </c>
      <c r="AB1129" t="str">
        <f>HYPERLINK("Melting_Curves/meltCurve_H7C484_ARV1.pdf", "Melting_Curves/meltCurve_H7C484_ARV1.pdf")</f>
        <v>Melting_Curves/meltCurve_H7C484_ARV1.pdf</v>
      </c>
    </row>
    <row r="1130" spans="1:28" x14ac:dyDescent="0.25">
      <c r="A1130" t="s">
        <v>1134</v>
      </c>
      <c r="B1130">
        <v>0.99472303558308395</v>
      </c>
      <c r="C1130">
        <v>0.62587308079256498</v>
      </c>
      <c r="D1130">
        <v>0.71581345030058896</v>
      </c>
      <c r="E1130">
        <v>0.50632590242792397</v>
      </c>
      <c r="F1130">
        <v>9.5382039792292997E-2</v>
      </c>
      <c r="G1130">
        <v>3.5708942906628002E-2</v>
      </c>
      <c r="H1130">
        <v>3.8803378710744997E-2</v>
      </c>
      <c r="I1130">
        <v>0</v>
      </c>
      <c r="J1130">
        <v>0</v>
      </c>
      <c r="K1130">
        <v>0</v>
      </c>
      <c r="L1130">
        <v>585.61230925319899</v>
      </c>
      <c r="M1130">
        <v>13.0732776946854</v>
      </c>
      <c r="N1130">
        <v>44.794605979782297</v>
      </c>
      <c r="O1130">
        <v>43.785369952920298</v>
      </c>
      <c r="P1130">
        <v>-7.4656999249040901E-2</v>
      </c>
      <c r="Q1130">
        <v>0</v>
      </c>
      <c r="R1130">
        <v>0.931711791523824</v>
      </c>
      <c r="S1130" t="s">
        <v>7698</v>
      </c>
      <c r="T1130" t="s">
        <v>13134</v>
      </c>
      <c r="U1130" t="s">
        <v>13134</v>
      </c>
      <c r="V1130" t="s">
        <v>13134</v>
      </c>
      <c r="W1130" t="s">
        <v>14241</v>
      </c>
      <c r="X1130">
        <v>1</v>
      </c>
      <c r="Y1130" t="s">
        <v>20728</v>
      </c>
      <c r="Z1130" t="s">
        <v>27098</v>
      </c>
      <c r="AA1130">
        <v>0.29119778856466377</v>
      </c>
      <c r="AB1130" t="str">
        <f>HYPERLINK("Melting_Curves/meltCurve_H7C4K1_STK19.pdf", "Melting_Curves/meltCurve_H7C4K1_STK19.pdf")</f>
        <v>Melting_Curves/meltCurve_H7C4K1_STK19.pdf</v>
      </c>
    </row>
    <row r="1131" spans="1:28" x14ac:dyDescent="0.25">
      <c r="A1131" t="s">
        <v>1135</v>
      </c>
      <c r="B1131">
        <v>0.99472303558308395</v>
      </c>
      <c r="C1131">
        <v>1.0093169486376701</v>
      </c>
      <c r="D1131">
        <v>0.86700611353581403</v>
      </c>
      <c r="E1131">
        <v>0.45141714593943699</v>
      </c>
      <c r="F1131">
        <v>0.302874450217199</v>
      </c>
      <c r="G1131">
        <v>0.159390048124808</v>
      </c>
      <c r="H1131">
        <v>0.118152686427169</v>
      </c>
      <c r="I1131">
        <v>9.5019630931254595E-2</v>
      </c>
      <c r="J1131">
        <v>0.139131666020508</v>
      </c>
      <c r="K1131">
        <v>8.0600030561590402E-2</v>
      </c>
      <c r="L1131">
        <v>983.36861486884902</v>
      </c>
      <c r="M1131">
        <v>21.340825495682999</v>
      </c>
      <c r="N1131">
        <v>46.632518171404001</v>
      </c>
      <c r="O1131">
        <v>45.680343901404697</v>
      </c>
      <c r="P1131">
        <v>-0.103733888504314</v>
      </c>
      <c r="Q1131">
        <v>0.111846954102419</v>
      </c>
      <c r="R1131">
        <v>0.99200000714653103</v>
      </c>
      <c r="S1131" t="s">
        <v>7699</v>
      </c>
      <c r="T1131" t="s">
        <v>13134</v>
      </c>
      <c r="U1131" t="s">
        <v>13134</v>
      </c>
      <c r="V1131" t="s">
        <v>13134</v>
      </c>
      <c r="W1131" t="s">
        <v>14242</v>
      </c>
      <c r="X1131">
        <v>3</v>
      </c>
      <c r="Y1131" t="s">
        <v>20729</v>
      </c>
      <c r="Z1131" t="s">
        <v>27099</v>
      </c>
      <c r="AA1131">
        <v>0.39081623227547391</v>
      </c>
      <c r="AB1131" t="str">
        <f>HYPERLINK("Melting_Curves/meltCurve_H7C4P1_ARHGAP25.pdf", "Melting_Curves/meltCurve_H7C4P1_ARHGAP25.pdf")</f>
        <v>Melting_Curves/meltCurve_H7C4P1_ARHGAP25.pdf</v>
      </c>
    </row>
    <row r="1132" spans="1:28" x14ac:dyDescent="0.25">
      <c r="A1132" t="s">
        <v>1136</v>
      </c>
      <c r="B1132">
        <v>0.99472303558308395</v>
      </c>
      <c r="C1132">
        <v>1.3304286064769899</v>
      </c>
      <c r="D1132">
        <v>1.10526439186064</v>
      </c>
      <c r="E1132">
        <v>0.71026280155828003</v>
      </c>
      <c r="F1132">
        <v>0.43706783310866698</v>
      </c>
      <c r="G1132">
        <v>0.55435601762780995</v>
      </c>
      <c r="H1132">
        <v>9.6510944862816805E-2</v>
      </c>
      <c r="I1132">
        <v>0.113373291682624</v>
      </c>
      <c r="J1132">
        <v>0.21581601226184999</v>
      </c>
      <c r="K1132">
        <v>0.16692753407761099</v>
      </c>
      <c r="L1132">
        <v>908.708148267453</v>
      </c>
      <c r="M1132">
        <v>18.335355679145401</v>
      </c>
      <c r="N1132">
        <v>50.595111935461098</v>
      </c>
      <c r="O1132">
        <v>48.9821848435463</v>
      </c>
      <c r="P1132">
        <v>-7.8954604313412904E-2</v>
      </c>
      <c r="Q1132">
        <v>0.156342168490714</v>
      </c>
      <c r="R1132">
        <v>0.87008043827395898</v>
      </c>
      <c r="S1132" t="s">
        <v>7700</v>
      </c>
      <c r="T1132" t="s">
        <v>13134</v>
      </c>
      <c r="U1132" t="s">
        <v>13134</v>
      </c>
      <c r="V1132" t="s">
        <v>13134</v>
      </c>
      <c r="W1132" t="s">
        <v>14217</v>
      </c>
      <c r="X1132">
        <v>7</v>
      </c>
      <c r="Y1132" t="s">
        <v>20704</v>
      </c>
      <c r="Z1132" t="s">
        <v>27100</v>
      </c>
      <c r="AA1132">
        <v>0.52250667188253341</v>
      </c>
      <c r="AB1132" t="str">
        <f>HYPERLINK("Melting_Curves/meltCurve_H7C561_SF1.pdf", "Melting_Curves/meltCurve_H7C561_SF1.pdf")</f>
        <v>Melting_Curves/meltCurve_H7C561_SF1.pdf</v>
      </c>
    </row>
    <row r="1133" spans="1:28" x14ac:dyDescent="0.25">
      <c r="A1133" t="s">
        <v>1137</v>
      </c>
      <c r="B1133">
        <v>0.99472303558308395</v>
      </c>
      <c r="C1133">
        <v>0.98319256620698103</v>
      </c>
      <c r="D1133">
        <v>0.90958755229785904</v>
      </c>
      <c r="E1133">
        <v>0.60378401998681897</v>
      </c>
      <c r="F1133">
        <v>0.33084149937482799</v>
      </c>
      <c r="G1133">
        <v>0.205659676579934</v>
      </c>
      <c r="H1133">
        <v>0.148617449478713</v>
      </c>
      <c r="I1133">
        <v>9.6283054473031995E-2</v>
      </c>
      <c r="J1133">
        <v>0.13340065735232801</v>
      </c>
      <c r="K1133">
        <v>0.10255944178901601</v>
      </c>
      <c r="L1133">
        <v>925.08996794371501</v>
      </c>
      <c r="M1133">
        <v>19.558815296415901</v>
      </c>
      <c r="N1133">
        <v>47.9183804377748</v>
      </c>
      <c r="O1133">
        <v>46.811744677791999</v>
      </c>
      <c r="P1133">
        <v>-9.2772204892729901E-2</v>
      </c>
      <c r="Q1133">
        <v>0.111873728176708</v>
      </c>
      <c r="R1133">
        <v>0.99833072088463104</v>
      </c>
      <c r="S1133" t="s">
        <v>7701</v>
      </c>
      <c r="T1133" t="s">
        <v>13134</v>
      </c>
      <c r="U1133" t="s">
        <v>13134</v>
      </c>
      <c r="V1133" t="s">
        <v>13134</v>
      </c>
      <c r="W1133" t="s">
        <v>14243</v>
      </c>
      <c r="X1133">
        <v>5</v>
      </c>
      <c r="Y1133" t="s">
        <v>20730</v>
      </c>
      <c r="Z1133" t="s">
        <v>27101</v>
      </c>
      <c r="AA1133">
        <v>0.42888498510846262</v>
      </c>
      <c r="AB1133" t="str">
        <f>HYPERLINK("Melting_Curves/meltCurve_H7C5A5_STIM2.pdf", "Melting_Curves/meltCurve_H7C5A5_STIM2.pdf")</f>
        <v>Melting_Curves/meltCurve_H7C5A5_STIM2.pdf</v>
      </c>
    </row>
    <row r="1134" spans="1:28" x14ac:dyDescent="0.25">
      <c r="A1134" t="s">
        <v>1138</v>
      </c>
      <c r="B1134">
        <v>0.99472303558308395</v>
      </c>
      <c r="C1134">
        <v>1.2083165791819901</v>
      </c>
      <c r="D1134">
        <v>0.887550524186689</v>
      </c>
      <c r="E1134">
        <v>0.80913671573651003</v>
      </c>
      <c r="F1134">
        <v>0.69119522391236399</v>
      </c>
      <c r="G1134">
        <v>0.483000944089716</v>
      </c>
      <c r="H1134">
        <v>0.32884206930033399</v>
      </c>
      <c r="I1134">
        <v>0.31055873121384803</v>
      </c>
      <c r="J1134">
        <v>0.42179590561432001</v>
      </c>
      <c r="K1134">
        <v>0.41982958923478902</v>
      </c>
      <c r="L1134">
        <v>926.02649769149798</v>
      </c>
      <c r="M1134">
        <v>18.709277310593301</v>
      </c>
      <c r="N1134">
        <v>53.0810677910858</v>
      </c>
      <c r="O1134">
        <v>48.940515672756398</v>
      </c>
      <c r="P1134">
        <v>-6.1291952861022903E-2</v>
      </c>
      <c r="Q1134">
        <v>0.35870688023828701</v>
      </c>
      <c r="R1134">
        <v>0.915811752045254</v>
      </c>
      <c r="S1134" t="s">
        <v>7702</v>
      </c>
      <c r="T1134" t="s">
        <v>13134</v>
      </c>
      <c r="U1134" t="s">
        <v>13134</v>
      </c>
      <c r="V1134" t="s">
        <v>13134</v>
      </c>
      <c r="W1134" t="s">
        <v>14244</v>
      </c>
      <c r="X1134">
        <v>1</v>
      </c>
      <c r="Y1134" t="s">
        <v>20731</v>
      </c>
      <c r="Z1134" t="s">
        <v>27102</v>
      </c>
      <c r="AA1134">
        <v>0.63532289493575966</v>
      </c>
      <c r="AB1134" t="str">
        <f>HYPERLINK("Melting_Curves/meltCurve_H7C5F7_NDFIP2.pdf", "Melting_Curves/meltCurve_H7C5F7_NDFIP2.pdf")</f>
        <v>Melting_Curves/meltCurve_H7C5F7_NDFIP2.pdf</v>
      </c>
    </row>
    <row r="1135" spans="1:28" x14ac:dyDescent="0.25">
      <c r="A1135" t="s">
        <v>1139</v>
      </c>
      <c r="B1135">
        <v>0.99472303558308395</v>
      </c>
      <c r="C1135">
        <v>0.89625232609152905</v>
      </c>
      <c r="D1135">
        <v>0.94754563989031704</v>
      </c>
      <c r="E1135">
        <v>0.77642708480454403</v>
      </c>
      <c r="F1135">
        <v>0.30354616830578302</v>
      </c>
      <c r="G1135">
        <v>7.2281669041337898E-2</v>
      </c>
      <c r="H1135">
        <v>4.0864194653269202E-2</v>
      </c>
      <c r="I1135">
        <v>1.96662136161154E-2</v>
      </c>
      <c r="J1135">
        <v>2.0917604299603099E-2</v>
      </c>
      <c r="K1135">
        <v>2.2191681544173201E-2</v>
      </c>
      <c r="L1135">
        <v>1326.4432005753799</v>
      </c>
      <c r="M1135">
        <v>27.304891406644298</v>
      </c>
      <c r="N1135">
        <v>48.645453216659803</v>
      </c>
      <c r="O1135">
        <v>48.320634127092603</v>
      </c>
      <c r="P1135">
        <v>-0.138682895721778</v>
      </c>
      <c r="Q1135">
        <v>1.8317725170449099E-2</v>
      </c>
      <c r="R1135">
        <v>0.99347855215898395</v>
      </c>
      <c r="S1135" t="s">
        <v>7703</v>
      </c>
      <c r="T1135" t="s">
        <v>13134</v>
      </c>
      <c r="U1135" t="s">
        <v>13134</v>
      </c>
      <c r="V1135" t="s">
        <v>13134</v>
      </c>
      <c r="W1135" t="s">
        <v>14245</v>
      </c>
      <c r="X1135">
        <v>6</v>
      </c>
      <c r="Y1135" t="s">
        <v>20732</v>
      </c>
      <c r="Z1135" t="s">
        <v>27103</v>
      </c>
      <c r="AA1135">
        <v>0.4043015252445919</v>
      </c>
      <c r="AB1135" t="str">
        <f>HYPERLINK("Melting_Curves/meltCurve_H7C5H5_MFN1.pdf", "Melting_Curves/meltCurve_H7C5H5_MFN1.pdf")</f>
        <v>Melting_Curves/meltCurve_H7C5H5_MFN1.pdf</v>
      </c>
    </row>
    <row r="1136" spans="1:28" x14ac:dyDescent="0.25">
      <c r="A1136" t="s">
        <v>1140</v>
      </c>
      <c r="B1136">
        <v>0.99472303558308395</v>
      </c>
      <c r="C1136">
        <v>1.0145355616190499</v>
      </c>
      <c r="D1136">
        <v>1.02507067308404</v>
      </c>
      <c r="E1136">
        <v>0.93739439716023398</v>
      </c>
      <c r="F1136">
        <v>0.69994538644124904</v>
      </c>
      <c r="G1136">
        <v>0.46414170557897599</v>
      </c>
      <c r="H1136">
        <v>0.38226741831282401</v>
      </c>
      <c r="I1136">
        <v>0.44366693926614897</v>
      </c>
      <c r="J1136">
        <v>0.484751645515065</v>
      </c>
      <c r="K1136">
        <v>0.307768208562407</v>
      </c>
      <c r="L1136">
        <v>1562.4760815219499</v>
      </c>
      <c r="M1136">
        <v>31.1613319462075</v>
      </c>
      <c r="N1136">
        <v>52.893337371766997</v>
      </c>
      <c r="O1136">
        <v>49.936384954013498</v>
      </c>
      <c r="P1136">
        <v>-9.3421263098197496E-2</v>
      </c>
      <c r="Q1136">
        <v>0.40116913070606303</v>
      </c>
      <c r="R1136">
        <v>0.97464061528732004</v>
      </c>
      <c r="S1136" t="s">
        <v>7704</v>
      </c>
      <c r="T1136" t="s">
        <v>13134</v>
      </c>
      <c r="U1136" t="s">
        <v>13134</v>
      </c>
      <c r="V1136" t="s">
        <v>13134</v>
      </c>
      <c r="W1136" t="s">
        <v>14246</v>
      </c>
      <c r="X1136">
        <v>3</v>
      </c>
      <c r="Y1136" t="s">
        <v>20733</v>
      </c>
      <c r="Z1136" t="s">
        <v>27104</v>
      </c>
      <c r="AA1136">
        <v>0.66690345760304859</v>
      </c>
      <c r="AB1136" t="str">
        <f>HYPERLINK("Melting_Curves/meltCurve_H7C5R4_GK5.pdf", "Melting_Curves/meltCurve_H7C5R4_GK5.pdf")</f>
        <v>Melting_Curves/meltCurve_H7C5R4_GK5.pdf</v>
      </c>
    </row>
    <row r="1137" spans="1:28" x14ac:dyDescent="0.25">
      <c r="A1137" t="s">
        <v>1141</v>
      </c>
      <c r="B1137">
        <v>0.99472303558308395</v>
      </c>
      <c r="C1137">
        <v>0.77007168432886897</v>
      </c>
      <c r="D1137">
        <v>0.27287191880387102</v>
      </c>
      <c r="E1137">
        <v>0.16623375081854999</v>
      </c>
      <c r="F1137">
        <v>9.7160577784093594E-2</v>
      </c>
      <c r="G1137">
        <v>5.3888344976519599E-2</v>
      </c>
      <c r="H1137">
        <v>4.1897726111508202E-2</v>
      </c>
      <c r="I1137">
        <v>4.9517515407878299E-2</v>
      </c>
      <c r="J1137">
        <v>3.2462254952205803E-2</v>
      </c>
      <c r="K1137">
        <v>2.6550376120999499E-2</v>
      </c>
      <c r="L1137">
        <v>1188.7125270844799</v>
      </c>
      <c r="M1137">
        <v>28.705794099922102</v>
      </c>
      <c r="N1137">
        <v>41.587218478601002</v>
      </c>
      <c r="O1137">
        <v>41.210791199745699</v>
      </c>
      <c r="P1137">
        <v>-0.16412693343163101</v>
      </c>
      <c r="Q1137">
        <v>5.7507587365178497E-2</v>
      </c>
      <c r="R1137">
        <v>0.99108712250917896</v>
      </c>
      <c r="S1137" t="s">
        <v>7705</v>
      </c>
      <c r="T1137" t="s">
        <v>13134</v>
      </c>
      <c r="U1137" t="s">
        <v>13134</v>
      </c>
      <c r="V1137" t="s">
        <v>13134</v>
      </c>
      <c r="W1137" t="s">
        <v>14247</v>
      </c>
      <c r="X1137">
        <v>1</v>
      </c>
      <c r="Y1137" t="s">
        <v>20734</v>
      </c>
      <c r="Z1137" t="s">
        <v>27105</v>
      </c>
      <c r="AA1137">
        <v>0.20243837987725821</v>
      </c>
      <c r="AB1137" t="str">
        <f>HYPERLINK("Melting_Curves/meltCurve_H7C5R8_PARP14.pdf", "Melting_Curves/meltCurve_H7C5R8_PARP14.pdf")</f>
        <v>Melting_Curves/meltCurve_H7C5R8_PARP14.pdf</v>
      </c>
    </row>
    <row r="1138" spans="1:28" x14ac:dyDescent="0.25">
      <c r="A1138" t="s">
        <v>1142</v>
      </c>
      <c r="B1138">
        <v>0.99472303558308395</v>
      </c>
      <c r="C1138">
        <v>1.06708058920163</v>
      </c>
      <c r="D1138">
        <v>1.03339279581384</v>
      </c>
      <c r="E1138">
        <v>0.78674909087052203</v>
      </c>
      <c r="F1138">
        <v>0.66935412570068697</v>
      </c>
      <c r="G1138">
        <v>0.262317252820081</v>
      </c>
      <c r="H1138">
        <v>0.32045999600048503</v>
      </c>
      <c r="I1138">
        <v>0.13680834768913699</v>
      </c>
      <c r="J1138">
        <v>0</v>
      </c>
      <c r="K1138">
        <v>0.100926611102649</v>
      </c>
      <c r="L1138">
        <v>822.95076161754696</v>
      </c>
      <c r="M1138">
        <v>16.0112338946441</v>
      </c>
      <c r="N1138">
        <v>51.754682931843398</v>
      </c>
      <c r="O1138">
        <v>50.616611580455903</v>
      </c>
      <c r="P1138">
        <v>-7.4959457489856496E-2</v>
      </c>
      <c r="Q1138">
        <v>5.2191208451179999E-2</v>
      </c>
      <c r="R1138">
        <v>0.967597053701725</v>
      </c>
      <c r="S1138" t="s">
        <v>7706</v>
      </c>
      <c r="T1138" t="s">
        <v>13134</v>
      </c>
      <c r="U1138" t="s">
        <v>13134</v>
      </c>
      <c r="V1138" t="s">
        <v>13134</v>
      </c>
      <c r="W1138" t="s">
        <v>14248</v>
      </c>
      <c r="X1138">
        <v>1</v>
      </c>
      <c r="Y1138" t="s">
        <v>20735</v>
      </c>
      <c r="Z1138" t="s">
        <v>27106</v>
      </c>
      <c r="AA1138">
        <v>0.52430103551443652</v>
      </c>
      <c r="AB1138" t="str">
        <f>HYPERLINK("Melting_Curves/meltCurve_H7C5W6_HEATR5A.pdf", "Melting_Curves/meltCurve_H7C5W6_HEATR5A.pdf")</f>
        <v>Melting_Curves/meltCurve_H7C5W6_HEATR5A.pdf</v>
      </c>
    </row>
    <row r="1139" spans="1:28" x14ac:dyDescent="0.25">
      <c r="A1139" t="s">
        <v>1143</v>
      </c>
      <c r="B1139">
        <v>0.99472303558308395</v>
      </c>
      <c r="C1139">
        <v>0.85742936630647903</v>
      </c>
      <c r="D1139">
        <v>0.75931115266895099</v>
      </c>
      <c r="E1139">
        <v>0.63289040221118298</v>
      </c>
      <c r="F1139">
        <v>0.49037979706114498</v>
      </c>
      <c r="G1139">
        <v>0.16863226387973199</v>
      </c>
      <c r="H1139">
        <v>0.13358198796687601</v>
      </c>
      <c r="I1139">
        <v>8.7473072151988795E-2</v>
      </c>
      <c r="J1139">
        <v>0.14253577096596701</v>
      </c>
      <c r="K1139">
        <v>0.13034288696858501</v>
      </c>
      <c r="L1139">
        <v>548.75765269646001</v>
      </c>
      <c r="M1139">
        <v>11.468269777503901</v>
      </c>
      <c r="N1139">
        <v>48.308107066825301</v>
      </c>
      <c r="O1139">
        <v>46.4645129975492</v>
      </c>
      <c r="P1139">
        <v>-5.85425213126472E-2</v>
      </c>
      <c r="Q1139">
        <v>5.1515668006404301E-2</v>
      </c>
      <c r="R1139">
        <v>0.97338501909215802</v>
      </c>
      <c r="S1139" t="s">
        <v>7707</v>
      </c>
      <c r="T1139" t="s">
        <v>13134</v>
      </c>
      <c r="U1139" t="s">
        <v>13134</v>
      </c>
      <c r="V1139" t="s">
        <v>13134</v>
      </c>
      <c r="W1139" t="s">
        <v>14249</v>
      </c>
      <c r="X1139">
        <v>4</v>
      </c>
      <c r="Y1139" t="s">
        <v>20736</v>
      </c>
      <c r="Z1139" t="s">
        <v>27107</v>
      </c>
      <c r="AA1139">
        <v>0.4265139163471835</v>
      </c>
      <c r="AB1139" t="str">
        <f>HYPERLINK("Melting_Curves/meltCurve_H9KV44_EFR3A.pdf", "Melting_Curves/meltCurve_H9KV44_EFR3A.pdf")</f>
        <v>Melting_Curves/meltCurve_H9KV44_EFR3A.pdf</v>
      </c>
    </row>
    <row r="1140" spans="1:28" x14ac:dyDescent="0.25">
      <c r="A1140" t="s">
        <v>1144</v>
      </c>
      <c r="B1140">
        <v>0.99472303558308395</v>
      </c>
      <c r="C1140">
        <v>1.09853144270074</v>
      </c>
      <c r="D1140">
        <v>0.94578068713901597</v>
      </c>
      <c r="E1140">
        <v>0.76252068335520895</v>
      </c>
      <c r="F1140">
        <v>0.56421561729765901</v>
      </c>
      <c r="G1140">
        <v>0.29808467509797898</v>
      </c>
      <c r="H1140">
        <v>0.17446350866723301</v>
      </c>
      <c r="I1140">
        <v>0.17051176524582501</v>
      </c>
      <c r="J1140">
        <v>0.200988623928649</v>
      </c>
      <c r="K1140">
        <v>0.16132862680080101</v>
      </c>
      <c r="L1140">
        <v>936.46237885451501</v>
      </c>
      <c r="M1140">
        <v>18.910666190313499</v>
      </c>
      <c r="N1140">
        <v>50.504856800520599</v>
      </c>
      <c r="O1140">
        <v>48.9765384585764</v>
      </c>
      <c r="P1140">
        <v>-8.1651311863844403E-2</v>
      </c>
      <c r="Q1140">
        <v>0.154162807058704</v>
      </c>
      <c r="R1140">
        <v>0.98657856066222904</v>
      </c>
      <c r="S1140" t="s">
        <v>7708</v>
      </c>
      <c r="T1140" t="s">
        <v>13134</v>
      </c>
      <c r="U1140" t="s">
        <v>13134</v>
      </c>
      <c r="V1140" t="s">
        <v>13134</v>
      </c>
      <c r="W1140" t="s">
        <v>14250</v>
      </c>
      <c r="X1140">
        <v>5</v>
      </c>
      <c r="Y1140" t="s">
        <v>20737</v>
      </c>
      <c r="Z1140" t="s">
        <v>27108</v>
      </c>
      <c r="AA1140">
        <v>0.5194723734766703</v>
      </c>
      <c r="AB1140" t="str">
        <f>HYPERLINK("Melting_Curves/meltCurve_H9KVB8_MICU1.pdf", "Melting_Curves/meltCurve_H9KVB8_MICU1.pdf")</f>
        <v>Melting_Curves/meltCurve_H9KVB8_MICU1.pdf</v>
      </c>
    </row>
    <row r="1141" spans="1:28" x14ac:dyDescent="0.25">
      <c r="A1141" t="s">
        <v>1145</v>
      </c>
      <c r="B1141">
        <v>0.99472303558308395</v>
      </c>
      <c r="C1141">
        <v>0.826844367475562</v>
      </c>
      <c r="D1141">
        <v>0.77967122494790697</v>
      </c>
      <c r="E1141">
        <v>0.421489009035312</v>
      </c>
      <c r="F1141">
        <v>0.20316623462397901</v>
      </c>
      <c r="G1141">
        <v>0.11110717696893301</v>
      </c>
      <c r="H1141">
        <v>7.30050020812755E-2</v>
      </c>
      <c r="I1141">
        <v>6.4516985869638693E-2</v>
      </c>
      <c r="J1141">
        <v>2.89213328690021E-2</v>
      </c>
      <c r="K1141">
        <v>4.7577056675475397E-2</v>
      </c>
      <c r="L1141">
        <v>712.42583295116697</v>
      </c>
      <c r="M1141">
        <v>15.6405116134707</v>
      </c>
      <c r="N1141">
        <v>45.748134491612497</v>
      </c>
      <c r="O1141">
        <v>44.824894115928302</v>
      </c>
      <c r="P1141">
        <v>-8.4382234804427095E-2</v>
      </c>
      <c r="Q1141">
        <v>3.2742338008638301E-2</v>
      </c>
      <c r="R1141">
        <v>0.99197246265595096</v>
      </c>
      <c r="S1141" t="s">
        <v>7709</v>
      </c>
      <c r="T1141" t="s">
        <v>13134</v>
      </c>
      <c r="U1141" t="s">
        <v>13134</v>
      </c>
      <c r="V1141" t="s">
        <v>13134</v>
      </c>
      <c r="W1141" t="s">
        <v>14251</v>
      </c>
      <c r="X1141">
        <v>3</v>
      </c>
      <c r="Y1141" t="s">
        <v>20372</v>
      </c>
      <c r="Z1141" t="s">
        <v>27109</v>
      </c>
      <c r="AA1141">
        <v>0.32923305209744819</v>
      </c>
      <c r="AB1141" t="str">
        <f>HYPERLINK("Melting_Curves/meltCurve_H9ZYI9_GABPB1.pdf", "Melting_Curves/meltCurve_H9ZYI9_GABPB1.pdf")</f>
        <v>Melting_Curves/meltCurve_H9ZYI9_GABPB1.pdf</v>
      </c>
    </row>
    <row r="1142" spans="1:28" x14ac:dyDescent="0.25">
      <c r="A1142" t="s">
        <v>1146</v>
      </c>
      <c r="B1142">
        <v>0.99472303558308395</v>
      </c>
      <c r="C1142">
        <v>0.95139036911196295</v>
      </c>
      <c r="D1142">
        <v>0.88719096092613503</v>
      </c>
      <c r="E1142">
        <v>0.72432563999352495</v>
      </c>
      <c r="F1142">
        <v>0.43629577050905399</v>
      </c>
      <c r="G1142">
        <v>0.19126745504590201</v>
      </c>
      <c r="H1142">
        <v>7.7170530170839705E-2</v>
      </c>
      <c r="I1142">
        <v>4.90412508667189E-2</v>
      </c>
      <c r="J1142">
        <v>4.78868345756936E-2</v>
      </c>
      <c r="K1142">
        <v>4.3729638139899503E-2</v>
      </c>
      <c r="L1142">
        <v>806.51221267057304</v>
      </c>
      <c r="M1142">
        <v>16.4244897945701</v>
      </c>
      <c r="N1142">
        <v>49.2002984443385</v>
      </c>
      <c r="O1142">
        <v>48.393638360671602</v>
      </c>
      <c r="P1142">
        <v>-8.3515348933904401E-2</v>
      </c>
      <c r="Q1142">
        <v>1.5780570082196001E-2</v>
      </c>
      <c r="R1142">
        <v>0.99808372644481802</v>
      </c>
      <c r="S1142" t="s">
        <v>7710</v>
      </c>
      <c r="T1142" t="s">
        <v>13134</v>
      </c>
      <c r="U1142" t="s">
        <v>13134</v>
      </c>
      <c r="V1142" t="s">
        <v>13134</v>
      </c>
      <c r="W1142" t="s">
        <v>13424</v>
      </c>
      <c r="X1142">
        <v>7</v>
      </c>
      <c r="Z1142" t="s">
        <v>27110</v>
      </c>
      <c r="AA1142">
        <v>0.43114586489590739</v>
      </c>
      <c r="AB1142" t="str">
        <f>HYPERLINK("Melting_Curves/meltCurve_I3L097_.pdf", "Melting_Curves/meltCurve_I3L097_.pdf")</f>
        <v>Melting_Curves/meltCurve_I3L097_.pdf</v>
      </c>
    </row>
    <row r="1143" spans="1:28" x14ac:dyDescent="0.25">
      <c r="A1143" t="s">
        <v>1147</v>
      </c>
      <c r="B1143">
        <v>0.99472303558308395</v>
      </c>
      <c r="C1143">
        <v>0.88306734807911103</v>
      </c>
      <c r="D1143">
        <v>0.78609814308195902</v>
      </c>
      <c r="E1143">
        <v>0.61127336186448999</v>
      </c>
      <c r="F1143">
        <v>0.40692264340730699</v>
      </c>
      <c r="G1143">
        <v>0.327197754686265</v>
      </c>
      <c r="H1143">
        <v>0.25296809591527297</v>
      </c>
      <c r="I1143">
        <v>0.23921976822635099</v>
      </c>
      <c r="J1143">
        <v>0.32137682110604998</v>
      </c>
      <c r="K1143">
        <v>0.21813893024907</v>
      </c>
      <c r="L1143">
        <v>624.58435318773002</v>
      </c>
      <c r="M1143">
        <v>13.566272894303699</v>
      </c>
      <c r="N1143">
        <v>48.266104207547798</v>
      </c>
      <c r="O1143">
        <v>45.073680091166203</v>
      </c>
      <c r="P1143">
        <v>-5.7752182175052201E-2</v>
      </c>
      <c r="Q1143">
        <v>0.23259291376962701</v>
      </c>
      <c r="R1143">
        <v>0.98759289295368202</v>
      </c>
      <c r="S1143" t="s">
        <v>7711</v>
      </c>
      <c r="T1143" t="s">
        <v>13134</v>
      </c>
      <c r="U1143" t="s">
        <v>13134</v>
      </c>
      <c r="V1143" t="s">
        <v>13134</v>
      </c>
      <c r="W1143" t="s">
        <v>14252</v>
      </c>
      <c r="X1143">
        <v>2</v>
      </c>
      <c r="Y1143" t="s">
        <v>20738</v>
      </c>
      <c r="Z1143" t="s">
        <v>27111</v>
      </c>
      <c r="AA1143">
        <v>0.4851225307778359</v>
      </c>
      <c r="AB1143" t="str">
        <f>HYPERLINK("Melting_Curves/meltCurve_I3L0B8_SLC25A52.pdf", "Melting_Curves/meltCurve_I3L0B8_SLC25A52.pdf")</f>
        <v>Melting_Curves/meltCurve_I3L0B8_SLC25A52.pdf</v>
      </c>
    </row>
    <row r="1144" spans="1:28" x14ac:dyDescent="0.25">
      <c r="A1144" t="s">
        <v>1148</v>
      </c>
      <c r="B1144">
        <v>0.99472303558308395</v>
      </c>
      <c r="C1144">
        <v>0.921447125756366</v>
      </c>
      <c r="D1144">
        <v>0.85412210795371901</v>
      </c>
      <c r="E1144">
        <v>0.62928910534535898</v>
      </c>
      <c r="F1144">
        <v>0.22620578133455299</v>
      </c>
      <c r="G1144">
        <v>0.10928366061955</v>
      </c>
      <c r="H1144">
        <v>6.9038232353664603E-2</v>
      </c>
      <c r="I1144">
        <v>4.7459238252782102E-2</v>
      </c>
      <c r="J1144">
        <v>6.6857465514392603E-2</v>
      </c>
      <c r="K1144">
        <v>5.0798385380235199E-2</v>
      </c>
      <c r="L1144">
        <v>962.52352033693501</v>
      </c>
      <c r="M1144">
        <v>20.3942861886602</v>
      </c>
      <c r="N1144">
        <v>47.4080058601037</v>
      </c>
      <c r="O1144">
        <v>46.749002253864901</v>
      </c>
      <c r="P1144">
        <v>-0.104307032099828</v>
      </c>
      <c r="Q1144">
        <v>4.3633542068681697E-2</v>
      </c>
      <c r="R1144">
        <v>0.99462589260372902</v>
      </c>
      <c r="S1144" t="s">
        <v>7712</v>
      </c>
      <c r="T1144" t="s">
        <v>13134</v>
      </c>
      <c r="U1144" t="s">
        <v>13134</v>
      </c>
      <c r="V1144" t="s">
        <v>13134</v>
      </c>
      <c r="W1144" t="s">
        <v>14253</v>
      </c>
      <c r="X1144">
        <v>12</v>
      </c>
      <c r="Y1144" t="s">
        <v>20739</v>
      </c>
      <c r="Z1144" t="s">
        <v>27112</v>
      </c>
      <c r="AA1144">
        <v>0.38072326370317638</v>
      </c>
      <c r="AB1144" t="str">
        <f>HYPERLINK("Melting_Curves/meltCurve_I3L0C1_SMG1.pdf", "Melting_Curves/meltCurve_I3L0C1_SMG1.pdf")</f>
        <v>Melting_Curves/meltCurve_I3L0C1_SMG1.pdf</v>
      </c>
    </row>
    <row r="1145" spans="1:28" x14ac:dyDescent="0.25">
      <c r="A1145" t="s">
        <v>1149</v>
      </c>
      <c r="B1145">
        <v>0.99472303558308395</v>
      </c>
      <c r="C1145">
        <v>0.92103398443847295</v>
      </c>
      <c r="D1145">
        <v>0.66700418606543799</v>
      </c>
      <c r="E1145">
        <v>0.59414553616191201</v>
      </c>
      <c r="F1145">
        <v>0.47366734065154398</v>
      </c>
      <c r="G1145">
        <v>0.161392430910311</v>
      </c>
      <c r="H1145">
        <v>0.110381321869074</v>
      </c>
      <c r="I1145">
        <v>5.9861063189607301E-2</v>
      </c>
      <c r="J1145">
        <v>8.1467854256696406E-2</v>
      </c>
      <c r="K1145">
        <v>9.0606488321592196E-2</v>
      </c>
      <c r="L1145">
        <v>510.69442263162898</v>
      </c>
      <c r="M1145">
        <v>10.6965376220052</v>
      </c>
      <c r="N1145">
        <v>47.772051868344398</v>
      </c>
      <c r="O1145">
        <v>46.165928444644699</v>
      </c>
      <c r="P1145">
        <v>-5.7764186137773198E-2</v>
      </c>
      <c r="Q1145">
        <v>3.14072255789568E-3</v>
      </c>
      <c r="R1145">
        <v>0.97293262545905401</v>
      </c>
      <c r="S1145" t="s">
        <v>7713</v>
      </c>
      <c r="T1145" t="s">
        <v>13134</v>
      </c>
      <c r="U1145" t="s">
        <v>13134</v>
      </c>
      <c r="V1145" t="s">
        <v>13134</v>
      </c>
      <c r="W1145" t="s">
        <v>14254</v>
      </c>
      <c r="X1145">
        <v>2</v>
      </c>
      <c r="Y1145" t="s">
        <v>20740</v>
      </c>
      <c r="Z1145" t="s">
        <v>27113</v>
      </c>
      <c r="AA1145">
        <v>0.39742675129199712</v>
      </c>
      <c r="AB1145" t="str">
        <f>HYPERLINK("Melting_Curves/meltCurve_I3L0E3_MRPS17.pdf", "Melting_Curves/meltCurve_I3L0E3_MRPS17.pdf")</f>
        <v>Melting_Curves/meltCurve_I3L0E3_MRPS17.pdf</v>
      </c>
    </row>
    <row r="1146" spans="1:28" x14ac:dyDescent="0.25">
      <c r="A1146" t="s">
        <v>1150</v>
      </c>
      <c r="B1146">
        <v>0.99472303558308395</v>
      </c>
      <c r="C1146">
        <v>0.94381377981216996</v>
      </c>
      <c r="D1146">
        <v>0.65543523430844097</v>
      </c>
      <c r="E1146">
        <v>0.320447134353045</v>
      </c>
      <c r="F1146">
        <v>0.177206393565919</v>
      </c>
      <c r="G1146">
        <v>9.3849143330035897E-2</v>
      </c>
      <c r="H1146">
        <v>6.5574293410791906E-2</v>
      </c>
      <c r="I1146">
        <v>6.3430937026561704E-2</v>
      </c>
      <c r="J1146">
        <v>8.0330262451227902E-2</v>
      </c>
      <c r="K1146">
        <v>5.5969960998938202E-2</v>
      </c>
      <c r="L1146">
        <v>894.22458226844606</v>
      </c>
      <c r="M1146">
        <v>20.164622954295002</v>
      </c>
      <c r="N1146">
        <v>44.667512741831501</v>
      </c>
      <c r="O1146">
        <v>43.916978250247702</v>
      </c>
      <c r="P1146">
        <v>-0.107042765607207</v>
      </c>
      <c r="Q1146">
        <v>6.7506160030071705E-2</v>
      </c>
      <c r="R1146">
        <v>0.99770101595207406</v>
      </c>
      <c r="S1146" t="s">
        <v>7714</v>
      </c>
      <c r="T1146" t="s">
        <v>13134</v>
      </c>
      <c r="U1146" t="s">
        <v>13134</v>
      </c>
      <c r="V1146" t="s">
        <v>13134</v>
      </c>
      <c r="W1146" t="s">
        <v>14255</v>
      </c>
      <c r="X1146">
        <v>8</v>
      </c>
      <c r="Y1146" t="s">
        <v>20741</v>
      </c>
      <c r="Z1146" t="s">
        <v>27114</v>
      </c>
      <c r="AA1146">
        <v>0.30800733876588138</v>
      </c>
      <c r="AB1146" t="str">
        <f>HYPERLINK("Melting_Curves/meltCurve_I3L0I1_SOGA1.pdf", "Melting_Curves/meltCurve_I3L0I1_SOGA1.pdf")</f>
        <v>Melting_Curves/meltCurve_I3L0I1_SOGA1.pdf</v>
      </c>
    </row>
    <row r="1147" spans="1:28" x14ac:dyDescent="0.25">
      <c r="A1147" t="s">
        <v>1151</v>
      </c>
      <c r="B1147">
        <v>0.99472303558308395</v>
      </c>
      <c r="C1147">
        <v>1.0971640772951099</v>
      </c>
      <c r="D1147">
        <v>1.0114281190657699</v>
      </c>
      <c r="E1147">
        <v>0.88784186763793804</v>
      </c>
      <c r="F1147">
        <v>0.57614500970369997</v>
      </c>
      <c r="G1147">
        <v>0.34933153830387298</v>
      </c>
      <c r="H1147">
        <v>0.214928467463537</v>
      </c>
      <c r="I1147">
        <v>0.149584691566885</v>
      </c>
      <c r="J1147">
        <v>0.16178873256677301</v>
      </c>
      <c r="K1147">
        <v>0.122546029527203</v>
      </c>
      <c r="L1147">
        <v>1068.6578083351701</v>
      </c>
      <c r="M1147">
        <v>21.132049442154202</v>
      </c>
      <c r="N1147">
        <v>51.358231855348599</v>
      </c>
      <c r="O1147">
        <v>50.124150222792302</v>
      </c>
      <c r="P1147">
        <v>-9.0811380161591404E-2</v>
      </c>
      <c r="Q1147">
        <v>0.13842259530991899</v>
      </c>
      <c r="R1147">
        <v>0.99099812936561604</v>
      </c>
      <c r="S1147" t="s">
        <v>7715</v>
      </c>
      <c r="T1147" t="s">
        <v>13134</v>
      </c>
      <c r="U1147" t="s">
        <v>13134</v>
      </c>
      <c r="V1147" t="s">
        <v>13134</v>
      </c>
      <c r="W1147" t="s">
        <v>14256</v>
      </c>
      <c r="X1147">
        <v>6</v>
      </c>
      <c r="Y1147" t="s">
        <v>20742</v>
      </c>
      <c r="Z1147" t="s">
        <v>27115</v>
      </c>
      <c r="AA1147">
        <v>0.538446113338645</v>
      </c>
      <c r="AB1147" t="str">
        <f>HYPERLINK("Melting_Curves/meltCurve_I3L0K1_GOSR2.pdf", "Melting_Curves/meltCurve_I3L0K1_GOSR2.pdf")</f>
        <v>Melting_Curves/meltCurve_I3L0K1_GOSR2.pdf</v>
      </c>
    </row>
    <row r="1148" spans="1:28" x14ac:dyDescent="0.25">
      <c r="A1148" t="s">
        <v>1152</v>
      </c>
      <c r="B1148">
        <v>0.99472303558308395</v>
      </c>
      <c r="C1148">
        <v>0.92047167272880503</v>
      </c>
      <c r="D1148">
        <v>0.79495270258686901</v>
      </c>
      <c r="E1148">
        <v>0.74586441490862199</v>
      </c>
      <c r="F1148">
        <v>0.63773711511844</v>
      </c>
      <c r="G1148">
        <v>0.42346676406269401</v>
      </c>
      <c r="H1148">
        <v>0.33328683493894101</v>
      </c>
      <c r="I1148">
        <v>0.20218365708607</v>
      </c>
      <c r="J1148">
        <v>0.56156292875423997</v>
      </c>
      <c r="K1148">
        <v>0.25548614540019898</v>
      </c>
      <c r="L1148">
        <v>534.83485655836705</v>
      </c>
      <c r="M1148">
        <v>11.073186849517199</v>
      </c>
      <c r="N1148">
        <v>52.243317286561897</v>
      </c>
      <c r="O1148">
        <v>46.804977981649799</v>
      </c>
      <c r="P1148">
        <v>-4.2407138655851703E-2</v>
      </c>
      <c r="Q1148">
        <v>0.28323704135978001</v>
      </c>
      <c r="R1148">
        <v>0.86519300887798201</v>
      </c>
      <c r="S1148" t="s">
        <v>7716</v>
      </c>
      <c r="T1148" t="s">
        <v>13134</v>
      </c>
      <c r="U1148" t="s">
        <v>13134</v>
      </c>
      <c r="V1148" t="s">
        <v>13134</v>
      </c>
      <c r="W1148" t="s">
        <v>14257</v>
      </c>
      <c r="X1148">
        <v>4</v>
      </c>
      <c r="Y1148" t="s">
        <v>20743</v>
      </c>
      <c r="Z1148" t="s">
        <v>27116</v>
      </c>
      <c r="AA1148">
        <v>0.57791493877835309</v>
      </c>
      <c r="AB1148" t="str">
        <f>HYPERLINK("Melting_Curves/meltCurve_I3L0L6_RNF167.pdf", "Melting_Curves/meltCurve_I3L0L6_RNF167.pdf")</f>
        <v>Melting_Curves/meltCurve_I3L0L6_RNF167.pdf</v>
      </c>
    </row>
    <row r="1149" spans="1:28" x14ac:dyDescent="0.25">
      <c r="A1149" t="s">
        <v>1153</v>
      </c>
      <c r="B1149">
        <v>0.99472303558308395</v>
      </c>
      <c r="C1149">
        <v>0.97231306391228001</v>
      </c>
      <c r="D1149">
        <v>0.77566371482234697</v>
      </c>
      <c r="E1149">
        <v>0.71736441466426704</v>
      </c>
      <c r="F1149">
        <v>0.32839115789833401</v>
      </c>
      <c r="G1149">
        <v>0.10625734850346</v>
      </c>
      <c r="H1149">
        <v>6.9718958935684694E-2</v>
      </c>
      <c r="I1149">
        <v>5.4457263948351001E-2</v>
      </c>
      <c r="J1149">
        <v>6.0297006998074401E-2</v>
      </c>
      <c r="K1149">
        <v>5.4786841934481398E-2</v>
      </c>
      <c r="L1149">
        <v>821.94811052036596</v>
      </c>
      <c r="M1149">
        <v>17.130661838651498</v>
      </c>
      <c r="N1149">
        <v>48.134688323655098</v>
      </c>
      <c r="O1149">
        <v>47.341583188953102</v>
      </c>
      <c r="P1149">
        <v>-8.8062442649596395E-2</v>
      </c>
      <c r="Q1149">
        <v>2.6595662798666299E-2</v>
      </c>
      <c r="R1149">
        <v>0.98500681148179303</v>
      </c>
      <c r="S1149" t="s">
        <v>7717</v>
      </c>
      <c r="T1149" t="s">
        <v>13134</v>
      </c>
      <c r="U1149" t="s">
        <v>13134</v>
      </c>
      <c r="V1149" t="s">
        <v>13134</v>
      </c>
      <c r="W1149" t="s">
        <v>14258</v>
      </c>
      <c r="X1149">
        <v>34</v>
      </c>
      <c r="Y1149" t="s">
        <v>20744</v>
      </c>
      <c r="Z1149" t="s">
        <v>27117</v>
      </c>
      <c r="AA1149">
        <v>0.39991742413628761</v>
      </c>
      <c r="AB1149" t="str">
        <f>HYPERLINK("Melting_Curves/meltCurve_I3L0N3_NSF.pdf", "Melting_Curves/meltCurve_I3L0N3_NSF.pdf")</f>
        <v>Melting_Curves/meltCurve_I3L0N3_NSF.pdf</v>
      </c>
    </row>
    <row r="1150" spans="1:28" x14ac:dyDescent="0.25">
      <c r="A1150" t="s">
        <v>1154</v>
      </c>
      <c r="B1150">
        <v>0.99472303558308395</v>
      </c>
      <c r="C1150">
        <v>1.0664543304743701</v>
      </c>
      <c r="D1150">
        <v>0.99467811052121302</v>
      </c>
      <c r="E1150">
        <v>1.02506159407004</v>
      </c>
      <c r="F1150">
        <v>0.92432977872364797</v>
      </c>
      <c r="G1150">
        <v>0.77025885296594498</v>
      </c>
      <c r="H1150">
        <v>0.66886169548288299</v>
      </c>
      <c r="I1150">
        <v>0.75110109531797398</v>
      </c>
      <c r="J1150">
        <v>1.0326836139683899</v>
      </c>
      <c r="K1150">
        <v>0.762263762267954</v>
      </c>
      <c r="L1150">
        <v>12576.1105262936</v>
      </c>
      <c r="M1150">
        <v>250</v>
      </c>
      <c r="O1150">
        <v>50.301222927729498</v>
      </c>
      <c r="P1150">
        <v>-0.252188449303335</v>
      </c>
      <c r="Q1150">
        <v>0.79703380159842796</v>
      </c>
      <c r="R1150">
        <v>0.57513261779004199</v>
      </c>
      <c r="S1150" t="s">
        <v>7718</v>
      </c>
      <c r="T1150" t="s">
        <v>13134</v>
      </c>
      <c r="U1150" t="s">
        <v>13134</v>
      </c>
      <c r="V1150" t="s">
        <v>13134</v>
      </c>
      <c r="W1150" t="s">
        <v>13649</v>
      </c>
      <c r="X1150">
        <v>3</v>
      </c>
      <c r="Y1150" t="s">
        <v>20745</v>
      </c>
      <c r="Z1150" t="s">
        <v>27118</v>
      </c>
      <c r="AA1150">
        <v>0.8870634546988081</v>
      </c>
      <c r="AB1150" t="str">
        <f>HYPERLINK("Melting_Curves/meltCurve_I3L170_MAPT.pdf", "Melting_Curves/meltCurve_I3L170_MAPT.pdf")</f>
        <v>Melting_Curves/meltCurve_I3L170_MAPT.pdf</v>
      </c>
    </row>
    <row r="1151" spans="1:28" x14ac:dyDescent="0.25">
      <c r="A1151" t="s">
        <v>1155</v>
      </c>
      <c r="B1151">
        <v>0.99472303558308395</v>
      </c>
      <c r="C1151">
        <v>0.91281254113251797</v>
      </c>
      <c r="D1151">
        <v>1.03808644046285</v>
      </c>
      <c r="E1151">
        <v>0.88611631319425899</v>
      </c>
      <c r="F1151">
        <v>0.76258315948330302</v>
      </c>
      <c r="G1151">
        <v>0.41091988559113701</v>
      </c>
      <c r="H1151">
        <v>0.22343808207511501</v>
      </c>
      <c r="I1151">
        <v>0.12252500742250701</v>
      </c>
      <c r="J1151">
        <v>0.13693285828073601</v>
      </c>
      <c r="K1151">
        <v>9.5513297212522399E-2</v>
      </c>
      <c r="L1151">
        <v>1079.86873306338</v>
      </c>
      <c r="M1151">
        <v>20.627479945963199</v>
      </c>
      <c r="N1151">
        <v>52.878382973402701</v>
      </c>
      <c r="O1151">
        <v>51.866405793501499</v>
      </c>
      <c r="P1151">
        <v>-9.0184341336448801E-2</v>
      </c>
      <c r="Q1151">
        <v>9.2976349414345696E-2</v>
      </c>
      <c r="R1151">
        <v>0.99019398075448894</v>
      </c>
      <c r="S1151" t="s">
        <v>7719</v>
      </c>
      <c r="T1151" t="s">
        <v>13134</v>
      </c>
      <c r="U1151" t="s">
        <v>13134</v>
      </c>
      <c r="V1151" t="s">
        <v>13134</v>
      </c>
      <c r="W1151" t="s">
        <v>14259</v>
      </c>
      <c r="X1151">
        <v>5</v>
      </c>
      <c r="Y1151" t="s">
        <v>20746</v>
      </c>
      <c r="Z1151" t="s">
        <v>27119</v>
      </c>
      <c r="AA1151">
        <v>0.56818639010491212</v>
      </c>
      <c r="AB1151" t="str">
        <f>HYPERLINK("Melting_Curves/meltCurve_I3L1H5_DPH1.pdf", "Melting_Curves/meltCurve_I3L1H5_DPH1.pdf")</f>
        <v>Melting_Curves/meltCurve_I3L1H5_DPH1.pdf</v>
      </c>
    </row>
    <row r="1152" spans="1:28" x14ac:dyDescent="0.25">
      <c r="A1152" t="s">
        <v>1156</v>
      </c>
      <c r="B1152">
        <v>0.99472303558308395</v>
      </c>
      <c r="C1152">
        <v>1.0745829438247601</v>
      </c>
      <c r="D1152">
        <v>0.92417693076882801</v>
      </c>
      <c r="E1152">
        <v>0.47834866114235602</v>
      </c>
      <c r="F1152">
        <v>0.23155309281393699</v>
      </c>
      <c r="G1152">
        <v>0.13218210371608999</v>
      </c>
      <c r="H1152">
        <v>6.2694320447567703E-2</v>
      </c>
      <c r="I1152">
        <v>6.3853956800063894E-2</v>
      </c>
      <c r="J1152">
        <v>7.4980515759520194E-2</v>
      </c>
      <c r="K1152">
        <v>4.3843108801092399E-2</v>
      </c>
      <c r="L1152">
        <v>1205.5974125362</v>
      </c>
      <c r="M1152">
        <v>25.959683177108602</v>
      </c>
      <c r="N1152">
        <v>46.723977141565001</v>
      </c>
      <c r="O1152">
        <v>46.168187339188002</v>
      </c>
      <c r="P1152">
        <v>-0.13035233957584899</v>
      </c>
      <c r="Q1152">
        <v>7.2706470080810603E-2</v>
      </c>
      <c r="R1152">
        <v>0.99148616147699897</v>
      </c>
      <c r="S1152" t="s">
        <v>7720</v>
      </c>
      <c r="T1152" t="s">
        <v>13134</v>
      </c>
      <c r="U1152" t="s">
        <v>13134</v>
      </c>
      <c r="V1152" t="s">
        <v>13134</v>
      </c>
      <c r="W1152" t="s">
        <v>14260</v>
      </c>
      <c r="X1152">
        <v>6</v>
      </c>
      <c r="Y1152" t="s">
        <v>20747</v>
      </c>
      <c r="Z1152" t="s">
        <v>27120</v>
      </c>
      <c r="AA1152">
        <v>0.37168756393917851</v>
      </c>
      <c r="AB1152" t="str">
        <f>HYPERLINK("Melting_Curves/meltCurve_I3L1L3_MYBBP1A.pdf", "Melting_Curves/meltCurve_I3L1L3_MYBBP1A.pdf")</f>
        <v>Melting_Curves/meltCurve_I3L1L3_MYBBP1A.pdf</v>
      </c>
    </row>
    <row r="1153" spans="1:28" x14ac:dyDescent="0.25">
      <c r="A1153" t="s">
        <v>1157</v>
      </c>
      <c r="B1153">
        <v>0.99472303558308395</v>
      </c>
      <c r="C1153">
        <v>0.76462686794236301</v>
      </c>
      <c r="D1153">
        <v>0.93427103900127695</v>
      </c>
      <c r="E1153">
        <v>0.63431543564023396</v>
      </c>
      <c r="F1153">
        <v>0.449356618249169</v>
      </c>
      <c r="G1153">
        <v>0.46533541867252198</v>
      </c>
      <c r="H1153">
        <v>0.26601225233071801</v>
      </c>
      <c r="I1153">
        <v>0.27773047745187901</v>
      </c>
      <c r="J1153">
        <v>0.29772985295612597</v>
      </c>
      <c r="K1153">
        <v>0.43064734640326002</v>
      </c>
      <c r="L1153">
        <v>630.42366993601695</v>
      </c>
      <c r="M1153">
        <v>13.598671778319</v>
      </c>
      <c r="N1153">
        <v>49.813444287315001</v>
      </c>
      <c r="O1153">
        <v>45.391147869877599</v>
      </c>
      <c r="P1153">
        <v>-5.2041242461767299E-2</v>
      </c>
      <c r="Q1153">
        <v>0.30526696156100003</v>
      </c>
      <c r="R1153">
        <v>0.89092123485712305</v>
      </c>
      <c r="S1153" t="s">
        <v>7721</v>
      </c>
      <c r="T1153" t="s">
        <v>13134</v>
      </c>
      <c r="U1153" t="s">
        <v>13134</v>
      </c>
      <c r="V1153" t="s">
        <v>13134</v>
      </c>
      <c r="W1153" t="s">
        <v>14261</v>
      </c>
      <c r="X1153">
        <v>10</v>
      </c>
      <c r="Y1153" t="s">
        <v>20748</v>
      </c>
      <c r="Z1153" t="s">
        <v>27121</v>
      </c>
      <c r="AA1153">
        <v>0.54098410628798255</v>
      </c>
      <c r="AB1153" t="str">
        <f>HYPERLINK("Melting_Curves/meltCurve_I3L1P8_SLC25A11.pdf", "Melting_Curves/meltCurve_I3L1P8_SLC25A11.pdf")</f>
        <v>Melting_Curves/meltCurve_I3L1P8_SLC25A11.pdf</v>
      </c>
    </row>
    <row r="1154" spans="1:28" x14ac:dyDescent="0.25">
      <c r="A1154" t="s">
        <v>1158</v>
      </c>
      <c r="B1154">
        <v>0.99472303558308395</v>
      </c>
      <c r="C1154">
        <v>0.97001429579511</v>
      </c>
      <c r="D1154">
        <v>0.68669897957646198</v>
      </c>
      <c r="E1154">
        <v>0.57882908857732696</v>
      </c>
      <c r="F1154">
        <v>0.44706493336179898</v>
      </c>
      <c r="G1154">
        <v>0.22082662653009</v>
      </c>
      <c r="H1154">
        <v>0.187848225278266</v>
      </c>
      <c r="I1154">
        <v>0.17755618178847901</v>
      </c>
      <c r="J1154">
        <v>0.24687726970611801</v>
      </c>
      <c r="K1154">
        <v>0.174138585294867</v>
      </c>
      <c r="L1154">
        <v>612.41847312454001</v>
      </c>
      <c r="M1154">
        <v>13.262464493627199</v>
      </c>
      <c r="N1154">
        <v>47.621560044100598</v>
      </c>
      <c r="O1154">
        <v>45.164851883777203</v>
      </c>
      <c r="P1154">
        <v>-6.1262435845314898E-2</v>
      </c>
      <c r="Q1154">
        <v>0.16562817272300201</v>
      </c>
      <c r="R1154">
        <v>0.97336045235790403</v>
      </c>
      <c r="S1154" t="s">
        <v>7722</v>
      </c>
      <c r="T1154" t="s">
        <v>13134</v>
      </c>
      <c r="U1154" t="s">
        <v>13134</v>
      </c>
      <c r="V1154" t="s">
        <v>13134</v>
      </c>
      <c r="W1154" t="s">
        <v>14262</v>
      </c>
      <c r="X1154">
        <v>2</v>
      </c>
      <c r="Y1154" t="s">
        <v>20749</v>
      </c>
      <c r="Z1154" t="s">
        <v>27122</v>
      </c>
      <c r="AA1154">
        <v>0.44484986467667531</v>
      </c>
      <c r="AB1154" t="str">
        <f>HYPERLINK("Melting_Curves/meltCurve_I3L1Q2_BCL7C.pdf", "Melting_Curves/meltCurve_I3L1Q2_BCL7C.pdf")</f>
        <v>Melting_Curves/meltCurve_I3L1Q2_BCL7C.pdf</v>
      </c>
    </row>
    <row r="1155" spans="1:28" x14ac:dyDescent="0.25">
      <c r="A1155" t="s">
        <v>1159</v>
      </c>
      <c r="B1155">
        <v>0.99472303558308395</v>
      </c>
      <c r="C1155">
        <v>0.961254835214853</v>
      </c>
      <c r="D1155">
        <v>0.85423524749248003</v>
      </c>
      <c r="E1155">
        <v>0.74920301017117397</v>
      </c>
      <c r="F1155">
        <v>0.60144015287356101</v>
      </c>
      <c r="G1155">
        <v>0.38198324400936301</v>
      </c>
      <c r="H1155">
        <v>0.22311679665172601</v>
      </c>
      <c r="I1155">
        <v>0.20825899664390499</v>
      </c>
      <c r="J1155">
        <v>0.25627460536447599</v>
      </c>
      <c r="K1155">
        <v>0.18445950236262701</v>
      </c>
      <c r="L1155">
        <v>629.76940668126099</v>
      </c>
      <c r="M1155">
        <v>12.6605560195806</v>
      </c>
      <c r="N1155">
        <v>51.221004460013802</v>
      </c>
      <c r="O1155">
        <v>48.550604019764499</v>
      </c>
      <c r="P1155">
        <v>-5.5225970885702698E-2</v>
      </c>
      <c r="Q1155">
        <v>0.153045546609934</v>
      </c>
      <c r="R1155">
        <v>0.98787523594799698</v>
      </c>
      <c r="S1155" t="s">
        <v>7723</v>
      </c>
      <c r="T1155" t="s">
        <v>13134</v>
      </c>
      <c r="U1155" t="s">
        <v>13134</v>
      </c>
      <c r="V1155" t="s">
        <v>13134</v>
      </c>
      <c r="W1155" t="s">
        <v>14263</v>
      </c>
      <c r="X1155">
        <v>3</v>
      </c>
      <c r="Y1155" t="s">
        <v>20750</v>
      </c>
      <c r="Z1155" t="s">
        <v>27123</v>
      </c>
      <c r="AA1155">
        <v>0.53534020563414442</v>
      </c>
      <c r="AB1155" t="str">
        <f>HYPERLINK("Melting_Curves/meltCurve_I3L1Q3_ELP5.pdf", "Melting_Curves/meltCurve_I3L1Q3_ELP5.pdf")</f>
        <v>Melting_Curves/meltCurve_I3L1Q3_ELP5.pdf</v>
      </c>
    </row>
    <row r="1156" spans="1:28" x14ac:dyDescent="0.25">
      <c r="A1156" t="s">
        <v>1160</v>
      </c>
      <c r="B1156">
        <v>0.99472303558308395</v>
      </c>
      <c r="C1156">
        <v>1.10177097651181</v>
      </c>
      <c r="D1156">
        <v>0.80070092390276204</v>
      </c>
      <c r="E1156">
        <v>0.697902606840202</v>
      </c>
      <c r="F1156">
        <v>0.15990270416001801</v>
      </c>
      <c r="G1156">
        <v>7.2195792394373196E-2</v>
      </c>
      <c r="H1156">
        <v>4.4156941656678002E-2</v>
      </c>
      <c r="I1156">
        <v>3.4234067224852997E-2</v>
      </c>
      <c r="J1156">
        <v>4.48691550264117E-2</v>
      </c>
      <c r="K1156">
        <v>2.60131530526421E-2</v>
      </c>
      <c r="L1156">
        <v>1270.39176227703</v>
      </c>
      <c r="M1156">
        <v>26.758422485673599</v>
      </c>
      <c r="N1156">
        <v>47.579955769038797</v>
      </c>
      <c r="O1156">
        <v>47.213551842238402</v>
      </c>
      <c r="P1156">
        <v>-0.13767921475886599</v>
      </c>
      <c r="Q1156">
        <v>2.83047920369849E-2</v>
      </c>
      <c r="R1156">
        <v>0.978040480311684</v>
      </c>
      <c r="S1156" t="s">
        <v>7724</v>
      </c>
      <c r="T1156" t="s">
        <v>13134</v>
      </c>
      <c r="U1156" t="s">
        <v>13134</v>
      </c>
      <c r="V1156" t="s">
        <v>13134</v>
      </c>
      <c r="W1156" t="s">
        <v>14264</v>
      </c>
      <c r="X1156">
        <v>26</v>
      </c>
      <c r="Y1156" t="s">
        <v>20751</v>
      </c>
      <c r="Z1156" t="s">
        <v>27124</v>
      </c>
      <c r="AA1156">
        <v>0.37480380753556491</v>
      </c>
      <c r="AB1156" t="str">
        <f>HYPERLINK("Melting_Curves/meltCurve_I3L2B0_CLUH.pdf", "Melting_Curves/meltCurve_I3L2B0_CLUH.pdf")</f>
        <v>Melting_Curves/meltCurve_I3L2B0_CLUH.pdf</v>
      </c>
    </row>
    <row r="1157" spans="1:28" x14ac:dyDescent="0.25">
      <c r="A1157" t="s">
        <v>1161</v>
      </c>
      <c r="B1157">
        <v>0.99472303558308395</v>
      </c>
      <c r="C1157">
        <v>1.01685262148116</v>
      </c>
      <c r="D1157">
        <v>0.67249961678947401</v>
      </c>
      <c r="E1157">
        <v>0.35358123212412101</v>
      </c>
      <c r="F1157">
        <v>0.29094417392022398</v>
      </c>
      <c r="G1157">
        <v>0.16000663500944901</v>
      </c>
      <c r="H1157">
        <v>0.103122227552837</v>
      </c>
      <c r="I1157">
        <v>4.11302712700818E-2</v>
      </c>
      <c r="J1157">
        <v>3.9633057291092899E-2</v>
      </c>
      <c r="K1157">
        <v>8.8277407239315403E-2</v>
      </c>
      <c r="L1157">
        <v>786.97685632491505</v>
      </c>
      <c r="M1157">
        <v>17.4840564305558</v>
      </c>
      <c r="N1157">
        <v>45.439062398714</v>
      </c>
      <c r="O1157">
        <v>44.4346713250604</v>
      </c>
      <c r="P1157">
        <v>-9.0906907578187604E-2</v>
      </c>
      <c r="Q1157">
        <v>7.5913515539361306E-2</v>
      </c>
      <c r="R1157">
        <v>0.97870088864706295</v>
      </c>
      <c r="S1157" t="s">
        <v>7725</v>
      </c>
      <c r="T1157" t="s">
        <v>13134</v>
      </c>
      <c r="U1157" t="s">
        <v>13134</v>
      </c>
      <c r="V1157" t="s">
        <v>13134</v>
      </c>
      <c r="W1157" t="s">
        <v>14265</v>
      </c>
      <c r="X1157">
        <v>3</v>
      </c>
      <c r="Y1157" t="s">
        <v>20752</v>
      </c>
      <c r="Z1157" t="s">
        <v>27125</v>
      </c>
      <c r="AA1157">
        <v>0.33876296753179252</v>
      </c>
      <c r="AB1157" t="str">
        <f>HYPERLINK("Melting_Curves/meltCurve_I3L2J0_CIC.pdf", "Melting_Curves/meltCurve_I3L2J0_CIC.pdf")</f>
        <v>Melting_Curves/meltCurve_I3L2J0_CIC.pdf</v>
      </c>
    </row>
    <row r="1158" spans="1:28" x14ac:dyDescent="0.25">
      <c r="A1158" t="s">
        <v>1162</v>
      </c>
      <c r="B1158">
        <v>0.99472303558308395</v>
      </c>
      <c r="C1158">
        <v>0.96611077985817295</v>
      </c>
      <c r="D1158">
        <v>1.2462025927863301</v>
      </c>
      <c r="E1158">
        <v>0.95790054143535597</v>
      </c>
      <c r="F1158">
        <v>0.58276597385628204</v>
      </c>
      <c r="G1158">
        <v>0.78244265646914402</v>
      </c>
      <c r="H1158">
        <v>0.85099170907260202</v>
      </c>
      <c r="I1158">
        <v>1.13304779972381</v>
      </c>
      <c r="J1158">
        <v>1.6902522453523801</v>
      </c>
      <c r="K1158">
        <v>1.34775213963458</v>
      </c>
      <c r="L1158">
        <v>15000</v>
      </c>
      <c r="M1158">
        <v>244.887303879244</v>
      </c>
      <c r="O1158">
        <v>61.248604801400703</v>
      </c>
      <c r="P1158">
        <v>0.49978159470108102</v>
      </c>
      <c r="Q1158">
        <v>1.5</v>
      </c>
      <c r="R1158">
        <v>0.58895137475374104</v>
      </c>
      <c r="S1158" t="s">
        <v>7726</v>
      </c>
      <c r="T1158" t="s">
        <v>13134</v>
      </c>
      <c r="U1158" t="s">
        <v>13134</v>
      </c>
      <c r="V1158" t="s">
        <v>13134</v>
      </c>
      <c r="W1158" t="s">
        <v>14266</v>
      </c>
      <c r="X1158">
        <v>3</v>
      </c>
      <c r="Y1158" t="s">
        <v>20753</v>
      </c>
      <c r="Z1158" t="s">
        <v>27126</v>
      </c>
      <c r="AA1158">
        <v>1.0957328988106181</v>
      </c>
      <c r="AB1158" t="str">
        <f>HYPERLINK("Melting_Curves/meltCurve_I3L2L5_FAM195B.pdf", "Melting_Curves/meltCurve_I3L2L5_FAM195B.pdf")</f>
        <v>Melting_Curves/meltCurve_I3L2L5_FAM195B.pdf</v>
      </c>
    </row>
    <row r="1159" spans="1:28" x14ac:dyDescent="0.25">
      <c r="A1159" t="s">
        <v>1163</v>
      </c>
      <c r="B1159">
        <v>0.99472303558308395</v>
      </c>
      <c r="C1159">
        <v>1.03529192339771</v>
      </c>
      <c r="D1159">
        <v>1.1417343438408201</v>
      </c>
      <c r="E1159">
        <v>0.89510208242549905</v>
      </c>
      <c r="F1159">
        <v>0.440066097992587</v>
      </c>
      <c r="G1159">
        <v>0.24436163376317499</v>
      </c>
      <c r="H1159">
        <v>7.5420854441530696E-2</v>
      </c>
      <c r="I1159">
        <v>4.15229863768996E-2</v>
      </c>
      <c r="J1159">
        <v>4.4827481667828802E-2</v>
      </c>
      <c r="K1159">
        <v>4.03765860783485E-2</v>
      </c>
      <c r="L1159">
        <v>1344.9067549141701</v>
      </c>
      <c r="M1159">
        <v>26.9531884317975</v>
      </c>
      <c r="N1159">
        <v>50.102861944216002</v>
      </c>
      <c r="O1159">
        <v>49.625629118898601</v>
      </c>
      <c r="P1159">
        <v>-0.12869516940291101</v>
      </c>
      <c r="Q1159">
        <v>5.22064089221193E-2</v>
      </c>
      <c r="R1159">
        <v>0.98287901629045304</v>
      </c>
      <c r="S1159" t="s">
        <v>7727</v>
      </c>
      <c r="T1159" t="s">
        <v>13134</v>
      </c>
      <c r="U1159" t="s">
        <v>13134</v>
      </c>
      <c r="V1159" t="s">
        <v>13134</v>
      </c>
      <c r="W1159" t="s">
        <v>14267</v>
      </c>
      <c r="X1159">
        <v>5</v>
      </c>
      <c r="Y1159" t="s">
        <v>20754</v>
      </c>
      <c r="Z1159" t="s">
        <v>27127</v>
      </c>
      <c r="AA1159">
        <v>0.46685281135106188</v>
      </c>
      <c r="AB1159" t="str">
        <f>HYPERLINK("Melting_Curves/meltCurve_I3L2M9_PCTP.pdf", "Melting_Curves/meltCurve_I3L2M9_PCTP.pdf")</f>
        <v>Melting_Curves/meltCurve_I3L2M9_PCTP.pdf</v>
      </c>
    </row>
    <row r="1160" spans="1:28" x14ac:dyDescent="0.25">
      <c r="A1160" t="s">
        <v>1164</v>
      </c>
      <c r="B1160">
        <v>0.99472303558308395</v>
      </c>
      <c r="C1160">
        <v>1.2135074300723201</v>
      </c>
      <c r="D1160">
        <v>0.86826698152159998</v>
      </c>
      <c r="E1160">
        <v>1.0419850715958201</v>
      </c>
      <c r="F1160">
        <v>0.80414328165850602</v>
      </c>
      <c r="G1160">
        <v>0.35325782452495402</v>
      </c>
      <c r="H1160">
        <v>0.19198569543747801</v>
      </c>
      <c r="I1160">
        <v>9.78546740935511E-2</v>
      </c>
      <c r="J1160">
        <v>0.103947630320451</v>
      </c>
      <c r="K1160">
        <v>4.85741524624594E-2</v>
      </c>
      <c r="L1160">
        <v>1580.51658741392</v>
      </c>
      <c r="M1160">
        <v>30.177424912649698</v>
      </c>
      <c r="N1160">
        <v>52.710592399270702</v>
      </c>
      <c r="O1160">
        <v>52.145747156820399</v>
      </c>
      <c r="P1160">
        <v>-0.13200464141842699</v>
      </c>
      <c r="Q1160">
        <v>8.7604214010652895E-2</v>
      </c>
      <c r="R1160">
        <v>0.962070112842908</v>
      </c>
      <c r="S1160" t="s">
        <v>7728</v>
      </c>
      <c r="T1160" t="s">
        <v>13134</v>
      </c>
      <c r="U1160" t="s">
        <v>13134</v>
      </c>
      <c r="V1160" t="s">
        <v>13134</v>
      </c>
      <c r="W1160" t="s">
        <v>14268</v>
      </c>
      <c r="X1160">
        <v>3</v>
      </c>
      <c r="Y1160" t="s">
        <v>20755</v>
      </c>
      <c r="Z1160" t="s">
        <v>27128</v>
      </c>
      <c r="AA1160">
        <v>0.56089517898349661</v>
      </c>
      <c r="AB1160" t="str">
        <f>HYPERLINK("Melting_Curves/meltCurve_I3L367_TOM1L1.pdf", "Melting_Curves/meltCurve_I3L367_TOM1L1.pdf")</f>
        <v>Melting_Curves/meltCurve_I3L367_TOM1L1.pdf</v>
      </c>
    </row>
    <row r="1161" spans="1:28" x14ac:dyDescent="0.25">
      <c r="A1161" t="s">
        <v>1165</v>
      </c>
      <c r="B1161">
        <v>0.99472303558308395</v>
      </c>
      <c r="C1161">
        <v>0.92640482680335301</v>
      </c>
      <c r="D1161">
        <v>0.95729082619155703</v>
      </c>
      <c r="E1161">
        <v>0.88301821312427398</v>
      </c>
      <c r="F1161">
        <v>0.89944453323609397</v>
      </c>
      <c r="G1161">
        <v>0.789814430765164</v>
      </c>
      <c r="H1161">
        <v>0.17568074187228</v>
      </c>
      <c r="I1161">
        <v>9.3686604861726405E-2</v>
      </c>
      <c r="J1161">
        <v>8.5946432554516505E-2</v>
      </c>
      <c r="K1161">
        <v>8.2982795554644107E-2</v>
      </c>
      <c r="L1161">
        <v>2776.7182255900998</v>
      </c>
      <c r="M1161">
        <v>50.452433319414901</v>
      </c>
      <c r="N1161">
        <v>55.234541558229601</v>
      </c>
      <c r="O1161">
        <v>54.950099943115902</v>
      </c>
      <c r="P1161">
        <v>-0.210533695552241</v>
      </c>
      <c r="Q1161">
        <v>8.2792474772129795E-2</v>
      </c>
      <c r="R1161">
        <v>0.98088990620010597</v>
      </c>
      <c r="S1161" t="s">
        <v>7729</v>
      </c>
      <c r="T1161" t="s">
        <v>13134</v>
      </c>
      <c r="U1161" t="s">
        <v>13134</v>
      </c>
      <c r="V1161" t="s">
        <v>13134</v>
      </c>
      <c r="W1161" t="s">
        <v>14269</v>
      </c>
      <c r="X1161">
        <v>9</v>
      </c>
      <c r="Y1161" t="s">
        <v>20756</v>
      </c>
      <c r="Z1161" t="s">
        <v>27129</v>
      </c>
      <c r="AA1161">
        <v>0.63640895809893949</v>
      </c>
      <c r="AB1161" t="str">
        <f>HYPERLINK("Melting_Curves/meltCurve_I3L3A8_PELP1.pdf", "Melting_Curves/meltCurve_I3L3A8_PELP1.pdf")</f>
        <v>Melting_Curves/meltCurve_I3L3A8_PELP1.pdf</v>
      </c>
    </row>
    <row r="1162" spans="1:28" x14ac:dyDescent="0.25">
      <c r="A1162" t="s">
        <v>1166</v>
      </c>
      <c r="B1162">
        <v>0.99472303558308395</v>
      </c>
      <c r="C1162">
        <v>0.95028899072055895</v>
      </c>
      <c r="D1162">
        <v>0.81815340149410498</v>
      </c>
      <c r="E1162">
        <v>0.85389336690532702</v>
      </c>
      <c r="F1162">
        <v>0.71776407165122202</v>
      </c>
      <c r="G1162">
        <v>0.40144003220096097</v>
      </c>
      <c r="H1162">
        <v>0.259572900251334</v>
      </c>
      <c r="I1162">
        <v>0.17684855704011701</v>
      </c>
      <c r="J1162">
        <v>0.13310623226005799</v>
      </c>
      <c r="K1162">
        <v>0.12175605886286101</v>
      </c>
      <c r="L1162">
        <v>630.78875503642996</v>
      </c>
      <c r="M1162">
        <v>12.034576861484499</v>
      </c>
      <c r="N1162">
        <v>52.719638987805503</v>
      </c>
      <c r="O1162">
        <v>51.030376677536999</v>
      </c>
      <c r="P1162">
        <v>-5.6989257345970601E-2</v>
      </c>
      <c r="Q1162">
        <v>3.3621047728440802E-2</v>
      </c>
      <c r="R1162">
        <v>0.97915521649846005</v>
      </c>
      <c r="S1162" t="s">
        <v>7730</v>
      </c>
      <c r="T1162" t="s">
        <v>13134</v>
      </c>
      <c r="U1162" t="s">
        <v>13134</v>
      </c>
      <c r="V1162" t="s">
        <v>13134</v>
      </c>
      <c r="W1162" t="s">
        <v>14053</v>
      </c>
      <c r="X1162">
        <v>1</v>
      </c>
      <c r="Z1162" t="s">
        <v>27130</v>
      </c>
      <c r="AA1162">
        <v>0.55206167755001156</v>
      </c>
      <c r="AB1162" t="str">
        <f>HYPERLINK("Melting_Curves/meltCurve_I3L3B4_.pdf", "Melting_Curves/meltCurve_I3L3B4_.pdf")</f>
        <v>Melting_Curves/meltCurve_I3L3B4_.pdf</v>
      </c>
    </row>
    <row r="1163" spans="1:28" x14ac:dyDescent="0.25">
      <c r="A1163" t="s">
        <v>1167</v>
      </c>
      <c r="B1163">
        <v>0.99472303558308395</v>
      </c>
      <c r="C1163">
        <v>0.93844311170655104</v>
      </c>
      <c r="D1163">
        <v>0.85072328003478304</v>
      </c>
      <c r="E1163">
        <v>0.67072887924358704</v>
      </c>
      <c r="F1163">
        <v>0.62579497440984999</v>
      </c>
      <c r="G1163">
        <v>0.181110503989757</v>
      </c>
      <c r="H1163">
        <v>9.1317648911348706E-2</v>
      </c>
      <c r="I1163">
        <v>5.30232611884104E-2</v>
      </c>
      <c r="J1163">
        <v>2.8974238505663798E-2</v>
      </c>
      <c r="K1163">
        <v>8.1178379044365201E-2</v>
      </c>
      <c r="L1163">
        <v>691.08537267492295</v>
      </c>
      <c r="M1163">
        <v>13.8717089909529</v>
      </c>
      <c r="N1163">
        <v>49.819784782070002</v>
      </c>
      <c r="O1163">
        <v>48.818654911175699</v>
      </c>
      <c r="P1163">
        <v>-7.1046672385990398E-2</v>
      </c>
      <c r="Q1163">
        <v>0</v>
      </c>
      <c r="R1163">
        <v>0.97117506589779401</v>
      </c>
      <c r="S1163" t="s">
        <v>7731</v>
      </c>
      <c r="T1163" t="s">
        <v>13134</v>
      </c>
      <c r="U1163" t="s">
        <v>13134</v>
      </c>
      <c r="V1163" t="s">
        <v>13134</v>
      </c>
      <c r="W1163" t="s">
        <v>14270</v>
      </c>
      <c r="X1163">
        <v>6</v>
      </c>
      <c r="Y1163" t="s">
        <v>20757</v>
      </c>
      <c r="Z1163" t="s">
        <v>27131</v>
      </c>
      <c r="AA1163">
        <v>0.45082296215517148</v>
      </c>
      <c r="AB1163" t="str">
        <f>HYPERLINK("Melting_Curves/meltCurve_I3L3P7_RPS15A.pdf", "Melting_Curves/meltCurve_I3L3P7_RPS15A.pdf")</f>
        <v>Melting_Curves/meltCurve_I3L3P7_RPS15A.pdf</v>
      </c>
    </row>
    <row r="1164" spans="1:28" x14ac:dyDescent="0.25">
      <c r="A1164" t="s">
        <v>1168</v>
      </c>
      <c r="B1164">
        <v>0.99472303558308395</v>
      </c>
      <c r="C1164">
        <v>0.93421196547448104</v>
      </c>
      <c r="D1164">
        <v>1.00996526978907</v>
      </c>
      <c r="E1164">
        <v>0.92431346852983798</v>
      </c>
      <c r="F1164">
        <v>0.79870600158837901</v>
      </c>
      <c r="G1164">
        <v>0.417458305018374</v>
      </c>
      <c r="H1164">
        <v>0.121310947121211</v>
      </c>
      <c r="I1164">
        <v>4.1502833957294101E-2</v>
      </c>
      <c r="J1164">
        <v>0.111397009271769</v>
      </c>
      <c r="K1164">
        <v>3.3979840939661103E-2</v>
      </c>
      <c r="L1164">
        <v>1365.1787056035</v>
      </c>
      <c r="M1164">
        <v>25.8910142335804</v>
      </c>
      <c r="N1164">
        <v>52.916082075097499</v>
      </c>
      <c r="O1164">
        <v>52.416358199049803</v>
      </c>
      <c r="P1164">
        <v>-0.118057689413421</v>
      </c>
      <c r="Q1164">
        <v>4.3980022309195899E-2</v>
      </c>
      <c r="R1164">
        <v>0.99289212372421098</v>
      </c>
      <c r="S1164" t="s">
        <v>7732</v>
      </c>
      <c r="T1164" t="s">
        <v>13134</v>
      </c>
      <c r="U1164" t="s">
        <v>13134</v>
      </c>
      <c r="V1164" t="s">
        <v>13134</v>
      </c>
      <c r="W1164" t="s">
        <v>14271</v>
      </c>
      <c r="X1164">
        <v>2</v>
      </c>
      <c r="Y1164" t="s">
        <v>20758</v>
      </c>
      <c r="Z1164" t="s">
        <v>27132</v>
      </c>
      <c r="AA1164">
        <v>0.55314173296705738</v>
      </c>
      <c r="AB1164" t="str">
        <f>HYPERLINK("Melting_Curves/meltCurve_I3L413_CCNE1.pdf", "Melting_Curves/meltCurve_I3L413_CCNE1.pdf")</f>
        <v>Melting_Curves/meltCurve_I3L413_CCNE1.pdf</v>
      </c>
    </row>
    <row r="1165" spans="1:28" x14ac:dyDescent="0.25">
      <c r="A1165" t="s">
        <v>1169</v>
      </c>
      <c r="B1165">
        <v>0.99472303558308395</v>
      </c>
      <c r="C1165">
        <v>0.97823120453664603</v>
      </c>
      <c r="D1165">
        <v>1.0529127276960899</v>
      </c>
      <c r="E1165">
        <v>0.81005379421030899</v>
      </c>
      <c r="F1165">
        <v>0.43595463093054698</v>
      </c>
      <c r="G1165">
        <v>0.31700023999042698</v>
      </c>
      <c r="H1165">
        <v>6.2966151863545497E-2</v>
      </c>
      <c r="I1165">
        <v>2.40644955801428E-2</v>
      </c>
      <c r="J1165">
        <v>1.8384860706750598E-2</v>
      </c>
      <c r="K1165">
        <v>2.1754341023851501E-2</v>
      </c>
      <c r="L1165">
        <v>934.19211614102903</v>
      </c>
      <c r="M1165">
        <v>18.6120949966169</v>
      </c>
      <c r="N1165">
        <v>50.2221548188542</v>
      </c>
      <c r="O1165">
        <v>49.624080212932903</v>
      </c>
      <c r="P1165">
        <v>-9.3261255851254901E-2</v>
      </c>
      <c r="Q1165">
        <v>5.4200961403684496E-3</v>
      </c>
      <c r="R1165">
        <v>0.987128007219501</v>
      </c>
      <c r="S1165" t="s">
        <v>7733</v>
      </c>
      <c r="T1165" t="s">
        <v>13134</v>
      </c>
      <c r="U1165" t="s">
        <v>13134</v>
      </c>
      <c r="V1165" t="s">
        <v>13134</v>
      </c>
      <c r="W1165" t="s">
        <v>14272</v>
      </c>
      <c r="X1165">
        <v>3</v>
      </c>
      <c r="Y1165" t="s">
        <v>20759</v>
      </c>
      <c r="Z1165" t="s">
        <v>27133</v>
      </c>
      <c r="AA1165">
        <v>0.45758742688662762</v>
      </c>
      <c r="AB1165" t="str">
        <f>HYPERLINK("Melting_Curves/meltCurve_I3L448_ATPAF1.pdf", "Melting_Curves/meltCurve_I3L448_ATPAF1.pdf")</f>
        <v>Melting_Curves/meltCurve_I3L448_ATPAF1.pdf</v>
      </c>
    </row>
    <row r="1166" spans="1:28" x14ac:dyDescent="0.25">
      <c r="A1166" t="s">
        <v>1170</v>
      </c>
      <c r="B1166">
        <v>0.99472303558308395</v>
      </c>
      <c r="C1166">
        <v>1.20423533075412</v>
      </c>
      <c r="D1166">
        <v>0.88604455789901504</v>
      </c>
      <c r="E1166">
        <v>0.71969195150319598</v>
      </c>
      <c r="F1166">
        <v>0.20583885932417201</v>
      </c>
      <c r="G1166">
        <v>8.3059273612727302E-2</v>
      </c>
      <c r="H1166">
        <v>4.0705559180409398E-2</v>
      </c>
      <c r="I1166">
        <v>3.1754499252975799E-2</v>
      </c>
      <c r="J1166">
        <v>3.48448378601348E-2</v>
      </c>
      <c r="K1166">
        <v>1.55668863145645E-2</v>
      </c>
      <c r="L1166">
        <v>1415.96347733523</v>
      </c>
      <c r="M1166">
        <v>29.5878015432904</v>
      </c>
      <c r="N1166">
        <v>47.956281170698396</v>
      </c>
      <c r="O1166">
        <v>47.6393175664452</v>
      </c>
      <c r="P1166">
        <v>-0.15062811380986599</v>
      </c>
      <c r="Q1166">
        <v>2.9901472372730699E-2</v>
      </c>
      <c r="R1166">
        <v>0.97487621747915099</v>
      </c>
      <c r="S1166" t="s">
        <v>7734</v>
      </c>
      <c r="T1166" t="s">
        <v>13134</v>
      </c>
      <c r="U1166" t="s">
        <v>13134</v>
      </c>
      <c r="V1166" t="s">
        <v>13134</v>
      </c>
      <c r="W1166" t="s">
        <v>14273</v>
      </c>
      <c r="X1166">
        <v>1</v>
      </c>
      <c r="Y1166" t="s">
        <v>20760</v>
      </c>
      <c r="Z1166" t="s">
        <v>27134</v>
      </c>
      <c r="AA1166">
        <v>0.38684991034076549</v>
      </c>
      <c r="AB1166" t="str">
        <f>HYPERLINK("Melting_Curves/meltCurve_I3L480_SIRT7.pdf", "Melting_Curves/meltCurve_I3L480_SIRT7.pdf")</f>
        <v>Melting_Curves/meltCurve_I3L480_SIRT7.pdf</v>
      </c>
    </row>
    <row r="1167" spans="1:28" x14ac:dyDescent="0.25">
      <c r="A1167" t="s">
        <v>1171</v>
      </c>
      <c r="B1167">
        <v>0.99472303558308395</v>
      </c>
      <c r="C1167">
        <v>0.98560655622073601</v>
      </c>
      <c r="D1167">
        <v>0.962509896200897</v>
      </c>
      <c r="E1167">
        <v>0.92025476234659898</v>
      </c>
      <c r="F1167">
        <v>0.81409156061644095</v>
      </c>
      <c r="G1167">
        <v>0.67218658564608902</v>
      </c>
      <c r="H1167">
        <v>0.52859145287305398</v>
      </c>
      <c r="I1167">
        <v>0.303182201543372</v>
      </c>
      <c r="J1167">
        <v>0.201124748506113</v>
      </c>
      <c r="K1167">
        <v>0.157424396572797</v>
      </c>
      <c r="L1167">
        <v>657.92689163613102</v>
      </c>
      <c r="M1167">
        <v>11.519570839711999</v>
      </c>
      <c r="N1167">
        <v>57.1138371071224</v>
      </c>
      <c r="O1167">
        <v>55.474026554345002</v>
      </c>
      <c r="P1167">
        <v>-5.1928912697174402E-2</v>
      </c>
      <c r="Q1167">
        <v>0</v>
      </c>
      <c r="R1167">
        <v>0.996632301404899</v>
      </c>
      <c r="S1167" t="s">
        <v>7735</v>
      </c>
      <c r="T1167" t="s">
        <v>13134</v>
      </c>
      <c r="U1167" t="s">
        <v>13134</v>
      </c>
      <c r="V1167" t="s">
        <v>13134</v>
      </c>
      <c r="W1167" t="s">
        <v>14274</v>
      </c>
      <c r="X1167">
        <v>3</v>
      </c>
      <c r="Y1167" t="s">
        <v>20761</v>
      </c>
      <c r="Z1167" t="s">
        <v>27135</v>
      </c>
      <c r="AA1167">
        <v>0.67341366625004395</v>
      </c>
      <c r="AB1167" t="str">
        <f>HYPERLINK("Melting_Curves/meltCurve_I3L4N7_SERPINF1.pdf", "Melting_Curves/meltCurve_I3L4N7_SERPINF1.pdf")</f>
        <v>Melting_Curves/meltCurve_I3L4N7_SERPINF1.pdf</v>
      </c>
    </row>
    <row r="1168" spans="1:28" x14ac:dyDescent="0.25">
      <c r="A1168" t="s">
        <v>1172</v>
      </c>
      <c r="B1168">
        <v>0.99472303558308395</v>
      </c>
      <c r="C1168">
        <v>0.87830668398256995</v>
      </c>
      <c r="D1168">
        <v>0.83748012722876297</v>
      </c>
      <c r="E1168">
        <v>0.77270346121754296</v>
      </c>
      <c r="F1168">
        <v>0.87261496410739603</v>
      </c>
      <c r="G1168">
        <v>0.57075590978004398</v>
      </c>
      <c r="H1168">
        <v>0.358017705844833</v>
      </c>
      <c r="I1168">
        <v>0.14793507714981199</v>
      </c>
      <c r="J1168">
        <v>0.107351313012537</v>
      </c>
      <c r="K1168">
        <v>0.166983569664169</v>
      </c>
      <c r="L1168">
        <v>633.93995613649804</v>
      </c>
      <c r="M1168">
        <v>11.605297608549099</v>
      </c>
      <c r="N1168">
        <v>54.625030764520901</v>
      </c>
      <c r="O1168">
        <v>53.0787062992298</v>
      </c>
      <c r="P1168">
        <v>-5.46757950667459E-2</v>
      </c>
      <c r="Q1168">
        <v>0</v>
      </c>
      <c r="R1168">
        <v>0.93517661613810399</v>
      </c>
      <c r="S1168" t="s">
        <v>7736</v>
      </c>
      <c r="T1168" t="s">
        <v>13134</v>
      </c>
      <c r="U1168" t="s">
        <v>13134</v>
      </c>
      <c r="V1168" t="s">
        <v>13134</v>
      </c>
      <c r="W1168" t="s">
        <v>14275</v>
      </c>
      <c r="X1168">
        <v>6</v>
      </c>
      <c r="Y1168" t="s">
        <v>20762</v>
      </c>
      <c r="Z1168" t="s">
        <v>27136</v>
      </c>
      <c r="AA1168">
        <v>0.60305146108996488</v>
      </c>
      <c r="AB1168" t="str">
        <f>HYPERLINK("Melting_Curves/meltCurve_I3L4X2_ABCC1.pdf", "Melting_Curves/meltCurve_I3L4X2_ABCC1.pdf")</f>
        <v>Melting_Curves/meltCurve_I3L4X2_ABCC1.pdf</v>
      </c>
    </row>
    <row r="1169" spans="1:28" x14ac:dyDescent="0.25">
      <c r="A1169" t="s">
        <v>1173</v>
      </c>
      <c r="B1169">
        <v>0.99472303558308395</v>
      </c>
      <c r="C1169">
        <v>0.95989924045500197</v>
      </c>
      <c r="D1169">
        <v>0.63297993615222203</v>
      </c>
      <c r="E1169">
        <v>0.53298455117908505</v>
      </c>
      <c r="F1169">
        <v>0.35753631629077898</v>
      </c>
      <c r="G1169">
        <v>0.20372142924234701</v>
      </c>
      <c r="H1169">
        <v>8.1413845987037201E-2</v>
      </c>
      <c r="I1169">
        <v>7.1926005705774898E-2</v>
      </c>
      <c r="J1169">
        <v>9.3118351326119703E-2</v>
      </c>
      <c r="K1169">
        <v>5.5517888665008903E-2</v>
      </c>
      <c r="L1169">
        <v>550.57237645526402</v>
      </c>
      <c r="M1169">
        <v>11.8207272207303</v>
      </c>
      <c r="N1169">
        <v>46.822019011021098</v>
      </c>
      <c r="O1169">
        <v>45.303831426483299</v>
      </c>
      <c r="P1169">
        <v>-6.3289016372856693E-2</v>
      </c>
      <c r="Q1169">
        <v>3.0008095466513399E-2</v>
      </c>
      <c r="R1169">
        <v>0.98109969964826504</v>
      </c>
      <c r="S1169" t="s">
        <v>7737</v>
      </c>
      <c r="T1169" t="s">
        <v>13134</v>
      </c>
      <c r="U1169" t="s">
        <v>13134</v>
      </c>
      <c r="V1169" t="s">
        <v>13134</v>
      </c>
      <c r="W1169" t="s">
        <v>14276</v>
      </c>
      <c r="X1169">
        <v>1</v>
      </c>
      <c r="Y1169" t="s">
        <v>20763</v>
      </c>
      <c r="Z1169" t="s">
        <v>27137</v>
      </c>
      <c r="AA1169">
        <v>0.37299415189158969</v>
      </c>
      <c r="AB1169" t="str">
        <f>HYPERLINK("Melting_Curves/meltCurve_I3L4X7_GPS2.pdf", "Melting_Curves/meltCurve_I3L4X7_GPS2.pdf")</f>
        <v>Melting_Curves/meltCurve_I3L4X7_GPS2.pdf</v>
      </c>
    </row>
    <row r="1170" spans="1:28" x14ac:dyDescent="0.25">
      <c r="A1170" t="s">
        <v>1174</v>
      </c>
      <c r="B1170">
        <v>0.99472303558308395</v>
      </c>
      <c r="C1170">
        <v>1.2394043061651401</v>
      </c>
      <c r="D1170">
        <v>1.1207106181131601</v>
      </c>
      <c r="E1170">
        <v>0.84963049265388502</v>
      </c>
      <c r="F1170">
        <v>0.64945570894233795</v>
      </c>
      <c r="G1170">
        <v>0.46548180003819201</v>
      </c>
      <c r="H1170">
        <v>0.33530065956216498</v>
      </c>
      <c r="I1170">
        <v>0.36412294810436002</v>
      </c>
      <c r="J1170">
        <v>0.393506521701043</v>
      </c>
      <c r="K1170">
        <v>8.7227949707139596E-2</v>
      </c>
      <c r="L1170">
        <v>969.98061353144203</v>
      </c>
      <c r="M1170">
        <v>19.0916794464231</v>
      </c>
      <c r="N1170">
        <v>52.873277876042501</v>
      </c>
      <c r="O1170">
        <v>50.258880831698498</v>
      </c>
      <c r="P1170">
        <v>-6.9998880669604205E-2</v>
      </c>
      <c r="Q1170">
        <v>0.26294001274993301</v>
      </c>
      <c r="R1170">
        <v>0.89865514576430405</v>
      </c>
      <c r="S1170" t="s">
        <v>7738</v>
      </c>
      <c r="T1170" t="s">
        <v>13134</v>
      </c>
      <c r="U1170" t="s">
        <v>13134</v>
      </c>
      <c r="V1170" t="s">
        <v>13134</v>
      </c>
      <c r="W1170" t="s">
        <v>14277</v>
      </c>
      <c r="X1170">
        <v>2</v>
      </c>
      <c r="Y1170" t="s">
        <v>20764</v>
      </c>
      <c r="Z1170" t="s">
        <v>27138</v>
      </c>
      <c r="AA1170">
        <v>0.61258720024541968</v>
      </c>
      <c r="AB1170" t="str">
        <f>HYPERLINK("Melting_Curves/meltCurve_I3NI29_PLSCR3.pdf", "Melting_Curves/meltCurve_I3NI29_PLSCR3.pdf")</f>
        <v>Melting_Curves/meltCurve_I3NI29_PLSCR3.pdf</v>
      </c>
    </row>
    <row r="1171" spans="1:28" x14ac:dyDescent="0.25">
      <c r="A1171" t="s">
        <v>1175</v>
      </c>
      <c r="B1171">
        <v>0.99472303558308395</v>
      </c>
      <c r="C1171">
        <v>0.78045204325971596</v>
      </c>
      <c r="D1171">
        <v>0.542554092371206</v>
      </c>
      <c r="E1171">
        <v>0.39450917615842601</v>
      </c>
      <c r="F1171">
        <v>0.25610371402771798</v>
      </c>
      <c r="G1171">
        <v>0.13593249930835899</v>
      </c>
      <c r="H1171">
        <v>7.2596960740084301E-2</v>
      </c>
      <c r="I1171">
        <v>5.3850743715113399E-2</v>
      </c>
      <c r="J1171">
        <v>5.2285126299938603E-2</v>
      </c>
      <c r="K1171">
        <v>6.8380765325151097E-2</v>
      </c>
      <c r="L1171">
        <v>536.819116667804</v>
      </c>
      <c r="M1171">
        <v>12.1544183403505</v>
      </c>
      <c r="N1171">
        <v>44.453874795215</v>
      </c>
      <c r="O1171">
        <v>43.022022516434802</v>
      </c>
      <c r="P1171">
        <v>-6.7976735642101896E-2</v>
      </c>
      <c r="Q1171">
        <v>3.7773619023013398E-2</v>
      </c>
      <c r="R1171">
        <v>0.98809546842509699</v>
      </c>
      <c r="S1171" t="s">
        <v>7739</v>
      </c>
      <c r="T1171" t="s">
        <v>13134</v>
      </c>
      <c r="U1171" t="s">
        <v>13134</v>
      </c>
      <c r="V1171" t="s">
        <v>13134</v>
      </c>
      <c r="W1171" t="s">
        <v>14278</v>
      </c>
      <c r="X1171">
        <v>2</v>
      </c>
      <c r="Y1171" t="s">
        <v>20765</v>
      </c>
      <c r="Z1171" t="s">
        <v>27139</v>
      </c>
      <c r="AA1171">
        <v>0.30355478782217082</v>
      </c>
      <c r="AB1171" t="str">
        <f>HYPERLINK("Melting_Curves/meltCurve_I6L8A6_RBBP8.pdf", "Melting_Curves/meltCurve_I6L8A6_RBBP8.pdf")</f>
        <v>Melting_Curves/meltCurve_I6L8A6_RBBP8.pdf</v>
      </c>
    </row>
    <row r="1172" spans="1:28" x14ac:dyDescent="0.25">
      <c r="A1172" t="s">
        <v>1176</v>
      </c>
      <c r="B1172">
        <v>0.99472303558308395</v>
      </c>
      <c r="C1172">
        <v>0.71010925089659804</v>
      </c>
      <c r="D1172">
        <v>0.48335130297893197</v>
      </c>
      <c r="E1172">
        <v>0.31017813050466397</v>
      </c>
      <c r="F1172">
        <v>0.24790658604030399</v>
      </c>
      <c r="G1172">
        <v>0.103720022063038</v>
      </c>
      <c r="H1172">
        <v>6.6810751277567401E-2</v>
      </c>
      <c r="I1172">
        <v>4.5856236458593901E-2</v>
      </c>
      <c r="J1172">
        <v>7.4686407909141106E-2</v>
      </c>
      <c r="K1172">
        <v>4.2995414975629802E-2</v>
      </c>
      <c r="L1172">
        <v>563.12821515969802</v>
      </c>
      <c r="M1172">
        <v>13.097062733945799</v>
      </c>
      <c r="N1172">
        <v>43.338652880465602</v>
      </c>
      <c r="O1172">
        <v>42.031200747790898</v>
      </c>
      <c r="P1172">
        <v>-7.4087627186957897E-2</v>
      </c>
      <c r="Q1172">
        <v>4.9112992061392399E-2</v>
      </c>
      <c r="R1172">
        <v>0.98024334386112699</v>
      </c>
      <c r="S1172" t="s">
        <v>7740</v>
      </c>
      <c r="T1172" t="s">
        <v>13134</v>
      </c>
      <c r="U1172" t="s">
        <v>13134</v>
      </c>
      <c r="V1172" t="s">
        <v>13134</v>
      </c>
      <c r="W1172" t="s">
        <v>14279</v>
      </c>
      <c r="X1172">
        <v>7</v>
      </c>
      <c r="Y1172" t="s">
        <v>20766</v>
      </c>
      <c r="Z1172" t="s">
        <v>27140</v>
      </c>
      <c r="AA1172">
        <v>0.27247987988121941</v>
      </c>
      <c r="AB1172" t="str">
        <f>HYPERLINK("Melting_Curves/meltCurve_J3KMW7_UBR5.pdf", "Melting_Curves/meltCurve_J3KMW7_UBR5.pdf")</f>
        <v>Melting_Curves/meltCurve_J3KMW7_UBR5.pdf</v>
      </c>
    </row>
    <row r="1173" spans="1:28" x14ac:dyDescent="0.25">
      <c r="A1173" t="s">
        <v>1177</v>
      </c>
      <c r="B1173">
        <v>0.99472303558308395</v>
      </c>
      <c r="C1173">
        <v>0.99063197368545297</v>
      </c>
      <c r="D1173">
        <v>0.81115486983756302</v>
      </c>
      <c r="E1173">
        <v>0.75466149818082795</v>
      </c>
      <c r="F1173">
        <v>0.41851068798018398</v>
      </c>
      <c r="G1173">
        <v>0.127731305019291</v>
      </c>
      <c r="H1173">
        <v>6.9946014540342494E-2</v>
      </c>
      <c r="I1173">
        <v>5.8512818700407802E-2</v>
      </c>
      <c r="J1173">
        <v>3.0938827087666501E-2</v>
      </c>
      <c r="K1173">
        <v>3.6836949399611497E-2</v>
      </c>
      <c r="L1173">
        <v>839.26730448057299</v>
      </c>
      <c r="M1173">
        <v>17.1612756521208</v>
      </c>
      <c r="N1173">
        <v>48.963548491564097</v>
      </c>
      <c r="O1173">
        <v>48.255150274362101</v>
      </c>
      <c r="P1173">
        <v>-8.8006869390194697E-2</v>
      </c>
      <c r="Q1173">
        <v>1.02060166065678E-2</v>
      </c>
      <c r="R1173">
        <v>0.98874900075152194</v>
      </c>
      <c r="S1173" t="s">
        <v>7741</v>
      </c>
      <c r="T1173" t="s">
        <v>13134</v>
      </c>
      <c r="U1173" t="s">
        <v>13134</v>
      </c>
      <c r="V1173" t="s">
        <v>13134</v>
      </c>
      <c r="W1173" t="s">
        <v>14280</v>
      </c>
      <c r="X1173">
        <v>8</v>
      </c>
      <c r="Y1173" t="s">
        <v>20767</v>
      </c>
      <c r="Z1173" t="s">
        <v>27141</v>
      </c>
      <c r="AA1173">
        <v>0.42008175673303322</v>
      </c>
      <c r="AB1173" t="str">
        <f>HYPERLINK("Melting_Curves/meltCurve_J3KMW8_CACTIN.pdf", "Melting_Curves/meltCurve_J3KMW8_CACTIN.pdf")</f>
        <v>Melting_Curves/meltCurve_J3KMW8_CACTIN.pdf</v>
      </c>
    </row>
    <row r="1174" spans="1:28" x14ac:dyDescent="0.25">
      <c r="A1174" t="s">
        <v>1178</v>
      </c>
      <c r="B1174">
        <v>0.99472303558308395</v>
      </c>
      <c r="C1174">
        <v>0.88089663728155199</v>
      </c>
      <c r="D1174">
        <v>0.55732063073078197</v>
      </c>
      <c r="E1174">
        <v>0.232981933763242</v>
      </c>
      <c r="F1174">
        <v>8.8637387560922098E-2</v>
      </c>
      <c r="G1174">
        <v>5.2226911215363998E-2</v>
      </c>
      <c r="H1174">
        <v>3.77535560163215E-2</v>
      </c>
      <c r="I1174">
        <v>3.4993257364053801E-2</v>
      </c>
      <c r="J1174">
        <v>3.9218727792423601E-2</v>
      </c>
      <c r="K1174">
        <v>3.2363024580801501E-2</v>
      </c>
      <c r="L1174">
        <v>920.53509405233103</v>
      </c>
      <c r="M1174">
        <v>21.1880352093605</v>
      </c>
      <c r="N1174">
        <v>43.5970605867061</v>
      </c>
      <c r="O1174">
        <v>43.064552548161103</v>
      </c>
      <c r="P1174">
        <v>-0.118651045558919</v>
      </c>
      <c r="Q1174">
        <v>3.53952961503863E-2</v>
      </c>
      <c r="R1174">
        <v>0.99940934186108199</v>
      </c>
      <c r="S1174" t="s">
        <v>7742</v>
      </c>
      <c r="T1174" t="s">
        <v>13134</v>
      </c>
      <c r="U1174" t="s">
        <v>13134</v>
      </c>
      <c r="V1174" t="s">
        <v>13134</v>
      </c>
      <c r="W1174" t="s">
        <v>14281</v>
      </c>
      <c r="X1174">
        <v>10</v>
      </c>
      <c r="Y1174" t="s">
        <v>20768</v>
      </c>
      <c r="Z1174" t="s">
        <v>27142</v>
      </c>
      <c r="AA1174">
        <v>0.25421764253354562</v>
      </c>
      <c r="AB1174" t="str">
        <f>HYPERLINK("Melting_Curves/meltCurve_J3KMX2_SMARCD2.pdf", "Melting_Curves/meltCurve_J3KMX2_SMARCD2.pdf")</f>
        <v>Melting_Curves/meltCurve_J3KMX2_SMARCD2.pdf</v>
      </c>
    </row>
    <row r="1175" spans="1:28" x14ac:dyDescent="0.25">
      <c r="A1175" t="s">
        <v>1179</v>
      </c>
      <c r="B1175">
        <v>0.99472303558308395</v>
      </c>
      <c r="C1175">
        <v>0.95698157637426895</v>
      </c>
      <c r="D1175">
        <v>1.0662214045610101</v>
      </c>
      <c r="E1175">
        <v>0.83484515347838895</v>
      </c>
      <c r="F1175">
        <v>0.54292975488412198</v>
      </c>
      <c r="G1175">
        <v>0.55410597401877504</v>
      </c>
      <c r="H1175">
        <v>0.53581302701991196</v>
      </c>
      <c r="I1175">
        <v>0.63035857772529102</v>
      </c>
      <c r="J1175">
        <v>0.90137500803642701</v>
      </c>
      <c r="K1175">
        <v>0.42002932379744701</v>
      </c>
      <c r="L1175">
        <v>11666.911352744</v>
      </c>
      <c r="M1175">
        <v>250</v>
      </c>
      <c r="O1175">
        <v>46.664655309756903</v>
      </c>
      <c r="P1175">
        <v>-0.53917237986688604</v>
      </c>
      <c r="Q1175">
        <v>0.59743527652904205</v>
      </c>
      <c r="R1175">
        <v>0.71032756568830402</v>
      </c>
      <c r="S1175" t="s">
        <v>7743</v>
      </c>
      <c r="T1175" t="s">
        <v>13134</v>
      </c>
      <c r="U1175" t="s">
        <v>13134</v>
      </c>
      <c r="V1175" t="s">
        <v>13134</v>
      </c>
      <c r="W1175" t="s">
        <v>14282</v>
      </c>
      <c r="X1175">
        <v>6</v>
      </c>
      <c r="Y1175" t="s">
        <v>20769</v>
      </c>
      <c r="Z1175" t="s">
        <v>27143</v>
      </c>
      <c r="AA1175">
        <v>0.72719668036182483</v>
      </c>
      <c r="AB1175" t="str">
        <f>HYPERLINK("Melting_Curves/meltCurve_J3KMY5_NPC2.pdf", "Melting_Curves/meltCurve_J3KMY5_NPC2.pdf")</f>
        <v>Melting_Curves/meltCurve_J3KMY5_NPC2.pdf</v>
      </c>
    </row>
    <row r="1176" spans="1:28" x14ac:dyDescent="0.25">
      <c r="A1176" t="s">
        <v>1180</v>
      </c>
      <c r="B1176">
        <v>0.99472303558308395</v>
      </c>
      <c r="C1176">
        <v>0.994566338731947</v>
      </c>
      <c r="D1176">
        <v>0.71714450433188404</v>
      </c>
      <c r="E1176">
        <v>0.533234911407372</v>
      </c>
      <c r="F1176">
        <v>0.364882073165542</v>
      </c>
      <c r="G1176">
        <v>0.14638032517612501</v>
      </c>
      <c r="H1176">
        <v>8.44170358273479E-2</v>
      </c>
      <c r="I1176">
        <v>9.20348508522007E-2</v>
      </c>
      <c r="J1176">
        <v>0.104055504429638</v>
      </c>
      <c r="K1176">
        <v>0.101133577621184</v>
      </c>
      <c r="L1176">
        <v>679.41848892013297</v>
      </c>
      <c r="M1176">
        <v>14.6033132081537</v>
      </c>
      <c r="N1176">
        <v>47.004477669160103</v>
      </c>
      <c r="O1176">
        <v>45.678635074308197</v>
      </c>
      <c r="P1176">
        <v>-7.4401330201372601E-2</v>
      </c>
      <c r="Q1176">
        <v>6.9205813914435296E-2</v>
      </c>
      <c r="R1176">
        <v>0.98672186003473195</v>
      </c>
      <c r="S1176" t="s">
        <v>7744</v>
      </c>
      <c r="T1176" t="s">
        <v>13134</v>
      </c>
      <c r="U1176" t="s">
        <v>13134</v>
      </c>
      <c r="V1176" t="s">
        <v>13134</v>
      </c>
      <c r="W1176" t="s">
        <v>14283</v>
      </c>
      <c r="X1176">
        <v>4</v>
      </c>
      <c r="Y1176" t="s">
        <v>20770</v>
      </c>
      <c r="Z1176" t="s">
        <v>27144</v>
      </c>
      <c r="AA1176">
        <v>0.38698148236142782</v>
      </c>
      <c r="AB1176" t="str">
        <f>HYPERLINK("Melting_Curves/meltCurve_J3KMZ7_INTS2.pdf", "Melting_Curves/meltCurve_J3KMZ7_INTS2.pdf")</f>
        <v>Melting_Curves/meltCurve_J3KMZ7_INTS2.pdf</v>
      </c>
    </row>
    <row r="1177" spans="1:28" x14ac:dyDescent="0.25">
      <c r="A1177" t="s">
        <v>1181</v>
      </c>
      <c r="B1177">
        <v>0.99472303558308395</v>
      </c>
      <c r="C1177">
        <v>0.85667688375986994</v>
      </c>
      <c r="D1177">
        <v>0.62869382886902403</v>
      </c>
      <c r="E1177">
        <v>0.40984850678462198</v>
      </c>
      <c r="F1177">
        <v>0.36278785573591399</v>
      </c>
      <c r="G1177">
        <v>0.199298639257217</v>
      </c>
      <c r="H1177">
        <v>0.13256669674792601</v>
      </c>
      <c r="I1177">
        <v>8.8457899485139005E-2</v>
      </c>
      <c r="J1177">
        <v>0.100388176169529</v>
      </c>
      <c r="K1177">
        <v>7.5756061646179804E-2</v>
      </c>
      <c r="L1177">
        <v>525.72204164514199</v>
      </c>
      <c r="M1177">
        <v>11.625991612836099</v>
      </c>
      <c r="N1177">
        <v>45.771423518910296</v>
      </c>
      <c r="O1177">
        <v>43.943791497794699</v>
      </c>
      <c r="P1177">
        <v>-6.1832738361315101E-2</v>
      </c>
      <c r="Q1177">
        <v>6.5395821342785002E-2</v>
      </c>
      <c r="R1177">
        <v>0.98666893747287499</v>
      </c>
      <c r="S1177" t="s">
        <v>7745</v>
      </c>
      <c r="T1177" t="s">
        <v>13134</v>
      </c>
      <c r="U1177" t="s">
        <v>13134</v>
      </c>
      <c r="V1177" t="s">
        <v>13134</v>
      </c>
      <c r="W1177" t="s">
        <v>14284</v>
      </c>
      <c r="X1177">
        <v>12</v>
      </c>
      <c r="Y1177" t="s">
        <v>20771</v>
      </c>
      <c r="Z1177" t="s">
        <v>27145</v>
      </c>
      <c r="AA1177">
        <v>0.35697017581014961</v>
      </c>
      <c r="AB1177" t="str">
        <f>HYPERLINK("Melting_Curves/meltCurve_J3KMZ8_DPF2.pdf", "Melting_Curves/meltCurve_J3KMZ8_DPF2.pdf")</f>
        <v>Melting_Curves/meltCurve_J3KMZ8_DPF2.pdf</v>
      </c>
    </row>
    <row r="1178" spans="1:28" x14ac:dyDescent="0.25">
      <c r="A1178" t="s">
        <v>1182</v>
      </c>
      <c r="B1178">
        <v>0.99472303558308395</v>
      </c>
      <c r="C1178">
        <v>0.91648925446473395</v>
      </c>
      <c r="D1178">
        <v>0.90994115056498104</v>
      </c>
      <c r="E1178">
        <v>0.75064018202667604</v>
      </c>
      <c r="F1178">
        <v>0.49736096849220202</v>
      </c>
      <c r="G1178">
        <v>0.38990035773517701</v>
      </c>
      <c r="H1178">
        <v>0.30904843463690501</v>
      </c>
      <c r="I1178">
        <v>0.24391458426520901</v>
      </c>
      <c r="J1178">
        <v>0.28000222049302198</v>
      </c>
      <c r="K1178">
        <v>0.245419583670448</v>
      </c>
      <c r="L1178">
        <v>720.27577670833796</v>
      </c>
      <c r="M1178">
        <v>14.861977406644799</v>
      </c>
      <c r="N1178">
        <v>50.6418759362248</v>
      </c>
      <c r="O1178">
        <v>47.612261618207697</v>
      </c>
      <c r="P1178">
        <v>-5.9618091686054801E-2</v>
      </c>
      <c r="Q1178">
        <v>0.23610295567610101</v>
      </c>
      <c r="R1178">
        <v>0.99350902141360498</v>
      </c>
      <c r="S1178" t="s">
        <v>7746</v>
      </c>
      <c r="T1178" t="s">
        <v>13134</v>
      </c>
      <c r="U1178" t="s">
        <v>13134</v>
      </c>
      <c r="V1178" t="s">
        <v>13134</v>
      </c>
      <c r="W1178" t="s">
        <v>14285</v>
      </c>
      <c r="X1178">
        <v>8</v>
      </c>
      <c r="Y1178" t="s">
        <v>20772</v>
      </c>
      <c r="Z1178" t="s">
        <v>27146</v>
      </c>
      <c r="AA1178">
        <v>0.54492286111339927</v>
      </c>
      <c r="AB1178" t="str">
        <f>HYPERLINK("Melting_Curves/meltCurve_J3KMZ9_LDLR.pdf", "Melting_Curves/meltCurve_J3KMZ9_LDLR.pdf")</f>
        <v>Melting_Curves/meltCurve_J3KMZ9_LDLR.pdf</v>
      </c>
    </row>
    <row r="1179" spans="1:28" x14ac:dyDescent="0.25">
      <c r="A1179" t="s">
        <v>1183</v>
      </c>
      <c r="B1179">
        <v>0.99472303558308395</v>
      </c>
      <c r="C1179">
        <v>0.97093118045787796</v>
      </c>
      <c r="D1179">
        <v>0.91953589040601402</v>
      </c>
      <c r="E1179">
        <v>0.80330089311211195</v>
      </c>
      <c r="F1179">
        <v>0.40492391018616097</v>
      </c>
      <c r="G1179">
        <v>0.13942502482935501</v>
      </c>
      <c r="H1179">
        <v>8.8233948398609305E-2</v>
      </c>
      <c r="I1179">
        <v>6.5892226578379606E-2</v>
      </c>
      <c r="J1179">
        <v>8.3639659051801096E-2</v>
      </c>
      <c r="K1179">
        <v>5.93665805103658E-2</v>
      </c>
      <c r="L1179">
        <v>1181.1683870910699</v>
      </c>
      <c r="M1179">
        <v>24.101895389965598</v>
      </c>
      <c r="N1179">
        <v>49.273514600727999</v>
      </c>
      <c r="O1179">
        <v>48.673647595646202</v>
      </c>
      <c r="P1179">
        <v>-0.11623742752593701</v>
      </c>
      <c r="Q1179">
        <v>6.10511694285963E-2</v>
      </c>
      <c r="R1179">
        <v>0.99741869284583995</v>
      </c>
      <c r="S1179" t="s">
        <v>7747</v>
      </c>
      <c r="T1179" t="s">
        <v>13134</v>
      </c>
      <c r="U1179" t="s">
        <v>13134</v>
      </c>
      <c r="V1179" t="s">
        <v>13134</v>
      </c>
      <c r="W1179" t="s">
        <v>14286</v>
      </c>
      <c r="X1179">
        <v>66</v>
      </c>
      <c r="Y1179" t="s">
        <v>20773</v>
      </c>
      <c r="Z1179" t="s">
        <v>27147</v>
      </c>
      <c r="AA1179">
        <v>0.44556887883738738</v>
      </c>
      <c r="AB1179" t="str">
        <f>HYPERLINK("Melting_Curves/meltCurve_J3KN01_MLLT4.pdf", "Melting_Curves/meltCurve_J3KN01_MLLT4.pdf")</f>
        <v>Melting_Curves/meltCurve_J3KN01_MLLT4.pdf</v>
      </c>
    </row>
    <row r="1180" spans="1:28" x14ac:dyDescent="0.25">
      <c r="A1180" t="s">
        <v>1184</v>
      </c>
      <c r="B1180">
        <v>0.99472303558308395</v>
      </c>
      <c r="C1180">
        <v>0.85518424641544499</v>
      </c>
      <c r="D1180">
        <v>0.64806046442972498</v>
      </c>
      <c r="E1180">
        <v>0.42924969681987102</v>
      </c>
      <c r="F1180">
        <v>0.28327312492284801</v>
      </c>
      <c r="G1180">
        <v>8.8932517985567103E-2</v>
      </c>
      <c r="H1180">
        <v>6.4077517072759105E-2</v>
      </c>
      <c r="I1180">
        <v>4.8994018629435102E-2</v>
      </c>
      <c r="J1180">
        <v>5.6841315971691002E-2</v>
      </c>
      <c r="K1180">
        <v>4.6829931018768402E-2</v>
      </c>
      <c r="L1180">
        <v>593.91319866973902</v>
      </c>
      <c r="M1180">
        <v>13.1063488997116</v>
      </c>
      <c r="N1180">
        <v>45.469745984176498</v>
      </c>
      <c r="O1180">
        <v>44.2989281177558</v>
      </c>
      <c r="P1180">
        <v>-7.2363659209295994E-2</v>
      </c>
      <c r="Q1180">
        <v>2.18226227606165E-2</v>
      </c>
      <c r="R1180">
        <v>0.99368877668184996</v>
      </c>
      <c r="S1180" t="s">
        <v>7748</v>
      </c>
      <c r="T1180" t="s">
        <v>13134</v>
      </c>
      <c r="U1180" t="s">
        <v>13134</v>
      </c>
      <c r="V1180" t="s">
        <v>13134</v>
      </c>
      <c r="W1180" t="s">
        <v>14287</v>
      </c>
      <c r="X1180">
        <v>17</v>
      </c>
      <c r="Y1180" t="s">
        <v>20774</v>
      </c>
      <c r="Z1180" t="s">
        <v>27148</v>
      </c>
      <c r="AA1180">
        <v>0.32273156930419988</v>
      </c>
      <c r="AB1180" t="str">
        <f>HYPERLINK("Melting_Curves/meltCurve_J3KN10_PI4KA.pdf", "Melting_Curves/meltCurve_J3KN10_PI4KA.pdf")</f>
        <v>Melting_Curves/meltCurve_J3KN10_PI4KA.pdf</v>
      </c>
    </row>
    <row r="1181" spans="1:28" x14ac:dyDescent="0.25">
      <c r="A1181" t="s">
        <v>1185</v>
      </c>
      <c r="B1181">
        <v>0.99472303558308395</v>
      </c>
      <c r="C1181">
        <v>0.92205534091767605</v>
      </c>
      <c r="D1181">
        <v>0.87130645920625105</v>
      </c>
      <c r="E1181">
        <v>0.700016274841743</v>
      </c>
      <c r="F1181">
        <v>0.177077217193746</v>
      </c>
      <c r="G1181">
        <v>8.6477449164300002E-2</v>
      </c>
      <c r="H1181">
        <v>5.23605337482985E-2</v>
      </c>
      <c r="I1181">
        <v>3.8633457090340398E-2</v>
      </c>
      <c r="J1181">
        <v>4.6880508371911198E-2</v>
      </c>
      <c r="K1181">
        <v>4.1011914536345402E-2</v>
      </c>
      <c r="L1181">
        <v>1351.8838034908499</v>
      </c>
      <c r="M1181">
        <v>28.416557458287201</v>
      </c>
      <c r="N1181">
        <v>47.712695276952701</v>
      </c>
      <c r="O1181">
        <v>47.340073303678103</v>
      </c>
      <c r="P1181">
        <v>-0.144110579593246</v>
      </c>
      <c r="Q1181">
        <v>3.9693616127397302E-2</v>
      </c>
      <c r="R1181">
        <v>0.98987596717821802</v>
      </c>
      <c r="S1181" t="s">
        <v>7749</v>
      </c>
      <c r="T1181" t="s">
        <v>13134</v>
      </c>
      <c r="U1181" t="s">
        <v>13134</v>
      </c>
      <c r="V1181" t="s">
        <v>13134</v>
      </c>
      <c r="W1181" t="s">
        <v>14288</v>
      </c>
      <c r="X1181">
        <v>51</v>
      </c>
      <c r="Y1181" t="s">
        <v>20775</v>
      </c>
      <c r="Z1181" t="s">
        <v>27149</v>
      </c>
      <c r="AA1181">
        <v>0.38445606483813621</v>
      </c>
      <c r="AB1181" t="str">
        <f>HYPERLINK("Melting_Curves/meltCurve_J3KN16_KIAA0368.pdf", "Melting_Curves/meltCurve_J3KN16_KIAA0368.pdf")</f>
        <v>Melting_Curves/meltCurve_J3KN16_KIAA0368.pdf</v>
      </c>
    </row>
    <row r="1182" spans="1:28" x14ac:dyDescent="0.25">
      <c r="A1182" t="s">
        <v>1186</v>
      </c>
      <c r="B1182">
        <v>0.99472303558308395</v>
      </c>
      <c r="C1182">
        <v>1.24958486559573</v>
      </c>
      <c r="D1182">
        <v>0.859406379740283</v>
      </c>
      <c r="E1182">
        <v>0.843407461072747</v>
      </c>
      <c r="F1182">
        <v>0.61711451202058498</v>
      </c>
      <c r="G1182">
        <v>0.28637311999508103</v>
      </c>
      <c r="H1182">
        <v>0.16957628408768699</v>
      </c>
      <c r="I1182">
        <v>0.116494018173994</v>
      </c>
      <c r="J1182">
        <v>6.5507042437225493E-2</v>
      </c>
      <c r="K1182">
        <v>0.12594787815814601</v>
      </c>
      <c r="L1182">
        <v>967.35055154626798</v>
      </c>
      <c r="M1182">
        <v>19.078726181060901</v>
      </c>
      <c r="N1182">
        <v>51.171398914821303</v>
      </c>
      <c r="O1182">
        <v>50.155911898424598</v>
      </c>
      <c r="P1182">
        <v>-8.7482737665670607E-2</v>
      </c>
      <c r="Q1182">
        <v>8.0105347384113401E-2</v>
      </c>
      <c r="R1182">
        <v>0.95168166333735305</v>
      </c>
      <c r="S1182" t="s">
        <v>7750</v>
      </c>
      <c r="T1182" t="s">
        <v>13134</v>
      </c>
      <c r="U1182" t="s">
        <v>13134</v>
      </c>
      <c r="V1182" t="s">
        <v>13134</v>
      </c>
      <c r="W1182" t="s">
        <v>14289</v>
      </c>
      <c r="X1182">
        <v>2</v>
      </c>
      <c r="Y1182" t="s">
        <v>20776</v>
      </c>
      <c r="Z1182" t="s">
        <v>27150</v>
      </c>
      <c r="AA1182">
        <v>0.51334688221454727</v>
      </c>
      <c r="AB1182" t="str">
        <f>HYPERLINK("Melting_Curves/meltCurve_J3KN27_FBRSL1.pdf", "Melting_Curves/meltCurve_J3KN27_FBRSL1.pdf")</f>
        <v>Melting_Curves/meltCurve_J3KN27_FBRSL1.pdf</v>
      </c>
    </row>
    <row r="1183" spans="1:28" x14ac:dyDescent="0.25">
      <c r="A1183" t="s">
        <v>1187</v>
      </c>
      <c r="B1183">
        <v>0.99472303558308395</v>
      </c>
      <c r="C1183">
        <v>0.93733195725248297</v>
      </c>
      <c r="D1183">
        <v>0.93643740359365801</v>
      </c>
      <c r="E1183">
        <v>0.82920810812061396</v>
      </c>
      <c r="F1183">
        <v>0.64883445346826696</v>
      </c>
      <c r="G1183">
        <v>0.487070870725266</v>
      </c>
      <c r="H1183">
        <v>0.49289934649547501</v>
      </c>
      <c r="I1183">
        <v>0.52902232174086194</v>
      </c>
      <c r="J1183">
        <v>0.59904715851821</v>
      </c>
      <c r="K1183">
        <v>0.40741801975664799</v>
      </c>
      <c r="L1183">
        <v>991.62380003283397</v>
      </c>
      <c r="M1183">
        <v>20.721244009560401</v>
      </c>
      <c r="N1183">
        <v>60.018429898779502</v>
      </c>
      <c r="O1183">
        <v>47.416398985540503</v>
      </c>
      <c r="P1183">
        <v>-5.54470552808854E-2</v>
      </c>
      <c r="Q1183">
        <v>0.49249662716300702</v>
      </c>
      <c r="R1183">
        <v>0.93951311246264602</v>
      </c>
      <c r="S1183" t="s">
        <v>7751</v>
      </c>
      <c r="T1183" t="s">
        <v>13134</v>
      </c>
      <c r="U1183" t="s">
        <v>13134</v>
      </c>
      <c r="V1183" t="s">
        <v>13134</v>
      </c>
      <c r="W1183" t="s">
        <v>14290</v>
      </c>
      <c r="X1183">
        <v>12</v>
      </c>
      <c r="Y1183" t="s">
        <v>20777</v>
      </c>
      <c r="Z1183" t="s">
        <v>27151</v>
      </c>
      <c r="AA1183">
        <v>0.6823637024099628</v>
      </c>
      <c r="AB1183" t="str">
        <f>HYPERLINK("Melting_Curves/meltCurve_J3KN29_PSMD9.pdf", "Melting_Curves/meltCurve_J3KN29_PSMD9.pdf")</f>
        <v>Melting_Curves/meltCurve_J3KN29_PSMD9.pdf</v>
      </c>
    </row>
    <row r="1184" spans="1:28" x14ac:dyDescent="0.25">
      <c r="A1184" t="s">
        <v>1188</v>
      </c>
      <c r="B1184">
        <v>0.99472303558308395</v>
      </c>
      <c r="C1184">
        <v>0.956422343440956</v>
      </c>
      <c r="D1184">
        <v>0.82424108698500598</v>
      </c>
      <c r="E1184">
        <v>0.43807270980915503</v>
      </c>
      <c r="F1184">
        <v>0.22114827727581701</v>
      </c>
      <c r="G1184">
        <v>0.23787807978984199</v>
      </c>
      <c r="H1184">
        <v>7.7782053192542E-2</v>
      </c>
      <c r="I1184">
        <v>7.2299270802511306E-2</v>
      </c>
      <c r="J1184">
        <v>8.0888593845339196E-2</v>
      </c>
      <c r="K1184">
        <v>5.5611276052689403E-2</v>
      </c>
      <c r="L1184">
        <v>865.03537414792299</v>
      </c>
      <c r="M1184">
        <v>18.8594533234461</v>
      </c>
      <c r="N1184">
        <v>46.304205995710497</v>
      </c>
      <c r="O1184">
        <v>45.361104119982897</v>
      </c>
      <c r="P1184">
        <v>-9.5475616462972895E-2</v>
      </c>
      <c r="Q1184">
        <v>8.14788981928352E-2</v>
      </c>
      <c r="R1184">
        <v>0.98915308707178495</v>
      </c>
      <c r="S1184" t="s">
        <v>7752</v>
      </c>
      <c r="T1184" t="s">
        <v>13134</v>
      </c>
      <c r="U1184" t="s">
        <v>13134</v>
      </c>
      <c r="V1184" t="s">
        <v>13134</v>
      </c>
      <c r="W1184" t="s">
        <v>14291</v>
      </c>
      <c r="X1184">
        <v>5</v>
      </c>
      <c r="Y1184" t="s">
        <v>20778</v>
      </c>
      <c r="Z1184" t="s">
        <v>27152</v>
      </c>
      <c r="AA1184">
        <v>0.36650907918266362</v>
      </c>
      <c r="AB1184" t="str">
        <f>HYPERLINK("Melting_Curves/meltCurve_J3KN49_OBSL1.pdf", "Melting_Curves/meltCurve_J3KN49_OBSL1.pdf")</f>
        <v>Melting_Curves/meltCurve_J3KN49_OBSL1.pdf</v>
      </c>
    </row>
    <row r="1185" spans="1:28" x14ac:dyDescent="0.25">
      <c r="A1185" t="s">
        <v>1189</v>
      </c>
      <c r="B1185">
        <v>0.99472303558308395</v>
      </c>
      <c r="C1185">
        <v>1.0593638913297101</v>
      </c>
      <c r="D1185">
        <v>0.76362782280322095</v>
      </c>
      <c r="E1185">
        <v>0.90531913043823597</v>
      </c>
      <c r="F1185">
        <v>0.54520660054605696</v>
      </c>
      <c r="G1185">
        <v>0.23084150287123301</v>
      </c>
      <c r="H1185">
        <v>0.130814581268484</v>
      </c>
      <c r="I1185">
        <v>7.2792289123750603E-2</v>
      </c>
      <c r="J1185">
        <v>3.3539695167373297E-2</v>
      </c>
      <c r="K1185">
        <v>3.1885528910172302E-2</v>
      </c>
      <c r="L1185">
        <v>914.78057944028205</v>
      </c>
      <c r="M1185">
        <v>18.0886549652142</v>
      </c>
      <c r="N1185">
        <v>50.674445652638298</v>
      </c>
      <c r="O1185">
        <v>49.966131141149802</v>
      </c>
      <c r="P1185">
        <v>-8.8884947101443901E-2</v>
      </c>
      <c r="Q1185">
        <v>1.7943170255051599E-2</v>
      </c>
      <c r="R1185">
        <v>0.96834436977082805</v>
      </c>
      <c r="S1185" t="s">
        <v>7753</v>
      </c>
      <c r="T1185" t="s">
        <v>13134</v>
      </c>
      <c r="U1185" t="s">
        <v>13134</v>
      </c>
      <c r="V1185" t="s">
        <v>13134</v>
      </c>
      <c r="W1185" t="s">
        <v>14292</v>
      </c>
      <c r="X1185">
        <v>3</v>
      </c>
      <c r="Y1185" t="s">
        <v>20779</v>
      </c>
      <c r="Z1185" t="s">
        <v>27153</v>
      </c>
      <c r="AA1185">
        <v>0.47745655521022651</v>
      </c>
      <c r="AB1185" t="str">
        <f>HYPERLINK("Melting_Curves/meltCurve_J3KN59_BNIP2.pdf", "Melting_Curves/meltCurve_J3KN59_BNIP2.pdf")</f>
        <v>Melting_Curves/meltCurve_J3KN59_BNIP2.pdf</v>
      </c>
    </row>
    <row r="1186" spans="1:28" x14ac:dyDescent="0.25">
      <c r="A1186" t="s">
        <v>1190</v>
      </c>
      <c r="B1186">
        <v>0.99472303558308395</v>
      </c>
      <c r="C1186">
        <v>1.0252952404215001</v>
      </c>
      <c r="D1186">
        <v>1.06054373646956</v>
      </c>
      <c r="E1186">
        <v>0.74822389892507901</v>
      </c>
      <c r="F1186">
        <v>0.75156991200369405</v>
      </c>
      <c r="G1186">
        <v>0.55220285497632504</v>
      </c>
      <c r="H1186">
        <v>0.47645644881871402</v>
      </c>
      <c r="I1186">
        <v>0.27834103101055602</v>
      </c>
      <c r="J1186">
        <v>7.8151743725836206E-2</v>
      </c>
      <c r="K1186">
        <v>0.100229625272614</v>
      </c>
      <c r="L1186">
        <v>608.295418431293</v>
      </c>
      <c r="M1186">
        <v>11.054604493805201</v>
      </c>
      <c r="N1186">
        <v>55.026411161047299</v>
      </c>
      <c r="O1186">
        <v>53.317771064553803</v>
      </c>
      <c r="P1186">
        <v>-5.1850740595647697E-2</v>
      </c>
      <c r="Q1186">
        <v>0</v>
      </c>
      <c r="R1186">
        <v>0.96106990001923598</v>
      </c>
      <c r="S1186" t="s">
        <v>7754</v>
      </c>
      <c r="T1186" t="s">
        <v>13134</v>
      </c>
      <c r="U1186" t="s">
        <v>13134</v>
      </c>
      <c r="V1186" t="s">
        <v>13134</v>
      </c>
      <c r="W1186" t="s">
        <v>14293</v>
      </c>
      <c r="X1186">
        <v>3</v>
      </c>
      <c r="Y1186" t="s">
        <v>20780</v>
      </c>
      <c r="Z1186" t="s">
        <v>27154</v>
      </c>
      <c r="AA1186">
        <v>0.61428985934050617</v>
      </c>
      <c r="AB1186" t="str">
        <f>HYPERLINK("Melting_Curves/meltCurve_J3KN69_NCEH1.pdf", "Melting_Curves/meltCurve_J3KN69_NCEH1.pdf")</f>
        <v>Melting_Curves/meltCurve_J3KN69_NCEH1.pdf</v>
      </c>
    </row>
    <row r="1187" spans="1:28" x14ac:dyDescent="0.25">
      <c r="A1187" t="s">
        <v>1191</v>
      </c>
      <c r="B1187">
        <v>0.99472303558308395</v>
      </c>
      <c r="C1187">
        <v>1.10088974731342</v>
      </c>
      <c r="D1187">
        <v>0.92937467286937103</v>
      </c>
      <c r="E1187">
        <v>0.87944856665258198</v>
      </c>
      <c r="F1187">
        <v>1.09808711122735</v>
      </c>
      <c r="G1187">
        <v>0.59146107675985704</v>
      </c>
      <c r="H1187">
        <v>0.45995895692014299</v>
      </c>
      <c r="I1187">
        <v>0.48564831445949402</v>
      </c>
      <c r="J1187">
        <v>0.67060056143149405</v>
      </c>
      <c r="K1187">
        <v>0.55338514475449196</v>
      </c>
      <c r="L1187">
        <v>13335.971913875201</v>
      </c>
      <c r="M1187">
        <v>250</v>
      </c>
      <c r="O1187">
        <v>53.340474579483597</v>
      </c>
      <c r="P1187">
        <v>-0.53618030939299599</v>
      </c>
      <c r="Q1187">
        <v>0.542398210891332</v>
      </c>
      <c r="R1187">
        <v>0.88440168242029005</v>
      </c>
      <c r="S1187" t="s">
        <v>7755</v>
      </c>
      <c r="T1187" t="s">
        <v>13134</v>
      </c>
      <c r="U1187" t="s">
        <v>13134</v>
      </c>
      <c r="V1187" t="s">
        <v>13134</v>
      </c>
      <c r="W1187" t="s">
        <v>14294</v>
      </c>
      <c r="X1187">
        <v>14</v>
      </c>
      <c r="Y1187" t="s">
        <v>20781</v>
      </c>
      <c r="Z1187" t="s">
        <v>27155</v>
      </c>
      <c r="AA1187">
        <v>0.79174079158657562</v>
      </c>
      <c r="AB1187" t="str">
        <f>HYPERLINK("Melting_Curves/meltCurve_J3KN82_APIP.pdf", "Melting_Curves/meltCurve_J3KN82_APIP.pdf")</f>
        <v>Melting_Curves/meltCurve_J3KN82_APIP.pdf</v>
      </c>
    </row>
    <row r="1188" spans="1:28" x14ac:dyDescent="0.25">
      <c r="A1188" t="s">
        <v>1192</v>
      </c>
      <c r="B1188">
        <v>0.99472303558308395</v>
      </c>
      <c r="C1188">
        <v>0.88886170717068402</v>
      </c>
      <c r="D1188">
        <v>0.86122911133326996</v>
      </c>
      <c r="E1188">
        <v>0.68703289293234304</v>
      </c>
      <c r="F1188">
        <v>0.51628112872565801</v>
      </c>
      <c r="G1188">
        <v>0.34597438987421703</v>
      </c>
      <c r="H1188">
        <v>0.132215836524159</v>
      </c>
      <c r="I1188">
        <v>8.1399365215058805E-2</v>
      </c>
      <c r="J1188">
        <v>7.3080660174852097E-2</v>
      </c>
      <c r="K1188">
        <v>5.8961346782107203E-2</v>
      </c>
      <c r="L1188">
        <v>572.56439810414702</v>
      </c>
      <c r="M1188">
        <v>11.4583036025555</v>
      </c>
      <c r="N1188">
        <v>49.969394981991996</v>
      </c>
      <c r="O1188">
        <v>48.520047879812701</v>
      </c>
      <c r="P1188">
        <v>-5.9056029513130499E-2</v>
      </c>
      <c r="Q1188">
        <v>0</v>
      </c>
      <c r="R1188">
        <v>0.99217684626268798</v>
      </c>
      <c r="S1188" t="s">
        <v>7756</v>
      </c>
      <c r="T1188" t="s">
        <v>13134</v>
      </c>
      <c r="U1188" t="s">
        <v>13134</v>
      </c>
      <c r="V1188" t="s">
        <v>13134</v>
      </c>
      <c r="W1188" t="s">
        <v>14295</v>
      </c>
      <c r="X1188">
        <v>9</v>
      </c>
      <c r="Y1188" t="s">
        <v>20782</v>
      </c>
      <c r="Z1188" t="s">
        <v>27156</v>
      </c>
      <c r="AA1188">
        <v>0.46188479269978983</v>
      </c>
      <c r="AB1188" t="str">
        <f>HYPERLINK("Melting_Curves/meltCurve_J3KNA0_OXA1L.pdf", "Melting_Curves/meltCurve_J3KNA0_OXA1L.pdf")</f>
        <v>Melting_Curves/meltCurve_J3KNA0_OXA1L.pdf</v>
      </c>
    </row>
    <row r="1189" spans="1:28" x14ac:dyDescent="0.25">
      <c r="A1189" t="s">
        <v>1193</v>
      </c>
      <c r="B1189">
        <v>0.99472303558308395</v>
      </c>
      <c r="C1189">
        <v>0.93995451696896704</v>
      </c>
      <c r="D1189">
        <v>0.78724146291952002</v>
      </c>
      <c r="E1189">
        <v>0.61712975286191396</v>
      </c>
      <c r="F1189">
        <v>0.34679971982799801</v>
      </c>
      <c r="G1189">
        <v>0.121317670975819</v>
      </c>
      <c r="H1189">
        <v>8.3726342377340404E-2</v>
      </c>
      <c r="I1189">
        <v>5.2367178091814098E-2</v>
      </c>
      <c r="J1189">
        <v>5.7283664370457399E-2</v>
      </c>
      <c r="K1189">
        <v>4.5793954469842697E-2</v>
      </c>
      <c r="L1189">
        <v>698.93147366158496</v>
      </c>
      <c r="M1189">
        <v>14.696962921693901</v>
      </c>
      <c r="N1189">
        <v>47.677483229590202</v>
      </c>
      <c r="O1189">
        <v>46.701767004691199</v>
      </c>
      <c r="P1189">
        <v>-7.7239544381991404E-2</v>
      </c>
      <c r="Q1189">
        <v>1.8347260871223701E-2</v>
      </c>
      <c r="R1189">
        <v>0.99548332832474296</v>
      </c>
      <c r="S1189" t="s">
        <v>7757</v>
      </c>
      <c r="T1189" t="s">
        <v>13134</v>
      </c>
      <c r="U1189" t="s">
        <v>13134</v>
      </c>
      <c r="V1189" t="s">
        <v>13134</v>
      </c>
      <c r="W1189" t="s">
        <v>14296</v>
      </c>
      <c r="X1189">
        <v>21</v>
      </c>
      <c r="Y1189" t="s">
        <v>20783</v>
      </c>
      <c r="Z1189" t="s">
        <v>27157</v>
      </c>
      <c r="AA1189">
        <v>0.386376851940125</v>
      </c>
      <c r="AB1189" t="str">
        <f>HYPERLINK("Melting_Curves/meltCurve_J3KNB8_MAP3K4.pdf", "Melting_Curves/meltCurve_J3KNB8_MAP3K4.pdf")</f>
        <v>Melting_Curves/meltCurve_J3KNB8_MAP3K4.pdf</v>
      </c>
    </row>
    <row r="1190" spans="1:28" x14ac:dyDescent="0.25">
      <c r="A1190" t="s">
        <v>1194</v>
      </c>
      <c r="B1190">
        <v>0.99472303558308395</v>
      </c>
      <c r="C1190">
        <v>0.91709886869706603</v>
      </c>
      <c r="D1190">
        <v>0.80494392090342604</v>
      </c>
      <c r="E1190">
        <v>0.69235538212869197</v>
      </c>
      <c r="F1190">
        <v>0.447501964191372</v>
      </c>
      <c r="G1190">
        <v>0.177535160462793</v>
      </c>
      <c r="H1190">
        <v>0.10204019788237401</v>
      </c>
      <c r="I1190">
        <v>8.8567713990612001E-2</v>
      </c>
      <c r="J1190">
        <v>7.5176263171068597E-2</v>
      </c>
      <c r="K1190">
        <v>6.8265014283042602E-2</v>
      </c>
      <c r="L1190">
        <v>655.28339079947602</v>
      </c>
      <c r="M1190">
        <v>13.4795705113919</v>
      </c>
      <c r="N1190">
        <v>48.785255492360101</v>
      </c>
      <c r="O1190">
        <v>47.580564214241399</v>
      </c>
      <c r="P1190">
        <v>-6.91903357733748E-2</v>
      </c>
      <c r="Q1190">
        <v>2.3229938778847499E-2</v>
      </c>
      <c r="R1190">
        <v>0.99090609597708901</v>
      </c>
      <c r="S1190" t="s">
        <v>7758</v>
      </c>
      <c r="T1190" t="s">
        <v>13134</v>
      </c>
      <c r="U1190" t="s">
        <v>13134</v>
      </c>
      <c r="V1190" t="s">
        <v>13134</v>
      </c>
      <c r="W1190" t="s">
        <v>14297</v>
      </c>
      <c r="X1190">
        <v>2</v>
      </c>
      <c r="Y1190" t="s">
        <v>20784</v>
      </c>
      <c r="Z1190" t="s">
        <v>27158</v>
      </c>
      <c r="AA1190">
        <v>0.42640310608791698</v>
      </c>
      <c r="AB1190" t="str">
        <f>HYPERLINK("Melting_Curves/meltCurve_J3KNC8_NDST2.pdf", "Melting_Curves/meltCurve_J3KNC8_NDST2.pdf")</f>
        <v>Melting_Curves/meltCurve_J3KNC8_NDST2.pdf</v>
      </c>
    </row>
    <row r="1191" spans="1:28" x14ac:dyDescent="0.25">
      <c r="A1191" t="s">
        <v>1195</v>
      </c>
      <c r="B1191">
        <v>0.99472303558308395</v>
      </c>
      <c r="C1191">
        <v>0.577559498437205</v>
      </c>
      <c r="D1191">
        <v>0.79301694823603597</v>
      </c>
      <c r="E1191">
        <v>0.30895731794127701</v>
      </c>
      <c r="F1191">
        <v>0.13489040561416299</v>
      </c>
      <c r="G1191">
        <v>5.1621861658742302E-2</v>
      </c>
      <c r="H1191">
        <v>6.4401437351910201E-2</v>
      </c>
      <c r="I1191">
        <v>0</v>
      </c>
      <c r="J1191">
        <v>0</v>
      </c>
      <c r="K1191">
        <v>3.9194510907068901E-2</v>
      </c>
      <c r="L1191">
        <v>577.91775461842496</v>
      </c>
      <c r="M1191">
        <v>13.0562471751979</v>
      </c>
      <c r="N1191">
        <v>44.263702162104899</v>
      </c>
      <c r="O1191">
        <v>43.263916912827597</v>
      </c>
      <c r="P1191">
        <v>-7.54584683726926E-2</v>
      </c>
      <c r="Q1191">
        <v>0</v>
      </c>
      <c r="R1191">
        <v>0.91428727564985501</v>
      </c>
      <c r="S1191" t="s">
        <v>7759</v>
      </c>
      <c r="T1191" t="s">
        <v>13134</v>
      </c>
      <c r="U1191" t="s">
        <v>13134</v>
      </c>
      <c r="V1191" t="s">
        <v>13134</v>
      </c>
      <c r="W1191" t="s">
        <v>14298</v>
      </c>
      <c r="X1191">
        <v>7</v>
      </c>
      <c r="Y1191" t="s">
        <v>20785</v>
      </c>
      <c r="Z1191" t="s">
        <v>27159</v>
      </c>
      <c r="AA1191">
        <v>0.27449364012919247</v>
      </c>
      <c r="AB1191" t="str">
        <f>HYPERLINK("Melting_Curves/meltCurve_J3KND1_SAAL1.pdf", "Melting_Curves/meltCurve_J3KND1_SAAL1.pdf")</f>
        <v>Melting_Curves/meltCurve_J3KND1_SAAL1.pdf</v>
      </c>
    </row>
    <row r="1192" spans="1:28" x14ac:dyDescent="0.25">
      <c r="A1192" t="s">
        <v>1196</v>
      </c>
      <c r="B1192">
        <v>0.99472303558308395</v>
      </c>
      <c r="C1192">
        <v>0.836903272780536</v>
      </c>
      <c r="D1192">
        <v>0.55544748424229395</v>
      </c>
      <c r="E1192">
        <v>0.55558317910691901</v>
      </c>
      <c r="F1192">
        <v>1.06117488360621</v>
      </c>
      <c r="G1192">
        <v>0.40999961915140798</v>
      </c>
      <c r="H1192">
        <v>0.14507401463438299</v>
      </c>
      <c r="I1192">
        <v>0.108935433829646</v>
      </c>
      <c r="J1192">
        <v>0.119938459412154</v>
      </c>
      <c r="K1192">
        <v>7.8470735070630904E-2</v>
      </c>
      <c r="L1192">
        <v>411.62399941761697</v>
      </c>
      <c r="M1192">
        <v>8.0478044404635902</v>
      </c>
      <c r="N1192">
        <v>51.147365810665399</v>
      </c>
      <c r="O1192">
        <v>48.279433394997596</v>
      </c>
      <c r="P1192">
        <v>-4.1719140594169299E-2</v>
      </c>
      <c r="Q1192">
        <v>0</v>
      </c>
      <c r="R1192">
        <v>0.68455319474450904</v>
      </c>
      <c r="S1192" t="s">
        <v>7760</v>
      </c>
      <c r="T1192" t="s">
        <v>13134</v>
      </c>
      <c r="U1192" t="s">
        <v>13134</v>
      </c>
      <c r="V1192" t="s">
        <v>13134</v>
      </c>
      <c r="W1192" t="s">
        <v>14299</v>
      </c>
      <c r="X1192">
        <v>10</v>
      </c>
      <c r="Y1192" t="s">
        <v>20786</v>
      </c>
      <c r="Z1192" t="s">
        <v>27160</v>
      </c>
      <c r="AA1192">
        <v>0.50542058299337467</v>
      </c>
      <c r="AB1192" t="str">
        <f>HYPERLINK("Melting_Curves/meltCurve_J3KNE0_RGPD3.pdf", "Melting_Curves/meltCurve_J3KNE0_RGPD3.pdf")</f>
        <v>Melting_Curves/meltCurve_J3KNE0_RGPD3.pdf</v>
      </c>
    </row>
    <row r="1193" spans="1:28" x14ac:dyDescent="0.25">
      <c r="A1193" t="s">
        <v>1197</v>
      </c>
      <c r="B1193">
        <v>0.99472303558308395</v>
      </c>
      <c r="C1193">
        <v>1.0513752140154999</v>
      </c>
      <c r="D1193">
        <v>1.0200057152037401</v>
      </c>
      <c r="E1193">
        <v>0.90192066171473995</v>
      </c>
      <c r="F1193">
        <v>0.53968254482142197</v>
      </c>
      <c r="G1193">
        <v>0.225884226526441</v>
      </c>
      <c r="H1193">
        <v>0.105268677983731</v>
      </c>
      <c r="I1193">
        <v>6.5369609992971506E-2</v>
      </c>
      <c r="J1193">
        <v>6.5624837305356107E-2</v>
      </c>
      <c r="K1193">
        <v>6.4650620712477E-2</v>
      </c>
      <c r="L1193">
        <v>1304.3724342978701</v>
      </c>
      <c r="M1193">
        <v>25.903961340834201</v>
      </c>
      <c r="N1193">
        <v>50.620281792507598</v>
      </c>
      <c r="O1193">
        <v>50.056944261833301</v>
      </c>
      <c r="P1193">
        <v>-0.121138457617534</v>
      </c>
      <c r="Q1193">
        <v>6.3656586503739093E-2</v>
      </c>
      <c r="R1193">
        <v>0.99768020267425095</v>
      </c>
      <c r="S1193" t="s">
        <v>7761</v>
      </c>
      <c r="T1193" t="s">
        <v>13134</v>
      </c>
      <c r="U1193" t="s">
        <v>13134</v>
      </c>
      <c r="V1193" t="s">
        <v>13134</v>
      </c>
      <c r="W1193" t="s">
        <v>14300</v>
      </c>
      <c r="X1193">
        <v>9</v>
      </c>
      <c r="Y1193" t="s">
        <v>20787</v>
      </c>
      <c r="Z1193" t="s">
        <v>27161</v>
      </c>
      <c r="AA1193">
        <v>0.48814113480149279</v>
      </c>
      <c r="AB1193" t="str">
        <f>HYPERLINK("Melting_Curves/meltCurve_J3KNF4_CCS.pdf", "Melting_Curves/meltCurve_J3KNF4_CCS.pdf")</f>
        <v>Melting_Curves/meltCurve_J3KNF4_CCS.pdf</v>
      </c>
    </row>
    <row r="1194" spans="1:28" x14ac:dyDescent="0.25">
      <c r="A1194" t="s">
        <v>1198</v>
      </c>
      <c r="B1194">
        <v>0.99472303558308395</v>
      </c>
      <c r="C1194">
        <v>0.92734373865627295</v>
      </c>
      <c r="D1194">
        <v>0.65105399839860001</v>
      </c>
      <c r="E1194">
        <v>0.30395546050093702</v>
      </c>
      <c r="F1194">
        <v>0.22867232705454399</v>
      </c>
      <c r="G1194">
        <v>0.14449697140406101</v>
      </c>
      <c r="H1194">
        <v>0.13883353410568899</v>
      </c>
      <c r="I1194">
        <v>8.4201208271008299E-2</v>
      </c>
      <c r="J1194">
        <v>0.111881064783923</v>
      </c>
      <c r="K1194">
        <v>6.1036230685695102E-2</v>
      </c>
      <c r="L1194">
        <v>881.13834989794805</v>
      </c>
      <c r="M1194">
        <v>20.0014850651235</v>
      </c>
      <c r="N1194">
        <v>44.584279252997803</v>
      </c>
      <c r="O1194">
        <v>43.620377194939302</v>
      </c>
      <c r="P1194">
        <v>-0.10249518930870501</v>
      </c>
      <c r="Q1194">
        <v>0.105919718662285</v>
      </c>
      <c r="R1194">
        <v>0.99311208738221701</v>
      </c>
      <c r="S1194" t="s">
        <v>7762</v>
      </c>
      <c r="T1194" t="s">
        <v>13134</v>
      </c>
      <c r="U1194" t="s">
        <v>13134</v>
      </c>
      <c r="V1194" t="s">
        <v>13134</v>
      </c>
      <c r="W1194" t="s">
        <v>14301</v>
      </c>
      <c r="X1194">
        <v>4</v>
      </c>
      <c r="Y1194" t="s">
        <v>20788</v>
      </c>
      <c r="Z1194" t="s">
        <v>27162</v>
      </c>
      <c r="AA1194">
        <v>0.32808291641499238</v>
      </c>
      <c r="AB1194" t="str">
        <f>HYPERLINK("Melting_Curves/meltCurve_J3KNF5_CEP290.pdf", "Melting_Curves/meltCurve_J3KNF5_CEP290.pdf")</f>
        <v>Melting_Curves/meltCurve_J3KNF5_CEP290.pdf</v>
      </c>
    </row>
    <row r="1195" spans="1:28" x14ac:dyDescent="0.25">
      <c r="A1195" t="s">
        <v>1199</v>
      </c>
      <c r="B1195">
        <v>0.99472303558308395</v>
      </c>
      <c r="C1195">
        <v>1.0161166049313199</v>
      </c>
      <c r="D1195">
        <v>0.869692763504882</v>
      </c>
      <c r="E1195">
        <v>0.76664097661347996</v>
      </c>
      <c r="F1195">
        <v>0.45235551920077599</v>
      </c>
      <c r="G1195">
        <v>0.158678532084017</v>
      </c>
      <c r="H1195">
        <v>0.104566004094909</v>
      </c>
      <c r="I1195">
        <v>6.34133457226084E-2</v>
      </c>
      <c r="J1195">
        <v>9.3799461648525706E-2</v>
      </c>
      <c r="K1195">
        <v>5.7972054603580001E-2</v>
      </c>
      <c r="L1195">
        <v>940.94489123955998</v>
      </c>
      <c r="M1195">
        <v>19.167694942950899</v>
      </c>
      <c r="N1195">
        <v>49.370657474079501</v>
      </c>
      <c r="O1195">
        <v>48.565182892244302</v>
      </c>
      <c r="P1195">
        <v>-9.3582861245636598E-2</v>
      </c>
      <c r="Q1195">
        <v>5.1593028642822898E-2</v>
      </c>
      <c r="R1195">
        <v>0.99364615673642498</v>
      </c>
      <c r="S1195" t="s">
        <v>7763</v>
      </c>
      <c r="T1195" t="s">
        <v>13134</v>
      </c>
      <c r="U1195" t="s">
        <v>13134</v>
      </c>
      <c r="V1195" t="s">
        <v>13134</v>
      </c>
      <c r="W1195" t="s">
        <v>13675</v>
      </c>
      <c r="X1195">
        <v>6</v>
      </c>
      <c r="Y1195" t="s">
        <v>20168</v>
      </c>
      <c r="Z1195" t="s">
        <v>27163</v>
      </c>
      <c r="AA1195">
        <v>0.44729666113875521</v>
      </c>
      <c r="AB1195" t="str">
        <f>HYPERLINK("Melting_Curves/meltCurve_J3KNG8_FNIP1.pdf", "Melting_Curves/meltCurve_J3KNG8_FNIP1.pdf")</f>
        <v>Melting_Curves/meltCurve_J3KNG8_FNIP1.pdf</v>
      </c>
    </row>
    <row r="1196" spans="1:28" x14ac:dyDescent="0.25">
      <c r="A1196" t="s">
        <v>1200</v>
      </c>
      <c r="B1196">
        <v>0.99472303558308395</v>
      </c>
      <c r="C1196">
        <v>0.81058626123006805</v>
      </c>
      <c r="D1196">
        <v>0.677842133749892</v>
      </c>
      <c r="E1196">
        <v>0.37091632610909298</v>
      </c>
      <c r="F1196">
        <v>0.24584162608523399</v>
      </c>
      <c r="G1196">
        <v>0.136474681084642</v>
      </c>
      <c r="H1196">
        <v>7.9879099944053802E-2</v>
      </c>
      <c r="I1196">
        <v>6.7804446874505001E-2</v>
      </c>
      <c r="J1196">
        <v>7.5003692805579794E-2</v>
      </c>
      <c r="K1196">
        <v>5.7951458506862098E-2</v>
      </c>
      <c r="L1196">
        <v>619.74994014244305</v>
      </c>
      <c r="M1196">
        <v>13.859563198133699</v>
      </c>
      <c r="N1196">
        <v>45.0648111132355</v>
      </c>
      <c r="O1196">
        <v>43.816323303231698</v>
      </c>
      <c r="P1196">
        <v>-7.5070448735443399E-2</v>
      </c>
      <c r="Q1196">
        <v>5.0804625813955603E-2</v>
      </c>
      <c r="R1196">
        <v>0.99488155689671198</v>
      </c>
      <c r="S1196" t="s">
        <v>7764</v>
      </c>
      <c r="T1196" t="s">
        <v>13134</v>
      </c>
      <c r="U1196" t="s">
        <v>13134</v>
      </c>
      <c r="V1196" t="s">
        <v>13134</v>
      </c>
      <c r="W1196" t="s">
        <v>14302</v>
      </c>
      <c r="X1196">
        <v>12</v>
      </c>
      <c r="Y1196" t="s">
        <v>20789</v>
      </c>
      <c r="Z1196" t="s">
        <v>27164</v>
      </c>
      <c r="AA1196">
        <v>0.3216608670124067</v>
      </c>
      <c r="AB1196" t="str">
        <f>HYPERLINK("Melting_Curves/meltCurve_J3KNI1_COG4.pdf", "Melting_Curves/meltCurve_J3KNI1_COG4.pdf")</f>
        <v>Melting_Curves/meltCurve_J3KNI1_COG4.pdf</v>
      </c>
    </row>
    <row r="1197" spans="1:28" x14ac:dyDescent="0.25">
      <c r="A1197" t="s">
        <v>1201</v>
      </c>
      <c r="B1197">
        <v>0.99472303558308395</v>
      </c>
      <c r="C1197">
        <v>0.996913266787537</v>
      </c>
      <c r="D1197">
        <v>0.98870515265478798</v>
      </c>
      <c r="E1197">
        <v>0.92555947658511295</v>
      </c>
      <c r="F1197">
        <v>0.55803683118452296</v>
      </c>
      <c r="G1197">
        <v>0.167734330164371</v>
      </c>
      <c r="H1197">
        <v>9.4773640664402095E-2</v>
      </c>
      <c r="I1197">
        <v>5.5187895862989403E-2</v>
      </c>
      <c r="J1197">
        <v>5.99003905379734E-2</v>
      </c>
      <c r="K1197">
        <v>5.5019328762476102E-2</v>
      </c>
      <c r="L1197">
        <v>1545.3914068387</v>
      </c>
      <c r="M1197">
        <v>30.672995937570398</v>
      </c>
      <c r="N1197">
        <v>50.585315538893703</v>
      </c>
      <c r="O1197">
        <v>50.170100078733697</v>
      </c>
      <c r="P1197">
        <v>-0.14401456377567101</v>
      </c>
      <c r="Q1197">
        <v>5.77794243950734E-2</v>
      </c>
      <c r="R1197">
        <v>0.99974983247094795</v>
      </c>
      <c r="S1197" t="s">
        <v>7765</v>
      </c>
      <c r="T1197" t="s">
        <v>13134</v>
      </c>
      <c r="U1197" t="s">
        <v>13134</v>
      </c>
      <c r="V1197" t="s">
        <v>13134</v>
      </c>
      <c r="W1197" t="s">
        <v>14303</v>
      </c>
      <c r="X1197">
        <v>9</v>
      </c>
      <c r="Y1197" t="s">
        <v>20790</v>
      </c>
      <c r="Z1197" t="s">
        <v>27165</v>
      </c>
      <c r="AA1197">
        <v>0.48366565403180972</v>
      </c>
      <c r="AB1197" t="str">
        <f>HYPERLINK("Melting_Curves/meltCurve_J3KNL3_CHID1.pdf", "Melting_Curves/meltCurve_J3KNL3_CHID1.pdf")</f>
        <v>Melting_Curves/meltCurve_J3KNL3_CHID1.pdf</v>
      </c>
    </row>
    <row r="1198" spans="1:28" x14ac:dyDescent="0.25">
      <c r="A1198" t="s">
        <v>1202</v>
      </c>
      <c r="B1198">
        <v>0.99472303558308395</v>
      </c>
      <c r="C1198">
        <v>0.90885120238968897</v>
      </c>
      <c r="D1198">
        <v>0.75570653623743</v>
      </c>
      <c r="E1198">
        <v>0.61183407784116295</v>
      </c>
      <c r="F1198">
        <v>0.47225382061274801</v>
      </c>
      <c r="G1198">
        <v>0.247079543382133</v>
      </c>
      <c r="H1198">
        <v>0.18965833782764899</v>
      </c>
      <c r="I1198">
        <v>0.16058218553092099</v>
      </c>
      <c r="J1198">
        <v>0.24367062554330801</v>
      </c>
      <c r="K1198">
        <v>0.163448926869078</v>
      </c>
      <c r="L1198">
        <v>573.10868726584397</v>
      </c>
      <c r="M1198">
        <v>12.1784806359207</v>
      </c>
      <c r="N1198">
        <v>48.385589496835301</v>
      </c>
      <c r="O1198">
        <v>45.8442132279025</v>
      </c>
      <c r="P1198">
        <v>-5.6999736096698998E-2</v>
      </c>
      <c r="Q1198">
        <v>0.141924717407718</v>
      </c>
      <c r="R1198">
        <v>0.98385457235971996</v>
      </c>
      <c r="S1198" t="s">
        <v>7766</v>
      </c>
      <c r="T1198" t="s">
        <v>13134</v>
      </c>
      <c r="U1198" t="s">
        <v>13134</v>
      </c>
      <c r="V1198" t="s">
        <v>13134</v>
      </c>
      <c r="W1198" t="s">
        <v>14304</v>
      </c>
      <c r="X1198">
        <v>10</v>
      </c>
      <c r="Y1198" t="s">
        <v>20791</v>
      </c>
      <c r="Z1198" t="s">
        <v>27166</v>
      </c>
      <c r="AA1198">
        <v>0.45710483791341477</v>
      </c>
      <c r="AB1198" t="str">
        <f>HYPERLINK("Melting_Curves/meltCurve_J3KNL6_SEC16A.pdf", "Melting_Curves/meltCurve_J3KNL6_SEC16A.pdf")</f>
        <v>Melting_Curves/meltCurve_J3KNL6_SEC16A.pdf</v>
      </c>
    </row>
    <row r="1199" spans="1:28" x14ac:dyDescent="0.25">
      <c r="A1199" t="s">
        <v>1203</v>
      </c>
      <c r="B1199">
        <v>0.99472303558308395</v>
      </c>
      <c r="C1199">
        <v>0.88876906183570403</v>
      </c>
      <c r="D1199">
        <v>0.75935412406105895</v>
      </c>
      <c r="E1199">
        <v>0.48361113547428602</v>
      </c>
      <c r="F1199">
        <v>0.21946246461976501</v>
      </c>
      <c r="G1199">
        <v>0.103537569662239</v>
      </c>
      <c r="H1199">
        <v>7.8993194340341494E-2</v>
      </c>
      <c r="I1199">
        <v>5.6613663448876798E-2</v>
      </c>
      <c r="J1199">
        <v>7.8089576161044699E-2</v>
      </c>
      <c r="K1199">
        <v>6.1922876655922901E-2</v>
      </c>
      <c r="L1199">
        <v>750.26043619755399</v>
      </c>
      <c r="M1199">
        <v>16.3698468709071</v>
      </c>
      <c r="N1199">
        <v>46.115940860338497</v>
      </c>
      <c r="O1199">
        <v>45.164269318857599</v>
      </c>
      <c r="P1199">
        <v>-8.6272995011832096E-2</v>
      </c>
      <c r="Q1199">
        <v>4.7962350827856597E-2</v>
      </c>
      <c r="R1199">
        <v>0.99753345542953797</v>
      </c>
      <c r="S1199" t="s">
        <v>7767</v>
      </c>
      <c r="T1199" t="s">
        <v>13134</v>
      </c>
      <c r="U1199" t="s">
        <v>13134</v>
      </c>
      <c r="V1199" t="s">
        <v>13134</v>
      </c>
      <c r="W1199" t="s">
        <v>14305</v>
      </c>
      <c r="X1199">
        <v>18</v>
      </c>
      <c r="Y1199" t="s">
        <v>20792</v>
      </c>
      <c r="Z1199" t="s">
        <v>27167</v>
      </c>
      <c r="AA1199">
        <v>0.34685453461319682</v>
      </c>
      <c r="AB1199" t="str">
        <f>HYPERLINK("Melting_Curves/meltCurve_J3KNN5_DDX41.pdf", "Melting_Curves/meltCurve_J3KNN5_DDX41.pdf")</f>
        <v>Melting_Curves/meltCurve_J3KNN5_DDX41.pdf</v>
      </c>
    </row>
    <row r="1200" spans="1:28" x14ac:dyDescent="0.25">
      <c r="A1200" t="s">
        <v>1204</v>
      </c>
      <c r="B1200">
        <v>0.99472303558308395</v>
      </c>
      <c r="C1200">
        <v>0.99965567746650796</v>
      </c>
      <c r="D1200">
        <v>0.85435087893639605</v>
      </c>
      <c r="E1200">
        <v>0.47793379069155001</v>
      </c>
      <c r="F1200">
        <v>0.18804798629866301</v>
      </c>
      <c r="G1200">
        <v>9.5179553638019804E-2</v>
      </c>
      <c r="H1200">
        <v>6.5670159952167004E-2</v>
      </c>
      <c r="I1200">
        <v>4.1667825204878897E-2</v>
      </c>
      <c r="J1200">
        <v>5.65599604391041E-2</v>
      </c>
      <c r="K1200">
        <v>4.3663476899707399E-2</v>
      </c>
      <c r="L1200">
        <v>1059.0432819264599</v>
      </c>
      <c r="M1200">
        <v>22.904815166648799</v>
      </c>
      <c r="N1200">
        <v>46.450585007729003</v>
      </c>
      <c r="O1200">
        <v>45.888596741649799</v>
      </c>
      <c r="P1200">
        <v>-0.118542220320459</v>
      </c>
      <c r="Q1200">
        <v>5.0045574236264698E-2</v>
      </c>
      <c r="R1200">
        <v>0.99938933269222296</v>
      </c>
      <c r="S1200" t="s">
        <v>7768</v>
      </c>
      <c r="T1200" t="s">
        <v>13134</v>
      </c>
      <c r="U1200" t="s">
        <v>13134</v>
      </c>
      <c r="V1200" t="s">
        <v>13134</v>
      </c>
      <c r="W1200" t="s">
        <v>14306</v>
      </c>
      <c r="X1200">
        <v>20</v>
      </c>
      <c r="Y1200" t="s">
        <v>20793</v>
      </c>
      <c r="Z1200" t="s">
        <v>27168</v>
      </c>
      <c r="AA1200">
        <v>0.35196366186856859</v>
      </c>
      <c r="AB1200" t="str">
        <f>HYPERLINK("Melting_Curves/meltCurve_J3KNN7_BRAP.pdf", "Melting_Curves/meltCurve_J3KNN7_BRAP.pdf")</f>
        <v>Melting_Curves/meltCurve_J3KNN7_BRAP.pdf</v>
      </c>
    </row>
    <row r="1201" spans="1:28" x14ac:dyDescent="0.25">
      <c r="A1201" t="s">
        <v>1205</v>
      </c>
      <c r="B1201">
        <v>0.99472303558308395</v>
      </c>
      <c r="C1201">
        <v>1.0584286509771701</v>
      </c>
      <c r="D1201">
        <v>0.93126720304385002</v>
      </c>
      <c r="E1201">
        <v>0.89026928874254196</v>
      </c>
      <c r="F1201">
        <v>0.62099921468630004</v>
      </c>
      <c r="G1201">
        <v>0.37418273655490503</v>
      </c>
      <c r="H1201">
        <v>0.19697763181734201</v>
      </c>
      <c r="I1201">
        <v>0.22187731131968</v>
      </c>
      <c r="J1201">
        <v>0.278063429888808</v>
      </c>
      <c r="K1201">
        <v>0.22805727325383801</v>
      </c>
      <c r="L1201">
        <v>1189.4386854613299</v>
      </c>
      <c r="M1201">
        <v>23.6752064000998</v>
      </c>
      <c r="N1201">
        <v>51.516185330004497</v>
      </c>
      <c r="O1201">
        <v>49.8855246540558</v>
      </c>
      <c r="P1201">
        <v>-9.2323327548306799E-2</v>
      </c>
      <c r="Q1201">
        <v>0.22188288927046301</v>
      </c>
      <c r="R1201">
        <v>0.98801620876583296</v>
      </c>
      <c r="S1201" t="s">
        <v>7769</v>
      </c>
      <c r="T1201" t="s">
        <v>13134</v>
      </c>
      <c r="U1201" t="s">
        <v>13134</v>
      </c>
      <c r="V1201" t="s">
        <v>13134</v>
      </c>
      <c r="W1201" t="s">
        <v>14307</v>
      </c>
      <c r="X1201">
        <v>5</v>
      </c>
      <c r="Y1201" t="s">
        <v>20794</v>
      </c>
      <c r="Z1201" t="s">
        <v>27169</v>
      </c>
      <c r="AA1201">
        <v>0.57284434584888444</v>
      </c>
      <c r="AB1201" t="str">
        <f>HYPERLINK("Melting_Curves/meltCurve_J3KNP4_SEMA4B.pdf", "Melting_Curves/meltCurve_J3KNP4_SEMA4B.pdf")</f>
        <v>Melting_Curves/meltCurve_J3KNP4_SEMA4B.pdf</v>
      </c>
    </row>
    <row r="1202" spans="1:28" x14ac:dyDescent="0.25">
      <c r="A1202" t="s">
        <v>1206</v>
      </c>
      <c r="B1202">
        <v>0.99472303558308395</v>
      </c>
      <c r="C1202">
        <v>0.89810809232419397</v>
      </c>
      <c r="D1202">
        <v>0.90711456849210703</v>
      </c>
      <c r="E1202">
        <v>0.63649048206855496</v>
      </c>
      <c r="F1202">
        <v>0.27109944271429498</v>
      </c>
      <c r="G1202">
        <v>0.11129819147535699</v>
      </c>
      <c r="H1202">
        <v>6.1501620316629299E-2</v>
      </c>
      <c r="I1202">
        <v>5.9255224574327102E-2</v>
      </c>
      <c r="J1202">
        <v>6.3044493180254096E-2</v>
      </c>
      <c r="K1202">
        <v>6.0337789844526903E-2</v>
      </c>
      <c r="L1202">
        <v>1005.78266806948</v>
      </c>
      <c r="M1202">
        <v>21.174305872777001</v>
      </c>
      <c r="N1202">
        <v>47.730682657267501</v>
      </c>
      <c r="O1202">
        <v>47.082567772147598</v>
      </c>
      <c r="P1202">
        <v>-0.106969578960203</v>
      </c>
      <c r="Q1202">
        <v>4.8607002657024001E-2</v>
      </c>
      <c r="R1202">
        <v>0.99452291584313202</v>
      </c>
      <c r="S1202" t="s">
        <v>7770</v>
      </c>
      <c r="T1202" t="s">
        <v>13134</v>
      </c>
      <c r="U1202" t="s">
        <v>13134</v>
      </c>
      <c r="V1202" t="s">
        <v>13134</v>
      </c>
      <c r="W1202" t="s">
        <v>14308</v>
      </c>
      <c r="X1202">
        <v>13</v>
      </c>
      <c r="Y1202" t="s">
        <v>20795</v>
      </c>
      <c r="Z1202" t="s">
        <v>27170</v>
      </c>
      <c r="AA1202">
        <v>0.3927708060443364</v>
      </c>
      <c r="AB1202" t="str">
        <f>HYPERLINK("Melting_Curves/meltCurve_J3KNR0_MARK3.pdf", "Melting_Curves/meltCurve_J3KNR0_MARK3.pdf")</f>
        <v>Melting_Curves/meltCurve_J3KNR0_MARK3.pdf</v>
      </c>
    </row>
    <row r="1203" spans="1:28" x14ac:dyDescent="0.25">
      <c r="A1203" t="s">
        <v>1207</v>
      </c>
      <c r="B1203">
        <v>0.99472303558308395</v>
      </c>
      <c r="C1203">
        <v>0.865256743764379</v>
      </c>
      <c r="D1203">
        <v>0.58371415269111204</v>
      </c>
      <c r="E1203">
        <v>0.43049245462362501</v>
      </c>
      <c r="F1203">
        <v>0.24151082649330299</v>
      </c>
      <c r="G1203">
        <v>6.1586416437252003E-2</v>
      </c>
      <c r="H1203">
        <v>4.9070707798758197E-2</v>
      </c>
      <c r="I1203">
        <v>2.2649833833194299E-2</v>
      </c>
      <c r="J1203">
        <v>4.2076617634672499E-2</v>
      </c>
      <c r="K1203">
        <v>2.3203173189608999E-2</v>
      </c>
      <c r="L1203">
        <v>593.61990753786301</v>
      </c>
      <c r="M1203">
        <v>13.1847704394273</v>
      </c>
      <c r="N1203">
        <v>45.0439142337896</v>
      </c>
      <c r="O1203">
        <v>44.025206143219798</v>
      </c>
      <c r="P1203">
        <v>-7.4656201872354694E-2</v>
      </c>
      <c r="Q1203">
        <v>3.0295540649790398E-3</v>
      </c>
      <c r="R1203">
        <v>0.98966648292618697</v>
      </c>
      <c r="S1203" t="s">
        <v>7771</v>
      </c>
      <c r="T1203" t="s">
        <v>13134</v>
      </c>
      <c r="U1203" t="s">
        <v>13134</v>
      </c>
      <c r="V1203" t="s">
        <v>13134</v>
      </c>
      <c r="W1203" t="s">
        <v>14309</v>
      </c>
      <c r="X1203">
        <v>2</v>
      </c>
      <c r="Y1203" t="s">
        <v>20796</v>
      </c>
      <c r="Z1203" t="s">
        <v>27171</v>
      </c>
      <c r="AA1203">
        <v>0.30009668961405989</v>
      </c>
      <c r="AB1203" t="str">
        <f>HYPERLINK("Melting_Curves/meltCurve_J3KNR6_PTDSS1.pdf", "Melting_Curves/meltCurve_J3KNR6_PTDSS1.pdf")</f>
        <v>Melting_Curves/meltCurve_J3KNR6_PTDSS1.pdf</v>
      </c>
    </row>
    <row r="1204" spans="1:28" x14ac:dyDescent="0.25">
      <c r="A1204" t="s">
        <v>1208</v>
      </c>
      <c r="B1204">
        <v>0.99472303558308395</v>
      </c>
      <c r="C1204">
        <v>0.92046061074107499</v>
      </c>
      <c r="D1204">
        <v>0.86672838333008195</v>
      </c>
      <c r="E1204">
        <v>0.50678987890707505</v>
      </c>
      <c r="F1204">
        <v>0.24967259955722701</v>
      </c>
      <c r="G1204">
        <v>0.17086579982005201</v>
      </c>
      <c r="H1204">
        <v>0.101387954829794</v>
      </c>
      <c r="I1204">
        <v>7.8193494180703094E-2</v>
      </c>
      <c r="J1204">
        <v>7.2259848404853902E-2</v>
      </c>
      <c r="K1204">
        <v>5.0527615669103298E-2</v>
      </c>
      <c r="L1204">
        <v>855.72100289813</v>
      </c>
      <c r="M1204">
        <v>18.399718263999301</v>
      </c>
      <c r="N1204">
        <v>46.878728623533902</v>
      </c>
      <c r="O1204">
        <v>45.968380500217798</v>
      </c>
      <c r="P1204">
        <v>-9.3283932991748197E-2</v>
      </c>
      <c r="Q1204">
        <v>6.7829788393351506E-2</v>
      </c>
      <c r="R1204">
        <v>0.99654756926079302</v>
      </c>
      <c r="S1204" t="s">
        <v>7772</v>
      </c>
      <c r="T1204" t="s">
        <v>13134</v>
      </c>
      <c r="U1204" t="s">
        <v>13134</v>
      </c>
      <c r="V1204" t="s">
        <v>13134</v>
      </c>
      <c r="W1204" t="s">
        <v>14310</v>
      </c>
      <c r="X1204">
        <v>2</v>
      </c>
      <c r="Y1204" t="s">
        <v>20797</v>
      </c>
      <c r="Z1204" t="s">
        <v>27172</v>
      </c>
      <c r="AA1204">
        <v>0.37761824280922202</v>
      </c>
      <c r="AB1204" t="str">
        <f>HYPERLINK("Melting_Curves/meltCurve_J3KNS3_ZNF385A.pdf", "Melting_Curves/meltCurve_J3KNS3_ZNF385A.pdf")</f>
        <v>Melting_Curves/meltCurve_J3KNS3_ZNF385A.pdf</v>
      </c>
    </row>
    <row r="1205" spans="1:28" x14ac:dyDescent="0.25">
      <c r="A1205" t="s">
        <v>1209</v>
      </c>
      <c r="B1205">
        <v>0.99472303558308395</v>
      </c>
      <c r="C1205">
        <v>0.86018753075043097</v>
      </c>
      <c r="D1205">
        <v>0.833466071610657</v>
      </c>
      <c r="E1205">
        <v>0.66222944437005005</v>
      </c>
      <c r="F1205">
        <v>0.44765337137160699</v>
      </c>
      <c r="G1205">
        <v>0.19926753098968</v>
      </c>
      <c r="H1205">
        <v>0.12831473913545199</v>
      </c>
      <c r="I1205">
        <v>9.7682955149630699E-2</v>
      </c>
      <c r="J1205">
        <v>9.9296139009282497E-2</v>
      </c>
      <c r="K1205">
        <v>7.9081497582057597E-2</v>
      </c>
      <c r="L1205">
        <v>605.680195467418</v>
      </c>
      <c r="M1205">
        <v>12.5008698177475</v>
      </c>
      <c r="N1205">
        <v>48.716587395702</v>
      </c>
      <c r="O1205">
        <v>47.261329893282799</v>
      </c>
      <c r="P1205">
        <v>-6.3961637298622295E-2</v>
      </c>
      <c r="Q1205">
        <v>3.2934875219041898E-2</v>
      </c>
      <c r="R1205">
        <v>0.98987283418740202</v>
      </c>
      <c r="S1205" t="s">
        <v>7773</v>
      </c>
      <c r="T1205" t="s">
        <v>13134</v>
      </c>
      <c r="U1205" t="s">
        <v>13134</v>
      </c>
      <c r="V1205" t="s">
        <v>13134</v>
      </c>
      <c r="W1205" t="s">
        <v>14311</v>
      </c>
      <c r="X1205">
        <v>3</v>
      </c>
      <c r="Y1205" t="s">
        <v>20798</v>
      </c>
      <c r="Z1205" t="s">
        <v>27173</v>
      </c>
      <c r="AA1205">
        <v>0.42998502769940228</v>
      </c>
      <c r="AB1205" t="str">
        <f>HYPERLINK("Melting_Curves/meltCurve_J3KNU8_ALDH6A1.pdf", "Melting_Curves/meltCurve_J3KNU8_ALDH6A1.pdf")</f>
        <v>Melting_Curves/meltCurve_J3KNU8_ALDH6A1.pdf</v>
      </c>
    </row>
    <row r="1206" spans="1:28" x14ac:dyDescent="0.25">
      <c r="A1206" t="s">
        <v>1210</v>
      </c>
      <c r="B1206">
        <v>0.99472303558308395</v>
      </c>
      <c r="C1206">
        <v>0.88640553570123604</v>
      </c>
      <c r="D1206">
        <v>0.88261858639578505</v>
      </c>
      <c r="E1206">
        <v>0.58506560140228103</v>
      </c>
      <c r="F1206">
        <v>0.39808375217804298</v>
      </c>
      <c r="G1206">
        <v>0.116015952774135</v>
      </c>
      <c r="H1206">
        <v>5.6703460700417402E-2</v>
      </c>
      <c r="I1206">
        <v>3.9723610269033698E-2</v>
      </c>
      <c r="J1206">
        <v>4.8255729100099301E-2</v>
      </c>
      <c r="K1206">
        <v>3.4150228532375398E-2</v>
      </c>
      <c r="L1206">
        <v>724.31180539836896</v>
      </c>
      <c r="M1206">
        <v>15.103443040006299</v>
      </c>
      <c r="N1206">
        <v>47.986188876251397</v>
      </c>
      <c r="O1206">
        <v>47.139586199735596</v>
      </c>
      <c r="P1206">
        <v>-7.9737775330230895E-2</v>
      </c>
      <c r="Q1206">
        <v>4.6147520647046797E-3</v>
      </c>
      <c r="R1206">
        <v>0.99062903078624398</v>
      </c>
      <c r="S1206" t="s">
        <v>7774</v>
      </c>
      <c r="T1206" t="s">
        <v>13134</v>
      </c>
      <c r="U1206" t="s">
        <v>13134</v>
      </c>
      <c r="V1206" t="s">
        <v>13134</v>
      </c>
      <c r="W1206" t="s">
        <v>14312</v>
      </c>
      <c r="X1206">
        <v>5</v>
      </c>
      <c r="Y1206" t="s">
        <v>20799</v>
      </c>
      <c r="Z1206" t="s">
        <v>27174</v>
      </c>
      <c r="AA1206">
        <v>0.38984433123317019</v>
      </c>
      <c r="AB1206" t="str">
        <f>HYPERLINK("Melting_Curves/meltCurve_J3KNW0_FCHO2.pdf", "Melting_Curves/meltCurve_J3KNW0_FCHO2.pdf")</f>
        <v>Melting_Curves/meltCurve_J3KNW0_FCHO2.pdf</v>
      </c>
    </row>
    <row r="1207" spans="1:28" x14ac:dyDescent="0.25">
      <c r="A1207" t="s">
        <v>1211</v>
      </c>
      <c r="B1207">
        <v>0.99472303558308395</v>
      </c>
      <c r="C1207">
        <v>0.95232681505813199</v>
      </c>
      <c r="D1207">
        <v>0.87237939536800602</v>
      </c>
      <c r="E1207">
        <v>0.77506409822156497</v>
      </c>
      <c r="F1207">
        <v>0.57541144371661501</v>
      </c>
      <c r="G1207">
        <v>0.37816045636116602</v>
      </c>
      <c r="H1207">
        <v>0.25457429081293098</v>
      </c>
      <c r="I1207">
        <v>0.18494395329594099</v>
      </c>
      <c r="J1207">
        <v>0.20677118287524099</v>
      </c>
      <c r="K1207">
        <v>0.14542851733155601</v>
      </c>
      <c r="L1207">
        <v>620.21566138795299</v>
      </c>
      <c r="M1207">
        <v>12.3354820141848</v>
      </c>
      <c r="N1207">
        <v>51.3432831605583</v>
      </c>
      <c r="O1207">
        <v>49.0124261512806</v>
      </c>
      <c r="P1207">
        <v>-5.5834062344053401E-2</v>
      </c>
      <c r="Q1207">
        <v>0.112812886735013</v>
      </c>
      <c r="R1207">
        <v>0.99649372309673101</v>
      </c>
      <c r="S1207" t="s">
        <v>7775</v>
      </c>
      <c r="T1207" t="s">
        <v>13134</v>
      </c>
      <c r="U1207" t="s">
        <v>13134</v>
      </c>
      <c r="V1207" t="s">
        <v>13134</v>
      </c>
      <c r="W1207" t="s">
        <v>14313</v>
      </c>
      <c r="X1207">
        <v>9</v>
      </c>
      <c r="Y1207" t="s">
        <v>20800</v>
      </c>
      <c r="Z1207" t="s">
        <v>27175</v>
      </c>
      <c r="AA1207">
        <v>0.52913033508352081</v>
      </c>
      <c r="AB1207" t="str">
        <f>HYPERLINK("Melting_Curves/meltCurve_J3KNW4_FHL2.pdf", "Melting_Curves/meltCurve_J3KNW4_FHL2.pdf")</f>
        <v>Melting_Curves/meltCurve_J3KNW4_FHL2.pdf</v>
      </c>
    </row>
    <row r="1208" spans="1:28" x14ac:dyDescent="0.25">
      <c r="A1208" t="s">
        <v>1212</v>
      </c>
      <c r="B1208">
        <v>0.99472303558308395</v>
      </c>
      <c r="C1208">
        <v>0.89568002795089696</v>
      </c>
      <c r="D1208">
        <v>0.73719508496212005</v>
      </c>
      <c r="E1208">
        <v>0.39915055353054002</v>
      </c>
      <c r="F1208">
        <v>0.35315287798153799</v>
      </c>
      <c r="G1208">
        <v>0.17688556383085299</v>
      </c>
      <c r="H1208">
        <v>8.9869063649690897E-2</v>
      </c>
      <c r="I1208">
        <v>5.5225474846458698E-2</v>
      </c>
      <c r="J1208">
        <v>7.6965546389403602E-2</v>
      </c>
      <c r="K1208">
        <v>7.5225387113801695E-2</v>
      </c>
      <c r="L1208">
        <v>613.68236424987595</v>
      </c>
      <c r="M1208">
        <v>13.3907393201382</v>
      </c>
      <c r="N1208">
        <v>46.204035477353401</v>
      </c>
      <c r="O1208">
        <v>44.8429901080059</v>
      </c>
      <c r="P1208">
        <v>-7.0818894426983497E-2</v>
      </c>
      <c r="Q1208">
        <v>5.1514347303251502E-2</v>
      </c>
      <c r="R1208">
        <v>0.988017871430518</v>
      </c>
      <c r="S1208" t="s">
        <v>7776</v>
      </c>
      <c r="T1208" t="s">
        <v>13134</v>
      </c>
      <c r="U1208" t="s">
        <v>13134</v>
      </c>
      <c r="V1208" t="s">
        <v>13134</v>
      </c>
      <c r="W1208" t="s">
        <v>14314</v>
      </c>
      <c r="X1208">
        <v>1</v>
      </c>
      <c r="Y1208" t="s">
        <v>20801</v>
      </c>
      <c r="Z1208" t="s">
        <v>27176</v>
      </c>
      <c r="AA1208">
        <v>0.35782025761866132</v>
      </c>
      <c r="AB1208" t="str">
        <f>HYPERLINK("Melting_Curves/meltCurve_J3KNW7_CCDC41.pdf", "Melting_Curves/meltCurve_J3KNW7_CCDC41.pdf")</f>
        <v>Melting_Curves/meltCurve_J3KNW7_CCDC41.pdf</v>
      </c>
    </row>
    <row r="1209" spans="1:28" x14ac:dyDescent="0.25">
      <c r="A1209" t="s">
        <v>1213</v>
      </c>
      <c r="B1209">
        <v>0.99472303558308395</v>
      </c>
      <c r="C1209">
        <v>0.83984254789567003</v>
      </c>
      <c r="D1209">
        <v>0.73864485839188698</v>
      </c>
      <c r="E1209">
        <v>0.65186712775457001</v>
      </c>
      <c r="F1209">
        <v>0.46789929788842899</v>
      </c>
      <c r="G1209">
        <v>0.115857180649147</v>
      </c>
      <c r="H1209">
        <v>8.0384414584596303E-2</v>
      </c>
      <c r="I1209">
        <v>5.8238989849155702E-2</v>
      </c>
      <c r="J1209">
        <v>6.1590282011071598E-2</v>
      </c>
      <c r="K1209">
        <v>5.9716441253295803E-2</v>
      </c>
      <c r="L1209">
        <v>566.57380116772504</v>
      </c>
      <c r="M1209">
        <v>11.801105022095401</v>
      </c>
      <c r="N1209">
        <v>48.010211632307502</v>
      </c>
      <c r="O1209">
        <v>46.693853723669498</v>
      </c>
      <c r="P1209">
        <v>-6.3199643565045593E-2</v>
      </c>
      <c r="Q1209">
        <v>0</v>
      </c>
      <c r="R1209">
        <v>0.970791370948342</v>
      </c>
      <c r="S1209" t="s">
        <v>7777</v>
      </c>
      <c r="T1209" t="s">
        <v>13134</v>
      </c>
      <c r="U1209" t="s">
        <v>13134</v>
      </c>
      <c r="V1209" t="s">
        <v>13134</v>
      </c>
      <c r="W1209" t="s">
        <v>14315</v>
      </c>
      <c r="X1209">
        <v>17</v>
      </c>
      <c r="Y1209" t="s">
        <v>20802</v>
      </c>
      <c r="Z1209" t="s">
        <v>27177</v>
      </c>
      <c r="AA1209">
        <v>0.39906864397021352</v>
      </c>
      <c r="AB1209" t="str">
        <f>HYPERLINK("Melting_Curves/meltCurve_J3KNX9_MYO18A.pdf", "Melting_Curves/meltCurve_J3KNX9_MYO18A.pdf")</f>
        <v>Melting_Curves/meltCurve_J3KNX9_MYO18A.pdf</v>
      </c>
    </row>
    <row r="1210" spans="1:28" x14ac:dyDescent="0.25">
      <c r="A1210" t="s">
        <v>1214</v>
      </c>
      <c r="B1210">
        <v>0.99472303558308395</v>
      </c>
      <c r="C1210">
        <v>0.94272277255441705</v>
      </c>
      <c r="D1210">
        <v>0.75724647496233699</v>
      </c>
      <c r="E1210">
        <v>0.61959307835852295</v>
      </c>
      <c r="F1210">
        <v>0.84192289878345405</v>
      </c>
      <c r="G1210">
        <v>0.214288201247468</v>
      </c>
      <c r="H1210">
        <v>0.104399981461342</v>
      </c>
      <c r="I1210">
        <v>8.4762207260018402E-2</v>
      </c>
      <c r="J1210">
        <v>0.117662031590135</v>
      </c>
      <c r="K1210">
        <v>0.10651342223345001</v>
      </c>
      <c r="L1210">
        <v>564.94739888219704</v>
      </c>
      <c r="M1210">
        <v>11.164522895413</v>
      </c>
      <c r="N1210">
        <v>50.602017860171003</v>
      </c>
      <c r="O1210">
        <v>49.059992944911798</v>
      </c>
      <c r="P1210">
        <v>-5.6910323049230098E-2</v>
      </c>
      <c r="Q1210">
        <v>0</v>
      </c>
      <c r="R1210">
        <v>0.88129625970578496</v>
      </c>
      <c r="S1210" t="s">
        <v>7778</v>
      </c>
      <c r="T1210" t="s">
        <v>13134</v>
      </c>
      <c r="U1210" t="s">
        <v>13134</v>
      </c>
      <c r="V1210" t="s">
        <v>13134</v>
      </c>
      <c r="W1210" t="s">
        <v>14316</v>
      </c>
      <c r="X1210">
        <v>8</v>
      </c>
      <c r="Y1210" t="s">
        <v>20803</v>
      </c>
      <c r="Z1210" t="s">
        <v>27178</v>
      </c>
      <c r="AA1210">
        <v>0.48229237903200201</v>
      </c>
      <c r="AB1210" t="str">
        <f>HYPERLINK("Melting_Curves/meltCurve_J3KNY6_RGPD4.pdf", "Melting_Curves/meltCurve_J3KNY6_RGPD4.pdf")</f>
        <v>Melting_Curves/meltCurve_J3KNY6_RGPD4.pdf</v>
      </c>
    </row>
    <row r="1211" spans="1:28" x14ac:dyDescent="0.25">
      <c r="A1211" t="s">
        <v>1215</v>
      </c>
      <c r="B1211">
        <v>0.99472303558308395</v>
      </c>
      <c r="C1211">
        <v>0.93302551562511604</v>
      </c>
      <c r="D1211">
        <v>0.81108802692934201</v>
      </c>
      <c r="E1211">
        <v>0.54365550722592004</v>
      </c>
      <c r="F1211">
        <v>0.39931348903039998</v>
      </c>
      <c r="G1211">
        <v>0.18721851364626199</v>
      </c>
      <c r="H1211">
        <v>9.5116462687220599E-2</v>
      </c>
      <c r="I1211">
        <v>6.5357267711248307E-2</v>
      </c>
      <c r="J1211">
        <v>0.114449922516473</v>
      </c>
      <c r="K1211">
        <v>7.3636572581272194E-2</v>
      </c>
      <c r="L1211">
        <v>650.51932204552497</v>
      </c>
      <c r="M1211">
        <v>13.750348878971501</v>
      </c>
      <c r="N1211">
        <v>47.677030730936202</v>
      </c>
      <c r="O1211">
        <v>46.342336216030198</v>
      </c>
      <c r="P1211">
        <v>-7.0455966131258305E-2</v>
      </c>
      <c r="Q1211">
        <v>5.0313306451450497E-2</v>
      </c>
      <c r="R1211">
        <v>0.99400406087710502</v>
      </c>
      <c r="S1211" t="s">
        <v>7779</v>
      </c>
      <c r="T1211" t="s">
        <v>13134</v>
      </c>
      <c r="U1211" t="s">
        <v>13134</v>
      </c>
      <c r="V1211" t="s">
        <v>13134</v>
      </c>
      <c r="W1211" t="s">
        <v>14317</v>
      </c>
      <c r="X1211">
        <v>5</v>
      </c>
      <c r="Y1211" t="s">
        <v>20804</v>
      </c>
      <c r="Z1211" t="s">
        <v>27179</v>
      </c>
      <c r="AA1211">
        <v>0.40133108742951229</v>
      </c>
      <c r="AB1211" t="str">
        <f>HYPERLINK("Melting_Curves/meltCurve_J3KNZ9_FBRS.pdf", "Melting_Curves/meltCurve_J3KNZ9_FBRS.pdf")</f>
        <v>Melting_Curves/meltCurve_J3KNZ9_FBRS.pdf</v>
      </c>
    </row>
    <row r="1212" spans="1:28" x14ac:dyDescent="0.25">
      <c r="A1212" t="s">
        <v>1216</v>
      </c>
      <c r="B1212">
        <v>0.99472303558308395</v>
      </c>
      <c r="C1212">
        <v>0.94341291112383197</v>
      </c>
      <c r="D1212">
        <v>1.0138450840926601</v>
      </c>
      <c r="E1212">
        <v>0.83811237224910196</v>
      </c>
      <c r="F1212">
        <v>0.63970417254573197</v>
      </c>
      <c r="G1212">
        <v>0.519140573506777</v>
      </c>
      <c r="H1212">
        <v>0.42431972907251903</v>
      </c>
      <c r="I1212">
        <v>0.43062577073709202</v>
      </c>
      <c r="J1212">
        <v>0.63258201301186201</v>
      </c>
      <c r="K1212">
        <v>0.50334342763234297</v>
      </c>
      <c r="L1212">
        <v>1328.3736561964499</v>
      </c>
      <c r="M1212">
        <v>27.603443521512599</v>
      </c>
      <c r="N1212">
        <v>59.8759799584154</v>
      </c>
      <c r="O1212">
        <v>47.873031749882799</v>
      </c>
      <c r="P1212">
        <v>-7.2394990382773805E-2</v>
      </c>
      <c r="Q1212">
        <v>0.49778205069042802</v>
      </c>
      <c r="R1212">
        <v>0.93117245295985895</v>
      </c>
      <c r="S1212" t="s">
        <v>7780</v>
      </c>
      <c r="T1212" t="s">
        <v>13134</v>
      </c>
      <c r="U1212" t="s">
        <v>13134</v>
      </c>
      <c r="V1212" t="s">
        <v>13134</v>
      </c>
      <c r="W1212" t="s">
        <v>14318</v>
      </c>
      <c r="X1212">
        <v>10</v>
      </c>
      <c r="Y1212" t="s">
        <v>20805</v>
      </c>
      <c r="Z1212" t="s">
        <v>27180</v>
      </c>
      <c r="AA1212">
        <v>0.68751748588308792</v>
      </c>
      <c r="AB1212" t="str">
        <f>HYPERLINK("Melting_Curves/meltCurve_J3KP15_SRSF2.pdf", "Melting_Curves/meltCurve_J3KP15_SRSF2.pdf")</f>
        <v>Melting_Curves/meltCurve_J3KP15_SRSF2.pdf</v>
      </c>
    </row>
    <row r="1213" spans="1:28" x14ac:dyDescent="0.25">
      <c r="A1213" t="s">
        <v>1217</v>
      </c>
      <c r="B1213">
        <v>0.99472303558308395</v>
      </c>
      <c r="C1213">
        <v>0.98104283388683999</v>
      </c>
      <c r="D1213">
        <v>0.80179032975855702</v>
      </c>
      <c r="E1213">
        <v>0.52956166668915805</v>
      </c>
      <c r="F1213">
        <v>0.333441973155502</v>
      </c>
      <c r="G1213">
        <v>0.247122390609777</v>
      </c>
      <c r="H1213">
        <v>0.18736153332765099</v>
      </c>
      <c r="I1213">
        <v>0.14323382401384499</v>
      </c>
      <c r="J1213">
        <v>0.16260955884348899</v>
      </c>
      <c r="K1213">
        <v>0.13326592715555499</v>
      </c>
      <c r="L1213">
        <v>767.29215505638001</v>
      </c>
      <c r="M1213">
        <v>16.593843732795001</v>
      </c>
      <c r="N1213">
        <v>47.224686080441003</v>
      </c>
      <c r="O1213">
        <v>45.583682935953</v>
      </c>
      <c r="P1213">
        <v>-7.7698728953007098E-2</v>
      </c>
      <c r="Q1213">
        <v>0.14629700856413999</v>
      </c>
      <c r="R1213">
        <v>0.99702106670963897</v>
      </c>
      <c r="S1213" t="s">
        <v>7781</v>
      </c>
      <c r="T1213" t="s">
        <v>13134</v>
      </c>
      <c r="U1213" t="s">
        <v>13134</v>
      </c>
      <c r="V1213" t="s">
        <v>13134</v>
      </c>
      <c r="W1213" t="s">
        <v>14319</v>
      </c>
      <c r="X1213">
        <v>3</v>
      </c>
      <c r="Y1213" t="s">
        <v>20806</v>
      </c>
      <c r="Z1213" t="s">
        <v>27181</v>
      </c>
      <c r="AA1213">
        <v>0.42536877170238629</v>
      </c>
      <c r="AB1213" t="str">
        <f>HYPERLINK("Melting_Curves/meltCurve_J3KP20_NTRK1.pdf", "Melting_Curves/meltCurve_J3KP20_NTRK1.pdf")</f>
        <v>Melting_Curves/meltCurve_J3KP20_NTRK1.pdf</v>
      </c>
    </row>
    <row r="1214" spans="1:28" x14ac:dyDescent="0.25">
      <c r="A1214" t="s">
        <v>1218</v>
      </c>
      <c r="B1214">
        <v>0.99472303558308395</v>
      </c>
      <c r="C1214">
        <v>0.92365584369899101</v>
      </c>
      <c r="D1214">
        <v>0.96850743880835399</v>
      </c>
      <c r="E1214">
        <v>0.89790227550878299</v>
      </c>
      <c r="F1214">
        <v>0.75698505079600198</v>
      </c>
      <c r="G1214">
        <v>0.25095844977288401</v>
      </c>
      <c r="H1214">
        <v>0.17166672274189301</v>
      </c>
      <c r="I1214">
        <v>0.18690344342593901</v>
      </c>
      <c r="J1214">
        <v>0.15604628086046901</v>
      </c>
      <c r="K1214">
        <v>0.10694304736270201</v>
      </c>
      <c r="L1214">
        <v>1923.86968974705</v>
      </c>
      <c r="M1214">
        <v>37.517964482872301</v>
      </c>
      <c r="N1214">
        <v>51.759987867352997</v>
      </c>
      <c r="O1214">
        <v>51.133596240404501</v>
      </c>
      <c r="P1214">
        <v>-0.156416765513129</v>
      </c>
      <c r="Q1214">
        <v>0.14727464379930399</v>
      </c>
      <c r="R1214">
        <v>0.98725367112653695</v>
      </c>
      <c r="S1214" t="s">
        <v>7782</v>
      </c>
      <c r="T1214" t="s">
        <v>13134</v>
      </c>
      <c r="U1214" t="s">
        <v>13134</v>
      </c>
      <c r="V1214" t="s">
        <v>13134</v>
      </c>
      <c r="W1214" t="s">
        <v>14320</v>
      </c>
      <c r="X1214">
        <v>8</v>
      </c>
      <c r="Y1214" t="s">
        <v>20807</v>
      </c>
      <c r="Z1214" t="s">
        <v>27182</v>
      </c>
      <c r="AA1214">
        <v>0.55656298285020445</v>
      </c>
      <c r="AB1214" t="str">
        <f>HYPERLINK("Melting_Curves/meltCurve_J3KP22_PTPRA.pdf", "Melting_Curves/meltCurve_J3KP22_PTPRA.pdf")</f>
        <v>Melting_Curves/meltCurve_J3KP22_PTPRA.pdf</v>
      </c>
    </row>
    <row r="1215" spans="1:28" x14ac:dyDescent="0.25">
      <c r="A1215" t="s">
        <v>1219</v>
      </c>
      <c r="B1215">
        <v>0.99472303558308395</v>
      </c>
      <c r="C1215">
        <v>0.83386567621880803</v>
      </c>
      <c r="D1215">
        <v>0.66841481021613602</v>
      </c>
      <c r="E1215">
        <v>0.59268419656378502</v>
      </c>
      <c r="F1215">
        <v>0.390220697336363</v>
      </c>
      <c r="G1215">
        <v>0.34176975673181897</v>
      </c>
      <c r="H1215">
        <v>0.14285736204765601</v>
      </c>
      <c r="I1215">
        <v>5.5515944586088398E-2</v>
      </c>
      <c r="J1215">
        <v>5.3908177541203597E-2</v>
      </c>
      <c r="K1215">
        <v>4.5006518076620199E-2</v>
      </c>
      <c r="L1215">
        <v>447.76403568107997</v>
      </c>
      <c r="M1215">
        <v>9.3852565624695892</v>
      </c>
      <c r="N1215">
        <v>47.709313163153901</v>
      </c>
      <c r="O1215">
        <v>45.693638776380801</v>
      </c>
      <c r="P1215">
        <v>-5.13806235877022E-2</v>
      </c>
      <c r="Q1215">
        <v>0</v>
      </c>
      <c r="R1215">
        <v>0.97905812972531103</v>
      </c>
      <c r="S1215" t="s">
        <v>7783</v>
      </c>
      <c r="T1215" t="s">
        <v>13134</v>
      </c>
      <c r="U1215" t="s">
        <v>13134</v>
      </c>
      <c r="V1215" t="s">
        <v>13134</v>
      </c>
      <c r="W1215" t="s">
        <v>14321</v>
      </c>
      <c r="X1215">
        <v>5</v>
      </c>
      <c r="Y1215" t="s">
        <v>20808</v>
      </c>
      <c r="Z1215" t="s">
        <v>27183</v>
      </c>
      <c r="AA1215">
        <v>0.40146017475222562</v>
      </c>
      <c r="AB1215" t="str">
        <f>HYPERLINK("Melting_Curves/meltCurve_J3KP27_TRAPPC4.pdf", "Melting_Curves/meltCurve_J3KP27_TRAPPC4.pdf")</f>
        <v>Melting_Curves/meltCurve_J3KP27_TRAPPC4.pdf</v>
      </c>
    </row>
    <row r="1216" spans="1:28" x14ac:dyDescent="0.25">
      <c r="A1216" t="s">
        <v>1220</v>
      </c>
      <c r="B1216">
        <v>0.99472303558308395</v>
      </c>
      <c r="C1216">
        <v>0.94025805805417995</v>
      </c>
      <c r="D1216">
        <v>0.76560064837496</v>
      </c>
      <c r="E1216">
        <v>0.59798013908266301</v>
      </c>
      <c r="F1216">
        <v>0.33866917870976199</v>
      </c>
      <c r="G1216">
        <v>0.17701649808585099</v>
      </c>
      <c r="H1216">
        <v>0.12539130271215099</v>
      </c>
      <c r="I1216">
        <v>0.105619426755556</v>
      </c>
      <c r="J1216">
        <v>0.16560644703930399</v>
      </c>
      <c r="K1216">
        <v>0.183054428634123</v>
      </c>
      <c r="L1216">
        <v>739.35444481382603</v>
      </c>
      <c r="M1216">
        <v>15.9006260891391</v>
      </c>
      <c r="N1216">
        <v>47.335378723713802</v>
      </c>
      <c r="O1216">
        <v>45.781627775817</v>
      </c>
      <c r="P1216">
        <v>-7.6195031464075899E-2</v>
      </c>
      <c r="Q1216">
        <v>0.12253714078314</v>
      </c>
      <c r="R1216">
        <v>0.98909092139114996</v>
      </c>
      <c r="S1216" t="s">
        <v>7784</v>
      </c>
      <c r="T1216" t="s">
        <v>13134</v>
      </c>
      <c r="U1216" t="s">
        <v>13134</v>
      </c>
      <c r="V1216" t="s">
        <v>13134</v>
      </c>
      <c r="W1216" t="s">
        <v>14322</v>
      </c>
      <c r="X1216">
        <v>18</v>
      </c>
      <c r="Y1216" t="s">
        <v>20809</v>
      </c>
      <c r="Z1216" t="s">
        <v>27184</v>
      </c>
      <c r="AA1216">
        <v>0.41827968469877669</v>
      </c>
      <c r="AB1216" t="str">
        <f>HYPERLINK("Melting_Curves/meltCurve_J3KP36_FAM21C.pdf", "Melting_Curves/meltCurve_J3KP36_FAM21C.pdf")</f>
        <v>Melting_Curves/meltCurve_J3KP36_FAM21C.pdf</v>
      </c>
    </row>
    <row r="1217" spans="1:28" x14ac:dyDescent="0.25">
      <c r="A1217" t="s">
        <v>1221</v>
      </c>
      <c r="B1217">
        <v>0.99472303558308395</v>
      </c>
      <c r="C1217">
        <v>1.0307324188034701</v>
      </c>
      <c r="D1217">
        <v>0.98244192042310297</v>
      </c>
      <c r="E1217">
        <v>0.85641665405902201</v>
      </c>
      <c r="F1217">
        <v>0.70812986424814095</v>
      </c>
      <c r="G1217">
        <v>0.46457308870433101</v>
      </c>
      <c r="H1217">
        <v>0.41795433666227</v>
      </c>
      <c r="I1217">
        <v>0.358278489159436</v>
      </c>
      <c r="J1217">
        <v>0.493825985165048</v>
      </c>
      <c r="K1217">
        <v>0.50938735725393602</v>
      </c>
      <c r="L1217">
        <v>1221.72593234277</v>
      </c>
      <c r="M1217">
        <v>24.7405475865786</v>
      </c>
      <c r="N1217">
        <v>53.856028470315799</v>
      </c>
      <c r="O1217">
        <v>49.0622896750669</v>
      </c>
      <c r="P1217">
        <v>-7.1104527418490507E-2</v>
      </c>
      <c r="Q1217">
        <v>0.43598628695990799</v>
      </c>
      <c r="R1217">
        <v>0.96407003616575904</v>
      </c>
      <c r="S1217" t="s">
        <v>7785</v>
      </c>
      <c r="T1217" t="s">
        <v>13134</v>
      </c>
      <c r="U1217" t="s">
        <v>13134</v>
      </c>
      <c r="V1217" t="s">
        <v>13134</v>
      </c>
      <c r="W1217" t="s">
        <v>14323</v>
      </c>
      <c r="X1217">
        <v>6</v>
      </c>
      <c r="Y1217" t="s">
        <v>20810</v>
      </c>
      <c r="Z1217" t="s">
        <v>27185</v>
      </c>
      <c r="AA1217">
        <v>0.67376162690979868</v>
      </c>
      <c r="AB1217" t="str">
        <f>HYPERLINK("Melting_Curves/meltCurve_J3KP75_PHACTR2.pdf", "Melting_Curves/meltCurve_J3KP75_PHACTR2.pdf")</f>
        <v>Melting_Curves/meltCurve_J3KP75_PHACTR2.pdf</v>
      </c>
    </row>
    <row r="1218" spans="1:28" x14ac:dyDescent="0.25">
      <c r="A1218" t="s">
        <v>1222</v>
      </c>
      <c r="B1218">
        <v>0.99472303558308395</v>
      </c>
      <c r="C1218">
        <v>1.0469640627192101</v>
      </c>
      <c r="D1218">
        <v>0.91004088898189694</v>
      </c>
      <c r="E1218">
        <v>0.63411620012460701</v>
      </c>
      <c r="F1218">
        <v>0.27516141988201698</v>
      </c>
      <c r="G1218">
        <v>0.14215277388702799</v>
      </c>
      <c r="H1218">
        <v>8.7435674191528201E-2</v>
      </c>
      <c r="I1218">
        <v>8.41094024506754E-2</v>
      </c>
      <c r="J1218">
        <v>7.2495912839239701E-2</v>
      </c>
      <c r="K1218">
        <v>8.3573750874005995E-2</v>
      </c>
      <c r="L1218">
        <v>1107.24140108339</v>
      </c>
      <c r="M1218">
        <v>23.345856374821299</v>
      </c>
      <c r="N1218">
        <v>47.774098039462203</v>
      </c>
      <c r="O1218">
        <v>47.083872960390202</v>
      </c>
      <c r="P1218">
        <v>-0.11431051123901299</v>
      </c>
      <c r="Q1218">
        <v>7.7851518976268699E-2</v>
      </c>
      <c r="R1218">
        <v>0.997575794966857</v>
      </c>
      <c r="S1218" t="s">
        <v>7786</v>
      </c>
      <c r="T1218" t="s">
        <v>13134</v>
      </c>
      <c r="U1218" t="s">
        <v>13134</v>
      </c>
      <c r="V1218" t="s">
        <v>13134</v>
      </c>
      <c r="W1218" t="s">
        <v>14324</v>
      </c>
      <c r="X1218">
        <v>10</v>
      </c>
      <c r="Y1218" t="s">
        <v>20811</v>
      </c>
      <c r="Z1218" t="s">
        <v>27186</v>
      </c>
      <c r="AA1218">
        <v>0.40731283675316821</v>
      </c>
      <c r="AB1218" t="str">
        <f>HYPERLINK("Melting_Curves/meltCurve_J3KPC5_RAP1GAP.pdf", "Melting_Curves/meltCurve_J3KPC5_RAP1GAP.pdf")</f>
        <v>Melting_Curves/meltCurve_J3KPC5_RAP1GAP.pdf</v>
      </c>
    </row>
    <row r="1219" spans="1:28" x14ac:dyDescent="0.25">
      <c r="A1219" t="s">
        <v>1223</v>
      </c>
      <c r="B1219">
        <v>0.99472303558308395</v>
      </c>
      <c r="C1219">
        <v>0.82324244297350202</v>
      </c>
      <c r="D1219">
        <v>0.67489680544500497</v>
      </c>
      <c r="E1219">
        <v>0.54948488887615099</v>
      </c>
      <c r="F1219">
        <v>0.37873169946377999</v>
      </c>
      <c r="G1219">
        <v>0.13332919257790801</v>
      </c>
      <c r="H1219">
        <v>8.6781845593845303E-2</v>
      </c>
      <c r="I1219">
        <v>6.2567815783017899E-2</v>
      </c>
      <c r="J1219">
        <v>8.7388323026197007E-2</v>
      </c>
      <c r="K1219">
        <v>9.4962324989201694E-2</v>
      </c>
      <c r="L1219">
        <v>511.66792937104401</v>
      </c>
      <c r="M1219">
        <v>11.001494640904999</v>
      </c>
      <c r="N1219">
        <v>46.672688338325699</v>
      </c>
      <c r="O1219">
        <v>45.051513599164899</v>
      </c>
      <c r="P1219">
        <v>-5.9914080520917297E-2</v>
      </c>
      <c r="Q1219">
        <v>1.8929682390116501E-2</v>
      </c>
      <c r="R1219">
        <v>0.98185712017360105</v>
      </c>
      <c r="S1219" t="s">
        <v>7787</v>
      </c>
      <c r="T1219" t="s">
        <v>13134</v>
      </c>
      <c r="U1219" t="s">
        <v>13134</v>
      </c>
      <c r="V1219" t="s">
        <v>13134</v>
      </c>
      <c r="W1219" t="s">
        <v>14325</v>
      </c>
      <c r="X1219">
        <v>2</v>
      </c>
      <c r="Y1219" t="s">
        <v>20812</v>
      </c>
      <c r="Z1219" t="s">
        <v>27187</v>
      </c>
      <c r="AA1219">
        <v>0.36783400979959929</v>
      </c>
      <c r="AB1219" t="str">
        <f>HYPERLINK("Melting_Curves/meltCurve_J3KPD3_RBM7.pdf", "Melting_Curves/meltCurve_J3KPD3_RBM7.pdf")</f>
        <v>Melting_Curves/meltCurve_J3KPD3_RBM7.pdf</v>
      </c>
    </row>
    <row r="1220" spans="1:28" x14ac:dyDescent="0.25">
      <c r="A1220" t="s">
        <v>1224</v>
      </c>
      <c r="B1220">
        <v>0.99472303558308395</v>
      </c>
      <c r="C1220">
        <v>1.2000904374240799</v>
      </c>
      <c r="D1220">
        <v>0.65142424087610795</v>
      </c>
      <c r="E1220">
        <v>0.74757866203084899</v>
      </c>
      <c r="F1220">
        <v>1.0315080983292899</v>
      </c>
      <c r="G1220">
        <v>0.23639586355625899</v>
      </c>
      <c r="H1220">
        <v>6.8134369852867999E-2</v>
      </c>
      <c r="I1220">
        <v>1.6816319406399698E-2</v>
      </c>
      <c r="J1220">
        <v>0</v>
      </c>
      <c r="K1220">
        <v>0</v>
      </c>
      <c r="L1220">
        <v>13381.852844503401</v>
      </c>
      <c r="M1220">
        <v>250</v>
      </c>
      <c r="N1220">
        <v>53.536706204721597</v>
      </c>
      <c r="O1220">
        <v>53.523985992298599</v>
      </c>
      <c r="P1220">
        <v>-1.1429015513218801</v>
      </c>
      <c r="Q1220">
        <v>2.12376554189945E-2</v>
      </c>
      <c r="R1220">
        <v>0.89028051340762604</v>
      </c>
      <c r="S1220" t="s">
        <v>7788</v>
      </c>
      <c r="T1220" t="s">
        <v>13134</v>
      </c>
      <c r="U1220" t="s">
        <v>13134</v>
      </c>
      <c r="V1220" t="s">
        <v>13134</v>
      </c>
      <c r="W1220" t="s">
        <v>14326</v>
      </c>
      <c r="X1220">
        <v>1</v>
      </c>
      <c r="Y1220" t="s">
        <v>20813</v>
      </c>
      <c r="Z1220" t="s">
        <v>27188</v>
      </c>
      <c r="AA1220">
        <v>0.56054319713899026</v>
      </c>
      <c r="AB1220" t="str">
        <f>HYPERLINK("Melting_Curves/meltCurve_J3KPF0_HECTD4.pdf", "Melting_Curves/meltCurve_J3KPF0_HECTD4.pdf")</f>
        <v>Melting_Curves/meltCurve_J3KPF0_HECTD4.pdf</v>
      </c>
    </row>
    <row r="1221" spans="1:28" x14ac:dyDescent="0.25">
      <c r="A1221" t="s">
        <v>1225</v>
      </c>
      <c r="B1221">
        <v>0.99472303558308395</v>
      </c>
      <c r="C1221">
        <v>0.90458539006180805</v>
      </c>
      <c r="D1221">
        <v>0.777881209765792</v>
      </c>
      <c r="E1221">
        <v>0.60785827204015797</v>
      </c>
      <c r="F1221">
        <v>0.37624915556009197</v>
      </c>
      <c r="G1221">
        <v>0.13222243295807201</v>
      </c>
      <c r="H1221">
        <v>7.5018612149917105E-2</v>
      </c>
      <c r="I1221">
        <v>6.86002385099828E-2</v>
      </c>
      <c r="J1221">
        <v>5.51806915679382E-2</v>
      </c>
      <c r="K1221">
        <v>5.2618907967546202E-2</v>
      </c>
      <c r="L1221">
        <v>636.43239124611205</v>
      </c>
      <c r="M1221">
        <v>13.3670616440646</v>
      </c>
      <c r="N1221">
        <v>47.692159054694102</v>
      </c>
      <c r="O1221">
        <v>46.584266967008098</v>
      </c>
      <c r="P1221">
        <v>-7.0950385828538007E-2</v>
      </c>
      <c r="Q1221">
        <v>1.11074585120477E-2</v>
      </c>
      <c r="R1221">
        <v>0.99360369150599603</v>
      </c>
      <c r="S1221" t="s">
        <v>7789</v>
      </c>
      <c r="T1221" t="s">
        <v>13134</v>
      </c>
      <c r="U1221" t="s">
        <v>13134</v>
      </c>
      <c r="V1221" t="s">
        <v>13134</v>
      </c>
      <c r="W1221" t="s">
        <v>14327</v>
      </c>
      <c r="X1221">
        <v>5</v>
      </c>
      <c r="Y1221" t="s">
        <v>20814</v>
      </c>
      <c r="Z1221" t="s">
        <v>27189</v>
      </c>
      <c r="AA1221">
        <v>0.38755302304300843</v>
      </c>
      <c r="AB1221" t="str">
        <f>HYPERLINK("Melting_Curves/meltCurve_J3KPF9_KIF3A.pdf", "Melting_Curves/meltCurve_J3KPF9_KIF3A.pdf")</f>
        <v>Melting_Curves/meltCurve_J3KPF9_KIF3A.pdf</v>
      </c>
    </row>
    <row r="1222" spans="1:28" x14ac:dyDescent="0.25">
      <c r="A1222" t="s">
        <v>1226</v>
      </c>
      <c r="B1222">
        <v>0.99472303558308395</v>
      </c>
      <c r="C1222">
        <v>0.94945755203395099</v>
      </c>
      <c r="D1222">
        <v>0.89990141335351104</v>
      </c>
      <c r="E1222">
        <v>0.70252932489414499</v>
      </c>
      <c r="F1222">
        <v>0.31129092287375598</v>
      </c>
      <c r="G1222">
        <v>0.13899107533969399</v>
      </c>
      <c r="H1222">
        <v>5.6891210002000099E-2</v>
      </c>
      <c r="I1222">
        <v>4.0638151032736797E-2</v>
      </c>
      <c r="J1222">
        <v>4.0215858080160302E-2</v>
      </c>
      <c r="K1222">
        <v>4.0175094930573703E-2</v>
      </c>
      <c r="L1222">
        <v>981.98080605392101</v>
      </c>
      <c r="M1222">
        <v>20.374836093885101</v>
      </c>
      <c r="N1222">
        <v>48.341648281746302</v>
      </c>
      <c r="O1222">
        <v>47.738691336669604</v>
      </c>
      <c r="P1222">
        <v>-0.103521480687636</v>
      </c>
      <c r="Q1222">
        <v>2.9816710476990801E-2</v>
      </c>
      <c r="R1222">
        <v>0.99809539126388203</v>
      </c>
      <c r="S1222" t="s">
        <v>7790</v>
      </c>
      <c r="T1222" t="s">
        <v>13134</v>
      </c>
      <c r="U1222" t="s">
        <v>13134</v>
      </c>
      <c r="V1222" t="s">
        <v>13134</v>
      </c>
      <c r="W1222" t="s">
        <v>14328</v>
      </c>
      <c r="X1222">
        <v>2</v>
      </c>
      <c r="Y1222" t="s">
        <v>20815</v>
      </c>
      <c r="Z1222" t="s">
        <v>27190</v>
      </c>
      <c r="AA1222">
        <v>0.40419855867984661</v>
      </c>
      <c r="AB1222" t="str">
        <f>HYPERLINK("Melting_Curves/meltCurve_J3KPJ3_CAMKK1.pdf", "Melting_Curves/meltCurve_J3KPJ3_CAMKK1.pdf")</f>
        <v>Melting_Curves/meltCurve_J3KPJ3_CAMKK1.pdf</v>
      </c>
    </row>
    <row r="1223" spans="1:28" x14ac:dyDescent="0.25">
      <c r="A1223" t="s">
        <v>1227</v>
      </c>
      <c r="B1223">
        <v>0.99472303558308395</v>
      </c>
      <c r="C1223">
        <v>0.90026532759363498</v>
      </c>
      <c r="D1223">
        <v>0.77658390572287095</v>
      </c>
      <c r="E1223">
        <v>0.62253750418434095</v>
      </c>
      <c r="F1223">
        <v>0.46556357310426599</v>
      </c>
      <c r="G1223">
        <v>0.128507864062363</v>
      </c>
      <c r="H1223">
        <v>0.112993471185202</v>
      </c>
      <c r="I1223">
        <v>5.48114584440079E-2</v>
      </c>
      <c r="J1223">
        <v>5.7010892658605199E-2</v>
      </c>
      <c r="K1223">
        <v>3.3139627525916503E-2</v>
      </c>
      <c r="L1223">
        <v>598.80565331963396</v>
      </c>
      <c r="M1223">
        <v>12.4166169525779</v>
      </c>
      <c r="N1223">
        <v>48.226151807777001</v>
      </c>
      <c r="O1223">
        <v>47.026486940433799</v>
      </c>
      <c r="P1223">
        <v>-6.6022598073457894E-2</v>
      </c>
      <c r="Q1223">
        <v>0</v>
      </c>
      <c r="R1223">
        <v>0.98589211925346298</v>
      </c>
      <c r="S1223" t="s">
        <v>7791</v>
      </c>
      <c r="T1223" t="s">
        <v>13134</v>
      </c>
      <c r="U1223" t="s">
        <v>13134</v>
      </c>
      <c r="V1223" t="s">
        <v>13134</v>
      </c>
      <c r="W1223" t="s">
        <v>14329</v>
      </c>
      <c r="X1223">
        <v>7</v>
      </c>
      <c r="Y1223" t="s">
        <v>20816</v>
      </c>
      <c r="Z1223" t="s">
        <v>27191</v>
      </c>
      <c r="AA1223">
        <v>0.40366467801507683</v>
      </c>
      <c r="AB1223" t="str">
        <f>HYPERLINK("Melting_Curves/meltCurve_J3KPK1_SYNJ1.pdf", "Melting_Curves/meltCurve_J3KPK1_SYNJ1.pdf")</f>
        <v>Melting_Curves/meltCurve_J3KPK1_SYNJ1.pdf</v>
      </c>
    </row>
    <row r="1224" spans="1:28" x14ac:dyDescent="0.25">
      <c r="A1224" t="s">
        <v>1228</v>
      </c>
      <c r="B1224">
        <v>0.99472303558308395</v>
      </c>
      <c r="C1224">
        <v>1.0376150317581601</v>
      </c>
      <c r="D1224">
        <v>0.83727410601993502</v>
      </c>
      <c r="E1224">
        <v>0.55920274054060704</v>
      </c>
      <c r="F1224">
        <v>0.217482842905311</v>
      </c>
      <c r="G1224">
        <v>0.13808836604514399</v>
      </c>
      <c r="H1224">
        <v>6.0775988304595401E-2</v>
      </c>
      <c r="I1224">
        <v>4.1301056843316801E-2</v>
      </c>
      <c r="J1224">
        <v>5.0485458589396501E-2</v>
      </c>
      <c r="K1224">
        <v>5.7528294267309397E-2</v>
      </c>
      <c r="L1224">
        <v>969.92157546365797</v>
      </c>
      <c r="M1224">
        <v>20.726087348199702</v>
      </c>
      <c r="N1224">
        <v>47.028801029664301</v>
      </c>
      <c r="O1224">
        <v>46.368025121941002</v>
      </c>
      <c r="P1224">
        <v>-0.106327779778778</v>
      </c>
      <c r="Q1224">
        <v>4.8528609962590799E-2</v>
      </c>
      <c r="R1224">
        <v>0.99568494564072696</v>
      </c>
      <c r="S1224" t="s">
        <v>7792</v>
      </c>
      <c r="T1224" t="s">
        <v>13134</v>
      </c>
      <c r="U1224" t="s">
        <v>13134</v>
      </c>
      <c r="V1224" t="s">
        <v>13134</v>
      </c>
      <c r="W1224" t="s">
        <v>14330</v>
      </c>
      <c r="X1224">
        <v>7</v>
      </c>
      <c r="Y1224" t="s">
        <v>20817</v>
      </c>
      <c r="Z1224" t="s">
        <v>27192</v>
      </c>
      <c r="AA1224">
        <v>0.37085335230333849</v>
      </c>
      <c r="AB1224" t="str">
        <f>HYPERLINK("Melting_Curves/meltCurve_J3KPL2_KDM1B.pdf", "Melting_Curves/meltCurve_J3KPL2_KDM1B.pdf")</f>
        <v>Melting_Curves/meltCurve_J3KPL2_KDM1B.pdf</v>
      </c>
    </row>
    <row r="1225" spans="1:28" x14ac:dyDescent="0.25">
      <c r="A1225" t="s">
        <v>1229</v>
      </c>
      <c r="B1225">
        <v>0.99472303558308395</v>
      </c>
      <c r="C1225">
        <v>1.0074149003146999</v>
      </c>
      <c r="D1225">
        <v>0.96226709692233403</v>
      </c>
      <c r="E1225">
        <v>0.76089273180567096</v>
      </c>
      <c r="F1225">
        <v>0.42031716934617602</v>
      </c>
      <c r="G1225">
        <v>0.21788720739609699</v>
      </c>
      <c r="H1225">
        <v>0.13670046423368601</v>
      </c>
      <c r="I1225">
        <v>0.109144052758284</v>
      </c>
      <c r="J1225">
        <v>0.12615464582518501</v>
      </c>
      <c r="K1225">
        <v>0.11227522300223899</v>
      </c>
      <c r="L1225">
        <v>1072.9400940801299</v>
      </c>
      <c r="M1225">
        <v>21.9988652574634</v>
      </c>
      <c r="N1225">
        <v>49.330841103128201</v>
      </c>
      <c r="O1225">
        <v>48.374842902046403</v>
      </c>
      <c r="P1225">
        <v>-0.101162924243554</v>
      </c>
      <c r="Q1225">
        <v>0.110202530794599</v>
      </c>
      <c r="R1225">
        <v>0.99957521105716296</v>
      </c>
      <c r="S1225" t="s">
        <v>7793</v>
      </c>
      <c r="T1225" t="s">
        <v>13134</v>
      </c>
      <c r="U1225" t="s">
        <v>13134</v>
      </c>
      <c r="V1225" t="s">
        <v>13134</v>
      </c>
      <c r="W1225" t="s">
        <v>14331</v>
      </c>
      <c r="X1225">
        <v>7</v>
      </c>
      <c r="Y1225" t="s">
        <v>20818</v>
      </c>
      <c r="Z1225" t="s">
        <v>27193</v>
      </c>
      <c r="AA1225">
        <v>0.46918124056991939</v>
      </c>
      <c r="AB1225" t="str">
        <f>HYPERLINK("Melting_Curves/meltCurve_J3KPN1_TESC.pdf", "Melting_Curves/meltCurve_J3KPN1_TESC.pdf")</f>
        <v>Melting_Curves/meltCurve_J3KPN1_TESC.pdf</v>
      </c>
    </row>
    <row r="1226" spans="1:28" x14ac:dyDescent="0.25">
      <c r="A1226" t="s">
        <v>1230</v>
      </c>
      <c r="B1226">
        <v>0.99472303558308395</v>
      </c>
      <c r="C1226">
        <v>0.97306532332076601</v>
      </c>
      <c r="D1226">
        <v>0.98999296609557297</v>
      </c>
      <c r="E1226">
        <v>0.94255124668218604</v>
      </c>
      <c r="F1226">
        <v>0.680959233341488</v>
      </c>
      <c r="G1226">
        <v>0.56037751708696604</v>
      </c>
      <c r="H1226">
        <v>0.16888351377803301</v>
      </c>
      <c r="I1226">
        <v>6.9303620077610706E-2</v>
      </c>
      <c r="J1226">
        <v>7.1838697248776603E-2</v>
      </c>
      <c r="K1226">
        <v>7.5381109704359406E-2</v>
      </c>
      <c r="L1226">
        <v>943.13987997979302</v>
      </c>
      <c r="M1226">
        <v>17.709584563922299</v>
      </c>
      <c r="N1226">
        <v>53.341780179515503</v>
      </c>
      <c r="O1226">
        <v>52.590773202219999</v>
      </c>
      <c r="P1226">
        <v>-8.3006953275169507E-2</v>
      </c>
      <c r="Q1226">
        <v>1.40547424111018E-2</v>
      </c>
      <c r="R1226">
        <v>0.98626733221922702</v>
      </c>
      <c r="S1226" t="s">
        <v>7794</v>
      </c>
      <c r="T1226" t="s">
        <v>13134</v>
      </c>
      <c r="U1226" t="s">
        <v>13134</v>
      </c>
      <c r="V1226" t="s">
        <v>13134</v>
      </c>
      <c r="W1226" t="s">
        <v>14332</v>
      </c>
      <c r="X1226">
        <v>12</v>
      </c>
      <c r="Y1226" t="s">
        <v>20819</v>
      </c>
      <c r="Z1226" t="s">
        <v>27194</v>
      </c>
      <c r="AA1226">
        <v>0.56274049403415283</v>
      </c>
      <c r="AB1226" t="str">
        <f>HYPERLINK("Melting_Curves/meltCurve_J3KPP7_ARRB1.pdf", "Melting_Curves/meltCurve_J3KPP7_ARRB1.pdf")</f>
        <v>Melting_Curves/meltCurve_J3KPP7_ARRB1.pdf</v>
      </c>
    </row>
    <row r="1227" spans="1:28" x14ac:dyDescent="0.25">
      <c r="A1227" t="s">
        <v>1231</v>
      </c>
      <c r="B1227">
        <v>0.99472303558308395</v>
      </c>
      <c r="C1227">
        <v>0.875013858204298</v>
      </c>
      <c r="D1227">
        <v>0.74898245752088799</v>
      </c>
      <c r="E1227">
        <v>0.56793473949446105</v>
      </c>
      <c r="F1227">
        <v>0.38405544252329199</v>
      </c>
      <c r="G1227">
        <v>0.19966312156566099</v>
      </c>
      <c r="H1227">
        <v>0.12026434239356899</v>
      </c>
      <c r="I1227">
        <v>8.19550698076454E-2</v>
      </c>
      <c r="J1227">
        <v>8.2294996055366998E-2</v>
      </c>
      <c r="K1227">
        <v>5.8360228838870203E-2</v>
      </c>
      <c r="L1227">
        <v>535.99051195183699</v>
      </c>
      <c r="M1227">
        <v>11.303886887846</v>
      </c>
      <c r="N1227">
        <v>47.558228640189299</v>
      </c>
      <c r="O1227">
        <v>46.005207284425097</v>
      </c>
      <c r="P1227">
        <v>-6.04280023859851E-2</v>
      </c>
      <c r="Q1227">
        <v>1.65653031541508E-2</v>
      </c>
      <c r="R1227">
        <v>0.99682836980246203</v>
      </c>
      <c r="S1227" t="s">
        <v>7795</v>
      </c>
      <c r="T1227" t="s">
        <v>13134</v>
      </c>
      <c r="U1227" t="s">
        <v>13134</v>
      </c>
      <c r="V1227" t="s">
        <v>13134</v>
      </c>
      <c r="W1227" t="s">
        <v>14333</v>
      </c>
      <c r="X1227">
        <v>6</v>
      </c>
      <c r="Y1227" t="s">
        <v>20820</v>
      </c>
      <c r="Z1227" t="s">
        <v>27195</v>
      </c>
      <c r="AA1227">
        <v>0.39269315551798639</v>
      </c>
      <c r="AB1227" t="str">
        <f>HYPERLINK("Melting_Curves/meltCurve_J3KPS0_DNAJB12.pdf", "Melting_Curves/meltCurve_J3KPS0_DNAJB12.pdf")</f>
        <v>Melting_Curves/meltCurve_J3KPS0_DNAJB12.pdf</v>
      </c>
    </row>
    <row r="1228" spans="1:28" x14ac:dyDescent="0.25">
      <c r="A1228" t="s">
        <v>1232</v>
      </c>
      <c r="B1228">
        <v>0.99472303558308395</v>
      </c>
      <c r="C1228">
        <v>1.0450056681195801</v>
      </c>
      <c r="D1228">
        <v>1.0224495806106599</v>
      </c>
      <c r="E1228">
        <v>0.85547699836713897</v>
      </c>
      <c r="F1228">
        <v>0.49462158251534499</v>
      </c>
      <c r="G1228">
        <v>0.27202039833637798</v>
      </c>
      <c r="H1228">
        <v>9.5642095125219206E-2</v>
      </c>
      <c r="I1228">
        <v>4.8185961707327099E-2</v>
      </c>
      <c r="J1228">
        <v>5.5311382699905202E-2</v>
      </c>
      <c r="K1228">
        <v>4.1481469950467399E-2</v>
      </c>
      <c r="L1228">
        <v>1069.9281331428499</v>
      </c>
      <c r="M1228">
        <v>21.284098479727401</v>
      </c>
      <c r="N1228">
        <v>50.467948984971898</v>
      </c>
      <c r="O1228">
        <v>49.831458016264101</v>
      </c>
      <c r="P1228">
        <v>-0.102484032794322</v>
      </c>
      <c r="Q1228">
        <v>4.0260285330467799E-2</v>
      </c>
      <c r="R1228">
        <v>0.99556324632700899</v>
      </c>
      <c r="S1228" t="s">
        <v>7796</v>
      </c>
      <c r="T1228" t="s">
        <v>13134</v>
      </c>
      <c r="U1228" t="s">
        <v>13134</v>
      </c>
      <c r="V1228" t="s">
        <v>13134</v>
      </c>
      <c r="W1228" t="s">
        <v>14334</v>
      </c>
      <c r="X1228">
        <v>7</v>
      </c>
      <c r="Y1228" t="s">
        <v>20821</v>
      </c>
      <c r="Z1228" t="s">
        <v>27196</v>
      </c>
      <c r="AA1228">
        <v>0.47606952479320902</v>
      </c>
      <c r="AB1228" t="str">
        <f>HYPERLINK("Melting_Curves/meltCurve_J3KPT4_TRABD.pdf", "Melting_Curves/meltCurve_J3KPT4_TRABD.pdf")</f>
        <v>Melting_Curves/meltCurve_J3KPT4_TRABD.pdf</v>
      </c>
    </row>
    <row r="1229" spans="1:28" x14ac:dyDescent="0.25">
      <c r="A1229" t="s">
        <v>1233</v>
      </c>
      <c r="B1229">
        <v>0.99472303558308395</v>
      </c>
      <c r="C1229">
        <v>0.98038740789203904</v>
      </c>
      <c r="D1229">
        <v>1.0024360866092901</v>
      </c>
      <c r="E1229">
        <v>0.83999615240621495</v>
      </c>
      <c r="F1229">
        <v>0.40698285079052698</v>
      </c>
      <c r="G1229">
        <v>0.179370502392148</v>
      </c>
      <c r="H1229">
        <v>0.115827683911261</v>
      </c>
      <c r="I1229">
        <v>8.0569117133844806E-2</v>
      </c>
      <c r="J1229">
        <v>8.3416093872504399E-2</v>
      </c>
      <c r="K1229">
        <v>7.64216902521061E-2</v>
      </c>
      <c r="L1229">
        <v>1352.4240822172901</v>
      </c>
      <c r="M1229">
        <v>27.5030377372243</v>
      </c>
      <c r="N1229">
        <v>49.510036061626799</v>
      </c>
      <c r="O1229">
        <v>48.915862635215603</v>
      </c>
      <c r="P1229">
        <v>-0.128584931388983</v>
      </c>
      <c r="Q1229">
        <v>8.5223287985296103E-2</v>
      </c>
      <c r="R1229">
        <v>0.99909790312275104</v>
      </c>
      <c r="S1229" t="s">
        <v>7797</v>
      </c>
      <c r="T1229" t="s">
        <v>13134</v>
      </c>
      <c r="U1229" t="s">
        <v>13134</v>
      </c>
      <c r="V1229" t="s">
        <v>13134</v>
      </c>
      <c r="W1229" t="s">
        <v>14335</v>
      </c>
      <c r="X1229">
        <v>16</v>
      </c>
      <c r="Y1229" t="s">
        <v>20822</v>
      </c>
      <c r="Z1229" t="s">
        <v>27197</v>
      </c>
      <c r="AA1229">
        <v>0.46300253916314499</v>
      </c>
      <c r="AB1229" t="str">
        <f>HYPERLINK("Melting_Curves/meltCurve_J3KPV7_MPST.pdf", "Melting_Curves/meltCurve_J3KPV7_MPST.pdf")</f>
        <v>Melting_Curves/meltCurve_J3KPV7_MPST.pdf</v>
      </c>
    </row>
    <row r="1230" spans="1:28" x14ac:dyDescent="0.25">
      <c r="A1230" t="s">
        <v>1234</v>
      </c>
      <c r="B1230">
        <v>0.99472303558308395</v>
      </c>
      <c r="C1230">
        <v>0.91989737694141605</v>
      </c>
      <c r="D1230">
        <v>0.69923178139387099</v>
      </c>
      <c r="E1230">
        <v>0.52401930416780396</v>
      </c>
      <c r="F1230">
        <v>0.40364987829217103</v>
      </c>
      <c r="G1230">
        <v>0.19949197190373</v>
      </c>
      <c r="H1230">
        <v>6.2226697854824202E-2</v>
      </c>
      <c r="I1230">
        <v>4.4133548394167499E-2</v>
      </c>
      <c r="J1230">
        <v>5.1618817642545597E-2</v>
      </c>
      <c r="K1230">
        <v>3.7923414101765099E-2</v>
      </c>
      <c r="L1230">
        <v>543.79100790588097</v>
      </c>
      <c r="M1230">
        <v>11.5203554910055</v>
      </c>
      <c r="N1230">
        <v>47.202623842594697</v>
      </c>
      <c r="O1230">
        <v>45.847554085028897</v>
      </c>
      <c r="P1230">
        <v>-6.2836546528131101E-2</v>
      </c>
      <c r="Q1230">
        <v>0</v>
      </c>
      <c r="R1230">
        <v>0.98931347898986799</v>
      </c>
      <c r="S1230" t="s">
        <v>7798</v>
      </c>
      <c r="T1230" t="s">
        <v>13134</v>
      </c>
      <c r="U1230" t="s">
        <v>13134</v>
      </c>
      <c r="V1230" t="s">
        <v>13134</v>
      </c>
      <c r="W1230" t="s">
        <v>14336</v>
      </c>
      <c r="X1230">
        <v>11</v>
      </c>
      <c r="Y1230" t="s">
        <v>20823</v>
      </c>
      <c r="Z1230" t="s">
        <v>27198</v>
      </c>
      <c r="AA1230">
        <v>0.37474591248212369</v>
      </c>
      <c r="AB1230" t="str">
        <f>HYPERLINK("Melting_Curves/meltCurve_J3KPW7_HDAC2.pdf", "Melting_Curves/meltCurve_J3KPW7_HDAC2.pdf")</f>
        <v>Melting_Curves/meltCurve_J3KPW7_HDAC2.pdf</v>
      </c>
    </row>
    <row r="1231" spans="1:28" x14ac:dyDescent="0.25">
      <c r="A1231" t="s">
        <v>1235</v>
      </c>
      <c r="B1231">
        <v>0.99472303558308395</v>
      </c>
      <c r="C1231">
        <v>0.93087874441492802</v>
      </c>
      <c r="D1231">
        <v>0.672776951600907</v>
      </c>
      <c r="E1231">
        <v>0.575052507772434</v>
      </c>
      <c r="F1231">
        <v>0.52524793585396701</v>
      </c>
      <c r="G1231">
        <v>0.22011914377678299</v>
      </c>
      <c r="H1231">
        <v>0.14855083772558</v>
      </c>
      <c r="I1231">
        <v>8.0817169117905999E-2</v>
      </c>
      <c r="J1231">
        <v>7.7698389603300194E-2</v>
      </c>
      <c r="K1231">
        <v>8.0705998771061299E-2</v>
      </c>
      <c r="L1231">
        <v>476.33235467155703</v>
      </c>
      <c r="M1231">
        <v>9.8682275893637197</v>
      </c>
      <c r="N1231">
        <v>48.269312917609298</v>
      </c>
      <c r="O1231">
        <v>46.412476455191097</v>
      </c>
      <c r="P1231">
        <v>-5.31822427686897E-2</v>
      </c>
      <c r="Q1231">
        <v>0</v>
      </c>
      <c r="R1231">
        <v>0.97254934180208497</v>
      </c>
      <c r="S1231" t="s">
        <v>7799</v>
      </c>
      <c r="T1231" t="s">
        <v>13134</v>
      </c>
      <c r="U1231" t="s">
        <v>13134</v>
      </c>
      <c r="V1231" t="s">
        <v>13134</v>
      </c>
      <c r="W1231" t="s">
        <v>14337</v>
      </c>
      <c r="X1231">
        <v>21</v>
      </c>
      <c r="Y1231" t="s">
        <v>20824</v>
      </c>
      <c r="Z1231" t="s">
        <v>27199</v>
      </c>
      <c r="AA1231">
        <v>0.41564110120062292</v>
      </c>
      <c r="AB1231" t="str">
        <f>HYPERLINK("Melting_Curves/meltCurve_J3KPX7_PHB2.pdf", "Melting_Curves/meltCurve_J3KPX7_PHB2.pdf")</f>
        <v>Melting_Curves/meltCurve_J3KPX7_PHB2.pdf</v>
      </c>
    </row>
    <row r="1232" spans="1:28" x14ac:dyDescent="0.25">
      <c r="A1232" t="s">
        <v>1236</v>
      </c>
      <c r="B1232">
        <v>0.99472303558308395</v>
      </c>
      <c r="C1232">
        <v>1.00294410179867</v>
      </c>
      <c r="D1232">
        <v>0.96321714304991901</v>
      </c>
      <c r="E1232">
        <v>0.85623252519214399</v>
      </c>
      <c r="F1232">
        <v>0.54741602968050196</v>
      </c>
      <c r="G1232">
        <v>0.225146137799765</v>
      </c>
      <c r="H1232">
        <v>9.6749917339669395E-2</v>
      </c>
      <c r="I1232">
        <v>6.9487048407247398E-2</v>
      </c>
      <c r="J1232">
        <v>7.8862980390702497E-2</v>
      </c>
      <c r="K1232">
        <v>6.4152626990782696E-2</v>
      </c>
      <c r="L1232">
        <v>1140.8134588632699</v>
      </c>
      <c r="M1232">
        <v>22.6948933756637</v>
      </c>
      <c r="N1232">
        <v>50.538566868906699</v>
      </c>
      <c r="O1232">
        <v>49.8820046166067</v>
      </c>
      <c r="P1232">
        <v>-0.10722496045131</v>
      </c>
      <c r="Q1232">
        <v>5.7322671722121299E-2</v>
      </c>
      <c r="R1232">
        <v>0.99938122006834396</v>
      </c>
      <c r="S1232" t="s">
        <v>7800</v>
      </c>
      <c r="T1232" t="s">
        <v>13134</v>
      </c>
      <c r="U1232" t="s">
        <v>13134</v>
      </c>
      <c r="V1232" t="s">
        <v>13134</v>
      </c>
      <c r="W1232" t="s">
        <v>14338</v>
      </c>
      <c r="X1232">
        <v>63</v>
      </c>
      <c r="Y1232" t="s">
        <v>20825</v>
      </c>
      <c r="Z1232" t="s">
        <v>27200</v>
      </c>
      <c r="AA1232">
        <v>0.48411898959601102</v>
      </c>
      <c r="AB1232" t="str">
        <f>HYPERLINK("Melting_Curves/meltCurve_J3KPX8_MAP1A.pdf", "Melting_Curves/meltCurve_J3KPX8_MAP1A.pdf")</f>
        <v>Melting_Curves/meltCurve_J3KPX8_MAP1A.pdf</v>
      </c>
    </row>
    <row r="1233" spans="1:28" x14ac:dyDescent="0.25">
      <c r="A1233" t="s">
        <v>1237</v>
      </c>
      <c r="B1233">
        <v>0.99472303558308395</v>
      </c>
      <c r="C1233">
        <v>1.0429406931191201</v>
      </c>
      <c r="D1233">
        <v>0.91763781333442096</v>
      </c>
      <c r="E1233">
        <v>0.86673098666528503</v>
      </c>
      <c r="F1233">
        <v>0.654593728456067</v>
      </c>
      <c r="G1233">
        <v>0.47483829577021303</v>
      </c>
      <c r="H1233">
        <v>0.34384157398169002</v>
      </c>
      <c r="I1233">
        <v>0.255752146976849</v>
      </c>
      <c r="J1233">
        <v>0.27758751662297698</v>
      </c>
      <c r="K1233">
        <v>0.28017651339016703</v>
      </c>
      <c r="L1233">
        <v>820.23541748725597</v>
      </c>
      <c r="M1233">
        <v>16.148512209064599</v>
      </c>
      <c r="N1233">
        <v>52.993227729371498</v>
      </c>
      <c r="O1233">
        <v>50.033482114531097</v>
      </c>
      <c r="P1233">
        <v>-6.0985236472145099E-2</v>
      </c>
      <c r="Q1233">
        <v>0.244246623149938</v>
      </c>
      <c r="R1233">
        <v>0.99278749318938098</v>
      </c>
      <c r="S1233" t="s">
        <v>7801</v>
      </c>
      <c r="T1233" t="s">
        <v>13134</v>
      </c>
      <c r="U1233" t="s">
        <v>13134</v>
      </c>
      <c r="V1233" t="s">
        <v>13134</v>
      </c>
      <c r="W1233" t="s">
        <v>14339</v>
      </c>
      <c r="X1233">
        <v>8</v>
      </c>
      <c r="Y1233" t="s">
        <v>20826</v>
      </c>
      <c r="Z1233" t="s">
        <v>27201</v>
      </c>
      <c r="AA1233">
        <v>0.60557674941481998</v>
      </c>
      <c r="AB1233" t="str">
        <f>HYPERLINK("Melting_Curves/meltCurve_J3KPY9_ANTXR2.pdf", "Melting_Curves/meltCurve_J3KPY9_ANTXR2.pdf")</f>
        <v>Melting_Curves/meltCurve_J3KPY9_ANTXR2.pdf</v>
      </c>
    </row>
    <row r="1234" spans="1:28" x14ac:dyDescent="0.25">
      <c r="A1234" t="s">
        <v>1238</v>
      </c>
      <c r="B1234">
        <v>0.99472303558308395</v>
      </c>
      <c r="C1234">
        <v>0.81604827520194301</v>
      </c>
      <c r="D1234">
        <v>0.78115717232736603</v>
      </c>
      <c r="E1234">
        <v>0.49245117606213501</v>
      </c>
      <c r="F1234">
        <v>0.33187647116061098</v>
      </c>
      <c r="G1234">
        <v>0.120718715603153</v>
      </c>
      <c r="H1234">
        <v>5.7030657946185198E-2</v>
      </c>
      <c r="I1234">
        <v>5.0728176912320497E-2</v>
      </c>
      <c r="J1234">
        <v>5.8157509430007498E-2</v>
      </c>
      <c r="K1234">
        <v>5.9875249190645401E-2</v>
      </c>
      <c r="L1234">
        <v>592.93136315297295</v>
      </c>
      <c r="M1234">
        <v>12.742456334051401</v>
      </c>
      <c r="N1234">
        <v>46.615484580442903</v>
      </c>
      <c r="O1234">
        <v>45.430570144046001</v>
      </c>
      <c r="P1234">
        <v>-6.9342225871081895E-2</v>
      </c>
      <c r="Q1234">
        <v>1.1287606124451999E-2</v>
      </c>
      <c r="R1234">
        <v>0.98838269125313905</v>
      </c>
      <c r="S1234" t="s">
        <v>7802</v>
      </c>
      <c r="T1234" t="s">
        <v>13134</v>
      </c>
      <c r="U1234" t="s">
        <v>13134</v>
      </c>
      <c r="V1234" t="s">
        <v>13134</v>
      </c>
      <c r="W1234" t="s">
        <v>14340</v>
      </c>
      <c r="X1234">
        <v>1</v>
      </c>
      <c r="Y1234" t="s">
        <v>20827</v>
      </c>
      <c r="Z1234" t="s">
        <v>27202</v>
      </c>
      <c r="AA1234">
        <v>0.35548362620172602</v>
      </c>
      <c r="AB1234" t="str">
        <f>HYPERLINK("Melting_Curves/meltCurve_J3KPZ8_RFXANK.pdf", "Melting_Curves/meltCurve_J3KPZ8_RFXANK.pdf")</f>
        <v>Melting_Curves/meltCurve_J3KPZ8_RFXANK.pdf</v>
      </c>
    </row>
    <row r="1235" spans="1:28" x14ac:dyDescent="0.25">
      <c r="A1235" t="s">
        <v>1239</v>
      </c>
      <c r="B1235">
        <v>0.99472303558308395</v>
      </c>
      <c r="C1235">
        <v>0.94763085584270201</v>
      </c>
      <c r="D1235">
        <v>1.0025901756033599</v>
      </c>
      <c r="E1235">
        <v>0.93130673508620898</v>
      </c>
      <c r="F1235">
        <v>0.72321502847784802</v>
      </c>
      <c r="G1235">
        <v>0.27119876845789098</v>
      </c>
      <c r="H1235">
        <v>5.5278389411175799E-2</v>
      </c>
      <c r="I1235">
        <v>3.9323196305073298E-2</v>
      </c>
      <c r="J1235">
        <v>3.8194094713321802E-2</v>
      </c>
      <c r="K1235">
        <v>3.3581526711905701E-2</v>
      </c>
      <c r="L1235">
        <v>1496.32739127421</v>
      </c>
      <c r="M1235">
        <v>28.920245467620099</v>
      </c>
      <c r="N1235">
        <v>51.8329504527197</v>
      </c>
      <c r="O1235">
        <v>51.494297022139399</v>
      </c>
      <c r="P1235">
        <v>-0.13685023518310199</v>
      </c>
      <c r="Q1235">
        <v>2.53259018117006E-2</v>
      </c>
      <c r="R1235">
        <v>0.99757107458662797</v>
      </c>
      <c r="S1235" t="s">
        <v>7803</v>
      </c>
      <c r="T1235" t="s">
        <v>13134</v>
      </c>
      <c r="U1235" t="s">
        <v>13134</v>
      </c>
      <c r="V1235" t="s">
        <v>13134</v>
      </c>
      <c r="W1235" t="s">
        <v>14341</v>
      </c>
      <c r="X1235">
        <v>16</v>
      </c>
      <c r="Y1235" t="s">
        <v>20828</v>
      </c>
      <c r="Z1235" t="s">
        <v>27203</v>
      </c>
      <c r="AA1235">
        <v>0.51078663080485631</v>
      </c>
      <c r="AB1235" t="str">
        <f>HYPERLINK("Melting_Curves/meltCurve_J3KQ32_OLA1.pdf", "Melting_Curves/meltCurve_J3KQ32_OLA1.pdf")</f>
        <v>Melting_Curves/meltCurve_J3KQ32_OLA1.pdf</v>
      </c>
    </row>
    <row r="1236" spans="1:28" x14ac:dyDescent="0.25">
      <c r="A1236" t="s">
        <v>1240</v>
      </c>
      <c r="B1236">
        <v>0.99472303558308395</v>
      </c>
      <c r="C1236">
        <v>0.95008569655706798</v>
      </c>
      <c r="D1236">
        <v>0.76940915233715401</v>
      </c>
      <c r="E1236">
        <v>0.74052827844616698</v>
      </c>
      <c r="F1236">
        <v>0.87097207500214102</v>
      </c>
      <c r="G1236">
        <v>0.38632019659725497</v>
      </c>
      <c r="H1236">
        <v>0.114249623995596</v>
      </c>
      <c r="I1236">
        <v>7.13863317899876E-2</v>
      </c>
      <c r="J1236">
        <v>7.0655337791561301E-2</v>
      </c>
      <c r="K1236">
        <v>5.8023561412183497E-2</v>
      </c>
      <c r="L1236">
        <v>873.92979947769697</v>
      </c>
      <c r="M1236">
        <v>16.6105389735541</v>
      </c>
      <c r="N1236">
        <v>52.612974517409903</v>
      </c>
      <c r="O1236">
        <v>51.868148374329998</v>
      </c>
      <c r="P1236">
        <v>-8.0066786912503393E-2</v>
      </c>
      <c r="Q1236">
        <v>0</v>
      </c>
      <c r="R1236">
        <v>0.92270860045393699</v>
      </c>
      <c r="S1236" t="s">
        <v>7804</v>
      </c>
      <c r="T1236" t="s">
        <v>13134</v>
      </c>
      <c r="U1236" t="s">
        <v>13134</v>
      </c>
      <c r="V1236" t="s">
        <v>13134</v>
      </c>
      <c r="W1236" t="s">
        <v>14342</v>
      </c>
      <c r="X1236">
        <v>6</v>
      </c>
      <c r="Y1236" t="s">
        <v>20829</v>
      </c>
      <c r="Z1236" t="s">
        <v>27204</v>
      </c>
      <c r="AA1236">
        <v>0.536821618582909</v>
      </c>
      <c r="AB1236" t="str">
        <f>HYPERLINK("Melting_Curves/meltCurve_J3KQ34_COPS7B.pdf", "Melting_Curves/meltCurve_J3KQ34_COPS7B.pdf")</f>
        <v>Melting_Curves/meltCurve_J3KQ34_COPS7B.pdf</v>
      </c>
    </row>
    <row r="1237" spans="1:28" x14ac:dyDescent="0.25">
      <c r="A1237" t="s">
        <v>1241</v>
      </c>
      <c r="B1237">
        <v>0.99472303558308395</v>
      </c>
      <c r="C1237">
        <v>1.0546554427686301</v>
      </c>
      <c r="D1237">
        <v>1.0668095635619199</v>
      </c>
      <c r="E1237">
        <v>0.88724854865214098</v>
      </c>
      <c r="F1237">
        <v>0.52015135854012495</v>
      </c>
      <c r="G1237">
        <v>0.55403631145465804</v>
      </c>
      <c r="H1237">
        <v>0.546856649108733</v>
      </c>
      <c r="I1237">
        <v>0.56543346509560299</v>
      </c>
      <c r="J1237">
        <v>0.81675269756973001</v>
      </c>
      <c r="K1237">
        <v>0.70413418218630996</v>
      </c>
      <c r="L1237">
        <v>11690.581240859799</v>
      </c>
      <c r="M1237">
        <v>250</v>
      </c>
      <c r="O1237">
        <v>46.759332501079598</v>
      </c>
      <c r="P1237">
        <v>-0.51073479673783495</v>
      </c>
      <c r="Q1237">
        <v>0.61789410969226699</v>
      </c>
      <c r="R1237">
        <v>0.82775232256918996</v>
      </c>
      <c r="S1237" t="s">
        <v>7805</v>
      </c>
      <c r="T1237" t="s">
        <v>13134</v>
      </c>
      <c r="U1237" t="s">
        <v>13134</v>
      </c>
      <c r="V1237" t="s">
        <v>13134</v>
      </c>
      <c r="W1237" t="s">
        <v>14343</v>
      </c>
      <c r="X1237">
        <v>18</v>
      </c>
      <c r="Y1237" t="s">
        <v>20830</v>
      </c>
      <c r="Z1237" t="s">
        <v>27205</v>
      </c>
      <c r="AA1237">
        <v>0.74226686375559348</v>
      </c>
      <c r="AB1237" t="str">
        <f>HYPERLINK("Melting_Curves/meltCurve_J3KQ45_TGOLN2.pdf", "Melting_Curves/meltCurve_J3KQ45_TGOLN2.pdf")</f>
        <v>Melting_Curves/meltCurve_J3KQ45_TGOLN2.pdf</v>
      </c>
    </row>
    <row r="1238" spans="1:28" x14ac:dyDescent="0.25">
      <c r="A1238" t="s">
        <v>1242</v>
      </c>
      <c r="B1238">
        <v>0.99472303558308395</v>
      </c>
      <c r="C1238">
        <v>1.0424294769659599</v>
      </c>
      <c r="D1238">
        <v>0.94753937317643999</v>
      </c>
      <c r="E1238">
        <v>0.90099381242001098</v>
      </c>
      <c r="F1238">
        <v>0.62700441498669102</v>
      </c>
      <c r="G1238">
        <v>0.440435093584646</v>
      </c>
      <c r="H1238">
        <v>0.19859173876646499</v>
      </c>
      <c r="I1238">
        <v>9.0881866503291497E-2</v>
      </c>
      <c r="J1238">
        <v>7.9286457041117406E-2</v>
      </c>
      <c r="K1238">
        <v>7.9117516523555795E-2</v>
      </c>
      <c r="L1238">
        <v>847.54694900619495</v>
      </c>
      <c r="M1238">
        <v>16.254197916791298</v>
      </c>
      <c r="N1238">
        <v>52.3710591439335</v>
      </c>
      <c r="O1238">
        <v>51.373184539251497</v>
      </c>
      <c r="P1238">
        <v>-7.6404881998971302E-2</v>
      </c>
      <c r="Q1238">
        <v>3.4127277074742501E-2</v>
      </c>
      <c r="R1238">
        <v>0.99481509233966303</v>
      </c>
      <c r="S1238" t="s">
        <v>7806</v>
      </c>
      <c r="T1238" t="s">
        <v>13134</v>
      </c>
      <c r="U1238" t="s">
        <v>13134</v>
      </c>
      <c r="V1238" t="s">
        <v>13134</v>
      </c>
      <c r="W1238" t="s">
        <v>14344</v>
      </c>
      <c r="X1238">
        <v>10</v>
      </c>
      <c r="Y1238" t="s">
        <v>20831</v>
      </c>
      <c r="Z1238" t="s">
        <v>27206</v>
      </c>
      <c r="AA1238">
        <v>0.53832824781821731</v>
      </c>
      <c r="AB1238" t="str">
        <f>HYPERLINK("Melting_Curves/meltCurve_J3KQ48_PTRH2.pdf", "Melting_Curves/meltCurve_J3KQ48_PTRH2.pdf")</f>
        <v>Melting_Curves/meltCurve_J3KQ48_PTRH2.pdf</v>
      </c>
    </row>
    <row r="1239" spans="1:28" x14ac:dyDescent="0.25">
      <c r="A1239" t="s">
        <v>1243</v>
      </c>
      <c r="B1239">
        <v>0.99472303558308395</v>
      </c>
      <c r="C1239">
        <v>1.0106220154932899</v>
      </c>
      <c r="D1239">
        <v>0.91923530956645705</v>
      </c>
      <c r="E1239">
        <v>0.768407454579907</v>
      </c>
      <c r="F1239">
        <v>0.50223893750463</v>
      </c>
      <c r="G1239">
        <v>0.18610496571191401</v>
      </c>
      <c r="H1239">
        <v>9.5743504145435296E-2</v>
      </c>
      <c r="I1239">
        <v>8.7485697977739002E-2</v>
      </c>
      <c r="J1239">
        <v>0.124725205852512</v>
      </c>
      <c r="K1239">
        <v>9.5865180830207702E-2</v>
      </c>
      <c r="L1239">
        <v>1002.66963065932</v>
      </c>
      <c r="M1239">
        <v>20.328496937129799</v>
      </c>
      <c r="N1239">
        <v>49.741864983286902</v>
      </c>
      <c r="O1239">
        <v>48.853492999612897</v>
      </c>
      <c r="P1239">
        <v>-9.5853706559069302E-2</v>
      </c>
      <c r="Q1239">
        <v>7.8604683314012602E-2</v>
      </c>
      <c r="R1239">
        <v>0.99466823506145097</v>
      </c>
      <c r="S1239" t="s">
        <v>7807</v>
      </c>
      <c r="T1239" t="s">
        <v>13134</v>
      </c>
      <c r="U1239" t="s">
        <v>13134</v>
      </c>
      <c r="V1239" t="s">
        <v>13134</v>
      </c>
      <c r="W1239" t="s">
        <v>14345</v>
      </c>
      <c r="X1239">
        <v>7</v>
      </c>
      <c r="Y1239" t="s">
        <v>20832</v>
      </c>
      <c r="Z1239" t="s">
        <v>27207</v>
      </c>
      <c r="AA1239">
        <v>0.46888463322195939</v>
      </c>
      <c r="AB1239" t="str">
        <f>HYPERLINK("Melting_Curves/meltCurve_J3KQ72_FBXO6.pdf", "Melting_Curves/meltCurve_J3KQ72_FBXO6.pdf")</f>
        <v>Melting_Curves/meltCurve_J3KQ72_FBXO6.pdf</v>
      </c>
    </row>
    <row r="1240" spans="1:28" x14ac:dyDescent="0.25">
      <c r="A1240" t="s">
        <v>1244</v>
      </c>
      <c r="B1240">
        <v>0.99472303558308395</v>
      </c>
      <c r="C1240">
        <v>0.99405236197492197</v>
      </c>
      <c r="D1240">
        <v>0.79225224967660002</v>
      </c>
      <c r="E1240">
        <v>0.33046439000258798</v>
      </c>
      <c r="F1240">
        <v>0.12981080135725201</v>
      </c>
      <c r="G1240">
        <v>9.0661180399503397E-2</v>
      </c>
      <c r="H1240">
        <v>6.88651240944676E-2</v>
      </c>
      <c r="I1240">
        <v>7.3484915018373106E-2</v>
      </c>
      <c r="J1240">
        <v>7.6693379580816595E-2</v>
      </c>
      <c r="K1240">
        <v>6.0055894149816401E-2</v>
      </c>
      <c r="L1240">
        <v>1234.4112091581501</v>
      </c>
      <c r="M1240">
        <v>27.435767614440898</v>
      </c>
      <c r="N1240">
        <v>45.2499757736812</v>
      </c>
      <c r="O1240">
        <v>44.755776083542699</v>
      </c>
      <c r="P1240">
        <v>-0.14219022996792999</v>
      </c>
      <c r="Q1240">
        <v>7.2192964906623802E-2</v>
      </c>
      <c r="R1240">
        <v>0.99945502019682297</v>
      </c>
      <c r="S1240" t="s">
        <v>7808</v>
      </c>
      <c r="T1240" t="s">
        <v>13134</v>
      </c>
      <c r="U1240" t="s">
        <v>13134</v>
      </c>
      <c r="V1240" t="s">
        <v>13134</v>
      </c>
      <c r="W1240" t="s">
        <v>14346</v>
      </c>
      <c r="X1240">
        <v>14</v>
      </c>
      <c r="Y1240" t="s">
        <v>20833</v>
      </c>
      <c r="Z1240" t="s">
        <v>27208</v>
      </c>
      <c r="AA1240">
        <v>0.32565375084657833</v>
      </c>
      <c r="AB1240" t="str">
        <f>HYPERLINK("Melting_Curves/meltCurve_J3KQ73_FKBP8.pdf", "Melting_Curves/meltCurve_J3KQ73_FKBP8.pdf")</f>
        <v>Melting_Curves/meltCurve_J3KQ73_FKBP8.pdf</v>
      </c>
    </row>
    <row r="1241" spans="1:28" x14ac:dyDescent="0.25">
      <c r="A1241" t="s">
        <v>1245</v>
      </c>
      <c r="B1241">
        <v>0.99472303558308395</v>
      </c>
      <c r="C1241">
        <v>0.95157671033799696</v>
      </c>
      <c r="D1241">
        <v>0.88281398402432298</v>
      </c>
      <c r="E1241">
        <v>0.79606705753909801</v>
      </c>
      <c r="F1241">
        <v>0.39340814318162998</v>
      </c>
      <c r="G1241">
        <v>0.171668792654978</v>
      </c>
      <c r="H1241">
        <v>4.8841444087331001E-2</v>
      </c>
      <c r="I1241">
        <v>4.1026971197199599E-2</v>
      </c>
      <c r="J1241">
        <v>3.0257637808556E-2</v>
      </c>
      <c r="K1241">
        <v>2.8604546202212498E-2</v>
      </c>
      <c r="L1241">
        <v>979.39535890366801</v>
      </c>
      <c r="M1241">
        <v>19.913988416451701</v>
      </c>
      <c r="N1241">
        <v>49.259606852667503</v>
      </c>
      <c r="O1241">
        <v>48.6933880377074</v>
      </c>
      <c r="P1241">
        <v>-0.100651627321055</v>
      </c>
      <c r="Q1241">
        <v>1.5585177266910499E-2</v>
      </c>
      <c r="R1241">
        <v>0.99494402456526398</v>
      </c>
      <c r="S1241" t="s">
        <v>7809</v>
      </c>
      <c r="T1241" t="s">
        <v>13134</v>
      </c>
      <c r="U1241" t="s">
        <v>13134</v>
      </c>
      <c r="V1241" t="s">
        <v>13134</v>
      </c>
      <c r="W1241" t="s">
        <v>14347</v>
      </c>
      <c r="X1241">
        <v>2</v>
      </c>
      <c r="Y1241" t="s">
        <v>20834</v>
      </c>
      <c r="Z1241" t="s">
        <v>27209</v>
      </c>
      <c r="AA1241">
        <v>0.42837320322285999</v>
      </c>
      <c r="AB1241" t="str">
        <f>HYPERLINK("Melting_Curves/meltCurve_J3KQ88_C6orf203.pdf", "Melting_Curves/meltCurve_J3KQ88_C6orf203.pdf")</f>
        <v>Melting_Curves/meltCurve_J3KQ88_C6orf203.pdf</v>
      </c>
    </row>
    <row r="1242" spans="1:28" x14ac:dyDescent="0.25">
      <c r="A1242" t="s">
        <v>1246</v>
      </c>
      <c r="B1242">
        <v>0.99472303558308395</v>
      </c>
      <c r="C1242">
        <v>1.05016784627875</v>
      </c>
      <c r="D1242">
        <v>0.64059989639728498</v>
      </c>
      <c r="E1242">
        <v>0.66466985877430096</v>
      </c>
      <c r="F1242">
        <v>0.48595582855708902</v>
      </c>
      <c r="G1242">
        <v>0.152850972614888</v>
      </c>
      <c r="H1242">
        <v>6.0733118554719301E-2</v>
      </c>
      <c r="I1242">
        <v>7.0908148753044201E-2</v>
      </c>
      <c r="J1242">
        <v>0.12056531482121299</v>
      </c>
      <c r="K1242">
        <v>7.8591753252758995E-2</v>
      </c>
      <c r="L1242">
        <v>602.94275866731596</v>
      </c>
      <c r="M1242">
        <v>12.537743900672099</v>
      </c>
      <c r="N1242">
        <v>48.275480964603702</v>
      </c>
      <c r="O1242">
        <v>46.916005436846604</v>
      </c>
      <c r="P1242">
        <v>-6.5253542123861002E-2</v>
      </c>
      <c r="Q1242">
        <v>2.34887065013633E-2</v>
      </c>
      <c r="R1242">
        <v>0.94496345068326304</v>
      </c>
      <c r="S1242" t="s">
        <v>7810</v>
      </c>
      <c r="T1242" t="s">
        <v>13134</v>
      </c>
      <c r="U1242" t="s">
        <v>13134</v>
      </c>
      <c r="V1242" t="s">
        <v>13134</v>
      </c>
      <c r="W1242" t="s">
        <v>14348</v>
      </c>
      <c r="X1242">
        <v>1</v>
      </c>
      <c r="Y1242" t="s">
        <v>20835</v>
      </c>
      <c r="Z1242" t="s">
        <v>27210</v>
      </c>
      <c r="AA1242">
        <v>0.41300958073031502</v>
      </c>
      <c r="AB1242" t="str">
        <f>HYPERLINK("Melting_Curves/meltCurve_J3KQ97_C6orf120.pdf", "Melting_Curves/meltCurve_J3KQ97_C6orf120.pdf")</f>
        <v>Melting_Curves/meltCurve_J3KQ97_C6orf120.pdf</v>
      </c>
    </row>
    <row r="1243" spans="1:28" x14ac:dyDescent="0.25">
      <c r="A1243" t="s">
        <v>1247</v>
      </c>
      <c r="B1243">
        <v>0.99472303558308395</v>
      </c>
      <c r="C1243">
        <v>0.91016791923333396</v>
      </c>
      <c r="D1243">
        <v>1.0693655756954401</v>
      </c>
      <c r="E1243">
        <v>0.92376503688873202</v>
      </c>
      <c r="F1243">
        <v>0.636803775069686</v>
      </c>
      <c r="G1243">
        <v>0.57505952336788302</v>
      </c>
      <c r="H1243">
        <v>0.24284400589624799</v>
      </c>
      <c r="I1243">
        <v>0.12151175744076601</v>
      </c>
      <c r="J1243">
        <v>0.274354932521302</v>
      </c>
      <c r="K1243">
        <v>8.0479725485663497E-2</v>
      </c>
      <c r="L1243">
        <v>849.62683423569604</v>
      </c>
      <c r="M1243">
        <v>16.130015318228601</v>
      </c>
      <c r="N1243">
        <v>53.442684774742602</v>
      </c>
      <c r="O1243">
        <v>51.883980776784902</v>
      </c>
      <c r="P1243">
        <v>-6.9677218697784593E-2</v>
      </c>
      <c r="Q1243">
        <v>0.10356984127551599</v>
      </c>
      <c r="R1243">
        <v>0.95560407191141705</v>
      </c>
      <c r="S1243" t="s">
        <v>7811</v>
      </c>
      <c r="T1243" t="s">
        <v>13134</v>
      </c>
      <c r="U1243" t="s">
        <v>13134</v>
      </c>
      <c r="V1243" t="s">
        <v>13134</v>
      </c>
      <c r="W1243" t="s">
        <v>14349</v>
      </c>
      <c r="X1243">
        <v>19</v>
      </c>
      <c r="Y1243" t="s">
        <v>20836</v>
      </c>
      <c r="Z1243" t="s">
        <v>27211</v>
      </c>
      <c r="AA1243">
        <v>0.58707323177893422</v>
      </c>
      <c r="AB1243" t="str">
        <f>HYPERLINK("Melting_Curves/meltCurve_J3KQB0_THUMPD1.pdf", "Melting_Curves/meltCurve_J3KQB0_THUMPD1.pdf")</f>
        <v>Melting_Curves/meltCurve_J3KQB0_THUMPD1.pdf</v>
      </c>
    </row>
    <row r="1244" spans="1:28" x14ac:dyDescent="0.25">
      <c r="A1244" t="s">
        <v>1248</v>
      </c>
      <c r="B1244">
        <v>0.99472303558308395</v>
      </c>
      <c r="C1244">
        <v>1.01212864915733</v>
      </c>
      <c r="D1244">
        <v>0.92988216631164</v>
      </c>
      <c r="E1244">
        <v>0.80478813250873005</v>
      </c>
      <c r="F1244">
        <v>0.68273752538829902</v>
      </c>
      <c r="G1244">
        <v>0.41156312979567999</v>
      </c>
      <c r="H1244">
        <v>0.281784673398148</v>
      </c>
      <c r="I1244">
        <v>0.220327806401271</v>
      </c>
      <c r="J1244">
        <v>0.109303902360428</v>
      </c>
      <c r="K1244">
        <v>0.109354384126666</v>
      </c>
      <c r="L1244">
        <v>649.94763822428195</v>
      </c>
      <c r="M1244">
        <v>12.428033642625</v>
      </c>
      <c r="N1244">
        <v>52.718521541425702</v>
      </c>
      <c r="O1244">
        <v>50.9982464703332</v>
      </c>
      <c r="P1244">
        <v>-5.8053907202328503E-2</v>
      </c>
      <c r="Q1244">
        <v>4.7307186506783699E-2</v>
      </c>
      <c r="R1244">
        <v>0.99515841777277902</v>
      </c>
      <c r="S1244" t="s">
        <v>7812</v>
      </c>
      <c r="T1244" t="s">
        <v>13134</v>
      </c>
      <c r="U1244" t="s">
        <v>13134</v>
      </c>
      <c r="V1244" t="s">
        <v>13134</v>
      </c>
      <c r="W1244" t="s">
        <v>14350</v>
      </c>
      <c r="X1244">
        <v>5</v>
      </c>
      <c r="Y1244" t="s">
        <v>20837</v>
      </c>
      <c r="Z1244" t="s">
        <v>27212</v>
      </c>
      <c r="AA1244">
        <v>0.55443591703090433</v>
      </c>
      <c r="AB1244" t="str">
        <f>HYPERLINK("Melting_Curves/meltCurve_J3KQG4_GBA.pdf", "Melting_Curves/meltCurve_J3KQG4_GBA.pdf")</f>
        <v>Melting_Curves/meltCurve_J3KQG4_GBA.pdf</v>
      </c>
    </row>
    <row r="1245" spans="1:28" x14ac:dyDescent="0.25">
      <c r="A1245" t="s">
        <v>1249</v>
      </c>
      <c r="B1245">
        <v>0.99472303558308395</v>
      </c>
      <c r="C1245">
        <v>0.95252425686738995</v>
      </c>
      <c r="D1245">
        <v>0.843595300871821</v>
      </c>
      <c r="E1245">
        <v>0.71942445901949204</v>
      </c>
      <c r="F1245">
        <v>0.55558766081555999</v>
      </c>
      <c r="G1245">
        <v>0.240740364358139</v>
      </c>
      <c r="H1245">
        <v>0.21234450510115599</v>
      </c>
      <c r="I1245">
        <v>0.25351101874388499</v>
      </c>
      <c r="J1245">
        <v>0.32779015641147002</v>
      </c>
      <c r="K1245">
        <v>0.352409163296869</v>
      </c>
      <c r="L1245">
        <v>850.94118070926197</v>
      </c>
      <c r="M1245">
        <v>17.8795502798251</v>
      </c>
      <c r="N1245">
        <v>49.675764672083602</v>
      </c>
      <c r="O1245">
        <v>47.009602732289899</v>
      </c>
      <c r="P1245">
        <v>-7.0011218732300401E-2</v>
      </c>
      <c r="Q1245">
        <v>0.26373252219781601</v>
      </c>
      <c r="R1245">
        <v>0.95233508411370105</v>
      </c>
      <c r="S1245" t="s">
        <v>7813</v>
      </c>
      <c r="T1245" t="s">
        <v>13134</v>
      </c>
      <c r="U1245" t="s">
        <v>13134</v>
      </c>
      <c r="V1245" t="s">
        <v>13134</v>
      </c>
      <c r="W1245" t="s">
        <v>14351</v>
      </c>
      <c r="X1245">
        <v>4</v>
      </c>
      <c r="Y1245" t="s">
        <v>20838</v>
      </c>
      <c r="Z1245" t="s">
        <v>27213</v>
      </c>
      <c r="AA1245">
        <v>0.53564477275542033</v>
      </c>
      <c r="AB1245" t="str">
        <f>HYPERLINK("Melting_Curves/meltCurve_J3KQJ9_VWDE.pdf", "Melting_Curves/meltCurve_J3KQJ9_VWDE.pdf")</f>
        <v>Melting_Curves/meltCurve_J3KQJ9_VWDE.pdf</v>
      </c>
    </row>
    <row r="1246" spans="1:28" x14ac:dyDescent="0.25">
      <c r="A1246" t="s">
        <v>1250</v>
      </c>
      <c r="B1246">
        <v>0.99472303558308395</v>
      </c>
      <c r="C1246">
        <v>1.01871234278161</v>
      </c>
      <c r="D1246">
        <v>0.888887077604958</v>
      </c>
      <c r="E1246">
        <v>0.65270409168227705</v>
      </c>
      <c r="F1246">
        <v>0.382456377455477</v>
      </c>
      <c r="G1246">
        <v>0.23978029843019599</v>
      </c>
      <c r="H1246">
        <v>0.136761580310584</v>
      </c>
      <c r="I1246">
        <v>0.10970194565423901</v>
      </c>
      <c r="J1246">
        <v>0.12875570482030799</v>
      </c>
      <c r="K1246">
        <v>8.0734688404928395E-2</v>
      </c>
      <c r="L1246">
        <v>823.48354555064202</v>
      </c>
      <c r="M1246">
        <v>17.149722454943099</v>
      </c>
      <c r="N1246">
        <v>48.608811740404199</v>
      </c>
      <c r="O1246">
        <v>47.378692976393502</v>
      </c>
      <c r="P1246">
        <v>-8.19754695146582E-2</v>
      </c>
      <c r="Q1246">
        <v>9.4175758282891903E-2</v>
      </c>
      <c r="R1246">
        <v>0.99724501386032205</v>
      </c>
      <c r="S1246" t="s">
        <v>7814</v>
      </c>
      <c r="T1246" t="s">
        <v>13134</v>
      </c>
      <c r="U1246" t="s">
        <v>13134</v>
      </c>
      <c r="V1246" t="s">
        <v>13134</v>
      </c>
      <c r="W1246" t="s">
        <v>14352</v>
      </c>
      <c r="X1246">
        <v>4</v>
      </c>
      <c r="Y1246" t="s">
        <v>20839</v>
      </c>
      <c r="Z1246" t="s">
        <v>27214</v>
      </c>
      <c r="AA1246">
        <v>0.44263576700863461</v>
      </c>
      <c r="AB1246" t="str">
        <f>HYPERLINK("Melting_Curves/meltCurve_J3KQL8_APOL2.pdf", "Melting_Curves/meltCurve_J3KQL8_APOL2.pdf")</f>
        <v>Melting_Curves/meltCurve_J3KQL8_APOL2.pdf</v>
      </c>
    </row>
    <row r="1247" spans="1:28" x14ac:dyDescent="0.25">
      <c r="A1247" t="s">
        <v>1251</v>
      </c>
      <c r="B1247">
        <v>0.99472303558308395</v>
      </c>
      <c r="C1247">
        <v>0.83581198101987497</v>
      </c>
      <c r="D1247">
        <v>0.56460999791504196</v>
      </c>
      <c r="E1247">
        <v>0.34726918632110698</v>
      </c>
      <c r="F1247">
        <v>0.25648097784873802</v>
      </c>
      <c r="G1247">
        <v>0.13397123701959701</v>
      </c>
      <c r="H1247">
        <v>9.1087948505357494E-2</v>
      </c>
      <c r="I1247">
        <v>7.0223372236354303E-2</v>
      </c>
      <c r="J1247">
        <v>5.7838332199174898E-2</v>
      </c>
      <c r="K1247">
        <v>6.0587318618808998E-2</v>
      </c>
      <c r="L1247">
        <v>615.37355375714503</v>
      </c>
      <c r="M1247">
        <v>13.9775545639641</v>
      </c>
      <c r="N1247">
        <v>44.431511971324397</v>
      </c>
      <c r="O1247">
        <v>43.154061049050199</v>
      </c>
      <c r="P1247">
        <v>-7.6134011346311606E-2</v>
      </c>
      <c r="Q1247">
        <v>5.9905853744405303E-2</v>
      </c>
      <c r="R1247">
        <v>0.99193741279417302</v>
      </c>
      <c r="S1247" t="s">
        <v>7815</v>
      </c>
      <c r="T1247" t="s">
        <v>13134</v>
      </c>
      <c r="U1247" t="s">
        <v>13134</v>
      </c>
      <c r="V1247" t="s">
        <v>13134</v>
      </c>
      <c r="W1247" t="s">
        <v>14353</v>
      </c>
      <c r="X1247">
        <v>3</v>
      </c>
      <c r="Y1247" t="s">
        <v>20840</v>
      </c>
      <c r="Z1247" t="s">
        <v>27215</v>
      </c>
      <c r="AA1247">
        <v>0.30701769447928318</v>
      </c>
      <c r="AB1247" t="str">
        <f>HYPERLINK("Melting_Curves/meltCurve_J3KQS2_CDC7.pdf", "Melting_Curves/meltCurve_J3KQS2_CDC7.pdf")</f>
        <v>Melting_Curves/meltCurve_J3KQS2_CDC7.pdf</v>
      </c>
    </row>
    <row r="1248" spans="1:28" x14ac:dyDescent="0.25">
      <c r="A1248" t="s">
        <v>1252</v>
      </c>
      <c r="B1248">
        <v>0.99472303558308395</v>
      </c>
      <c r="C1248">
        <v>0.96496141963981696</v>
      </c>
      <c r="D1248">
        <v>0.75577185703460803</v>
      </c>
      <c r="E1248">
        <v>0.66090258264332602</v>
      </c>
      <c r="F1248">
        <v>0.52976205357147699</v>
      </c>
      <c r="G1248">
        <v>0.34987243533268197</v>
      </c>
      <c r="H1248">
        <v>0.23259668923791099</v>
      </c>
      <c r="I1248">
        <v>0.17244258864269801</v>
      </c>
      <c r="J1248">
        <v>0.15413048242917099</v>
      </c>
      <c r="K1248">
        <v>0.117552951793119</v>
      </c>
      <c r="L1248">
        <v>474.88582141256899</v>
      </c>
      <c r="M1248">
        <v>9.5743582770013003</v>
      </c>
      <c r="N1248">
        <v>50.083066187460503</v>
      </c>
      <c r="O1248">
        <v>47.580749602292698</v>
      </c>
      <c r="P1248">
        <v>-4.8113532885902199E-2</v>
      </c>
      <c r="Q1248">
        <v>4.4128689750759599E-2</v>
      </c>
      <c r="R1248">
        <v>0.990792611304528</v>
      </c>
      <c r="S1248" t="s">
        <v>7816</v>
      </c>
      <c r="T1248" t="s">
        <v>13134</v>
      </c>
      <c r="U1248" t="s">
        <v>13134</v>
      </c>
      <c r="V1248" t="s">
        <v>13134</v>
      </c>
      <c r="W1248" t="s">
        <v>14354</v>
      </c>
      <c r="X1248">
        <v>7</v>
      </c>
      <c r="Y1248" t="s">
        <v>20841</v>
      </c>
      <c r="Z1248" t="s">
        <v>27216</v>
      </c>
      <c r="AA1248">
        <v>0.48075901914988911</v>
      </c>
      <c r="AB1248" t="str">
        <f>HYPERLINK("Melting_Curves/meltCurve_J3KQS6_BABAM1.pdf", "Melting_Curves/meltCurve_J3KQS6_BABAM1.pdf")</f>
        <v>Melting_Curves/meltCurve_J3KQS6_BABAM1.pdf</v>
      </c>
    </row>
    <row r="1249" spans="1:28" x14ac:dyDescent="0.25">
      <c r="A1249" t="s">
        <v>1253</v>
      </c>
      <c r="B1249">
        <v>0.99472303558308395</v>
      </c>
      <c r="C1249">
        <v>1.10067062698466</v>
      </c>
      <c r="D1249">
        <v>0.93805393718324703</v>
      </c>
      <c r="E1249">
        <v>0.87937640975822395</v>
      </c>
      <c r="F1249">
        <v>0.77509292974663802</v>
      </c>
      <c r="G1249">
        <v>0.49112434014321299</v>
      </c>
      <c r="H1249">
        <v>0.19338141584452301</v>
      </c>
      <c r="I1249">
        <v>0.19414813229028599</v>
      </c>
      <c r="J1249">
        <v>0.20172335411275499</v>
      </c>
      <c r="K1249">
        <v>0.237714474975986</v>
      </c>
      <c r="L1249">
        <v>1186.97927770107</v>
      </c>
      <c r="M1249">
        <v>22.773301893501401</v>
      </c>
      <c r="N1249">
        <v>53.177183576124101</v>
      </c>
      <c r="O1249">
        <v>51.724600782294502</v>
      </c>
      <c r="P1249">
        <v>-9.0055519266284398E-2</v>
      </c>
      <c r="Q1249">
        <v>0.18184953768082901</v>
      </c>
      <c r="R1249">
        <v>0.97698806881368105</v>
      </c>
      <c r="S1249" t="s">
        <v>7817</v>
      </c>
      <c r="T1249" t="s">
        <v>13134</v>
      </c>
      <c r="U1249" t="s">
        <v>13134</v>
      </c>
      <c r="V1249" t="s">
        <v>13134</v>
      </c>
      <c r="W1249" t="s">
        <v>14355</v>
      </c>
      <c r="X1249">
        <v>3</v>
      </c>
      <c r="Y1249" t="s">
        <v>20842</v>
      </c>
      <c r="Z1249" t="s">
        <v>27217</v>
      </c>
      <c r="AA1249">
        <v>0.60277038457340448</v>
      </c>
      <c r="AB1249" t="str">
        <f>HYPERLINK("Melting_Curves/meltCurve_J3KQU5_EPHB6.pdf", "Melting_Curves/meltCurve_J3KQU5_EPHB6.pdf")</f>
        <v>Melting_Curves/meltCurve_J3KQU5_EPHB6.pdf</v>
      </c>
    </row>
    <row r="1250" spans="1:28" x14ac:dyDescent="0.25">
      <c r="A1250" t="s">
        <v>1254</v>
      </c>
      <c r="B1250">
        <v>0.99472303558308395</v>
      </c>
      <c r="C1250">
        <v>0.90800603690565396</v>
      </c>
      <c r="D1250">
        <v>0.78673378676197603</v>
      </c>
      <c r="E1250">
        <v>0.46622291043047098</v>
      </c>
      <c r="F1250">
        <v>0.18283072580871401</v>
      </c>
      <c r="G1250">
        <v>8.3124582139954106E-2</v>
      </c>
      <c r="H1250">
        <v>5.4850321725807498E-2</v>
      </c>
      <c r="I1250">
        <v>3.7052970878678697E-2</v>
      </c>
      <c r="J1250">
        <v>6.5596945383940605E-2</v>
      </c>
      <c r="K1250">
        <v>4.1714731913077202E-2</v>
      </c>
      <c r="L1250">
        <v>847.75234057371199</v>
      </c>
      <c r="M1250">
        <v>18.479045657423399</v>
      </c>
      <c r="N1250">
        <v>46.060847147763802</v>
      </c>
      <c r="O1250">
        <v>45.349289701479698</v>
      </c>
      <c r="P1250">
        <v>-9.8242255366470493E-2</v>
      </c>
      <c r="Q1250">
        <v>3.5660648704769898E-2</v>
      </c>
      <c r="R1250">
        <v>0.99806756390107798</v>
      </c>
      <c r="S1250" t="s">
        <v>7818</v>
      </c>
      <c r="T1250" t="s">
        <v>13134</v>
      </c>
      <c r="U1250" t="s">
        <v>13134</v>
      </c>
      <c r="V1250" t="s">
        <v>13134</v>
      </c>
      <c r="W1250" t="s">
        <v>14356</v>
      </c>
      <c r="X1250">
        <v>20</v>
      </c>
      <c r="Y1250" t="s">
        <v>20843</v>
      </c>
      <c r="Z1250" t="s">
        <v>27218</v>
      </c>
      <c r="AA1250">
        <v>0.33579218553517282</v>
      </c>
      <c r="AB1250" t="str">
        <f>HYPERLINK("Melting_Curves/meltCurve_J3KQU9_AP1G1.pdf", "Melting_Curves/meltCurve_J3KQU9_AP1G1.pdf")</f>
        <v>Melting_Curves/meltCurve_J3KQU9_AP1G1.pdf</v>
      </c>
    </row>
    <row r="1251" spans="1:28" x14ac:dyDescent="0.25">
      <c r="A1251" t="s">
        <v>1255</v>
      </c>
      <c r="B1251">
        <v>0.99472303558308395</v>
      </c>
      <c r="C1251">
        <v>0.94613517457182505</v>
      </c>
      <c r="D1251">
        <v>0.94732344590102602</v>
      </c>
      <c r="E1251">
        <v>0.71305092247663404</v>
      </c>
      <c r="F1251">
        <v>0.67975120854807103</v>
      </c>
      <c r="G1251">
        <v>0.22758124371812399</v>
      </c>
      <c r="H1251">
        <v>0.119642697074064</v>
      </c>
      <c r="I1251">
        <v>8.0384575937302902E-2</v>
      </c>
      <c r="J1251">
        <v>9.7387760249298502E-2</v>
      </c>
      <c r="K1251">
        <v>8.57130588212833E-2</v>
      </c>
      <c r="L1251">
        <v>825.61070942916604</v>
      </c>
      <c r="M1251">
        <v>16.339057653821602</v>
      </c>
      <c r="N1251">
        <v>50.7873968870421</v>
      </c>
      <c r="O1251">
        <v>49.791162203252</v>
      </c>
      <c r="P1251">
        <v>-7.8782539193258103E-2</v>
      </c>
      <c r="Q1251">
        <v>3.9751016756138999E-2</v>
      </c>
      <c r="R1251">
        <v>0.97445681940182904</v>
      </c>
      <c r="S1251" t="s">
        <v>7819</v>
      </c>
      <c r="T1251" t="s">
        <v>13134</v>
      </c>
      <c r="U1251" t="s">
        <v>13134</v>
      </c>
      <c r="V1251" t="s">
        <v>13134</v>
      </c>
      <c r="W1251" t="s">
        <v>14357</v>
      </c>
      <c r="X1251">
        <v>2</v>
      </c>
      <c r="Y1251" t="s">
        <v>20844</v>
      </c>
      <c r="Z1251" t="s">
        <v>27219</v>
      </c>
      <c r="AA1251">
        <v>0.49025433899015641</v>
      </c>
      <c r="AB1251" t="str">
        <f>HYPERLINK("Melting_Curves/meltCurve_J3KQV2_RGP1.pdf", "Melting_Curves/meltCurve_J3KQV2_RGP1.pdf")</f>
        <v>Melting_Curves/meltCurve_J3KQV2_RGP1.pdf</v>
      </c>
    </row>
    <row r="1252" spans="1:28" x14ac:dyDescent="0.25">
      <c r="A1252" t="s">
        <v>1256</v>
      </c>
      <c r="B1252">
        <v>0.99472303558308395</v>
      </c>
      <c r="C1252">
        <v>1.03809586817433</v>
      </c>
      <c r="D1252">
        <v>1.01307637132383</v>
      </c>
      <c r="E1252">
        <v>0.91354029038617601</v>
      </c>
      <c r="F1252">
        <v>0.744944808390822</v>
      </c>
      <c r="G1252">
        <v>0.72957624315233105</v>
      </c>
      <c r="H1252">
        <v>0.64858990028033903</v>
      </c>
      <c r="I1252">
        <v>0.89097529642735496</v>
      </c>
      <c r="J1252">
        <v>1.19495140371439</v>
      </c>
      <c r="K1252">
        <v>0.86988168520402298</v>
      </c>
      <c r="L1252">
        <v>11638.1550089989</v>
      </c>
      <c r="M1252">
        <v>250</v>
      </c>
      <c r="O1252">
        <v>46.549639541496703</v>
      </c>
      <c r="P1252">
        <v>-0.20611523571205301</v>
      </c>
      <c r="Q1252">
        <v>0.846486556620759</v>
      </c>
      <c r="R1252">
        <v>0.23005858612187599</v>
      </c>
      <c r="S1252" t="s">
        <v>7820</v>
      </c>
      <c r="T1252" t="s">
        <v>13134</v>
      </c>
      <c r="U1252" t="s">
        <v>13134</v>
      </c>
      <c r="V1252" t="s">
        <v>13134</v>
      </c>
      <c r="W1252" t="s">
        <v>14358</v>
      </c>
      <c r="X1252">
        <v>11</v>
      </c>
      <c r="Y1252" t="s">
        <v>20845</v>
      </c>
      <c r="Z1252" t="s">
        <v>27220</v>
      </c>
      <c r="AA1252">
        <v>0.89538095170185783</v>
      </c>
      <c r="AB1252" t="str">
        <f>HYPERLINK("Melting_Curves/meltCurve_J3KR35_CCDC12.pdf", "Melting_Curves/meltCurve_J3KR35_CCDC12.pdf")</f>
        <v>Melting_Curves/meltCurve_J3KR35_CCDC12.pdf</v>
      </c>
    </row>
    <row r="1253" spans="1:28" x14ac:dyDescent="0.25">
      <c r="A1253" t="s">
        <v>1257</v>
      </c>
      <c r="B1253">
        <v>0.99472303558308395</v>
      </c>
      <c r="C1253">
        <v>1.0012076418648801</v>
      </c>
      <c r="D1253">
        <v>0.93246544880495497</v>
      </c>
      <c r="E1253">
        <v>0.415167699887732</v>
      </c>
      <c r="F1253">
        <v>0.21765841400668401</v>
      </c>
      <c r="G1253">
        <v>0.11205960354342701</v>
      </c>
      <c r="H1253">
        <v>8.1556575414623605E-2</v>
      </c>
      <c r="I1253">
        <v>5.5948274461316699E-2</v>
      </c>
      <c r="J1253">
        <v>7.7289544463057094E-2</v>
      </c>
      <c r="K1253">
        <v>7.6125326450914493E-2</v>
      </c>
      <c r="L1253">
        <v>1370.6058091298</v>
      </c>
      <c r="M1253">
        <v>29.8249957473449</v>
      </c>
      <c r="N1253">
        <v>46.247776792971997</v>
      </c>
      <c r="O1253">
        <v>45.749824729753598</v>
      </c>
      <c r="P1253">
        <v>-0.14895607231793601</v>
      </c>
      <c r="Q1253">
        <v>8.6045971463865001E-2</v>
      </c>
      <c r="R1253">
        <v>0.99472931390132702</v>
      </c>
      <c r="S1253" t="s">
        <v>7821</v>
      </c>
      <c r="T1253" t="s">
        <v>13134</v>
      </c>
      <c r="U1253" t="s">
        <v>13134</v>
      </c>
      <c r="V1253" t="s">
        <v>13134</v>
      </c>
      <c r="W1253" t="s">
        <v>14359</v>
      </c>
      <c r="X1253">
        <v>10</v>
      </c>
      <c r="Y1253" t="s">
        <v>20846</v>
      </c>
      <c r="Z1253" t="s">
        <v>27221</v>
      </c>
      <c r="AA1253">
        <v>0.36413235670213512</v>
      </c>
      <c r="AB1253" t="str">
        <f>HYPERLINK("Melting_Curves/meltCurve_J3KR55_PTPN7.pdf", "Melting_Curves/meltCurve_J3KR55_PTPN7.pdf")</f>
        <v>Melting_Curves/meltCurve_J3KR55_PTPN7.pdf</v>
      </c>
    </row>
    <row r="1254" spans="1:28" x14ac:dyDescent="0.25">
      <c r="A1254" t="s">
        <v>1258</v>
      </c>
      <c r="B1254">
        <v>0.99472303558308395</v>
      </c>
      <c r="C1254">
        <v>1.0630743948057999</v>
      </c>
      <c r="D1254">
        <v>0.84459813521105498</v>
      </c>
      <c r="E1254">
        <v>0.78856088107897604</v>
      </c>
      <c r="F1254">
        <v>0.71316293663181596</v>
      </c>
      <c r="G1254">
        <v>0.40723832515594699</v>
      </c>
      <c r="H1254">
        <v>0.33700889763555902</v>
      </c>
      <c r="I1254">
        <v>0.28023882185836602</v>
      </c>
      <c r="J1254">
        <v>0.35563249124440399</v>
      </c>
      <c r="K1254">
        <v>0.26086855282545401</v>
      </c>
      <c r="L1254">
        <v>699.31850709851403</v>
      </c>
      <c r="M1254">
        <v>13.9415470468242</v>
      </c>
      <c r="N1254">
        <v>52.8160581762506</v>
      </c>
      <c r="O1254">
        <v>49.162530942492403</v>
      </c>
      <c r="P1254">
        <v>-5.3041556291667402E-2</v>
      </c>
      <c r="Q1254">
        <v>0.25193201637916601</v>
      </c>
      <c r="R1254">
        <v>0.96222106925663398</v>
      </c>
      <c r="S1254" t="s">
        <v>7822</v>
      </c>
      <c r="T1254" t="s">
        <v>13134</v>
      </c>
      <c r="U1254" t="s">
        <v>13134</v>
      </c>
      <c r="V1254" t="s">
        <v>13134</v>
      </c>
      <c r="W1254" t="s">
        <v>14360</v>
      </c>
      <c r="X1254">
        <v>6</v>
      </c>
      <c r="Y1254" t="s">
        <v>20847</v>
      </c>
      <c r="Z1254" t="s">
        <v>27222</v>
      </c>
      <c r="AA1254">
        <v>0.59730941028623663</v>
      </c>
      <c r="AB1254" t="str">
        <f>HYPERLINK("Melting_Curves/meltCurve_J3KR58_SEPHS2.pdf", "Melting_Curves/meltCurve_J3KR58_SEPHS2.pdf")</f>
        <v>Melting_Curves/meltCurve_J3KR58_SEPHS2.pdf</v>
      </c>
    </row>
    <row r="1255" spans="1:28" x14ac:dyDescent="0.25">
      <c r="A1255" t="s">
        <v>1259</v>
      </c>
      <c r="B1255">
        <v>0.99472303558308395</v>
      </c>
      <c r="C1255">
        <v>0.93484877720502402</v>
      </c>
      <c r="D1255">
        <v>0.91526503182369601</v>
      </c>
      <c r="E1255">
        <v>0.73362881605283703</v>
      </c>
      <c r="F1255">
        <v>0.24956366251631701</v>
      </c>
      <c r="G1255">
        <v>0.105717273881901</v>
      </c>
      <c r="H1255">
        <v>6.3964074335602694E-2</v>
      </c>
      <c r="I1255">
        <v>4.1139299528086398E-2</v>
      </c>
      <c r="J1255">
        <v>4.73062881244549E-2</v>
      </c>
      <c r="K1255">
        <v>3.8483963201496302E-2</v>
      </c>
      <c r="L1255">
        <v>1290.0569276102999</v>
      </c>
      <c r="M1255">
        <v>26.859882728613801</v>
      </c>
      <c r="N1255">
        <v>48.192407310618002</v>
      </c>
      <c r="O1255">
        <v>47.7652786867245</v>
      </c>
      <c r="P1255">
        <v>-0.134469483256275</v>
      </c>
      <c r="Q1255">
        <v>4.34943533639741E-2</v>
      </c>
      <c r="R1255">
        <v>0.99556074589612997</v>
      </c>
      <c r="S1255" t="s">
        <v>7823</v>
      </c>
      <c r="T1255" t="s">
        <v>13134</v>
      </c>
      <c r="U1255" t="s">
        <v>13134</v>
      </c>
      <c r="V1255" t="s">
        <v>13134</v>
      </c>
      <c r="W1255" t="s">
        <v>14361</v>
      </c>
      <c r="X1255">
        <v>22</v>
      </c>
      <c r="Y1255" t="s">
        <v>20848</v>
      </c>
      <c r="Z1255" t="s">
        <v>27223</v>
      </c>
      <c r="AA1255">
        <v>0.40221362461325277</v>
      </c>
      <c r="AB1255" t="str">
        <f>HYPERLINK("Melting_Curves/meltCurve_J3KR97_TBCD.pdf", "Melting_Curves/meltCurve_J3KR97_TBCD.pdf")</f>
        <v>Melting_Curves/meltCurve_J3KR97_TBCD.pdf</v>
      </c>
    </row>
    <row r="1256" spans="1:28" x14ac:dyDescent="0.25">
      <c r="A1256" t="s">
        <v>1260</v>
      </c>
      <c r="B1256">
        <v>0.99472303558308395</v>
      </c>
      <c r="C1256">
        <v>1.0424486131158299</v>
      </c>
      <c r="D1256">
        <v>0.97850297244580797</v>
      </c>
      <c r="E1256">
        <v>0.86603099150319396</v>
      </c>
      <c r="F1256">
        <v>0.82233394240602298</v>
      </c>
      <c r="G1256">
        <v>0.62761943846777601</v>
      </c>
      <c r="H1256">
        <v>0.551538516629833</v>
      </c>
      <c r="I1256">
        <v>0.54589134798266903</v>
      </c>
      <c r="J1256">
        <v>0.72909711718866699</v>
      </c>
      <c r="K1256">
        <v>0.59495517886333604</v>
      </c>
      <c r="L1256">
        <v>1066.4370574315201</v>
      </c>
      <c r="M1256">
        <v>21.612344698967799</v>
      </c>
      <c r="O1256">
        <v>48.927257783462601</v>
      </c>
      <c r="P1256">
        <v>-4.4281329700094699E-2</v>
      </c>
      <c r="Q1256">
        <v>0.59902321209451803</v>
      </c>
      <c r="R1256">
        <v>0.90110279768787704</v>
      </c>
      <c r="S1256" t="s">
        <v>7824</v>
      </c>
      <c r="T1256" t="s">
        <v>13134</v>
      </c>
      <c r="U1256" t="s">
        <v>13134</v>
      </c>
      <c r="V1256" t="s">
        <v>13134</v>
      </c>
      <c r="W1256" t="s">
        <v>14362</v>
      </c>
      <c r="X1256">
        <v>2</v>
      </c>
      <c r="Y1256" t="s">
        <v>20849</v>
      </c>
      <c r="Z1256" t="s">
        <v>27224</v>
      </c>
      <c r="AA1256">
        <v>0.76859661415536074</v>
      </c>
      <c r="AB1256" t="str">
        <f>HYPERLINK("Melting_Curves/meltCurve_J3KRC8_C16orf55.pdf", "Melting_Curves/meltCurve_J3KRC8_C16orf55.pdf")</f>
        <v>Melting_Curves/meltCurve_J3KRC8_C16orf55.pdf</v>
      </c>
    </row>
    <row r="1257" spans="1:28" x14ac:dyDescent="0.25">
      <c r="A1257" t="s">
        <v>1261</v>
      </c>
      <c r="B1257">
        <v>0.99472303558308395</v>
      </c>
      <c r="C1257">
        <v>1.10198513877547</v>
      </c>
      <c r="D1257">
        <v>0.93747828731531302</v>
      </c>
      <c r="E1257">
        <v>0.67841480295867895</v>
      </c>
      <c r="F1257">
        <v>0.30735701805226601</v>
      </c>
      <c r="G1257">
        <v>9.1164413892187005E-2</v>
      </c>
      <c r="H1257">
        <v>5.7588803488795602E-2</v>
      </c>
      <c r="I1257">
        <v>2.72121345252836E-2</v>
      </c>
      <c r="J1257">
        <v>5.0009395479809801E-2</v>
      </c>
      <c r="K1257">
        <v>6.8002031572412303E-2</v>
      </c>
      <c r="L1257">
        <v>1168.8851728412101</v>
      </c>
      <c r="M1257">
        <v>24.3461078026168</v>
      </c>
      <c r="N1257">
        <v>48.188692048522199</v>
      </c>
      <c r="O1257">
        <v>47.690771535640202</v>
      </c>
      <c r="P1257">
        <v>-0.12215269183984501</v>
      </c>
      <c r="Q1257">
        <v>4.28911128989607E-2</v>
      </c>
      <c r="R1257">
        <v>0.992342943847067</v>
      </c>
      <c r="S1257" t="s">
        <v>7825</v>
      </c>
      <c r="T1257" t="s">
        <v>13134</v>
      </c>
      <c r="U1257" t="s">
        <v>13134</v>
      </c>
      <c r="V1257" t="s">
        <v>13134</v>
      </c>
      <c r="W1257" t="s">
        <v>14363</v>
      </c>
      <c r="X1257">
        <v>2</v>
      </c>
      <c r="Y1257" t="s">
        <v>20850</v>
      </c>
      <c r="Z1257" t="s">
        <v>27225</v>
      </c>
      <c r="AA1257">
        <v>0.40278321137532203</v>
      </c>
      <c r="AB1257" t="str">
        <f>HYPERLINK("Melting_Curves/meltCurve_J3KRN4_MAP3K3.pdf", "Melting_Curves/meltCurve_J3KRN4_MAP3K3.pdf")</f>
        <v>Melting_Curves/meltCurve_J3KRN4_MAP3K3.pdf</v>
      </c>
    </row>
    <row r="1258" spans="1:28" x14ac:dyDescent="0.25">
      <c r="A1258" t="s">
        <v>1262</v>
      </c>
      <c r="B1258">
        <v>0.99472303558308395</v>
      </c>
      <c r="C1258">
        <v>0.94830090273828604</v>
      </c>
      <c r="D1258">
        <v>0.691971465720021</v>
      </c>
      <c r="E1258">
        <v>0.40363336606504602</v>
      </c>
      <c r="F1258">
        <v>0.25419883551899503</v>
      </c>
      <c r="G1258">
        <v>0.14690814923120701</v>
      </c>
      <c r="H1258">
        <v>8.3013220026994197E-2</v>
      </c>
      <c r="I1258">
        <v>0.13744196679556001</v>
      </c>
      <c r="J1258">
        <v>0.17540244540244901</v>
      </c>
      <c r="K1258">
        <v>0.18112938026188699</v>
      </c>
      <c r="L1258">
        <v>878.89855893693596</v>
      </c>
      <c r="M1258">
        <v>19.732232034295698</v>
      </c>
      <c r="N1258">
        <v>45.304422643669099</v>
      </c>
      <c r="O1258">
        <v>44.091342569624402</v>
      </c>
      <c r="P1258">
        <v>-9.6065831666741597E-2</v>
      </c>
      <c r="Q1258">
        <v>0.141399075208585</v>
      </c>
      <c r="R1258">
        <v>0.99073769941835599</v>
      </c>
      <c r="S1258" t="s">
        <v>7826</v>
      </c>
      <c r="T1258" t="s">
        <v>13134</v>
      </c>
      <c r="U1258" t="s">
        <v>13134</v>
      </c>
      <c r="V1258" t="s">
        <v>13134</v>
      </c>
      <c r="W1258" t="s">
        <v>14364</v>
      </c>
      <c r="X1258">
        <v>4</v>
      </c>
      <c r="Y1258" t="s">
        <v>20851</v>
      </c>
      <c r="Z1258" t="s">
        <v>27226</v>
      </c>
      <c r="AA1258">
        <v>0.36891618821449601</v>
      </c>
      <c r="AB1258" t="str">
        <f>HYPERLINK("Melting_Curves/meltCurve_J3KRP6_SS18.pdf", "Melting_Curves/meltCurve_J3KRP6_SS18.pdf")</f>
        <v>Melting_Curves/meltCurve_J3KRP6_SS18.pdf</v>
      </c>
    </row>
    <row r="1259" spans="1:28" x14ac:dyDescent="0.25">
      <c r="A1259" t="s">
        <v>1263</v>
      </c>
      <c r="B1259">
        <v>0.99472303558308395</v>
      </c>
      <c r="C1259">
        <v>1.2384271188803</v>
      </c>
      <c r="D1259">
        <v>1.08404287746018</v>
      </c>
      <c r="E1259">
        <v>0.90647068370427897</v>
      </c>
      <c r="F1259">
        <v>0.85839312901476506</v>
      </c>
      <c r="G1259">
        <v>0.46633824008265201</v>
      </c>
      <c r="H1259">
        <v>0.384657148230517</v>
      </c>
      <c r="I1259">
        <v>0.19925006994196801</v>
      </c>
      <c r="J1259">
        <v>0.31926845428800499</v>
      </c>
      <c r="K1259">
        <v>8.5070861086382094E-2</v>
      </c>
      <c r="L1259">
        <v>1094.7178195264401</v>
      </c>
      <c r="M1259">
        <v>20.629529512928901</v>
      </c>
      <c r="N1259">
        <v>54.241937884743201</v>
      </c>
      <c r="O1259">
        <v>52.574485575922701</v>
      </c>
      <c r="P1259">
        <v>-8.0406678461529504E-2</v>
      </c>
      <c r="Q1259">
        <v>0.18035590244798699</v>
      </c>
      <c r="R1259">
        <v>0.93011889111111901</v>
      </c>
      <c r="S1259" t="s">
        <v>7827</v>
      </c>
      <c r="T1259" t="s">
        <v>13134</v>
      </c>
      <c r="U1259" t="s">
        <v>13134</v>
      </c>
      <c r="V1259" t="s">
        <v>13134</v>
      </c>
      <c r="W1259" t="s">
        <v>14365</v>
      </c>
      <c r="X1259">
        <v>1</v>
      </c>
      <c r="Y1259" t="s">
        <v>20852</v>
      </c>
      <c r="Z1259" t="s">
        <v>27227</v>
      </c>
      <c r="AA1259">
        <v>0.62913930098734017</v>
      </c>
      <c r="AB1259" t="str">
        <f>HYPERLINK("Melting_Curves/meltCurve_J3KRR5_PIGL.pdf", "Melting_Curves/meltCurve_J3KRR5_PIGL.pdf")</f>
        <v>Melting_Curves/meltCurve_J3KRR5_PIGL.pdf</v>
      </c>
    </row>
    <row r="1260" spans="1:28" x14ac:dyDescent="0.25">
      <c r="A1260" t="s">
        <v>1264</v>
      </c>
      <c r="B1260">
        <v>0.99472303558308395</v>
      </c>
      <c r="C1260">
        <v>0.97147326650826205</v>
      </c>
      <c r="D1260">
        <v>0.72450432247677099</v>
      </c>
      <c r="E1260">
        <v>0.67921385559595904</v>
      </c>
      <c r="F1260">
        <v>0.57823903126052001</v>
      </c>
      <c r="G1260">
        <v>0.23930262796069801</v>
      </c>
      <c r="H1260">
        <v>0.16064270726614099</v>
      </c>
      <c r="I1260">
        <v>0.10171066725158601</v>
      </c>
      <c r="J1260">
        <v>0.12080598037339201</v>
      </c>
      <c r="K1260">
        <v>9.4292806209544805E-2</v>
      </c>
      <c r="L1260">
        <v>524.06937224452201</v>
      </c>
      <c r="M1260">
        <v>10.5853979640516</v>
      </c>
      <c r="N1260">
        <v>49.601422841834498</v>
      </c>
      <c r="O1260">
        <v>47.839772278042403</v>
      </c>
      <c r="P1260">
        <v>-5.4796416160416299E-2</v>
      </c>
      <c r="Q1260">
        <v>9.7969434760189298E-3</v>
      </c>
      <c r="R1260">
        <v>0.97089235240555105</v>
      </c>
      <c r="S1260" t="s">
        <v>7828</v>
      </c>
      <c r="T1260" t="s">
        <v>13134</v>
      </c>
      <c r="U1260" t="s">
        <v>13134</v>
      </c>
      <c r="V1260" t="s">
        <v>13134</v>
      </c>
      <c r="W1260" t="s">
        <v>14366</v>
      </c>
      <c r="X1260">
        <v>3</v>
      </c>
      <c r="Y1260" t="s">
        <v>20853</v>
      </c>
      <c r="Z1260" t="s">
        <v>27228</v>
      </c>
      <c r="AA1260">
        <v>0.45578121882821149</v>
      </c>
      <c r="AB1260" t="str">
        <f>HYPERLINK("Melting_Curves/meltCurve_J3KRW7_TMEM199.pdf", "Melting_Curves/meltCurve_J3KRW7_TMEM199.pdf")</f>
        <v>Melting_Curves/meltCurve_J3KRW7_TMEM199.pdf</v>
      </c>
    </row>
    <row r="1261" spans="1:28" x14ac:dyDescent="0.25">
      <c r="A1261" t="s">
        <v>1265</v>
      </c>
      <c r="B1261">
        <v>0.99472303558308395</v>
      </c>
      <c r="C1261">
        <v>0.92607487731950999</v>
      </c>
      <c r="D1261">
        <v>0.73580640041957601</v>
      </c>
      <c r="E1261">
        <v>0.67185807328221903</v>
      </c>
      <c r="F1261">
        <v>0.50503767690618895</v>
      </c>
      <c r="G1261">
        <v>0.213878872042229</v>
      </c>
      <c r="H1261">
        <v>0.17048882597041701</v>
      </c>
      <c r="I1261">
        <v>0.104050581065236</v>
      </c>
      <c r="J1261">
        <v>7.7760684637361993E-2</v>
      </c>
      <c r="K1261">
        <v>0.143098235612973</v>
      </c>
      <c r="L1261">
        <v>540.89794562880002</v>
      </c>
      <c r="M1261">
        <v>11.1289751926134</v>
      </c>
      <c r="N1261">
        <v>48.938367877578898</v>
      </c>
      <c r="O1261">
        <v>47.112574532660197</v>
      </c>
      <c r="P1261">
        <v>-5.6903341851082298E-2</v>
      </c>
      <c r="Q1261">
        <v>3.6749238086955502E-2</v>
      </c>
      <c r="R1261">
        <v>0.97936609854134404</v>
      </c>
      <c r="S1261" t="s">
        <v>7829</v>
      </c>
      <c r="T1261" t="s">
        <v>13134</v>
      </c>
      <c r="U1261" t="s">
        <v>13134</v>
      </c>
      <c r="V1261" t="s">
        <v>13134</v>
      </c>
      <c r="W1261" t="s">
        <v>14367</v>
      </c>
      <c r="X1261">
        <v>18</v>
      </c>
      <c r="Y1261" t="s">
        <v>20854</v>
      </c>
      <c r="Z1261" t="s">
        <v>27229</v>
      </c>
      <c r="AA1261">
        <v>0.44164433308164591</v>
      </c>
      <c r="AB1261" t="str">
        <f>HYPERLINK("Melting_Curves/meltCurve_J3KRZ1_DDX5.pdf", "Melting_Curves/meltCurve_J3KRZ1_DDX5.pdf")</f>
        <v>Melting_Curves/meltCurve_J3KRZ1_DDX5.pdf</v>
      </c>
    </row>
    <row r="1262" spans="1:28" x14ac:dyDescent="0.25">
      <c r="A1262" t="s">
        <v>1266</v>
      </c>
      <c r="B1262">
        <v>0.99472303558308395</v>
      </c>
      <c r="C1262">
        <v>1.16242011770606</v>
      </c>
      <c r="D1262">
        <v>0.86398830269913596</v>
      </c>
      <c r="E1262">
        <v>0.88775313435831205</v>
      </c>
      <c r="F1262">
        <v>0.65279121992077305</v>
      </c>
      <c r="G1262">
        <v>0.35576418720154501</v>
      </c>
      <c r="H1262">
        <v>0.19323272101421299</v>
      </c>
      <c r="I1262">
        <v>0.11799378109216301</v>
      </c>
      <c r="J1262">
        <v>0.13916447211375499</v>
      </c>
      <c r="K1262">
        <v>0.11855292573472601</v>
      </c>
      <c r="L1262">
        <v>974.85135779814095</v>
      </c>
      <c r="M1262">
        <v>19.024079182923099</v>
      </c>
      <c r="N1262">
        <v>51.849074561564997</v>
      </c>
      <c r="O1262">
        <v>50.686888353276203</v>
      </c>
      <c r="P1262">
        <v>-8.4480722449245899E-2</v>
      </c>
      <c r="Q1262">
        <v>9.96894028943381E-2</v>
      </c>
      <c r="R1262">
        <v>0.97212589551690098</v>
      </c>
      <c r="S1262" t="s">
        <v>7830</v>
      </c>
      <c r="T1262" t="s">
        <v>13134</v>
      </c>
      <c r="U1262" t="s">
        <v>13134</v>
      </c>
      <c r="V1262" t="s">
        <v>13134</v>
      </c>
      <c r="W1262" t="s">
        <v>14368</v>
      </c>
      <c r="X1262">
        <v>6</v>
      </c>
      <c r="Y1262" t="s">
        <v>20855</v>
      </c>
      <c r="Z1262" t="s">
        <v>27230</v>
      </c>
      <c r="AA1262">
        <v>0.53987504253667373</v>
      </c>
      <c r="AB1262" t="str">
        <f>HYPERLINK("Melting_Curves/meltCurve_J3KS05_CBX1.pdf", "Melting_Curves/meltCurve_J3KS05_CBX1.pdf")</f>
        <v>Melting_Curves/meltCurve_J3KS05_CBX1.pdf</v>
      </c>
    </row>
    <row r="1263" spans="1:28" x14ac:dyDescent="0.25">
      <c r="A1263" t="s">
        <v>1267</v>
      </c>
      <c r="B1263">
        <v>0.99472303558308395</v>
      </c>
      <c r="C1263">
        <v>0.93460737362441804</v>
      </c>
      <c r="D1263">
        <v>0.94196797324854598</v>
      </c>
      <c r="E1263">
        <v>0.64749077937277399</v>
      </c>
      <c r="F1263">
        <v>0.26476218701430598</v>
      </c>
      <c r="G1263">
        <v>0.15550887290485499</v>
      </c>
      <c r="H1263">
        <v>9.5762871468181507E-2</v>
      </c>
      <c r="I1263">
        <v>2.3417007044397899E-2</v>
      </c>
      <c r="J1263">
        <v>3.5611506500751601E-2</v>
      </c>
      <c r="K1263">
        <v>3.9773342537620097E-2</v>
      </c>
      <c r="L1263">
        <v>1018.04992608901</v>
      </c>
      <c r="M1263">
        <v>21.322523578778199</v>
      </c>
      <c r="N1263">
        <v>47.941445783602298</v>
      </c>
      <c r="O1263">
        <v>47.331281378039598</v>
      </c>
      <c r="P1263">
        <v>-0.107921834594555</v>
      </c>
      <c r="Q1263">
        <v>4.1773955888932297E-2</v>
      </c>
      <c r="R1263">
        <v>0.99564726697488704</v>
      </c>
      <c r="S1263" t="s">
        <v>7831</v>
      </c>
      <c r="T1263" t="s">
        <v>13134</v>
      </c>
      <c r="U1263" t="s">
        <v>13134</v>
      </c>
      <c r="V1263" t="s">
        <v>13134</v>
      </c>
      <c r="W1263" t="s">
        <v>14369</v>
      </c>
      <c r="X1263">
        <v>3</v>
      </c>
      <c r="Y1263" t="s">
        <v>20856</v>
      </c>
      <c r="Z1263" t="s">
        <v>27231</v>
      </c>
      <c r="AA1263">
        <v>0.39610821895655229</v>
      </c>
      <c r="AB1263" t="str">
        <f>HYPERLINK("Melting_Curves/meltCurve_J3KSH1_AMZ2.pdf", "Melting_Curves/meltCurve_J3KSH1_AMZ2.pdf")</f>
        <v>Melting_Curves/meltCurve_J3KSH1_AMZ2.pdf</v>
      </c>
    </row>
    <row r="1264" spans="1:28" x14ac:dyDescent="0.25">
      <c r="A1264" t="s">
        <v>1268</v>
      </c>
      <c r="B1264">
        <v>0.99472303558308395</v>
      </c>
      <c r="C1264">
        <v>0.84823172048291795</v>
      </c>
      <c r="D1264">
        <v>1.0286049908672401</v>
      </c>
      <c r="E1264">
        <v>0.60141263071213502</v>
      </c>
      <c r="F1264">
        <v>0.17981928529178101</v>
      </c>
      <c r="G1264">
        <v>0.113708239187399</v>
      </c>
      <c r="H1264">
        <v>7.3653456349231303E-2</v>
      </c>
      <c r="I1264">
        <v>7.2323199072141103E-2</v>
      </c>
      <c r="J1264">
        <v>8.4561526369406101E-2</v>
      </c>
      <c r="K1264">
        <v>7.3146161522560399E-2</v>
      </c>
      <c r="L1264">
        <v>1722.38097802011</v>
      </c>
      <c r="M1264">
        <v>36.644272335469502</v>
      </c>
      <c r="N1264">
        <v>47.238180831124303</v>
      </c>
      <c r="O1264">
        <v>46.8634137826567</v>
      </c>
      <c r="P1264">
        <v>-0.17916832380207301</v>
      </c>
      <c r="Q1264">
        <v>8.3467769235597705E-2</v>
      </c>
      <c r="R1264">
        <v>0.98233771546866899</v>
      </c>
      <c r="S1264" t="s">
        <v>7832</v>
      </c>
      <c r="T1264" t="s">
        <v>13134</v>
      </c>
      <c r="U1264" t="s">
        <v>13134</v>
      </c>
      <c r="V1264" t="s">
        <v>13134</v>
      </c>
      <c r="W1264" t="s">
        <v>14370</v>
      </c>
      <c r="X1264">
        <v>7</v>
      </c>
      <c r="Y1264" t="s">
        <v>20857</v>
      </c>
      <c r="Z1264" t="s">
        <v>27232</v>
      </c>
      <c r="AA1264">
        <v>0.39261689740870731</v>
      </c>
      <c r="AB1264" t="str">
        <f>HYPERLINK("Melting_Curves/meltCurve_J3KSS7_GGA3.pdf", "Melting_Curves/meltCurve_J3KSS7_GGA3.pdf")</f>
        <v>Melting_Curves/meltCurve_J3KSS7_GGA3.pdf</v>
      </c>
    </row>
    <row r="1265" spans="1:28" x14ac:dyDescent="0.25">
      <c r="A1265" t="s">
        <v>1269</v>
      </c>
      <c r="B1265">
        <v>0.99472303558308395</v>
      </c>
      <c r="C1265">
        <v>0.99226073057874098</v>
      </c>
      <c r="D1265">
        <v>0.74899085920195996</v>
      </c>
      <c r="E1265">
        <v>0.70208645634149203</v>
      </c>
      <c r="F1265">
        <v>0.59930115525174998</v>
      </c>
      <c r="G1265">
        <v>0.29028490774862997</v>
      </c>
      <c r="H1265">
        <v>0.15168467208442599</v>
      </c>
      <c r="I1265">
        <v>0.111861371473379</v>
      </c>
      <c r="J1265">
        <v>0.14374966221155799</v>
      </c>
      <c r="K1265">
        <v>0.105789847895929</v>
      </c>
      <c r="L1265">
        <v>550.24014390092498</v>
      </c>
      <c r="M1265">
        <v>11.0244651163037</v>
      </c>
      <c r="N1265">
        <v>50.153343505595899</v>
      </c>
      <c r="O1265">
        <v>48.352974745267403</v>
      </c>
      <c r="P1265">
        <v>-5.5538932143852499E-2</v>
      </c>
      <c r="Q1265">
        <v>2.5957682176696001E-2</v>
      </c>
      <c r="R1265">
        <v>0.97207294110259101</v>
      </c>
      <c r="S1265" t="s">
        <v>7833</v>
      </c>
      <c r="T1265" t="s">
        <v>13134</v>
      </c>
      <c r="U1265" t="s">
        <v>13134</v>
      </c>
      <c r="V1265" t="s">
        <v>13134</v>
      </c>
      <c r="W1265" t="s">
        <v>14371</v>
      </c>
      <c r="X1265">
        <v>4</v>
      </c>
      <c r="Y1265" t="s">
        <v>20858</v>
      </c>
      <c r="Z1265" t="s">
        <v>27233</v>
      </c>
      <c r="AA1265">
        <v>0.47533149923188478</v>
      </c>
      <c r="AB1265" t="str">
        <f>HYPERLINK("Melting_Curves/meltCurve_J3KSW8_MPRIP.pdf", "Melting_Curves/meltCurve_J3KSW8_MPRIP.pdf")</f>
        <v>Melting_Curves/meltCurve_J3KSW8_MPRIP.pdf</v>
      </c>
    </row>
    <row r="1266" spans="1:28" x14ac:dyDescent="0.25">
      <c r="A1266" t="s">
        <v>1270</v>
      </c>
      <c r="B1266">
        <v>0.99472303558308395</v>
      </c>
      <c r="C1266">
        <v>1.01043625736956</v>
      </c>
      <c r="D1266">
        <v>1.00720025637305</v>
      </c>
      <c r="E1266">
        <v>0.84287344782794904</v>
      </c>
      <c r="F1266">
        <v>1.4333081065294899</v>
      </c>
      <c r="G1266">
        <v>0.81773277912783005</v>
      </c>
      <c r="H1266">
        <v>1.1943941073484401</v>
      </c>
      <c r="I1266">
        <v>0.474029869990159</v>
      </c>
      <c r="J1266">
        <v>0.66923316117111797</v>
      </c>
      <c r="K1266">
        <v>0.43215747946873601</v>
      </c>
      <c r="L1266">
        <v>14827.353827171701</v>
      </c>
      <c r="M1266">
        <v>250</v>
      </c>
      <c r="O1266">
        <v>59.305612724288999</v>
      </c>
      <c r="P1266">
        <v>-0.50056608176746897</v>
      </c>
      <c r="Q1266">
        <v>0.525017891969628</v>
      </c>
      <c r="R1266">
        <v>0.635309358269465</v>
      </c>
      <c r="S1266" t="s">
        <v>7834</v>
      </c>
      <c r="T1266" t="s">
        <v>13134</v>
      </c>
      <c r="U1266" t="s">
        <v>13134</v>
      </c>
      <c r="V1266" t="s">
        <v>13134</v>
      </c>
      <c r="W1266" t="s">
        <v>14372</v>
      </c>
      <c r="X1266">
        <v>3</v>
      </c>
      <c r="Y1266" t="s">
        <v>20859</v>
      </c>
      <c r="Z1266" t="s">
        <v>27234</v>
      </c>
      <c r="AA1266">
        <v>0.87828643522168015</v>
      </c>
      <c r="AB1266" t="str">
        <f>HYPERLINK("Melting_Curves/meltCurve_J3KSY6_NT5C.pdf", "Melting_Curves/meltCurve_J3KSY6_NT5C.pdf")</f>
        <v>Melting_Curves/meltCurve_J3KSY6_NT5C.pdf</v>
      </c>
    </row>
    <row r="1267" spans="1:28" x14ac:dyDescent="0.25">
      <c r="A1267" t="s">
        <v>1271</v>
      </c>
      <c r="B1267">
        <v>0.99472303558308395</v>
      </c>
      <c r="C1267">
        <v>1.0559722259673401</v>
      </c>
      <c r="D1267">
        <v>0.97314529181660003</v>
      </c>
      <c r="E1267">
        <v>0.96160709317900706</v>
      </c>
      <c r="F1267">
        <v>0.84451106110876495</v>
      </c>
      <c r="G1267">
        <v>0.74194679606147296</v>
      </c>
      <c r="H1267">
        <v>0.74210434916667101</v>
      </c>
      <c r="I1267">
        <v>0.88426665665915505</v>
      </c>
      <c r="J1267">
        <v>1.2815266606868501</v>
      </c>
      <c r="K1267">
        <v>1.0422445745795099</v>
      </c>
      <c r="L1267">
        <v>1648.12135454135</v>
      </c>
      <c r="M1267">
        <v>25.558524374679799</v>
      </c>
      <c r="O1267">
        <v>64.093360894029502</v>
      </c>
      <c r="P1267">
        <v>1.58679721113348E-2</v>
      </c>
      <c r="Q1267">
        <v>1.1591670567419801</v>
      </c>
      <c r="R1267">
        <v>-9.2878313589803696E-3</v>
      </c>
      <c r="S1267" t="s">
        <v>7835</v>
      </c>
      <c r="T1267" t="s">
        <v>13134</v>
      </c>
      <c r="U1267" t="s">
        <v>13134</v>
      </c>
      <c r="V1267" t="s">
        <v>13134</v>
      </c>
      <c r="W1267" t="s">
        <v>14373</v>
      </c>
      <c r="X1267">
        <v>8</v>
      </c>
      <c r="Y1267" t="s">
        <v>20860</v>
      </c>
      <c r="Z1267" t="s">
        <v>27235</v>
      </c>
      <c r="AA1267">
        <v>1.0167487594935101</v>
      </c>
      <c r="AB1267" t="str">
        <f>HYPERLINK("Melting_Curves/meltCurve_J3KT51_HN1.pdf", "Melting_Curves/meltCurve_J3KT51_HN1.pdf")</f>
        <v>Melting_Curves/meltCurve_J3KT51_HN1.pdf</v>
      </c>
    </row>
    <row r="1268" spans="1:28" x14ac:dyDescent="0.25">
      <c r="A1268" t="s">
        <v>1272</v>
      </c>
      <c r="B1268">
        <v>0.99472303558308395</v>
      </c>
      <c r="C1268">
        <v>0.891215139928346</v>
      </c>
      <c r="D1268">
        <v>0.81993201733614396</v>
      </c>
      <c r="E1268">
        <v>0.73323879390727198</v>
      </c>
      <c r="F1268">
        <v>0.62149419883439505</v>
      </c>
      <c r="G1268">
        <v>0.36058563289401202</v>
      </c>
      <c r="H1268">
        <v>0.30853918302973798</v>
      </c>
      <c r="I1268">
        <v>0.19883156223582801</v>
      </c>
      <c r="J1268">
        <v>0.21826763344737601</v>
      </c>
      <c r="K1268">
        <v>0.258021654098123</v>
      </c>
      <c r="L1268">
        <v>511.56093430556098</v>
      </c>
      <c r="M1268">
        <v>10.2942325264525</v>
      </c>
      <c r="N1268">
        <v>51.380922301910303</v>
      </c>
      <c r="O1268">
        <v>47.9282580764568</v>
      </c>
      <c r="P1268">
        <v>-4.6016142868317303E-2</v>
      </c>
      <c r="Q1268">
        <v>0.14339857075547499</v>
      </c>
      <c r="R1268">
        <v>0.97791439184624496</v>
      </c>
      <c r="S1268" t="s">
        <v>7836</v>
      </c>
      <c r="T1268" t="s">
        <v>13134</v>
      </c>
      <c r="U1268" t="s">
        <v>13134</v>
      </c>
      <c r="V1268" t="s">
        <v>13134</v>
      </c>
      <c r="W1268" t="s">
        <v>14374</v>
      </c>
      <c r="X1268">
        <v>2</v>
      </c>
      <c r="Y1268" t="s">
        <v>20861</v>
      </c>
      <c r="Z1268" t="s">
        <v>27236</v>
      </c>
      <c r="AA1268">
        <v>0.53490966233828585</v>
      </c>
      <c r="AB1268" t="str">
        <f>HYPERLINK("Melting_Curves/meltCurve_J3KT68_TMEM97.pdf", "Melting_Curves/meltCurve_J3KT68_TMEM97.pdf")</f>
        <v>Melting_Curves/meltCurve_J3KT68_TMEM97.pdf</v>
      </c>
    </row>
    <row r="1269" spans="1:28" x14ac:dyDescent="0.25">
      <c r="A1269" t="s">
        <v>1273</v>
      </c>
      <c r="B1269">
        <v>0.99472303558308395</v>
      </c>
      <c r="C1269">
        <v>1.0080069983358699</v>
      </c>
      <c r="D1269">
        <v>0.99041368720161105</v>
      </c>
      <c r="E1269">
        <v>0.83253353161023302</v>
      </c>
      <c r="F1269">
        <v>0.57699948169582804</v>
      </c>
      <c r="G1269">
        <v>0.13921459345155901</v>
      </c>
      <c r="H1269">
        <v>7.2508841578988806E-2</v>
      </c>
      <c r="I1269">
        <v>4.2498783901323299E-2</v>
      </c>
      <c r="J1269">
        <v>4.6863267928399503E-2</v>
      </c>
      <c r="K1269">
        <v>4.128800756605E-2</v>
      </c>
      <c r="L1269">
        <v>1273.2197937660301</v>
      </c>
      <c r="M1269">
        <v>25.305629073277998</v>
      </c>
      <c r="N1269">
        <v>50.438257261915901</v>
      </c>
      <c r="O1269">
        <v>50.002656835940698</v>
      </c>
      <c r="P1269">
        <v>-0.12269063817612599</v>
      </c>
      <c r="Q1269">
        <v>3.0290210816497101E-2</v>
      </c>
      <c r="R1269">
        <v>0.99558904082646305</v>
      </c>
      <c r="S1269" t="s">
        <v>7837</v>
      </c>
      <c r="T1269" t="s">
        <v>13134</v>
      </c>
      <c r="U1269" t="s">
        <v>13134</v>
      </c>
      <c r="V1269" t="s">
        <v>13134</v>
      </c>
      <c r="W1269" t="s">
        <v>14375</v>
      </c>
      <c r="X1269">
        <v>8</v>
      </c>
      <c r="Y1269" t="s">
        <v>20862</v>
      </c>
      <c r="Z1269" t="s">
        <v>27237</v>
      </c>
      <c r="AA1269">
        <v>0.46895135280049749</v>
      </c>
      <c r="AB1269" t="str">
        <f>HYPERLINK("Melting_Curves/meltCurve_J3KTA1_FBXL20.pdf", "Melting_Curves/meltCurve_J3KTA1_FBXL20.pdf")</f>
        <v>Melting_Curves/meltCurve_J3KTA1_FBXL20.pdf</v>
      </c>
    </row>
    <row r="1270" spans="1:28" x14ac:dyDescent="0.25">
      <c r="A1270" t="s">
        <v>1274</v>
      </c>
      <c r="B1270">
        <v>0.99472303558308395</v>
      </c>
      <c r="C1270">
        <v>1.00983364400554</v>
      </c>
      <c r="D1270">
        <v>0.930961077815189</v>
      </c>
      <c r="E1270">
        <v>0.82534154877535304</v>
      </c>
      <c r="F1270">
        <v>0.75707477968794601</v>
      </c>
      <c r="G1270">
        <v>0.64875239204729396</v>
      </c>
      <c r="H1270">
        <v>0.64757441798652804</v>
      </c>
      <c r="I1270">
        <v>0.68037092282188205</v>
      </c>
      <c r="J1270">
        <v>0.87115156059167798</v>
      </c>
      <c r="K1270">
        <v>0.69192834976734596</v>
      </c>
      <c r="L1270">
        <v>1140.51203975199</v>
      </c>
      <c r="M1270">
        <v>25.025888704992401</v>
      </c>
      <c r="O1270">
        <v>45.285282755603497</v>
      </c>
      <c r="P1270">
        <v>-3.9949038454306501E-2</v>
      </c>
      <c r="Q1270">
        <v>0.71084674559826999</v>
      </c>
      <c r="R1270">
        <v>0.79314051907551497</v>
      </c>
      <c r="S1270" t="s">
        <v>7838</v>
      </c>
      <c r="T1270" t="s">
        <v>13134</v>
      </c>
      <c r="U1270" t="s">
        <v>13134</v>
      </c>
      <c r="V1270" t="s">
        <v>13134</v>
      </c>
      <c r="W1270" t="s">
        <v>14376</v>
      </c>
      <c r="X1270">
        <v>1</v>
      </c>
      <c r="Y1270" t="s">
        <v>20863</v>
      </c>
      <c r="Z1270" t="s">
        <v>27238</v>
      </c>
      <c r="AA1270">
        <v>0.79585938223550401</v>
      </c>
      <c r="AB1270" t="str">
        <f>HYPERLINK("Melting_Curves/meltCurve_J3KTK5_MED9.pdf", "Melting_Curves/meltCurve_J3KTK5_MED9.pdf")</f>
        <v>Melting_Curves/meltCurve_J3KTK5_MED9.pdf</v>
      </c>
    </row>
    <row r="1271" spans="1:28" x14ac:dyDescent="0.25">
      <c r="A1271" t="s">
        <v>1275</v>
      </c>
      <c r="B1271">
        <v>0.99472303558308395</v>
      </c>
      <c r="C1271">
        <v>0.86480316805017099</v>
      </c>
      <c r="D1271">
        <v>0.91367970764759598</v>
      </c>
      <c r="E1271">
        <v>0.81441582732047602</v>
      </c>
      <c r="F1271">
        <v>0.71188679637117602</v>
      </c>
      <c r="G1271">
        <v>0.49458623134816398</v>
      </c>
      <c r="H1271">
        <v>0.41071133848619901</v>
      </c>
      <c r="I1271">
        <v>0.44722864344990299</v>
      </c>
      <c r="J1271">
        <v>0.77343416445963498</v>
      </c>
      <c r="K1271">
        <v>0.78436248646362905</v>
      </c>
      <c r="L1271">
        <v>938.05732708944004</v>
      </c>
      <c r="M1271">
        <v>20.263884772083198</v>
      </c>
      <c r="O1271">
        <v>45.848321700455202</v>
      </c>
      <c r="P1271">
        <v>-4.5532726156716601E-2</v>
      </c>
      <c r="Q1271">
        <v>0.58793003490125295</v>
      </c>
      <c r="R1271">
        <v>0.57052747018848105</v>
      </c>
      <c r="S1271" t="s">
        <v>7839</v>
      </c>
      <c r="T1271" t="s">
        <v>13134</v>
      </c>
      <c r="U1271" t="s">
        <v>13134</v>
      </c>
      <c r="V1271" t="s">
        <v>13134</v>
      </c>
      <c r="W1271" t="s">
        <v>14377</v>
      </c>
      <c r="X1271">
        <v>20</v>
      </c>
      <c r="Y1271" t="s">
        <v>20864</v>
      </c>
      <c r="Z1271" t="s">
        <v>27239</v>
      </c>
      <c r="AA1271">
        <v>0.72080988587268591</v>
      </c>
      <c r="AB1271" t="str">
        <f>HYPERLINK("Melting_Curves/meltCurve_J3KTL2_SRSF1.pdf", "Melting_Curves/meltCurve_J3KTL2_SRSF1.pdf")</f>
        <v>Melting_Curves/meltCurve_J3KTL2_SRSF1.pdf</v>
      </c>
    </row>
    <row r="1272" spans="1:28" x14ac:dyDescent="0.25">
      <c r="A1272" t="s">
        <v>1276</v>
      </c>
      <c r="B1272">
        <v>0.99472303558308395</v>
      </c>
      <c r="C1272">
        <v>0.90639511702540498</v>
      </c>
      <c r="D1272">
        <v>0.73653889207146905</v>
      </c>
      <c r="E1272">
        <v>0.43298028046470199</v>
      </c>
      <c r="F1272">
        <v>0.17515567021016101</v>
      </c>
      <c r="G1272">
        <v>0.108575048577702</v>
      </c>
      <c r="H1272">
        <v>7.3890913377596595E-2</v>
      </c>
      <c r="I1272">
        <v>5.23918787950454E-2</v>
      </c>
      <c r="J1272">
        <v>6.1588852420998402E-2</v>
      </c>
      <c r="K1272">
        <v>6.3885748542048204E-2</v>
      </c>
      <c r="L1272">
        <v>802.19895184753204</v>
      </c>
      <c r="M1272">
        <v>17.686815971352701</v>
      </c>
      <c r="N1272">
        <v>45.632516685968099</v>
      </c>
      <c r="O1272">
        <v>44.787869289778698</v>
      </c>
      <c r="P1272">
        <v>-9.3709439613475998E-2</v>
      </c>
      <c r="Q1272">
        <v>5.0858178160339503E-2</v>
      </c>
      <c r="R1272">
        <v>0.99894028239794397</v>
      </c>
      <c r="S1272" t="s">
        <v>7840</v>
      </c>
      <c r="T1272" t="s">
        <v>13134</v>
      </c>
      <c r="U1272" t="s">
        <v>13134</v>
      </c>
      <c r="V1272" t="s">
        <v>13134</v>
      </c>
      <c r="W1272" t="s">
        <v>14378</v>
      </c>
      <c r="X1272">
        <v>12</v>
      </c>
      <c r="Y1272" t="s">
        <v>20865</v>
      </c>
      <c r="Z1272" t="s">
        <v>27240</v>
      </c>
      <c r="AA1272">
        <v>0.33124436537799712</v>
      </c>
      <c r="AB1272" t="str">
        <f>HYPERLINK("Melting_Curves/meltCurve_J3QK89_CHERP.pdf", "Melting_Curves/meltCurve_J3QK89_CHERP.pdf")</f>
        <v>Melting_Curves/meltCurve_J3QK89_CHERP.pdf</v>
      </c>
    </row>
    <row r="1273" spans="1:28" x14ac:dyDescent="0.25">
      <c r="A1273" t="s">
        <v>1277</v>
      </c>
      <c r="B1273">
        <v>0.99472303558308395</v>
      </c>
      <c r="C1273">
        <v>0.86710816071538099</v>
      </c>
      <c r="D1273">
        <v>0.77165012164436697</v>
      </c>
      <c r="E1273">
        <v>0.68944587726819695</v>
      </c>
      <c r="F1273">
        <v>0.76678669764844998</v>
      </c>
      <c r="G1273">
        <v>0.271570460141004</v>
      </c>
      <c r="H1273">
        <v>0.25925858697290499</v>
      </c>
      <c r="I1273">
        <v>0.13270982583670399</v>
      </c>
      <c r="J1273">
        <v>0.27700337818651299</v>
      </c>
      <c r="K1273">
        <v>0.51449778564570603</v>
      </c>
      <c r="L1273">
        <v>556.35241795519903</v>
      </c>
      <c r="M1273">
        <v>11.6014717995686</v>
      </c>
      <c r="N1273">
        <v>50.991507586939299</v>
      </c>
      <c r="O1273">
        <v>46.596942219859201</v>
      </c>
      <c r="P1273">
        <v>-4.67324563027307E-2</v>
      </c>
      <c r="Q1273">
        <v>0.24940851553896401</v>
      </c>
      <c r="R1273">
        <v>0.779583813191151</v>
      </c>
      <c r="S1273" t="s">
        <v>7841</v>
      </c>
      <c r="T1273" t="s">
        <v>13134</v>
      </c>
      <c r="U1273" t="s">
        <v>13134</v>
      </c>
      <c r="V1273" t="s">
        <v>13134</v>
      </c>
      <c r="W1273" t="s">
        <v>14379</v>
      </c>
      <c r="X1273">
        <v>9</v>
      </c>
      <c r="Y1273" t="s">
        <v>20866</v>
      </c>
      <c r="Z1273" t="s">
        <v>27241</v>
      </c>
      <c r="AA1273">
        <v>0.54824223373940761</v>
      </c>
      <c r="AB1273" t="str">
        <f>HYPERLINK("Melting_Curves/meltCurve_J3QKR3_PSMB3.pdf", "Melting_Curves/meltCurve_J3QKR3_PSMB3.pdf")</f>
        <v>Melting_Curves/meltCurve_J3QKR3_PSMB3.pdf</v>
      </c>
    </row>
    <row r="1274" spans="1:28" x14ac:dyDescent="0.25">
      <c r="A1274" t="s">
        <v>1278</v>
      </c>
      <c r="B1274">
        <v>0.99472303558308395</v>
      </c>
      <c r="C1274">
        <v>0.99607175386509395</v>
      </c>
      <c r="D1274">
        <v>0.97654632086877702</v>
      </c>
      <c r="E1274">
        <v>0.66012447868753998</v>
      </c>
      <c r="F1274">
        <v>0.46914437983552998</v>
      </c>
      <c r="G1274">
        <v>0.416284147679994</v>
      </c>
      <c r="H1274">
        <v>0.26097856520416202</v>
      </c>
      <c r="I1274">
        <v>0.26053887426095601</v>
      </c>
      <c r="J1274">
        <v>0.33340803334359298</v>
      </c>
      <c r="K1274">
        <v>0.28130139431398898</v>
      </c>
      <c r="L1274">
        <v>970.29200490277299</v>
      </c>
      <c r="M1274">
        <v>20.486224275068899</v>
      </c>
      <c r="N1274">
        <v>49.470207179739198</v>
      </c>
      <c r="O1274">
        <v>46.918751304990799</v>
      </c>
      <c r="P1274">
        <v>-7.7388823450344105E-2</v>
      </c>
      <c r="Q1274">
        <v>0.29105901490050401</v>
      </c>
      <c r="R1274">
        <v>0.98277370031000799</v>
      </c>
      <c r="S1274" t="s">
        <v>7842</v>
      </c>
      <c r="T1274" t="s">
        <v>13134</v>
      </c>
      <c r="U1274" t="s">
        <v>13134</v>
      </c>
      <c r="V1274" t="s">
        <v>13134</v>
      </c>
      <c r="W1274" t="s">
        <v>14380</v>
      </c>
      <c r="X1274">
        <v>5</v>
      </c>
      <c r="Y1274" t="s">
        <v>20867</v>
      </c>
      <c r="Z1274" t="s">
        <v>27242</v>
      </c>
      <c r="AA1274">
        <v>0.54482408722798847</v>
      </c>
      <c r="AB1274" t="str">
        <f>HYPERLINK("Melting_Curves/meltCurve_J3QKR4_ICAM2.pdf", "Melting_Curves/meltCurve_J3QKR4_ICAM2.pdf")</f>
        <v>Melting_Curves/meltCurve_J3QKR4_ICAM2.pdf</v>
      </c>
    </row>
    <row r="1275" spans="1:28" x14ac:dyDescent="0.25">
      <c r="A1275" t="s">
        <v>1279</v>
      </c>
      <c r="B1275">
        <v>0.99472303558308395</v>
      </c>
      <c r="C1275">
        <v>0.97972371699494998</v>
      </c>
      <c r="D1275">
        <v>0.93207351142260197</v>
      </c>
      <c r="E1275">
        <v>0.77609697586333903</v>
      </c>
      <c r="F1275">
        <v>0.383197197441005</v>
      </c>
      <c r="G1275">
        <v>0.136123707646683</v>
      </c>
      <c r="H1275">
        <v>7.0335580216958404E-2</v>
      </c>
      <c r="I1275">
        <v>5.7741036527107603E-2</v>
      </c>
      <c r="J1275">
        <v>5.4743611394301499E-2</v>
      </c>
      <c r="K1275">
        <v>4.38489923113589E-2</v>
      </c>
      <c r="L1275">
        <v>1126.66528124248</v>
      </c>
      <c r="M1275">
        <v>23.048955811793402</v>
      </c>
      <c r="N1275">
        <v>49.074653134751102</v>
      </c>
      <c r="O1275">
        <v>48.517909895704101</v>
      </c>
      <c r="P1275">
        <v>-0.11361485844680901</v>
      </c>
      <c r="Q1275">
        <v>4.3383449049442503E-2</v>
      </c>
      <c r="R1275">
        <v>0.99915597098704001</v>
      </c>
      <c r="S1275" t="s">
        <v>7843</v>
      </c>
      <c r="T1275" t="s">
        <v>13134</v>
      </c>
      <c r="U1275" t="s">
        <v>13134</v>
      </c>
      <c r="V1275" t="s">
        <v>13134</v>
      </c>
      <c r="W1275" t="s">
        <v>14381</v>
      </c>
      <c r="X1275">
        <v>3</v>
      </c>
      <c r="Y1275" t="s">
        <v>20868</v>
      </c>
      <c r="Z1275" t="s">
        <v>27243</v>
      </c>
      <c r="AA1275">
        <v>0.43190467466869581</v>
      </c>
      <c r="AB1275" t="str">
        <f>HYPERLINK("Melting_Curves/meltCurve_J3QL56_SCO1.pdf", "Melting_Curves/meltCurve_J3QL56_SCO1.pdf")</f>
        <v>Melting_Curves/meltCurve_J3QL56_SCO1.pdf</v>
      </c>
    </row>
    <row r="1276" spans="1:28" x14ac:dyDescent="0.25">
      <c r="A1276" t="s">
        <v>1280</v>
      </c>
      <c r="B1276">
        <v>0.99472303558308395</v>
      </c>
      <c r="C1276">
        <v>0.93470294119867103</v>
      </c>
      <c r="D1276">
        <v>0.96666328744035701</v>
      </c>
      <c r="E1276">
        <v>0.78163036488902504</v>
      </c>
      <c r="F1276">
        <v>0.31244569494124802</v>
      </c>
      <c r="G1276">
        <v>0.192701103424818</v>
      </c>
      <c r="H1276">
        <v>9.2667459285039805E-2</v>
      </c>
      <c r="I1276">
        <v>9.0111947379669294E-2</v>
      </c>
      <c r="J1276">
        <v>8.5054371231012796E-2</v>
      </c>
      <c r="K1276">
        <v>7.2590602070114002E-2</v>
      </c>
      <c r="L1276">
        <v>1314.9686829238201</v>
      </c>
      <c r="M1276">
        <v>27.1584853965667</v>
      </c>
      <c r="N1276">
        <v>48.765892419346002</v>
      </c>
      <c r="O1276">
        <v>48.1581070317079</v>
      </c>
      <c r="P1276">
        <v>-0.128581997496162</v>
      </c>
      <c r="Q1276">
        <v>8.7989541947696107E-2</v>
      </c>
      <c r="R1276">
        <v>0.99500144608076402</v>
      </c>
      <c r="S1276" t="s">
        <v>7844</v>
      </c>
      <c r="T1276" t="s">
        <v>13134</v>
      </c>
      <c r="U1276" t="s">
        <v>13134</v>
      </c>
      <c r="V1276" t="s">
        <v>13134</v>
      </c>
      <c r="W1276" t="s">
        <v>14382</v>
      </c>
      <c r="X1276">
        <v>3</v>
      </c>
      <c r="Y1276" t="s">
        <v>20869</v>
      </c>
      <c r="Z1276" t="s">
        <v>27244</v>
      </c>
      <c r="AA1276">
        <v>0.44174945499515123</v>
      </c>
      <c r="AB1276" t="str">
        <f>HYPERLINK("Melting_Curves/meltCurve_J3QL71_SCRN2.pdf", "Melting_Curves/meltCurve_J3QL71_SCRN2.pdf")</f>
        <v>Melting_Curves/meltCurve_J3QL71_SCRN2.pdf</v>
      </c>
    </row>
    <row r="1277" spans="1:28" x14ac:dyDescent="0.25">
      <c r="A1277" t="s">
        <v>1281</v>
      </c>
      <c r="B1277">
        <v>0.99472303558308395</v>
      </c>
      <c r="C1277">
        <v>0.96265488061630899</v>
      </c>
      <c r="D1277">
        <v>0.77120725011854696</v>
      </c>
      <c r="E1277">
        <v>0.71878651150617701</v>
      </c>
      <c r="F1277">
        <v>0.75207317233372495</v>
      </c>
      <c r="G1277">
        <v>0.50510054610051403</v>
      </c>
      <c r="H1277">
        <v>0.36910736297264302</v>
      </c>
      <c r="I1277">
        <v>0.37554682017711699</v>
      </c>
      <c r="J1277">
        <v>0.39297546449609999</v>
      </c>
      <c r="K1277">
        <v>0.36064805206624201</v>
      </c>
      <c r="L1277">
        <v>433.09781727826999</v>
      </c>
      <c r="M1277">
        <v>8.6667234944647706</v>
      </c>
      <c r="N1277">
        <v>54.828441502515098</v>
      </c>
      <c r="O1277">
        <v>47.525696644801499</v>
      </c>
      <c r="P1277">
        <v>-3.3402657314871798E-2</v>
      </c>
      <c r="Q1277">
        <v>0.26793274141077</v>
      </c>
      <c r="R1277">
        <v>0.93967878786844905</v>
      </c>
      <c r="S1277" t="s">
        <v>7845</v>
      </c>
      <c r="T1277" t="s">
        <v>13134</v>
      </c>
      <c r="U1277" t="s">
        <v>13134</v>
      </c>
      <c r="V1277" t="s">
        <v>13134</v>
      </c>
      <c r="W1277" t="s">
        <v>14383</v>
      </c>
      <c r="X1277">
        <v>3</v>
      </c>
      <c r="Y1277" t="s">
        <v>20870</v>
      </c>
      <c r="Z1277" t="s">
        <v>27245</v>
      </c>
      <c r="AA1277">
        <v>0.61269701862886383</v>
      </c>
      <c r="AB1277" t="str">
        <f>HYPERLINK("Melting_Curves/meltCurve_J3QLB2_SLC39A11.pdf", "Melting_Curves/meltCurve_J3QLB2_SLC39A11.pdf")</f>
        <v>Melting_Curves/meltCurve_J3QLB2_SLC39A11.pdf</v>
      </c>
    </row>
    <row r="1278" spans="1:28" x14ac:dyDescent="0.25">
      <c r="A1278" t="s">
        <v>1282</v>
      </c>
      <c r="B1278">
        <v>0.99472303558308395</v>
      </c>
      <c r="C1278">
        <v>0.97899750250032602</v>
      </c>
      <c r="D1278">
        <v>0.69701213847882404</v>
      </c>
      <c r="E1278">
        <v>0.60385500515290402</v>
      </c>
      <c r="F1278">
        <v>0.50759702584997701</v>
      </c>
      <c r="G1278">
        <v>0.203900059787474</v>
      </c>
      <c r="H1278">
        <v>0.10208404856999601</v>
      </c>
      <c r="I1278">
        <v>5.9256156109938202E-2</v>
      </c>
      <c r="J1278">
        <v>6.6224090589086099E-2</v>
      </c>
      <c r="K1278">
        <v>5.3796510310844099E-2</v>
      </c>
      <c r="L1278">
        <v>545.47812929188206</v>
      </c>
      <c r="M1278">
        <v>11.274499691829099</v>
      </c>
      <c r="N1278">
        <v>48.381581857733998</v>
      </c>
      <c r="O1278">
        <v>46.934438828975502</v>
      </c>
      <c r="P1278">
        <v>-6.00729397979105E-2</v>
      </c>
      <c r="Q1278">
        <v>0</v>
      </c>
      <c r="R1278">
        <v>0.97522764964475595</v>
      </c>
      <c r="S1278" t="s">
        <v>7846</v>
      </c>
      <c r="T1278" t="s">
        <v>13134</v>
      </c>
      <c r="U1278" t="s">
        <v>13134</v>
      </c>
      <c r="V1278" t="s">
        <v>13134</v>
      </c>
      <c r="W1278" t="s">
        <v>14384</v>
      </c>
      <c r="X1278">
        <v>23</v>
      </c>
      <c r="Y1278" t="s">
        <v>20871</v>
      </c>
      <c r="Z1278" t="s">
        <v>27246</v>
      </c>
      <c r="AA1278">
        <v>0.41285385344129572</v>
      </c>
      <c r="AB1278" t="str">
        <f>HYPERLINK("Melting_Curves/meltCurve_J3QLD9_FLOT2.pdf", "Melting_Curves/meltCurve_J3QLD9_FLOT2.pdf")</f>
        <v>Melting_Curves/meltCurve_J3QLD9_FLOT2.pdf</v>
      </c>
    </row>
    <row r="1279" spans="1:28" x14ac:dyDescent="0.25">
      <c r="A1279" t="s">
        <v>1283</v>
      </c>
      <c r="B1279">
        <v>0.99472303558308395</v>
      </c>
      <c r="C1279">
        <v>1.04555066909753</v>
      </c>
      <c r="D1279">
        <v>1.0034284655517001</v>
      </c>
      <c r="E1279">
        <v>0.89432422852600102</v>
      </c>
      <c r="F1279">
        <v>0.437584407393865</v>
      </c>
      <c r="G1279">
        <v>0.19032351845487</v>
      </c>
      <c r="H1279">
        <v>0.13025468707648499</v>
      </c>
      <c r="I1279">
        <v>9.7971240916113297E-2</v>
      </c>
      <c r="J1279">
        <v>0.14362704108077301</v>
      </c>
      <c r="K1279">
        <v>4.65285133907231E-2</v>
      </c>
      <c r="L1279">
        <v>1541.5112006342699</v>
      </c>
      <c r="M1279">
        <v>31.172706385148</v>
      </c>
      <c r="N1279">
        <v>49.822758633045602</v>
      </c>
      <c r="O1279">
        <v>49.248509653758603</v>
      </c>
      <c r="P1279">
        <v>-0.14180986993533701</v>
      </c>
      <c r="Q1279">
        <v>0.10384627498780501</v>
      </c>
      <c r="R1279">
        <v>0.99521645758261401</v>
      </c>
      <c r="S1279" t="s">
        <v>7847</v>
      </c>
      <c r="T1279" t="s">
        <v>13134</v>
      </c>
      <c r="U1279" t="s">
        <v>13134</v>
      </c>
      <c r="V1279" t="s">
        <v>13134</v>
      </c>
      <c r="W1279" t="s">
        <v>14385</v>
      </c>
      <c r="X1279">
        <v>6</v>
      </c>
      <c r="Y1279" t="s">
        <v>20872</v>
      </c>
      <c r="Z1279" t="s">
        <v>27247</v>
      </c>
      <c r="AA1279">
        <v>0.48081815665191407</v>
      </c>
      <c r="AB1279" t="str">
        <f>HYPERLINK("Melting_Curves/meltCurve_J3QLP7_UBBP4.pdf", "Melting_Curves/meltCurve_J3QLP7_UBBP4.pdf")</f>
        <v>Melting_Curves/meltCurve_J3QLP7_UBBP4.pdf</v>
      </c>
    </row>
    <row r="1280" spans="1:28" x14ac:dyDescent="0.25">
      <c r="A1280" t="s">
        <v>1284</v>
      </c>
      <c r="B1280">
        <v>0.99472303558308395</v>
      </c>
      <c r="C1280">
        <v>0.96251421085195898</v>
      </c>
      <c r="D1280">
        <v>0.84056298880356795</v>
      </c>
      <c r="E1280">
        <v>0.67892812302026795</v>
      </c>
      <c r="F1280">
        <v>0.249663825867909</v>
      </c>
      <c r="G1280">
        <v>0.12510713554536099</v>
      </c>
      <c r="H1280">
        <v>8.8544606234243498E-2</v>
      </c>
      <c r="I1280">
        <v>3.7868700663541803E-2</v>
      </c>
      <c r="J1280">
        <v>3.4572192775389803E-2</v>
      </c>
      <c r="K1280">
        <v>3.08706356383204E-2</v>
      </c>
      <c r="L1280">
        <v>924.83951951747599</v>
      </c>
      <c r="M1280">
        <v>19.3995403965463</v>
      </c>
      <c r="N1280">
        <v>47.820207064790601</v>
      </c>
      <c r="O1280">
        <v>47.175364891506</v>
      </c>
      <c r="P1280">
        <v>-9.9834593035102601E-2</v>
      </c>
      <c r="Q1280">
        <v>2.8933606648346599E-2</v>
      </c>
      <c r="R1280">
        <v>0.99402349652625199</v>
      </c>
      <c r="S1280" t="s">
        <v>7848</v>
      </c>
      <c r="T1280" t="s">
        <v>13134</v>
      </c>
      <c r="U1280" t="s">
        <v>13134</v>
      </c>
      <c r="V1280" t="s">
        <v>13134</v>
      </c>
      <c r="W1280" t="s">
        <v>14386</v>
      </c>
      <c r="X1280">
        <v>6</v>
      </c>
      <c r="Y1280" t="s">
        <v>20873</v>
      </c>
      <c r="Z1280" t="s">
        <v>27248</v>
      </c>
      <c r="AA1280">
        <v>0.38792051932186811</v>
      </c>
      <c r="AB1280" t="str">
        <f>HYPERLINK("Melting_Curves/meltCurve_J3QLS3_MRPS7.pdf", "Melting_Curves/meltCurve_J3QLS3_MRPS7.pdf")</f>
        <v>Melting_Curves/meltCurve_J3QLS3_MRPS7.pdf</v>
      </c>
    </row>
    <row r="1281" spans="1:28" x14ac:dyDescent="0.25">
      <c r="A1281" t="s">
        <v>1285</v>
      </c>
      <c r="B1281">
        <v>0.99472303558308395</v>
      </c>
      <c r="C1281">
        <v>0.92439232717737496</v>
      </c>
      <c r="D1281">
        <v>0.90880878506225604</v>
      </c>
      <c r="E1281">
        <v>0.75709083031189195</v>
      </c>
      <c r="F1281">
        <v>0.59237971063182804</v>
      </c>
      <c r="G1281">
        <v>0.343399459985684</v>
      </c>
      <c r="H1281">
        <v>0.21649358516195399</v>
      </c>
      <c r="I1281">
        <v>0.19140456492154201</v>
      </c>
      <c r="J1281">
        <v>0.23211451867989499</v>
      </c>
      <c r="K1281">
        <v>0.20537082291533701</v>
      </c>
      <c r="L1281">
        <v>740.491855473133</v>
      </c>
      <c r="M1281">
        <v>14.949287795273399</v>
      </c>
      <c r="N1281">
        <v>50.928057654549697</v>
      </c>
      <c r="O1281">
        <v>48.672576971643302</v>
      </c>
      <c r="P1281">
        <v>-6.3895244472743501E-2</v>
      </c>
      <c r="Q1281">
        <v>0.16795291560894099</v>
      </c>
      <c r="R1281">
        <v>0.98960226557462805</v>
      </c>
      <c r="S1281" t="s">
        <v>7849</v>
      </c>
      <c r="T1281" t="s">
        <v>13134</v>
      </c>
      <c r="U1281" t="s">
        <v>13134</v>
      </c>
      <c r="V1281" t="s">
        <v>13134</v>
      </c>
      <c r="W1281" t="s">
        <v>14387</v>
      </c>
      <c r="X1281">
        <v>12</v>
      </c>
      <c r="Y1281" t="s">
        <v>20874</v>
      </c>
      <c r="Z1281" t="s">
        <v>27249</v>
      </c>
      <c r="AA1281">
        <v>0.53330304035592768</v>
      </c>
      <c r="AB1281" t="str">
        <f>HYPERLINK("Melting_Curves/meltCurve_J3QQJ0_SAP30BP.pdf", "Melting_Curves/meltCurve_J3QQJ0_SAP30BP.pdf")</f>
        <v>Melting_Curves/meltCurve_J3QQJ0_SAP30BP.pdf</v>
      </c>
    </row>
    <row r="1282" spans="1:28" x14ac:dyDescent="0.25">
      <c r="A1282" t="s">
        <v>1286</v>
      </c>
      <c r="B1282">
        <v>0.99472303558308395</v>
      </c>
      <c r="C1282">
        <v>0.90528778842214097</v>
      </c>
      <c r="D1282">
        <v>0.89455848999012699</v>
      </c>
      <c r="E1282">
        <v>0.68788706430894697</v>
      </c>
      <c r="F1282">
        <v>0.36756072245020199</v>
      </c>
      <c r="G1282">
        <v>0.18060235687708301</v>
      </c>
      <c r="H1282">
        <v>4.8367229443695703E-2</v>
      </c>
      <c r="I1282">
        <v>3.07846253243583E-2</v>
      </c>
      <c r="J1282">
        <v>3.5099932686095299E-2</v>
      </c>
      <c r="K1282">
        <v>2.3614549675796001E-2</v>
      </c>
      <c r="L1282">
        <v>790.92464850177498</v>
      </c>
      <c r="M1282">
        <v>16.269490942533</v>
      </c>
      <c r="N1282">
        <v>48.619142773278597</v>
      </c>
      <c r="O1282">
        <v>47.897320606664401</v>
      </c>
      <c r="P1282">
        <v>-8.4851476627901296E-2</v>
      </c>
      <c r="Q1282">
        <v>8.6366530084686804E-4</v>
      </c>
      <c r="R1282">
        <v>0.99594130691663396</v>
      </c>
      <c r="S1282" t="s">
        <v>7850</v>
      </c>
      <c r="T1282" t="s">
        <v>13134</v>
      </c>
      <c r="U1282" t="s">
        <v>13134</v>
      </c>
      <c r="V1282" t="s">
        <v>13134</v>
      </c>
      <c r="W1282" t="s">
        <v>14388</v>
      </c>
      <c r="X1282">
        <v>7</v>
      </c>
      <c r="Y1282" t="s">
        <v>20875</v>
      </c>
      <c r="Z1282" t="s">
        <v>27250</v>
      </c>
      <c r="AA1282">
        <v>0.40663485192962251</v>
      </c>
      <c r="AB1282" t="str">
        <f>HYPERLINK("Melting_Curves/meltCurve_J3QQJ5_TRAPPC8.pdf", "Melting_Curves/meltCurve_J3QQJ5_TRAPPC8.pdf")</f>
        <v>Melting_Curves/meltCurve_J3QQJ5_TRAPPC8.pdf</v>
      </c>
    </row>
    <row r="1283" spans="1:28" x14ac:dyDescent="0.25">
      <c r="A1283" t="s">
        <v>1287</v>
      </c>
      <c r="B1283">
        <v>0.99472303558308395</v>
      </c>
      <c r="C1283">
        <v>0.841028136924592</v>
      </c>
      <c r="D1283">
        <v>0.95477888617720696</v>
      </c>
      <c r="E1283">
        <v>0.78659282409074005</v>
      </c>
      <c r="F1283">
        <v>0.70383886813996799</v>
      </c>
      <c r="G1283">
        <v>0.30165395206540502</v>
      </c>
      <c r="H1283">
        <v>0.13039563479984301</v>
      </c>
      <c r="I1283">
        <v>6.03448130509847E-2</v>
      </c>
      <c r="J1283">
        <v>6.5325649608909103E-2</v>
      </c>
      <c r="K1283">
        <v>5.1126145625570302E-2</v>
      </c>
      <c r="L1283">
        <v>845.00228866182294</v>
      </c>
      <c r="M1283">
        <v>16.392791905180701</v>
      </c>
      <c r="N1283">
        <v>51.582545232219502</v>
      </c>
      <c r="O1283">
        <v>50.7984193588292</v>
      </c>
      <c r="P1283">
        <v>-8.0230698428342406E-2</v>
      </c>
      <c r="Q1283">
        <v>5.5871215925888699E-3</v>
      </c>
      <c r="R1283">
        <v>0.97276877414848295</v>
      </c>
      <c r="S1283" t="s">
        <v>7851</v>
      </c>
      <c r="T1283" t="s">
        <v>13134</v>
      </c>
      <c r="U1283" t="s">
        <v>13134</v>
      </c>
      <c r="V1283" t="s">
        <v>13134</v>
      </c>
      <c r="W1283" t="s">
        <v>14389</v>
      </c>
      <c r="X1283">
        <v>6</v>
      </c>
      <c r="Y1283" t="s">
        <v>20876</v>
      </c>
      <c r="Z1283" t="s">
        <v>27251</v>
      </c>
      <c r="AA1283">
        <v>0.50517947591515666</v>
      </c>
      <c r="AB1283" t="str">
        <f>HYPERLINK("Melting_Curves/meltCurve_J3QQT2_RPL17.pdf", "Melting_Curves/meltCurve_J3QQT2_RPL17.pdf")</f>
        <v>Melting_Curves/meltCurve_J3QQT2_RPL17.pdf</v>
      </c>
    </row>
    <row r="1284" spans="1:28" x14ac:dyDescent="0.25">
      <c r="A1284" t="s">
        <v>1288</v>
      </c>
      <c r="B1284">
        <v>0.99472303558308395</v>
      </c>
      <c r="C1284">
        <v>1.0673793783699399</v>
      </c>
      <c r="D1284">
        <v>0.58244752711207404</v>
      </c>
      <c r="E1284">
        <v>0.47611089196234602</v>
      </c>
      <c r="F1284">
        <v>0.30866999724242</v>
      </c>
      <c r="G1284">
        <v>0.15401828305482099</v>
      </c>
      <c r="H1284">
        <v>9.0290482511637807E-2</v>
      </c>
      <c r="I1284">
        <v>7.5894680577324902E-2</v>
      </c>
      <c r="J1284">
        <v>4.7737110637691399E-2</v>
      </c>
      <c r="K1284">
        <v>4.20588243217472E-2</v>
      </c>
      <c r="L1284">
        <v>651.09376537853097</v>
      </c>
      <c r="M1284">
        <v>14.2241320219975</v>
      </c>
      <c r="N1284">
        <v>46.085738340317597</v>
      </c>
      <c r="O1284">
        <v>44.897676624375499</v>
      </c>
      <c r="P1284">
        <v>-7.5578434481066603E-2</v>
      </c>
      <c r="Q1284">
        <v>4.5882602209144203E-2</v>
      </c>
      <c r="R1284">
        <v>0.95975886797148602</v>
      </c>
      <c r="S1284" t="s">
        <v>7852</v>
      </c>
      <c r="T1284" t="s">
        <v>13134</v>
      </c>
      <c r="U1284" t="s">
        <v>13134</v>
      </c>
      <c r="V1284" t="s">
        <v>13134</v>
      </c>
      <c r="W1284" t="s">
        <v>14390</v>
      </c>
      <c r="X1284">
        <v>2</v>
      </c>
      <c r="Y1284" t="s">
        <v>20877</v>
      </c>
      <c r="Z1284" t="s">
        <v>27252</v>
      </c>
      <c r="AA1284">
        <v>0.34941673832084919</v>
      </c>
      <c r="AB1284" t="str">
        <f>HYPERLINK("Melting_Curves/meltCurve_J3QQW9_SUZ12.pdf", "Melting_Curves/meltCurve_J3QQW9_SUZ12.pdf")</f>
        <v>Melting_Curves/meltCurve_J3QQW9_SUZ12.pdf</v>
      </c>
    </row>
    <row r="1285" spans="1:28" x14ac:dyDescent="0.25">
      <c r="A1285" t="s">
        <v>1289</v>
      </c>
      <c r="B1285">
        <v>0.99472303558308395</v>
      </c>
      <c r="C1285">
        <v>1.18213938349173</v>
      </c>
      <c r="D1285">
        <v>0.88647889093919696</v>
      </c>
      <c r="E1285">
        <v>0.67789028235174997</v>
      </c>
      <c r="F1285">
        <v>0.31946908124025702</v>
      </c>
      <c r="G1285">
        <v>0.18249509773164899</v>
      </c>
      <c r="H1285">
        <v>0.16002348342294401</v>
      </c>
      <c r="I1285">
        <v>0.141512508935461</v>
      </c>
      <c r="J1285">
        <v>0.141040800868236</v>
      </c>
      <c r="K1285">
        <v>9.6305973705847897E-2</v>
      </c>
      <c r="L1285">
        <v>1138.99219543502</v>
      </c>
      <c r="M1285">
        <v>23.9440112071645</v>
      </c>
      <c r="N1285">
        <v>48.171502708555501</v>
      </c>
      <c r="O1285">
        <v>47.240901710734597</v>
      </c>
      <c r="P1285">
        <v>-0.110317184468192</v>
      </c>
      <c r="Q1285">
        <v>0.12940232868284399</v>
      </c>
      <c r="R1285">
        <v>0.97392089271084503</v>
      </c>
      <c r="S1285" t="s">
        <v>7853</v>
      </c>
      <c r="T1285" t="s">
        <v>13134</v>
      </c>
      <c r="U1285" t="s">
        <v>13134</v>
      </c>
      <c r="V1285" t="s">
        <v>13134</v>
      </c>
      <c r="W1285" t="s">
        <v>14391</v>
      </c>
      <c r="X1285">
        <v>22</v>
      </c>
      <c r="Y1285" t="s">
        <v>20878</v>
      </c>
      <c r="Z1285" t="s">
        <v>27253</v>
      </c>
      <c r="AA1285">
        <v>0.44414613073133052</v>
      </c>
      <c r="AB1285" t="str">
        <f>HYPERLINK("Melting_Curves/meltCurve_J3QQX3_FDXR.pdf", "Melting_Curves/meltCurve_J3QQX3_FDXR.pdf")</f>
        <v>Melting_Curves/meltCurve_J3QQX3_FDXR.pdf</v>
      </c>
    </row>
    <row r="1286" spans="1:28" x14ac:dyDescent="0.25">
      <c r="A1286" t="s">
        <v>1290</v>
      </c>
      <c r="B1286">
        <v>0.99472303558308395</v>
      </c>
      <c r="C1286">
        <v>0.94383582604467897</v>
      </c>
      <c r="D1286">
        <v>0.57869824485853105</v>
      </c>
      <c r="E1286">
        <v>0.44560474357558699</v>
      </c>
      <c r="F1286">
        <v>0.26291848725269001</v>
      </c>
      <c r="G1286">
        <v>0.17998089090165301</v>
      </c>
      <c r="H1286">
        <v>0.15290789348396799</v>
      </c>
      <c r="I1286">
        <v>0.217222699486808</v>
      </c>
      <c r="J1286">
        <v>0.231380784591452</v>
      </c>
      <c r="K1286">
        <v>0.16340130977487399</v>
      </c>
      <c r="L1286">
        <v>809.26830294948002</v>
      </c>
      <c r="M1286">
        <v>18.506593783064801</v>
      </c>
      <c r="N1286">
        <v>44.862989686935002</v>
      </c>
      <c r="O1286">
        <v>43.227661578993803</v>
      </c>
      <c r="P1286">
        <v>-8.7034618185995297E-2</v>
      </c>
      <c r="Q1286">
        <v>0.18685487185823399</v>
      </c>
      <c r="R1286">
        <v>0.97819109650841995</v>
      </c>
      <c r="S1286" t="s">
        <v>7854</v>
      </c>
      <c r="T1286" t="s">
        <v>13134</v>
      </c>
      <c r="U1286" t="s">
        <v>13134</v>
      </c>
      <c r="V1286" t="s">
        <v>13134</v>
      </c>
      <c r="W1286" t="s">
        <v>14392</v>
      </c>
      <c r="X1286">
        <v>2</v>
      </c>
      <c r="Y1286" t="s">
        <v>20879</v>
      </c>
      <c r="Z1286" t="s">
        <v>27254</v>
      </c>
      <c r="AA1286">
        <v>0.38226120660548912</v>
      </c>
      <c r="AB1286" t="str">
        <f>HYPERLINK("Melting_Curves/meltCurve_J3QQY0_MSL1.pdf", "Melting_Curves/meltCurve_J3QQY0_MSL1.pdf")</f>
        <v>Melting_Curves/meltCurve_J3QQY0_MSL1.pdf</v>
      </c>
    </row>
    <row r="1287" spans="1:28" x14ac:dyDescent="0.25">
      <c r="A1287" t="s">
        <v>1291</v>
      </c>
      <c r="B1287">
        <v>0.99472303558308395</v>
      </c>
      <c r="C1287">
        <v>1.0060701041997699</v>
      </c>
      <c r="D1287">
        <v>0.87234703634808997</v>
      </c>
      <c r="E1287">
        <v>0.68226007580301695</v>
      </c>
      <c r="F1287">
        <v>0.60181503496519595</v>
      </c>
      <c r="G1287">
        <v>0.26054300463873997</v>
      </c>
      <c r="H1287">
        <v>0.14607772877459799</v>
      </c>
      <c r="I1287">
        <v>0.116356616294469</v>
      </c>
      <c r="J1287">
        <v>0.11333238801219001</v>
      </c>
      <c r="K1287">
        <v>0.112973216288873</v>
      </c>
      <c r="L1287">
        <v>685.81619217773004</v>
      </c>
      <c r="M1287">
        <v>13.781095640767001</v>
      </c>
      <c r="N1287">
        <v>50.212488962454998</v>
      </c>
      <c r="O1287">
        <v>48.752230771657402</v>
      </c>
      <c r="P1287">
        <v>-6.6594669343772395E-2</v>
      </c>
      <c r="Q1287">
        <v>5.7787008782987599E-2</v>
      </c>
      <c r="R1287">
        <v>0.98469544297927503</v>
      </c>
      <c r="S1287" t="s">
        <v>7855</v>
      </c>
      <c r="T1287" t="s">
        <v>13134</v>
      </c>
      <c r="U1287" t="s">
        <v>13134</v>
      </c>
      <c r="V1287" t="s">
        <v>13134</v>
      </c>
      <c r="W1287" t="s">
        <v>14393</v>
      </c>
      <c r="X1287">
        <v>9</v>
      </c>
      <c r="Y1287" t="s">
        <v>20880</v>
      </c>
      <c r="Z1287" t="s">
        <v>27255</v>
      </c>
      <c r="AA1287">
        <v>0.4810894702314511</v>
      </c>
      <c r="AB1287" t="str">
        <f>HYPERLINK("Melting_Curves/meltCurve_J3QR09_RPL19.pdf", "Melting_Curves/meltCurve_J3QR09_RPL19.pdf")</f>
        <v>Melting_Curves/meltCurve_J3QR09_RPL19.pdf</v>
      </c>
    </row>
    <row r="1288" spans="1:28" x14ac:dyDescent="0.25">
      <c r="A1288" t="s">
        <v>1292</v>
      </c>
      <c r="B1288">
        <v>0.99472303558308395</v>
      </c>
      <c r="C1288">
        <v>0.91205965664369604</v>
      </c>
      <c r="D1288">
        <v>0.84983943340014401</v>
      </c>
      <c r="E1288">
        <v>0.54375277320722704</v>
      </c>
      <c r="F1288">
        <v>0.40454493913391798</v>
      </c>
      <c r="G1288">
        <v>0.21216400177019501</v>
      </c>
      <c r="H1288">
        <v>0.106947783695146</v>
      </c>
      <c r="I1288">
        <v>9.06223285699886E-2</v>
      </c>
      <c r="J1288">
        <v>0.128872274599104</v>
      </c>
      <c r="K1288">
        <v>9.3338942567559605E-2</v>
      </c>
      <c r="L1288">
        <v>667.33519082331804</v>
      </c>
      <c r="M1288">
        <v>14.105538772384</v>
      </c>
      <c r="N1288">
        <v>47.8441974859319</v>
      </c>
      <c r="O1288">
        <v>46.389696867355603</v>
      </c>
      <c r="P1288">
        <v>-7.0488562787837203E-2</v>
      </c>
      <c r="Q1288">
        <v>7.2839505071549696E-2</v>
      </c>
      <c r="R1288">
        <v>0.99282269881801999</v>
      </c>
      <c r="S1288" t="s">
        <v>7856</v>
      </c>
      <c r="T1288" t="s">
        <v>13134</v>
      </c>
      <c r="U1288" t="s">
        <v>13134</v>
      </c>
      <c r="V1288" t="s">
        <v>13134</v>
      </c>
      <c r="W1288" t="s">
        <v>14394</v>
      </c>
      <c r="X1288">
        <v>28</v>
      </c>
      <c r="Y1288" t="s">
        <v>20881</v>
      </c>
      <c r="Z1288" t="s">
        <v>27256</v>
      </c>
      <c r="AA1288">
        <v>0.41453853956355141</v>
      </c>
      <c r="AB1288" t="str">
        <f>HYPERLINK("Melting_Curves/meltCurve_J3QR29_CDK11B.pdf", "Melting_Curves/meltCurve_J3QR29_CDK11B.pdf")</f>
        <v>Melting_Curves/meltCurve_J3QR29_CDK11B.pdf</v>
      </c>
    </row>
    <row r="1289" spans="1:28" x14ac:dyDescent="0.25">
      <c r="A1289" t="s">
        <v>1293</v>
      </c>
      <c r="B1289">
        <v>0.99472303558308395</v>
      </c>
      <c r="C1289">
        <v>0.98257627256735203</v>
      </c>
      <c r="D1289">
        <v>0.89488906380229605</v>
      </c>
      <c r="E1289">
        <v>0.75017253175197596</v>
      </c>
      <c r="F1289">
        <v>0.59665591450941402</v>
      </c>
      <c r="G1289">
        <v>0.38778926751751303</v>
      </c>
      <c r="H1289">
        <v>0.44408842795401698</v>
      </c>
      <c r="I1289">
        <v>0.68930650229921797</v>
      </c>
      <c r="J1289">
        <v>0.58598774758433303</v>
      </c>
      <c r="K1289">
        <v>0.53485917193343402</v>
      </c>
      <c r="L1289">
        <v>1162.7412553019201</v>
      </c>
      <c r="M1289">
        <v>25.3270210856844</v>
      </c>
      <c r="O1289">
        <v>45.625795814282696</v>
      </c>
      <c r="P1289">
        <v>-6.5031162071610499E-2</v>
      </c>
      <c r="Q1289">
        <v>0.53140013959135501</v>
      </c>
      <c r="R1289">
        <v>0.85221876522989704</v>
      </c>
      <c r="S1289" t="s">
        <v>7857</v>
      </c>
      <c r="T1289" t="s">
        <v>13134</v>
      </c>
      <c r="U1289" t="s">
        <v>13134</v>
      </c>
      <c r="V1289" t="s">
        <v>13134</v>
      </c>
      <c r="W1289" t="s">
        <v>14395</v>
      </c>
      <c r="X1289">
        <v>2</v>
      </c>
      <c r="Y1289" t="s">
        <v>20882</v>
      </c>
      <c r="Z1289" t="s">
        <v>27257</v>
      </c>
      <c r="AA1289">
        <v>0.67433697973988083</v>
      </c>
      <c r="AB1289" t="str">
        <f>HYPERLINK("Melting_Curves/meltCurve_J3QR35_STRA13.pdf", "Melting_Curves/meltCurve_J3QR35_STRA13.pdf")</f>
        <v>Melting_Curves/meltCurve_J3QR35_STRA13.pdf</v>
      </c>
    </row>
    <row r="1290" spans="1:28" x14ac:dyDescent="0.25">
      <c r="A1290" t="s">
        <v>1294</v>
      </c>
      <c r="B1290">
        <v>0.99472303558308395</v>
      </c>
      <c r="C1290">
        <v>1.01938447177969</v>
      </c>
      <c r="D1290">
        <v>0.73019832927518602</v>
      </c>
      <c r="E1290">
        <v>0.59985315718493604</v>
      </c>
      <c r="F1290">
        <v>0.38259840499411701</v>
      </c>
      <c r="G1290">
        <v>0.18260854423213599</v>
      </c>
      <c r="H1290">
        <v>0.11300782043214599</v>
      </c>
      <c r="I1290">
        <v>9.7093358133570895E-2</v>
      </c>
      <c r="J1290">
        <v>0.13081451450777801</v>
      </c>
      <c r="K1290">
        <v>8.9531255663617096E-2</v>
      </c>
      <c r="L1290">
        <v>674.75514493617004</v>
      </c>
      <c r="M1290">
        <v>14.3074720958698</v>
      </c>
      <c r="N1290">
        <v>47.697532890515397</v>
      </c>
      <c r="O1290">
        <v>46.268410951504997</v>
      </c>
      <c r="P1290">
        <v>-7.1569830204334606E-2</v>
      </c>
      <c r="Q1290">
        <v>7.4324225131792904E-2</v>
      </c>
      <c r="R1290">
        <v>0.98510262174121299</v>
      </c>
      <c r="S1290" t="s">
        <v>7858</v>
      </c>
      <c r="T1290" t="s">
        <v>13134</v>
      </c>
      <c r="U1290" t="s">
        <v>13134</v>
      </c>
      <c r="V1290" t="s">
        <v>13134</v>
      </c>
      <c r="W1290" t="s">
        <v>14396</v>
      </c>
      <c r="X1290">
        <v>3</v>
      </c>
      <c r="Y1290" t="s">
        <v>20883</v>
      </c>
      <c r="Z1290" t="s">
        <v>27258</v>
      </c>
      <c r="AA1290">
        <v>0.41041219293802578</v>
      </c>
      <c r="AB1290" t="str">
        <f>HYPERLINK("Melting_Curves/meltCurve_J3QR65_MTMR4.pdf", "Melting_Curves/meltCurve_J3QR65_MTMR4.pdf")</f>
        <v>Melting_Curves/meltCurve_J3QR65_MTMR4.pdf</v>
      </c>
    </row>
    <row r="1291" spans="1:28" x14ac:dyDescent="0.25">
      <c r="A1291" t="s">
        <v>1295</v>
      </c>
      <c r="B1291">
        <v>0.99472303558308395</v>
      </c>
      <c r="C1291">
        <v>1.00957403019141</v>
      </c>
      <c r="D1291">
        <v>0.91200860774112602</v>
      </c>
      <c r="E1291">
        <v>0.75884785337304295</v>
      </c>
      <c r="F1291">
        <v>0.59089592651928302</v>
      </c>
      <c r="G1291">
        <v>0.29776241243627399</v>
      </c>
      <c r="H1291">
        <v>0.162119261143711</v>
      </c>
      <c r="I1291">
        <v>0.101586426781082</v>
      </c>
      <c r="J1291">
        <v>0.111650214574763</v>
      </c>
      <c r="K1291">
        <v>7.8697808970375399E-2</v>
      </c>
      <c r="L1291">
        <v>759.64735308549098</v>
      </c>
      <c r="M1291">
        <v>15.060474564401501</v>
      </c>
      <c r="N1291">
        <v>50.800125326901302</v>
      </c>
      <c r="O1291">
        <v>49.575571594027103</v>
      </c>
      <c r="P1291">
        <v>-7.2106744434043704E-2</v>
      </c>
      <c r="Q1291">
        <v>5.0660030649025203E-2</v>
      </c>
      <c r="R1291">
        <v>0.995686777625991</v>
      </c>
      <c r="S1291" t="s">
        <v>7859</v>
      </c>
      <c r="T1291" t="s">
        <v>13134</v>
      </c>
      <c r="U1291" t="s">
        <v>13134</v>
      </c>
      <c r="V1291" t="s">
        <v>13134</v>
      </c>
      <c r="W1291" t="s">
        <v>14397</v>
      </c>
      <c r="X1291">
        <v>2</v>
      </c>
      <c r="Y1291" t="s">
        <v>20884</v>
      </c>
      <c r="Z1291" t="s">
        <v>27259</v>
      </c>
      <c r="AA1291">
        <v>0.4953934471657383</v>
      </c>
      <c r="AB1291" t="str">
        <f>HYPERLINK("Melting_Curves/meltCurve_J3QRM9_ORMDL3.pdf", "Melting_Curves/meltCurve_J3QRM9_ORMDL3.pdf")</f>
        <v>Melting_Curves/meltCurve_J3QRM9_ORMDL3.pdf</v>
      </c>
    </row>
    <row r="1292" spans="1:28" x14ac:dyDescent="0.25">
      <c r="A1292" t="s">
        <v>1296</v>
      </c>
      <c r="B1292">
        <v>0.99472303558308395</v>
      </c>
      <c r="C1292">
        <v>0.83918984658947104</v>
      </c>
      <c r="D1292">
        <v>0.80805566905895398</v>
      </c>
      <c r="E1292">
        <v>0.72808090338650699</v>
      </c>
      <c r="F1292">
        <v>0.62372657454259295</v>
      </c>
      <c r="G1292">
        <v>0.256629075890562</v>
      </c>
      <c r="H1292">
        <v>0.110348749069295</v>
      </c>
      <c r="I1292">
        <v>7.3637093228279701E-2</v>
      </c>
      <c r="J1292">
        <v>8.4417082877165303E-2</v>
      </c>
      <c r="K1292">
        <v>7.3800593972641507E-2</v>
      </c>
      <c r="L1292">
        <v>592.89539962093602</v>
      </c>
      <c r="M1292">
        <v>11.826316804197001</v>
      </c>
      <c r="N1292">
        <v>50.133569622525698</v>
      </c>
      <c r="O1292">
        <v>48.7645586163339</v>
      </c>
      <c r="P1292">
        <v>-6.0645137077406798E-2</v>
      </c>
      <c r="Q1292">
        <v>0</v>
      </c>
      <c r="R1292">
        <v>0.96437288170228497</v>
      </c>
      <c r="S1292" t="s">
        <v>7860</v>
      </c>
      <c r="T1292" t="s">
        <v>13134</v>
      </c>
      <c r="U1292" t="s">
        <v>13134</v>
      </c>
      <c r="V1292" t="s">
        <v>13134</v>
      </c>
      <c r="W1292" t="s">
        <v>14398</v>
      </c>
      <c r="X1292">
        <v>9</v>
      </c>
      <c r="Y1292" t="s">
        <v>20885</v>
      </c>
      <c r="Z1292" t="s">
        <v>27260</v>
      </c>
      <c r="AA1292">
        <v>0.46599539635266651</v>
      </c>
      <c r="AB1292" t="str">
        <f>HYPERLINK("Melting_Curves/meltCurve_J3QRS3_MYL12A.pdf", "Melting_Curves/meltCurve_J3QRS3_MYL12A.pdf")</f>
        <v>Melting_Curves/meltCurve_J3QRS3_MYL12A.pdf</v>
      </c>
    </row>
    <row r="1293" spans="1:28" x14ac:dyDescent="0.25">
      <c r="A1293" t="s">
        <v>1297</v>
      </c>
      <c r="B1293">
        <v>0.99472303558308395</v>
      </c>
      <c r="C1293">
        <v>1.0123040102983201</v>
      </c>
      <c r="D1293">
        <v>0.92884724574180499</v>
      </c>
      <c r="E1293">
        <v>0.88194505573975601</v>
      </c>
      <c r="F1293">
        <v>0.614385925127518</v>
      </c>
      <c r="G1293">
        <v>0.53774617151725002</v>
      </c>
      <c r="H1293">
        <v>0.36934035747497401</v>
      </c>
      <c r="I1293">
        <v>0.39559183070386</v>
      </c>
      <c r="J1293">
        <v>0.35388261326741499</v>
      </c>
      <c r="K1293">
        <v>0.201756953914179</v>
      </c>
      <c r="L1293">
        <v>656.15971245441801</v>
      </c>
      <c r="M1293">
        <v>12.8081588112827</v>
      </c>
      <c r="N1293">
        <v>54.138610779562498</v>
      </c>
      <c r="O1293">
        <v>50.0291874752293</v>
      </c>
      <c r="P1293">
        <v>-4.8091517775243002E-2</v>
      </c>
      <c r="Q1293">
        <v>0.24875095316491899</v>
      </c>
      <c r="R1293">
        <v>0.97386746153368298</v>
      </c>
      <c r="S1293" t="s">
        <v>7861</v>
      </c>
      <c r="T1293" t="s">
        <v>13134</v>
      </c>
      <c r="U1293" t="s">
        <v>13134</v>
      </c>
      <c r="V1293" t="s">
        <v>13134</v>
      </c>
      <c r="W1293" t="s">
        <v>14399</v>
      </c>
      <c r="X1293">
        <v>8</v>
      </c>
      <c r="Y1293" t="s">
        <v>20886</v>
      </c>
      <c r="Z1293" t="s">
        <v>27261</v>
      </c>
      <c r="AA1293">
        <v>0.62306997659933017</v>
      </c>
      <c r="AB1293" t="str">
        <f>HYPERLINK("Melting_Curves/meltCurve_J3QRS9_ZNF207.pdf", "Melting_Curves/meltCurve_J3QRS9_ZNF207.pdf")</f>
        <v>Melting_Curves/meltCurve_J3QRS9_ZNF207.pdf</v>
      </c>
    </row>
    <row r="1294" spans="1:28" x14ac:dyDescent="0.25">
      <c r="A1294" t="s">
        <v>1298</v>
      </c>
      <c r="B1294">
        <v>0.99472303558308395</v>
      </c>
      <c r="C1294">
        <v>1.0070233340538099</v>
      </c>
      <c r="D1294">
        <v>0.98803314888486105</v>
      </c>
      <c r="E1294">
        <v>0.74180804881722195</v>
      </c>
      <c r="F1294">
        <v>0.29236293137493202</v>
      </c>
      <c r="G1294">
        <v>0.12892298982987499</v>
      </c>
      <c r="H1294">
        <v>7.3838573834100904E-2</v>
      </c>
      <c r="I1294">
        <v>6.0741909574486198E-2</v>
      </c>
      <c r="J1294">
        <v>6.3468239437605503E-2</v>
      </c>
      <c r="K1294">
        <v>4.8414764291480297E-2</v>
      </c>
      <c r="L1294">
        <v>1347.16098822354</v>
      </c>
      <c r="M1294">
        <v>27.925243209416301</v>
      </c>
      <c r="N1294">
        <v>48.468276709477301</v>
      </c>
      <c r="O1294">
        <v>47.996337971372803</v>
      </c>
      <c r="P1294">
        <v>-0.13655546667471599</v>
      </c>
      <c r="Q1294">
        <v>6.1192729905217298E-2</v>
      </c>
      <c r="R1294">
        <v>0.999414635183694</v>
      </c>
      <c r="S1294" t="s">
        <v>7862</v>
      </c>
      <c r="T1294" t="s">
        <v>13134</v>
      </c>
      <c r="U1294" t="s">
        <v>13134</v>
      </c>
      <c r="V1294" t="s">
        <v>13134</v>
      </c>
      <c r="W1294" t="s">
        <v>14400</v>
      </c>
      <c r="X1294">
        <v>16</v>
      </c>
      <c r="Y1294" t="s">
        <v>20887</v>
      </c>
      <c r="Z1294" t="s">
        <v>27262</v>
      </c>
      <c r="AA1294">
        <v>0.41943141862305983</v>
      </c>
      <c r="AB1294" t="str">
        <f>HYPERLINK("Melting_Curves/meltCurve_J3QRU1_YES1.pdf", "Melting_Curves/meltCurve_J3QRU1_YES1.pdf")</f>
        <v>Melting_Curves/meltCurve_J3QRU1_YES1.pdf</v>
      </c>
    </row>
    <row r="1295" spans="1:28" x14ac:dyDescent="0.25">
      <c r="A1295" t="s">
        <v>1299</v>
      </c>
      <c r="B1295">
        <v>0.99472303558308395</v>
      </c>
      <c r="C1295">
        <v>1.0327994280014401</v>
      </c>
      <c r="D1295">
        <v>0.91387388598705399</v>
      </c>
      <c r="E1295">
        <v>0.81609774849754102</v>
      </c>
      <c r="F1295">
        <v>0.74316497437873497</v>
      </c>
      <c r="G1295">
        <v>0.46190963804076501</v>
      </c>
      <c r="H1295">
        <v>0.37795296306981502</v>
      </c>
      <c r="I1295">
        <v>0.32155699631512902</v>
      </c>
      <c r="J1295">
        <v>0.43064035808227202</v>
      </c>
      <c r="K1295">
        <v>0.460191206251235</v>
      </c>
      <c r="L1295">
        <v>925.369887682083</v>
      </c>
      <c r="M1295">
        <v>18.6195380832695</v>
      </c>
      <c r="N1295">
        <v>53.800985221814102</v>
      </c>
      <c r="O1295">
        <v>49.136238751784198</v>
      </c>
      <c r="P1295">
        <v>-5.8822804037359101E-2</v>
      </c>
      <c r="Q1295">
        <v>0.379102433884907</v>
      </c>
      <c r="R1295">
        <v>0.95474650165643105</v>
      </c>
      <c r="S1295" t="s">
        <v>7863</v>
      </c>
      <c r="T1295" t="s">
        <v>13134</v>
      </c>
      <c r="U1295" t="s">
        <v>13134</v>
      </c>
      <c r="V1295" t="s">
        <v>13134</v>
      </c>
      <c r="W1295" t="s">
        <v>14401</v>
      </c>
      <c r="X1295">
        <v>5</v>
      </c>
      <c r="Y1295" t="s">
        <v>20888</v>
      </c>
      <c r="Z1295" t="s">
        <v>27263</v>
      </c>
      <c r="AA1295">
        <v>0.65119293694196434</v>
      </c>
      <c r="AB1295" t="str">
        <f>HYPERLINK("Melting_Curves/meltCurve_J3QRU4_VAMP2.pdf", "Melting_Curves/meltCurve_J3QRU4_VAMP2.pdf")</f>
        <v>Melting_Curves/meltCurve_J3QRU4_VAMP2.pdf</v>
      </c>
    </row>
    <row r="1296" spans="1:28" x14ac:dyDescent="0.25">
      <c r="A1296" t="s">
        <v>1300</v>
      </c>
      <c r="B1296">
        <v>0.99472303558308395</v>
      </c>
      <c r="C1296">
        <v>0.87821903478755603</v>
      </c>
      <c r="D1296">
        <v>0.62037868157739695</v>
      </c>
      <c r="E1296">
        <v>0.42452712338341803</v>
      </c>
      <c r="F1296">
        <v>0.192041469254014</v>
      </c>
      <c r="G1296">
        <v>6.3229011970775698E-2</v>
      </c>
      <c r="H1296">
        <v>6.4410515865940293E-2</v>
      </c>
      <c r="I1296">
        <v>2.47094252065224E-2</v>
      </c>
      <c r="J1296">
        <v>7.9527744403390908E-3</v>
      </c>
      <c r="K1296">
        <v>2.3639149845809299E-2</v>
      </c>
      <c r="L1296">
        <v>643.42880103574896</v>
      </c>
      <c r="M1296">
        <v>14.2758247661257</v>
      </c>
      <c r="N1296">
        <v>45.092485753654699</v>
      </c>
      <c r="O1296">
        <v>44.214486204829299</v>
      </c>
      <c r="P1296">
        <v>-8.0458182461827996E-2</v>
      </c>
      <c r="Q1296">
        <v>3.3553560141822598E-3</v>
      </c>
      <c r="R1296">
        <v>0.99497168471858399</v>
      </c>
      <c r="S1296" t="s">
        <v>7864</v>
      </c>
      <c r="T1296" t="s">
        <v>13134</v>
      </c>
      <c r="U1296" t="s">
        <v>13134</v>
      </c>
      <c r="V1296" t="s">
        <v>13134</v>
      </c>
      <c r="W1296" t="s">
        <v>14402</v>
      </c>
      <c r="X1296">
        <v>6</v>
      </c>
      <c r="Y1296" t="s">
        <v>20889</v>
      </c>
      <c r="Z1296" t="s">
        <v>27264</v>
      </c>
      <c r="AA1296">
        <v>0.29755913458070271</v>
      </c>
      <c r="AB1296" t="str">
        <f>HYPERLINK("Melting_Curves/meltCurve_J3QRU8_GIT1.pdf", "Melting_Curves/meltCurve_J3QRU8_GIT1.pdf")</f>
        <v>Melting_Curves/meltCurve_J3QRU8_GIT1.pdf</v>
      </c>
    </row>
    <row r="1297" spans="1:28" x14ac:dyDescent="0.25">
      <c r="A1297" t="s">
        <v>1301</v>
      </c>
      <c r="B1297">
        <v>0.99472303558308395</v>
      </c>
      <c r="C1297">
        <v>1.0728426850311701</v>
      </c>
      <c r="D1297">
        <v>0.93411576263321405</v>
      </c>
      <c r="E1297">
        <v>0.71380822371541797</v>
      </c>
      <c r="F1297">
        <v>0.46345789362648598</v>
      </c>
      <c r="G1297">
        <v>0.180942391084075</v>
      </c>
      <c r="H1297">
        <v>0.108991999318571</v>
      </c>
      <c r="I1297">
        <v>8.5274147330156494E-2</v>
      </c>
      <c r="J1297">
        <v>8.8844206867367798E-2</v>
      </c>
      <c r="K1297">
        <v>0.118755507692222</v>
      </c>
      <c r="L1297">
        <v>969.54247130982503</v>
      </c>
      <c r="M1297">
        <v>19.846880843193901</v>
      </c>
      <c r="N1297">
        <v>49.288369210546399</v>
      </c>
      <c r="O1297">
        <v>48.363291804881797</v>
      </c>
      <c r="P1297">
        <v>-9.4314944626672906E-2</v>
      </c>
      <c r="Q1297">
        <v>8.0716537465011604E-2</v>
      </c>
      <c r="R1297">
        <v>0.99209123875908101</v>
      </c>
      <c r="S1297" t="s">
        <v>7865</v>
      </c>
      <c r="T1297" t="s">
        <v>13134</v>
      </c>
      <c r="U1297" t="s">
        <v>13134</v>
      </c>
      <c r="V1297" t="s">
        <v>13134</v>
      </c>
      <c r="W1297" t="s">
        <v>14403</v>
      </c>
      <c r="X1297">
        <v>3</v>
      </c>
      <c r="Y1297" t="s">
        <v>20890</v>
      </c>
      <c r="Z1297" t="s">
        <v>27265</v>
      </c>
      <c r="AA1297">
        <v>0.45614769506878972</v>
      </c>
      <c r="AB1297" t="str">
        <f>HYPERLINK("Melting_Curves/meltCurve_J3QRV5_LLGL2.pdf", "Melting_Curves/meltCurve_J3QRV5_LLGL2.pdf")</f>
        <v>Melting_Curves/meltCurve_J3QRV5_LLGL2.pdf</v>
      </c>
    </row>
    <row r="1298" spans="1:28" x14ac:dyDescent="0.25">
      <c r="A1298" t="s">
        <v>1302</v>
      </c>
      <c r="B1298">
        <v>0.99472303558308395</v>
      </c>
      <c r="C1298">
        <v>0.91769744754192994</v>
      </c>
      <c r="D1298">
        <v>1.0280452189866101</v>
      </c>
      <c r="E1298">
        <v>0.754153859227502</v>
      </c>
      <c r="F1298">
        <v>1.2003608469318801</v>
      </c>
      <c r="G1298">
        <v>0.50307101549647004</v>
      </c>
      <c r="H1298">
        <v>0.58815523449893503</v>
      </c>
      <c r="I1298">
        <v>0.40181071286160103</v>
      </c>
      <c r="J1298">
        <v>1.1279512848494799</v>
      </c>
      <c r="K1298">
        <v>0.77636741604246595</v>
      </c>
      <c r="L1298">
        <v>12989.5229886055</v>
      </c>
      <c r="M1298">
        <v>250</v>
      </c>
      <c r="O1298">
        <v>51.9547773174722</v>
      </c>
      <c r="P1298">
        <v>-0.38558549989382002</v>
      </c>
      <c r="Q1298">
        <v>0.67947192340502904</v>
      </c>
      <c r="R1298">
        <v>0.33779147991456598</v>
      </c>
      <c r="S1298" t="s">
        <v>7866</v>
      </c>
      <c r="T1298" t="s">
        <v>13134</v>
      </c>
      <c r="U1298" t="s">
        <v>13134</v>
      </c>
      <c r="V1298" t="s">
        <v>13134</v>
      </c>
      <c r="W1298" t="s">
        <v>14404</v>
      </c>
      <c r="X1298">
        <v>1</v>
      </c>
      <c r="Y1298" t="s">
        <v>20891</v>
      </c>
      <c r="Z1298" t="s">
        <v>27266</v>
      </c>
      <c r="AA1298">
        <v>0.83931743241976031</v>
      </c>
      <c r="AB1298" t="str">
        <f>HYPERLINK("Melting_Curves/meltCurve_J3QRX6_COPRS.pdf", "Melting_Curves/meltCurve_J3QRX6_COPRS.pdf")</f>
        <v>Melting_Curves/meltCurve_J3QRX6_COPRS.pdf</v>
      </c>
    </row>
    <row r="1299" spans="1:28" x14ac:dyDescent="0.25">
      <c r="A1299" t="s">
        <v>1303</v>
      </c>
      <c r="B1299">
        <v>0.99472303558308395</v>
      </c>
      <c r="C1299">
        <v>0.90396189058602905</v>
      </c>
      <c r="D1299">
        <v>0.76458896886823202</v>
      </c>
      <c r="E1299">
        <v>0.58825078298067601</v>
      </c>
      <c r="F1299">
        <v>0.34300114937005299</v>
      </c>
      <c r="G1299">
        <v>0.17134680821416201</v>
      </c>
      <c r="H1299">
        <v>0.118401432444349</v>
      </c>
      <c r="I1299">
        <v>6.9917043645483498E-2</v>
      </c>
      <c r="J1299">
        <v>8.7351675156367201E-2</v>
      </c>
      <c r="K1299">
        <v>9.3997825566781698E-2</v>
      </c>
      <c r="L1299">
        <v>631.87280688637497</v>
      </c>
      <c r="M1299">
        <v>13.4303170833432</v>
      </c>
      <c r="N1299">
        <v>47.418147728859999</v>
      </c>
      <c r="O1299">
        <v>46.041881979773997</v>
      </c>
      <c r="P1299">
        <v>-6.9308436295565504E-2</v>
      </c>
      <c r="Q1299">
        <v>4.9733731966789402E-2</v>
      </c>
      <c r="R1299">
        <v>0.99617304704002996</v>
      </c>
      <c r="S1299" t="s">
        <v>7867</v>
      </c>
      <c r="T1299" t="s">
        <v>13134</v>
      </c>
      <c r="U1299" t="s">
        <v>13134</v>
      </c>
      <c r="V1299" t="s">
        <v>13134</v>
      </c>
      <c r="W1299" t="s">
        <v>14405</v>
      </c>
      <c r="X1299">
        <v>5</v>
      </c>
      <c r="Y1299" t="s">
        <v>20892</v>
      </c>
      <c r="Z1299" t="s">
        <v>27267</v>
      </c>
      <c r="AA1299">
        <v>0.39391977282058521</v>
      </c>
      <c r="AB1299" t="str">
        <f>HYPERLINK("Melting_Curves/meltCurve_J3QS41_HELZ.pdf", "Melting_Curves/meltCurve_J3QS41_HELZ.pdf")</f>
        <v>Melting_Curves/meltCurve_J3QS41_HELZ.pdf</v>
      </c>
    </row>
    <row r="1300" spans="1:28" x14ac:dyDescent="0.25">
      <c r="A1300" t="s">
        <v>1304</v>
      </c>
      <c r="B1300">
        <v>0.99472303558308395</v>
      </c>
      <c r="C1300">
        <v>0.89214637733339197</v>
      </c>
      <c r="D1300">
        <v>0.80878931325671899</v>
      </c>
      <c r="E1300">
        <v>0.63833645672434003</v>
      </c>
      <c r="F1300">
        <v>0.696169029437124</v>
      </c>
      <c r="G1300">
        <v>0.21686438871224201</v>
      </c>
      <c r="H1300">
        <v>9.3282347684995104E-2</v>
      </c>
      <c r="I1300">
        <v>6.3706852153192703E-2</v>
      </c>
      <c r="J1300">
        <v>7.4340365879669495E-2</v>
      </c>
      <c r="K1300">
        <v>5.1272637182545898E-2</v>
      </c>
      <c r="L1300">
        <v>601.81543007097196</v>
      </c>
      <c r="M1300">
        <v>12.055810625681101</v>
      </c>
      <c r="N1300">
        <v>49.919128299916402</v>
      </c>
      <c r="O1300">
        <v>48.605148158496498</v>
      </c>
      <c r="P1300">
        <v>-6.2023600290389301E-2</v>
      </c>
      <c r="Q1300">
        <v>0</v>
      </c>
      <c r="R1300">
        <v>0.94693041574594605</v>
      </c>
      <c r="S1300" t="s">
        <v>7868</v>
      </c>
      <c r="T1300" t="s">
        <v>13134</v>
      </c>
      <c r="U1300" t="s">
        <v>13134</v>
      </c>
      <c r="V1300" t="s">
        <v>13134</v>
      </c>
      <c r="W1300" t="s">
        <v>14406</v>
      </c>
      <c r="X1300">
        <v>4</v>
      </c>
      <c r="Y1300" t="s">
        <v>20893</v>
      </c>
      <c r="Z1300" t="s">
        <v>27268</v>
      </c>
      <c r="AA1300">
        <v>0.45862231527671532</v>
      </c>
      <c r="AB1300" t="str">
        <f>HYPERLINK("Melting_Curves/meltCurve_J3QSV6_RSL1D1.pdf", "Melting_Curves/meltCurve_J3QSV6_RSL1D1.pdf")</f>
        <v>Melting_Curves/meltCurve_J3QSV6_RSL1D1.pdf</v>
      </c>
    </row>
    <row r="1301" spans="1:28" x14ac:dyDescent="0.25">
      <c r="A1301" t="s">
        <v>1305</v>
      </c>
      <c r="B1301">
        <v>0.99472303558308395</v>
      </c>
      <c r="C1301">
        <v>1.1402995573216399</v>
      </c>
      <c r="D1301">
        <v>1.0286347172791099</v>
      </c>
      <c r="E1301">
        <v>0.94820852712759396</v>
      </c>
      <c r="F1301">
        <v>0.83164642045408999</v>
      </c>
      <c r="G1301">
        <v>0.698792705891918</v>
      </c>
      <c r="H1301">
        <v>0.55720033464243801</v>
      </c>
      <c r="I1301">
        <v>0.61883274136931599</v>
      </c>
      <c r="J1301">
        <v>0.93628937990229599</v>
      </c>
      <c r="K1301">
        <v>0.61689989334173401</v>
      </c>
      <c r="L1301">
        <v>1840.8368009655201</v>
      </c>
      <c r="M1301">
        <v>36.944637187514502</v>
      </c>
      <c r="O1301">
        <v>49.681603606867696</v>
      </c>
      <c r="P1301">
        <v>-5.9054206815840199E-2</v>
      </c>
      <c r="Q1301">
        <v>0.68234648937132203</v>
      </c>
      <c r="R1301">
        <v>0.70030613986341494</v>
      </c>
      <c r="S1301" t="s">
        <v>7869</v>
      </c>
      <c r="T1301" t="s">
        <v>13134</v>
      </c>
      <c r="U1301" t="s">
        <v>13134</v>
      </c>
      <c r="V1301" t="s">
        <v>13134</v>
      </c>
      <c r="W1301" t="s">
        <v>14407</v>
      </c>
      <c r="X1301">
        <v>3</v>
      </c>
      <c r="Y1301" t="s">
        <v>20894</v>
      </c>
      <c r="Z1301" t="s">
        <v>27269</v>
      </c>
      <c r="AA1301">
        <v>0.81944620824185965</v>
      </c>
      <c r="AB1301" t="str">
        <f>HYPERLINK("Melting_Curves/meltCurve_J3QT56_HYPK.pdf", "Melting_Curves/meltCurve_J3QT56_HYPK.pdf")</f>
        <v>Melting_Curves/meltCurve_J3QT56_HYPK.pdf</v>
      </c>
    </row>
    <row r="1302" spans="1:28" x14ac:dyDescent="0.25">
      <c r="A1302" t="s">
        <v>1306</v>
      </c>
      <c r="B1302">
        <v>0.99472303558308395</v>
      </c>
      <c r="C1302">
        <v>0.94828398548585502</v>
      </c>
      <c r="D1302">
        <v>0.84848966407638404</v>
      </c>
      <c r="E1302">
        <v>0.771413106955261</v>
      </c>
      <c r="F1302">
        <v>0.714987481663522</v>
      </c>
      <c r="G1302">
        <v>0.42642527663789398</v>
      </c>
      <c r="H1302">
        <v>0.25082968075422701</v>
      </c>
      <c r="I1302">
        <v>0.11578375741743201</v>
      </c>
      <c r="J1302">
        <v>0.15646498923537699</v>
      </c>
      <c r="K1302">
        <v>0.10295286547849899</v>
      </c>
      <c r="L1302">
        <v>573.34059640866099</v>
      </c>
      <c r="M1302">
        <v>10.926081772085199</v>
      </c>
      <c r="N1302">
        <v>52.474492535392102</v>
      </c>
      <c r="O1302">
        <v>50.808519589362099</v>
      </c>
      <c r="P1302">
        <v>-5.3779681105775898E-2</v>
      </c>
      <c r="Q1302">
        <v>0</v>
      </c>
      <c r="R1302">
        <v>0.98185806543360699</v>
      </c>
      <c r="S1302" t="s">
        <v>7870</v>
      </c>
      <c r="T1302" t="s">
        <v>13134</v>
      </c>
      <c r="U1302" t="s">
        <v>13134</v>
      </c>
      <c r="V1302" t="s">
        <v>13134</v>
      </c>
      <c r="W1302" t="s">
        <v>14408</v>
      </c>
      <c r="X1302">
        <v>6</v>
      </c>
      <c r="Y1302" t="s">
        <v>20895</v>
      </c>
      <c r="Z1302" t="s">
        <v>27270</v>
      </c>
      <c r="AA1302">
        <v>0.53962240168176778</v>
      </c>
      <c r="AB1302" t="str">
        <f>HYPERLINK("Melting_Curves/meltCurve_J3QT87_CRBN.pdf", "Melting_Curves/meltCurve_J3QT87_CRBN.pdf")</f>
        <v>Melting_Curves/meltCurve_J3QT87_CRBN.pdf</v>
      </c>
    </row>
    <row r="1303" spans="1:28" x14ac:dyDescent="0.25">
      <c r="A1303" t="s">
        <v>1307</v>
      </c>
      <c r="B1303">
        <v>0.99472303558308395</v>
      </c>
      <c r="C1303">
        <v>0.95551624274170899</v>
      </c>
      <c r="D1303">
        <v>0.83945146015493999</v>
      </c>
      <c r="E1303">
        <v>0.70979075724385499</v>
      </c>
      <c r="F1303">
        <v>0.69693734298871202</v>
      </c>
      <c r="G1303">
        <v>0.280359460194262</v>
      </c>
      <c r="H1303">
        <v>0.15345000450351501</v>
      </c>
      <c r="I1303">
        <v>9.8748035220713695E-2</v>
      </c>
      <c r="J1303">
        <v>0.202978423647906</v>
      </c>
      <c r="K1303">
        <v>8.0827568613857606E-2</v>
      </c>
      <c r="L1303">
        <v>633.41972970108804</v>
      </c>
      <c r="M1303">
        <v>12.524200036146301</v>
      </c>
      <c r="N1303">
        <v>50.938966103418103</v>
      </c>
      <c r="O1303">
        <v>49.338177994013698</v>
      </c>
      <c r="P1303">
        <v>-6.0762087129559501E-2</v>
      </c>
      <c r="Q1303">
        <v>4.2723898610605202E-2</v>
      </c>
      <c r="R1303">
        <v>0.95943050274927799</v>
      </c>
      <c r="S1303" t="s">
        <v>7871</v>
      </c>
      <c r="T1303" t="s">
        <v>13134</v>
      </c>
      <c r="U1303" t="s">
        <v>13134</v>
      </c>
      <c r="V1303" t="s">
        <v>13134</v>
      </c>
      <c r="W1303" t="s">
        <v>14409</v>
      </c>
      <c r="X1303">
        <v>6</v>
      </c>
      <c r="Y1303" t="s">
        <v>20896</v>
      </c>
      <c r="Z1303" t="s">
        <v>27271</v>
      </c>
      <c r="AA1303">
        <v>0.50047894925924974</v>
      </c>
      <c r="AB1303" t="str">
        <f>HYPERLINK("Melting_Curves/meltCurve_J9JIC5_C17orf75.pdf", "Melting_Curves/meltCurve_J9JIC5_C17orf75.pdf")</f>
        <v>Melting_Curves/meltCurve_J9JIC5_C17orf75.pdf</v>
      </c>
    </row>
    <row r="1304" spans="1:28" x14ac:dyDescent="0.25">
      <c r="A1304" t="s">
        <v>1308</v>
      </c>
      <c r="B1304">
        <v>0.99472303558308395</v>
      </c>
      <c r="C1304">
        <v>0.99045969382022303</v>
      </c>
      <c r="D1304">
        <v>0.973169549046902</v>
      </c>
      <c r="E1304">
        <v>0.82423273083890303</v>
      </c>
      <c r="F1304">
        <v>0.59188919376966798</v>
      </c>
      <c r="G1304">
        <v>0.16676047067605701</v>
      </c>
      <c r="H1304">
        <v>0.102197402423422</v>
      </c>
      <c r="I1304">
        <v>7.2932741690982406E-2</v>
      </c>
      <c r="J1304">
        <v>8.6754991427850703E-2</v>
      </c>
      <c r="K1304">
        <v>6.9226005028344501E-2</v>
      </c>
      <c r="L1304">
        <v>1209.00049532756</v>
      </c>
      <c r="M1304">
        <v>24.0549781382311</v>
      </c>
      <c r="N1304">
        <v>50.529500681226303</v>
      </c>
      <c r="O1304">
        <v>49.916406011134001</v>
      </c>
      <c r="P1304">
        <v>-0.113222048846533</v>
      </c>
      <c r="Q1304">
        <v>6.0227947079379403E-2</v>
      </c>
      <c r="R1304">
        <v>0.994257365442621</v>
      </c>
      <c r="S1304" t="s">
        <v>7872</v>
      </c>
      <c r="T1304" t="s">
        <v>13134</v>
      </c>
      <c r="U1304" t="s">
        <v>13134</v>
      </c>
      <c r="V1304" t="s">
        <v>13134</v>
      </c>
      <c r="W1304" t="s">
        <v>14410</v>
      </c>
      <c r="X1304">
        <v>42</v>
      </c>
      <c r="Y1304" t="s">
        <v>20897</v>
      </c>
      <c r="Z1304" t="s">
        <v>27272</v>
      </c>
      <c r="AA1304">
        <v>0.48446418420645471</v>
      </c>
      <c r="AB1304" t="str">
        <f>HYPERLINK("Melting_Curves/meltCurve_J9JID7_LMNB2.pdf", "Melting_Curves/meltCurve_J9JID7_LMNB2.pdf")</f>
        <v>Melting_Curves/meltCurve_J9JID7_LMNB2.pdf</v>
      </c>
    </row>
    <row r="1305" spans="1:28" x14ac:dyDescent="0.25">
      <c r="A1305" t="s">
        <v>1309</v>
      </c>
      <c r="B1305">
        <v>0.99472303558308395</v>
      </c>
      <c r="C1305">
        <v>0.88349901595850699</v>
      </c>
      <c r="D1305">
        <v>0.82534626237634301</v>
      </c>
      <c r="E1305">
        <v>0.69798403386330699</v>
      </c>
      <c r="F1305">
        <v>0.56736593822605597</v>
      </c>
      <c r="G1305">
        <v>0.29486968171441602</v>
      </c>
      <c r="H1305">
        <v>0.138068583713509</v>
      </c>
      <c r="I1305">
        <v>7.9036988357122501E-2</v>
      </c>
      <c r="J1305">
        <v>7.7669630869808895E-2</v>
      </c>
      <c r="K1305">
        <v>7.0556717069536395E-2</v>
      </c>
      <c r="L1305">
        <v>569.44654063559403</v>
      </c>
      <c r="M1305">
        <v>11.391521912931999</v>
      </c>
      <c r="N1305">
        <v>49.9886354057207</v>
      </c>
      <c r="O1305">
        <v>48.522502190681799</v>
      </c>
      <c r="P1305">
        <v>-5.8709253481053401E-2</v>
      </c>
      <c r="Q1305">
        <v>0</v>
      </c>
      <c r="R1305">
        <v>0.98704784065213003</v>
      </c>
      <c r="S1305" t="s">
        <v>7873</v>
      </c>
      <c r="T1305" t="s">
        <v>13134</v>
      </c>
      <c r="U1305" t="s">
        <v>13134</v>
      </c>
      <c r="V1305" t="s">
        <v>13134</v>
      </c>
      <c r="W1305" t="s">
        <v>14411</v>
      </c>
      <c r="X1305">
        <v>5</v>
      </c>
      <c r="Y1305" t="s">
        <v>20898</v>
      </c>
      <c r="Z1305" t="s">
        <v>27273</v>
      </c>
      <c r="AA1305">
        <v>0.46267693122551851</v>
      </c>
      <c r="AB1305" t="str">
        <f>HYPERLINK("Melting_Curves/meltCurve_J9JIE6_TMCO1.pdf", "Melting_Curves/meltCurve_J9JIE6_TMCO1.pdf")</f>
        <v>Melting_Curves/meltCurve_J9JIE6_TMCO1.pdf</v>
      </c>
    </row>
    <row r="1306" spans="1:28" x14ac:dyDescent="0.25">
      <c r="A1306" t="s">
        <v>1310</v>
      </c>
      <c r="B1306">
        <v>0.99472303558308395</v>
      </c>
      <c r="C1306">
        <v>0.96584598738169403</v>
      </c>
      <c r="D1306">
        <v>0.89133129445670101</v>
      </c>
      <c r="E1306">
        <v>0.52440822347345795</v>
      </c>
      <c r="F1306">
        <v>0.22748037199016799</v>
      </c>
      <c r="G1306">
        <v>0.13727148434228101</v>
      </c>
      <c r="H1306">
        <v>9.4907022385818801E-2</v>
      </c>
      <c r="I1306">
        <v>0.103882817490177</v>
      </c>
      <c r="J1306">
        <v>0.13756729756451699</v>
      </c>
      <c r="K1306">
        <v>8.4651356229534097E-2</v>
      </c>
      <c r="L1306">
        <v>1126.0706862362699</v>
      </c>
      <c r="M1306">
        <v>24.2748059637977</v>
      </c>
      <c r="N1306">
        <v>46.834227852489299</v>
      </c>
      <c r="O1306">
        <v>46.077081899631303</v>
      </c>
      <c r="P1306">
        <v>-0.118124003296256</v>
      </c>
      <c r="Q1306">
        <v>0.103148034585306</v>
      </c>
      <c r="R1306">
        <v>0.99845422542824702</v>
      </c>
      <c r="S1306" t="s">
        <v>7874</v>
      </c>
      <c r="T1306" t="s">
        <v>13134</v>
      </c>
      <c r="U1306" t="s">
        <v>13134</v>
      </c>
      <c r="V1306" t="s">
        <v>13134</v>
      </c>
      <c r="W1306" t="s">
        <v>14412</v>
      </c>
      <c r="X1306">
        <v>5</v>
      </c>
      <c r="Y1306" t="s">
        <v>20138</v>
      </c>
      <c r="Z1306" t="s">
        <v>27274</v>
      </c>
      <c r="AA1306">
        <v>0.39174514225859841</v>
      </c>
      <c r="AB1306" t="str">
        <f>HYPERLINK("Melting_Curves/meltCurve_K4DI92_RWDD4.pdf", "Melting_Curves/meltCurve_K4DI92_RWDD4.pdf")</f>
        <v>Melting_Curves/meltCurve_K4DI92_RWDD4.pdf</v>
      </c>
    </row>
    <row r="1307" spans="1:28" x14ac:dyDescent="0.25">
      <c r="A1307" t="s">
        <v>1311</v>
      </c>
      <c r="B1307">
        <v>0.99472303558308395</v>
      </c>
      <c r="C1307">
        <v>0.78042723992060103</v>
      </c>
      <c r="D1307">
        <v>0.62982800056022104</v>
      </c>
      <c r="E1307">
        <v>0.50825755639442005</v>
      </c>
      <c r="F1307">
        <v>0.409106007740907</v>
      </c>
      <c r="G1307">
        <v>0.17777050047940701</v>
      </c>
      <c r="H1307">
        <v>9.9012502122686197E-2</v>
      </c>
      <c r="I1307">
        <v>8.0344956911764895E-2</v>
      </c>
      <c r="J1307">
        <v>4.77406658687217E-2</v>
      </c>
      <c r="K1307">
        <v>4.7872926330266602E-2</v>
      </c>
      <c r="L1307">
        <v>447.61849001245201</v>
      </c>
      <c r="M1307">
        <v>9.6519270774311394</v>
      </c>
      <c r="N1307">
        <v>46.376056173868697</v>
      </c>
      <c r="O1307">
        <v>44.516522739571997</v>
      </c>
      <c r="P1307">
        <v>-5.4234365179423698E-2</v>
      </c>
      <c r="Q1307">
        <v>0</v>
      </c>
      <c r="R1307">
        <v>0.98029531269298298</v>
      </c>
      <c r="S1307" t="s">
        <v>7875</v>
      </c>
      <c r="T1307" t="s">
        <v>13134</v>
      </c>
      <c r="U1307" t="s">
        <v>13134</v>
      </c>
      <c r="V1307" t="s">
        <v>13134</v>
      </c>
      <c r="W1307" t="s">
        <v>14413</v>
      </c>
      <c r="X1307">
        <v>1</v>
      </c>
      <c r="Y1307" t="s">
        <v>20899</v>
      </c>
      <c r="Z1307" t="s">
        <v>27275</v>
      </c>
      <c r="AA1307">
        <v>0.35996973587450648</v>
      </c>
      <c r="AB1307" t="str">
        <f>HYPERLINK("Melting_Curves/meltCurve_K4DI94_SHPRH.pdf", "Melting_Curves/meltCurve_K4DI94_SHPRH.pdf")</f>
        <v>Melting_Curves/meltCurve_K4DI94_SHPRH.pdf</v>
      </c>
    </row>
    <row r="1308" spans="1:28" x14ac:dyDescent="0.25">
      <c r="A1308" t="s">
        <v>1312</v>
      </c>
      <c r="B1308">
        <v>0.99472303558308395</v>
      </c>
      <c r="C1308">
        <v>1.1128751393518099</v>
      </c>
      <c r="D1308">
        <v>0.84537757518666301</v>
      </c>
      <c r="E1308">
        <v>0.77481139187451098</v>
      </c>
      <c r="F1308">
        <v>0.45244338917280902</v>
      </c>
      <c r="G1308">
        <v>0.20802336773538099</v>
      </c>
      <c r="H1308">
        <v>0.15778152914263599</v>
      </c>
      <c r="I1308">
        <v>0.104518659230509</v>
      </c>
      <c r="J1308">
        <v>0.126758095032899</v>
      </c>
      <c r="K1308">
        <v>0.11492692968478201</v>
      </c>
      <c r="L1308">
        <v>941.09870762637104</v>
      </c>
      <c r="M1308">
        <v>19.2424087015292</v>
      </c>
      <c r="N1308">
        <v>49.492629233260701</v>
      </c>
      <c r="O1308">
        <v>48.388506895030297</v>
      </c>
      <c r="P1308">
        <v>-8.9306142417442599E-2</v>
      </c>
      <c r="Q1308">
        <v>0.101728453946571</v>
      </c>
      <c r="R1308">
        <v>0.98182294100187195</v>
      </c>
      <c r="S1308" t="s">
        <v>7876</v>
      </c>
      <c r="T1308" t="s">
        <v>13134</v>
      </c>
      <c r="U1308" t="s">
        <v>13134</v>
      </c>
      <c r="V1308" t="s">
        <v>13134</v>
      </c>
      <c r="W1308" t="s">
        <v>14264</v>
      </c>
      <c r="X1308">
        <v>43</v>
      </c>
      <c r="Y1308" t="s">
        <v>20751</v>
      </c>
      <c r="Z1308" t="s">
        <v>27276</v>
      </c>
      <c r="AA1308">
        <v>0.47096073589522958</v>
      </c>
      <c r="AB1308" t="str">
        <f>HYPERLINK("Melting_Curves/meltCurve_K7EIG1_CLUH.pdf", "Melting_Curves/meltCurve_K7EIG1_CLUH.pdf")</f>
        <v>Melting_Curves/meltCurve_K7EIG1_CLUH.pdf</v>
      </c>
    </row>
    <row r="1309" spans="1:28" x14ac:dyDescent="0.25">
      <c r="A1309" t="s">
        <v>1313</v>
      </c>
      <c r="B1309">
        <v>0.99472303558308395</v>
      </c>
      <c r="C1309">
        <v>1.12274920714978</v>
      </c>
      <c r="D1309">
        <v>0.82139764135619797</v>
      </c>
      <c r="E1309">
        <v>0.81804731501938799</v>
      </c>
      <c r="F1309">
        <v>0.52358013265410996</v>
      </c>
      <c r="G1309">
        <v>0.28306736594667598</v>
      </c>
      <c r="H1309">
        <v>0.15772184791327201</v>
      </c>
      <c r="I1309">
        <v>4.7391724329174101E-2</v>
      </c>
      <c r="J1309">
        <v>0.13197166957975401</v>
      </c>
      <c r="K1309">
        <v>6.6974589110734395E-2</v>
      </c>
      <c r="L1309">
        <v>818.20294295247402</v>
      </c>
      <c r="M1309">
        <v>16.3302134762137</v>
      </c>
      <c r="N1309">
        <v>50.450481808613503</v>
      </c>
      <c r="O1309">
        <v>49.370362340940801</v>
      </c>
      <c r="P1309">
        <v>-7.8307165462558503E-2</v>
      </c>
      <c r="Q1309">
        <v>5.3099136980487197E-2</v>
      </c>
      <c r="R1309">
        <v>0.97401101790023503</v>
      </c>
      <c r="S1309" t="s">
        <v>7877</v>
      </c>
      <c r="T1309" t="s">
        <v>13134</v>
      </c>
      <c r="U1309" t="s">
        <v>13134</v>
      </c>
      <c r="V1309" t="s">
        <v>13134</v>
      </c>
      <c r="W1309" t="s">
        <v>14053</v>
      </c>
      <c r="X1309">
        <v>3</v>
      </c>
      <c r="Z1309" t="s">
        <v>27277</v>
      </c>
      <c r="AA1309">
        <v>0.48408300122350212</v>
      </c>
      <c r="AB1309" t="str">
        <f>HYPERLINK("Melting_Curves/meltCurve_K7EIL6_.pdf", "Melting_Curves/meltCurve_K7EIL6_.pdf")</f>
        <v>Melting_Curves/meltCurve_K7EIL6_.pdf</v>
      </c>
    </row>
    <row r="1310" spans="1:28" x14ac:dyDescent="0.25">
      <c r="A1310" t="s">
        <v>1314</v>
      </c>
      <c r="B1310">
        <v>0.99472303558308395</v>
      </c>
      <c r="C1310">
        <v>0.972842277193389</v>
      </c>
      <c r="D1310">
        <v>0.98731494548638299</v>
      </c>
      <c r="E1310">
        <v>0.97056027986536497</v>
      </c>
      <c r="F1310">
        <v>0.76478272046474904</v>
      </c>
      <c r="G1310">
        <v>0.340638807625047</v>
      </c>
      <c r="H1310">
        <v>0.35668067047717</v>
      </c>
      <c r="I1310">
        <v>0.64963959317769104</v>
      </c>
      <c r="J1310">
        <v>0.93024700552102602</v>
      </c>
      <c r="K1310">
        <v>1.1919350110764</v>
      </c>
      <c r="L1310">
        <v>12489.836728456001</v>
      </c>
      <c r="M1310">
        <v>250</v>
      </c>
      <c r="O1310">
        <v>49.956149877239703</v>
      </c>
      <c r="P1310">
        <v>-0.38305065789149401</v>
      </c>
      <c r="Q1310">
        <v>0.69382822332499905</v>
      </c>
      <c r="R1310">
        <v>0.25326631581832998</v>
      </c>
      <c r="S1310" t="s">
        <v>7878</v>
      </c>
      <c r="T1310" t="s">
        <v>13134</v>
      </c>
      <c r="U1310" t="s">
        <v>13134</v>
      </c>
      <c r="V1310" t="s">
        <v>13134</v>
      </c>
      <c r="W1310" t="s">
        <v>14414</v>
      </c>
      <c r="X1310">
        <v>1</v>
      </c>
      <c r="Y1310" t="s">
        <v>20900</v>
      </c>
      <c r="Z1310" t="s">
        <v>27278</v>
      </c>
      <c r="AA1310">
        <v>0.82611461012126597</v>
      </c>
      <c r="AB1310" t="str">
        <f>HYPERLINK("Melting_Curves/meltCurve_K7EIP7_YIPF2.pdf", "Melting_Curves/meltCurve_K7EIP7_YIPF2.pdf")</f>
        <v>Melting_Curves/meltCurve_K7EIP7_YIPF2.pdf</v>
      </c>
    </row>
    <row r="1311" spans="1:28" x14ac:dyDescent="0.25">
      <c r="A1311" t="s">
        <v>1315</v>
      </c>
      <c r="B1311">
        <v>0.99472303558308395</v>
      </c>
      <c r="C1311">
        <v>0.80492760724124901</v>
      </c>
      <c r="D1311">
        <v>0.97738259514758696</v>
      </c>
      <c r="E1311">
        <v>0.84814576033213995</v>
      </c>
      <c r="F1311">
        <v>0.46473935172640601</v>
      </c>
      <c r="G1311">
        <v>0.216887984788913</v>
      </c>
      <c r="H1311">
        <v>8.3273497812451996E-2</v>
      </c>
      <c r="I1311">
        <v>5.3108378128366197E-2</v>
      </c>
      <c r="J1311">
        <v>4.7670584001614898E-2</v>
      </c>
      <c r="K1311">
        <v>4.6924712723357603E-2</v>
      </c>
      <c r="L1311">
        <v>1075.60345470486</v>
      </c>
      <c r="M1311">
        <v>21.5798406651903</v>
      </c>
      <c r="N1311">
        <v>50.030001541014201</v>
      </c>
      <c r="O1311">
        <v>49.420883330467497</v>
      </c>
      <c r="P1311">
        <v>-0.104935821086829</v>
      </c>
      <c r="Q1311">
        <v>3.8751768523734E-2</v>
      </c>
      <c r="R1311">
        <v>0.97541723822107695</v>
      </c>
      <c r="S1311" t="s">
        <v>7879</v>
      </c>
      <c r="T1311" t="s">
        <v>13134</v>
      </c>
      <c r="U1311" t="s">
        <v>13134</v>
      </c>
      <c r="V1311" t="s">
        <v>13134</v>
      </c>
      <c r="W1311" t="s">
        <v>14415</v>
      </c>
      <c r="X1311">
        <v>10</v>
      </c>
      <c r="Y1311" t="s">
        <v>20901</v>
      </c>
      <c r="Z1311" t="s">
        <v>27279</v>
      </c>
      <c r="AA1311">
        <v>0.4613109481943346</v>
      </c>
      <c r="AB1311" t="str">
        <f>HYPERLINK("Melting_Curves/meltCurve_K7EIU8_SMAD4.pdf", "Melting_Curves/meltCurve_K7EIU8_SMAD4.pdf")</f>
        <v>Melting_Curves/meltCurve_K7EIU8_SMAD4.pdf</v>
      </c>
    </row>
    <row r="1312" spans="1:28" x14ac:dyDescent="0.25">
      <c r="A1312" t="s">
        <v>1316</v>
      </c>
      <c r="B1312">
        <v>0.99472303558308395</v>
      </c>
      <c r="C1312">
        <v>0.98272487929400099</v>
      </c>
      <c r="D1312">
        <v>0.96830997143692699</v>
      </c>
      <c r="E1312">
        <v>0.84797469328341502</v>
      </c>
      <c r="F1312">
        <v>0.60376167855136398</v>
      </c>
      <c r="G1312">
        <v>0.561534476371636</v>
      </c>
      <c r="H1312">
        <v>0.40348207656871998</v>
      </c>
      <c r="I1312">
        <v>0.49653667100367099</v>
      </c>
      <c r="J1312">
        <v>0.64514313621079</v>
      </c>
      <c r="K1312">
        <v>0.43751403095927299</v>
      </c>
      <c r="L1312">
        <v>1325.9684361667901</v>
      </c>
      <c r="M1312">
        <v>27.680341387682599</v>
      </c>
      <c r="O1312">
        <v>47.654969195301099</v>
      </c>
      <c r="P1312">
        <v>-7.2349870992507295E-2</v>
      </c>
      <c r="Q1312">
        <v>0.50176917642341201</v>
      </c>
      <c r="R1312">
        <v>0.92421136536941195</v>
      </c>
      <c r="S1312" t="s">
        <v>7880</v>
      </c>
      <c r="T1312" t="s">
        <v>13134</v>
      </c>
      <c r="U1312" t="s">
        <v>13134</v>
      </c>
      <c r="V1312" t="s">
        <v>13134</v>
      </c>
      <c r="W1312" t="s">
        <v>14416</v>
      </c>
      <c r="X1312">
        <v>3</v>
      </c>
      <c r="Y1312" t="s">
        <v>20902</v>
      </c>
      <c r="Z1312" t="s">
        <v>27280</v>
      </c>
      <c r="AA1312">
        <v>0.68630239503545076</v>
      </c>
      <c r="AB1312" t="str">
        <f>HYPERLINK("Melting_Curves/meltCurve_K7EIY1_FAM32A.pdf", "Melting_Curves/meltCurve_K7EIY1_FAM32A.pdf")</f>
        <v>Melting_Curves/meltCurve_K7EIY1_FAM32A.pdf</v>
      </c>
    </row>
    <row r="1313" spans="1:28" x14ac:dyDescent="0.25">
      <c r="A1313" t="s">
        <v>1317</v>
      </c>
      <c r="B1313">
        <v>0.99472303558308395</v>
      </c>
      <c r="C1313">
        <v>0.98317565274895302</v>
      </c>
      <c r="D1313">
        <v>0.96477672958356497</v>
      </c>
      <c r="E1313">
        <v>0.61392359421042997</v>
      </c>
      <c r="F1313">
        <v>0.31976159483073402</v>
      </c>
      <c r="G1313">
        <v>0.13501858824655799</v>
      </c>
      <c r="H1313">
        <v>0.105969493367412</v>
      </c>
      <c r="I1313">
        <v>5.5803484715657797E-2</v>
      </c>
      <c r="J1313">
        <v>0.104092196915225</v>
      </c>
      <c r="K1313">
        <v>8.72372412218725E-2</v>
      </c>
      <c r="L1313">
        <v>1080.79035610813</v>
      </c>
      <c r="M1313">
        <v>22.736614025727398</v>
      </c>
      <c r="N1313">
        <v>47.914604949270498</v>
      </c>
      <c r="O1313">
        <v>47.172101476826299</v>
      </c>
      <c r="P1313">
        <v>-0.110574628554424</v>
      </c>
      <c r="Q1313">
        <v>8.2372532031170703E-2</v>
      </c>
      <c r="R1313">
        <v>0.99677885456965398</v>
      </c>
      <c r="S1313" t="s">
        <v>7881</v>
      </c>
      <c r="T1313" t="s">
        <v>13134</v>
      </c>
      <c r="U1313" t="s">
        <v>13134</v>
      </c>
      <c r="V1313" t="s">
        <v>13134</v>
      </c>
      <c r="W1313" t="s">
        <v>14417</v>
      </c>
      <c r="X1313">
        <v>1</v>
      </c>
      <c r="Y1313" t="s">
        <v>20903</v>
      </c>
      <c r="Z1313" t="s">
        <v>27281</v>
      </c>
      <c r="AA1313">
        <v>0.41399486397373519</v>
      </c>
      <c r="AB1313" t="str">
        <f>HYPERLINK("Melting_Curves/meltCurve_K7EJ08_SEC14L1.pdf", "Melting_Curves/meltCurve_K7EJ08_SEC14L1.pdf")</f>
        <v>Melting_Curves/meltCurve_K7EJ08_SEC14L1.pdf</v>
      </c>
    </row>
    <row r="1314" spans="1:28" x14ac:dyDescent="0.25">
      <c r="A1314" t="s">
        <v>1318</v>
      </c>
      <c r="B1314">
        <v>0.99472303558308395</v>
      </c>
      <c r="C1314">
        <v>0.96089566390682701</v>
      </c>
      <c r="D1314">
        <v>0.86464313808378601</v>
      </c>
      <c r="E1314">
        <v>0.63985629096162699</v>
      </c>
      <c r="F1314">
        <v>0.61856603042685698</v>
      </c>
      <c r="G1314">
        <v>0.24147490790165799</v>
      </c>
      <c r="H1314">
        <v>0.14094875353842801</v>
      </c>
      <c r="I1314">
        <v>0.111095437213748</v>
      </c>
      <c r="J1314">
        <v>0.113599429583589</v>
      </c>
      <c r="K1314">
        <v>0.115886728969135</v>
      </c>
      <c r="L1314">
        <v>628.97881390721295</v>
      </c>
      <c r="M1314">
        <v>12.687078235742099</v>
      </c>
      <c r="N1314">
        <v>49.953755682827101</v>
      </c>
      <c r="O1314">
        <v>48.393055076992397</v>
      </c>
      <c r="P1314">
        <v>-6.2558553675125694E-2</v>
      </c>
      <c r="Q1314">
        <v>4.5702803712129099E-2</v>
      </c>
      <c r="R1314">
        <v>0.975892706544501</v>
      </c>
      <c r="S1314" t="s">
        <v>7882</v>
      </c>
      <c r="T1314" t="s">
        <v>13134</v>
      </c>
      <c r="U1314" t="s">
        <v>13134</v>
      </c>
      <c r="V1314" t="s">
        <v>13134</v>
      </c>
      <c r="W1314" t="s">
        <v>14418</v>
      </c>
      <c r="X1314">
        <v>1</v>
      </c>
      <c r="Y1314" t="s">
        <v>20904</v>
      </c>
      <c r="Z1314" t="s">
        <v>27282</v>
      </c>
      <c r="AA1314">
        <v>0.47131491576348539</v>
      </c>
      <c r="AB1314" t="str">
        <f>HYPERLINK("Melting_Curves/meltCurve_K7EJ78_RPS15.pdf", "Melting_Curves/meltCurve_K7EJ78_RPS15.pdf")</f>
        <v>Melting_Curves/meltCurve_K7EJ78_RPS15.pdf</v>
      </c>
    </row>
    <row r="1315" spans="1:28" x14ac:dyDescent="0.25">
      <c r="A1315" t="s">
        <v>1319</v>
      </c>
      <c r="B1315">
        <v>0.99472303558308395</v>
      </c>
      <c r="C1315">
        <v>0.80739900540646603</v>
      </c>
      <c r="D1315">
        <v>0.83519006895180503</v>
      </c>
      <c r="E1315">
        <v>0.53813680120017104</v>
      </c>
      <c r="F1315">
        <v>0.29002166508093902</v>
      </c>
      <c r="G1315">
        <v>0.131330766650748</v>
      </c>
      <c r="H1315">
        <v>0.123774972118032</v>
      </c>
      <c r="I1315">
        <v>5.7519521630801998E-2</v>
      </c>
      <c r="J1315">
        <v>0.121262969899506</v>
      </c>
      <c r="K1315">
        <v>0.15606529429245</v>
      </c>
      <c r="L1315">
        <v>725.86242586041499</v>
      </c>
      <c r="M1315">
        <v>15.6894699626133</v>
      </c>
      <c r="N1315">
        <v>46.833476513552398</v>
      </c>
      <c r="O1315">
        <v>45.532277996223797</v>
      </c>
      <c r="P1315">
        <v>-7.8674110559015201E-2</v>
      </c>
      <c r="Q1315">
        <v>8.6799576233774198E-2</v>
      </c>
      <c r="R1315">
        <v>0.97620630511988205</v>
      </c>
      <c r="S1315" t="s">
        <v>7883</v>
      </c>
      <c r="T1315" t="s">
        <v>13134</v>
      </c>
      <c r="U1315" t="s">
        <v>13134</v>
      </c>
      <c r="V1315" t="s">
        <v>13134</v>
      </c>
      <c r="W1315" t="s">
        <v>14419</v>
      </c>
      <c r="X1315">
        <v>16</v>
      </c>
      <c r="Y1315" t="s">
        <v>20905</v>
      </c>
      <c r="Z1315" t="s">
        <v>27283</v>
      </c>
      <c r="AA1315">
        <v>0.38802408048862691</v>
      </c>
      <c r="AB1315" t="str">
        <f>HYPERLINK("Melting_Curves/meltCurve_K7EJB9_CALR.pdf", "Melting_Curves/meltCurve_K7EJB9_CALR.pdf")</f>
        <v>Melting_Curves/meltCurve_K7EJB9_CALR.pdf</v>
      </c>
    </row>
    <row r="1316" spans="1:28" x14ac:dyDescent="0.25">
      <c r="A1316" t="s">
        <v>1320</v>
      </c>
      <c r="B1316">
        <v>0.99472303558308395</v>
      </c>
      <c r="C1316">
        <v>1.00517552927773</v>
      </c>
      <c r="D1316">
        <v>0.966705346578003</v>
      </c>
      <c r="E1316">
        <v>0.60934519359824602</v>
      </c>
      <c r="F1316">
        <v>0.20662171776874</v>
      </c>
      <c r="G1316">
        <v>0.13139765619098601</v>
      </c>
      <c r="H1316">
        <v>0.10014356867047899</v>
      </c>
      <c r="I1316">
        <v>8.6232905620998501E-2</v>
      </c>
      <c r="J1316">
        <v>0.113723684404186</v>
      </c>
      <c r="K1316">
        <v>8.76472158259467E-2</v>
      </c>
      <c r="L1316">
        <v>1498.6402254843299</v>
      </c>
      <c r="M1316">
        <v>31.877085943148401</v>
      </c>
      <c r="N1316">
        <v>47.344283061555601</v>
      </c>
      <c r="O1316">
        <v>46.8292288282397</v>
      </c>
      <c r="P1316">
        <v>-0.15317044303322999</v>
      </c>
      <c r="Q1316">
        <v>9.9940691404019705E-2</v>
      </c>
      <c r="R1316">
        <v>0.99934837607576699</v>
      </c>
      <c r="S1316" t="s">
        <v>7884</v>
      </c>
      <c r="T1316" t="s">
        <v>13134</v>
      </c>
      <c r="U1316" t="s">
        <v>13134</v>
      </c>
      <c r="V1316" t="s">
        <v>13134</v>
      </c>
      <c r="W1316" t="s">
        <v>14420</v>
      </c>
      <c r="X1316">
        <v>10</v>
      </c>
      <c r="Y1316" t="s">
        <v>20906</v>
      </c>
      <c r="Z1316" t="s">
        <v>27284</v>
      </c>
      <c r="AA1316">
        <v>0.40498112279649678</v>
      </c>
      <c r="AB1316" t="str">
        <f>HYPERLINK("Melting_Curves/meltCurve_K7EJH0_SPC24.pdf", "Melting_Curves/meltCurve_K7EJH0_SPC24.pdf")</f>
        <v>Melting_Curves/meltCurve_K7EJH0_SPC24.pdf</v>
      </c>
    </row>
    <row r="1317" spans="1:28" x14ac:dyDescent="0.25">
      <c r="A1317" t="s">
        <v>1321</v>
      </c>
      <c r="B1317">
        <v>0.99472303558308395</v>
      </c>
      <c r="C1317">
        <v>0.95454437658839197</v>
      </c>
      <c r="D1317">
        <v>0.82272296692767899</v>
      </c>
      <c r="E1317">
        <v>0.53819379978885895</v>
      </c>
      <c r="F1317">
        <v>0.234977338926808</v>
      </c>
      <c r="G1317">
        <v>0.15515329433824601</v>
      </c>
      <c r="H1317">
        <v>0.106410852568843</v>
      </c>
      <c r="I1317">
        <v>3.7169443829288801E-2</v>
      </c>
      <c r="J1317">
        <v>3.5907681103447102E-2</v>
      </c>
      <c r="K1317">
        <v>3.6702741778339598E-2</v>
      </c>
      <c r="L1317">
        <v>801.21733624322098</v>
      </c>
      <c r="M1317">
        <v>17.145346597478099</v>
      </c>
      <c r="N1317">
        <v>46.946413181281301</v>
      </c>
      <c r="O1317">
        <v>46.109071278595003</v>
      </c>
      <c r="P1317">
        <v>-8.9447925758207897E-2</v>
      </c>
      <c r="Q1317">
        <v>3.7846380941820003E-2</v>
      </c>
      <c r="R1317">
        <v>0.99792545592377302</v>
      </c>
      <c r="S1317" t="s">
        <v>7885</v>
      </c>
      <c r="T1317" t="s">
        <v>13134</v>
      </c>
      <c r="U1317" t="s">
        <v>13134</v>
      </c>
      <c r="V1317" t="s">
        <v>13134</v>
      </c>
      <c r="W1317" t="s">
        <v>14421</v>
      </c>
      <c r="X1317">
        <v>13</v>
      </c>
      <c r="Y1317" t="s">
        <v>20907</v>
      </c>
      <c r="Z1317" t="s">
        <v>27285</v>
      </c>
      <c r="AA1317">
        <v>0.36691575192556042</v>
      </c>
      <c r="AB1317" t="str">
        <f>HYPERLINK("Melting_Curves/meltCurve_K7EJL1_AP1M1.pdf", "Melting_Curves/meltCurve_K7EJL1_AP1M1.pdf")</f>
        <v>Melting_Curves/meltCurve_K7EJL1_AP1M1.pdf</v>
      </c>
    </row>
    <row r="1318" spans="1:28" x14ac:dyDescent="0.25">
      <c r="A1318" t="s">
        <v>1322</v>
      </c>
      <c r="B1318">
        <v>0.99472303558308395</v>
      </c>
      <c r="C1318">
        <v>1.03398558618756</v>
      </c>
      <c r="D1318">
        <v>0.79910975490191505</v>
      </c>
      <c r="E1318">
        <v>0.71655268474867195</v>
      </c>
      <c r="F1318">
        <v>0.52883808541739297</v>
      </c>
      <c r="G1318">
        <v>0.18707719176322399</v>
      </c>
      <c r="H1318">
        <v>8.4097816527832395E-2</v>
      </c>
      <c r="I1318">
        <v>6.3295747739048294E-2</v>
      </c>
      <c r="J1318">
        <v>0.11745866373719401</v>
      </c>
      <c r="K1318">
        <v>8.8539988304394204E-2</v>
      </c>
      <c r="L1318">
        <v>750.74921843785705</v>
      </c>
      <c r="M1318">
        <v>15.2736513170977</v>
      </c>
      <c r="N1318">
        <v>49.438802765378</v>
      </c>
      <c r="O1318">
        <v>48.3337412043605</v>
      </c>
      <c r="P1318">
        <v>-7.5672419979144603E-2</v>
      </c>
      <c r="Q1318">
        <v>4.2223279248054801E-2</v>
      </c>
      <c r="R1318">
        <v>0.97782397777039498</v>
      </c>
      <c r="S1318" t="s">
        <v>7886</v>
      </c>
      <c r="T1318" t="s">
        <v>13134</v>
      </c>
      <c r="U1318" t="s">
        <v>13134</v>
      </c>
      <c r="V1318" t="s">
        <v>13134</v>
      </c>
      <c r="W1318" t="s">
        <v>14422</v>
      </c>
      <c r="X1318">
        <v>3</v>
      </c>
      <c r="Y1318" t="s">
        <v>20908</v>
      </c>
      <c r="Z1318" t="s">
        <v>27286</v>
      </c>
      <c r="AA1318">
        <v>0.45017715635426631</v>
      </c>
      <c r="AB1318" t="str">
        <f>HYPERLINK("Melting_Curves/meltCurve_K7EJQ7_SEC11C.pdf", "Melting_Curves/meltCurve_K7EJQ7_SEC11C.pdf")</f>
        <v>Melting_Curves/meltCurve_K7EJQ7_SEC11C.pdf</v>
      </c>
    </row>
    <row r="1319" spans="1:28" x14ac:dyDescent="0.25">
      <c r="A1319" t="s">
        <v>1323</v>
      </c>
      <c r="B1319">
        <v>0.99472303558308395</v>
      </c>
      <c r="C1319">
        <v>1.03469290586345</v>
      </c>
      <c r="D1319">
        <v>0.86627952860201995</v>
      </c>
      <c r="E1319">
        <v>0.75189521768491496</v>
      </c>
      <c r="F1319">
        <v>0.57749713142186598</v>
      </c>
      <c r="G1319">
        <v>0.48284101031941001</v>
      </c>
      <c r="H1319">
        <v>0.38492745184835298</v>
      </c>
      <c r="I1319">
        <v>0.40054022139995898</v>
      </c>
      <c r="J1319">
        <v>0.52110417120944696</v>
      </c>
      <c r="K1319">
        <v>0.384825537359618</v>
      </c>
      <c r="L1319">
        <v>825.81431931326904</v>
      </c>
      <c r="M1319">
        <v>17.500294028473999</v>
      </c>
      <c r="N1319">
        <v>52.531750134645897</v>
      </c>
      <c r="O1319">
        <v>46.585345053742699</v>
      </c>
      <c r="P1319">
        <v>-5.4879427359149698E-2</v>
      </c>
      <c r="Q1319">
        <v>0.41568130969704198</v>
      </c>
      <c r="R1319">
        <v>0.96454051234656801</v>
      </c>
      <c r="S1319" t="s">
        <v>7887</v>
      </c>
      <c r="T1319" t="s">
        <v>13134</v>
      </c>
      <c r="U1319" t="s">
        <v>13134</v>
      </c>
      <c r="V1319" t="s">
        <v>13134</v>
      </c>
      <c r="W1319" t="s">
        <v>14423</v>
      </c>
      <c r="X1319">
        <v>5</v>
      </c>
      <c r="Y1319" t="s">
        <v>20909</v>
      </c>
      <c r="Z1319" t="s">
        <v>27287</v>
      </c>
      <c r="AA1319">
        <v>0.62401072100508115</v>
      </c>
      <c r="AB1319" t="str">
        <f>HYPERLINK("Melting_Curves/meltCurve_K7EK00_FAM210A.pdf", "Melting_Curves/meltCurve_K7EK00_FAM210A.pdf")</f>
        <v>Melting_Curves/meltCurve_K7EK00_FAM210A.pdf</v>
      </c>
    </row>
    <row r="1320" spans="1:28" x14ac:dyDescent="0.25">
      <c r="A1320" t="s">
        <v>1324</v>
      </c>
      <c r="B1320">
        <v>0.99472303558308395</v>
      </c>
      <c r="C1320">
        <v>0.79666060117923698</v>
      </c>
      <c r="D1320">
        <v>0.84347513983731504</v>
      </c>
      <c r="E1320">
        <v>0.46696549281787098</v>
      </c>
      <c r="F1320">
        <v>0.15328112060295801</v>
      </c>
      <c r="G1320">
        <v>8.3622572962417901E-2</v>
      </c>
      <c r="H1320">
        <v>3.8769248441500002E-2</v>
      </c>
      <c r="I1320">
        <v>4.06243112694143E-2</v>
      </c>
      <c r="J1320">
        <v>2.69810931848814E-2</v>
      </c>
      <c r="K1320">
        <v>4.1929501693925703E-2</v>
      </c>
      <c r="L1320">
        <v>830.03886854880705</v>
      </c>
      <c r="M1320">
        <v>18.051550635300998</v>
      </c>
      <c r="N1320">
        <v>46.0832646135893</v>
      </c>
      <c r="O1320">
        <v>45.428429605130397</v>
      </c>
      <c r="P1320">
        <v>-9.7405852142000399E-2</v>
      </c>
      <c r="Q1320">
        <v>1.95238022848781E-2</v>
      </c>
      <c r="R1320">
        <v>0.98013414902837903</v>
      </c>
      <c r="S1320" t="s">
        <v>7888</v>
      </c>
      <c r="T1320" t="s">
        <v>13134</v>
      </c>
      <c r="U1320" t="s">
        <v>13134</v>
      </c>
      <c r="V1320" t="s">
        <v>13134</v>
      </c>
      <c r="W1320" t="s">
        <v>14424</v>
      </c>
      <c r="X1320">
        <v>5</v>
      </c>
      <c r="Y1320" t="s">
        <v>20910</v>
      </c>
      <c r="Z1320" t="s">
        <v>27288</v>
      </c>
      <c r="AA1320">
        <v>0.32882418357336007</v>
      </c>
      <c r="AB1320" t="str">
        <f>HYPERLINK("Melting_Curves/meltCurve_K7EK07_H3F3B.pdf", "Melting_Curves/meltCurve_K7EK07_H3F3B.pdf")</f>
        <v>Melting_Curves/meltCurve_K7EK07_H3F3B.pdf</v>
      </c>
    </row>
    <row r="1321" spans="1:28" x14ac:dyDescent="0.25">
      <c r="A1321" t="s">
        <v>1325</v>
      </c>
      <c r="B1321">
        <v>0.99472303558308395</v>
      </c>
      <c r="C1321">
        <v>0.94177313516132999</v>
      </c>
      <c r="D1321">
        <v>0.92514290080253603</v>
      </c>
      <c r="E1321">
        <v>0.55740256211384698</v>
      </c>
      <c r="F1321">
        <v>0.17240439881514699</v>
      </c>
      <c r="G1321">
        <v>8.4326238738041903E-2</v>
      </c>
      <c r="H1321">
        <v>5.2570006553186999E-2</v>
      </c>
      <c r="I1321">
        <v>3.4757258496674201E-2</v>
      </c>
      <c r="J1321">
        <v>3.7265432116688903E-2</v>
      </c>
      <c r="K1321">
        <v>3.3885976828057801E-2</v>
      </c>
      <c r="L1321">
        <v>1225.5985448860199</v>
      </c>
      <c r="M1321">
        <v>26.150975008885801</v>
      </c>
      <c r="N1321">
        <v>47.009838511101698</v>
      </c>
      <c r="O1321">
        <v>46.594789368345303</v>
      </c>
      <c r="P1321">
        <v>-0.13492691955699701</v>
      </c>
      <c r="Q1321">
        <v>3.8380751450300898E-2</v>
      </c>
      <c r="R1321">
        <v>0.99824645414438395</v>
      </c>
      <c r="S1321" t="s">
        <v>7889</v>
      </c>
      <c r="T1321" t="s">
        <v>13134</v>
      </c>
      <c r="U1321" t="s">
        <v>13134</v>
      </c>
      <c r="V1321" t="s">
        <v>13134</v>
      </c>
      <c r="W1321" t="s">
        <v>14425</v>
      </c>
      <c r="X1321">
        <v>38</v>
      </c>
      <c r="Y1321" t="s">
        <v>20911</v>
      </c>
      <c r="Z1321" t="s">
        <v>27289</v>
      </c>
      <c r="AA1321">
        <v>0.36199415909574773</v>
      </c>
      <c r="AB1321" t="str">
        <f>HYPERLINK("Melting_Curves/meltCurve_K7EK35_STAT5A.pdf", "Melting_Curves/meltCurve_K7EK35_STAT5A.pdf")</f>
        <v>Melting_Curves/meltCurve_K7EK35_STAT5A.pdf</v>
      </c>
    </row>
    <row r="1322" spans="1:28" x14ac:dyDescent="0.25">
      <c r="A1322" t="s">
        <v>1326</v>
      </c>
      <c r="B1322">
        <v>0.99472303558308395</v>
      </c>
      <c r="C1322">
        <v>0.81336220344546095</v>
      </c>
      <c r="D1322">
        <v>0.58544993062011097</v>
      </c>
      <c r="E1322">
        <v>0.33326465740623401</v>
      </c>
      <c r="F1322">
        <v>0.17955555520494401</v>
      </c>
      <c r="G1322">
        <v>8.4167896652525998E-2</v>
      </c>
      <c r="H1322">
        <v>4.5841235119353299E-2</v>
      </c>
      <c r="I1322">
        <v>1.8771922819933898E-2</v>
      </c>
      <c r="J1322">
        <v>9.0499060822242707E-3</v>
      </c>
      <c r="K1322">
        <v>1.0761621004483499E-2</v>
      </c>
      <c r="L1322">
        <v>624.81687108152903</v>
      </c>
      <c r="M1322">
        <v>14.1216245105418</v>
      </c>
      <c r="N1322">
        <v>44.276970627452997</v>
      </c>
      <c r="O1322">
        <v>43.386497128793998</v>
      </c>
      <c r="P1322">
        <v>-8.0973937739514903E-2</v>
      </c>
      <c r="Q1322">
        <v>5.00815684871222E-3</v>
      </c>
      <c r="R1322">
        <v>0.99687793829785898</v>
      </c>
      <c r="S1322" t="s">
        <v>7890</v>
      </c>
      <c r="T1322" t="s">
        <v>13134</v>
      </c>
      <c r="U1322" t="s">
        <v>13134</v>
      </c>
      <c r="V1322" t="s">
        <v>13134</v>
      </c>
      <c r="W1322" t="s">
        <v>14426</v>
      </c>
      <c r="X1322">
        <v>2</v>
      </c>
      <c r="Y1322" t="s">
        <v>20912</v>
      </c>
      <c r="Z1322" t="s">
        <v>27290</v>
      </c>
      <c r="AA1322">
        <v>0.27291991536198312</v>
      </c>
      <c r="AB1322" t="str">
        <f>HYPERLINK("Melting_Curves/meltCurve_K7EK99_LIN37.pdf", "Melting_Curves/meltCurve_K7EK99_LIN37.pdf")</f>
        <v>Melting_Curves/meltCurve_K7EK99_LIN37.pdf</v>
      </c>
    </row>
    <row r="1323" spans="1:28" x14ac:dyDescent="0.25">
      <c r="A1323" t="s">
        <v>1327</v>
      </c>
      <c r="B1323">
        <v>0.99472303558308395</v>
      </c>
      <c r="C1323">
        <v>0.92937205059352601</v>
      </c>
      <c r="D1323">
        <v>0.77011156120903801</v>
      </c>
      <c r="E1323">
        <v>0.63582613900623397</v>
      </c>
      <c r="F1323">
        <v>0.63920743333476504</v>
      </c>
      <c r="G1323">
        <v>0.36423810735825102</v>
      </c>
      <c r="H1323">
        <v>0.203045557803848</v>
      </c>
      <c r="I1323">
        <v>0.10493525219243099</v>
      </c>
      <c r="J1323">
        <v>7.3246751283015096E-2</v>
      </c>
      <c r="K1323">
        <v>8.3953433044357803E-2</v>
      </c>
      <c r="L1323">
        <v>493.70768797727999</v>
      </c>
      <c r="M1323">
        <v>9.7959753858020999</v>
      </c>
      <c r="N1323">
        <v>50.3990318095533</v>
      </c>
      <c r="O1323">
        <v>48.433408818119602</v>
      </c>
      <c r="P1323">
        <v>-5.0590751824672701E-2</v>
      </c>
      <c r="Q1323">
        <v>0</v>
      </c>
      <c r="R1323">
        <v>0.97363567885019098</v>
      </c>
      <c r="S1323" t="s">
        <v>7891</v>
      </c>
      <c r="T1323" t="s">
        <v>13134</v>
      </c>
      <c r="U1323" t="s">
        <v>13134</v>
      </c>
      <c r="V1323" t="s">
        <v>13134</v>
      </c>
      <c r="W1323" t="s">
        <v>14427</v>
      </c>
      <c r="X1323">
        <v>36</v>
      </c>
      <c r="Y1323" t="s">
        <v>20913</v>
      </c>
      <c r="Z1323" t="s">
        <v>27291</v>
      </c>
      <c r="AA1323">
        <v>0.47980808128006203</v>
      </c>
      <c r="AB1323" t="str">
        <f>HYPERLINK("Melting_Curves/meltCurve_K7EKE6_LONP1.pdf", "Melting_Curves/meltCurve_K7EKE6_LONP1.pdf")</f>
        <v>Melting_Curves/meltCurve_K7EKE6_LONP1.pdf</v>
      </c>
    </row>
    <row r="1324" spans="1:28" x14ac:dyDescent="0.25">
      <c r="A1324" t="s">
        <v>1328</v>
      </c>
      <c r="B1324">
        <v>0.99472303558308395</v>
      </c>
      <c r="C1324">
        <v>0.93790993062400196</v>
      </c>
      <c r="D1324">
        <v>1.0304333369751499</v>
      </c>
      <c r="E1324">
        <v>0.67589881650930095</v>
      </c>
      <c r="F1324">
        <v>0.439601967133045</v>
      </c>
      <c r="G1324">
        <v>0.46711012882611302</v>
      </c>
      <c r="H1324">
        <v>0.33871880504642399</v>
      </c>
      <c r="I1324">
        <v>0.155411534533789</v>
      </c>
      <c r="J1324">
        <v>0.206278915452974</v>
      </c>
      <c r="K1324">
        <v>0.142866958821459</v>
      </c>
      <c r="L1324">
        <v>632.56345853432697</v>
      </c>
      <c r="M1324">
        <v>12.779725480217699</v>
      </c>
      <c r="N1324">
        <v>50.877267928257801</v>
      </c>
      <c r="O1324">
        <v>48.332418150122699</v>
      </c>
      <c r="P1324">
        <v>-5.6432757835878797E-2</v>
      </c>
      <c r="Q1324">
        <v>0.146455271982566</v>
      </c>
      <c r="R1324">
        <v>0.95357343738524303</v>
      </c>
      <c r="S1324" t="s">
        <v>7892</v>
      </c>
      <c r="T1324" t="s">
        <v>13134</v>
      </c>
      <c r="U1324" t="s">
        <v>13134</v>
      </c>
      <c r="V1324" t="s">
        <v>13134</v>
      </c>
      <c r="W1324" t="s">
        <v>14428</v>
      </c>
      <c r="X1324">
        <v>1</v>
      </c>
      <c r="Y1324" t="s">
        <v>20914</v>
      </c>
      <c r="Z1324" t="s">
        <v>27292</v>
      </c>
      <c r="AA1324">
        <v>0.52476104499678977</v>
      </c>
      <c r="AB1324" t="str">
        <f>HYPERLINK("Melting_Curves/meltCurve_K7EKG9_ATXN7L3.pdf", "Melting_Curves/meltCurve_K7EKG9_ATXN7L3.pdf")</f>
        <v>Melting_Curves/meltCurve_K7EKG9_ATXN7L3.pdf</v>
      </c>
    </row>
    <row r="1325" spans="1:28" x14ac:dyDescent="0.25">
      <c r="A1325" t="s">
        <v>1329</v>
      </c>
      <c r="B1325">
        <v>0.99472303558308395</v>
      </c>
      <c r="C1325">
        <v>0.91161625629106702</v>
      </c>
      <c r="D1325">
        <v>0.54991309804561295</v>
      </c>
      <c r="E1325">
        <v>0.73329263635211395</v>
      </c>
      <c r="F1325">
        <v>0.82751970132526498</v>
      </c>
      <c r="G1325">
        <v>0.37446267796147797</v>
      </c>
      <c r="H1325">
        <v>0.32459638252630002</v>
      </c>
      <c r="I1325">
        <v>0.237312294410264</v>
      </c>
      <c r="J1325">
        <v>0.12146741167427599</v>
      </c>
      <c r="K1325">
        <v>0.18600516090871999</v>
      </c>
      <c r="L1325">
        <v>369.32252314240799</v>
      </c>
      <c r="M1325">
        <v>7.0982179932340399</v>
      </c>
      <c r="N1325">
        <v>52.030315666826802</v>
      </c>
      <c r="O1325">
        <v>48.374525456884001</v>
      </c>
      <c r="P1325">
        <v>-3.6748276961066501E-2</v>
      </c>
      <c r="Q1325">
        <v>0</v>
      </c>
      <c r="R1325">
        <v>0.830835942587827</v>
      </c>
      <c r="S1325" t="s">
        <v>7893</v>
      </c>
      <c r="T1325" t="s">
        <v>13134</v>
      </c>
      <c r="U1325" t="s">
        <v>13134</v>
      </c>
      <c r="V1325" t="s">
        <v>13134</v>
      </c>
      <c r="W1325" t="s">
        <v>14429</v>
      </c>
      <c r="X1325">
        <v>2</v>
      </c>
      <c r="Y1325" t="s">
        <v>20915</v>
      </c>
      <c r="Z1325" t="s">
        <v>27293</v>
      </c>
      <c r="AA1325">
        <v>0.52950667391092765</v>
      </c>
      <c r="AB1325" t="str">
        <f>HYPERLINK("Melting_Curves/meltCurve_K7EKI4_MRPL4.pdf", "Melting_Curves/meltCurve_K7EKI4_MRPL4.pdf")</f>
        <v>Melting_Curves/meltCurve_K7EKI4_MRPL4.pdf</v>
      </c>
    </row>
    <row r="1326" spans="1:28" x14ac:dyDescent="0.25">
      <c r="A1326" t="s">
        <v>1330</v>
      </c>
      <c r="B1326">
        <v>0.99472303558308395</v>
      </c>
      <c r="C1326">
        <v>0.93660192260484798</v>
      </c>
      <c r="D1326">
        <v>0.73878279631680799</v>
      </c>
      <c r="E1326">
        <v>0.49581140637592502</v>
      </c>
      <c r="F1326">
        <v>0.28717962557251703</v>
      </c>
      <c r="G1326">
        <v>0.18385002960594801</v>
      </c>
      <c r="H1326">
        <v>0.11684202041278501</v>
      </c>
      <c r="I1326">
        <v>8.8627176567173893E-2</v>
      </c>
      <c r="J1326">
        <v>0.108476946419739</v>
      </c>
      <c r="K1326">
        <v>9.8526459703945704E-2</v>
      </c>
      <c r="L1326">
        <v>699.00200476317104</v>
      </c>
      <c r="M1326">
        <v>15.2230888987153</v>
      </c>
      <c r="N1326">
        <v>46.491654252452904</v>
      </c>
      <c r="O1326">
        <v>45.146739234239803</v>
      </c>
      <c r="P1326">
        <v>-7.7078361100118203E-2</v>
      </c>
      <c r="Q1326">
        <v>8.5729595346141899E-2</v>
      </c>
      <c r="R1326">
        <v>0.99841780180677497</v>
      </c>
      <c r="S1326" t="s">
        <v>7894</v>
      </c>
      <c r="T1326" t="s">
        <v>13134</v>
      </c>
      <c r="U1326" t="s">
        <v>13134</v>
      </c>
      <c r="V1326" t="s">
        <v>13134</v>
      </c>
      <c r="W1326" t="s">
        <v>13431</v>
      </c>
      <c r="X1326">
        <v>4</v>
      </c>
      <c r="Y1326" t="s">
        <v>20916</v>
      </c>
      <c r="Z1326" t="s">
        <v>27294</v>
      </c>
      <c r="AA1326">
        <v>0.37803299374692539</v>
      </c>
      <c r="AB1326" t="str">
        <f>HYPERLINK("Melting_Curves/meltCurve_K7EKS3_POLRMT.pdf", "Melting_Curves/meltCurve_K7EKS3_POLRMT.pdf")</f>
        <v>Melting_Curves/meltCurve_K7EKS3_POLRMT.pdf</v>
      </c>
    </row>
    <row r="1327" spans="1:28" x14ac:dyDescent="0.25">
      <c r="A1327" t="s">
        <v>1331</v>
      </c>
      <c r="B1327">
        <v>0.99472303558308395</v>
      </c>
      <c r="C1327">
        <v>1.03350926252196</v>
      </c>
      <c r="D1327">
        <v>0.91931716597671698</v>
      </c>
      <c r="E1327">
        <v>0.77293637711882102</v>
      </c>
      <c r="F1327">
        <v>0.64605187599741998</v>
      </c>
      <c r="G1327">
        <v>0.43228831945151602</v>
      </c>
      <c r="H1327">
        <v>0.35472800862928799</v>
      </c>
      <c r="I1327">
        <v>0.34202025021313798</v>
      </c>
      <c r="J1327">
        <v>0.37676070575049098</v>
      </c>
      <c r="K1327">
        <v>0.38654089844966899</v>
      </c>
      <c r="L1327">
        <v>843.85175064006603</v>
      </c>
      <c r="M1327">
        <v>17.2969751195238</v>
      </c>
      <c r="N1327">
        <v>52.355306425052603</v>
      </c>
      <c r="O1327">
        <v>48.148006465758698</v>
      </c>
      <c r="P1327">
        <v>-5.8718914949748097E-2</v>
      </c>
      <c r="Q1327">
        <v>0.34623586311844901</v>
      </c>
      <c r="R1327">
        <v>0.98605100272808299</v>
      </c>
      <c r="S1327" t="s">
        <v>7895</v>
      </c>
      <c r="T1327" t="s">
        <v>13134</v>
      </c>
      <c r="U1327" t="s">
        <v>13134</v>
      </c>
      <c r="V1327" t="s">
        <v>13134</v>
      </c>
      <c r="W1327" t="s">
        <v>14430</v>
      </c>
      <c r="X1327">
        <v>5</v>
      </c>
      <c r="Y1327" t="s">
        <v>20917</v>
      </c>
      <c r="Z1327" t="s">
        <v>27295</v>
      </c>
      <c r="AA1327">
        <v>0.61423741730184434</v>
      </c>
      <c r="AB1327" t="str">
        <f>HYPERLINK("Melting_Curves/meltCurve_K7EKW3_TMUB2.pdf", "Melting_Curves/meltCurve_K7EKW3_TMUB2.pdf")</f>
        <v>Melting_Curves/meltCurve_K7EKW3_TMUB2.pdf</v>
      </c>
    </row>
    <row r="1328" spans="1:28" x14ac:dyDescent="0.25">
      <c r="A1328" t="s">
        <v>1332</v>
      </c>
      <c r="B1328">
        <v>0.99472303558308395</v>
      </c>
      <c r="C1328">
        <v>0.94684160431952302</v>
      </c>
      <c r="D1328">
        <v>0.688377319917437</v>
      </c>
      <c r="E1328">
        <v>0.65998244098732695</v>
      </c>
      <c r="F1328">
        <v>0.53673026705580196</v>
      </c>
      <c r="G1328">
        <v>0.26650713055099901</v>
      </c>
      <c r="H1328">
        <v>0.26777425154078599</v>
      </c>
      <c r="I1328">
        <v>0.15368477450221499</v>
      </c>
      <c r="J1328">
        <v>0.25764001957884802</v>
      </c>
      <c r="K1328">
        <v>9.0703918565397695E-2</v>
      </c>
      <c r="L1328">
        <v>462.86457762158</v>
      </c>
      <c r="M1328">
        <v>9.5299695774328708</v>
      </c>
      <c r="N1328">
        <v>49.458600212511598</v>
      </c>
      <c r="O1328">
        <v>46.5750697649881</v>
      </c>
      <c r="P1328">
        <v>-4.7153831464085402E-2</v>
      </c>
      <c r="Q1328">
        <v>7.8733641374265501E-2</v>
      </c>
      <c r="R1328">
        <v>0.95900196718925701</v>
      </c>
      <c r="S1328" t="s">
        <v>7896</v>
      </c>
      <c r="T1328" t="s">
        <v>13134</v>
      </c>
      <c r="U1328" t="s">
        <v>13134</v>
      </c>
      <c r="V1328" t="s">
        <v>13134</v>
      </c>
      <c r="W1328" t="s">
        <v>14431</v>
      </c>
      <c r="X1328">
        <v>1</v>
      </c>
      <c r="Y1328" t="s">
        <v>20918</v>
      </c>
      <c r="Z1328" t="s">
        <v>27296</v>
      </c>
      <c r="AA1328">
        <v>0.47147012392250182</v>
      </c>
      <c r="AB1328" t="str">
        <f>HYPERLINK("Melting_Curves/meltCurve_K7EKZ9_LINC00493.pdf", "Melting_Curves/meltCurve_K7EKZ9_LINC00493.pdf")</f>
        <v>Melting_Curves/meltCurve_K7EKZ9_LINC00493.pdf</v>
      </c>
    </row>
    <row r="1329" spans="1:28" x14ac:dyDescent="0.25">
      <c r="A1329" t="s">
        <v>1333</v>
      </c>
      <c r="B1329">
        <v>0.99472303558308395</v>
      </c>
      <c r="C1329">
        <v>0.98806754645037198</v>
      </c>
      <c r="D1329">
        <v>0.88758858632790805</v>
      </c>
      <c r="E1329">
        <v>0.81369986699101804</v>
      </c>
      <c r="F1329">
        <v>0.75564922482573804</v>
      </c>
      <c r="G1329">
        <v>0.40705472128634701</v>
      </c>
      <c r="H1329">
        <v>0.19376096475636301</v>
      </c>
      <c r="I1329">
        <v>7.0069550482763407E-2</v>
      </c>
      <c r="J1329">
        <v>7.5210600323035698E-2</v>
      </c>
      <c r="K1329">
        <v>9.0112725349818096E-2</v>
      </c>
      <c r="L1329">
        <v>812.80854948300896</v>
      </c>
      <c r="M1329">
        <v>15.4831427995779</v>
      </c>
      <c r="N1329">
        <v>52.581294246397803</v>
      </c>
      <c r="O1329">
        <v>51.644025834486101</v>
      </c>
      <c r="P1329">
        <v>-7.4032183794259299E-2</v>
      </c>
      <c r="Q1329">
        <v>1.2350666800577699E-2</v>
      </c>
      <c r="R1329">
        <v>0.98446522909851297</v>
      </c>
      <c r="S1329" t="s">
        <v>7897</v>
      </c>
      <c r="T1329" t="s">
        <v>13134</v>
      </c>
      <c r="U1329" t="s">
        <v>13134</v>
      </c>
      <c r="V1329" t="s">
        <v>13134</v>
      </c>
      <c r="W1329" t="s">
        <v>14432</v>
      </c>
      <c r="X1329">
        <v>16</v>
      </c>
      <c r="Y1329" t="s">
        <v>20919</v>
      </c>
      <c r="Z1329" t="s">
        <v>27297</v>
      </c>
      <c r="AA1329">
        <v>0.54020317816151753</v>
      </c>
      <c r="AB1329" t="str">
        <f>HYPERLINK("Melting_Curves/meltCurve_K7EL68_CDC37.pdf", "Melting_Curves/meltCurve_K7EL68_CDC37.pdf")</f>
        <v>Melting_Curves/meltCurve_K7EL68_CDC37.pdf</v>
      </c>
    </row>
    <row r="1330" spans="1:28" x14ac:dyDescent="0.25">
      <c r="A1330" t="s">
        <v>1334</v>
      </c>
      <c r="B1330">
        <v>0.99472303558308395</v>
      </c>
      <c r="C1330">
        <v>1.0114809883368701</v>
      </c>
      <c r="D1330">
        <v>0.87306085619756502</v>
      </c>
      <c r="E1330">
        <v>0.61193683297118595</v>
      </c>
      <c r="F1330">
        <v>0.237273975510815</v>
      </c>
      <c r="G1330">
        <v>0.12712707737159101</v>
      </c>
      <c r="H1330">
        <v>0.12021617752903301</v>
      </c>
      <c r="I1330">
        <v>8.2321622181773996E-2</v>
      </c>
      <c r="J1330">
        <v>0.14358613087614799</v>
      </c>
      <c r="K1330">
        <v>9.7548010141845901E-2</v>
      </c>
      <c r="L1330">
        <v>1139.8943462053201</v>
      </c>
      <c r="M1330">
        <v>24.296841115823401</v>
      </c>
      <c r="N1330">
        <v>47.3607784101603</v>
      </c>
      <c r="O1330">
        <v>46.600975487926803</v>
      </c>
      <c r="P1330">
        <v>-0.11703316777756601</v>
      </c>
      <c r="Q1330">
        <v>0.102141897761397</v>
      </c>
      <c r="R1330">
        <v>0.996259971929503</v>
      </c>
      <c r="S1330" t="s">
        <v>7898</v>
      </c>
      <c r="T1330" t="s">
        <v>13134</v>
      </c>
      <c r="U1330" t="s">
        <v>13134</v>
      </c>
      <c r="V1330" t="s">
        <v>13134</v>
      </c>
      <c r="W1330" t="s">
        <v>14433</v>
      </c>
      <c r="X1330">
        <v>12</v>
      </c>
      <c r="Y1330" t="s">
        <v>20920</v>
      </c>
      <c r="Z1330" t="s">
        <v>27298</v>
      </c>
      <c r="AA1330">
        <v>0.406870329073305</v>
      </c>
      <c r="AB1330" t="str">
        <f>HYPERLINK("Melting_Curves/meltCurve_K7EL81_PPP1R12C.pdf", "Melting_Curves/meltCurve_K7EL81_PPP1R12C.pdf")</f>
        <v>Melting_Curves/meltCurve_K7EL81_PPP1R12C.pdf</v>
      </c>
    </row>
    <row r="1331" spans="1:28" x14ac:dyDescent="0.25">
      <c r="A1331" t="s">
        <v>1335</v>
      </c>
      <c r="B1331">
        <v>0.99472303558308395</v>
      </c>
      <c r="C1331">
        <v>0.96537615454506498</v>
      </c>
      <c r="D1331">
        <v>0.84421861331063597</v>
      </c>
      <c r="E1331">
        <v>0.65188920520584703</v>
      </c>
      <c r="F1331">
        <v>0.43750883818800401</v>
      </c>
      <c r="G1331">
        <v>0.24875947463022099</v>
      </c>
      <c r="H1331">
        <v>0.11378414782186699</v>
      </c>
      <c r="I1331">
        <v>4.9147134829684302E-2</v>
      </c>
      <c r="J1331">
        <v>3.4913510545582997E-2</v>
      </c>
      <c r="K1331">
        <v>4.3793893741148997E-2</v>
      </c>
      <c r="L1331">
        <v>640.67191684942395</v>
      </c>
      <c r="M1331">
        <v>13.0802400442457</v>
      </c>
      <c r="N1331">
        <v>48.980134529099701</v>
      </c>
      <c r="O1331">
        <v>47.877729185177401</v>
      </c>
      <c r="P1331">
        <v>-6.8312012629882096E-2</v>
      </c>
      <c r="Q1331">
        <v>0</v>
      </c>
      <c r="R1331">
        <v>0.99857908523599004</v>
      </c>
      <c r="S1331" t="s">
        <v>7899</v>
      </c>
      <c r="T1331" t="s">
        <v>13134</v>
      </c>
      <c r="U1331" t="s">
        <v>13134</v>
      </c>
      <c r="V1331" t="s">
        <v>13134</v>
      </c>
      <c r="W1331" t="s">
        <v>14434</v>
      </c>
      <c r="X1331">
        <v>2</v>
      </c>
      <c r="Y1331" t="s">
        <v>20921</v>
      </c>
      <c r="Z1331" t="s">
        <v>27299</v>
      </c>
      <c r="AA1331">
        <v>0.42576365729615162</v>
      </c>
      <c r="AB1331" t="str">
        <f>HYPERLINK("Melting_Curves/meltCurve_K7ELE3_AES.pdf", "Melting_Curves/meltCurve_K7ELE3_AES.pdf")</f>
        <v>Melting_Curves/meltCurve_K7ELE3_AES.pdf</v>
      </c>
    </row>
    <row r="1332" spans="1:28" x14ac:dyDescent="0.25">
      <c r="A1332" t="s">
        <v>1336</v>
      </c>
      <c r="B1332">
        <v>0.99472303558308395</v>
      </c>
      <c r="C1332">
        <v>0.92216941056042501</v>
      </c>
      <c r="D1332">
        <v>0.60887727383376999</v>
      </c>
      <c r="E1332">
        <v>0.42530370713151699</v>
      </c>
      <c r="F1332">
        <v>0.20604455007214401</v>
      </c>
      <c r="G1332">
        <v>0.13995449728412401</v>
      </c>
      <c r="H1332">
        <v>0.120797860206735</v>
      </c>
      <c r="I1332">
        <v>3.9308742598556899E-2</v>
      </c>
      <c r="J1332">
        <v>8.22386890432482E-2</v>
      </c>
      <c r="K1332">
        <v>6.5297510333264294E-2</v>
      </c>
      <c r="L1332">
        <v>687.35590029028197</v>
      </c>
      <c r="M1332">
        <v>15.3684355280913</v>
      </c>
      <c r="N1332">
        <v>45.131915289145297</v>
      </c>
      <c r="O1332">
        <v>43.988431240982898</v>
      </c>
      <c r="P1332">
        <v>-8.1702512099922603E-2</v>
      </c>
      <c r="Q1332">
        <v>6.4671179286177702E-2</v>
      </c>
      <c r="R1332">
        <v>0.99073495266895695</v>
      </c>
      <c r="S1332" t="s">
        <v>7900</v>
      </c>
      <c r="T1332" t="s">
        <v>13134</v>
      </c>
      <c r="U1332" t="s">
        <v>13134</v>
      </c>
      <c r="V1332" t="s">
        <v>13134</v>
      </c>
      <c r="W1332" t="s">
        <v>14435</v>
      </c>
      <c r="X1332">
        <v>1</v>
      </c>
      <c r="Y1332" t="s">
        <v>20922</v>
      </c>
      <c r="Z1332" t="s">
        <v>27300</v>
      </c>
      <c r="AA1332">
        <v>0.32692655131041731</v>
      </c>
      <c r="AB1332" t="str">
        <f>HYPERLINK("Melting_Curves/meltCurve_K7ELK7_R3HDM4.pdf", "Melting_Curves/meltCurve_K7ELK7_R3HDM4.pdf")</f>
        <v>Melting_Curves/meltCurve_K7ELK7_R3HDM4.pdf</v>
      </c>
    </row>
    <row r="1333" spans="1:28" x14ac:dyDescent="0.25">
      <c r="A1333" t="s">
        <v>1337</v>
      </c>
      <c r="B1333">
        <v>0.99472303558308395</v>
      </c>
      <c r="C1333">
        <v>0.95144581821306096</v>
      </c>
      <c r="D1333">
        <v>0.988957227579222</v>
      </c>
      <c r="E1333">
        <v>0.91756424339960996</v>
      </c>
      <c r="F1333">
        <v>0.71921630785516399</v>
      </c>
      <c r="G1333">
        <v>0.43308667941726597</v>
      </c>
      <c r="H1333">
        <v>0.22154142872607799</v>
      </c>
      <c r="I1333">
        <v>0.17197472479388301</v>
      </c>
      <c r="J1333">
        <v>0.21488601111498501</v>
      </c>
      <c r="K1333">
        <v>0.203965141327793</v>
      </c>
      <c r="L1333">
        <v>1178.82570427466</v>
      </c>
      <c r="M1333">
        <v>22.8365857311802</v>
      </c>
      <c r="N1333">
        <v>52.643997656704897</v>
      </c>
      <c r="O1333">
        <v>51.229110412029499</v>
      </c>
      <c r="P1333">
        <v>-9.1460549861167306E-2</v>
      </c>
      <c r="Q1333">
        <v>0.17932523861845001</v>
      </c>
      <c r="R1333">
        <v>0.99486425660026701</v>
      </c>
      <c r="S1333" t="s">
        <v>7901</v>
      </c>
      <c r="T1333" t="s">
        <v>13134</v>
      </c>
      <c r="U1333" t="s">
        <v>13134</v>
      </c>
      <c r="V1333" t="s">
        <v>13134</v>
      </c>
      <c r="W1333" t="s">
        <v>14436</v>
      </c>
      <c r="X1333">
        <v>21</v>
      </c>
      <c r="Y1333" t="s">
        <v>20923</v>
      </c>
      <c r="Z1333" t="s">
        <v>27301</v>
      </c>
      <c r="AA1333">
        <v>0.5878062898086398</v>
      </c>
      <c r="AB1333" t="str">
        <f>HYPERLINK("Melting_Curves/meltCurve_K7ELL7_PRKCSH.pdf", "Melting_Curves/meltCurve_K7ELL7_PRKCSH.pdf")</f>
        <v>Melting_Curves/meltCurve_K7ELL7_PRKCSH.pdf</v>
      </c>
    </row>
    <row r="1334" spans="1:28" x14ac:dyDescent="0.25">
      <c r="A1334" t="s">
        <v>1338</v>
      </c>
      <c r="B1334">
        <v>0.99472303558308395</v>
      </c>
      <c r="C1334">
        <v>1.00108056622552</v>
      </c>
      <c r="D1334">
        <v>0.76637169094685698</v>
      </c>
      <c r="E1334">
        <v>0.67643721594429995</v>
      </c>
      <c r="F1334">
        <v>0.94435286241753202</v>
      </c>
      <c r="G1334">
        <v>0.47731145862635499</v>
      </c>
      <c r="H1334">
        <v>0.38703239696332198</v>
      </c>
      <c r="I1334">
        <v>7.4876043006503704E-2</v>
      </c>
      <c r="J1334">
        <v>3.8696430296131103E-2</v>
      </c>
      <c r="K1334">
        <v>8.8505504023110804E-2</v>
      </c>
      <c r="L1334">
        <v>712.22509978818505</v>
      </c>
      <c r="M1334">
        <v>13.188640128893301</v>
      </c>
      <c r="N1334">
        <v>54.002938707383002</v>
      </c>
      <c r="O1334">
        <v>52.806640517092397</v>
      </c>
      <c r="P1334">
        <v>-6.2448790600100799E-2</v>
      </c>
      <c r="Q1334">
        <v>0</v>
      </c>
      <c r="R1334">
        <v>0.88533931214652095</v>
      </c>
      <c r="S1334" t="s">
        <v>7902</v>
      </c>
      <c r="T1334" t="s">
        <v>13134</v>
      </c>
      <c r="U1334" t="s">
        <v>13134</v>
      </c>
      <c r="V1334" t="s">
        <v>13134</v>
      </c>
      <c r="W1334" t="s">
        <v>14437</v>
      </c>
      <c r="X1334">
        <v>1</v>
      </c>
      <c r="Y1334" t="s">
        <v>20924</v>
      </c>
      <c r="Z1334" t="s">
        <v>27302</v>
      </c>
      <c r="AA1334">
        <v>0.58418446818679215</v>
      </c>
      <c r="AB1334" t="str">
        <f>HYPERLINK("Melting_Curves/meltCurve_K7ELN3_DNAH17.pdf", "Melting_Curves/meltCurve_K7ELN3_DNAH17.pdf")</f>
        <v>Melting_Curves/meltCurve_K7ELN3_DNAH17.pdf</v>
      </c>
    </row>
    <row r="1335" spans="1:28" x14ac:dyDescent="0.25">
      <c r="A1335" t="s">
        <v>1339</v>
      </c>
      <c r="B1335">
        <v>0.99472303558308395</v>
      </c>
      <c r="C1335">
        <v>0.90485491517323302</v>
      </c>
      <c r="D1335">
        <v>0.84975041327020295</v>
      </c>
      <c r="E1335">
        <v>0.59946331214772097</v>
      </c>
      <c r="F1335">
        <v>0.28775674435852899</v>
      </c>
      <c r="G1335">
        <v>0.20377223574464701</v>
      </c>
      <c r="H1335">
        <v>0.22050935187078199</v>
      </c>
      <c r="I1335">
        <v>8.0700312446543507E-2</v>
      </c>
      <c r="J1335">
        <v>0.15732562978245701</v>
      </c>
      <c r="K1335">
        <v>0.103040653817893</v>
      </c>
      <c r="L1335">
        <v>793.92917468133305</v>
      </c>
      <c r="M1335">
        <v>16.9709600326741</v>
      </c>
      <c r="N1335">
        <v>47.5355777896524</v>
      </c>
      <c r="O1335">
        <v>46.146564344978401</v>
      </c>
      <c r="P1335">
        <v>-8.1097215883215001E-2</v>
      </c>
      <c r="Q1335">
        <v>0.117993303404578</v>
      </c>
      <c r="R1335">
        <v>0.98829863038960397</v>
      </c>
      <c r="S1335" t="s">
        <v>7903</v>
      </c>
      <c r="T1335" t="s">
        <v>13134</v>
      </c>
      <c r="U1335" t="s">
        <v>13134</v>
      </c>
      <c r="V1335" t="s">
        <v>13134</v>
      </c>
      <c r="W1335" t="s">
        <v>14438</v>
      </c>
      <c r="X1335">
        <v>1</v>
      </c>
      <c r="Y1335" t="s">
        <v>20925</v>
      </c>
      <c r="Z1335" t="s">
        <v>27303</v>
      </c>
      <c r="AA1335">
        <v>0.42144049509979392</v>
      </c>
      <c r="AB1335" t="str">
        <f>HYPERLINK("Melting_Curves/meltCurve_K7ELW3_EPS8L1.pdf", "Melting_Curves/meltCurve_K7ELW3_EPS8L1.pdf")</f>
        <v>Melting_Curves/meltCurve_K7ELW3_EPS8L1.pdf</v>
      </c>
    </row>
    <row r="1336" spans="1:28" x14ac:dyDescent="0.25">
      <c r="A1336" t="s">
        <v>1340</v>
      </c>
      <c r="B1336">
        <v>0.99472303558308395</v>
      </c>
      <c r="C1336">
        <v>1.06514951026271</v>
      </c>
      <c r="D1336">
        <v>0.93017022867406196</v>
      </c>
      <c r="E1336">
        <v>0.804685573543235</v>
      </c>
      <c r="F1336">
        <v>6.3412079864791804E-2</v>
      </c>
      <c r="G1336">
        <v>3.4414607502634101E-2</v>
      </c>
      <c r="H1336">
        <v>0</v>
      </c>
      <c r="I1336">
        <v>0</v>
      </c>
      <c r="J1336">
        <v>0</v>
      </c>
      <c r="K1336">
        <v>0</v>
      </c>
      <c r="L1336">
        <v>2667.8202300962598</v>
      </c>
      <c r="M1336">
        <v>55.854215305843603</v>
      </c>
      <c r="N1336">
        <v>47.773848524489203</v>
      </c>
      <c r="O1336">
        <v>47.7028662758891</v>
      </c>
      <c r="P1336">
        <v>-0.29104359535283503</v>
      </c>
      <c r="Q1336">
        <v>5.7251791004806398E-3</v>
      </c>
      <c r="R1336">
        <v>0.99541834170802501</v>
      </c>
      <c r="S1336" t="s">
        <v>7904</v>
      </c>
      <c r="T1336" t="s">
        <v>13134</v>
      </c>
      <c r="U1336" t="s">
        <v>13134</v>
      </c>
      <c r="V1336" t="s">
        <v>13134</v>
      </c>
      <c r="W1336" t="s">
        <v>14439</v>
      </c>
      <c r="X1336">
        <v>6</v>
      </c>
      <c r="Y1336" t="s">
        <v>20926</v>
      </c>
      <c r="Z1336" t="s">
        <v>27304</v>
      </c>
      <c r="AA1336">
        <v>0.36414751572316678</v>
      </c>
      <c r="AB1336" t="str">
        <f>HYPERLINK("Melting_Curves/meltCurve_K7ELW5_PTBP1.pdf", "Melting_Curves/meltCurve_K7ELW5_PTBP1.pdf")</f>
        <v>Melting_Curves/meltCurve_K7ELW5_PTBP1.pdf</v>
      </c>
    </row>
    <row r="1337" spans="1:28" x14ac:dyDescent="0.25">
      <c r="A1337" t="s">
        <v>1341</v>
      </c>
      <c r="B1337">
        <v>0.99472303558308395</v>
      </c>
      <c r="C1337">
        <v>1.03004191558951</v>
      </c>
      <c r="D1337">
        <v>0.89784864184630298</v>
      </c>
      <c r="E1337">
        <v>0.71875657100467905</v>
      </c>
      <c r="F1337">
        <v>0.50076001285812</v>
      </c>
      <c r="G1337">
        <v>0.30678090171179601</v>
      </c>
      <c r="H1337">
        <v>0.197927890274118</v>
      </c>
      <c r="I1337">
        <v>0.14373440419279501</v>
      </c>
      <c r="J1337">
        <v>0.184178757335343</v>
      </c>
      <c r="K1337">
        <v>0.15267820214400499</v>
      </c>
      <c r="L1337">
        <v>781.94677573912998</v>
      </c>
      <c r="M1337">
        <v>15.9758652632666</v>
      </c>
      <c r="N1337">
        <v>49.947715009283598</v>
      </c>
      <c r="O1337">
        <v>48.1978706016587</v>
      </c>
      <c r="P1337">
        <v>-7.1508253681779405E-2</v>
      </c>
      <c r="Q1337">
        <v>0.137130019208516</v>
      </c>
      <c r="R1337">
        <v>0.99554852785382697</v>
      </c>
      <c r="S1337" t="s">
        <v>7905</v>
      </c>
      <c r="T1337" t="s">
        <v>13134</v>
      </c>
      <c r="U1337" t="s">
        <v>13134</v>
      </c>
      <c r="V1337" t="s">
        <v>13134</v>
      </c>
      <c r="W1337" t="s">
        <v>14440</v>
      </c>
      <c r="X1337">
        <v>4</v>
      </c>
      <c r="Y1337" t="s">
        <v>20927</v>
      </c>
      <c r="Z1337" t="s">
        <v>27305</v>
      </c>
      <c r="AA1337">
        <v>0.49750786121467522</v>
      </c>
      <c r="AB1337" t="str">
        <f>HYPERLINK("Melting_Curves/meltCurve_K7ELY2_STX10.pdf", "Melting_Curves/meltCurve_K7ELY2_STX10.pdf")</f>
        <v>Melting_Curves/meltCurve_K7ELY2_STX10.pdf</v>
      </c>
    </row>
    <row r="1338" spans="1:28" x14ac:dyDescent="0.25">
      <c r="A1338" t="s">
        <v>1342</v>
      </c>
      <c r="B1338">
        <v>0.99472303558308395</v>
      </c>
      <c r="C1338">
        <v>0.90571674461336105</v>
      </c>
      <c r="D1338">
        <v>0.74113607913666701</v>
      </c>
      <c r="E1338">
        <v>0.66229999622903601</v>
      </c>
      <c r="F1338">
        <v>0.75858684486456396</v>
      </c>
      <c r="G1338">
        <v>0.38004897668086002</v>
      </c>
      <c r="H1338">
        <v>0.27296615821354803</v>
      </c>
      <c r="I1338">
        <v>0.125901742138019</v>
      </c>
      <c r="J1338">
        <v>0.22764775975532101</v>
      </c>
      <c r="K1338">
        <v>0.226682322469025</v>
      </c>
      <c r="L1338">
        <v>412.97469589240899</v>
      </c>
      <c r="M1338">
        <v>8.0394586111425301</v>
      </c>
      <c r="N1338">
        <v>51.750785482277998</v>
      </c>
      <c r="O1338">
        <v>48.482701523817298</v>
      </c>
      <c r="P1338">
        <v>-4.0304777191965402E-2</v>
      </c>
      <c r="Q1338">
        <v>2.88315481054911E-2</v>
      </c>
      <c r="R1338">
        <v>0.91755919877197201</v>
      </c>
      <c r="S1338" t="s">
        <v>7906</v>
      </c>
      <c r="T1338" t="s">
        <v>13134</v>
      </c>
      <c r="U1338" t="s">
        <v>13134</v>
      </c>
      <c r="V1338" t="s">
        <v>13134</v>
      </c>
      <c r="W1338" t="s">
        <v>14441</v>
      </c>
      <c r="X1338">
        <v>1</v>
      </c>
      <c r="Y1338" t="s">
        <v>20928</v>
      </c>
      <c r="Z1338" t="s">
        <v>27306</v>
      </c>
      <c r="AA1338">
        <v>0.52553915457557698</v>
      </c>
      <c r="AB1338" t="str">
        <f>HYPERLINK("Melting_Curves/meltCurve_K7EM02_KATNAL2.pdf", "Melting_Curves/meltCurve_K7EM02_KATNAL2.pdf")</f>
        <v>Melting_Curves/meltCurve_K7EM02_KATNAL2.pdf</v>
      </c>
    </row>
    <row r="1339" spans="1:28" x14ac:dyDescent="0.25">
      <c r="A1339" t="s">
        <v>1343</v>
      </c>
      <c r="B1339">
        <v>0.99472303558308395</v>
      </c>
      <c r="C1339">
        <v>0.89106750212098496</v>
      </c>
      <c r="D1339">
        <v>0.81638483869859602</v>
      </c>
      <c r="E1339">
        <v>0.56732728356081796</v>
      </c>
      <c r="F1339">
        <v>0.53980897697470098</v>
      </c>
      <c r="G1339">
        <v>0.26350853439716398</v>
      </c>
      <c r="H1339">
        <v>0.37957150163252101</v>
      </c>
      <c r="I1339">
        <v>0.161785381748173</v>
      </c>
      <c r="J1339">
        <v>0.23185193564033499</v>
      </c>
      <c r="K1339">
        <v>0.24913543355505499</v>
      </c>
      <c r="L1339">
        <v>540.18828359595602</v>
      </c>
      <c r="M1339">
        <v>11.4789025378576</v>
      </c>
      <c r="N1339">
        <v>49.159730467491102</v>
      </c>
      <c r="O1339">
        <v>45.698973102524398</v>
      </c>
      <c r="P1339">
        <v>-5.0638941383708301E-2</v>
      </c>
      <c r="Q1339">
        <v>0.193830656617728</v>
      </c>
      <c r="R1339">
        <v>0.95667235866237399</v>
      </c>
      <c r="S1339" t="s">
        <v>7907</v>
      </c>
      <c r="T1339" t="s">
        <v>13134</v>
      </c>
      <c r="U1339" t="s">
        <v>13134</v>
      </c>
      <c r="V1339" t="s">
        <v>13134</v>
      </c>
      <c r="W1339" t="s">
        <v>14442</v>
      </c>
      <c r="X1339">
        <v>3</v>
      </c>
      <c r="Y1339" t="s">
        <v>20929</v>
      </c>
      <c r="Z1339" t="s">
        <v>27307</v>
      </c>
      <c r="AA1339">
        <v>0.49245515776910842</v>
      </c>
      <c r="AB1339" t="str">
        <f>HYPERLINK("Melting_Curves/meltCurve_K7EM09_TMEM205.pdf", "Melting_Curves/meltCurve_K7EM09_TMEM205.pdf")</f>
        <v>Melting_Curves/meltCurve_K7EM09_TMEM205.pdf</v>
      </c>
    </row>
    <row r="1340" spans="1:28" x14ac:dyDescent="0.25">
      <c r="A1340" t="s">
        <v>1344</v>
      </c>
      <c r="B1340">
        <v>0.99472303558308395</v>
      </c>
      <c r="C1340">
        <v>0.96246368220871203</v>
      </c>
      <c r="D1340">
        <v>0.96836540845724295</v>
      </c>
      <c r="E1340">
        <v>0.73260464568205996</v>
      </c>
      <c r="F1340">
        <v>0.52590598083962603</v>
      </c>
      <c r="G1340">
        <v>0.47837126175258399</v>
      </c>
      <c r="H1340">
        <v>0.23288762604618499</v>
      </c>
      <c r="I1340">
        <v>0.222344761895617</v>
      </c>
      <c r="J1340">
        <v>0.244318472269836</v>
      </c>
      <c r="K1340">
        <v>0.21941777272110199</v>
      </c>
      <c r="L1340">
        <v>702.269083557508</v>
      </c>
      <c r="M1340">
        <v>14.18736447705</v>
      </c>
      <c r="N1340">
        <v>51.259444430429703</v>
      </c>
      <c r="O1340">
        <v>48.547311482562101</v>
      </c>
      <c r="P1340">
        <v>-5.8981720217517998E-2</v>
      </c>
      <c r="Q1340">
        <v>0.19279038574649299</v>
      </c>
      <c r="R1340">
        <v>0.98243836005310103</v>
      </c>
      <c r="S1340" t="s">
        <v>7908</v>
      </c>
      <c r="T1340" t="s">
        <v>13134</v>
      </c>
      <c r="U1340" t="s">
        <v>13134</v>
      </c>
      <c r="V1340" t="s">
        <v>13134</v>
      </c>
      <c r="W1340" t="s">
        <v>14443</v>
      </c>
      <c r="X1340">
        <v>2</v>
      </c>
      <c r="Y1340" t="s">
        <v>20930</v>
      </c>
      <c r="Z1340" t="s">
        <v>27308</v>
      </c>
      <c r="AA1340">
        <v>0.54771939050763085</v>
      </c>
      <c r="AB1340" t="str">
        <f>HYPERLINK("Melting_Curves/meltCurve_K7EML3_C19orf66.pdf", "Melting_Curves/meltCurve_K7EML3_C19orf66.pdf")</f>
        <v>Melting_Curves/meltCurve_K7EML3_C19orf66.pdf</v>
      </c>
    </row>
    <row r="1341" spans="1:28" x14ac:dyDescent="0.25">
      <c r="A1341" t="s">
        <v>1345</v>
      </c>
      <c r="B1341">
        <v>0.99472303558308395</v>
      </c>
      <c r="C1341">
        <v>0.87762044486007196</v>
      </c>
      <c r="D1341">
        <v>0.73732820376216901</v>
      </c>
      <c r="E1341">
        <v>0.67963738104111604</v>
      </c>
      <c r="F1341">
        <v>0.447890148023807</v>
      </c>
      <c r="G1341">
        <v>0.219274606930001</v>
      </c>
      <c r="H1341">
        <v>0.15813717591888299</v>
      </c>
      <c r="I1341">
        <v>0.146482588923635</v>
      </c>
      <c r="J1341">
        <v>0.17687189659901401</v>
      </c>
      <c r="K1341">
        <v>0.13203482929197199</v>
      </c>
      <c r="L1341">
        <v>547.78437822204705</v>
      </c>
      <c r="M1341">
        <v>11.480094206007401</v>
      </c>
      <c r="N1341">
        <v>48.506516809818699</v>
      </c>
      <c r="O1341">
        <v>46.337045055136102</v>
      </c>
      <c r="P1341">
        <v>-5.6669985126829199E-2</v>
      </c>
      <c r="Q1341">
        <v>8.5314738461572795E-2</v>
      </c>
      <c r="R1341">
        <v>0.98026648638818403</v>
      </c>
      <c r="S1341" t="s">
        <v>7909</v>
      </c>
      <c r="T1341" t="s">
        <v>13134</v>
      </c>
      <c r="U1341" t="s">
        <v>13134</v>
      </c>
      <c r="V1341" t="s">
        <v>13134</v>
      </c>
      <c r="W1341" t="s">
        <v>14444</v>
      </c>
      <c r="X1341">
        <v>2</v>
      </c>
      <c r="Y1341" t="s">
        <v>20931</v>
      </c>
      <c r="Z1341" t="s">
        <v>27309</v>
      </c>
      <c r="AA1341">
        <v>0.44304323346570978</v>
      </c>
      <c r="AB1341" t="str">
        <f>HYPERLINK("Melting_Curves/meltCurve_K7EMW3_SLC25A39.pdf", "Melting_Curves/meltCurve_K7EMW3_SLC25A39.pdf")</f>
        <v>Melting_Curves/meltCurve_K7EMW3_SLC25A39.pdf</v>
      </c>
    </row>
    <row r="1342" spans="1:28" x14ac:dyDescent="0.25">
      <c r="A1342" t="s">
        <v>1346</v>
      </c>
      <c r="B1342">
        <v>0.99472303558308395</v>
      </c>
      <c r="C1342">
        <v>1.18716968697544</v>
      </c>
      <c r="D1342">
        <v>0.963164276017069</v>
      </c>
      <c r="E1342">
        <v>1.0065538266008001</v>
      </c>
      <c r="F1342">
        <v>0.83753711860340696</v>
      </c>
      <c r="G1342">
        <v>0.70668727803615194</v>
      </c>
      <c r="H1342">
        <v>0.48550689508325801</v>
      </c>
      <c r="I1342">
        <v>0.38068472334755799</v>
      </c>
      <c r="J1342">
        <v>0.333922571108417</v>
      </c>
      <c r="K1342">
        <v>0.27168422223614003</v>
      </c>
      <c r="L1342">
        <v>917.33496017509697</v>
      </c>
      <c r="M1342">
        <v>16.707863640655699</v>
      </c>
      <c r="N1342">
        <v>57.3489926166611</v>
      </c>
      <c r="O1342">
        <v>54.1359413378471</v>
      </c>
      <c r="P1342">
        <v>-5.7507431938075497E-2</v>
      </c>
      <c r="Q1342">
        <v>0.25471907967357199</v>
      </c>
      <c r="R1342">
        <v>0.95822016599034998</v>
      </c>
      <c r="S1342" t="s">
        <v>7910</v>
      </c>
      <c r="T1342" t="s">
        <v>13134</v>
      </c>
      <c r="U1342" t="s">
        <v>13134</v>
      </c>
      <c r="V1342" t="s">
        <v>13134</v>
      </c>
      <c r="W1342" t="s">
        <v>14445</v>
      </c>
      <c r="X1342">
        <v>1</v>
      </c>
      <c r="Y1342" t="s">
        <v>20932</v>
      </c>
      <c r="Z1342" t="s">
        <v>27310</v>
      </c>
      <c r="AA1342">
        <v>0.70955182445217224</v>
      </c>
      <c r="AB1342" t="str">
        <f>HYPERLINK("Melting_Curves/meltCurve_K7EN05_ELOF1.pdf", "Melting_Curves/meltCurve_K7EN05_ELOF1.pdf")</f>
        <v>Melting_Curves/meltCurve_K7EN05_ELOF1.pdf</v>
      </c>
    </row>
    <row r="1343" spans="1:28" x14ac:dyDescent="0.25">
      <c r="A1343" t="s">
        <v>1347</v>
      </c>
      <c r="B1343">
        <v>0.99472303558308395</v>
      </c>
      <c r="C1343">
        <v>1.0009510167689</v>
      </c>
      <c r="D1343">
        <v>0.90100630399978399</v>
      </c>
      <c r="E1343">
        <v>0.85989212876628496</v>
      </c>
      <c r="F1343">
        <v>0.61767409694838105</v>
      </c>
      <c r="G1343">
        <v>0.42062019557218799</v>
      </c>
      <c r="H1343">
        <v>0.24940927967897</v>
      </c>
      <c r="I1343">
        <v>0.15611788330991899</v>
      </c>
      <c r="J1343">
        <v>0.12808299127467801</v>
      </c>
      <c r="K1343">
        <v>9.8015590090526294E-2</v>
      </c>
      <c r="L1343">
        <v>704.24712313283601</v>
      </c>
      <c r="M1343">
        <v>13.589284058474901</v>
      </c>
      <c r="N1343">
        <v>52.276933382252501</v>
      </c>
      <c r="O1343">
        <v>50.740117739877299</v>
      </c>
      <c r="P1343">
        <v>-6.3244080060767496E-2</v>
      </c>
      <c r="Q1343">
        <v>5.5569417065824397E-2</v>
      </c>
      <c r="R1343">
        <v>0.99728434345291805</v>
      </c>
      <c r="S1343" t="s">
        <v>7911</v>
      </c>
      <c r="T1343" t="s">
        <v>13134</v>
      </c>
      <c r="U1343" t="s">
        <v>13134</v>
      </c>
      <c r="V1343" t="s">
        <v>13134</v>
      </c>
      <c r="W1343" t="s">
        <v>14446</v>
      </c>
      <c r="X1343">
        <v>4</v>
      </c>
      <c r="Y1343" t="s">
        <v>20933</v>
      </c>
      <c r="Z1343" t="s">
        <v>27311</v>
      </c>
      <c r="AA1343">
        <v>0.54259358440814176</v>
      </c>
      <c r="AB1343" t="str">
        <f>HYPERLINK("Melting_Curves/meltCurve_K7EN88_hCG_2039718.pdf", "Melting_Curves/meltCurve_K7EN88_hCG_2039718.pdf")</f>
        <v>Melting_Curves/meltCurve_K7EN88_hCG_2039718.pdf</v>
      </c>
    </row>
    <row r="1344" spans="1:28" x14ac:dyDescent="0.25">
      <c r="A1344" t="s">
        <v>1348</v>
      </c>
      <c r="B1344">
        <v>0.99472303558308395</v>
      </c>
      <c r="C1344">
        <v>1.0164363337339</v>
      </c>
      <c r="D1344">
        <v>0.83868480386834399</v>
      </c>
      <c r="E1344">
        <v>0.80671047696292697</v>
      </c>
      <c r="F1344">
        <v>0.673897482185564</v>
      </c>
      <c r="G1344">
        <v>0.358383149183848</v>
      </c>
      <c r="H1344">
        <v>0.15528367855456399</v>
      </c>
      <c r="I1344">
        <v>6.5983096887649001E-2</v>
      </c>
      <c r="J1344">
        <v>6.4319670620056502E-2</v>
      </c>
      <c r="K1344">
        <v>6.4623673199337803E-2</v>
      </c>
      <c r="L1344">
        <v>742.86094539982503</v>
      </c>
      <c r="M1344">
        <v>14.372596332219899</v>
      </c>
      <c r="N1344">
        <v>51.685925670831203</v>
      </c>
      <c r="O1344">
        <v>50.716260397912698</v>
      </c>
      <c r="P1344">
        <v>-7.0856561802949705E-2</v>
      </c>
      <c r="Q1344">
        <v>0</v>
      </c>
      <c r="R1344">
        <v>0.98519879952990397</v>
      </c>
      <c r="S1344" t="s">
        <v>7912</v>
      </c>
      <c r="T1344" t="s">
        <v>13134</v>
      </c>
      <c r="U1344" t="s">
        <v>13134</v>
      </c>
      <c r="V1344" t="s">
        <v>13134</v>
      </c>
      <c r="W1344" t="s">
        <v>14447</v>
      </c>
      <c r="X1344">
        <v>3</v>
      </c>
      <c r="Y1344" t="s">
        <v>20934</v>
      </c>
      <c r="Z1344" t="s">
        <v>27312</v>
      </c>
      <c r="AA1344">
        <v>0.51000685243274158</v>
      </c>
      <c r="AB1344" t="str">
        <f>HYPERLINK("Melting_Curves/meltCurve_K7ENF0_NARS.pdf", "Melting_Curves/meltCurve_K7ENF0_NARS.pdf")</f>
        <v>Melting_Curves/meltCurve_K7ENF0_NARS.pdf</v>
      </c>
    </row>
    <row r="1345" spans="1:28" x14ac:dyDescent="0.25">
      <c r="A1345" t="s">
        <v>1349</v>
      </c>
      <c r="B1345">
        <v>0.99472303558308395</v>
      </c>
      <c r="C1345">
        <v>0.93109184600678396</v>
      </c>
      <c r="D1345">
        <v>0.76119812499901696</v>
      </c>
      <c r="E1345">
        <v>0.677554105932347</v>
      </c>
      <c r="F1345">
        <v>0.79665094496567701</v>
      </c>
      <c r="G1345">
        <v>0.37287805376175398</v>
      </c>
      <c r="H1345">
        <v>0.41609246516494802</v>
      </c>
      <c r="I1345">
        <v>0.26119832551140898</v>
      </c>
      <c r="J1345">
        <v>0.49087218947883399</v>
      </c>
      <c r="K1345">
        <v>0.70884880641714598</v>
      </c>
      <c r="L1345">
        <v>581.18598106490902</v>
      </c>
      <c r="M1345">
        <v>12.7591269218149</v>
      </c>
      <c r="N1345">
        <v>56.013158310004101</v>
      </c>
      <c r="O1345">
        <v>44.475170144647997</v>
      </c>
      <c r="P1345">
        <v>-3.91758263173346E-2</v>
      </c>
      <c r="Q1345">
        <v>0.45387468217284699</v>
      </c>
      <c r="R1345">
        <v>0.65926811396139395</v>
      </c>
      <c r="S1345" t="s">
        <v>7913</v>
      </c>
      <c r="T1345" t="s">
        <v>13134</v>
      </c>
      <c r="U1345" t="s">
        <v>13134</v>
      </c>
      <c r="V1345" t="s">
        <v>13134</v>
      </c>
      <c r="W1345" t="s">
        <v>14448</v>
      </c>
      <c r="X1345">
        <v>12</v>
      </c>
      <c r="Y1345" t="s">
        <v>19757</v>
      </c>
      <c r="Z1345" t="s">
        <v>27313</v>
      </c>
      <c r="AA1345">
        <v>0.62681624747683473</v>
      </c>
      <c r="AB1345" t="str">
        <f>HYPERLINK("Melting_Curves/meltCurve_K7ENH2_PSME3.pdf", "Melting_Curves/meltCurve_K7ENH2_PSME3.pdf")</f>
        <v>Melting_Curves/meltCurve_K7ENH2_PSME3.pdf</v>
      </c>
    </row>
    <row r="1346" spans="1:28" x14ac:dyDescent="0.25">
      <c r="A1346" t="s">
        <v>1350</v>
      </c>
      <c r="B1346">
        <v>0.99472303558308395</v>
      </c>
      <c r="C1346">
        <v>0.97852276513423997</v>
      </c>
      <c r="D1346">
        <v>0.83170649898854998</v>
      </c>
      <c r="E1346">
        <v>0.74803979295507705</v>
      </c>
      <c r="F1346">
        <v>0.45296290786437599</v>
      </c>
      <c r="G1346">
        <v>0.136501340960482</v>
      </c>
      <c r="H1346">
        <v>8.00471204658703E-2</v>
      </c>
      <c r="I1346">
        <v>6.7363735148963502E-2</v>
      </c>
      <c r="J1346">
        <v>8.1559196129325301E-2</v>
      </c>
      <c r="K1346">
        <v>5.9037091328510101E-2</v>
      </c>
      <c r="L1346">
        <v>859.104033352741</v>
      </c>
      <c r="M1346">
        <v>17.562328215578901</v>
      </c>
      <c r="N1346">
        <v>49.128261920367898</v>
      </c>
      <c r="O1346">
        <v>48.296395295513499</v>
      </c>
      <c r="P1346">
        <v>-8.7613985791150095E-2</v>
      </c>
      <c r="Q1346">
        <v>3.6298222004592401E-2</v>
      </c>
      <c r="R1346">
        <v>0.98899057504145504</v>
      </c>
      <c r="S1346" t="s">
        <v>7914</v>
      </c>
      <c r="T1346" t="s">
        <v>13134</v>
      </c>
      <c r="U1346" t="s">
        <v>13134</v>
      </c>
      <c r="V1346" t="s">
        <v>13134</v>
      </c>
      <c r="W1346" t="s">
        <v>14449</v>
      </c>
      <c r="X1346">
        <v>7</v>
      </c>
      <c r="Y1346" t="s">
        <v>20935</v>
      </c>
      <c r="Z1346" t="s">
        <v>27314</v>
      </c>
      <c r="AA1346">
        <v>0.43512750672977119</v>
      </c>
      <c r="AB1346" t="str">
        <f>HYPERLINK("Melting_Curves/meltCurve_K7ENL9_C18orf8.pdf", "Melting_Curves/meltCurve_K7ENL9_C18orf8.pdf")</f>
        <v>Melting_Curves/meltCurve_K7ENL9_C18orf8.pdf</v>
      </c>
    </row>
    <row r="1347" spans="1:28" x14ac:dyDescent="0.25">
      <c r="A1347" t="s">
        <v>1351</v>
      </c>
      <c r="B1347">
        <v>0.99472303558308395</v>
      </c>
      <c r="C1347">
        <v>0.96265971337993805</v>
      </c>
      <c r="D1347">
        <v>0.76418467606984597</v>
      </c>
      <c r="E1347">
        <v>0.42085851166048299</v>
      </c>
      <c r="F1347">
        <v>0.375057026240951</v>
      </c>
      <c r="G1347">
        <v>0.20782068320008501</v>
      </c>
      <c r="H1347">
        <v>0.18864852706127799</v>
      </c>
      <c r="I1347">
        <v>0.13953266104991</v>
      </c>
      <c r="J1347">
        <v>7.3722775529371204E-2</v>
      </c>
      <c r="K1347">
        <v>0.103284713654239</v>
      </c>
      <c r="L1347">
        <v>673.75215889940796</v>
      </c>
      <c r="M1347">
        <v>14.6904040285958</v>
      </c>
      <c r="N1347">
        <v>46.648409786814099</v>
      </c>
      <c r="O1347">
        <v>45.038701243417897</v>
      </c>
      <c r="P1347">
        <v>-7.2621341519512495E-2</v>
      </c>
      <c r="Q1347">
        <v>0.109510575062475</v>
      </c>
      <c r="R1347">
        <v>0.98351327722300397</v>
      </c>
      <c r="S1347" t="s">
        <v>7915</v>
      </c>
      <c r="T1347" t="s">
        <v>13134</v>
      </c>
      <c r="U1347" t="s">
        <v>13134</v>
      </c>
      <c r="V1347" t="s">
        <v>13134</v>
      </c>
      <c r="W1347" t="s">
        <v>14450</v>
      </c>
      <c r="X1347">
        <v>3</v>
      </c>
      <c r="Y1347" t="s">
        <v>20936</v>
      </c>
      <c r="Z1347" t="s">
        <v>27315</v>
      </c>
      <c r="AA1347">
        <v>0.39404992639998782</v>
      </c>
      <c r="AB1347" t="str">
        <f>HYPERLINK("Melting_Curves/meltCurve_K7EP31_ATP5SL.pdf", "Melting_Curves/meltCurve_K7EP31_ATP5SL.pdf")</f>
        <v>Melting_Curves/meltCurve_K7EP31_ATP5SL.pdf</v>
      </c>
    </row>
    <row r="1348" spans="1:28" x14ac:dyDescent="0.25">
      <c r="A1348" t="s">
        <v>1352</v>
      </c>
      <c r="B1348">
        <v>0.99472303558308395</v>
      </c>
      <c r="C1348">
        <v>0.96597985913060003</v>
      </c>
      <c r="D1348">
        <v>0.64207475057549301</v>
      </c>
      <c r="E1348">
        <v>0.38575666924239999</v>
      </c>
      <c r="F1348">
        <v>0.35501421769217101</v>
      </c>
      <c r="G1348">
        <v>0.18543963018075599</v>
      </c>
      <c r="H1348">
        <v>8.6292353538172606E-2</v>
      </c>
      <c r="I1348">
        <v>6.2416766394760299E-2</v>
      </c>
      <c r="J1348">
        <v>7.1334775087275898E-2</v>
      </c>
      <c r="K1348">
        <v>5.8658701288076001E-2</v>
      </c>
      <c r="L1348">
        <v>614.97864846489699</v>
      </c>
      <c r="M1348">
        <v>13.5305730389414</v>
      </c>
      <c r="N1348">
        <v>45.851653449970101</v>
      </c>
      <c r="O1348">
        <v>44.492701213755602</v>
      </c>
      <c r="P1348">
        <v>-7.1799360483728702E-2</v>
      </c>
      <c r="Q1348">
        <v>5.5748893633756499E-2</v>
      </c>
      <c r="R1348">
        <v>0.97712916445628195</v>
      </c>
      <c r="S1348" t="s">
        <v>7916</v>
      </c>
      <c r="T1348" t="s">
        <v>13134</v>
      </c>
      <c r="U1348" t="s">
        <v>13134</v>
      </c>
      <c r="V1348" t="s">
        <v>13134</v>
      </c>
      <c r="W1348" t="s">
        <v>14451</v>
      </c>
      <c r="X1348">
        <v>6</v>
      </c>
      <c r="Y1348" t="s">
        <v>20937</v>
      </c>
      <c r="Z1348" t="s">
        <v>27316</v>
      </c>
      <c r="AA1348">
        <v>0.34868861453975319</v>
      </c>
      <c r="AB1348" t="str">
        <f>HYPERLINK("Melting_Curves/meltCurve_K7EP32_UBXN6.pdf", "Melting_Curves/meltCurve_K7EP32_UBXN6.pdf")</f>
        <v>Melting_Curves/meltCurve_K7EP32_UBXN6.pdf</v>
      </c>
    </row>
    <row r="1349" spans="1:28" x14ac:dyDescent="0.25">
      <c r="A1349" t="s">
        <v>1353</v>
      </c>
      <c r="B1349">
        <v>0.99472303558308395</v>
      </c>
      <c r="C1349">
        <v>1.14769776204827</v>
      </c>
      <c r="D1349">
        <v>0.90130365965049297</v>
      </c>
      <c r="E1349">
        <v>0.76627066593388704</v>
      </c>
      <c r="F1349">
        <v>0.46201316729677899</v>
      </c>
      <c r="G1349">
        <v>0.26837214061780601</v>
      </c>
      <c r="H1349">
        <v>0.14920350879307301</v>
      </c>
      <c r="I1349">
        <v>0.19144467249567401</v>
      </c>
      <c r="J1349">
        <v>0.11804041216668799</v>
      </c>
      <c r="K1349">
        <v>0.14374636963616999</v>
      </c>
      <c r="L1349">
        <v>974.01199150670095</v>
      </c>
      <c r="M1349">
        <v>19.9102080482071</v>
      </c>
      <c r="N1349">
        <v>49.708353715003703</v>
      </c>
      <c r="O1349">
        <v>48.4347542725599</v>
      </c>
      <c r="P1349">
        <v>-8.8861291265331196E-2</v>
      </c>
      <c r="Q1349">
        <v>0.13535169740929401</v>
      </c>
      <c r="R1349">
        <v>0.97911766821628299</v>
      </c>
      <c r="S1349" t="s">
        <v>7917</v>
      </c>
      <c r="T1349" t="s">
        <v>13134</v>
      </c>
      <c r="U1349" t="s">
        <v>13134</v>
      </c>
      <c r="V1349" t="s">
        <v>13134</v>
      </c>
      <c r="W1349" t="s">
        <v>14452</v>
      </c>
      <c r="X1349">
        <v>2</v>
      </c>
      <c r="Y1349" t="s">
        <v>20938</v>
      </c>
      <c r="Z1349" t="s">
        <v>27317</v>
      </c>
      <c r="AA1349">
        <v>0.49039595593593682</v>
      </c>
      <c r="AB1349" t="str">
        <f>HYPERLINK("Melting_Curves/meltCurve_K7EPJ5_MGRN1.pdf", "Melting_Curves/meltCurve_K7EPJ5_MGRN1.pdf")</f>
        <v>Melting_Curves/meltCurve_K7EPJ5_MGRN1.pdf</v>
      </c>
    </row>
    <row r="1350" spans="1:28" x14ac:dyDescent="0.25">
      <c r="A1350" t="s">
        <v>1354</v>
      </c>
      <c r="B1350">
        <v>0.99472303558308395</v>
      </c>
      <c r="C1350">
        <v>1.0780682311977099</v>
      </c>
      <c r="D1350">
        <v>0.68633700584086199</v>
      </c>
      <c r="E1350">
        <v>0.48486179660378398</v>
      </c>
      <c r="F1350">
        <v>0.37275626337972101</v>
      </c>
      <c r="G1350">
        <v>0.104340888649855</v>
      </c>
      <c r="H1350">
        <v>6.6957430183592695E-2</v>
      </c>
      <c r="I1350">
        <v>2.9838088169151102E-2</v>
      </c>
      <c r="J1350">
        <v>3.0839846909337401E-2</v>
      </c>
      <c r="K1350">
        <v>2.6101964761579201E-2</v>
      </c>
      <c r="L1350">
        <v>668.65135698685503</v>
      </c>
      <c r="M1350">
        <v>14.2865768496471</v>
      </c>
      <c r="N1350">
        <v>46.851533363843998</v>
      </c>
      <c r="O1350">
        <v>45.914420859476699</v>
      </c>
      <c r="P1350">
        <v>-7.7224500507650604E-2</v>
      </c>
      <c r="Q1350">
        <v>7.3801956355043098E-3</v>
      </c>
      <c r="R1350">
        <v>0.97050107084841797</v>
      </c>
      <c r="S1350" t="s">
        <v>7918</v>
      </c>
      <c r="T1350" t="s">
        <v>13134</v>
      </c>
      <c r="U1350" t="s">
        <v>13134</v>
      </c>
      <c r="V1350" t="s">
        <v>13134</v>
      </c>
      <c r="W1350" t="s">
        <v>14453</v>
      </c>
      <c r="X1350">
        <v>2</v>
      </c>
      <c r="Y1350" t="s">
        <v>20939</v>
      </c>
      <c r="Z1350" t="s">
        <v>27318</v>
      </c>
      <c r="AA1350">
        <v>0.35622268633557241</v>
      </c>
      <c r="AB1350" t="str">
        <f>HYPERLINK("Melting_Curves/meltCurve_K7EQ34_TMEM161A.pdf", "Melting_Curves/meltCurve_K7EQ34_TMEM161A.pdf")</f>
        <v>Melting_Curves/meltCurve_K7EQ34_TMEM161A.pdf</v>
      </c>
    </row>
    <row r="1351" spans="1:28" x14ac:dyDescent="0.25">
      <c r="A1351" t="s">
        <v>1355</v>
      </c>
      <c r="B1351">
        <v>0.99472303558308395</v>
      </c>
      <c r="C1351">
        <v>1.1966780013470399</v>
      </c>
      <c r="D1351">
        <v>0.98326844840313699</v>
      </c>
      <c r="E1351">
        <v>0.73679296064111999</v>
      </c>
      <c r="F1351">
        <v>0.59397858865575504</v>
      </c>
      <c r="G1351">
        <v>0.32273621417473403</v>
      </c>
      <c r="H1351">
        <v>0.22706884573759301</v>
      </c>
      <c r="I1351">
        <v>0.17651000497731301</v>
      </c>
      <c r="J1351">
        <v>0.15855946133023699</v>
      </c>
      <c r="K1351">
        <v>0.22544811696348599</v>
      </c>
      <c r="L1351">
        <v>925.65156702803097</v>
      </c>
      <c r="M1351">
        <v>18.637953199304501</v>
      </c>
      <c r="N1351">
        <v>50.816085539502602</v>
      </c>
      <c r="O1351">
        <v>49.103727840336198</v>
      </c>
      <c r="P1351">
        <v>-7.8553025513945607E-2</v>
      </c>
      <c r="Q1351">
        <v>0.17220955092399401</v>
      </c>
      <c r="R1351">
        <v>0.960993731701553</v>
      </c>
      <c r="S1351" t="s">
        <v>7919</v>
      </c>
      <c r="T1351" t="s">
        <v>13134</v>
      </c>
      <c r="U1351" t="s">
        <v>13134</v>
      </c>
      <c r="V1351" t="s">
        <v>13134</v>
      </c>
      <c r="W1351" t="s">
        <v>14454</v>
      </c>
      <c r="X1351">
        <v>16</v>
      </c>
      <c r="Y1351" t="s">
        <v>20940</v>
      </c>
      <c r="Z1351" t="s">
        <v>27319</v>
      </c>
      <c r="AA1351">
        <v>0.53400898019231169</v>
      </c>
      <c r="AB1351" t="str">
        <f>HYPERLINK("Melting_Curves/meltCurve_K7EQ37_UNC13D.pdf", "Melting_Curves/meltCurve_K7EQ37_UNC13D.pdf")</f>
        <v>Melting_Curves/meltCurve_K7EQ37_UNC13D.pdf</v>
      </c>
    </row>
    <row r="1352" spans="1:28" x14ac:dyDescent="0.25">
      <c r="A1352" t="s">
        <v>1356</v>
      </c>
      <c r="B1352">
        <v>0.99472303558308395</v>
      </c>
      <c r="C1352">
        <v>1.0279433954969399</v>
      </c>
      <c r="D1352">
        <v>0.74290660742569903</v>
      </c>
      <c r="E1352">
        <v>0.70426683281160296</v>
      </c>
      <c r="F1352">
        <v>0.64492243208146705</v>
      </c>
      <c r="G1352">
        <v>0.34519017213112102</v>
      </c>
      <c r="H1352">
        <v>0.33957948443733399</v>
      </c>
      <c r="I1352">
        <v>0.232416850338588</v>
      </c>
      <c r="J1352">
        <v>0.47851394734278302</v>
      </c>
      <c r="K1352">
        <v>0.34407324742684098</v>
      </c>
      <c r="L1352">
        <v>626.32199478459995</v>
      </c>
      <c r="M1352">
        <v>13.260255373524201</v>
      </c>
      <c r="N1352">
        <v>51.118567500449998</v>
      </c>
      <c r="O1352">
        <v>46.197577768605001</v>
      </c>
      <c r="P1352">
        <v>-4.8982347102438303E-2</v>
      </c>
      <c r="Q1352">
        <v>0.31751067290285201</v>
      </c>
      <c r="R1352">
        <v>0.89553653984538295</v>
      </c>
      <c r="S1352" t="s">
        <v>7920</v>
      </c>
      <c r="T1352" t="s">
        <v>13134</v>
      </c>
      <c r="U1352" t="s">
        <v>13134</v>
      </c>
      <c r="V1352" t="s">
        <v>13134</v>
      </c>
      <c r="W1352" t="s">
        <v>14455</v>
      </c>
      <c r="X1352">
        <v>2</v>
      </c>
      <c r="Y1352" t="s">
        <v>20941</v>
      </c>
      <c r="Z1352" t="s">
        <v>27320</v>
      </c>
      <c r="AA1352">
        <v>0.56919025472233309</v>
      </c>
      <c r="AB1352" t="str">
        <f>HYPERLINK("Melting_Curves/meltCurve_K7EQ77_NDUFA11.pdf", "Melting_Curves/meltCurve_K7EQ77_NDUFA11.pdf")</f>
        <v>Melting_Curves/meltCurve_K7EQ77_NDUFA11.pdf</v>
      </c>
    </row>
    <row r="1353" spans="1:28" x14ac:dyDescent="0.25">
      <c r="A1353" t="s">
        <v>1357</v>
      </c>
      <c r="B1353">
        <v>0.99472303558308395</v>
      </c>
      <c r="C1353">
        <v>0.90566957407690396</v>
      </c>
      <c r="D1353">
        <v>0.64053153240411798</v>
      </c>
      <c r="E1353">
        <v>0.34249557241351902</v>
      </c>
      <c r="F1353">
        <v>0.37638140537588599</v>
      </c>
      <c r="G1353">
        <v>5.1907154006596803E-2</v>
      </c>
      <c r="H1353">
        <v>0.14730547870407601</v>
      </c>
      <c r="I1353">
        <v>6.62314044045728E-2</v>
      </c>
      <c r="J1353">
        <v>6.14950617709119E-2</v>
      </c>
      <c r="K1353">
        <v>0.105484815879005</v>
      </c>
      <c r="L1353">
        <v>657.15824742675397</v>
      </c>
      <c r="M1353">
        <v>14.695870992862099</v>
      </c>
      <c r="N1353">
        <v>45.219424039786198</v>
      </c>
      <c r="O1353">
        <v>43.913677163564699</v>
      </c>
      <c r="P1353">
        <v>-7.7372283213456294E-2</v>
      </c>
      <c r="Q1353">
        <v>7.5296858557988997E-2</v>
      </c>
      <c r="R1353">
        <v>0.96444630118840002</v>
      </c>
      <c r="S1353" t="s">
        <v>7921</v>
      </c>
      <c r="T1353" t="s">
        <v>13134</v>
      </c>
      <c r="U1353" t="s">
        <v>13134</v>
      </c>
      <c r="V1353" t="s">
        <v>13134</v>
      </c>
      <c r="W1353" t="s">
        <v>14456</v>
      </c>
      <c r="X1353">
        <v>10</v>
      </c>
      <c r="Y1353" t="s">
        <v>20942</v>
      </c>
      <c r="Z1353" t="s">
        <v>27321</v>
      </c>
      <c r="AA1353">
        <v>0.33633530645378151</v>
      </c>
      <c r="AB1353" t="str">
        <f>HYPERLINK("Melting_Curves/meltCurve_K7EQB6_LIG3.pdf", "Melting_Curves/meltCurve_K7EQB6_LIG3.pdf")</f>
        <v>Melting_Curves/meltCurve_K7EQB6_LIG3.pdf</v>
      </c>
    </row>
    <row r="1354" spans="1:28" x14ac:dyDescent="0.25">
      <c r="A1354" t="s">
        <v>1358</v>
      </c>
      <c r="B1354">
        <v>0.99472303558308395</v>
      </c>
      <c r="C1354">
        <v>1.1886007913113701</v>
      </c>
      <c r="D1354">
        <v>0.90295259945231399</v>
      </c>
      <c r="E1354">
        <v>0.80238476274482895</v>
      </c>
      <c r="F1354">
        <v>0.57167717308088395</v>
      </c>
      <c r="G1354">
        <v>0.194925074982786</v>
      </c>
      <c r="H1354">
        <v>0.15392415911222501</v>
      </c>
      <c r="I1354">
        <v>7.9776049562733098E-2</v>
      </c>
      <c r="J1354">
        <v>4.2240548999184203E-2</v>
      </c>
      <c r="K1354">
        <v>9.5115754235356495E-2</v>
      </c>
      <c r="L1354">
        <v>1006.75163192338</v>
      </c>
      <c r="M1354">
        <v>20.0848886525133</v>
      </c>
      <c r="N1354">
        <v>50.436753832350803</v>
      </c>
      <c r="O1354">
        <v>49.635883390359297</v>
      </c>
      <c r="P1354">
        <v>-9.5255645020555793E-2</v>
      </c>
      <c r="Q1354">
        <v>5.8407423694545303E-2</v>
      </c>
      <c r="R1354">
        <v>0.97100145653473302</v>
      </c>
      <c r="S1354" t="s">
        <v>7922</v>
      </c>
      <c r="T1354" t="s">
        <v>13134</v>
      </c>
      <c r="U1354" t="s">
        <v>13134</v>
      </c>
      <c r="V1354" t="s">
        <v>13134</v>
      </c>
      <c r="W1354" t="s">
        <v>14457</v>
      </c>
      <c r="X1354">
        <v>2</v>
      </c>
      <c r="Y1354" t="s">
        <v>20943</v>
      </c>
      <c r="Z1354" t="s">
        <v>27322</v>
      </c>
      <c r="AA1354">
        <v>0.48265280608146821</v>
      </c>
      <c r="AB1354" t="str">
        <f>HYPERLINK("Melting_Curves/meltCurve_K7EQL1_FAM98C.pdf", "Melting_Curves/meltCurve_K7EQL1_FAM98C.pdf")</f>
        <v>Melting_Curves/meltCurve_K7EQL1_FAM98C.pdf</v>
      </c>
    </row>
    <row r="1355" spans="1:28" x14ac:dyDescent="0.25">
      <c r="A1355" t="s">
        <v>1359</v>
      </c>
      <c r="B1355">
        <v>0.99472303558308395</v>
      </c>
      <c r="C1355">
        <v>0.93282828115943806</v>
      </c>
      <c r="D1355">
        <v>0.78394017363439195</v>
      </c>
      <c r="E1355">
        <v>0.76000303621620102</v>
      </c>
      <c r="F1355">
        <v>0.58643717379035198</v>
      </c>
      <c r="G1355">
        <v>0.29196588749035002</v>
      </c>
      <c r="H1355">
        <v>0.22807199496441999</v>
      </c>
      <c r="I1355">
        <v>0.14307686100401601</v>
      </c>
      <c r="J1355">
        <v>0.14404462710754801</v>
      </c>
      <c r="K1355">
        <v>0.126581158356464</v>
      </c>
      <c r="L1355">
        <v>547.20831328631095</v>
      </c>
      <c r="M1355">
        <v>10.900751473413401</v>
      </c>
      <c r="N1355">
        <v>50.637247038012703</v>
      </c>
      <c r="O1355">
        <v>48.598403936934098</v>
      </c>
      <c r="P1355">
        <v>-5.3570888145642301E-2</v>
      </c>
      <c r="Q1355">
        <v>4.50019444564164E-2</v>
      </c>
      <c r="R1355">
        <v>0.98250362686274795</v>
      </c>
      <c r="S1355" t="s">
        <v>7923</v>
      </c>
      <c r="T1355" t="s">
        <v>13134</v>
      </c>
      <c r="U1355" t="s">
        <v>13134</v>
      </c>
      <c r="V1355" t="s">
        <v>13134</v>
      </c>
      <c r="W1355" t="s">
        <v>14458</v>
      </c>
      <c r="X1355">
        <v>1</v>
      </c>
      <c r="Y1355" t="s">
        <v>20944</v>
      </c>
      <c r="Z1355" t="s">
        <v>27323</v>
      </c>
      <c r="AA1355">
        <v>0.49442302339843047</v>
      </c>
      <c r="AB1355" t="str">
        <f>HYPERLINK("Melting_Curves/meltCurve_K7EQT1_FZR1.pdf", "Melting_Curves/meltCurve_K7EQT1_FZR1.pdf")</f>
        <v>Melting_Curves/meltCurve_K7EQT1_FZR1.pdf</v>
      </c>
    </row>
    <row r="1356" spans="1:28" x14ac:dyDescent="0.25">
      <c r="A1356" t="s">
        <v>1360</v>
      </c>
      <c r="B1356">
        <v>0.99472303558308395</v>
      </c>
      <c r="C1356">
        <v>0.92455200619375699</v>
      </c>
      <c r="D1356">
        <v>0.68000315013977797</v>
      </c>
      <c r="E1356">
        <v>0.55006099056639701</v>
      </c>
      <c r="F1356">
        <v>0.63252087672434898</v>
      </c>
      <c r="G1356">
        <v>0.15333989472641901</v>
      </c>
      <c r="H1356">
        <v>4.4213867665444599E-2</v>
      </c>
      <c r="I1356">
        <v>2.9729119901142801E-2</v>
      </c>
      <c r="J1356">
        <v>2.78806965235095E-2</v>
      </c>
      <c r="K1356">
        <v>3.03096867662229E-2</v>
      </c>
      <c r="L1356">
        <v>548.18552832991702</v>
      </c>
      <c r="M1356">
        <v>11.386233204191001</v>
      </c>
      <c r="N1356">
        <v>48.144589972193003</v>
      </c>
      <c r="O1356">
        <v>46.7313074788485</v>
      </c>
      <c r="P1356">
        <v>-6.09312987247961E-2</v>
      </c>
      <c r="Q1356">
        <v>0</v>
      </c>
      <c r="R1356">
        <v>0.93075418279891697</v>
      </c>
      <c r="S1356" t="s">
        <v>7924</v>
      </c>
      <c r="T1356" t="s">
        <v>13134</v>
      </c>
      <c r="U1356" t="s">
        <v>13134</v>
      </c>
      <c r="V1356" t="s">
        <v>13134</v>
      </c>
      <c r="W1356" t="s">
        <v>14459</v>
      </c>
      <c r="X1356">
        <v>1</v>
      </c>
      <c r="Y1356" t="s">
        <v>20945</v>
      </c>
      <c r="Z1356" t="s">
        <v>27324</v>
      </c>
      <c r="AA1356">
        <v>0.4049679792150081</v>
      </c>
      <c r="AB1356" t="str">
        <f>HYPERLINK("Melting_Curves/meltCurve_K7EQV2_POP4.pdf", "Melting_Curves/meltCurve_K7EQV2_POP4.pdf")</f>
        <v>Melting_Curves/meltCurve_K7EQV2_POP4.pdf</v>
      </c>
    </row>
    <row r="1357" spans="1:28" x14ac:dyDescent="0.25">
      <c r="A1357" t="s">
        <v>1361</v>
      </c>
      <c r="B1357">
        <v>0.99472303558308395</v>
      </c>
      <c r="C1357">
        <v>0.970220719514166</v>
      </c>
      <c r="D1357">
        <v>1.0546400789728001</v>
      </c>
      <c r="E1357">
        <v>1.0174227717075599</v>
      </c>
      <c r="F1357">
        <v>0.835593218446536</v>
      </c>
      <c r="G1357">
        <v>0.81651270122783803</v>
      </c>
      <c r="H1357">
        <v>0.76824666682211695</v>
      </c>
      <c r="I1357">
        <v>0.82876771921082304</v>
      </c>
      <c r="J1357">
        <v>1.01608273796265</v>
      </c>
      <c r="K1357">
        <v>0.638622920976325</v>
      </c>
      <c r="L1357">
        <v>12448.910857405201</v>
      </c>
      <c r="M1357">
        <v>250</v>
      </c>
      <c r="O1357">
        <v>49.792461554229902</v>
      </c>
      <c r="P1357">
        <v>-0.233912755255969</v>
      </c>
      <c r="Q1357">
        <v>0.81364654787064605</v>
      </c>
      <c r="R1357">
        <v>0.53111842965410205</v>
      </c>
      <c r="S1357" t="s">
        <v>7925</v>
      </c>
      <c r="T1357" t="s">
        <v>13134</v>
      </c>
      <c r="U1357" t="s">
        <v>13134</v>
      </c>
      <c r="V1357" t="s">
        <v>13134</v>
      </c>
      <c r="W1357" t="s">
        <v>14460</v>
      </c>
      <c r="X1357">
        <v>7</v>
      </c>
      <c r="Y1357" t="s">
        <v>20946</v>
      </c>
      <c r="Z1357" t="s">
        <v>27325</v>
      </c>
      <c r="AA1357">
        <v>0.89314657758430605</v>
      </c>
      <c r="AB1357" t="str">
        <f>HYPERLINK("Melting_Curves/meltCurve_K7EQW8_TPM4.pdf", "Melting_Curves/meltCurve_K7EQW8_TPM4.pdf")</f>
        <v>Melting_Curves/meltCurve_K7EQW8_TPM4.pdf</v>
      </c>
    </row>
    <row r="1358" spans="1:28" x14ac:dyDescent="0.25">
      <c r="A1358" t="s">
        <v>1362</v>
      </c>
      <c r="B1358">
        <v>0.99472303558308395</v>
      </c>
      <c r="C1358">
        <v>1.19571653578099</v>
      </c>
      <c r="D1358">
        <v>0.83362557913209401</v>
      </c>
      <c r="E1358">
        <v>0.96147997463208301</v>
      </c>
      <c r="F1358">
        <v>0.71318491665414196</v>
      </c>
      <c r="G1358">
        <v>0.48357669068905501</v>
      </c>
      <c r="H1358">
        <v>0.34178089927925198</v>
      </c>
      <c r="I1358">
        <v>0.41817445567887102</v>
      </c>
      <c r="J1358">
        <v>0.47148210515997802</v>
      </c>
      <c r="K1358">
        <v>0.44827071714633798</v>
      </c>
      <c r="L1358">
        <v>1718.32253142435</v>
      </c>
      <c r="M1358">
        <v>34.230549316051103</v>
      </c>
      <c r="N1358">
        <v>53.0451279003316</v>
      </c>
      <c r="O1358">
        <v>50.028111935628502</v>
      </c>
      <c r="P1358">
        <v>-9.9153602530999904E-2</v>
      </c>
      <c r="Q1358">
        <v>0.42034836973288803</v>
      </c>
      <c r="R1358">
        <v>0.90300546583362695</v>
      </c>
      <c r="S1358" t="s">
        <v>7926</v>
      </c>
      <c r="T1358" t="s">
        <v>13134</v>
      </c>
      <c r="U1358" t="s">
        <v>13134</v>
      </c>
      <c r="V1358" t="s">
        <v>13134</v>
      </c>
      <c r="W1358" t="s">
        <v>14461</v>
      </c>
      <c r="X1358">
        <v>1</v>
      </c>
      <c r="Y1358" t="s">
        <v>20947</v>
      </c>
      <c r="Z1358" t="s">
        <v>27326</v>
      </c>
      <c r="AA1358">
        <v>0.6781123294207051</v>
      </c>
      <c r="AB1358" t="str">
        <f>HYPERLINK("Melting_Curves/meltCurve_K7EQX8_MXRA7.pdf", "Melting_Curves/meltCurve_K7EQX8_MXRA7.pdf")</f>
        <v>Melting_Curves/meltCurve_K7EQX8_MXRA7.pdf</v>
      </c>
    </row>
    <row r="1359" spans="1:28" x14ac:dyDescent="0.25">
      <c r="A1359" t="s">
        <v>1363</v>
      </c>
      <c r="B1359">
        <v>0.99472303558308395</v>
      </c>
      <c r="C1359">
        <v>0.66218421827367002</v>
      </c>
      <c r="D1359">
        <v>0.24289979248858801</v>
      </c>
      <c r="E1359">
        <v>0.60790906354594998</v>
      </c>
      <c r="F1359">
        <v>0.13246816303619999</v>
      </c>
      <c r="G1359">
        <v>3.3090508286291599E-2</v>
      </c>
      <c r="H1359">
        <v>2.1372632888390301E-2</v>
      </c>
      <c r="I1359">
        <v>1.4555593732541099E-2</v>
      </c>
      <c r="J1359">
        <v>1.52339770566799E-2</v>
      </c>
      <c r="K1359">
        <v>1.3217980002342001E-2</v>
      </c>
      <c r="L1359">
        <v>472.32262470849997</v>
      </c>
      <c r="M1359">
        <v>11.012650615975</v>
      </c>
      <c r="N1359">
        <v>42.889110222043499</v>
      </c>
      <c r="O1359">
        <v>41.547689393969897</v>
      </c>
      <c r="P1359">
        <v>-6.6287400606401606E-2</v>
      </c>
      <c r="Q1359">
        <v>0</v>
      </c>
      <c r="R1359">
        <v>0.83155431742581198</v>
      </c>
      <c r="S1359" t="s">
        <v>7927</v>
      </c>
      <c r="T1359" t="s">
        <v>13134</v>
      </c>
      <c r="U1359" t="s">
        <v>13134</v>
      </c>
      <c r="V1359" t="s">
        <v>13134</v>
      </c>
      <c r="W1359" t="s">
        <v>14462</v>
      </c>
      <c r="X1359">
        <v>21</v>
      </c>
      <c r="Y1359" t="s">
        <v>20948</v>
      </c>
      <c r="Z1359" t="s">
        <v>27327</v>
      </c>
      <c r="AA1359">
        <v>0.24552016696103199</v>
      </c>
      <c r="AB1359" t="str">
        <f>HYPERLINK("Melting_Curves/meltCurve_K7ER00_FARSA.pdf", "Melting_Curves/meltCurve_K7ER00_FARSA.pdf")</f>
        <v>Melting_Curves/meltCurve_K7ER00_FARSA.pdf</v>
      </c>
    </row>
    <row r="1360" spans="1:28" x14ac:dyDescent="0.25">
      <c r="A1360" t="s">
        <v>1364</v>
      </c>
      <c r="B1360">
        <v>0.99472303558308395</v>
      </c>
      <c r="C1360">
        <v>1.0433957788892201</v>
      </c>
      <c r="D1360">
        <v>0.92301404801847398</v>
      </c>
      <c r="E1360">
        <v>0.69192094922130498</v>
      </c>
      <c r="F1360">
        <v>0.373121568397975</v>
      </c>
      <c r="G1360">
        <v>0.18993157682138401</v>
      </c>
      <c r="H1360">
        <v>0.120316357814872</v>
      </c>
      <c r="I1360">
        <v>8.6439198702878806E-2</v>
      </c>
      <c r="J1360">
        <v>0.112598313890965</v>
      </c>
      <c r="K1360">
        <v>7.2378974085350101E-2</v>
      </c>
      <c r="L1360">
        <v>977.07204223246197</v>
      </c>
      <c r="M1360">
        <v>20.255966862533601</v>
      </c>
      <c r="N1360">
        <v>48.6832182942088</v>
      </c>
      <c r="O1360">
        <v>47.7735039483618</v>
      </c>
      <c r="P1360">
        <v>-9.7008674471806999E-2</v>
      </c>
      <c r="Q1360">
        <v>8.4852098950596005E-2</v>
      </c>
      <c r="R1360">
        <v>0.99723162745799898</v>
      </c>
      <c r="S1360" t="s">
        <v>7928</v>
      </c>
      <c r="T1360" t="s">
        <v>13134</v>
      </c>
      <c r="U1360" t="s">
        <v>13134</v>
      </c>
      <c r="V1360" t="s">
        <v>13134</v>
      </c>
      <c r="W1360" t="s">
        <v>14463</v>
      </c>
      <c r="X1360">
        <v>1</v>
      </c>
      <c r="Y1360" t="s">
        <v>20949</v>
      </c>
      <c r="Z1360" t="s">
        <v>27328</v>
      </c>
      <c r="AA1360">
        <v>0.43936269095984021</v>
      </c>
      <c r="AB1360" t="str">
        <f>HYPERLINK("Melting_Curves/meltCurve_K7ER89_ERCC1.pdf", "Melting_Curves/meltCurve_K7ER89_ERCC1.pdf")</f>
        <v>Melting_Curves/meltCurve_K7ER89_ERCC1.pdf</v>
      </c>
    </row>
    <row r="1361" spans="1:28" x14ac:dyDescent="0.25">
      <c r="A1361" t="s">
        <v>1365</v>
      </c>
      <c r="B1361">
        <v>0.99472303558308395</v>
      </c>
      <c r="C1361">
        <v>0.90858598760089704</v>
      </c>
      <c r="D1361">
        <v>0.71873399205812305</v>
      </c>
      <c r="E1361">
        <v>0.46571701337333099</v>
      </c>
      <c r="F1361">
        <v>0.599790182409908</v>
      </c>
      <c r="G1361">
        <v>0.21255894346968199</v>
      </c>
      <c r="H1361">
        <v>7.5252657229746195E-2</v>
      </c>
      <c r="I1361">
        <v>4.3700268628396502E-2</v>
      </c>
      <c r="J1361">
        <v>4.1021251229790001E-2</v>
      </c>
      <c r="K1361">
        <v>4.1746676076820602E-2</v>
      </c>
      <c r="L1361">
        <v>506.28263397017702</v>
      </c>
      <c r="M1361">
        <v>10.5721387134277</v>
      </c>
      <c r="N1361">
        <v>47.888398595256803</v>
      </c>
      <c r="O1361">
        <v>46.270223255518097</v>
      </c>
      <c r="P1361">
        <v>-5.7144141015797803E-2</v>
      </c>
      <c r="Q1361">
        <v>0</v>
      </c>
      <c r="R1361">
        <v>0.94337303339149303</v>
      </c>
      <c r="S1361" t="s">
        <v>7929</v>
      </c>
      <c r="T1361" t="s">
        <v>13134</v>
      </c>
      <c r="U1361" t="s">
        <v>13134</v>
      </c>
      <c r="V1361" t="s">
        <v>13134</v>
      </c>
      <c r="W1361" t="s">
        <v>14464</v>
      </c>
      <c r="X1361">
        <v>8</v>
      </c>
      <c r="Y1361" t="s">
        <v>20950</v>
      </c>
      <c r="Z1361" t="s">
        <v>27329</v>
      </c>
      <c r="AA1361">
        <v>0.40058848001999958</v>
      </c>
      <c r="AB1361" t="str">
        <f>HYPERLINK("Melting_Curves/meltCurve_K7ERF1_EIF3K.pdf", "Melting_Curves/meltCurve_K7ERF1_EIF3K.pdf")</f>
        <v>Melting_Curves/meltCurve_K7ERF1_EIF3K.pdf</v>
      </c>
    </row>
    <row r="1362" spans="1:28" x14ac:dyDescent="0.25">
      <c r="A1362" t="s">
        <v>1366</v>
      </c>
      <c r="B1362">
        <v>0.99472303558308395</v>
      </c>
      <c r="C1362">
        <v>0.98549106377270601</v>
      </c>
      <c r="D1362">
        <v>0.93645845050168997</v>
      </c>
      <c r="E1362">
        <v>0.74662174589205199</v>
      </c>
      <c r="F1362">
        <v>0.26446180609025399</v>
      </c>
      <c r="G1362">
        <v>0.150080488206743</v>
      </c>
      <c r="H1362">
        <v>7.5738683885336305E-2</v>
      </c>
      <c r="I1362">
        <v>4.6750140670013901E-2</v>
      </c>
      <c r="J1362">
        <v>7.3016815968700202E-2</v>
      </c>
      <c r="K1362">
        <v>1.41536726922746E-2</v>
      </c>
      <c r="L1362">
        <v>1277.5690553765801</v>
      </c>
      <c r="M1362">
        <v>26.521070104505402</v>
      </c>
      <c r="N1362">
        <v>48.376774546433303</v>
      </c>
      <c r="O1362">
        <v>47.900470888733302</v>
      </c>
      <c r="P1362">
        <v>-0.131064488237464</v>
      </c>
      <c r="Q1362">
        <v>5.3132648510706003E-2</v>
      </c>
      <c r="R1362">
        <v>0.99639396265727898</v>
      </c>
      <c r="S1362" t="s">
        <v>7930</v>
      </c>
      <c r="T1362" t="s">
        <v>13134</v>
      </c>
      <c r="U1362" t="s">
        <v>13134</v>
      </c>
      <c r="V1362" t="s">
        <v>13134</v>
      </c>
      <c r="W1362" t="s">
        <v>14465</v>
      </c>
      <c r="X1362">
        <v>9</v>
      </c>
      <c r="Y1362" t="s">
        <v>20951</v>
      </c>
      <c r="Z1362" t="s">
        <v>27330</v>
      </c>
      <c r="AA1362">
        <v>0.41293755354499778</v>
      </c>
      <c r="AB1362" t="str">
        <f>HYPERLINK("Melting_Curves/meltCurve_K7ERG0_NLRP7.pdf", "Melting_Curves/meltCurve_K7ERG0_NLRP7.pdf")</f>
        <v>Melting_Curves/meltCurve_K7ERG0_NLRP7.pdf</v>
      </c>
    </row>
    <row r="1363" spans="1:28" x14ac:dyDescent="0.25">
      <c r="A1363" t="s">
        <v>1367</v>
      </c>
      <c r="B1363">
        <v>0.99472303558308395</v>
      </c>
      <c r="C1363">
        <v>1.04005434541547</v>
      </c>
      <c r="D1363">
        <v>0.91810302976556302</v>
      </c>
      <c r="E1363">
        <v>0.76732084554624302</v>
      </c>
      <c r="F1363">
        <v>0.57567032123528505</v>
      </c>
      <c r="G1363">
        <v>0.30205249174569898</v>
      </c>
      <c r="H1363">
        <v>0.15689870559317401</v>
      </c>
      <c r="I1363">
        <v>7.7296868105875605E-2</v>
      </c>
      <c r="J1363">
        <v>8.4089434613013797E-2</v>
      </c>
      <c r="K1363">
        <v>7.1752977825590494E-2</v>
      </c>
      <c r="L1363">
        <v>777.77092457740002</v>
      </c>
      <c r="M1363">
        <v>15.3880251719587</v>
      </c>
      <c r="N1363">
        <v>50.788698037703398</v>
      </c>
      <c r="O1363">
        <v>49.7133782535807</v>
      </c>
      <c r="P1363">
        <v>-7.46248681409796E-2</v>
      </c>
      <c r="Q1363">
        <v>3.5739739116578503E-2</v>
      </c>
      <c r="R1363">
        <v>0.995703843789564</v>
      </c>
      <c r="S1363" t="s">
        <v>7931</v>
      </c>
      <c r="T1363" t="s">
        <v>13134</v>
      </c>
      <c r="U1363" t="s">
        <v>13134</v>
      </c>
      <c r="V1363" t="s">
        <v>13134</v>
      </c>
      <c r="W1363" t="s">
        <v>14466</v>
      </c>
      <c r="X1363">
        <v>1</v>
      </c>
      <c r="Y1363" t="s">
        <v>20952</v>
      </c>
      <c r="Z1363" t="s">
        <v>27331</v>
      </c>
      <c r="AA1363">
        <v>0.49015285922167329</v>
      </c>
      <c r="AB1363" t="str">
        <f>HYPERLINK("Melting_Curves/meltCurve_K7ERH2_PLEKHJ1.pdf", "Melting_Curves/meltCurve_K7ERH2_PLEKHJ1.pdf")</f>
        <v>Melting_Curves/meltCurve_K7ERH2_PLEKHJ1.pdf</v>
      </c>
    </row>
    <row r="1364" spans="1:28" x14ac:dyDescent="0.25">
      <c r="A1364" t="s">
        <v>1368</v>
      </c>
      <c r="B1364">
        <v>0.99472303558308395</v>
      </c>
      <c r="C1364">
        <v>1.04181481849755</v>
      </c>
      <c r="D1364">
        <v>1.05264393124773</v>
      </c>
      <c r="E1364">
        <v>0.99020213676803903</v>
      </c>
      <c r="F1364">
        <v>0.75020373453943801</v>
      </c>
      <c r="G1364">
        <v>0.58532566527044405</v>
      </c>
      <c r="H1364">
        <v>0.65686513992968898</v>
      </c>
      <c r="I1364">
        <v>0.59773512570425502</v>
      </c>
      <c r="J1364">
        <v>0.92512948761887204</v>
      </c>
      <c r="K1364">
        <v>0.64541548873711896</v>
      </c>
      <c r="L1364">
        <v>12484.763676419199</v>
      </c>
      <c r="M1364">
        <v>250</v>
      </c>
      <c r="O1364">
        <v>49.935861470496803</v>
      </c>
      <c r="P1364">
        <v>-0.397892697744895</v>
      </c>
      <c r="Q1364">
        <v>0.68209418233088304</v>
      </c>
      <c r="R1364">
        <v>0.75842451485043205</v>
      </c>
      <c r="S1364" t="s">
        <v>7932</v>
      </c>
      <c r="T1364" t="s">
        <v>13134</v>
      </c>
      <c r="U1364" t="s">
        <v>13134</v>
      </c>
      <c r="V1364" t="s">
        <v>13134</v>
      </c>
      <c r="W1364" t="s">
        <v>14467</v>
      </c>
      <c r="X1364">
        <v>2</v>
      </c>
      <c r="Y1364" t="s">
        <v>20953</v>
      </c>
      <c r="Z1364" t="s">
        <v>27332</v>
      </c>
      <c r="AA1364">
        <v>0.819235403185536</v>
      </c>
      <c r="AB1364" t="str">
        <f>HYPERLINK("Melting_Curves/meltCurve_K7ERI9_APOC1.pdf", "Melting_Curves/meltCurve_K7ERI9_APOC1.pdf")</f>
        <v>Melting_Curves/meltCurve_K7ERI9_APOC1.pdf</v>
      </c>
    </row>
    <row r="1365" spans="1:28" x14ac:dyDescent="0.25">
      <c r="A1365" t="s">
        <v>1369</v>
      </c>
      <c r="B1365">
        <v>0.99472303558308395</v>
      </c>
      <c r="C1365">
        <v>1.0306436541458499</v>
      </c>
      <c r="D1365">
        <v>0.90559960028282505</v>
      </c>
      <c r="E1365">
        <v>0.66211523381229798</v>
      </c>
      <c r="F1365">
        <v>0.48482842108103702</v>
      </c>
      <c r="G1365">
        <v>0.343792094004848</v>
      </c>
      <c r="H1365">
        <v>0.217698024310407</v>
      </c>
      <c r="I1365">
        <v>0.117157690331203</v>
      </c>
      <c r="J1365">
        <v>8.7276916402008797E-2</v>
      </c>
      <c r="K1365">
        <v>7.9830749211019694E-2</v>
      </c>
      <c r="L1365">
        <v>623.71220249751195</v>
      </c>
      <c r="M1365">
        <v>12.5440849165745</v>
      </c>
      <c r="N1365">
        <v>50.106813164185297</v>
      </c>
      <c r="O1365">
        <v>48.508734471952501</v>
      </c>
      <c r="P1365">
        <v>-6.1689569864025302E-2</v>
      </c>
      <c r="Q1365">
        <v>4.5964324301849602E-2</v>
      </c>
      <c r="R1365">
        <v>0.992168576895329</v>
      </c>
      <c r="S1365" t="s">
        <v>7933</v>
      </c>
      <c r="T1365" t="s">
        <v>13134</v>
      </c>
      <c r="U1365" t="s">
        <v>13134</v>
      </c>
      <c r="V1365" t="s">
        <v>13134</v>
      </c>
      <c r="W1365" t="s">
        <v>14468</v>
      </c>
      <c r="X1365">
        <v>2</v>
      </c>
      <c r="Y1365" t="s">
        <v>20954</v>
      </c>
      <c r="Z1365" t="s">
        <v>27333</v>
      </c>
      <c r="AA1365">
        <v>0.47625434540943529</v>
      </c>
      <c r="AB1365" t="str">
        <f>HYPERLINK("Melting_Curves/meltCurve_K7ERQ0_YIF1B.pdf", "Melting_Curves/meltCurve_K7ERQ0_YIF1B.pdf")</f>
        <v>Melting_Curves/meltCurve_K7ERQ0_YIF1B.pdf</v>
      </c>
    </row>
    <row r="1366" spans="1:28" x14ac:dyDescent="0.25">
      <c r="A1366" t="s">
        <v>1370</v>
      </c>
      <c r="B1366">
        <v>0.99472303558308395</v>
      </c>
      <c r="C1366">
        <v>0.86720578922184099</v>
      </c>
      <c r="D1366">
        <v>0.60249973790249201</v>
      </c>
      <c r="E1366">
        <v>0.39259023252859798</v>
      </c>
      <c r="F1366">
        <v>0.32934709032665599</v>
      </c>
      <c r="G1366">
        <v>0.26041312648496401</v>
      </c>
      <c r="H1366">
        <v>0.180607795846326</v>
      </c>
      <c r="I1366">
        <v>0.144087538047738</v>
      </c>
      <c r="J1366">
        <v>0.221448774697838</v>
      </c>
      <c r="K1366">
        <v>0.220783495375765</v>
      </c>
      <c r="L1366">
        <v>713.33753233109098</v>
      </c>
      <c r="M1366">
        <v>16.412707257428</v>
      </c>
      <c r="N1366">
        <v>44.853752926124599</v>
      </c>
      <c r="O1366">
        <v>42.832647580991697</v>
      </c>
      <c r="P1366">
        <v>-7.6692340278109603E-2</v>
      </c>
      <c r="Q1366">
        <v>0.199472872023708</v>
      </c>
      <c r="R1366">
        <v>0.98539546666679101</v>
      </c>
      <c r="S1366" t="s">
        <v>7934</v>
      </c>
      <c r="T1366" t="s">
        <v>13134</v>
      </c>
      <c r="U1366" t="s">
        <v>13134</v>
      </c>
      <c r="V1366" t="s">
        <v>13134</v>
      </c>
      <c r="W1366" t="s">
        <v>14053</v>
      </c>
      <c r="X1366">
        <v>6</v>
      </c>
      <c r="Z1366" t="s">
        <v>27334</v>
      </c>
      <c r="AA1366">
        <v>0.38882362663876763</v>
      </c>
      <c r="AB1366" t="str">
        <f>HYPERLINK("Melting_Curves/meltCurve_K7ERQ8_.pdf", "Melting_Curves/meltCurve_K7ERQ8_.pdf")</f>
        <v>Melting_Curves/meltCurve_K7ERQ8_.pdf</v>
      </c>
    </row>
    <row r="1367" spans="1:28" x14ac:dyDescent="0.25">
      <c r="A1367" t="s">
        <v>1371</v>
      </c>
      <c r="B1367">
        <v>0.99472303558308395</v>
      </c>
      <c r="C1367">
        <v>0.91621193246993704</v>
      </c>
      <c r="D1367">
        <v>1.02006179240158</v>
      </c>
      <c r="E1367">
        <v>0.76504597378189998</v>
      </c>
      <c r="F1367">
        <v>0.43383165561478698</v>
      </c>
      <c r="G1367">
        <v>0.38164896800342801</v>
      </c>
      <c r="H1367">
        <v>0.29223213321865299</v>
      </c>
      <c r="I1367">
        <v>0.37218091618855498</v>
      </c>
      <c r="J1367">
        <v>0.44605788281263697</v>
      </c>
      <c r="K1367">
        <v>0.27263316128918202</v>
      </c>
      <c r="L1367">
        <v>1694.8995743923699</v>
      </c>
      <c r="M1367">
        <v>35.761103801683802</v>
      </c>
      <c r="N1367">
        <v>49.059319754206697</v>
      </c>
      <c r="O1367">
        <v>47.247587564636902</v>
      </c>
      <c r="P1367">
        <v>-0.122735626022396</v>
      </c>
      <c r="Q1367">
        <v>0.35136867848194397</v>
      </c>
      <c r="R1367">
        <v>0.96549038540072296</v>
      </c>
      <c r="S1367" t="s">
        <v>7935</v>
      </c>
      <c r="T1367" t="s">
        <v>13134</v>
      </c>
      <c r="U1367" t="s">
        <v>13134</v>
      </c>
      <c r="V1367" t="s">
        <v>13134</v>
      </c>
      <c r="W1367" t="s">
        <v>13424</v>
      </c>
      <c r="X1367">
        <v>1</v>
      </c>
      <c r="Z1367" t="s">
        <v>27335</v>
      </c>
      <c r="AA1367">
        <v>0.5787849579504919</v>
      </c>
      <c r="AB1367" t="str">
        <f>HYPERLINK("Melting_Curves/meltCurve_K7ERU9_.pdf", "Melting_Curves/meltCurve_K7ERU9_.pdf")</f>
        <v>Melting_Curves/meltCurve_K7ERU9_.pdf</v>
      </c>
    </row>
    <row r="1368" spans="1:28" x14ac:dyDescent="0.25">
      <c r="A1368" t="s">
        <v>1372</v>
      </c>
      <c r="B1368">
        <v>0.99472303558308395</v>
      </c>
      <c r="C1368">
        <v>0.99159386047043097</v>
      </c>
      <c r="D1368">
        <v>0.83738545728306002</v>
      </c>
      <c r="E1368">
        <v>0.731079190317939</v>
      </c>
      <c r="F1368">
        <v>0.69085706128140001</v>
      </c>
      <c r="G1368">
        <v>0.45868151430056597</v>
      </c>
      <c r="H1368">
        <v>0.36786556557698202</v>
      </c>
      <c r="I1368">
        <v>0.30418293460412599</v>
      </c>
      <c r="J1368">
        <v>0.374376968546759</v>
      </c>
      <c r="K1368">
        <v>0.34331817529727299</v>
      </c>
      <c r="L1368">
        <v>567.32245154110001</v>
      </c>
      <c r="M1368">
        <v>11.5119952934126</v>
      </c>
      <c r="N1368">
        <v>53.211680097275</v>
      </c>
      <c r="O1368">
        <v>47.8642891469635</v>
      </c>
      <c r="P1368">
        <v>-4.2921285636457397E-2</v>
      </c>
      <c r="Q1368">
        <v>0.28637377251743301</v>
      </c>
      <c r="R1368">
        <v>0.97178658814088703</v>
      </c>
      <c r="S1368" t="s">
        <v>7936</v>
      </c>
      <c r="T1368" t="s">
        <v>13134</v>
      </c>
      <c r="U1368" t="s">
        <v>13134</v>
      </c>
      <c r="V1368" t="s">
        <v>13134</v>
      </c>
      <c r="W1368" t="s">
        <v>14469</v>
      </c>
      <c r="X1368">
        <v>14</v>
      </c>
      <c r="Y1368" t="s">
        <v>20955</v>
      </c>
      <c r="Z1368" t="s">
        <v>27336</v>
      </c>
      <c r="AA1368">
        <v>0.60050284989292235</v>
      </c>
      <c r="AB1368" t="str">
        <f>HYPERLINK("Melting_Curves/meltCurve_K7ERV3_TK1.pdf", "Melting_Curves/meltCurve_K7ERV3_TK1.pdf")</f>
        <v>Melting_Curves/meltCurve_K7ERV3_TK1.pdf</v>
      </c>
    </row>
    <row r="1369" spans="1:28" x14ac:dyDescent="0.25">
      <c r="A1369" t="s">
        <v>1373</v>
      </c>
      <c r="B1369">
        <v>0.99472303558308395</v>
      </c>
      <c r="C1369">
        <v>0.805193134161165</v>
      </c>
      <c r="D1369">
        <v>0.82921796297599804</v>
      </c>
      <c r="E1369">
        <v>0.85723804190657205</v>
      </c>
      <c r="F1369">
        <v>1.0036348441932299</v>
      </c>
      <c r="G1369">
        <v>0.85684017593609596</v>
      </c>
      <c r="H1369">
        <v>0.29316163704320303</v>
      </c>
      <c r="I1369">
        <v>0.55613929515361904</v>
      </c>
      <c r="J1369">
        <v>0.82685890517732996</v>
      </c>
      <c r="K1369">
        <v>0.47402473724163102</v>
      </c>
      <c r="L1369">
        <v>13493.1555171245</v>
      </c>
      <c r="M1369">
        <v>250</v>
      </c>
      <c r="O1369">
        <v>53.969184873479101</v>
      </c>
      <c r="P1369">
        <v>-0.53555328698066296</v>
      </c>
      <c r="Q1369">
        <v>0.53754615323213295</v>
      </c>
      <c r="R1369">
        <v>0.51456170260933698</v>
      </c>
      <c r="S1369" t="s">
        <v>7937</v>
      </c>
      <c r="T1369" t="s">
        <v>13134</v>
      </c>
      <c r="U1369" t="s">
        <v>13134</v>
      </c>
      <c r="V1369" t="s">
        <v>13134</v>
      </c>
      <c r="W1369" t="s">
        <v>14470</v>
      </c>
      <c r="X1369">
        <v>2</v>
      </c>
      <c r="Y1369" t="s">
        <v>20956</v>
      </c>
      <c r="Z1369" t="s">
        <v>27337</v>
      </c>
      <c r="AA1369">
        <v>0.79922510288509285</v>
      </c>
      <c r="AB1369" t="str">
        <f>HYPERLINK("Melting_Curves/meltCurve_K7ES02_BLMH.pdf", "Melting_Curves/meltCurve_K7ES02_BLMH.pdf")</f>
        <v>Melting_Curves/meltCurve_K7ES02_BLMH.pdf</v>
      </c>
    </row>
    <row r="1370" spans="1:28" x14ac:dyDescent="0.25">
      <c r="A1370" t="s">
        <v>1374</v>
      </c>
      <c r="B1370">
        <v>0.99472303558308395</v>
      </c>
      <c r="C1370">
        <v>1.1573338961283399</v>
      </c>
      <c r="D1370">
        <v>0.80216679358601595</v>
      </c>
      <c r="E1370">
        <v>0.71781922421837996</v>
      </c>
      <c r="F1370">
        <v>0.30632265019563598</v>
      </c>
      <c r="G1370">
        <v>0.16323156095525801</v>
      </c>
      <c r="H1370">
        <v>3.6672904080887699E-2</v>
      </c>
      <c r="I1370">
        <v>5.7296556142110801E-2</v>
      </c>
      <c r="J1370">
        <v>0.12389841711867899</v>
      </c>
      <c r="K1370">
        <v>7.7959034391475807E-2</v>
      </c>
      <c r="L1370">
        <v>1018.69631247701</v>
      </c>
      <c r="M1370">
        <v>21.252401403147999</v>
      </c>
      <c r="N1370">
        <v>48.252588038566898</v>
      </c>
      <c r="O1370">
        <v>47.5148850829354</v>
      </c>
      <c r="P1370">
        <v>-0.104486289718836</v>
      </c>
      <c r="Q1370">
        <v>6.5606276495699098E-2</v>
      </c>
      <c r="R1370">
        <v>0.96800982533425495</v>
      </c>
      <c r="S1370" t="s">
        <v>7938</v>
      </c>
      <c r="T1370" t="s">
        <v>13134</v>
      </c>
      <c r="U1370" t="s">
        <v>13134</v>
      </c>
      <c r="V1370" t="s">
        <v>13134</v>
      </c>
      <c r="W1370" t="s">
        <v>14471</v>
      </c>
      <c r="X1370">
        <v>20</v>
      </c>
      <c r="Y1370" t="s">
        <v>20957</v>
      </c>
      <c r="Z1370" t="s">
        <v>27338</v>
      </c>
      <c r="AA1370">
        <v>0.41706636724803747</v>
      </c>
      <c r="AB1370" t="str">
        <f>HYPERLINK("Melting_Curves/meltCurve_K7ES11_UBE2O.pdf", "Melting_Curves/meltCurve_K7ES11_UBE2O.pdf")</f>
        <v>Melting_Curves/meltCurve_K7ES11_UBE2O.pdf</v>
      </c>
    </row>
    <row r="1371" spans="1:28" x14ac:dyDescent="0.25">
      <c r="A1371" t="s">
        <v>1375</v>
      </c>
      <c r="B1371">
        <v>0.99472303558308395</v>
      </c>
      <c r="C1371">
        <v>1.00720807202291</v>
      </c>
      <c r="D1371">
        <v>1.0328436667970999</v>
      </c>
      <c r="E1371">
        <v>0.86026220037952295</v>
      </c>
      <c r="F1371">
        <v>0.557785813494449</v>
      </c>
      <c r="G1371">
        <v>0.17915295569935899</v>
      </c>
      <c r="H1371">
        <v>6.3787364332226801E-2</v>
      </c>
      <c r="I1371">
        <v>3.0274924818892001E-2</v>
      </c>
      <c r="J1371">
        <v>0.10011108517881399</v>
      </c>
      <c r="K1371">
        <v>4.1826480938512697E-2</v>
      </c>
      <c r="L1371">
        <v>1330.9732358459</v>
      </c>
      <c r="M1371">
        <v>26.4564696957591</v>
      </c>
      <c r="N1371">
        <v>50.492837432299901</v>
      </c>
      <c r="O1371">
        <v>50.023250582327897</v>
      </c>
      <c r="P1371">
        <v>-0.126121160357763</v>
      </c>
      <c r="Q1371">
        <v>4.6142843871265903E-2</v>
      </c>
      <c r="R1371">
        <v>0.99588494056843802</v>
      </c>
      <c r="S1371" t="s">
        <v>7939</v>
      </c>
      <c r="T1371" t="s">
        <v>13134</v>
      </c>
      <c r="U1371" t="s">
        <v>13134</v>
      </c>
      <c r="V1371" t="s">
        <v>13134</v>
      </c>
      <c r="W1371" t="s">
        <v>14472</v>
      </c>
      <c r="X1371">
        <v>3</v>
      </c>
      <c r="Y1371" t="s">
        <v>20958</v>
      </c>
      <c r="Z1371" t="s">
        <v>27339</v>
      </c>
      <c r="AA1371">
        <v>0.47678668111260519</v>
      </c>
      <c r="AB1371" t="str">
        <f>HYPERLINK("Melting_Curves/meltCurve_K7ES84_FAM86A.pdf", "Melting_Curves/meltCurve_K7ES84_FAM86A.pdf")</f>
        <v>Melting_Curves/meltCurve_K7ES84_FAM86A.pdf</v>
      </c>
    </row>
    <row r="1372" spans="1:28" x14ac:dyDescent="0.25">
      <c r="A1372" t="s">
        <v>1376</v>
      </c>
      <c r="B1372">
        <v>0.99472303558308395</v>
      </c>
      <c r="C1372">
        <v>0.99774969934732405</v>
      </c>
      <c r="D1372">
        <v>1.0155448552231201</v>
      </c>
      <c r="E1372">
        <v>0.90088043343018598</v>
      </c>
      <c r="F1372">
        <v>0.77899418287199695</v>
      </c>
      <c r="G1372">
        <v>0.61174368968137605</v>
      </c>
      <c r="H1372">
        <v>0.36978307842444602</v>
      </c>
      <c r="I1372">
        <v>0.25620782313978102</v>
      </c>
      <c r="J1372">
        <v>0.239020548540607</v>
      </c>
      <c r="K1372">
        <v>0.15223999530840299</v>
      </c>
      <c r="L1372">
        <v>775.99925475140003</v>
      </c>
      <c r="M1372">
        <v>14.304143166391601</v>
      </c>
      <c r="N1372">
        <v>55.267089160989102</v>
      </c>
      <c r="O1372">
        <v>53.222711339801101</v>
      </c>
      <c r="P1372">
        <v>-5.94216662464436E-2</v>
      </c>
      <c r="Q1372">
        <v>0.11572544377897299</v>
      </c>
      <c r="R1372">
        <v>0.99562573511329899</v>
      </c>
      <c r="S1372" t="s">
        <v>7940</v>
      </c>
      <c r="T1372" t="s">
        <v>13134</v>
      </c>
      <c r="U1372" t="s">
        <v>13134</v>
      </c>
      <c r="V1372" t="s">
        <v>13134</v>
      </c>
      <c r="W1372" t="s">
        <v>14473</v>
      </c>
      <c r="X1372">
        <v>10</v>
      </c>
      <c r="Y1372" t="s">
        <v>20959</v>
      </c>
      <c r="Z1372" t="s">
        <v>27340</v>
      </c>
      <c r="AA1372">
        <v>0.638476369595394</v>
      </c>
      <c r="AB1372" t="str">
        <f>HYPERLINK("Melting_Curves/meltCurve_K7ESE3_RAD23A.pdf", "Melting_Curves/meltCurve_K7ESE3_RAD23A.pdf")</f>
        <v>Melting_Curves/meltCurve_K7ESE3_RAD23A.pdf</v>
      </c>
    </row>
    <row r="1373" spans="1:28" x14ac:dyDescent="0.25">
      <c r="A1373" t="s">
        <v>1377</v>
      </c>
      <c r="B1373">
        <v>0.99472303558308395</v>
      </c>
      <c r="C1373">
        <v>0.79004933109907505</v>
      </c>
      <c r="D1373">
        <v>0.67728405660266</v>
      </c>
      <c r="E1373">
        <v>0.47516429633915802</v>
      </c>
      <c r="F1373">
        <v>0.21595297867725899</v>
      </c>
      <c r="G1373">
        <v>0.12087930184122</v>
      </c>
      <c r="H1373">
        <v>4.52814750154414E-2</v>
      </c>
      <c r="I1373">
        <v>5.0503180386165601E-2</v>
      </c>
      <c r="J1373">
        <v>6.3535030856663899E-2</v>
      </c>
      <c r="K1373">
        <v>3.9475906744845198E-2</v>
      </c>
      <c r="L1373">
        <v>572.10607910941997</v>
      </c>
      <c r="M1373">
        <v>12.596579221307</v>
      </c>
      <c r="N1373">
        <v>45.502554412337098</v>
      </c>
      <c r="O1373">
        <v>44.318557384479803</v>
      </c>
      <c r="P1373">
        <v>-7.0245027996041806E-2</v>
      </c>
      <c r="Q1373">
        <v>1.1625258319423201E-2</v>
      </c>
      <c r="R1373">
        <v>0.99036603384465605</v>
      </c>
      <c r="S1373" t="s">
        <v>7941</v>
      </c>
      <c r="T1373" t="s">
        <v>13134</v>
      </c>
      <c r="U1373" t="s">
        <v>13134</v>
      </c>
      <c r="V1373" t="s">
        <v>13134</v>
      </c>
      <c r="W1373" t="s">
        <v>14474</v>
      </c>
      <c r="X1373">
        <v>2</v>
      </c>
      <c r="Y1373" t="s">
        <v>20960</v>
      </c>
      <c r="Z1373" t="s">
        <v>27341</v>
      </c>
      <c r="AA1373">
        <v>0.3211675964478421</v>
      </c>
      <c r="AB1373" t="str">
        <f>HYPERLINK("Melting_Curves/meltCurve_K7ESP4_DCAKD.pdf", "Melting_Curves/meltCurve_K7ESP4_DCAKD.pdf")</f>
        <v>Melting_Curves/meltCurve_K7ESP4_DCAKD.pdf</v>
      </c>
    </row>
    <row r="1374" spans="1:28" x14ac:dyDescent="0.25">
      <c r="A1374" t="s">
        <v>1378</v>
      </c>
      <c r="B1374">
        <v>0.99472303558308395</v>
      </c>
      <c r="C1374">
        <v>0.985582825183136</v>
      </c>
      <c r="D1374">
        <v>0.84597037800652897</v>
      </c>
      <c r="E1374">
        <v>0.783485155340788</v>
      </c>
      <c r="F1374">
        <v>0.63288156275688401</v>
      </c>
      <c r="G1374">
        <v>0.351132027871154</v>
      </c>
      <c r="H1374">
        <v>9.6473386500726094E-2</v>
      </c>
      <c r="I1374">
        <v>5.0329926300898303E-2</v>
      </c>
      <c r="J1374">
        <v>5.9286863956578298E-2</v>
      </c>
      <c r="K1374">
        <v>5.0323503592276199E-2</v>
      </c>
      <c r="L1374">
        <v>749.87033871210997</v>
      </c>
      <c r="M1374">
        <v>14.658507278166899</v>
      </c>
      <c r="N1374">
        <v>51.155982599534497</v>
      </c>
      <c r="O1374">
        <v>50.232204396137703</v>
      </c>
      <c r="P1374">
        <v>-7.2961798431092698E-2</v>
      </c>
      <c r="Q1374">
        <v>0</v>
      </c>
      <c r="R1374">
        <v>0.98559600856382101</v>
      </c>
      <c r="S1374" t="s">
        <v>7942</v>
      </c>
      <c r="T1374" t="s">
        <v>13134</v>
      </c>
      <c r="U1374" t="s">
        <v>13134</v>
      </c>
      <c r="V1374" t="s">
        <v>13134</v>
      </c>
      <c r="W1374" t="s">
        <v>14475</v>
      </c>
      <c r="X1374">
        <v>20</v>
      </c>
      <c r="Y1374" t="s">
        <v>20961</v>
      </c>
      <c r="Z1374" t="s">
        <v>27342</v>
      </c>
      <c r="AA1374">
        <v>0.49245227509836031</v>
      </c>
      <c r="AB1374" t="str">
        <f>HYPERLINK("Melting_Curves/meltCurve_M0QWZ7_SARS2.pdf", "Melting_Curves/meltCurve_M0QWZ7_SARS2.pdf")</f>
        <v>Melting_Curves/meltCurve_M0QWZ7_SARS2.pdf</v>
      </c>
    </row>
    <row r="1375" spans="1:28" x14ac:dyDescent="0.25">
      <c r="A1375" t="s">
        <v>1379</v>
      </c>
      <c r="B1375">
        <v>0.99472303558308395</v>
      </c>
      <c r="C1375">
        <v>0.90829815243657197</v>
      </c>
      <c r="D1375">
        <v>0.76228937321512202</v>
      </c>
      <c r="E1375">
        <v>0.51206815706950903</v>
      </c>
      <c r="F1375">
        <v>0.16703482013288101</v>
      </c>
      <c r="G1375">
        <v>9.2920759577091006E-2</v>
      </c>
      <c r="H1375">
        <v>5.7232966916531403E-2</v>
      </c>
      <c r="I1375">
        <v>3.7614667152547597E-2</v>
      </c>
      <c r="J1375">
        <v>4.4055291742651603E-2</v>
      </c>
      <c r="K1375">
        <v>3.46227566358666E-2</v>
      </c>
      <c r="L1375">
        <v>797.84689780513099</v>
      </c>
      <c r="M1375">
        <v>17.320747820036601</v>
      </c>
      <c r="N1375">
        <v>46.193882503965298</v>
      </c>
      <c r="O1375">
        <v>45.462226891628603</v>
      </c>
      <c r="P1375">
        <v>-9.2973882436904895E-2</v>
      </c>
      <c r="Q1375">
        <v>2.3932012815386899E-2</v>
      </c>
      <c r="R1375">
        <v>0.99577086229908296</v>
      </c>
      <c r="S1375" t="s">
        <v>7943</v>
      </c>
      <c r="T1375" t="s">
        <v>13134</v>
      </c>
      <c r="U1375" t="s">
        <v>13134</v>
      </c>
      <c r="V1375" t="s">
        <v>13134</v>
      </c>
      <c r="W1375" t="s">
        <v>14476</v>
      </c>
      <c r="X1375">
        <v>16</v>
      </c>
      <c r="Y1375" t="s">
        <v>20962</v>
      </c>
      <c r="Z1375" t="s">
        <v>27343</v>
      </c>
      <c r="AA1375">
        <v>0.33581993752033251</v>
      </c>
      <c r="AB1375" t="str">
        <f>HYPERLINK("Melting_Curves/meltCurve_M0QX35_PAF1.pdf", "Melting_Curves/meltCurve_M0QX35_PAF1.pdf")</f>
        <v>Melting_Curves/meltCurve_M0QX35_PAF1.pdf</v>
      </c>
    </row>
    <row r="1376" spans="1:28" x14ac:dyDescent="0.25">
      <c r="A1376" t="s">
        <v>1380</v>
      </c>
      <c r="B1376">
        <v>0.99472303558308395</v>
      </c>
      <c r="C1376">
        <v>0.91394918855811103</v>
      </c>
      <c r="D1376">
        <v>0.72502430574698296</v>
      </c>
      <c r="E1376">
        <v>0.57492851689052205</v>
      </c>
      <c r="F1376">
        <v>0.39048357171264703</v>
      </c>
      <c r="G1376">
        <v>0.23584035933330399</v>
      </c>
      <c r="H1376">
        <v>0.12605107305586499</v>
      </c>
      <c r="I1376">
        <v>0.10465619395308599</v>
      </c>
      <c r="J1376">
        <v>0.11861473173781401</v>
      </c>
      <c r="K1376">
        <v>7.5815136678039199E-2</v>
      </c>
      <c r="L1376">
        <v>543.099529342658</v>
      </c>
      <c r="M1376">
        <v>11.491414846930599</v>
      </c>
      <c r="N1376">
        <v>47.670110375142798</v>
      </c>
      <c r="O1376">
        <v>45.898053905464302</v>
      </c>
      <c r="P1376">
        <v>-5.9672184878214497E-2</v>
      </c>
      <c r="Q1376">
        <v>4.6920954584002798E-2</v>
      </c>
      <c r="R1376">
        <v>0.99492869336707601</v>
      </c>
      <c r="S1376" t="s">
        <v>7944</v>
      </c>
      <c r="T1376" t="s">
        <v>13134</v>
      </c>
      <c r="U1376" t="s">
        <v>13134</v>
      </c>
      <c r="V1376" t="s">
        <v>13134</v>
      </c>
      <c r="W1376" t="s">
        <v>14477</v>
      </c>
      <c r="X1376">
        <v>13</v>
      </c>
      <c r="Y1376" t="s">
        <v>20963</v>
      </c>
      <c r="Z1376" t="s">
        <v>27344</v>
      </c>
      <c r="AA1376">
        <v>0.40597160901172119</v>
      </c>
      <c r="AB1376" t="str">
        <f>HYPERLINK("Melting_Curves/meltCurve_M0QXA7_WIZ.pdf", "Melting_Curves/meltCurve_M0QXA7_WIZ.pdf")</f>
        <v>Melting_Curves/meltCurve_M0QXA7_WIZ.pdf</v>
      </c>
    </row>
    <row r="1377" spans="1:28" x14ac:dyDescent="0.25">
      <c r="A1377" t="s">
        <v>1381</v>
      </c>
      <c r="B1377">
        <v>0.99472303558308395</v>
      </c>
      <c r="C1377">
        <v>0.86199879084948205</v>
      </c>
      <c r="D1377">
        <v>0.71095697923751999</v>
      </c>
      <c r="E1377">
        <v>0.55595499966732898</v>
      </c>
      <c r="F1377">
        <v>0.55182860214881602</v>
      </c>
      <c r="G1377">
        <v>0.14625450327985701</v>
      </c>
      <c r="H1377">
        <v>5.4570989218678298E-2</v>
      </c>
      <c r="I1377">
        <v>3.8297500020775997E-2</v>
      </c>
      <c r="J1377">
        <v>4.3802323378091201E-2</v>
      </c>
      <c r="K1377">
        <v>3.4051245407230701E-2</v>
      </c>
      <c r="L1377">
        <v>536.39661936276696</v>
      </c>
      <c r="M1377">
        <v>11.2284842576247</v>
      </c>
      <c r="N1377">
        <v>47.771078689160703</v>
      </c>
      <c r="O1377">
        <v>46.331033109361897</v>
      </c>
      <c r="P1377">
        <v>-6.0607249287395998E-2</v>
      </c>
      <c r="Q1377">
        <v>0</v>
      </c>
      <c r="R1377">
        <v>0.95756617830310098</v>
      </c>
      <c r="S1377" t="s">
        <v>7945</v>
      </c>
      <c r="T1377" t="s">
        <v>13134</v>
      </c>
      <c r="U1377" t="s">
        <v>13134</v>
      </c>
      <c r="V1377" t="s">
        <v>13134</v>
      </c>
      <c r="W1377" t="s">
        <v>14478</v>
      </c>
      <c r="X1377">
        <v>16</v>
      </c>
      <c r="Y1377" t="s">
        <v>20964</v>
      </c>
      <c r="Z1377" t="s">
        <v>27345</v>
      </c>
      <c r="AA1377">
        <v>0.39392006100954291</v>
      </c>
      <c r="AB1377" t="str">
        <f>HYPERLINK("Melting_Curves/meltCurve_M0QXB4_COPE.pdf", "Melting_Curves/meltCurve_M0QXB4_COPE.pdf")</f>
        <v>Melting_Curves/meltCurve_M0QXB4_COPE.pdf</v>
      </c>
    </row>
    <row r="1378" spans="1:28" x14ac:dyDescent="0.25">
      <c r="A1378" t="s">
        <v>1382</v>
      </c>
      <c r="B1378">
        <v>0.99472303558308395</v>
      </c>
      <c r="C1378">
        <v>0.83285778577957104</v>
      </c>
      <c r="D1378">
        <v>0.93627750428450096</v>
      </c>
      <c r="E1378">
        <v>0.71329889383858203</v>
      </c>
      <c r="F1378">
        <v>0.39984028449462</v>
      </c>
      <c r="G1378">
        <v>0.45764252970704999</v>
      </c>
      <c r="H1378">
        <v>0.35590654986626702</v>
      </c>
      <c r="I1378">
        <v>0.26710426254502201</v>
      </c>
      <c r="J1378">
        <v>0.34744482394354598</v>
      </c>
      <c r="K1378">
        <v>0.20536435870063</v>
      </c>
      <c r="L1378">
        <v>628.69184543143501</v>
      </c>
      <c r="M1378">
        <v>13.195711519202</v>
      </c>
      <c r="N1378">
        <v>50.393804695373099</v>
      </c>
      <c r="O1378">
        <v>46.589351392675802</v>
      </c>
      <c r="P1378">
        <v>-5.2643942164253402E-2</v>
      </c>
      <c r="Q1378">
        <v>0.25665633728995702</v>
      </c>
      <c r="R1378">
        <v>0.93814913757593599</v>
      </c>
      <c r="S1378" t="s">
        <v>7946</v>
      </c>
      <c r="T1378" t="s">
        <v>13134</v>
      </c>
      <c r="U1378" t="s">
        <v>13134</v>
      </c>
      <c r="V1378" t="s">
        <v>13134</v>
      </c>
      <c r="W1378" t="s">
        <v>14479</v>
      </c>
      <c r="X1378">
        <v>6</v>
      </c>
      <c r="Y1378" t="s">
        <v>20965</v>
      </c>
      <c r="Z1378" t="s">
        <v>27346</v>
      </c>
      <c r="AA1378">
        <v>0.54081035380732179</v>
      </c>
      <c r="AB1378" t="str">
        <f>HYPERLINK("Melting_Curves/meltCurve_M0QXC2_GMFG.pdf", "Melting_Curves/meltCurve_M0QXC2_GMFG.pdf")</f>
        <v>Melting_Curves/meltCurve_M0QXC2_GMFG.pdf</v>
      </c>
    </row>
    <row r="1379" spans="1:28" x14ac:dyDescent="0.25">
      <c r="A1379" t="s">
        <v>1383</v>
      </c>
      <c r="B1379">
        <v>0.99472303558308395</v>
      </c>
      <c r="C1379">
        <v>1.0167643630485199</v>
      </c>
      <c r="D1379">
        <v>0.63044179592718097</v>
      </c>
      <c r="E1379">
        <v>0.55036405992157</v>
      </c>
      <c r="F1379">
        <v>0.54882465042078998</v>
      </c>
      <c r="G1379">
        <v>0.207836135956916</v>
      </c>
      <c r="H1379">
        <v>0.59513317689477496</v>
      </c>
      <c r="I1379">
        <v>0.11525155108100101</v>
      </c>
      <c r="J1379">
        <v>0.24516954577924699</v>
      </c>
      <c r="K1379">
        <v>0.183084665078141</v>
      </c>
      <c r="L1379">
        <v>478.66692592943502</v>
      </c>
      <c r="M1379">
        <v>10.2769585294308</v>
      </c>
      <c r="N1379">
        <v>48.915956567841398</v>
      </c>
      <c r="O1379">
        <v>44.916540939629598</v>
      </c>
      <c r="P1379">
        <v>-4.61159722141187E-2</v>
      </c>
      <c r="Q1379">
        <v>0.19413401272460401</v>
      </c>
      <c r="R1379">
        <v>0.80457900079837896</v>
      </c>
      <c r="S1379" t="s">
        <v>7947</v>
      </c>
      <c r="T1379" t="s">
        <v>13134</v>
      </c>
      <c r="U1379" t="s">
        <v>13134</v>
      </c>
      <c r="V1379" t="s">
        <v>13134</v>
      </c>
      <c r="W1379" t="s">
        <v>14480</v>
      </c>
      <c r="X1379">
        <v>1</v>
      </c>
      <c r="Y1379" t="s">
        <v>20966</v>
      </c>
      <c r="Z1379" t="s">
        <v>27347</v>
      </c>
      <c r="AA1379">
        <v>0.48579796455509738</v>
      </c>
      <c r="AB1379" t="str">
        <f>HYPERLINK("Melting_Curves/meltCurve_M0QXD0_MCOLN1.pdf", "Melting_Curves/meltCurve_M0QXD0_MCOLN1.pdf")</f>
        <v>Melting_Curves/meltCurve_M0QXD0_MCOLN1.pdf</v>
      </c>
    </row>
    <row r="1380" spans="1:28" x14ac:dyDescent="0.25">
      <c r="A1380" t="s">
        <v>1384</v>
      </c>
      <c r="B1380">
        <v>0.99472303558308395</v>
      </c>
      <c r="C1380">
        <v>0.77165213219755702</v>
      </c>
      <c r="D1380">
        <v>0.70764571105364404</v>
      </c>
      <c r="E1380">
        <v>0.51060521386827595</v>
      </c>
      <c r="F1380">
        <v>0.401507148394188</v>
      </c>
      <c r="G1380">
        <v>0.13893512711792499</v>
      </c>
      <c r="H1380">
        <v>6.9919273314295802E-2</v>
      </c>
      <c r="I1380">
        <v>4.6162975050954499E-2</v>
      </c>
      <c r="J1380">
        <v>4.95314106264719E-2</v>
      </c>
      <c r="K1380">
        <v>5.2153211810028001E-2</v>
      </c>
      <c r="L1380">
        <v>497.939100336921</v>
      </c>
      <c r="M1380">
        <v>10.694943619726001</v>
      </c>
      <c r="N1380">
        <v>46.558359608467399</v>
      </c>
      <c r="O1380">
        <v>45.019145531265899</v>
      </c>
      <c r="P1380">
        <v>-5.9413415599597799E-2</v>
      </c>
      <c r="Q1380">
        <v>0</v>
      </c>
      <c r="R1380">
        <v>0.97918237985717305</v>
      </c>
      <c r="S1380" t="s">
        <v>7948</v>
      </c>
      <c r="T1380" t="s">
        <v>13134</v>
      </c>
      <c r="U1380" t="s">
        <v>13134</v>
      </c>
      <c r="V1380" t="s">
        <v>13134</v>
      </c>
      <c r="W1380" t="s">
        <v>14481</v>
      </c>
      <c r="X1380">
        <v>10</v>
      </c>
      <c r="Y1380" t="s">
        <v>20967</v>
      </c>
      <c r="Z1380" t="s">
        <v>27348</v>
      </c>
      <c r="AA1380">
        <v>0.35888423410682818</v>
      </c>
      <c r="AB1380" t="str">
        <f>HYPERLINK("Melting_Curves/meltCurve_M0QXL5_FBL.pdf", "Melting_Curves/meltCurve_M0QXL5_FBL.pdf")</f>
        <v>Melting_Curves/meltCurve_M0QXL5_FBL.pdf</v>
      </c>
    </row>
    <row r="1381" spans="1:28" x14ac:dyDescent="0.25">
      <c r="A1381" t="s">
        <v>1385</v>
      </c>
      <c r="B1381">
        <v>0.99472303558308395</v>
      </c>
      <c r="C1381">
        <v>1.01251656556818</v>
      </c>
      <c r="D1381">
        <v>0.85038193364513204</v>
      </c>
      <c r="E1381">
        <v>0.69090376393998199</v>
      </c>
      <c r="F1381">
        <v>0.46892180554763202</v>
      </c>
      <c r="G1381">
        <v>0.31596068730796001</v>
      </c>
      <c r="H1381">
        <v>0.16096883617771399</v>
      </c>
      <c r="I1381">
        <v>0.28709794439316599</v>
      </c>
      <c r="J1381">
        <v>0.36323444978607999</v>
      </c>
      <c r="K1381">
        <v>0.30946246743678901</v>
      </c>
      <c r="L1381">
        <v>918.68482443087998</v>
      </c>
      <c r="M1381">
        <v>19.515315058590101</v>
      </c>
      <c r="N1381">
        <v>49.0753697524759</v>
      </c>
      <c r="O1381">
        <v>46.589129699009902</v>
      </c>
      <c r="P1381">
        <v>-7.5997383431705506E-2</v>
      </c>
      <c r="Q1381">
        <v>0.27430841576342702</v>
      </c>
      <c r="R1381">
        <v>0.96483931830747904</v>
      </c>
      <c r="S1381" t="s">
        <v>7949</v>
      </c>
      <c r="T1381" t="s">
        <v>13134</v>
      </c>
      <c r="U1381" t="s">
        <v>13134</v>
      </c>
      <c r="V1381" t="s">
        <v>13134</v>
      </c>
      <c r="W1381" t="s">
        <v>14482</v>
      </c>
      <c r="X1381">
        <v>4</v>
      </c>
      <c r="Y1381" t="s">
        <v>20968</v>
      </c>
      <c r="Z1381" t="s">
        <v>27349</v>
      </c>
      <c r="AA1381">
        <v>0.52798949371447668</v>
      </c>
      <c r="AB1381" t="str">
        <f>HYPERLINK("Melting_Curves/meltCurve_M0QXT0_USF2.pdf", "Melting_Curves/meltCurve_M0QXT0_USF2.pdf")</f>
        <v>Melting_Curves/meltCurve_M0QXT0_USF2.pdf</v>
      </c>
    </row>
    <row r="1382" spans="1:28" x14ac:dyDescent="0.25">
      <c r="A1382" t="s">
        <v>1386</v>
      </c>
      <c r="B1382">
        <v>0.99472303558308395</v>
      </c>
      <c r="C1382">
        <v>1.0655646539722301</v>
      </c>
      <c r="D1382">
        <v>0.98696528361125602</v>
      </c>
      <c r="E1382">
        <v>1.02368628060359</v>
      </c>
      <c r="F1382">
        <v>0.86947269835254604</v>
      </c>
      <c r="G1382">
        <v>0.76033162907934604</v>
      </c>
      <c r="H1382">
        <v>0.73816880837644705</v>
      </c>
      <c r="I1382">
        <v>0.94381395476199703</v>
      </c>
      <c r="J1382">
        <v>1.35939134972368</v>
      </c>
      <c r="K1382">
        <v>1.01390970876384</v>
      </c>
      <c r="L1382">
        <v>1365.72014760403</v>
      </c>
      <c r="M1382">
        <v>21.306810718334201</v>
      </c>
      <c r="O1382">
        <v>63.5411934681552</v>
      </c>
      <c r="P1382">
        <v>1.47026798482137E-2</v>
      </c>
      <c r="Q1382">
        <v>1.1753810016705699</v>
      </c>
      <c r="R1382">
        <v>7.7977669069318994E-2</v>
      </c>
      <c r="S1382" t="s">
        <v>7950</v>
      </c>
      <c r="T1382" t="s">
        <v>13134</v>
      </c>
      <c r="U1382" t="s">
        <v>13134</v>
      </c>
      <c r="V1382" t="s">
        <v>13134</v>
      </c>
      <c r="W1382" t="s">
        <v>14483</v>
      </c>
      <c r="X1382">
        <v>6</v>
      </c>
      <c r="Y1382" t="s">
        <v>20969</v>
      </c>
      <c r="Z1382" t="s">
        <v>27350</v>
      </c>
      <c r="AA1382">
        <v>1.0214103368892029</v>
      </c>
      <c r="AB1382" t="str">
        <f>HYPERLINK("Melting_Curves/meltCurve_M0QXZ5_ZNF428.pdf", "Melting_Curves/meltCurve_M0QXZ5_ZNF428.pdf")</f>
        <v>Melting_Curves/meltCurve_M0QXZ5_ZNF428.pdf</v>
      </c>
    </row>
    <row r="1383" spans="1:28" x14ac:dyDescent="0.25">
      <c r="A1383" t="s">
        <v>1387</v>
      </c>
      <c r="B1383">
        <v>0.99472303558308395</v>
      </c>
      <c r="C1383">
        <v>1.0469403903521399</v>
      </c>
      <c r="D1383">
        <v>0.90664342763628802</v>
      </c>
      <c r="E1383">
        <v>0.80734275435042802</v>
      </c>
      <c r="F1383">
        <v>0.39135983881525599</v>
      </c>
      <c r="G1383">
        <v>0.14253991632757701</v>
      </c>
      <c r="H1383">
        <v>0.110911829151514</v>
      </c>
      <c r="I1383">
        <v>7.8643986187588499E-2</v>
      </c>
      <c r="J1383">
        <v>7.8523265323766606E-2</v>
      </c>
      <c r="K1383">
        <v>6.6597947484976897E-2</v>
      </c>
      <c r="L1383">
        <v>1214.6685095349301</v>
      </c>
      <c r="M1383">
        <v>24.836529095551899</v>
      </c>
      <c r="N1383">
        <v>49.213518283761701</v>
      </c>
      <c r="O1383">
        <v>48.592767738563403</v>
      </c>
      <c r="P1383">
        <v>-0.118611307993903</v>
      </c>
      <c r="Q1383">
        <v>7.1758561573490198E-2</v>
      </c>
      <c r="R1383">
        <v>0.99536171343894397</v>
      </c>
      <c r="S1383" t="s">
        <v>7951</v>
      </c>
      <c r="T1383" t="s">
        <v>13134</v>
      </c>
      <c r="U1383" t="s">
        <v>13134</v>
      </c>
      <c r="V1383" t="s">
        <v>13134</v>
      </c>
      <c r="W1383" t="s">
        <v>14484</v>
      </c>
      <c r="X1383">
        <v>1</v>
      </c>
      <c r="Y1383" t="s">
        <v>20970</v>
      </c>
      <c r="Z1383" t="s">
        <v>27351</v>
      </c>
      <c r="AA1383">
        <v>0.44827728678911399</v>
      </c>
      <c r="AB1383" t="str">
        <f>HYPERLINK("Melting_Curves/meltCurve_M0QY01_EPS15L1.pdf", "Melting_Curves/meltCurve_M0QY01_EPS15L1.pdf")</f>
        <v>Melting_Curves/meltCurve_M0QY01_EPS15L1.pdf</v>
      </c>
    </row>
    <row r="1384" spans="1:28" x14ac:dyDescent="0.25">
      <c r="A1384" t="s">
        <v>1388</v>
      </c>
      <c r="B1384">
        <v>0.99472303558308395</v>
      </c>
      <c r="C1384">
        <v>1.03096858308717</v>
      </c>
      <c r="D1384">
        <v>0.91837601242353994</v>
      </c>
      <c r="E1384">
        <v>0.75567531607850502</v>
      </c>
      <c r="F1384">
        <v>0.72306091523602101</v>
      </c>
      <c r="G1384">
        <v>0.56147560092650906</v>
      </c>
      <c r="H1384">
        <v>0.53303075181002502</v>
      </c>
      <c r="I1384">
        <v>0.67422396556323105</v>
      </c>
      <c r="J1384">
        <v>0.89967525969732198</v>
      </c>
      <c r="K1384">
        <v>0.85203047490101902</v>
      </c>
      <c r="L1384">
        <v>1636.3729655929301</v>
      </c>
      <c r="M1384">
        <v>36.966985006529498</v>
      </c>
      <c r="O1384">
        <v>44.136855224536703</v>
      </c>
      <c r="P1384">
        <v>-6.12339189247968E-2</v>
      </c>
      <c r="Q1384">
        <v>0.70755906640481803</v>
      </c>
      <c r="R1384">
        <v>0.58276215724087899</v>
      </c>
      <c r="S1384" t="s">
        <v>7952</v>
      </c>
      <c r="T1384" t="s">
        <v>13134</v>
      </c>
      <c r="U1384" t="s">
        <v>13134</v>
      </c>
      <c r="V1384" t="s">
        <v>13134</v>
      </c>
      <c r="W1384" t="s">
        <v>14485</v>
      </c>
      <c r="X1384">
        <v>18</v>
      </c>
      <c r="Y1384" t="s">
        <v>20971</v>
      </c>
      <c r="Z1384" t="s">
        <v>27352</v>
      </c>
      <c r="AA1384">
        <v>0.77944120958028695</v>
      </c>
      <c r="AB1384" t="str">
        <f>HYPERLINK("Melting_Curves/meltCurve_M0QY97_ZC3H4.pdf", "Melting_Curves/meltCurve_M0QY97_ZC3H4.pdf")</f>
        <v>Melting_Curves/meltCurve_M0QY97_ZC3H4.pdf</v>
      </c>
    </row>
    <row r="1385" spans="1:28" x14ac:dyDescent="0.25">
      <c r="A1385" t="s">
        <v>1389</v>
      </c>
      <c r="B1385">
        <v>0.99472303558308395</v>
      </c>
      <c r="C1385">
        <v>0.92274441813796704</v>
      </c>
      <c r="D1385">
        <v>0.85788247580760402</v>
      </c>
      <c r="E1385">
        <v>0.39197498747769799</v>
      </c>
      <c r="F1385">
        <v>0.20161418077072699</v>
      </c>
      <c r="G1385">
        <v>9.6076106156750399E-2</v>
      </c>
      <c r="H1385">
        <v>5.9719516406871002E-2</v>
      </c>
      <c r="I1385">
        <v>4.6025349232781197E-2</v>
      </c>
      <c r="J1385">
        <v>6.4171881711183598E-2</v>
      </c>
      <c r="K1385">
        <v>4.3069696099666703E-2</v>
      </c>
      <c r="L1385">
        <v>1032.0914375048401</v>
      </c>
      <c r="M1385">
        <v>22.575653770557</v>
      </c>
      <c r="N1385">
        <v>45.957308543405297</v>
      </c>
      <c r="O1385">
        <v>45.3628158504605</v>
      </c>
      <c r="P1385">
        <v>-0.11749318292469201</v>
      </c>
      <c r="Q1385">
        <v>5.5670118354417202E-2</v>
      </c>
      <c r="R1385">
        <v>0.99541021220382198</v>
      </c>
      <c r="S1385" t="s">
        <v>7953</v>
      </c>
      <c r="T1385" t="s">
        <v>13134</v>
      </c>
      <c r="U1385" t="s">
        <v>13134</v>
      </c>
      <c r="V1385" t="s">
        <v>13134</v>
      </c>
      <c r="W1385" t="s">
        <v>14486</v>
      </c>
      <c r="X1385">
        <v>1</v>
      </c>
      <c r="Y1385" t="s">
        <v>20972</v>
      </c>
      <c r="Z1385" t="s">
        <v>27353</v>
      </c>
      <c r="AA1385">
        <v>0.3396881261999492</v>
      </c>
      <c r="AB1385" t="str">
        <f>HYPERLINK("Melting_Curves/meltCurve_M0QYI9_C19orf60.pdf", "Melting_Curves/meltCurve_M0QYI9_C19orf60.pdf")</f>
        <v>Melting_Curves/meltCurve_M0QYI9_C19orf60.pdf</v>
      </c>
    </row>
    <row r="1386" spans="1:28" x14ac:dyDescent="0.25">
      <c r="A1386" t="s">
        <v>1390</v>
      </c>
      <c r="B1386">
        <v>0.99472303558308395</v>
      </c>
      <c r="C1386">
        <v>1.12697360703261</v>
      </c>
      <c r="D1386">
        <v>0.87964727964911504</v>
      </c>
      <c r="E1386">
        <v>0.84527681578115899</v>
      </c>
      <c r="F1386">
        <v>0.91736587593103802</v>
      </c>
      <c r="G1386">
        <v>0.53972880273189205</v>
      </c>
      <c r="H1386">
        <v>0.38498213543523102</v>
      </c>
      <c r="I1386">
        <v>0.18009814931984799</v>
      </c>
      <c r="J1386">
        <v>0.19035530391988101</v>
      </c>
      <c r="K1386">
        <v>0.186515246453964</v>
      </c>
      <c r="L1386">
        <v>1010.46221319843</v>
      </c>
      <c r="M1386">
        <v>18.733811050419</v>
      </c>
      <c r="N1386">
        <v>54.916577859719197</v>
      </c>
      <c r="O1386">
        <v>53.334561748434503</v>
      </c>
      <c r="P1386">
        <v>-7.5353345611463105E-2</v>
      </c>
      <c r="Q1386">
        <v>0.14192188423996699</v>
      </c>
      <c r="R1386">
        <v>0.95501038324308196</v>
      </c>
      <c r="S1386" t="s">
        <v>7954</v>
      </c>
      <c r="T1386" t="s">
        <v>13134</v>
      </c>
      <c r="U1386" t="s">
        <v>13134</v>
      </c>
      <c r="V1386" t="s">
        <v>13134</v>
      </c>
      <c r="W1386" t="s">
        <v>14487</v>
      </c>
      <c r="X1386">
        <v>8</v>
      </c>
      <c r="Y1386" t="s">
        <v>20973</v>
      </c>
      <c r="Z1386" t="s">
        <v>27354</v>
      </c>
      <c r="AA1386">
        <v>0.6376790887819721</v>
      </c>
      <c r="AB1386" t="str">
        <f>HYPERLINK("Melting_Curves/meltCurve_M0QYM7_TUBB4A.pdf", "Melting_Curves/meltCurve_M0QYM7_TUBB4A.pdf")</f>
        <v>Melting_Curves/meltCurve_M0QYM7_TUBB4A.pdf</v>
      </c>
    </row>
    <row r="1387" spans="1:28" x14ac:dyDescent="0.25">
      <c r="A1387" t="s">
        <v>1391</v>
      </c>
      <c r="B1387">
        <v>0.99472303558308395</v>
      </c>
      <c r="C1387">
        <v>0.98264923321325703</v>
      </c>
      <c r="D1387">
        <v>0.87684073312107802</v>
      </c>
      <c r="E1387">
        <v>0.79018438310913597</v>
      </c>
      <c r="F1387">
        <v>0.79314504500614003</v>
      </c>
      <c r="G1387">
        <v>0.35313026372897699</v>
      </c>
      <c r="H1387">
        <v>0.18550600856903099</v>
      </c>
      <c r="I1387">
        <v>0.106582112417779</v>
      </c>
      <c r="J1387">
        <v>9.7972513419247495E-2</v>
      </c>
      <c r="K1387">
        <v>9.1808923638105194E-2</v>
      </c>
      <c r="L1387">
        <v>853.62262046883802</v>
      </c>
      <c r="M1387">
        <v>16.370547608836201</v>
      </c>
      <c r="N1387">
        <v>52.413727195183398</v>
      </c>
      <c r="O1387">
        <v>51.384345193788498</v>
      </c>
      <c r="P1387">
        <v>-7.6433266330677499E-2</v>
      </c>
      <c r="Q1387">
        <v>4.0425058094153803E-2</v>
      </c>
      <c r="R1387">
        <v>0.97300032320007601</v>
      </c>
      <c r="S1387" t="s">
        <v>7955</v>
      </c>
      <c r="T1387" t="s">
        <v>13134</v>
      </c>
      <c r="U1387" t="s">
        <v>13134</v>
      </c>
      <c r="V1387" t="s">
        <v>13134</v>
      </c>
      <c r="W1387" t="s">
        <v>14488</v>
      </c>
      <c r="X1387">
        <v>6</v>
      </c>
      <c r="Y1387" t="s">
        <v>20974</v>
      </c>
      <c r="Z1387" t="s">
        <v>27355</v>
      </c>
      <c r="AA1387">
        <v>0.54120730773059611</v>
      </c>
      <c r="AB1387" t="str">
        <f>HYPERLINK("Melting_Curves/meltCurve_M0QYS1_RPL13A.pdf", "Melting_Curves/meltCurve_M0QYS1_RPL13A.pdf")</f>
        <v>Melting_Curves/meltCurve_M0QYS1_RPL13A.pdf</v>
      </c>
    </row>
    <row r="1388" spans="1:28" x14ac:dyDescent="0.25">
      <c r="A1388" t="s">
        <v>1392</v>
      </c>
      <c r="B1388">
        <v>0.99472303558308395</v>
      </c>
      <c r="C1388">
        <v>0.88049356105293397</v>
      </c>
      <c r="D1388">
        <v>0.83792411107720099</v>
      </c>
      <c r="E1388">
        <v>0.63080935346429801</v>
      </c>
      <c r="F1388">
        <v>0.41422916203552601</v>
      </c>
      <c r="G1388">
        <v>0.208753872030847</v>
      </c>
      <c r="H1388">
        <v>0.16683276319158699</v>
      </c>
      <c r="I1388">
        <v>8.6886754066397301E-2</v>
      </c>
      <c r="J1388">
        <v>0.11165318887952499</v>
      </c>
      <c r="K1388">
        <v>0.120727968887061</v>
      </c>
      <c r="L1388">
        <v>635.44796410827996</v>
      </c>
      <c r="M1388">
        <v>13.280743938873799</v>
      </c>
      <c r="N1388">
        <v>48.397935326518997</v>
      </c>
      <c r="O1388">
        <v>46.801517270026203</v>
      </c>
      <c r="P1388">
        <v>-6.5978382140719799E-2</v>
      </c>
      <c r="Q1388">
        <v>7.0116400471507204E-2</v>
      </c>
      <c r="R1388">
        <v>0.99347312078393601</v>
      </c>
      <c r="S1388" t="s">
        <v>7956</v>
      </c>
      <c r="T1388" t="s">
        <v>13134</v>
      </c>
      <c r="U1388" t="s">
        <v>13134</v>
      </c>
      <c r="V1388" t="s">
        <v>13134</v>
      </c>
      <c r="W1388" t="s">
        <v>14489</v>
      </c>
      <c r="X1388">
        <v>4</v>
      </c>
      <c r="Y1388" t="s">
        <v>20975</v>
      </c>
      <c r="Z1388" t="s">
        <v>27356</v>
      </c>
      <c r="AA1388">
        <v>0.4314438872004544</v>
      </c>
      <c r="AB1388" t="str">
        <f>HYPERLINK("Melting_Curves/meltCurve_M0QZ09_SIRT6.pdf", "Melting_Curves/meltCurve_M0QZ09_SIRT6.pdf")</f>
        <v>Melting_Curves/meltCurve_M0QZ09_SIRT6.pdf</v>
      </c>
    </row>
    <row r="1389" spans="1:28" x14ac:dyDescent="0.25">
      <c r="A1389" t="s">
        <v>1393</v>
      </c>
      <c r="B1389">
        <v>0.99472303558308395</v>
      </c>
      <c r="C1389">
        <v>0.91839276798207403</v>
      </c>
      <c r="D1389">
        <v>0.90520677218134504</v>
      </c>
      <c r="E1389">
        <v>0.74874265123193295</v>
      </c>
      <c r="F1389">
        <v>0.58203356651006799</v>
      </c>
      <c r="G1389">
        <v>0.41897136242097299</v>
      </c>
      <c r="H1389">
        <v>0.204265744282324</v>
      </c>
      <c r="I1389">
        <v>0.26103300553780001</v>
      </c>
      <c r="J1389">
        <v>0.25114769176596002</v>
      </c>
      <c r="K1389">
        <v>0.13025197999809501</v>
      </c>
      <c r="L1389">
        <v>598.71194218187895</v>
      </c>
      <c r="M1389">
        <v>11.9301225076387</v>
      </c>
      <c r="N1389">
        <v>51.490621769658603</v>
      </c>
      <c r="O1389">
        <v>48.837184758710798</v>
      </c>
      <c r="P1389">
        <v>-5.3112593330357602E-2</v>
      </c>
      <c r="Q1389">
        <v>0.13052692448314601</v>
      </c>
      <c r="R1389">
        <v>0.983147357316555</v>
      </c>
      <c r="S1389" t="s">
        <v>7957</v>
      </c>
      <c r="T1389" t="s">
        <v>13134</v>
      </c>
      <c r="U1389" t="s">
        <v>13134</v>
      </c>
      <c r="V1389" t="s">
        <v>13134</v>
      </c>
      <c r="W1389" t="s">
        <v>14490</v>
      </c>
      <c r="X1389">
        <v>6</v>
      </c>
      <c r="Y1389" t="s">
        <v>20976</v>
      </c>
      <c r="Z1389" t="s">
        <v>27357</v>
      </c>
      <c r="AA1389">
        <v>0.53685812169307612</v>
      </c>
      <c r="AB1389" t="str">
        <f>HYPERLINK("Melting_Curves/meltCurve_M0QZ12_GRAMD1A.pdf", "Melting_Curves/meltCurve_M0QZ12_GRAMD1A.pdf")</f>
        <v>Melting_Curves/meltCurve_M0QZ12_GRAMD1A.pdf</v>
      </c>
    </row>
    <row r="1390" spans="1:28" x14ac:dyDescent="0.25">
      <c r="A1390" t="s">
        <v>1394</v>
      </c>
      <c r="B1390">
        <v>0.99472303558308395</v>
      </c>
      <c r="C1390">
        <v>0.954965911100776</v>
      </c>
      <c r="D1390">
        <v>0.84721332290906404</v>
      </c>
      <c r="E1390">
        <v>0.56459379297200296</v>
      </c>
      <c r="F1390">
        <v>0.31143338648156699</v>
      </c>
      <c r="G1390">
        <v>0.14877915310638501</v>
      </c>
      <c r="H1390">
        <v>9.1820526559703894E-2</v>
      </c>
      <c r="I1390">
        <v>6.4929391385898996E-2</v>
      </c>
      <c r="J1390">
        <v>6.9170296031625098E-2</v>
      </c>
      <c r="K1390">
        <v>5.7609770341669198E-2</v>
      </c>
      <c r="L1390">
        <v>794.16276184632</v>
      </c>
      <c r="M1390">
        <v>16.8460745072199</v>
      </c>
      <c r="N1390">
        <v>47.440578129694501</v>
      </c>
      <c r="O1390">
        <v>46.493038487198802</v>
      </c>
      <c r="P1390">
        <v>-8.6037511809759604E-2</v>
      </c>
      <c r="Q1390">
        <v>5.0250216103018101E-2</v>
      </c>
      <c r="R1390">
        <v>0.99975290040241604</v>
      </c>
      <c r="S1390" t="s">
        <v>7958</v>
      </c>
      <c r="T1390" t="s">
        <v>13134</v>
      </c>
      <c r="U1390" t="s">
        <v>13134</v>
      </c>
      <c r="V1390" t="s">
        <v>13134</v>
      </c>
      <c r="W1390" t="s">
        <v>14491</v>
      </c>
      <c r="X1390">
        <v>3</v>
      </c>
      <c r="Y1390" t="s">
        <v>20977</v>
      </c>
      <c r="Z1390" t="s">
        <v>27358</v>
      </c>
      <c r="AA1390">
        <v>0.3885952361018728</v>
      </c>
      <c r="AB1390" t="str">
        <f>HYPERLINK("Melting_Curves/meltCurve_M0QZ22_SAMD4B.pdf", "Melting_Curves/meltCurve_M0QZ22_SAMD4B.pdf")</f>
        <v>Melting_Curves/meltCurve_M0QZ22_SAMD4B.pdf</v>
      </c>
    </row>
    <row r="1391" spans="1:28" x14ac:dyDescent="0.25">
      <c r="A1391" t="s">
        <v>1395</v>
      </c>
      <c r="B1391">
        <v>0.99472303558308395</v>
      </c>
      <c r="C1391">
        <v>1.01784593947399</v>
      </c>
      <c r="D1391">
        <v>0.92829973299534396</v>
      </c>
      <c r="E1391">
        <v>0.79928846674329601</v>
      </c>
      <c r="F1391">
        <v>0.62074166326881997</v>
      </c>
      <c r="G1391">
        <v>0.406904606952043</v>
      </c>
      <c r="H1391">
        <v>0.31848156633718899</v>
      </c>
      <c r="I1391">
        <v>0.342465273831077</v>
      </c>
      <c r="J1391">
        <v>0.42836405478995898</v>
      </c>
      <c r="K1391">
        <v>0.35455237037198001</v>
      </c>
      <c r="L1391">
        <v>982.24306492264395</v>
      </c>
      <c r="M1391">
        <v>20.170890632280599</v>
      </c>
      <c r="N1391">
        <v>51.773921630112497</v>
      </c>
      <c r="O1391">
        <v>48.225023234054497</v>
      </c>
      <c r="P1391">
        <v>-6.8046714339649095E-2</v>
      </c>
      <c r="Q1391">
        <v>0.34926996656779102</v>
      </c>
      <c r="R1391">
        <v>0.98187968179415996</v>
      </c>
      <c r="S1391" t="s">
        <v>7959</v>
      </c>
      <c r="T1391" t="s">
        <v>13134</v>
      </c>
      <c r="U1391" t="s">
        <v>13134</v>
      </c>
      <c r="V1391" t="s">
        <v>13134</v>
      </c>
      <c r="W1391" t="s">
        <v>14492</v>
      </c>
      <c r="X1391">
        <v>8</v>
      </c>
      <c r="Y1391" t="s">
        <v>20978</v>
      </c>
      <c r="Z1391" t="s">
        <v>27359</v>
      </c>
      <c r="AA1391">
        <v>0.611403758660365</v>
      </c>
      <c r="AB1391" t="str">
        <f>HYPERLINK("Melting_Curves/meltCurve_M0QZ43_HRC.pdf", "Melting_Curves/meltCurve_M0QZ43_HRC.pdf")</f>
        <v>Melting_Curves/meltCurve_M0QZ43_HRC.pdf</v>
      </c>
    </row>
    <row r="1392" spans="1:28" x14ac:dyDescent="0.25">
      <c r="A1392" t="s">
        <v>1396</v>
      </c>
      <c r="B1392">
        <v>0.99472303558308395</v>
      </c>
      <c r="C1392">
        <v>0.94929826406052698</v>
      </c>
      <c r="D1392">
        <v>0.791169361676341</v>
      </c>
      <c r="E1392">
        <v>0.55266879768458599</v>
      </c>
      <c r="F1392">
        <v>0.24429389250517</v>
      </c>
      <c r="G1392">
        <v>0.15274130601061101</v>
      </c>
      <c r="H1392">
        <v>8.7258676744017494E-2</v>
      </c>
      <c r="I1392">
        <v>9.3063720987133502E-2</v>
      </c>
      <c r="J1392">
        <v>8.1163045146516705E-2</v>
      </c>
      <c r="K1392">
        <v>7.4648228246311704E-2</v>
      </c>
      <c r="L1392">
        <v>804.34747978433802</v>
      </c>
      <c r="M1392">
        <v>17.313393212177701</v>
      </c>
      <c r="N1392">
        <v>46.853752245702999</v>
      </c>
      <c r="O1392">
        <v>45.8515985692284</v>
      </c>
      <c r="P1392">
        <v>-8.7984338423218594E-2</v>
      </c>
      <c r="Q1392">
        <v>6.8006897734385896E-2</v>
      </c>
      <c r="R1392">
        <v>0.99810015065930002</v>
      </c>
      <c r="S1392" t="s">
        <v>7960</v>
      </c>
      <c r="T1392" t="s">
        <v>13134</v>
      </c>
      <c r="U1392" t="s">
        <v>13134</v>
      </c>
      <c r="V1392" t="s">
        <v>13134</v>
      </c>
      <c r="W1392" t="s">
        <v>14493</v>
      </c>
      <c r="X1392">
        <v>15</v>
      </c>
      <c r="Y1392" t="s">
        <v>20979</v>
      </c>
      <c r="Z1392" t="s">
        <v>27360</v>
      </c>
      <c r="AA1392">
        <v>0.37802517073865238</v>
      </c>
      <c r="AB1392" t="str">
        <f>HYPERLINK("Melting_Curves/meltCurve_M0QZI3_FCHO1.pdf", "Melting_Curves/meltCurve_M0QZI3_FCHO1.pdf")</f>
        <v>Melting_Curves/meltCurve_M0QZI3_FCHO1.pdf</v>
      </c>
    </row>
    <row r="1393" spans="1:28" x14ac:dyDescent="0.25">
      <c r="A1393" t="s">
        <v>1397</v>
      </c>
      <c r="B1393">
        <v>0.99472303558308395</v>
      </c>
      <c r="C1393">
        <v>1.0871686518991199</v>
      </c>
      <c r="D1393">
        <v>0.84880781333753297</v>
      </c>
      <c r="E1393">
        <v>0.59344599819657295</v>
      </c>
      <c r="F1393">
        <v>0.19202695196387101</v>
      </c>
      <c r="G1393">
        <v>0.120737042359693</v>
      </c>
      <c r="H1393">
        <v>0.11048073278425501</v>
      </c>
      <c r="I1393">
        <v>0.17249458310996299</v>
      </c>
      <c r="J1393">
        <v>6.7554841514776406E-2</v>
      </c>
      <c r="K1393">
        <v>8.1525689013061897E-2</v>
      </c>
      <c r="L1393">
        <v>1214.0559526822699</v>
      </c>
      <c r="M1393">
        <v>26.008225539994601</v>
      </c>
      <c r="N1393">
        <v>47.0819681485006</v>
      </c>
      <c r="O1393">
        <v>46.4063454965994</v>
      </c>
      <c r="P1393">
        <v>-0.12615427739021301</v>
      </c>
      <c r="Q1393">
        <v>9.9624591096866194E-2</v>
      </c>
      <c r="R1393">
        <v>0.985372139737546</v>
      </c>
      <c r="S1393" t="s">
        <v>7961</v>
      </c>
      <c r="T1393" t="s">
        <v>13134</v>
      </c>
      <c r="U1393" t="s">
        <v>13134</v>
      </c>
      <c r="V1393" t="s">
        <v>13134</v>
      </c>
      <c r="W1393" t="s">
        <v>14494</v>
      </c>
      <c r="X1393">
        <v>21</v>
      </c>
      <c r="Y1393" t="s">
        <v>20980</v>
      </c>
      <c r="Z1393" t="s">
        <v>27361</v>
      </c>
      <c r="AA1393">
        <v>0.39708466991608798</v>
      </c>
      <c r="AB1393" t="str">
        <f>HYPERLINK("Melting_Curves/meltCurve_M0QZM1_HNRNPM.pdf", "Melting_Curves/meltCurve_M0QZM1_HNRNPM.pdf")</f>
        <v>Melting_Curves/meltCurve_M0QZM1_HNRNPM.pdf</v>
      </c>
    </row>
    <row r="1394" spans="1:28" x14ac:dyDescent="0.25">
      <c r="A1394" t="s">
        <v>1398</v>
      </c>
      <c r="B1394">
        <v>0.99472303558308395</v>
      </c>
      <c r="C1394">
        <v>1.0010169596434899</v>
      </c>
      <c r="D1394">
        <v>0.83934236665069295</v>
      </c>
      <c r="E1394">
        <v>0.807219888735624</v>
      </c>
      <c r="F1394">
        <v>0.53530398032438797</v>
      </c>
      <c r="G1394">
        <v>0.174228469754446</v>
      </c>
      <c r="H1394">
        <v>0.115145767530835</v>
      </c>
      <c r="I1394">
        <v>7.7213638343192906E-2</v>
      </c>
      <c r="J1394">
        <v>0.120686809337976</v>
      </c>
      <c r="K1394">
        <v>5.8620724331717403E-2</v>
      </c>
      <c r="L1394">
        <v>936.58963621498697</v>
      </c>
      <c r="M1394">
        <v>18.846150509297999</v>
      </c>
      <c r="N1394">
        <v>50.018511848254597</v>
      </c>
      <c r="O1394">
        <v>49.147202917932098</v>
      </c>
      <c r="P1394">
        <v>-9.0394116023875398E-2</v>
      </c>
      <c r="Q1394">
        <v>5.71156495466313E-2</v>
      </c>
      <c r="R1394">
        <v>0.98461559959441103</v>
      </c>
      <c r="S1394" t="s">
        <v>7962</v>
      </c>
      <c r="T1394" t="s">
        <v>13134</v>
      </c>
      <c r="U1394" t="s">
        <v>13134</v>
      </c>
      <c r="V1394" t="s">
        <v>13134</v>
      </c>
      <c r="W1394" t="s">
        <v>14495</v>
      </c>
      <c r="X1394">
        <v>1</v>
      </c>
      <c r="Y1394" t="s">
        <v>20981</v>
      </c>
      <c r="Z1394" t="s">
        <v>27362</v>
      </c>
      <c r="AA1394">
        <v>0.46994750831764021</v>
      </c>
      <c r="AB1394" t="str">
        <f>HYPERLINK("Melting_Curves/meltCurve_M0QZP3_SPHK2.pdf", "Melting_Curves/meltCurve_M0QZP3_SPHK2.pdf")</f>
        <v>Melting_Curves/meltCurve_M0QZP3_SPHK2.pdf</v>
      </c>
    </row>
    <row r="1395" spans="1:28" x14ac:dyDescent="0.25">
      <c r="A1395" t="s">
        <v>1399</v>
      </c>
      <c r="B1395">
        <v>0.99472303558308395</v>
      </c>
      <c r="C1395">
        <v>0.94192185708560905</v>
      </c>
      <c r="D1395">
        <v>0.854799653771534</v>
      </c>
      <c r="E1395">
        <v>0.42902839040412599</v>
      </c>
      <c r="F1395">
        <v>0.13681312431505899</v>
      </c>
      <c r="G1395">
        <v>7.7786432845565301E-2</v>
      </c>
      <c r="H1395">
        <v>4.2560991312367201E-2</v>
      </c>
      <c r="I1395">
        <v>2.7465518397544599E-2</v>
      </c>
      <c r="J1395">
        <v>3.3902283136949103E-2</v>
      </c>
      <c r="K1395">
        <v>2.6745525309209799E-2</v>
      </c>
      <c r="L1395">
        <v>1099.8426714785901</v>
      </c>
      <c r="M1395">
        <v>23.9505702961177</v>
      </c>
      <c r="N1395">
        <v>46.049401783135799</v>
      </c>
      <c r="O1395">
        <v>45.604800688292599</v>
      </c>
      <c r="P1395">
        <v>-0.12706661956825399</v>
      </c>
      <c r="Q1395">
        <v>3.2213940755128102E-2</v>
      </c>
      <c r="R1395">
        <v>0.99889114792719902</v>
      </c>
      <c r="S1395" t="s">
        <v>7963</v>
      </c>
      <c r="T1395" t="s">
        <v>13134</v>
      </c>
      <c r="U1395" t="s">
        <v>13134</v>
      </c>
      <c r="V1395" t="s">
        <v>13134</v>
      </c>
      <c r="W1395" t="s">
        <v>14496</v>
      </c>
      <c r="X1395">
        <v>41</v>
      </c>
      <c r="Y1395" t="s">
        <v>20982</v>
      </c>
      <c r="Z1395" t="s">
        <v>27363</v>
      </c>
      <c r="AA1395">
        <v>0.32876179461956567</v>
      </c>
      <c r="AB1395" t="str">
        <f>HYPERLINK("Melting_Curves/meltCurve_M0QZR4_ARHGEF1.pdf", "Melting_Curves/meltCurve_M0QZR4_ARHGEF1.pdf")</f>
        <v>Melting_Curves/meltCurve_M0QZR4_ARHGEF1.pdf</v>
      </c>
    </row>
    <row r="1396" spans="1:28" x14ac:dyDescent="0.25">
      <c r="A1396" t="s">
        <v>1400</v>
      </c>
      <c r="B1396">
        <v>0.99472303558308395</v>
      </c>
      <c r="C1396">
        <v>0.81636799184961895</v>
      </c>
      <c r="D1396">
        <v>0.76380176903797403</v>
      </c>
      <c r="E1396">
        <v>0.35912620014482499</v>
      </c>
      <c r="F1396">
        <v>0.143416588398428</v>
      </c>
      <c r="G1396">
        <v>7.0837643061770997E-2</v>
      </c>
      <c r="H1396">
        <v>5.7860259945390499E-2</v>
      </c>
      <c r="I1396">
        <v>4.8245977847828601E-2</v>
      </c>
      <c r="J1396">
        <v>6.0228234389143702E-2</v>
      </c>
      <c r="K1396">
        <v>4.6008568359180803E-2</v>
      </c>
      <c r="L1396">
        <v>813.39886631981699</v>
      </c>
      <c r="M1396">
        <v>18.101628338893502</v>
      </c>
      <c r="N1396">
        <v>45.132196927938203</v>
      </c>
      <c r="O1396">
        <v>44.397483770608197</v>
      </c>
      <c r="P1396">
        <v>-9.8060612578019998E-2</v>
      </c>
      <c r="Q1396">
        <v>3.8001601754207297E-2</v>
      </c>
      <c r="R1396">
        <v>0.98927242826190198</v>
      </c>
      <c r="S1396" t="s">
        <v>7964</v>
      </c>
      <c r="T1396" t="s">
        <v>13134</v>
      </c>
      <c r="U1396" t="s">
        <v>13134</v>
      </c>
      <c r="V1396" t="s">
        <v>13134</v>
      </c>
      <c r="W1396" t="s">
        <v>14497</v>
      </c>
      <c r="X1396">
        <v>8</v>
      </c>
      <c r="Y1396" t="s">
        <v>20983</v>
      </c>
      <c r="Z1396" t="s">
        <v>27364</v>
      </c>
      <c r="AA1396">
        <v>0.30805543682633463</v>
      </c>
      <c r="AB1396" t="str">
        <f>HYPERLINK("Melting_Curves/meltCurve_M0QZW1_PRKD2.pdf", "Melting_Curves/meltCurve_M0QZW1_PRKD2.pdf")</f>
        <v>Melting_Curves/meltCurve_M0QZW1_PRKD2.pdf</v>
      </c>
    </row>
    <row r="1397" spans="1:28" x14ac:dyDescent="0.25">
      <c r="A1397" t="s">
        <v>1401</v>
      </c>
      <c r="B1397">
        <v>0.99472303558308395</v>
      </c>
      <c r="C1397">
        <v>0.98337806488120605</v>
      </c>
      <c r="D1397">
        <v>0.86650670619027303</v>
      </c>
      <c r="E1397">
        <v>0.78579728484330902</v>
      </c>
      <c r="F1397">
        <v>0.83493130441325403</v>
      </c>
      <c r="G1397">
        <v>0.46647589910906201</v>
      </c>
      <c r="H1397">
        <v>0.39418570762775901</v>
      </c>
      <c r="I1397">
        <v>0.194914411656749</v>
      </c>
      <c r="J1397">
        <v>0.165925025203184</v>
      </c>
      <c r="K1397">
        <v>0.15905600216243601</v>
      </c>
      <c r="L1397">
        <v>558.85540445027596</v>
      </c>
      <c r="M1397">
        <v>10.278587979515301</v>
      </c>
      <c r="N1397">
        <v>54.370834124867002</v>
      </c>
      <c r="O1397">
        <v>52.4334293254296</v>
      </c>
      <c r="P1397">
        <v>-4.9029256489544398E-2</v>
      </c>
      <c r="Q1397">
        <v>0</v>
      </c>
      <c r="R1397">
        <v>0.96721948911694799</v>
      </c>
      <c r="S1397" t="s">
        <v>7965</v>
      </c>
      <c r="T1397" t="s">
        <v>13134</v>
      </c>
      <c r="U1397" t="s">
        <v>13134</v>
      </c>
      <c r="V1397" t="s">
        <v>13134</v>
      </c>
      <c r="W1397" t="s">
        <v>14487</v>
      </c>
      <c r="X1397">
        <v>7</v>
      </c>
      <c r="Y1397" t="s">
        <v>20973</v>
      </c>
      <c r="Z1397" t="s">
        <v>27365</v>
      </c>
      <c r="AA1397">
        <v>0.59495131014513669</v>
      </c>
      <c r="AB1397" t="str">
        <f>HYPERLINK("Melting_Curves/meltCurve_M0R042_TUBB4A.pdf", "Melting_Curves/meltCurve_M0R042_TUBB4A.pdf")</f>
        <v>Melting_Curves/meltCurve_M0R042_TUBB4A.pdf</v>
      </c>
    </row>
    <row r="1398" spans="1:28" x14ac:dyDescent="0.25">
      <c r="A1398" t="s">
        <v>1402</v>
      </c>
      <c r="B1398">
        <v>0.99472303558308395</v>
      </c>
      <c r="C1398">
        <v>0.93505601479695499</v>
      </c>
      <c r="D1398">
        <v>0.89764758285781199</v>
      </c>
      <c r="E1398">
        <v>0.72650958619093697</v>
      </c>
      <c r="F1398">
        <v>0.48596486933035699</v>
      </c>
      <c r="G1398">
        <v>0.37956097230091801</v>
      </c>
      <c r="H1398">
        <v>0.18447002579945301</v>
      </c>
      <c r="I1398">
        <v>0.117853893712177</v>
      </c>
      <c r="J1398">
        <v>0.122635654487341</v>
      </c>
      <c r="K1398">
        <v>7.3713658568948195E-2</v>
      </c>
      <c r="L1398">
        <v>592.48005281420797</v>
      </c>
      <c r="M1398">
        <v>11.7994305991094</v>
      </c>
      <c r="N1398">
        <v>50.472860820121902</v>
      </c>
      <c r="O1398">
        <v>48.8354605316703</v>
      </c>
      <c r="P1398">
        <v>-5.8636378942877397E-2</v>
      </c>
      <c r="Q1398">
        <v>2.95132079575126E-2</v>
      </c>
      <c r="R1398">
        <v>0.99563593545210405</v>
      </c>
      <c r="S1398" t="s">
        <v>7966</v>
      </c>
      <c r="T1398" t="s">
        <v>13134</v>
      </c>
      <c r="U1398" t="s">
        <v>13134</v>
      </c>
      <c r="V1398" t="s">
        <v>13134</v>
      </c>
      <c r="W1398" t="s">
        <v>14498</v>
      </c>
      <c r="X1398">
        <v>4</v>
      </c>
      <c r="Y1398" t="s">
        <v>20984</v>
      </c>
      <c r="Z1398" t="s">
        <v>27366</v>
      </c>
      <c r="AA1398">
        <v>0.48423023536074211</v>
      </c>
      <c r="AB1398" t="str">
        <f>HYPERLINK("Melting_Curves/meltCurve_M0R0B4_KXD1.pdf", "Melting_Curves/meltCurve_M0R0B4_KXD1.pdf")</f>
        <v>Melting_Curves/meltCurve_M0R0B4_KXD1.pdf</v>
      </c>
    </row>
    <row r="1399" spans="1:28" x14ac:dyDescent="0.25">
      <c r="A1399" t="s">
        <v>1403</v>
      </c>
      <c r="B1399">
        <v>0.99472303558308395</v>
      </c>
      <c r="C1399">
        <v>0.70959435889162004</v>
      </c>
      <c r="D1399">
        <v>0.94325588018791295</v>
      </c>
      <c r="E1399">
        <v>0.71773053733358005</v>
      </c>
      <c r="F1399">
        <v>0.52851674826483397</v>
      </c>
      <c r="G1399">
        <v>0.237298227106782</v>
      </c>
      <c r="H1399">
        <v>0.12704192687681601</v>
      </c>
      <c r="I1399">
        <v>6.6489268400230297E-2</v>
      </c>
      <c r="J1399">
        <v>6.8277263967328403E-2</v>
      </c>
      <c r="K1399">
        <v>6.9011993337477803E-2</v>
      </c>
      <c r="L1399">
        <v>620.39208805487601</v>
      </c>
      <c r="M1399">
        <v>12.462801091140999</v>
      </c>
      <c r="N1399">
        <v>49.779521053710397</v>
      </c>
      <c r="O1399">
        <v>48.549987892546199</v>
      </c>
      <c r="P1399">
        <v>-6.4188477885588804E-2</v>
      </c>
      <c r="Q1399">
        <v>0</v>
      </c>
      <c r="R1399">
        <v>0.942323569115741</v>
      </c>
      <c r="S1399" t="s">
        <v>7967</v>
      </c>
      <c r="T1399" t="s">
        <v>13134</v>
      </c>
      <c r="U1399" t="s">
        <v>13134</v>
      </c>
      <c r="V1399" t="s">
        <v>13134</v>
      </c>
      <c r="W1399" t="s">
        <v>14499</v>
      </c>
      <c r="X1399">
        <v>12</v>
      </c>
      <c r="Y1399" t="s">
        <v>20985</v>
      </c>
      <c r="Z1399" t="s">
        <v>27367</v>
      </c>
      <c r="AA1399">
        <v>0.45308436147968378</v>
      </c>
      <c r="AB1399" t="str">
        <f>HYPERLINK("Melting_Curves/meltCurve_M0R0F0_RPS5.pdf", "Melting_Curves/meltCurve_M0R0F0_RPS5.pdf")</f>
        <v>Melting_Curves/meltCurve_M0R0F0_RPS5.pdf</v>
      </c>
    </row>
    <row r="1400" spans="1:28" x14ac:dyDescent="0.25">
      <c r="A1400" t="s">
        <v>1404</v>
      </c>
      <c r="B1400">
        <v>0.99472303558308395</v>
      </c>
      <c r="C1400">
        <v>0.72118718683487104</v>
      </c>
      <c r="D1400">
        <v>1.0052456064737101</v>
      </c>
      <c r="E1400">
        <v>0.79294174914497695</v>
      </c>
      <c r="F1400">
        <v>0.97877635563980303</v>
      </c>
      <c r="G1400">
        <v>0.44834493530345898</v>
      </c>
      <c r="H1400">
        <v>0.103291023307871</v>
      </c>
      <c r="I1400">
        <v>0.12694406894634799</v>
      </c>
      <c r="J1400">
        <v>3.0782554849190898E-2</v>
      </c>
      <c r="K1400">
        <v>8.7865949725079606E-2</v>
      </c>
      <c r="L1400">
        <v>2848.3523975918401</v>
      </c>
      <c r="M1400">
        <v>53.3463897407741</v>
      </c>
      <c r="N1400">
        <v>53.571877432167099</v>
      </c>
      <c r="O1400">
        <v>53.318664293412802</v>
      </c>
      <c r="P1400">
        <v>-0.229780175459703</v>
      </c>
      <c r="Q1400">
        <v>8.1357600672121694E-2</v>
      </c>
      <c r="R1400">
        <v>0.918976878927805</v>
      </c>
      <c r="S1400" t="s">
        <v>7968</v>
      </c>
      <c r="T1400" t="s">
        <v>13134</v>
      </c>
      <c r="U1400" t="s">
        <v>13134</v>
      </c>
      <c r="V1400" t="s">
        <v>13134</v>
      </c>
      <c r="W1400" t="s">
        <v>14500</v>
      </c>
      <c r="X1400">
        <v>4</v>
      </c>
      <c r="Y1400" t="s">
        <v>20986</v>
      </c>
      <c r="Z1400" t="s">
        <v>27368</v>
      </c>
      <c r="AA1400">
        <v>0.58524922058881523</v>
      </c>
      <c r="AB1400" t="str">
        <f>HYPERLINK("Melting_Curves/meltCurve_M0R0N4_AP2S1.pdf", "Melting_Curves/meltCurve_M0R0N4_AP2S1.pdf")</f>
        <v>Melting_Curves/meltCurve_M0R0N4_AP2S1.pdf</v>
      </c>
    </row>
    <row r="1401" spans="1:28" x14ac:dyDescent="0.25">
      <c r="A1401" t="s">
        <v>1405</v>
      </c>
      <c r="B1401">
        <v>0.99472303558308395</v>
      </c>
      <c r="C1401">
        <v>0.91163277212249805</v>
      </c>
      <c r="D1401">
        <v>0.82494541431753199</v>
      </c>
      <c r="E1401">
        <v>0.66008496878869205</v>
      </c>
      <c r="F1401">
        <v>0.65693523240458096</v>
      </c>
      <c r="G1401">
        <v>0.40673848664183998</v>
      </c>
      <c r="H1401">
        <v>0.28303806809879001</v>
      </c>
      <c r="I1401">
        <v>0.11711720467874299</v>
      </c>
      <c r="J1401">
        <v>9.0763683404899306E-2</v>
      </c>
      <c r="K1401">
        <v>9.3020176418149803E-2</v>
      </c>
      <c r="L1401">
        <v>490.53782757002301</v>
      </c>
      <c r="M1401">
        <v>9.5586072850519201</v>
      </c>
      <c r="N1401">
        <v>51.318964281451699</v>
      </c>
      <c r="O1401">
        <v>49.2235327703278</v>
      </c>
      <c r="P1401">
        <v>-4.8574989180215002E-2</v>
      </c>
      <c r="Q1401">
        <v>0</v>
      </c>
      <c r="R1401">
        <v>0.97868620548418706</v>
      </c>
      <c r="S1401" t="s">
        <v>7969</v>
      </c>
      <c r="T1401" t="s">
        <v>13134</v>
      </c>
      <c r="U1401" t="s">
        <v>13134</v>
      </c>
      <c r="V1401" t="s">
        <v>13134</v>
      </c>
      <c r="W1401" t="s">
        <v>14501</v>
      </c>
      <c r="X1401">
        <v>1</v>
      </c>
      <c r="Y1401" t="s">
        <v>20987</v>
      </c>
      <c r="Z1401" t="s">
        <v>27369</v>
      </c>
      <c r="AA1401">
        <v>0.50745283499601057</v>
      </c>
      <c r="AB1401" t="str">
        <f>HYPERLINK("Melting_Curves/meltCurve_M0R0V1_PLEKHA4.pdf", "Melting_Curves/meltCurve_M0R0V1_PLEKHA4.pdf")</f>
        <v>Melting_Curves/meltCurve_M0R0V1_PLEKHA4.pdf</v>
      </c>
    </row>
    <row r="1402" spans="1:28" x14ac:dyDescent="0.25">
      <c r="A1402" t="s">
        <v>1406</v>
      </c>
      <c r="B1402">
        <v>0.99472303558308395</v>
      </c>
      <c r="C1402">
        <v>1.0143791971656499</v>
      </c>
      <c r="D1402">
        <v>0.80535444974734005</v>
      </c>
      <c r="E1402">
        <v>0.55403156550315102</v>
      </c>
      <c r="F1402">
        <v>0.212876512758434</v>
      </c>
      <c r="G1402">
        <v>0.108633089587003</v>
      </c>
      <c r="H1402">
        <v>8.9305362123452206E-2</v>
      </c>
      <c r="I1402">
        <v>4.9664118454102797E-2</v>
      </c>
      <c r="J1402">
        <v>8.8510779121155805E-2</v>
      </c>
      <c r="K1402">
        <v>5.6195700795197603E-2</v>
      </c>
      <c r="L1402">
        <v>942.20499663165594</v>
      </c>
      <c r="M1402">
        <v>20.2495511406694</v>
      </c>
      <c r="N1402">
        <v>46.820912237812898</v>
      </c>
      <c r="O1402">
        <v>46.082997073456902</v>
      </c>
      <c r="P1402">
        <v>-0.10335639086414999</v>
      </c>
      <c r="Q1402">
        <v>5.91738434949452E-2</v>
      </c>
      <c r="R1402">
        <v>0.99547844301928401</v>
      </c>
      <c r="S1402" t="s">
        <v>7970</v>
      </c>
      <c r="T1402" t="s">
        <v>13134</v>
      </c>
      <c r="U1402" t="s">
        <v>13134</v>
      </c>
      <c r="V1402" t="s">
        <v>13134</v>
      </c>
      <c r="W1402" t="s">
        <v>14053</v>
      </c>
      <c r="X1402">
        <v>5</v>
      </c>
      <c r="Z1402" t="s">
        <v>27370</v>
      </c>
      <c r="AA1402">
        <v>0.37003537696610422</v>
      </c>
      <c r="AB1402" t="str">
        <f>HYPERLINK("Melting_Curves/meltCurve_M0R150_.pdf", "Melting_Curves/meltCurve_M0R150_.pdf")</f>
        <v>Melting_Curves/meltCurve_M0R150_.pdf</v>
      </c>
    </row>
    <row r="1403" spans="1:28" x14ac:dyDescent="0.25">
      <c r="A1403" t="s">
        <v>1407</v>
      </c>
      <c r="B1403">
        <v>0.99472303558308395</v>
      </c>
      <c r="C1403">
        <v>1.0139228128826001</v>
      </c>
      <c r="D1403">
        <v>0.85605715038997399</v>
      </c>
      <c r="E1403">
        <v>0.77532218555881505</v>
      </c>
      <c r="F1403">
        <v>0.76312568329591002</v>
      </c>
      <c r="G1403">
        <v>0.34776090647837499</v>
      </c>
      <c r="H1403">
        <v>0.209480191603856</v>
      </c>
      <c r="I1403">
        <v>0.19184316313122601</v>
      </c>
      <c r="J1403">
        <v>0.122309305097001</v>
      </c>
      <c r="K1403">
        <v>0.157431906560076</v>
      </c>
      <c r="L1403">
        <v>742.18076511747199</v>
      </c>
      <c r="M1403">
        <v>14.4052600230577</v>
      </c>
      <c r="N1403">
        <v>52.2116037302997</v>
      </c>
      <c r="O1403">
        <v>50.559139222509501</v>
      </c>
      <c r="P1403">
        <v>-6.5062981343536497E-2</v>
      </c>
      <c r="Q1403">
        <v>8.6683683917136198E-2</v>
      </c>
      <c r="R1403">
        <v>0.96789558965460398</v>
      </c>
      <c r="S1403" t="s">
        <v>7971</v>
      </c>
      <c r="T1403" t="s">
        <v>13134</v>
      </c>
      <c r="U1403" t="s">
        <v>13134</v>
      </c>
      <c r="V1403" t="s">
        <v>13134</v>
      </c>
      <c r="W1403" t="s">
        <v>14502</v>
      </c>
      <c r="X1403">
        <v>1</v>
      </c>
      <c r="Y1403" t="s">
        <v>20988</v>
      </c>
      <c r="Z1403" t="s">
        <v>27371</v>
      </c>
      <c r="AA1403">
        <v>0.5476088354942299</v>
      </c>
      <c r="AB1403" t="str">
        <f>HYPERLINK("Melting_Curves/meltCurve_M0R1J0_KCNN4.pdf", "Melting_Curves/meltCurve_M0R1J0_KCNN4.pdf")</f>
        <v>Melting_Curves/meltCurve_M0R1J0_KCNN4.pdf</v>
      </c>
    </row>
    <row r="1404" spans="1:28" x14ac:dyDescent="0.25">
      <c r="A1404" t="s">
        <v>1408</v>
      </c>
      <c r="B1404">
        <v>0.99472303558308395</v>
      </c>
      <c r="C1404">
        <v>0.90851656084452903</v>
      </c>
      <c r="D1404">
        <v>0.72764877275791395</v>
      </c>
      <c r="E1404">
        <v>0.67147948071280406</v>
      </c>
      <c r="F1404">
        <v>0.647905966706947</v>
      </c>
      <c r="G1404">
        <v>0.32618990321102298</v>
      </c>
      <c r="H1404">
        <v>0.15554371293062899</v>
      </c>
      <c r="I1404">
        <v>9.7696901307468206E-2</v>
      </c>
      <c r="J1404">
        <v>8.22537838333771E-2</v>
      </c>
      <c r="K1404">
        <v>0.102064468051469</v>
      </c>
      <c r="L1404">
        <v>495.433755828887</v>
      </c>
      <c r="M1404">
        <v>9.8818579950965297</v>
      </c>
      <c r="N1404">
        <v>50.135686479741899</v>
      </c>
      <c r="O1404">
        <v>48.212052925489203</v>
      </c>
      <c r="P1404">
        <v>-5.1267717208788602E-2</v>
      </c>
      <c r="Q1404">
        <v>0</v>
      </c>
      <c r="R1404">
        <v>0.96174217033873999</v>
      </c>
      <c r="S1404" t="s">
        <v>7972</v>
      </c>
      <c r="T1404" t="s">
        <v>13134</v>
      </c>
      <c r="U1404" t="s">
        <v>13134</v>
      </c>
      <c r="V1404" t="s">
        <v>13134</v>
      </c>
      <c r="W1404" t="s">
        <v>14503</v>
      </c>
      <c r="X1404">
        <v>5</v>
      </c>
      <c r="Y1404" t="s">
        <v>20989</v>
      </c>
      <c r="Z1404" t="s">
        <v>27372</v>
      </c>
      <c r="AA1404">
        <v>0.47170626060784548</v>
      </c>
      <c r="AB1404" t="str">
        <f>HYPERLINK("Melting_Curves/meltCurve_M0R2A0_EMC10.pdf", "Melting_Curves/meltCurve_M0R2A0_EMC10.pdf")</f>
        <v>Melting_Curves/meltCurve_M0R2A0_EMC10.pdf</v>
      </c>
    </row>
    <row r="1405" spans="1:28" x14ac:dyDescent="0.25">
      <c r="A1405" t="s">
        <v>1409</v>
      </c>
      <c r="B1405">
        <v>0.99472303558308395</v>
      </c>
      <c r="C1405">
        <v>0.84818573753942095</v>
      </c>
      <c r="D1405">
        <v>0.80629786932827596</v>
      </c>
      <c r="E1405">
        <v>0.40699511093607799</v>
      </c>
      <c r="F1405">
        <v>0.21868598446103699</v>
      </c>
      <c r="G1405">
        <v>0.142833612715005</v>
      </c>
      <c r="H1405">
        <v>8.1752913175571498E-2</v>
      </c>
      <c r="I1405">
        <v>5.8926362365571999E-2</v>
      </c>
      <c r="J1405">
        <v>5.9607431660302003E-2</v>
      </c>
      <c r="K1405">
        <v>5.7230865470018003E-2</v>
      </c>
      <c r="L1405">
        <v>762.87693697417797</v>
      </c>
      <c r="M1405">
        <v>16.742818653462798</v>
      </c>
      <c r="N1405">
        <v>45.874237241700399</v>
      </c>
      <c r="O1405">
        <v>44.929305257705401</v>
      </c>
      <c r="P1405">
        <v>-8.8187652654614798E-2</v>
      </c>
      <c r="Q1405">
        <v>5.3456874878283898E-2</v>
      </c>
      <c r="R1405">
        <v>0.99155234087195299</v>
      </c>
      <c r="S1405" t="s">
        <v>7973</v>
      </c>
      <c r="T1405" t="s">
        <v>13134</v>
      </c>
      <c r="U1405" t="s">
        <v>13134</v>
      </c>
      <c r="V1405" t="s">
        <v>13134</v>
      </c>
      <c r="W1405" t="s">
        <v>13197</v>
      </c>
      <c r="X1405">
        <v>40</v>
      </c>
      <c r="Y1405" t="s">
        <v>20990</v>
      </c>
      <c r="Z1405" t="s">
        <v>27373</v>
      </c>
      <c r="AA1405">
        <v>0.34146913766470588</v>
      </c>
      <c r="AB1405" t="str">
        <f>HYPERLINK("Melting_Curves/meltCurve_M0R2B7_POLD1.pdf", "Melting_Curves/meltCurve_M0R2B7_POLD1.pdf")</f>
        <v>Melting_Curves/meltCurve_M0R2B7_POLD1.pdf</v>
      </c>
    </row>
    <row r="1406" spans="1:28" x14ac:dyDescent="0.25">
      <c r="A1406" t="s">
        <v>1410</v>
      </c>
      <c r="B1406">
        <v>0.99472303558308395</v>
      </c>
      <c r="C1406">
        <v>1.0997540398602299</v>
      </c>
      <c r="D1406">
        <v>1.0594782961656299</v>
      </c>
      <c r="E1406">
        <v>0.88620166050095395</v>
      </c>
      <c r="F1406">
        <v>0.90718947584679699</v>
      </c>
      <c r="G1406">
        <v>0.642983658970397</v>
      </c>
      <c r="H1406">
        <v>0.63609766581242899</v>
      </c>
      <c r="I1406">
        <v>0.50060341323285196</v>
      </c>
      <c r="J1406">
        <v>0.69367544848081697</v>
      </c>
      <c r="K1406">
        <v>0.70596663323317999</v>
      </c>
      <c r="L1406">
        <v>2847.65784116444</v>
      </c>
      <c r="M1406">
        <v>55.715382555360002</v>
      </c>
      <c r="O1406">
        <v>51.045082270025297</v>
      </c>
      <c r="P1406">
        <v>-0.10049446713377801</v>
      </c>
      <c r="Q1406">
        <v>0.63171782961852496</v>
      </c>
      <c r="R1406">
        <v>0.85874418639529604</v>
      </c>
      <c r="S1406" t="s">
        <v>7974</v>
      </c>
      <c r="T1406" t="s">
        <v>13134</v>
      </c>
      <c r="U1406" t="s">
        <v>13134</v>
      </c>
      <c r="V1406" t="s">
        <v>13134</v>
      </c>
      <c r="W1406" t="s">
        <v>14504</v>
      </c>
      <c r="X1406">
        <v>2</v>
      </c>
      <c r="Y1406" t="s">
        <v>19797</v>
      </c>
      <c r="Z1406" t="s">
        <v>27374</v>
      </c>
      <c r="AA1406">
        <v>0.8056109664634119</v>
      </c>
      <c r="AB1406" t="str">
        <f>HYPERLINK("Melting_Curves/meltCurve_M0R2C4_LSR.pdf", "Melting_Curves/meltCurve_M0R2C4_LSR.pdf")</f>
        <v>Melting_Curves/meltCurve_M0R2C4_LSR.pdf</v>
      </c>
    </row>
    <row r="1407" spans="1:28" x14ac:dyDescent="0.25">
      <c r="A1407" t="s">
        <v>1411</v>
      </c>
      <c r="B1407">
        <v>0.99472303558308395</v>
      </c>
      <c r="C1407">
        <v>1.0737506909514001</v>
      </c>
      <c r="D1407">
        <v>0.84606552433759596</v>
      </c>
      <c r="E1407">
        <v>0.66326736988101898</v>
      </c>
      <c r="F1407">
        <v>0.37967115765381798</v>
      </c>
      <c r="G1407">
        <v>0.27228881851860798</v>
      </c>
      <c r="H1407">
        <v>0.46559667281491102</v>
      </c>
      <c r="I1407">
        <v>0.13463359703592101</v>
      </c>
      <c r="J1407">
        <v>9.6181629135877203E-2</v>
      </c>
      <c r="K1407">
        <v>6.9614390979345894E-2</v>
      </c>
      <c r="L1407">
        <v>622.37912023163096</v>
      </c>
      <c r="M1407">
        <v>12.836198499190299</v>
      </c>
      <c r="N1407">
        <v>49.452270709388102</v>
      </c>
      <c r="O1407">
        <v>47.354664690051102</v>
      </c>
      <c r="P1407">
        <v>-6.0262833924440103E-2</v>
      </c>
      <c r="Q1407">
        <v>0.110890121985777</v>
      </c>
      <c r="R1407">
        <v>0.92619308569249104</v>
      </c>
      <c r="S1407" t="s">
        <v>7975</v>
      </c>
      <c r="T1407" t="s">
        <v>13134</v>
      </c>
      <c r="U1407" t="s">
        <v>13134</v>
      </c>
      <c r="V1407" t="s">
        <v>13134</v>
      </c>
      <c r="W1407" t="s">
        <v>14487</v>
      </c>
      <c r="X1407">
        <v>9</v>
      </c>
      <c r="Y1407" t="s">
        <v>20973</v>
      </c>
      <c r="Z1407" t="s">
        <v>27375</v>
      </c>
      <c r="AA1407">
        <v>0.47596702854017842</v>
      </c>
      <c r="AB1407" t="str">
        <f>HYPERLINK("Melting_Curves/meltCurve_M0R2D3_TUBB4A.pdf", "Melting_Curves/meltCurve_M0R2D3_TUBB4A.pdf")</f>
        <v>Melting_Curves/meltCurve_M0R2D3_TUBB4A.pdf</v>
      </c>
    </row>
    <row r="1408" spans="1:28" x14ac:dyDescent="0.25">
      <c r="A1408" t="s">
        <v>1412</v>
      </c>
      <c r="B1408">
        <v>0.99472303558308395</v>
      </c>
      <c r="C1408">
        <v>0.88906207851353602</v>
      </c>
      <c r="D1408">
        <v>0.80359785241748105</v>
      </c>
      <c r="E1408">
        <v>0.56840052418605103</v>
      </c>
      <c r="F1408">
        <v>0.316505484701669</v>
      </c>
      <c r="G1408">
        <v>0.165233639301994</v>
      </c>
      <c r="H1408">
        <v>0.109613024552977</v>
      </c>
      <c r="I1408">
        <v>7.8354743985087405E-2</v>
      </c>
      <c r="J1408">
        <v>8.5804447713251006E-2</v>
      </c>
      <c r="K1408">
        <v>7.2833142859771896E-2</v>
      </c>
      <c r="L1408">
        <v>673.79452278305598</v>
      </c>
      <c r="M1408">
        <v>14.356514859445999</v>
      </c>
      <c r="N1408">
        <v>47.292216662034903</v>
      </c>
      <c r="O1408">
        <v>46.050581617996102</v>
      </c>
      <c r="P1408">
        <v>-7.3921838717985106E-2</v>
      </c>
      <c r="Q1408">
        <v>5.1654082582777899E-2</v>
      </c>
      <c r="R1408">
        <v>0.99765019953057199</v>
      </c>
      <c r="S1408" t="s">
        <v>7976</v>
      </c>
      <c r="T1408" t="s">
        <v>13134</v>
      </c>
      <c r="U1408" t="s">
        <v>13134</v>
      </c>
      <c r="V1408" t="s">
        <v>13134</v>
      </c>
      <c r="W1408" t="s">
        <v>14505</v>
      </c>
      <c r="X1408">
        <v>11</v>
      </c>
      <c r="Y1408" t="s">
        <v>20991</v>
      </c>
      <c r="Z1408" t="s">
        <v>27376</v>
      </c>
      <c r="AA1408">
        <v>0.3887698405463007</v>
      </c>
      <c r="AB1408" t="str">
        <f>HYPERLINK("Melting_Curves/meltCurve_M0R300_MYO9B.pdf", "Melting_Curves/meltCurve_M0R300_MYO9B.pdf")</f>
        <v>Melting_Curves/meltCurve_M0R300_MYO9B.pdf</v>
      </c>
    </row>
    <row r="1409" spans="1:28" x14ac:dyDescent="0.25">
      <c r="A1409" t="s">
        <v>1413</v>
      </c>
      <c r="B1409">
        <v>0.99472303558308395</v>
      </c>
      <c r="C1409">
        <v>0.92075110999727905</v>
      </c>
      <c r="D1409">
        <v>0.88275146598993304</v>
      </c>
      <c r="E1409">
        <v>0.76042387500033404</v>
      </c>
      <c r="F1409">
        <v>0.63206528531139095</v>
      </c>
      <c r="G1409">
        <v>0.62578861908902506</v>
      </c>
      <c r="H1409">
        <v>0.53396500000796399</v>
      </c>
      <c r="I1409">
        <v>0.46504331665271997</v>
      </c>
      <c r="J1409">
        <v>0.53668188417643503</v>
      </c>
      <c r="K1409">
        <v>0.39602153259391498</v>
      </c>
      <c r="L1409">
        <v>435.99238451481301</v>
      </c>
      <c r="M1409">
        <v>8.8880555894205493</v>
      </c>
      <c r="N1409">
        <v>59.923033444773303</v>
      </c>
      <c r="O1409">
        <v>46.761075601573701</v>
      </c>
      <c r="P1409">
        <v>-2.8519746438103399E-2</v>
      </c>
      <c r="Q1409">
        <v>0.40027408380409701</v>
      </c>
      <c r="R1409">
        <v>0.96684737792063002</v>
      </c>
      <c r="S1409" t="s">
        <v>7977</v>
      </c>
      <c r="T1409" t="s">
        <v>13134</v>
      </c>
      <c r="U1409" t="s">
        <v>13134</v>
      </c>
      <c r="V1409" t="s">
        <v>13134</v>
      </c>
      <c r="W1409" t="s">
        <v>14506</v>
      </c>
      <c r="X1409">
        <v>3</v>
      </c>
      <c r="Y1409" t="s">
        <v>20992</v>
      </c>
      <c r="Z1409" t="s">
        <v>27377</v>
      </c>
      <c r="AA1409">
        <v>0.66631374436221091</v>
      </c>
      <c r="AB1409" t="str">
        <f>HYPERLINK("Melting_Curves/meltCurve_M0R3D4_RABAC1.pdf", "Melting_Curves/meltCurve_M0R3D4_RABAC1.pdf")</f>
        <v>Melting_Curves/meltCurve_M0R3D4_RABAC1.pdf</v>
      </c>
    </row>
    <row r="1410" spans="1:28" x14ac:dyDescent="0.25">
      <c r="A1410" t="s">
        <v>1414</v>
      </c>
      <c r="B1410">
        <v>0.99472303558308395</v>
      </c>
      <c r="C1410">
        <v>0.93046866292004804</v>
      </c>
      <c r="D1410">
        <v>0.97527324098704105</v>
      </c>
      <c r="E1410">
        <v>0.87944507868176403</v>
      </c>
      <c r="F1410">
        <v>0.58511974779144105</v>
      </c>
      <c r="G1410">
        <v>0.17164319837855399</v>
      </c>
      <c r="H1410">
        <v>8.6346089027165895E-2</v>
      </c>
      <c r="I1410">
        <v>5.0589114427015101E-2</v>
      </c>
      <c r="J1410">
        <v>6.00202849534342E-2</v>
      </c>
      <c r="K1410">
        <v>5.3688500061497599E-2</v>
      </c>
      <c r="L1410">
        <v>1356.9529410294499</v>
      </c>
      <c r="M1410">
        <v>26.878021476547602</v>
      </c>
      <c r="N1410">
        <v>50.669963133032503</v>
      </c>
      <c r="O1410">
        <v>50.208639758621203</v>
      </c>
      <c r="P1410">
        <v>-0.12759858192128701</v>
      </c>
      <c r="Q1410">
        <v>4.6584052941295098E-2</v>
      </c>
      <c r="R1410">
        <v>0.99555687004141002</v>
      </c>
      <c r="S1410" t="s">
        <v>7978</v>
      </c>
      <c r="T1410" t="s">
        <v>13134</v>
      </c>
      <c r="U1410" t="s">
        <v>13134</v>
      </c>
      <c r="V1410" t="s">
        <v>13134</v>
      </c>
      <c r="W1410" t="s">
        <v>14507</v>
      </c>
      <c r="X1410">
        <v>29</v>
      </c>
      <c r="Y1410" t="s">
        <v>20993</v>
      </c>
      <c r="Z1410" t="s">
        <v>27378</v>
      </c>
      <c r="AA1410">
        <v>0.48246229364657173</v>
      </c>
      <c r="AB1410" t="str">
        <f>HYPERLINK("Melting_Curves/meltCurve_O00116_AGPS.pdf", "Melting_Curves/meltCurve_O00116_AGPS.pdf")</f>
        <v>Melting_Curves/meltCurve_O00116_AGPS.pdf</v>
      </c>
    </row>
    <row r="1411" spans="1:28" x14ac:dyDescent="0.25">
      <c r="A1411" t="s">
        <v>1415</v>
      </c>
      <c r="B1411">
        <v>0.99472303558308395</v>
      </c>
      <c r="C1411">
        <v>1.1681331170337099</v>
      </c>
      <c r="D1411">
        <v>0.78278736071551702</v>
      </c>
      <c r="E1411">
        <v>0.52435607044724397</v>
      </c>
      <c r="F1411">
        <v>0.14390664937036701</v>
      </c>
      <c r="G1411">
        <v>4.4945480917843998E-2</v>
      </c>
      <c r="H1411">
        <v>2.1896968161553301E-2</v>
      </c>
      <c r="I1411">
        <v>0</v>
      </c>
      <c r="J1411">
        <v>0</v>
      </c>
      <c r="K1411">
        <v>1.6049770449220901E-2</v>
      </c>
      <c r="L1411">
        <v>1068.0329890960099</v>
      </c>
      <c r="M1411">
        <v>22.954864574878702</v>
      </c>
      <c r="N1411">
        <v>46.540355529484202</v>
      </c>
      <c r="O1411">
        <v>46.178727758131899</v>
      </c>
      <c r="P1411">
        <v>-0.123882155711616</v>
      </c>
      <c r="Q1411">
        <v>3.1546641475578602E-3</v>
      </c>
      <c r="R1411">
        <v>0.97638825547918895</v>
      </c>
      <c r="S1411" t="s">
        <v>7979</v>
      </c>
      <c r="T1411" t="s">
        <v>13134</v>
      </c>
      <c r="U1411" t="s">
        <v>13134</v>
      </c>
      <c r="V1411" t="s">
        <v>13134</v>
      </c>
      <c r="W1411" t="s">
        <v>14508</v>
      </c>
      <c r="X1411">
        <v>3</v>
      </c>
      <c r="Y1411" t="s">
        <v>20994</v>
      </c>
      <c r="Z1411" t="s">
        <v>27379</v>
      </c>
      <c r="AA1411">
        <v>0.32962224767843129</v>
      </c>
      <c r="AB1411" t="str">
        <f>HYPERLINK("Melting_Curves/meltCurve_O00124_3_UBXN8.pdf", "Melting_Curves/meltCurve_O00124_3_UBXN8.pdf")</f>
        <v>Melting_Curves/meltCurve_O00124_3_UBXN8.pdf</v>
      </c>
    </row>
    <row r="1412" spans="1:28" x14ac:dyDescent="0.25">
      <c r="A1412" t="s">
        <v>1416</v>
      </c>
      <c r="B1412">
        <v>0.99472303558308395</v>
      </c>
      <c r="C1412">
        <v>0.92358918393508904</v>
      </c>
      <c r="D1412">
        <v>1.00233415155443</v>
      </c>
      <c r="E1412">
        <v>0.77411190673423302</v>
      </c>
      <c r="F1412">
        <v>0.42988786088057102</v>
      </c>
      <c r="G1412">
        <v>0.104013629115841</v>
      </c>
      <c r="H1412">
        <v>6.5602101789559095E-2</v>
      </c>
      <c r="I1412">
        <v>4.3234183887490202E-2</v>
      </c>
      <c r="J1412">
        <v>5.2777811862585199E-2</v>
      </c>
      <c r="K1412">
        <v>4.6328305882437998E-2</v>
      </c>
      <c r="L1412">
        <v>1194.9051943576501</v>
      </c>
      <c r="M1412">
        <v>24.3071133834272</v>
      </c>
      <c r="N1412">
        <v>49.3131229824616</v>
      </c>
      <c r="O1412">
        <v>48.829562901114102</v>
      </c>
      <c r="P1412">
        <v>-0.119889028124717</v>
      </c>
      <c r="Q1412">
        <v>3.66538911914841E-2</v>
      </c>
      <c r="R1412">
        <v>0.994324735722528</v>
      </c>
      <c r="S1412" t="s">
        <v>7980</v>
      </c>
      <c r="T1412" t="s">
        <v>13134</v>
      </c>
      <c r="U1412" t="s">
        <v>13134</v>
      </c>
      <c r="V1412" t="s">
        <v>13134</v>
      </c>
      <c r="W1412" t="s">
        <v>14509</v>
      </c>
      <c r="X1412">
        <v>34</v>
      </c>
      <c r="Y1412" t="s">
        <v>20995</v>
      </c>
      <c r="Z1412" t="s">
        <v>27380</v>
      </c>
      <c r="AA1412">
        <v>0.43589458462719932</v>
      </c>
      <c r="AB1412" t="str">
        <f>HYPERLINK("Melting_Curves/meltCurve_O00139_1_KIF2A.pdf", "Melting_Curves/meltCurve_O00139_1_KIF2A.pdf")</f>
        <v>Melting_Curves/meltCurve_O00139_1_KIF2A.pdf</v>
      </c>
    </row>
    <row r="1413" spans="1:28" x14ac:dyDescent="0.25">
      <c r="A1413" t="s">
        <v>1417</v>
      </c>
      <c r="B1413">
        <v>0.99472303558308395</v>
      </c>
      <c r="C1413">
        <v>1.2609008004724001</v>
      </c>
      <c r="D1413">
        <v>0.96009652908722498</v>
      </c>
      <c r="E1413">
        <v>0.71296869527873596</v>
      </c>
      <c r="F1413">
        <v>0.44870129474242898</v>
      </c>
      <c r="G1413">
        <v>7.8584846894645094E-2</v>
      </c>
      <c r="H1413">
        <v>9.5926958644133708E-3</v>
      </c>
      <c r="I1413">
        <v>1.4489889559658201E-2</v>
      </c>
      <c r="J1413">
        <v>1.53368378870652E-2</v>
      </c>
      <c r="K1413">
        <v>0</v>
      </c>
      <c r="L1413">
        <v>1104.87631313151</v>
      </c>
      <c r="M1413">
        <v>22.481527463102498</v>
      </c>
      <c r="N1413">
        <v>49.145962829308203</v>
      </c>
      <c r="O1413">
        <v>48.762063973170697</v>
      </c>
      <c r="P1413">
        <v>-0.115263721775098</v>
      </c>
      <c r="Q1413">
        <v>0</v>
      </c>
      <c r="R1413">
        <v>0.96272764449729198</v>
      </c>
      <c r="S1413" t="s">
        <v>7981</v>
      </c>
      <c r="T1413" t="s">
        <v>13134</v>
      </c>
      <c r="U1413" t="s">
        <v>13134</v>
      </c>
      <c r="V1413" t="s">
        <v>13134</v>
      </c>
      <c r="W1413" t="s">
        <v>14510</v>
      </c>
      <c r="X1413">
        <v>32</v>
      </c>
      <c r="Y1413" t="s">
        <v>20995</v>
      </c>
      <c r="Z1413" t="s">
        <v>27381</v>
      </c>
      <c r="AA1413">
        <v>0.41547536329339863</v>
      </c>
      <c r="AB1413" t="str">
        <f>HYPERLINK("Melting_Curves/meltCurve_O00139_2_KIF2A.pdf", "Melting_Curves/meltCurve_O00139_2_KIF2A.pdf")</f>
        <v>Melting_Curves/meltCurve_O00139_2_KIF2A.pdf</v>
      </c>
    </row>
    <row r="1414" spans="1:28" x14ac:dyDescent="0.25">
      <c r="A1414" t="s">
        <v>1418</v>
      </c>
      <c r="B1414">
        <v>0.99472303558308395</v>
      </c>
      <c r="C1414">
        <v>1.07212826091005</v>
      </c>
      <c r="D1414">
        <v>0.93435932684052003</v>
      </c>
      <c r="E1414">
        <v>0.74562180455480298</v>
      </c>
      <c r="F1414">
        <v>0.33638975675703903</v>
      </c>
      <c r="G1414">
        <v>0.16376248036815799</v>
      </c>
      <c r="H1414">
        <v>0.100289582664757</v>
      </c>
      <c r="I1414">
        <v>7.5822021223213201E-2</v>
      </c>
      <c r="J1414">
        <v>8.4542863017046693E-2</v>
      </c>
      <c r="K1414">
        <v>6.6945209623706106E-2</v>
      </c>
      <c r="L1414">
        <v>1173.3434545303701</v>
      </c>
      <c r="M1414">
        <v>24.2553210176143</v>
      </c>
      <c r="N1414">
        <v>48.707143481345902</v>
      </c>
      <c r="O1414">
        <v>48.049466744728598</v>
      </c>
      <c r="P1414">
        <v>-0.11657368986573501</v>
      </c>
      <c r="Q1414">
        <v>7.62904207986774E-2</v>
      </c>
      <c r="R1414">
        <v>0.99566431814848499</v>
      </c>
      <c r="S1414" t="s">
        <v>7982</v>
      </c>
      <c r="T1414" t="s">
        <v>13134</v>
      </c>
      <c r="U1414" t="s">
        <v>13134</v>
      </c>
      <c r="V1414" t="s">
        <v>13134</v>
      </c>
      <c r="W1414" t="s">
        <v>14511</v>
      </c>
      <c r="X1414">
        <v>27</v>
      </c>
      <c r="Y1414" t="s">
        <v>20996</v>
      </c>
      <c r="Z1414" t="s">
        <v>27382</v>
      </c>
      <c r="AA1414">
        <v>0.43491801345150971</v>
      </c>
      <c r="AB1414" t="str">
        <f>HYPERLINK("Melting_Curves/meltCurve_O00148_DDX39A.pdf", "Melting_Curves/meltCurve_O00148_DDX39A.pdf")</f>
        <v>Melting_Curves/meltCurve_O00148_DDX39A.pdf</v>
      </c>
    </row>
    <row r="1415" spans="1:28" x14ac:dyDescent="0.25">
      <c r="A1415" t="s">
        <v>1419</v>
      </c>
      <c r="B1415">
        <v>0.99472303558308395</v>
      </c>
      <c r="C1415">
        <v>1.0163097142172901</v>
      </c>
      <c r="D1415">
        <v>1.0398394824727899</v>
      </c>
      <c r="E1415">
        <v>0.95122829229653005</v>
      </c>
      <c r="F1415">
        <v>0.74702525334820802</v>
      </c>
      <c r="G1415">
        <v>0.54960272083101103</v>
      </c>
      <c r="H1415">
        <v>0.34524468134559999</v>
      </c>
      <c r="I1415">
        <v>0.46390049594844801</v>
      </c>
      <c r="J1415">
        <v>0.54495842060653799</v>
      </c>
      <c r="K1415">
        <v>0.40012007532756799</v>
      </c>
      <c r="L1415">
        <v>1565.88383010656</v>
      </c>
      <c r="M1415">
        <v>30.975162229778999</v>
      </c>
      <c r="N1415">
        <v>54.314822320731501</v>
      </c>
      <c r="O1415">
        <v>50.3435855725902</v>
      </c>
      <c r="P1415">
        <v>-8.5910005313242901E-2</v>
      </c>
      <c r="Q1415">
        <v>0.44148894118947002</v>
      </c>
      <c r="R1415">
        <v>0.95907382831967403</v>
      </c>
      <c r="S1415" t="s">
        <v>7983</v>
      </c>
      <c r="T1415" t="s">
        <v>13134</v>
      </c>
      <c r="U1415" t="s">
        <v>13134</v>
      </c>
      <c r="V1415" t="s">
        <v>13134</v>
      </c>
      <c r="W1415" t="s">
        <v>14512</v>
      </c>
      <c r="X1415">
        <v>24</v>
      </c>
      <c r="Y1415" t="s">
        <v>20997</v>
      </c>
      <c r="Z1415" t="s">
        <v>27383</v>
      </c>
      <c r="AA1415">
        <v>0.69704958746809531</v>
      </c>
      <c r="AB1415" t="str">
        <f>HYPERLINK("Melting_Curves/meltCurve_O00151_PDLIM1.pdf", "Melting_Curves/meltCurve_O00151_PDLIM1.pdf")</f>
        <v>Melting_Curves/meltCurve_O00151_PDLIM1.pdf</v>
      </c>
    </row>
    <row r="1416" spans="1:28" x14ac:dyDescent="0.25">
      <c r="A1416" t="s">
        <v>1420</v>
      </c>
      <c r="B1416">
        <v>0.99472303558308395</v>
      </c>
      <c r="C1416">
        <v>0.99278684831707598</v>
      </c>
      <c r="D1416">
        <v>0.95569178142289102</v>
      </c>
      <c r="E1416">
        <v>0.87745308954210199</v>
      </c>
      <c r="F1416">
        <v>0.72966031199973203</v>
      </c>
      <c r="G1416">
        <v>0.62145607850874396</v>
      </c>
      <c r="H1416">
        <v>0.54690340748042299</v>
      </c>
      <c r="I1416">
        <v>0.55093436624032499</v>
      </c>
      <c r="J1416">
        <v>0.498652561428302</v>
      </c>
      <c r="K1416">
        <v>0.17239335869860201</v>
      </c>
      <c r="L1416">
        <v>398.79772054703602</v>
      </c>
      <c r="M1416">
        <v>6.7019914825895803</v>
      </c>
      <c r="N1416">
        <v>59.504360898473202</v>
      </c>
      <c r="O1416">
        <v>54.877975674128898</v>
      </c>
      <c r="P1416">
        <v>-3.0597691160821599E-2</v>
      </c>
      <c r="Q1416">
        <v>0</v>
      </c>
      <c r="R1416">
        <v>0.92096228625587895</v>
      </c>
      <c r="S1416" t="s">
        <v>7984</v>
      </c>
      <c r="T1416" t="s">
        <v>13134</v>
      </c>
      <c r="U1416" t="s">
        <v>13134</v>
      </c>
      <c r="V1416" t="s">
        <v>13134</v>
      </c>
      <c r="W1416" t="s">
        <v>14513</v>
      </c>
      <c r="X1416">
        <v>22</v>
      </c>
      <c r="Y1416" t="s">
        <v>20998</v>
      </c>
      <c r="Z1416" t="s">
        <v>27384</v>
      </c>
      <c r="AA1416">
        <v>0.69786367269538596</v>
      </c>
      <c r="AB1416" t="str">
        <f>HYPERLINK("Melting_Curves/meltCurve_O00154_4_ACOT7.pdf", "Melting_Curves/meltCurve_O00154_4_ACOT7.pdf")</f>
        <v>Melting_Curves/meltCurve_O00154_4_ACOT7.pdf</v>
      </c>
    </row>
    <row r="1417" spans="1:28" x14ac:dyDescent="0.25">
      <c r="A1417" t="s">
        <v>1421</v>
      </c>
      <c r="B1417">
        <v>0.99472303558308395</v>
      </c>
      <c r="C1417">
        <v>0.82936197673594403</v>
      </c>
      <c r="D1417">
        <v>0.824091965241179</v>
      </c>
      <c r="E1417">
        <v>0.50853383712427402</v>
      </c>
      <c r="F1417">
        <v>0.237155016177094</v>
      </c>
      <c r="G1417">
        <v>0.12654898122534899</v>
      </c>
      <c r="H1417">
        <v>6.9250606225265104E-2</v>
      </c>
      <c r="I1417">
        <v>4.9221980720312898E-2</v>
      </c>
      <c r="J1417">
        <v>6.1836817271205602E-2</v>
      </c>
      <c r="K1417">
        <v>6.0260790764710997E-2</v>
      </c>
      <c r="L1417">
        <v>723.65332502137801</v>
      </c>
      <c r="M1417">
        <v>15.619648540381499</v>
      </c>
      <c r="N1417">
        <v>46.5472349358092</v>
      </c>
      <c r="O1417">
        <v>45.5902208799574</v>
      </c>
      <c r="P1417">
        <v>-8.2644454687185606E-2</v>
      </c>
      <c r="Q1417">
        <v>3.5201341184381403E-2</v>
      </c>
      <c r="R1417">
        <v>0.98964939262003804</v>
      </c>
      <c r="S1417" t="s">
        <v>7985</v>
      </c>
      <c r="T1417" t="s">
        <v>13134</v>
      </c>
      <c r="U1417" t="s">
        <v>13134</v>
      </c>
      <c r="V1417" t="s">
        <v>13134</v>
      </c>
      <c r="W1417" t="s">
        <v>14514</v>
      </c>
      <c r="X1417">
        <v>6</v>
      </c>
      <c r="Y1417" t="s">
        <v>20999</v>
      </c>
      <c r="Z1417" t="s">
        <v>27385</v>
      </c>
      <c r="AA1417">
        <v>0.35569300786149222</v>
      </c>
      <c r="AB1417" t="str">
        <f>HYPERLINK("Melting_Curves/meltCurve_O00159_MYO1C.pdf", "Melting_Curves/meltCurve_O00159_MYO1C.pdf")</f>
        <v>Melting_Curves/meltCurve_O00159_MYO1C.pdf</v>
      </c>
    </row>
    <row r="1418" spans="1:28" x14ac:dyDescent="0.25">
      <c r="A1418" t="s">
        <v>1422</v>
      </c>
      <c r="B1418">
        <v>0.99472303558308395</v>
      </c>
      <c r="C1418">
        <v>1.0315251029569501</v>
      </c>
      <c r="D1418">
        <v>0.96677402072123797</v>
      </c>
      <c r="E1418">
        <v>0.86501079858518204</v>
      </c>
      <c r="F1418">
        <v>0.64612284783554896</v>
      </c>
      <c r="G1418">
        <v>0.54325639628981504</v>
      </c>
      <c r="H1418">
        <v>0.51597162838222299</v>
      </c>
      <c r="I1418">
        <v>0.51905900099068303</v>
      </c>
      <c r="J1418">
        <v>0.67873992944450301</v>
      </c>
      <c r="K1418">
        <v>0.58167055199115802</v>
      </c>
      <c r="L1418">
        <v>1592.18475975816</v>
      </c>
      <c r="M1418">
        <v>33.380495866853202</v>
      </c>
      <c r="O1418">
        <v>47.5278463243014</v>
      </c>
      <c r="P1418">
        <v>-7.5989507906305404E-2</v>
      </c>
      <c r="Q1418">
        <v>0.56722006667178104</v>
      </c>
      <c r="R1418">
        <v>0.94758990323682701</v>
      </c>
      <c r="S1418" t="s">
        <v>7986</v>
      </c>
      <c r="T1418" t="s">
        <v>13134</v>
      </c>
      <c r="U1418" t="s">
        <v>13134</v>
      </c>
      <c r="V1418" t="s">
        <v>13134</v>
      </c>
      <c r="W1418" t="s">
        <v>14515</v>
      </c>
      <c r="X1418">
        <v>23</v>
      </c>
      <c r="Y1418" t="s">
        <v>21000</v>
      </c>
      <c r="Z1418" t="s">
        <v>27386</v>
      </c>
      <c r="AA1418">
        <v>0.72360553289194229</v>
      </c>
      <c r="AB1418" t="str">
        <f>HYPERLINK("Melting_Curves/meltCurve_O00161_SNAP23.pdf", "Melting_Curves/meltCurve_O00161_SNAP23.pdf")</f>
        <v>Melting_Curves/meltCurve_O00161_SNAP23.pdf</v>
      </c>
    </row>
    <row r="1419" spans="1:28" x14ac:dyDescent="0.25">
      <c r="A1419" t="s">
        <v>1423</v>
      </c>
      <c r="B1419">
        <v>0.99472303558308395</v>
      </c>
      <c r="C1419">
        <v>0.86534437783413698</v>
      </c>
      <c r="D1419">
        <v>0.69919580894209998</v>
      </c>
      <c r="E1419">
        <v>0.43614258917383403</v>
      </c>
      <c r="F1419">
        <v>0.22324140728421901</v>
      </c>
      <c r="G1419">
        <v>8.3088191048962895E-2</v>
      </c>
      <c r="H1419">
        <v>4.6955973110446698E-2</v>
      </c>
      <c r="I1419">
        <v>2.79550931170412E-2</v>
      </c>
      <c r="J1419">
        <v>4.1703214117949701E-2</v>
      </c>
      <c r="K1419">
        <v>3.4179096685521902E-2</v>
      </c>
      <c r="L1419">
        <v>662.09153928183002</v>
      </c>
      <c r="M1419">
        <v>14.547579771637199</v>
      </c>
      <c r="N1419">
        <v>45.5880802411452</v>
      </c>
      <c r="O1419">
        <v>44.678082069128003</v>
      </c>
      <c r="P1419">
        <v>-8.0436879192656602E-2</v>
      </c>
      <c r="Q1419">
        <v>1.1971402720943099E-2</v>
      </c>
      <c r="R1419">
        <v>0.99788836824011895</v>
      </c>
      <c r="S1419" t="s">
        <v>7987</v>
      </c>
      <c r="T1419" t="s">
        <v>13134</v>
      </c>
      <c r="U1419" t="s">
        <v>13134</v>
      </c>
      <c r="V1419" t="s">
        <v>13134</v>
      </c>
      <c r="W1419" t="s">
        <v>14516</v>
      </c>
      <c r="X1419">
        <v>5</v>
      </c>
      <c r="Y1419" t="s">
        <v>21001</v>
      </c>
      <c r="Z1419" t="s">
        <v>27387</v>
      </c>
      <c r="AA1419">
        <v>0.31682730016583649</v>
      </c>
      <c r="AB1419" t="str">
        <f>HYPERLINK("Melting_Curves/meltCurve_O00165_5_HAX1.pdf", "Melting_Curves/meltCurve_O00165_5_HAX1.pdf")</f>
        <v>Melting_Curves/meltCurve_O00165_5_HAX1.pdf</v>
      </c>
    </row>
    <row r="1420" spans="1:28" x14ac:dyDescent="0.25">
      <c r="A1420" t="s">
        <v>1424</v>
      </c>
      <c r="B1420">
        <v>0.99472303558308395</v>
      </c>
      <c r="C1420">
        <v>0.93363142482213102</v>
      </c>
      <c r="D1420">
        <v>0.95305792599966099</v>
      </c>
      <c r="E1420">
        <v>0.72061285558906296</v>
      </c>
      <c r="F1420">
        <v>0.26198910248886598</v>
      </c>
      <c r="G1420">
        <v>0.119508150986418</v>
      </c>
      <c r="H1420">
        <v>6.7192595792340395E-2</v>
      </c>
      <c r="I1420">
        <v>4.7304721286753899E-2</v>
      </c>
      <c r="J1420">
        <v>5.7807370564759201E-2</v>
      </c>
      <c r="K1420">
        <v>4.49281201756732E-2</v>
      </c>
      <c r="L1420">
        <v>1293.0679893250799</v>
      </c>
      <c r="M1420">
        <v>26.9303546861412</v>
      </c>
      <c r="N1420">
        <v>48.213287172930499</v>
      </c>
      <c r="O1420">
        <v>47.752846501602598</v>
      </c>
      <c r="P1420">
        <v>-0.13360806402262501</v>
      </c>
      <c r="Q1420">
        <v>5.2355367247455903E-2</v>
      </c>
      <c r="R1420">
        <v>0.99705305236337605</v>
      </c>
      <c r="S1420" t="s">
        <v>7988</v>
      </c>
      <c r="T1420" t="s">
        <v>13134</v>
      </c>
      <c r="U1420" t="s">
        <v>13134</v>
      </c>
      <c r="V1420" t="s">
        <v>13134</v>
      </c>
      <c r="W1420" t="s">
        <v>14517</v>
      </c>
      <c r="X1420">
        <v>15</v>
      </c>
      <c r="Y1420" t="s">
        <v>21002</v>
      </c>
      <c r="Z1420" t="s">
        <v>27388</v>
      </c>
      <c r="AA1420">
        <v>0.4072751143025341</v>
      </c>
      <c r="AB1420" t="str">
        <f>HYPERLINK("Melting_Curves/meltCurve_O00170_AIP.pdf", "Melting_Curves/meltCurve_O00170_AIP.pdf")</f>
        <v>Melting_Curves/meltCurve_O00170_AIP.pdf</v>
      </c>
    </row>
    <row r="1421" spans="1:28" x14ac:dyDescent="0.25">
      <c r="A1421" t="s">
        <v>1425</v>
      </c>
      <c r="B1421">
        <v>0.99472303558308395</v>
      </c>
      <c r="C1421">
        <v>0.99975085196302504</v>
      </c>
      <c r="D1421">
        <v>0.93602727045960799</v>
      </c>
      <c r="E1421">
        <v>0.83876259726182301</v>
      </c>
      <c r="F1421">
        <v>0.55118800162756199</v>
      </c>
      <c r="G1421">
        <v>0.202351579050987</v>
      </c>
      <c r="H1421">
        <v>8.7417001104595105E-2</v>
      </c>
      <c r="I1421">
        <v>5.7551783715089601E-2</v>
      </c>
      <c r="J1421">
        <v>5.8658508703693199E-2</v>
      </c>
      <c r="K1421">
        <v>4.8277178537422201E-2</v>
      </c>
      <c r="L1421">
        <v>1086.3066806458501</v>
      </c>
      <c r="M1421">
        <v>21.6135055320124</v>
      </c>
      <c r="N1421">
        <v>50.441526550306598</v>
      </c>
      <c r="O1421">
        <v>49.836241100505198</v>
      </c>
      <c r="P1421">
        <v>-0.104380156897688</v>
      </c>
      <c r="Q1421">
        <v>3.7307721158654501E-2</v>
      </c>
      <c r="R1421">
        <v>0.99803085971254202</v>
      </c>
      <c r="S1421" t="s">
        <v>7989</v>
      </c>
      <c r="T1421" t="s">
        <v>13134</v>
      </c>
      <c r="U1421" t="s">
        <v>13134</v>
      </c>
      <c r="V1421" t="s">
        <v>13134</v>
      </c>
      <c r="W1421" t="s">
        <v>14518</v>
      </c>
      <c r="X1421">
        <v>17</v>
      </c>
      <c r="Y1421" t="s">
        <v>21003</v>
      </c>
      <c r="Z1421" t="s">
        <v>27389</v>
      </c>
      <c r="AA1421">
        <v>0.47388198322159331</v>
      </c>
      <c r="AB1421" t="str">
        <f>HYPERLINK("Melting_Curves/meltCurve_O00178_GTPBP1.pdf", "Melting_Curves/meltCurve_O00178_GTPBP1.pdf")</f>
        <v>Melting_Curves/meltCurve_O00178_GTPBP1.pdf</v>
      </c>
    </row>
    <row r="1422" spans="1:28" x14ac:dyDescent="0.25">
      <c r="A1422" t="s">
        <v>1426</v>
      </c>
      <c r="B1422">
        <v>0.99472303558308395</v>
      </c>
      <c r="C1422">
        <v>1.0954696305999301</v>
      </c>
      <c r="D1422">
        <v>0.96388446535287697</v>
      </c>
      <c r="E1422">
        <v>0.90748617840124901</v>
      </c>
      <c r="F1422">
        <v>0.78568747354008694</v>
      </c>
      <c r="G1422">
        <v>0.462109780163381</v>
      </c>
      <c r="H1422">
        <v>0.28323200642970803</v>
      </c>
      <c r="I1422">
        <v>0.25152904250715202</v>
      </c>
      <c r="J1422">
        <v>0.26644807365405698</v>
      </c>
      <c r="K1422">
        <v>0.29480207262569702</v>
      </c>
      <c r="L1422">
        <v>1327.10656530249</v>
      </c>
      <c r="M1422">
        <v>25.6581898466446</v>
      </c>
      <c r="N1422">
        <v>53.218959770383599</v>
      </c>
      <c r="O1422">
        <v>51.4114194694208</v>
      </c>
      <c r="P1422">
        <v>-9.2706918848954906E-2</v>
      </c>
      <c r="Q1422">
        <v>0.25698008926618199</v>
      </c>
      <c r="R1422">
        <v>0.98570591186385503</v>
      </c>
      <c r="S1422" t="s">
        <v>7990</v>
      </c>
      <c r="T1422" t="s">
        <v>13134</v>
      </c>
      <c r="U1422" t="s">
        <v>13134</v>
      </c>
      <c r="V1422" t="s">
        <v>13134</v>
      </c>
      <c r="W1422" t="s">
        <v>14519</v>
      </c>
      <c r="X1422">
        <v>2</v>
      </c>
      <c r="Y1422" t="s">
        <v>21004</v>
      </c>
      <c r="Z1422" t="s">
        <v>27390</v>
      </c>
      <c r="AA1422">
        <v>0.6278919319135704</v>
      </c>
      <c r="AB1422" t="str">
        <f>HYPERLINK("Melting_Curves/meltCurve_O00180_KCNK1.pdf", "Melting_Curves/meltCurve_O00180_KCNK1.pdf")</f>
        <v>Melting_Curves/meltCurve_O00180_KCNK1.pdf</v>
      </c>
    </row>
    <row r="1423" spans="1:28" x14ac:dyDescent="0.25">
      <c r="A1423" t="s">
        <v>1427</v>
      </c>
      <c r="B1423">
        <v>0.99472303558308395</v>
      </c>
      <c r="C1423">
        <v>1.05684284273232</v>
      </c>
      <c r="D1423">
        <v>0.87861610442401405</v>
      </c>
      <c r="E1423">
        <v>0.59351858187066198</v>
      </c>
      <c r="F1423">
        <v>0.20695846297786299</v>
      </c>
      <c r="G1423">
        <v>0.108663716813532</v>
      </c>
      <c r="H1423">
        <v>7.3703294453115395E-2</v>
      </c>
      <c r="I1423">
        <v>5.6537431518347003E-2</v>
      </c>
      <c r="J1423">
        <v>7.1356083925749395E-2</v>
      </c>
      <c r="K1423">
        <v>6.2509476717485399E-2</v>
      </c>
      <c r="L1423">
        <v>1161.9027231766599</v>
      </c>
      <c r="M1423">
        <v>24.7326696210995</v>
      </c>
      <c r="N1423">
        <v>47.231825936688203</v>
      </c>
      <c r="O1423">
        <v>46.674569295337299</v>
      </c>
      <c r="P1423">
        <v>-0.124245884390837</v>
      </c>
      <c r="Q1423">
        <v>6.2124411244881002E-2</v>
      </c>
      <c r="R1423">
        <v>0.99594783604061798</v>
      </c>
      <c r="S1423" t="s">
        <v>7991</v>
      </c>
      <c r="T1423" t="s">
        <v>13134</v>
      </c>
      <c r="U1423" t="s">
        <v>13134</v>
      </c>
      <c r="V1423" t="s">
        <v>13134</v>
      </c>
      <c r="W1423" t="s">
        <v>14520</v>
      </c>
      <c r="X1423">
        <v>17</v>
      </c>
      <c r="Y1423" t="s">
        <v>21005</v>
      </c>
      <c r="Z1423" t="s">
        <v>27391</v>
      </c>
      <c r="AA1423">
        <v>0.38212240165165151</v>
      </c>
      <c r="AB1423" t="str">
        <f>HYPERLINK("Melting_Curves/meltCurve_O00186_STXBP3.pdf", "Melting_Curves/meltCurve_O00186_STXBP3.pdf")</f>
        <v>Melting_Curves/meltCurve_O00186_STXBP3.pdf</v>
      </c>
    </row>
    <row r="1424" spans="1:28" x14ac:dyDescent="0.25">
      <c r="A1424" t="s">
        <v>1428</v>
      </c>
      <c r="B1424">
        <v>0.99472303558308395</v>
      </c>
      <c r="C1424">
        <v>0.92310179104108903</v>
      </c>
      <c r="D1424">
        <v>0.83122331245194003</v>
      </c>
      <c r="E1424">
        <v>0.65667405674227897</v>
      </c>
      <c r="F1424">
        <v>0.299047950356987</v>
      </c>
      <c r="G1424">
        <v>7.7252075279100094E-2</v>
      </c>
      <c r="H1424">
        <v>5.3631908144997201E-2</v>
      </c>
      <c r="I1424">
        <v>3.3406421748532603E-2</v>
      </c>
      <c r="J1424">
        <v>4.2727995755103797E-2</v>
      </c>
      <c r="K1424">
        <v>3.7440787852400702E-2</v>
      </c>
      <c r="L1424">
        <v>854.32474559738102</v>
      </c>
      <c r="M1424">
        <v>17.914684723618901</v>
      </c>
      <c r="N1424">
        <v>47.7615277813291</v>
      </c>
      <c r="O1424">
        <v>47.106207304756303</v>
      </c>
      <c r="P1424">
        <v>-9.3796564644147706E-2</v>
      </c>
      <c r="Q1424">
        <v>1.3506880950951299E-2</v>
      </c>
      <c r="R1424">
        <v>0.993349910515259</v>
      </c>
      <c r="S1424" t="s">
        <v>7992</v>
      </c>
      <c r="T1424" t="s">
        <v>13134</v>
      </c>
      <c r="U1424" t="s">
        <v>13134</v>
      </c>
      <c r="V1424" t="s">
        <v>13134</v>
      </c>
      <c r="W1424" t="s">
        <v>14521</v>
      </c>
      <c r="X1424">
        <v>25</v>
      </c>
      <c r="Y1424" t="s">
        <v>21006</v>
      </c>
      <c r="Z1424" t="s">
        <v>27392</v>
      </c>
      <c r="AA1424">
        <v>0.38090664542895858</v>
      </c>
      <c r="AB1424" t="str">
        <f>HYPERLINK("Melting_Curves/meltCurve_O00203_AP3B1.pdf", "Melting_Curves/meltCurve_O00203_AP3B1.pdf")</f>
        <v>Melting_Curves/meltCurve_O00203_AP3B1.pdf</v>
      </c>
    </row>
    <row r="1425" spans="1:28" x14ac:dyDescent="0.25">
      <c r="A1425" t="s">
        <v>1429</v>
      </c>
      <c r="B1425">
        <v>0.99472303558308395</v>
      </c>
      <c r="C1425">
        <v>0.92166017653131604</v>
      </c>
      <c r="D1425">
        <v>0.85146524738523999</v>
      </c>
      <c r="E1425">
        <v>0.63214676891949995</v>
      </c>
      <c r="F1425">
        <v>0.26804922019128602</v>
      </c>
      <c r="G1425">
        <v>0.1208265920833</v>
      </c>
      <c r="H1425">
        <v>7.0979961916023501E-2</v>
      </c>
      <c r="I1425">
        <v>5.6755717382237302E-2</v>
      </c>
      <c r="J1425">
        <v>5.9130369263502798E-2</v>
      </c>
      <c r="K1425">
        <v>5.11953472844143E-2</v>
      </c>
      <c r="L1425">
        <v>878.41975163983</v>
      </c>
      <c r="M1425">
        <v>18.540823060258699</v>
      </c>
      <c r="N1425">
        <v>47.589624955242002</v>
      </c>
      <c r="O1425">
        <v>46.836776877989699</v>
      </c>
      <c r="P1425">
        <v>-9.5045692806461204E-2</v>
      </c>
      <c r="Q1425">
        <v>3.9645977644151599E-2</v>
      </c>
      <c r="R1425">
        <v>0.99630992158570197</v>
      </c>
      <c r="S1425" t="s">
        <v>7993</v>
      </c>
      <c r="T1425" t="s">
        <v>13134</v>
      </c>
      <c r="U1425" t="s">
        <v>13134</v>
      </c>
      <c r="V1425" t="s">
        <v>13134</v>
      </c>
      <c r="W1425" t="s">
        <v>14522</v>
      </c>
      <c r="X1425">
        <v>7</v>
      </c>
      <c r="Y1425" t="s">
        <v>21007</v>
      </c>
      <c r="Z1425" t="s">
        <v>27393</v>
      </c>
      <c r="AA1425">
        <v>0.3864056860908251</v>
      </c>
      <c r="AB1425" t="str">
        <f>HYPERLINK("Melting_Curves/meltCurve_O00214_2_LGALS8.pdf", "Melting_Curves/meltCurve_O00214_2_LGALS8.pdf")</f>
        <v>Melting_Curves/meltCurve_O00214_2_LGALS8.pdf</v>
      </c>
    </row>
    <row r="1426" spans="1:28" x14ac:dyDescent="0.25">
      <c r="A1426" t="s">
        <v>1430</v>
      </c>
      <c r="B1426">
        <v>0.99472303558308395</v>
      </c>
      <c r="C1426">
        <v>0.91506325204925798</v>
      </c>
      <c r="D1426">
        <v>0.82819183352602599</v>
      </c>
      <c r="E1426">
        <v>0.68601878872552402</v>
      </c>
      <c r="F1426">
        <v>0.34654011092471998</v>
      </c>
      <c r="G1426">
        <v>0.15183928197475699</v>
      </c>
      <c r="H1426">
        <v>8.9074395628590194E-2</v>
      </c>
      <c r="I1426">
        <v>7.6148426892324803E-2</v>
      </c>
      <c r="J1426">
        <v>8.9082932944167206E-2</v>
      </c>
      <c r="K1426">
        <v>5.2953178406832897E-2</v>
      </c>
      <c r="L1426">
        <v>771.84971659073301</v>
      </c>
      <c r="M1426">
        <v>16.096823258030302</v>
      </c>
      <c r="N1426">
        <v>48.214940880050698</v>
      </c>
      <c r="O1426">
        <v>47.228708488556002</v>
      </c>
      <c r="P1426">
        <v>-8.1612211983648403E-2</v>
      </c>
      <c r="Q1426">
        <v>4.2259921484027803E-2</v>
      </c>
      <c r="R1426">
        <v>0.99297564565691299</v>
      </c>
      <c r="S1426" t="s">
        <v>7994</v>
      </c>
      <c r="T1426" t="s">
        <v>13134</v>
      </c>
      <c r="U1426" t="s">
        <v>13134</v>
      </c>
      <c r="V1426" t="s">
        <v>13134</v>
      </c>
      <c r="W1426" t="s">
        <v>14523</v>
      </c>
      <c r="X1426">
        <v>7</v>
      </c>
      <c r="Y1426" t="s">
        <v>21008</v>
      </c>
      <c r="Z1426" t="s">
        <v>27394</v>
      </c>
      <c r="AA1426">
        <v>0.41055380226098048</v>
      </c>
      <c r="AB1426" t="str">
        <f>HYPERLINK("Melting_Curves/meltCurve_O00217_NDUFS8.pdf", "Melting_Curves/meltCurve_O00217_NDUFS8.pdf")</f>
        <v>Melting_Curves/meltCurve_O00217_NDUFS8.pdf</v>
      </c>
    </row>
    <row r="1427" spans="1:28" x14ac:dyDescent="0.25">
      <c r="A1427" t="s">
        <v>1431</v>
      </c>
      <c r="B1427">
        <v>0.99472303558308395</v>
      </c>
      <c r="C1427">
        <v>0.95523868686418201</v>
      </c>
      <c r="D1427">
        <v>0.93890639000994103</v>
      </c>
      <c r="E1427">
        <v>0.80052419558148302</v>
      </c>
      <c r="F1427">
        <v>0.46647665350854101</v>
      </c>
      <c r="G1427">
        <v>0.35297402698235097</v>
      </c>
      <c r="H1427">
        <v>0.282889574245277</v>
      </c>
      <c r="I1427">
        <v>0.30003387055868502</v>
      </c>
      <c r="J1427">
        <v>0.332043628559203</v>
      </c>
      <c r="K1427">
        <v>0.283049794579114</v>
      </c>
      <c r="L1427">
        <v>1212.33924714458</v>
      </c>
      <c r="M1427">
        <v>25.201933945917698</v>
      </c>
      <c r="N1427">
        <v>49.884474023310197</v>
      </c>
      <c r="O1427">
        <v>47.8051927213412</v>
      </c>
      <c r="P1427">
        <v>-9.2717499910891898E-2</v>
      </c>
      <c r="Q1427">
        <v>0.296511099599365</v>
      </c>
      <c r="R1427">
        <v>0.994261275005065</v>
      </c>
      <c r="S1427" t="s">
        <v>7995</v>
      </c>
      <c r="T1427" t="s">
        <v>13134</v>
      </c>
      <c r="U1427" t="s">
        <v>13134</v>
      </c>
      <c r="V1427" t="s">
        <v>13134</v>
      </c>
      <c r="W1427" t="s">
        <v>14524</v>
      </c>
      <c r="X1427">
        <v>5</v>
      </c>
      <c r="Y1427" t="s">
        <v>21009</v>
      </c>
      <c r="Z1427" t="s">
        <v>27395</v>
      </c>
      <c r="AA1427">
        <v>0.56282877671254117</v>
      </c>
      <c r="AB1427" t="str">
        <f>HYPERLINK("Melting_Curves/meltCurve_O00220_TNFRSF10A.pdf", "Melting_Curves/meltCurve_O00220_TNFRSF10A.pdf")</f>
        <v>Melting_Curves/meltCurve_O00220_TNFRSF10A.pdf</v>
      </c>
    </row>
    <row r="1428" spans="1:28" x14ac:dyDescent="0.25">
      <c r="A1428" t="s">
        <v>1432</v>
      </c>
      <c r="B1428">
        <v>0.99472303558308395</v>
      </c>
      <c r="C1428">
        <v>1.0292355730453999</v>
      </c>
      <c r="D1428">
        <v>0.925358657227763</v>
      </c>
      <c r="E1428">
        <v>0.73984767869844204</v>
      </c>
      <c r="F1428">
        <v>0.24919010603819</v>
      </c>
      <c r="G1428">
        <v>0.101084293507142</v>
      </c>
      <c r="H1428">
        <v>6.5363006983581495E-2</v>
      </c>
      <c r="I1428">
        <v>4.53881247449512E-2</v>
      </c>
      <c r="J1428">
        <v>4.8586692503985701E-2</v>
      </c>
      <c r="K1428">
        <v>4.1907831451427603E-2</v>
      </c>
      <c r="L1428">
        <v>1383.5104574656</v>
      </c>
      <c r="M1428">
        <v>28.791719546074201</v>
      </c>
      <c r="N1428">
        <v>48.221716446627298</v>
      </c>
      <c r="O1428">
        <v>47.822354605837397</v>
      </c>
      <c r="P1428">
        <v>-0.14327785534863699</v>
      </c>
      <c r="Q1428">
        <v>4.8083018028007497E-2</v>
      </c>
      <c r="R1428">
        <v>0.99791630427692901</v>
      </c>
      <c r="S1428" t="s">
        <v>7996</v>
      </c>
      <c r="T1428" t="s">
        <v>13134</v>
      </c>
      <c r="U1428" t="s">
        <v>13134</v>
      </c>
      <c r="V1428" t="s">
        <v>13134</v>
      </c>
      <c r="W1428" t="s">
        <v>14525</v>
      </c>
      <c r="X1428">
        <v>6</v>
      </c>
      <c r="Y1428" t="s">
        <v>21010</v>
      </c>
      <c r="Z1428" t="s">
        <v>27396</v>
      </c>
      <c r="AA1428">
        <v>0.40490926407907207</v>
      </c>
      <c r="AB1428" t="str">
        <f>HYPERLINK("Melting_Curves/meltCurve_O00221_NFKBIE.pdf", "Melting_Curves/meltCurve_O00221_NFKBIE.pdf")</f>
        <v>Melting_Curves/meltCurve_O00221_NFKBIE.pdf</v>
      </c>
    </row>
    <row r="1429" spans="1:28" x14ac:dyDescent="0.25">
      <c r="A1429" t="s">
        <v>1433</v>
      </c>
      <c r="B1429">
        <v>0.99472303558308395</v>
      </c>
      <c r="C1429">
        <v>0.96717175936062205</v>
      </c>
      <c r="D1429">
        <v>0.77098275383752501</v>
      </c>
      <c r="E1429">
        <v>0.58624325274008604</v>
      </c>
      <c r="F1429">
        <v>0.42611199912804998</v>
      </c>
      <c r="G1429">
        <v>0.14381837466502601</v>
      </c>
      <c r="H1429">
        <v>6.1560269664689103E-2</v>
      </c>
      <c r="I1429">
        <v>3.8624045605170902E-2</v>
      </c>
      <c r="J1429">
        <v>3.9024147184901901E-2</v>
      </c>
      <c r="K1429">
        <v>3.4382569342499503E-2</v>
      </c>
      <c r="L1429">
        <v>644.19667768686998</v>
      </c>
      <c r="M1429">
        <v>13.4466801942015</v>
      </c>
      <c r="N1429">
        <v>47.907492440537297</v>
      </c>
      <c r="O1429">
        <v>46.885154217825097</v>
      </c>
      <c r="P1429">
        <v>-7.1711200991828497E-2</v>
      </c>
      <c r="Q1429">
        <v>0</v>
      </c>
      <c r="R1429">
        <v>0.99087589838937196</v>
      </c>
      <c r="S1429" t="s">
        <v>7997</v>
      </c>
      <c r="T1429" t="s">
        <v>13134</v>
      </c>
      <c r="U1429" t="s">
        <v>13134</v>
      </c>
      <c r="V1429" t="s">
        <v>13134</v>
      </c>
      <c r="W1429" t="s">
        <v>14526</v>
      </c>
      <c r="X1429">
        <v>24</v>
      </c>
      <c r="Y1429" t="s">
        <v>21011</v>
      </c>
      <c r="Z1429" t="s">
        <v>27397</v>
      </c>
      <c r="AA1429">
        <v>0.38999483341404212</v>
      </c>
      <c r="AB1429" t="str">
        <f>HYPERLINK("Melting_Curves/meltCurve_O00231_PSMD11.pdf", "Melting_Curves/meltCurve_O00231_PSMD11.pdf")</f>
        <v>Melting_Curves/meltCurve_O00231_PSMD11.pdf</v>
      </c>
    </row>
    <row r="1430" spans="1:28" x14ac:dyDescent="0.25">
      <c r="A1430" t="s">
        <v>1434</v>
      </c>
      <c r="B1430">
        <v>0.99472303558308395</v>
      </c>
      <c r="C1430">
        <v>0.97597392249330805</v>
      </c>
      <c r="D1430">
        <v>0.76852875097996298</v>
      </c>
      <c r="E1430">
        <v>0.63101905455435503</v>
      </c>
      <c r="F1430">
        <v>0.44300251861122603</v>
      </c>
      <c r="G1430">
        <v>0.15228837153501801</v>
      </c>
      <c r="H1430">
        <v>6.0618905260967901E-2</v>
      </c>
      <c r="I1430">
        <v>3.8384882027027598E-2</v>
      </c>
      <c r="J1430">
        <v>4.1547061126362597E-2</v>
      </c>
      <c r="K1430">
        <v>4.1531214759846398E-2</v>
      </c>
      <c r="L1430">
        <v>657.414984868038</v>
      </c>
      <c r="M1430">
        <v>13.619883662105201</v>
      </c>
      <c r="N1430">
        <v>48.268766619016901</v>
      </c>
      <c r="O1430">
        <v>47.263865200035703</v>
      </c>
      <c r="P1430">
        <v>-7.2052358484695794E-2</v>
      </c>
      <c r="Q1430">
        <v>0</v>
      </c>
      <c r="R1430">
        <v>0.98880584647168501</v>
      </c>
      <c r="S1430" t="s">
        <v>7998</v>
      </c>
      <c r="T1430" t="s">
        <v>13134</v>
      </c>
      <c r="U1430" t="s">
        <v>13134</v>
      </c>
      <c r="V1430" t="s">
        <v>13134</v>
      </c>
      <c r="W1430" t="s">
        <v>14527</v>
      </c>
      <c r="X1430">
        <v>23</v>
      </c>
      <c r="Y1430" t="s">
        <v>21012</v>
      </c>
      <c r="Z1430" t="s">
        <v>27398</v>
      </c>
      <c r="AA1430">
        <v>0.40119068315829892</v>
      </c>
      <c r="AB1430" t="str">
        <f>HYPERLINK("Melting_Curves/meltCurve_O00232_PSMD12.pdf", "Melting_Curves/meltCurve_O00232_PSMD12.pdf")</f>
        <v>Melting_Curves/meltCurve_O00232_PSMD12.pdf</v>
      </c>
    </row>
    <row r="1431" spans="1:28" x14ac:dyDescent="0.25">
      <c r="A1431" t="s">
        <v>1435</v>
      </c>
      <c r="B1431">
        <v>0.99472303558308395</v>
      </c>
      <c r="C1431">
        <v>1.03380564290832</v>
      </c>
      <c r="D1431">
        <v>0.98342852036211403</v>
      </c>
      <c r="E1431">
        <v>0.90210708003375195</v>
      </c>
      <c r="F1431">
        <v>0.73886379437216998</v>
      </c>
      <c r="G1431">
        <v>0.568843177411684</v>
      </c>
      <c r="H1431">
        <v>0.49859772764440602</v>
      </c>
      <c r="I1431">
        <v>0.49917436100948498</v>
      </c>
      <c r="J1431">
        <v>0.62696927836525396</v>
      </c>
      <c r="K1431">
        <v>0.45767524473430798</v>
      </c>
      <c r="L1431">
        <v>1219.3329630795699</v>
      </c>
      <c r="M1431">
        <v>24.581379269978001</v>
      </c>
      <c r="O1431">
        <v>49.279138293983699</v>
      </c>
      <c r="P1431">
        <v>-6.0512388434574502E-2</v>
      </c>
      <c r="Q1431">
        <v>0.51476192373118101</v>
      </c>
      <c r="R1431">
        <v>0.96014366739282597</v>
      </c>
      <c r="S1431" t="s">
        <v>7999</v>
      </c>
      <c r="T1431" t="s">
        <v>13134</v>
      </c>
      <c r="U1431" t="s">
        <v>13134</v>
      </c>
      <c r="V1431" t="s">
        <v>13134</v>
      </c>
      <c r="W1431" t="s">
        <v>14528</v>
      </c>
      <c r="X1431">
        <v>7</v>
      </c>
      <c r="Y1431" t="s">
        <v>21013</v>
      </c>
      <c r="Z1431" t="s">
        <v>27399</v>
      </c>
      <c r="AA1431">
        <v>0.72298929559191838</v>
      </c>
      <c r="AB1431" t="str">
        <f>HYPERLINK("Melting_Curves/meltCurve_O00244_ATOX1.pdf", "Melting_Curves/meltCurve_O00244_ATOX1.pdf")</f>
        <v>Melting_Curves/meltCurve_O00244_ATOX1.pdf</v>
      </c>
    </row>
    <row r="1432" spans="1:28" x14ac:dyDescent="0.25">
      <c r="A1432" t="s">
        <v>1436</v>
      </c>
      <c r="B1432">
        <v>0.99472303558308395</v>
      </c>
      <c r="C1432">
        <v>0.96667102023526597</v>
      </c>
      <c r="D1432">
        <v>0.83000424842793397</v>
      </c>
      <c r="E1432">
        <v>0.75737874609160505</v>
      </c>
      <c r="F1432">
        <v>0.62540211463629103</v>
      </c>
      <c r="G1432">
        <v>0.30463933564083601</v>
      </c>
      <c r="H1432">
        <v>0.19034938358032399</v>
      </c>
      <c r="I1432">
        <v>0.17569636897108601</v>
      </c>
      <c r="J1432">
        <v>0.226775500392497</v>
      </c>
      <c r="K1432">
        <v>0.28270484038851801</v>
      </c>
      <c r="L1432">
        <v>747.62164794989701</v>
      </c>
      <c r="M1432">
        <v>15.1965247701291</v>
      </c>
      <c r="N1432">
        <v>50.704818491866099</v>
      </c>
      <c r="O1432">
        <v>48.3685641985873</v>
      </c>
      <c r="P1432">
        <v>-6.4271852177591696E-2</v>
      </c>
      <c r="Q1432">
        <v>0.181802861279204</v>
      </c>
      <c r="R1432">
        <v>0.96441847012405302</v>
      </c>
      <c r="S1432" t="s">
        <v>8000</v>
      </c>
      <c r="T1432" t="s">
        <v>13134</v>
      </c>
      <c r="U1432" t="s">
        <v>13134</v>
      </c>
      <c r="V1432" t="s">
        <v>13134</v>
      </c>
      <c r="W1432" t="s">
        <v>14529</v>
      </c>
      <c r="X1432">
        <v>13</v>
      </c>
      <c r="Y1432" t="s">
        <v>21014</v>
      </c>
      <c r="Z1432" t="s">
        <v>27400</v>
      </c>
      <c r="AA1432">
        <v>0.53161216992544225</v>
      </c>
      <c r="AB1432" t="str">
        <f>HYPERLINK("Melting_Curves/meltCurve_O00264_PGRMC1.pdf", "Melting_Curves/meltCurve_O00264_PGRMC1.pdf")</f>
        <v>Melting_Curves/meltCurve_O00264_PGRMC1.pdf</v>
      </c>
    </row>
    <row r="1433" spans="1:28" x14ac:dyDescent="0.25">
      <c r="A1433" t="s">
        <v>1437</v>
      </c>
      <c r="B1433">
        <v>0.99472303558308395</v>
      </c>
      <c r="C1433">
        <v>0.92596533799932201</v>
      </c>
      <c r="D1433">
        <v>0.913916512425617</v>
      </c>
      <c r="E1433">
        <v>0.71695088230452697</v>
      </c>
      <c r="F1433">
        <v>0.33995036223974301</v>
      </c>
      <c r="G1433">
        <v>0.107202285665995</v>
      </c>
      <c r="H1433">
        <v>7.2118485527243106E-2</v>
      </c>
      <c r="I1433">
        <v>4.81828879317052E-2</v>
      </c>
      <c r="J1433">
        <v>5.9381884504244101E-2</v>
      </c>
      <c r="K1433">
        <v>4.80227473317065E-2</v>
      </c>
      <c r="L1433">
        <v>1044.1719981972401</v>
      </c>
      <c r="M1433">
        <v>21.614415949166201</v>
      </c>
      <c r="N1433">
        <v>48.496970925808597</v>
      </c>
      <c r="O1433">
        <v>47.9012662066716</v>
      </c>
      <c r="P1433">
        <v>-0.10827837938601401</v>
      </c>
      <c r="Q1433">
        <v>4.0169370408556303E-2</v>
      </c>
      <c r="R1433">
        <v>0.99611916852149796</v>
      </c>
      <c r="S1433" t="s">
        <v>8001</v>
      </c>
      <c r="T1433" t="s">
        <v>13134</v>
      </c>
      <c r="U1433" t="s">
        <v>13134</v>
      </c>
      <c r="V1433" t="s">
        <v>13134</v>
      </c>
      <c r="W1433" t="s">
        <v>14530</v>
      </c>
      <c r="X1433">
        <v>36</v>
      </c>
      <c r="Y1433" t="s">
        <v>21015</v>
      </c>
      <c r="Z1433" t="s">
        <v>27401</v>
      </c>
      <c r="AA1433">
        <v>0.41289471530105248</v>
      </c>
      <c r="AB1433" t="str">
        <f>HYPERLINK("Melting_Curves/meltCurve_O00267_2_SUPT5H.pdf", "Melting_Curves/meltCurve_O00267_2_SUPT5H.pdf")</f>
        <v>Melting_Curves/meltCurve_O00267_2_SUPT5H.pdf</v>
      </c>
    </row>
    <row r="1434" spans="1:28" x14ac:dyDescent="0.25">
      <c r="A1434" t="s">
        <v>1438</v>
      </c>
      <c r="B1434">
        <v>0.99472303558308395</v>
      </c>
      <c r="C1434">
        <v>1.0063205972221601</v>
      </c>
      <c r="D1434">
        <v>1.0713405087414101</v>
      </c>
      <c r="E1434">
        <v>0.92281549156444398</v>
      </c>
      <c r="F1434">
        <v>0.65584464097045603</v>
      </c>
      <c r="G1434">
        <v>0.496910083895507</v>
      </c>
      <c r="H1434">
        <v>0.22362744377006399</v>
      </c>
      <c r="I1434">
        <v>0.17118305132748601</v>
      </c>
      <c r="J1434">
        <v>0.17380633608313101</v>
      </c>
      <c r="K1434">
        <v>0.14500001209059901</v>
      </c>
      <c r="L1434">
        <v>977.59265262691997</v>
      </c>
      <c r="M1434">
        <v>18.789614025176299</v>
      </c>
      <c r="N1434">
        <v>52.889871617066802</v>
      </c>
      <c r="O1434">
        <v>51.449755787321699</v>
      </c>
      <c r="P1434">
        <v>-7.9267903091421898E-2</v>
      </c>
      <c r="Q1434">
        <v>0.13182980059340499</v>
      </c>
      <c r="R1434">
        <v>0.98819007345969301</v>
      </c>
      <c r="S1434" t="s">
        <v>8002</v>
      </c>
      <c r="T1434" t="s">
        <v>13134</v>
      </c>
      <c r="U1434" t="s">
        <v>13134</v>
      </c>
      <c r="V1434" t="s">
        <v>13134</v>
      </c>
      <c r="W1434" t="s">
        <v>14531</v>
      </c>
      <c r="X1434">
        <v>18</v>
      </c>
      <c r="Y1434" t="s">
        <v>21016</v>
      </c>
      <c r="Z1434" t="s">
        <v>27402</v>
      </c>
      <c r="AA1434">
        <v>0.57905825000543032</v>
      </c>
      <c r="AB1434" t="str">
        <f>HYPERLINK("Melting_Curves/meltCurve_O00273_DFFA.pdf", "Melting_Curves/meltCurve_O00273_DFFA.pdf")</f>
        <v>Melting_Curves/meltCurve_O00273_DFFA.pdf</v>
      </c>
    </row>
    <row r="1435" spans="1:28" x14ac:dyDescent="0.25">
      <c r="A1435" t="s">
        <v>1439</v>
      </c>
      <c r="B1435">
        <v>0.99472303558308395</v>
      </c>
      <c r="C1435">
        <v>1.16614509209122</v>
      </c>
      <c r="D1435">
        <v>0.96127550419988805</v>
      </c>
      <c r="E1435">
        <v>0.90258238912080402</v>
      </c>
      <c r="F1435">
        <v>0.57867371366013798</v>
      </c>
      <c r="G1435">
        <v>0.37330815666952799</v>
      </c>
      <c r="H1435">
        <v>0.18886316992475399</v>
      </c>
      <c r="I1435">
        <v>0.17240978511668001</v>
      </c>
      <c r="J1435">
        <v>0.160231822099133</v>
      </c>
      <c r="K1435">
        <v>0.18684634549788601</v>
      </c>
      <c r="L1435">
        <v>1117.0073549681299</v>
      </c>
      <c r="M1435">
        <v>22.1304350510799</v>
      </c>
      <c r="N1435">
        <v>51.384892937226603</v>
      </c>
      <c r="O1435">
        <v>50.067098078866501</v>
      </c>
      <c r="P1435">
        <v>-9.25733107699208E-2</v>
      </c>
      <c r="Q1435">
        <v>0.16228019514962699</v>
      </c>
      <c r="R1435">
        <v>0.97734727102027497</v>
      </c>
      <c r="S1435" t="s">
        <v>8003</v>
      </c>
      <c r="T1435" t="s">
        <v>13134</v>
      </c>
      <c r="U1435" t="s">
        <v>13134</v>
      </c>
      <c r="V1435" t="s">
        <v>13134</v>
      </c>
      <c r="W1435" t="s">
        <v>14532</v>
      </c>
      <c r="X1435">
        <v>14</v>
      </c>
      <c r="Y1435" t="s">
        <v>21016</v>
      </c>
      <c r="Z1435" t="s">
        <v>27403</v>
      </c>
      <c r="AA1435">
        <v>0.54773893959965203</v>
      </c>
      <c r="AB1435" t="str">
        <f>HYPERLINK("Melting_Curves/meltCurve_O00273_2_DFFA.pdf", "Melting_Curves/meltCurve_O00273_2_DFFA.pdf")</f>
        <v>Melting_Curves/meltCurve_O00273_2_DFFA.pdf</v>
      </c>
    </row>
    <row r="1436" spans="1:28" x14ac:dyDescent="0.25">
      <c r="A1436" t="s">
        <v>1440</v>
      </c>
      <c r="B1436">
        <v>0.99472303558308395</v>
      </c>
      <c r="C1436">
        <v>1.03910063112717</v>
      </c>
      <c r="D1436">
        <v>0.900130686965672</v>
      </c>
      <c r="E1436">
        <v>0.77499892872569998</v>
      </c>
      <c r="F1436">
        <v>0.44734045444107201</v>
      </c>
      <c r="G1436">
        <v>0.32060887453060299</v>
      </c>
      <c r="H1436">
        <v>0.26030047766459702</v>
      </c>
      <c r="I1436">
        <v>0.27574591971740298</v>
      </c>
      <c r="J1436">
        <v>0.37256205628233002</v>
      </c>
      <c r="K1436">
        <v>0.32961189492901799</v>
      </c>
      <c r="L1436">
        <v>1260.3500168246301</v>
      </c>
      <c r="M1436">
        <v>26.435306882857599</v>
      </c>
      <c r="N1436">
        <v>49.424887084879003</v>
      </c>
      <c r="O1436">
        <v>47.406458277914098</v>
      </c>
      <c r="P1436">
        <v>-9.7069810896808106E-2</v>
      </c>
      <c r="Q1436">
        <v>0.303706163425086</v>
      </c>
      <c r="R1436">
        <v>0.98316497453541696</v>
      </c>
      <c r="S1436" t="s">
        <v>8004</v>
      </c>
      <c r="T1436" t="s">
        <v>13134</v>
      </c>
      <c r="U1436" t="s">
        <v>13134</v>
      </c>
      <c r="V1436" t="s">
        <v>13134</v>
      </c>
      <c r="W1436" t="s">
        <v>14533</v>
      </c>
      <c r="X1436">
        <v>3</v>
      </c>
      <c r="Y1436" t="s">
        <v>21017</v>
      </c>
      <c r="Z1436" t="s">
        <v>27404</v>
      </c>
      <c r="AA1436">
        <v>0.55679525707636457</v>
      </c>
      <c r="AB1436" t="str">
        <f>HYPERLINK("Melting_Curves/meltCurve_O00287_RFXAP.pdf", "Melting_Curves/meltCurve_O00287_RFXAP.pdf")</f>
        <v>Melting_Curves/meltCurve_O00287_RFXAP.pdf</v>
      </c>
    </row>
    <row r="1437" spans="1:28" x14ac:dyDescent="0.25">
      <c r="A1437" t="s">
        <v>1441</v>
      </c>
      <c r="B1437">
        <v>0.99472303558308395</v>
      </c>
      <c r="C1437">
        <v>0.99218522576051404</v>
      </c>
      <c r="D1437">
        <v>0.92334229317450101</v>
      </c>
      <c r="E1437">
        <v>0.70943783490406398</v>
      </c>
      <c r="F1437">
        <v>0.44324151500264503</v>
      </c>
      <c r="G1437">
        <v>0.16690117705999899</v>
      </c>
      <c r="H1437">
        <v>0.116799163997274</v>
      </c>
      <c r="I1437">
        <v>8.6738168372424304E-2</v>
      </c>
      <c r="J1437">
        <v>0.11447189235748199</v>
      </c>
      <c r="K1437">
        <v>0.100949583684495</v>
      </c>
      <c r="L1437">
        <v>945.94948088626904</v>
      </c>
      <c r="M1437">
        <v>19.454551533473399</v>
      </c>
      <c r="N1437">
        <v>49.080120708132803</v>
      </c>
      <c r="O1437">
        <v>48.118545077014197</v>
      </c>
      <c r="P1437">
        <v>-9.2713517426466802E-2</v>
      </c>
      <c r="Q1437">
        <v>8.2769378841294594E-2</v>
      </c>
      <c r="R1437">
        <v>0.99703232852774903</v>
      </c>
      <c r="S1437" t="s">
        <v>8005</v>
      </c>
      <c r="T1437" t="s">
        <v>13134</v>
      </c>
      <c r="U1437" t="s">
        <v>13134</v>
      </c>
      <c r="V1437" t="s">
        <v>13134</v>
      </c>
      <c r="W1437" t="s">
        <v>14534</v>
      </c>
      <c r="X1437">
        <v>12</v>
      </c>
      <c r="Y1437" t="s">
        <v>21018</v>
      </c>
      <c r="Z1437" t="s">
        <v>27405</v>
      </c>
      <c r="AA1437">
        <v>0.45085731600629991</v>
      </c>
      <c r="AB1437" t="str">
        <f>HYPERLINK("Melting_Curves/meltCurve_O00291_HIP1.pdf", "Melting_Curves/meltCurve_O00291_HIP1.pdf")</f>
        <v>Melting_Curves/meltCurve_O00291_HIP1.pdf</v>
      </c>
    </row>
    <row r="1438" spans="1:28" x14ac:dyDescent="0.25">
      <c r="A1438" t="s">
        <v>1442</v>
      </c>
      <c r="B1438">
        <v>0.99472303558308395</v>
      </c>
      <c r="C1438">
        <v>0.97895688024287297</v>
      </c>
      <c r="D1438">
        <v>1.0832218630872399</v>
      </c>
      <c r="E1438">
        <v>1.0093872113053399</v>
      </c>
      <c r="F1438">
        <v>0.77656002645862798</v>
      </c>
      <c r="G1438">
        <v>0.36352130160332602</v>
      </c>
      <c r="H1438">
        <v>7.7503109090817895E-2</v>
      </c>
      <c r="I1438">
        <v>4.0147543546657102E-2</v>
      </c>
      <c r="J1438">
        <v>4.0377268851487298E-2</v>
      </c>
      <c r="K1438">
        <v>3.5791944503115701E-2</v>
      </c>
      <c r="L1438">
        <v>1542.94651221852</v>
      </c>
      <c r="M1438">
        <v>29.402760496008302</v>
      </c>
      <c r="N1438">
        <v>52.577528465808598</v>
      </c>
      <c r="O1438">
        <v>52.235302324595303</v>
      </c>
      <c r="P1438">
        <v>-0.13684932394253099</v>
      </c>
      <c r="Q1438">
        <v>2.7531370938116501E-2</v>
      </c>
      <c r="R1438">
        <v>0.99487855359687205</v>
      </c>
      <c r="S1438" t="s">
        <v>8006</v>
      </c>
      <c r="T1438" t="s">
        <v>13134</v>
      </c>
      <c r="U1438" t="s">
        <v>13134</v>
      </c>
      <c r="V1438" t="s">
        <v>13134</v>
      </c>
      <c r="W1438" t="s">
        <v>14535</v>
      </c>
      <c r="X1438">
        <v>21</v>
      </c>
      <c r="Y1438" t="s">
        <v>21019</v>
      </c>
      <c r="Z1438" t="s">
        <v>27406</v>
      </c>
      <c r="AA1438">
        <v>0.53560738458144574</v>
      </c>
      <c r="AB1438" t="str">
        <f>HYPERLINK("Melting_Curves/meltCurve_O00299_CLIC1.pdf", "Melting_Curves/meltCurve_O00299_CLIC1.pdf")</f>
        <v>Melting_Curves/meltCurve_O00299_CLIC1.pdf</v>
      </c>
    </row>
    <row r="1439" spans="1:28" x14ac:dyDescent="0.25">
      <c r="A1439" t="s">
        <v>1443</v>
      </c>
      <c r="B1439">
        <v>0.99472303558308395</v>
      </c>
      <c r="C1439">
        <v>0.90576070585284296</v>
      </c>
      <c r="D1439">
        <v>0.75014804521104195</v>
      </c>
      <c r="E1439">
        <v>0.45775780912254099</v>
      </c>
      <c r="F1439">
        <v>0.24457439039395501</v>
      </c>
      <c r="G1439">
        <v>0.128759541943503</v>
      </c>
      <c r="H1439">
        <v>9.3661889308339505E-2</v>
      </c>
      <c r="I1439">
        <v>7.3862832366759099E-2</v>
      </c>
      <c r="J1439">
        <v>8.2504105077546699E-2</v>
      </c>
      <c r="K1439">
        <v>7.3846083318635902E-2</v>
      </c>
      <c r="L1439">
        <v>740.49956845011002</v>
      </c>
      <c r="M1439">
        <v>16.2188453535326</v>
      </c>
      <c r="N1439">
        <v>46.048085077737099</v>
      </c>
      <c r="O1439">
        <v>44.979546088215898</v>
      </c>
      <c r="P1439">
        <v>-8.4348289077111699E-2</v>
      </c>
      <c r="Q1439">
        <v>6.4380325577155506E-2</v>
      </c>
      <c r="R1439">
        <v>0.99947005873218098</v>
      </c>
      <c r="S1439" t="s">
        <v>8007</v>
      </c>
      <c r="T1439" t="s">
        <v>13134</v>
      </c>
      <c r="U1439" t="s">
        <v>13134</v>
      </c>
      <c r="V1439" t="s">
        <v>13134</v>
      </c>
      <c r="W1439" t="s">
        <v>14536</v>
      </c>
      <c r="X1439">
        <v>5</v>
      </c>
      <c r="Y1439" t="s">
        <v>21020</v>
      </c>
      <c r="Z1439" t="s">
        <v>27407</v>
      </c>
      <c r="AA1439">
        <v>0.35306112392192568</v>
      </c>
      <c r="AB1439" t="str">
        <f>HYPERLINK("Melting_Curves/meltCurve_O00308_WWP2.pdf", "Melting_Curves/meltCurve_O00308_WWP2.pdf")</f>
        <v>Melting_Curves/meltCurve_O00308_WWP2.pdf</v>
      </c>
    </row>
    <row r="1440" spans="1:28" x14ac:dyDescent="0.25">
      <c r="A1440" t="s">
        <v>1444</v>
      </c>
      <c r="B1440">
        <v>0.99472303558308395</v>
      </c>
      <c r="C1440">
        <v>0.85619047423636896</v>
      </c>
      <c r="D1440">
        <v>0.83351419198897703</v>
      </c>
      <c r="E1440">
        <v>0.65354140376724301</v>
      </c>
      <c r="F1440">
        <v>0.42250732155382298</v>
      </c>
      <c r="G1440">
        <v>0.25958138550488402</v>
      </c>
      <c r="H1440">
        <v>0.26056729920078697</v>
      </c>
      <c r="I1440">
        <v>0.22500498457285101</v>
      </c>
      <c r="J1440">
        <v>0.250349662817969</v>
      </c>
      <c r="K1440">
        <v>0.242852953600631</v>
      </c>
      <c r="L1440">
        <v>667.95404623639899</v>
      </c>
      <c r="M1440">
        <v>14.294282723046701</v>
      </c>
      <c r="N1440">
        <v>48.581253713744999</v>
      </c>
      <c r="O1440">
        <v>45.842738674048697</v>
      </c>
      <c r="P1440">
        <v>-6.1582355827343699E-2</v>
      </c>
      <c r="Q1440">
        <v>0.21010112598085101</v>
      </c>
      <c r="R1440">
        <v>0.98465977125793402</v>
      </c>
      <c r="S1440" t="s">
        <v>8008</v>
      </c>
      <c r="T1440" t="s">
        <v>13134</v>
      </c>
      <c r="U1440" t="s">
        <v>13134</v>
      </c>
      <c r="V1440" t="s">
        <v>13134</v>
      </c>
      <c r="W1440" t="s">
        <v>14537</v>
      </c>
      <c r="X1440">
        <v>1</v>
      </c>
      <c r="Y1440" t="s">
        <v>21021</v>
      </c>
      <c r="Z1440" t="s">
        <v>27408</v>
      </c>
      <c r="AA1440">
        <v>0.48577330117650103</v>
      </c>
      <c r="AB1440" t="str">
        <f>HYPERLINK("Melting_Curves/meltCurve_O00325_PTGER3.pdf", "Melting_Curves/meltCurve_O00325_PTGER3.pdf")</f>
        <v>Melting_Curves/meltCurve_O00325_PTGER3.pdf</v>
      </c>
    </row>
    <row r="1441" spans="1:28" x14ac:dyDescent="0.25">
      <c r="A1441" t="s">
        <v>1445</v>
      </c>
      <c r="B1441">
        <v>0.99472303558308395</v>
      </c>
      <c r="C1441">
        <v>1.1165285826626701</v>
      </c>
      <c r="D1441">
        <v>0.96277545783266305</v>
      </c>
      <c r="E1441">
        <v>0.814405698994208</v>
      </c>
      <c r="F1441">
        <v>0.53665275756321895</v>
      </c>
      <c r="G1441">
        <v>0.40568520756691301</v>
      </c>
      <c r="H1441">
        <v>0.21593635235529299</v>
      </c>
      <c r="I1441">
        <v>0.234434771092141</v>
      </c>
      <c r="J1441">
        <v>0.23330822009729599</v>
      </c>
      <c r="K1441">
        <v>0.12664678265850299</v>
      </c>
      <c r="L1441">
        <v>881.43509384413505</v>
      </c>
      <c r="M1441">
        <v>17.652520562906801</v>
      </c>
      <c r="N1441">
        <v>51.186556714476502</v>
      </c>
      <c r="O1441">
        <v>49.304967382775096</v>
      </c>
      <c r="P1441">
        <v>-7.3798022854699705E-2</v>
      </c>
      <c r="Q1441">
        <v>0.17554784604797499</v>
      </c>
      <c r="R1441">
        <v>0.97915150131454598</v>
      </c>
      <c r="S1441" t="s">
        <v>8009</v>
      </c>
      <c r="T1441" t="s">
        <v>13134</v>
      </c>
      <c r="U1441" t="s">
        <v>13134</v>
      </c>
      <c r="V1441" t="s">
        <v>13134</v>
      </c>
      <c r="W1441" t="s">
        <v>14538</v>
      </c>
      <c r="X1441">
        <v>3</v>
      </c>
      <c r="Y1441" t="s">
        <v>21022</v>
      </c>
      <c r="Z1441" t="s">
        <v>27409</v>
      </c>
      <c r="AA1441">
        <v>0.54437958548644827</v>
      </c>
      <c r="AB1441" t="str">
        <f>HYPERLINK("Melting_Curves/meltCurve_O00399_DCTN6.pdf", "Melting_Curves/meltCurve_O00399_DCTN6.pdf")</f>
        <v>Melting_Curves/meltCurve_O00399_DCTN6.pdf</v>
      </c>
    </row>
    <row r="1442" spans="1:28" x14ac:dyDescent="0.25">
      <c r="A1442" t="s">
        <v>1446</v>
      </c>
      <c r="B1442">
        <v>0.99472303558308395</v>
      </c>
      <c r="C1442">
        <v>0.908302123429516</v>
      </c>
      <c r="D1442">
        <v>0.84952486390501303</v>
      </c>
      <c r="E1442">
        <v>0.738481197254101</v>
      </c>
      <c r="F1442">
        <v>0.55327682991995697</v>
      </c>
      <c r="G1442">
        <v>0.47759590364573401</v>
      </c>
      <c r="H1442">
        <v>0.31726614148495802</v>
      </c>
      <c r="I1442">
        <v>0.241836391807324</v>
      </c>
      <c r="J1442">
        <v>0.178178382175464</v>
      </c>
      <c r="K1442">
        <v>0.15791279804824501</v>
      </c>
      <c r="L1442">
        <v>425.47480780444101</v>
      </c>
      <c r="M1442">
        <v>8.1629557087663294</v>
      </c>
      <c r="N1442">
        <v>52.2708082884768</v>
      </c>
      <c r="O1442">
        <v>49.274630098778204</v>
      </c>
      <c r="P1442">
        <v>-4.09848840116619E-2</v>
      </c>
      <c r="Q1442">
        <v>1.14365911813796E-2</v>
      </c>
      <c r="R1442">
        <v>0.99605689396439701</v>
      </c>
      <c r="S1442" t="s">
        <v>8010</v>
      </c>
      <c r="T1442" t="s">
        <v>13134</v>
      </c>
      <c r="U1442" t="s">
        <v>13134</v>
      </c>
      <c r="V1442" t="s">
        <v>13134</v>
      </c>
      <c r="W1442" t="s">
        <v>14539</v>
      </c>
      <c r="X1442">
        <v>4</v>
      </c>
      <c r="Y1442" t="s">
        <v>21023</v>
      </c>
      <c r="Z1442" t="s">
        <v>27410</v>
      </c>
      <c r="AA1442">
        <v>0.53714035629202084</v>
      </c>
      <c r="AB1442" t="str">
        <f>HYPERLINK("Melting_Curves/meltCurve_O00400_SLC33A1.pdf", "Melting_Curves/meltCurve_O00400_SLC33A1.pdf")</f>
        <v>Melting_Curves/meltCurve_O00400_SLC33A1.pdf</v>
      </c>
    </row>
    <row r="1443" spans="1:28" x14ac:dyDescent="0.25">
      <c r="A1443" t="s">
        <v>1447</v>
      </c>
      <c r="B1443">
        <v>0.99472303558308395</v>
      </c>
      <c r="C1443">
        <v>1.05244913916438</v>
      </c>
      <c r="D1443">
        <v>0.98752375851935603</v>
      </c>
      <c r="E1443">
        <v>0.77793276562926506</v>
      </c>
      <c r="F1443">
        <v>0.32125281643070602</v>
      </c>
      <c r="G1443">
        <v>0.12707772435096401</v>
      </c>
      <c r="H1443">
        <v>6.7042079605357505E-2</v>
      </c>
      <c r="I1443">
        <v>5.2358513105138497E-2</v>
      </c>
      <c r="J1443">
        <v>5.2816445322097297E-2</v>
      </c>
      <c r="K1443">
        <v>4.4475372741770901E-2</v>
      </c>
      <c r="L1443">
        <v>1359.70897138398</v>
      </c>
      <c r="M1443">
        <v>27.985745583892498</v>
      </c>
      <c r="N1443">
        <v>48.779375449472298</v>
      </c>
      <c r="O1443">
        <v>48.339719078968997</v>
      </c>
      <c r="P1443">
        <v>-0.13712845989314301</v>
      </c>
      <c r="Q1443">
        <v>5.2561295728049302E-2</v>
      </c>
      <c r="R1443">
        <v>0.99805691719304601</v>
      </c>
      <c r="S1443" t="s">
        <v>8011</v>
      </c>
      <c r="T1443" t="s">
        <v>13134</v>
      </c>
      <c r="U1443" t="s">
        <v>13134</v>
      </c>
      <c r="V1443" t="s">
        <v>13134</v>
      </c>
      <c r="W1443" t="s">
        <v>14540</v>
      </c>
      <c r="X1443">
        <v>7</v>
      </c>
      <c r="Y1443" t="s">
        <v>21024</v>
      </c>
      <c r="Z1443" t="s">
        <v>27411</v>
      </c>
      <c r="AA1443">
        <v>0.42497030207300879</v>
      </c>
      <c r="AB1443" t="str">
        <f>HYPERLINK("Melting_Curves/meltCurve_O00401_WASL.pdf", "Melting_Curves/meltCurve_O00401_WASL.pdf")</f>
        <v>Melting_Curves/meltCurve_O00401_WASL.pdf</v>
      </c>
    </row>
    <row r="1444" spans="1:28" x14ac:dyDescent="0.25">
      <c r="A1444" t="s">
        <v>1448</v>
      </c>
      <c r="B1444">
        <v>0.99472303558308395</v>
      </c>
      <c r="C1444">
        <v>0.96591657884020299</v>
      </c>
      <c r="D1444">
        <v>0.90267287278251096</v>
      </c>
      <c r="E1444">
        <v>0.78366519104741805</v>
      </c>
      <c r="F1444">
        <v>0.53072825697279802</v>
      </c>
      <c r="G1444">
        <v>0.12749154889894301</v>
      </c>
      <c r="H1444">
        <v>6.2500010489845798E-2</v>
      </c>
      <c r="I1444">
        <v>3.7613026994168998E-2</v>
      </c>
      <c r="J1444">
        <v>4.2233681357574902E-2</v>
      </c>
      <c r="K1444">
        <v>3.9200794357257603E-2</v>
      </c>
      <c r="L1444">
        <v>1013.50878287928</v>
      </c>
      <c r="M1444">
        <v>20.351002062630101</v>
      </c>
      <c r="N1444">
        <v>49.870802629751701</v>
      </c>
      <c r="O1444">
        <v>49.328031285098298</v>
      </c>
      <c r="P1444">
        <v>-0.101704567361061</v>
      </c>
      <c r="Q1444">
        <v>1.39582872873461E-2</v>
      </c>
      <c r="R1444">
        <v>0.99157037229289202</v>
      </c>
      <c r="S1444" t="s">
        <v>8012</v>
      </c>
      <c r="T1444" t="s">
        <v>13134</v>
      </c>
      <c r="U1444" t="s">
        <v>13134</v>
      </c>
      <c r="V1444" t="s">
        <v>13134</v>
      </c>
      <c r="W1444" t="s">
        <v>14541</v>
      </c>
      <c r="X1444">
        <v>38</v>
      </c>
      <c r="Y1444" t="s">
        <v>21025</v>
      </c>
      <c r="Z1444" t="s">
        <v>27412</v>
      </c>
      <c r="AA1444">
        <v>0.44731246429772292</v>
      </c>
      <c r="AB1444" t="str">
        <f>HYPERLINK("Melting_Curves/meltCurve_O00410_IPO5.pdf", "Melting_Curves/meltCurve_O00410_IPO5.pdf")</f>
        <v>Melting_Curves/meltCurve_O00410_IPO5.pdf</v>
      </c>
    </row>
    <row r="1445" spans="1:28" x14ac:dyDescent="0.25">
      <c r="A1445" t="s">
        <v>1449</v>
      </c>
      <c r="B1445">
        <v>0.99472303558308395</v>
      </c>
      <c r="C1445">
        <v>0.97219275122762105</v>
      </c>
      <c r="D1445">
        <v>0.82777538478522805</v>
      </c>
      <c r="E1445">
        <v>0.269275483450159</v>
      </c>
      <c r="F1445">
        <v>0.178094980460304</v>
      </c>
      <c r="G1445">
        <v>7.37276985808617E-2</v>
      </c>
      <c r="H1445">
        <v>4.7092593390814501E-2</v>
      </c>
      <c r="I1445">
        <v>4.1782531202479198E-2</v>
      </c>
      <c r="J1445">
        <v>4.3413572229259199E-2</v>
      </c>
      <c r="K1445">
        <v>4.2248515173866498E-2</v>
      </c>
      <c r="L1445">
        <v>1350.6530847608999</v>
      </c>
      <c r="M1445">
        <v>30.044188837925098</v>
      </c>
      <c r="N1445">
        <v>45.144972353418098</v>
      </c>
      <c r="O1445">
        <v>44.757793078118503</v>
      </c>
      <c r="P1445">
        <v>-0.15787942736420399</v>
      </c>
      <c r="Q1445">
        <v>5.9213827712669503E-2</v>
      </c>
      <c r="R1445">
        <v>0.99412630124064005</v>
      </c>
      <c r="S1445" t="s">
        <v>8013</v>
      </c>
      <c r="T1445" t="s">
        <v>13134</v>
      </c>
      <c r="U1445" t="s">
        <v>13134</v>
      </c>
      <c r="V1445" t="s">
        <v>13134</v>
      </c>
      <c r="W1445" t="s">
        <v>14542</v>
      </c>
      <c r="X1445">
        <v>10</v>
      </c>
      <c r="Y1445" t="s">
        <v>21026</v>
      </c>
      <c r="Z1445" t="s">
        <v>27413</v>
      </c>
      <c r="AA1445">
        <v>0.31395726737336432</v>
      </c>
      <c r="AB1445" t="str">
        <f>HYPERLINK("Melting_Curves/meltCurve_O00418_EEF2K.pdf", "Melting_Curves/meltCurve_O00418_EEF2K.pdf")</f>
        <v>Melting_Curves/meltCurve_O00418_EEF2K.pdf</v>
      </c>
    </row>
    <row r="1446" spans="1:28" x14ac:dyDescent="0.25">
      <c r="A1446" t="s">
        <v>1450</v>
      </c>
      <c r="B1446">
        <v>0.99472303558308395</v>
      </c>
      <c r="C1446">
        <v>0.84880600876036405</v>
      </c>
      <c r="D1446">
        <v>0.86356056521541602</v>
      </c>
      <c r="E1446">
        <v>0.42957516750740399</v>
      </c>
      <c r="F1446">
        <v>0.14818953868474199</v>
      </c>
      <c r="G1446">
        <v>8.6253986898250604E-2</v>
      </c>
      <c r="H1446">
        <v>5.0012586995386597E-2</v>
      </c>
      <c r="I1446">
        <v>3.2208918577576497E-2</v>
      </c>
      <c r="J1446">
        <v>4.4252389621604098E-2</v>
      </c>
      <c r="K1446">
        <v>4.0164917686991097E-2</v>
      </c>
      <c r="L1446">
        <v>991.84125904644702</v>
      </c>
      <c r="M1446">
        <v>21.6247936768914</v>
      </c>
      <c r="N1446">
        <v>46.025271458558599</v>
      </c>
      <c r="O1446">
        <v>45.479124063896499</v>
      </c>
      <c r="P1446">
        <v>-0.114587608449903</v>
      </c>
      <c r="Q1446">
        <v>3.6066167555185699E-2</v>
      </c>
      <c r="R1446">
        <v>0.98873988196634999</v>
      </c>
      <c r="S1446" t="s">
        <v>8014</v>
      </c>
      <c r="T1446" t="s">
        <v>13134</v>
      </c>
      <c r="U1446" t="s">
        <v>13134</v>
      </c>
      <c r="V1446" t="s">
        <v>13134</v>
      </c>
      <c r="W1446" t="s">
        <v>14543</v>
      </c>
      <c r="X1446">
        <v>5</v>
      </c>
      <c r="Y1446" t="s">
        <v>21027</v>
      </c>
      <c r="Z1446" t="s">
        <v>27414</v>
      </c>
      <c r="AA1446">
        <v>0.33168192694846638</v>
      </c>
      <c r="AB1446" t="str">
        <f>HYPERLINK("Melting_Curves/meltCurve_O00422_SAP18.pdf", "Melting_Curves/meltCurve_O00422_SAP18.pdf")</f>
        <v>Melting_Curves/meltCurve_O00422_SAP18.pdf</v>
      </c>
    </row>
    <row r="1447" spans="1:28" x14ac:dyDescent="0.25">
      <c r="A1447" t="s">
        <v>1451</v>
      </c>
      <c r="B1447">
        <v>0.99472303558308395</v>
      </c>
      <c r="C1447">
        <v>1.02553245518776</v>
      </c>
      <c r="D1447">
        <v>1.0004778026580401</v>
      </c>
      <c r="E1447">
        <v>0.60978911912085199</v>
      </c>
      <c r="F1447">
        <v>0.238967938653842</v>
      </c>
      <c r="G1447">
        <v>0.24544406521625101</v>
      </c>
      <c r="H1447">
        <v>0.123154021451071</v>
      </c>
      <c r="I1447">
        <v>6.5149273269854799E-2</v>
      </c>
      <c r="J1447">
        <v>9.2007525529191295E-2</v>
      </c>
      <c r="K1447">
        <v>0.116530016103137</v>
      </c>
      <c r="L1447">
        <v>1368.19841905421</v>
      </c>
      <c r="M1447">
        <v>29.0434414372898</v>
      </c>
      <c r="N1447">
        <v>47.557330424220901</v>
      </c>
      <c r="O1447">
        <v>46.887035813161503</v>
      </c>
      <c r="P1447">
        <v>-0.13630298141983799</v>
      </c>
      <c r="Q1447">
        <v>0.11982924712991</v>
      </c>
      <c r="R1447">
        <v>0.98796172082688805</v>
      </c>
      <c r="S1447" t="s">
        <v>8015</v>
      </c>
      <c r="T1447" t="s">
        <v>13134</v>
      </c>
      <c r="U1447" t="s">
        <v>13134</v>
      </c>
      <c r="V1447" t="s">
        <v>13134</v>
      </c>
      <c r="W1447" t="s">
        <v>14544</v>
      </c>
      <c r="X1447">
        <v>8</v>
      </c>
      <c r="Y1447" t="s">
        <v>21028</v>
      </c>
      <c r="Z1447" t="s">
        <v>27415</v>
      </c>
      <c r="AA1447">
        <v>0.421881255666476</v>
      </c>
      <c r="AB1447" t="str">
        <f>HYPERLINK("Melting_Curves/meltCurve_O00425_IGF2BP3.pdf", "Melting_Curves/meltCurve_O00425_IGF2BP3.pdf")</f>
        <v>Melting_Curves/meltCurve_O00425_IGF2BP3.pdf</v>
      </c>
    </row>
    <row r="1448" spans="1:28" x14ac:dyDescent="0.25">
      <c r="A1448" t="s">
        <v>1452</v>
      </c>
      <c r="B1448">
        <v>0.99472303558308395</v>
      </c>
      <c r="C1448">
        <v>0.76509616783567402</v>
      </c>
      <c r="D1448">
        <v>1.01858868370334</v>
      </c>
      <c r="E1448">
        <v>0.78616052962650196</v>
      </c>
      <c r="F1448">
        <v>0.44182595893688498</v>
      </c>
      <c r="G1448">
        <v>7.3336670363560494E-2</v>
      </c>
      <c r="H1448">
        <v>3.3131332972771099E-2</v>
      </c>
      <c r="I1448">
        <v>1.5174269223582599E-2</v>
      </c>
      <c r="J1448">
        <v>1.7195561577962599E-2</v>
      </c>
      <c r="K1448">
        <v>1.4581549040209E-2</v>
      </c>
      <c r="L1448">
        <v>1209.58349957524</v>
      </c>
      <c r="M1448">
        <v>24.4830847156028</v>
      </c>
      <c r="N1448">
        <v>49.413300742979402</v>
      </c>
      <c r="O1448">
        <v>49.078801875958803</v>
      </c>
      <c r="P1448">
        <v>-0.12445486772227</v>
      </c>
      <c r="Q1448">
        <v>2.0854594125579501E-3</v>
      </c>
      <c r="R1448">
        <v>0.964516275736095</v>
      </c>
      <c r="S1448" t="s">
        <v>8016</v>
      </c>
      <c r="T1448" t="s">
        <v>13134</v>
      </c>
      <c r="U1448" t="s">
        <v>13134</v>
      </c>
      <c r="V1448" t="s">
        <v>13134</v>
      </c>
      <c r="W1448" t="s">
        <v>14545</v>
      </c>
      <c r="X1448">
        <v>35</v>
      </c>
      <c r="Y1448" t="s">
        <v>21029</v>
      </c>
      <c r="Z1448" t="s">
        <v>27416</v>
      </c>
      <c r="AA1448">
        <v>0.42374204109811769</v>
      </c>
      <c r="AB1448" t="str">
        <f>HYPERLINK("Melting_Curves/meltCurve_O00429_3_DNM1L.pdf", "Melting_Curves/meltCurve_O00429_3_DNM1L.pdf")</f>
        <v>Melting_Curves/meltCurve_O00429_3_DNM1L.pdf</v>
      </c>
    </row>
    <row r="1449" spans="1:28" x14ac:dyDescent="0.25">
      <c r="A1449" t="s">
        <v>1453</v>
      </c>
      <c r="B1449">
        <v>0.99472303558308395</v>
      </c>
      <c r="C1449">
        <v>0.96860886304163596</v>
      </c>
      <c r="D1449">
        <v>0.98953661226885703</v>
      </c>
      <c r="E1449">
        <v>0.89738203792748095</v>
      </c>
      <c r="F1449">
        <v>0.66826510841828901</v>
      </c>
      <c r="G1449">
        <v>0.11729547228428901</v>
      </c>
      <c r="H1449">
        <v>7.18259361367828E-2</v>
      </c>
      <c r="I1449">
        <v>5.2168627533017299E-2</v>
      </c>
      <c r="J1449">
        <v>5.9450867558371402E-2</v>
      </c>
      <c r="K1449">
        <v>4.8439079254895198E-2</v>
      </c>
      <c r="L1449">
        <v>2065.08758463307</v>
      </c>
      <c r="M1449">
        <v>40.596433409078998</v>
      </c>
      <c r="N1449">
        <v>51.002155085832001</v>
      </c>
      <c r="O1449">
        <v>50.745730690320798</v>
      </c>
      <c r="P1449">
        <v>-0.189921724552569</v>
      </c>
      <c r="Q1449">
        <v>5.0389716704823402E-2</v>
      </c>
      <c r="R1449">
        <v>0.995159843947095</v>
      </c>
      <c r="S1449" t="s">
        <v>8017</v>
      </c>
      <c r="T1449" t="s">
        <v>13134</v>
      </c>
      <c r="U1449" t="s">
        <v>13134</v>
      </c>
      <c r="V1449" t="s">
        <v>13134</v>
      </c>
      <c r="W1449" t="s">
        <v>14546</v>
      </c>
      <c r="X1449">
        <v>35</v>
      </c>
      <c r="Y1449" t="s">
        <v>21029</v>
      </c>
      <c r="Z1449" t="s">
        <v>27417</v>
      </c>
      <c r="AA1449">
        <v>0.49262241132696849</v>
      </c>
      <c r="AB1449" t="str">
        <f>HYPERLINK("Melting_Curves/meltCurve_O00429_4_DNM1L.pdf", "Melting_Curves/meltCurve_O00429_4_DNM1L.pdf")</f>
        <v>Melting_Curves/meltCurve_O00429_4_DNM1L.pdf</v>
      </c>
    </row>
    <row r="1450" spans="1:28" x14ac:dyDescent="0.25">
      <c r="A1450" t="s">
        <v>1454</v>
      </c>
      <c r="B1450">
        <v>0.99472303558308395</v>
      </c>
      <c r="C1450">
        <v>0.96213856895515404</v>
      </c>
      <c r="D1450">
        <v>1.0096842063934901</v>
      </c>
      <c r="E1450">
        <v>0.94925273267189902</v>
      </c>
      <c r="F1450">
        <v>0.79963523031579198</v>
      </c>
      <c r="G1450">
        <v>0.59195421569621798</v>
      </c>
      <c r="H1450">
        <v>0.385879627326567</v>
      </c>
      <c r="I1450">
        <v>0.18194801045372</v>
      </c>
      <c r="J1450">
        <v>5.7479018167705502E-2</v>
      </c>
      <c r="K1450">
        <v>6.5941502480431499E-2</v>
      </c>
      <c r="L1450">
        <v>854.83761028817196</v>
      </c>
      <c r="M1450">
        <v>15.503276788632499</v>
      </c>
      <c r="N1450">
        <v>55.139157508145097</v>
      </c>
      <c r="O1450">
        <v>54.246181499122201</v>
      </c>
      <c r="P1450">
        <v>-7.1455043290645198E-2</v>
      </c>
      <c r="Q1450">
        <v>0</v>
      </c>
      <c r="R1450">
        <v>0.99612786919374197</v>
      </c>
      <c r="S1450" t="s">
        <v>8018</v>
      </c>
      <c r="T1450" t="s">
        <v>13134</v>
      </c>
      <c r="U1450" t="s">
        <v>13134</v>
      </c>
      <c r="V1450" t="s">
        <v>13134</v>
      </c>
      <c r="W1450" t="s">
        <v>14547</v>
      </c>
      <c r="X1450">
        <v>12</v>
      </c>
      <c r="Y1450" t="s">
        <v>21030</v>
      </c>
      <c r="Z1450" t="s">
        <v>27418</v>
      </c>
      <c r="AA1450">
        <v>0.61823668205067683</v>
      </c>
      <c r="AB1450" t="str">
        <f>HYPERLINK("Melting_Curves/meltCurve_O00442_RTCA.pdf", "Melting_Curves/meltCurve_O00442_RTCA.pdf")</f>
        <v>Melting_Curves/meltCurve_O00442_RTCA.pdf</v>
      </c>
    </row>
    <row r="1451" spans="1:28" x14ac:dyDescent="0.25">
      <c r="A1451" t="s">
        <v>1455</v>
      </c>
      <c r="B1451">
        <v>0.99472303558308395</v>
      </c>
      <c r="C1451">
        <v>0.98852888012167905</v>
      </c>
      <c r="D1451">
        <v>0.83511047532360805</v>
      </c>
      <c r="E1451">
        <v>0.66287489829534696</v>
      </c>
      <c r="F1451">
        <v>0.29159609323986402</v>
      </c>
      <c r="G1451">
        <v>0.14745444537722499</v>
      </c>
      <c r="H1451">
        <v>9.6341811492127893E-2</v>
      </c>
      <c r="I1451">
        <v>5.2379061161153699E-2</v>
      </c>
      <c r="J1451">
        <v>5.14411650587831E-2</v>
      </c>
      <c r="K1451">
        <v>5.72243616012146E-2</v>
      </c>
      <c r="L1451">
        <v>865.76278604244703</v>
      </c>
      <c r="M1451">
        <v>18.157383620315301</v>
      </c>
      <c r="N1451">
        <v>47.919101874714201</v>
      </c>
      <c r="O1451">
        <v>47.113969319896803</v>
      </c>
      <c r="P1451">
        <v>-9.2197106575367005E-2</v>
      </c>
      <c r="Q1451">
        <v>4.3129856296479301E-2</v>
      </c>
      <c r="R1451">
        <v>0.99641762368973597</v>
      </c>
      <c r="S1451" t="s">
        <v>8019</v>
      </c>
      <c r="T1451" t="s">
        <v>13134</v>
      </c>
      <c r="U1451" t="s">
        <v>13134</v>
      </c>
      <c r="V1451" t="s">
        <v>13134</v>
      </c>
      <c r="W1451" t="s">
        <v>14548</v>
      </c>
      <c r="X1451">
        <v>15</v>
      </c>
      <c r="Y1451" t="s">
        <v>21031</v>
      </c>
      <c r="Z1451" t="s">
        <v>27419</v>
      </c>
      <c r="AA1451">
        <v>0.39887800559761838</v>
      </c>
      <c r="AB1451" t="str">
        <f>HYPERLINK("Melting_Curves/meltCurve_O00459_PIK3R2.pdf", "Melting_Curves/meltCurve_O00459_PIK3R2.pdf")</f>
        <v>Melting_Curves/meltCurve_O00459_PIK3R2.pdf</v>
      </c>
    </row>
    <row r="1452" spans="1:28" x14ac:dyDescent="0.25">
      <c r="A1452" t="s">
        <v>1456</v>
      </c>
      <c r="B1452">
        <v>0.99472303558308395</v>
      </c>
      <c r="C1452">
        <v>0.87468869330601895</v>
      </c>
      <c r="D1452">
        <v>0.91519902143793497</v>
      </c>
      <c r="E1452">
        <v>0.70103165227030195</v>
      </c>
      <c r="F1452">
        <v>0.44593304983353199</v>
      </c>
      <c r="G1452">
        <v>0.24104657277101299</v>
      </c>
      <c r="H1452">
        <v>0.17752955849594701</v>
      </c>
      <c r="I1452">
        <v>0.17197405905060401</v>
      </c>
      <c r="J1452">
        <v>0.22909108562236</v>
      </c>
      <c r="K1452">
        <v>0.25598230020358298</v>
      </c>
      <c r="L1452">
        <v>917.43430371259797</v>
      </c>
      <c r="M1452">
        <v>19.206826500357799</v>
      </c>
      <c r="N1452">
        <v>49.0089986311202</v>
      </c>
      <c r="O1452">
        <v>47.257319152593901</v>
      </c>
      <c r="P1452">
        <v>-8.2020702807272403E-2</v>
      </c>
      <c r="Q1452">
        <v>0.19280186940104599</v>
      </c>
      <c r="R1452">
        <v>0.97899202186783196</v>
      </c>
      <c r="S1452" t="s">
        <v>8020</v>
      </c>
      <c r="T1452" t="s">
        <v>13134</v>
      </c>
      <c r="U1452" t="s">
        <v>13134</v>
      </c>
      <c r="V1452" t="s">
        <v>13134</v>
      </c>
      <c r="W1452" t="s">
        <v>14549</v>
      </c>
      <c r="X1452">
        <v>19</v>
      </c>
      <c r="Y1452" t="s">
        <v>21032</v>
      </c>
      <c r="Z1452" t="s">
        <v>27420</v>
      </c>
      <c r="AA1452">
        <v>0.49392132111260623</v>
      </c>
      <c r="AB1452" t="str">
        <f>HYPERLINK("Melting_Curves/meltCurve_O00461_GOLIM4.pdf", "Melting_Curves/meltCurve_O00461_GOLIM4.pdf")</f>
        <v>Melting_Curves/meltCurve_O00461_GOLIM4.pdf</v>
      </c>
    </row>
    <row r="1453" spans="1:28" x14ac:dyDescent="0.25">
      <c r="A1453" t="s">
        <v>1457</v>
      </c>
      <c r="B1453">
        <v>0.99472303558308395</v>
      </c>
      <c r="C1453">
        <v>0.96981045101965502</v>
      </c>
      <c r="D1453">
        <v>0.862591797897313</v>
      </c>
      <c r="E1453">
        <v>0.73544062323257198</v>
      </c>
      <c r="F1453">
        <v>0.91278068557824599</v>
      </c>
      <c r="G1453">
        <v>0.56527746238498999</v>
      </c>
      <c r="H1453">
        <v>0.32220505108627101</v>
      </c>
      <c r="I1453">
        <v>0.23209580939005101</v>
      </c>
      <c r="J1453">
        <v>0.109921363499415</v>
      </c>
      <c r="K1453">
        <v>0.13467712460609099</v>
      </c>
      <c r="L1453">
        <v>646.43181523375995</v>
      </c>
      <c r="M1453">
        <v>11.7901828554996</v>
      </c>
      <c r="N1453">
        <v>54.827984926416697</v>
      </c>
      <c r="O1453">
        <v>53.3220005384579</v>
      </c>
      <c r="P1453">
        <v>-5.5292496213617003E-2</v>
      </c>
      <c r="Q1453">
        <v>0</v>
      </c>
      <c r="R1453">
        <v>0.94204681473237994</v>
      </c>
      <c r="S1453" t="s">
        <v>8021</v>
      </c>
      <c r="T1453" t="s">
        <v>13134</v>
      </c>
      <c r="U1453" t="s">
        <v>13134</v>
      </c>
      <c r="V1453" t="s">
        <v>13134</v>
      </c>
      <c r="W1453" t="s">
        <v>14550</v>
      </c>
      <c r="X1453">
        <v>4</v>
      </c>
      <c r="Y1453" t="s">
        <v>21033</v>
      </c>
      <c r="Z1453" t="s">
        <v>27421</v>
      </c>
      <c r="AA1453">
        <v>0.60905725973345837</v>
      </c>
      <c r="AB1453" t="str">
        <f>HYPERLINK("Melting_Curves/meltCurve_O00462_MANBA.pdf", "Melting_Curves/meltCurve_O00462_MANBA.pdf")</f>
        <v>Melting_Curves/meltCurve_O00462_MANBA.pdf</v>
      </c>
    </row>
    <row r="1454" spans="1:28" x14ac:dyDescent="0.25">
      <c r="A1454" t="s">
        <v>1458</v>
      </c>
      <c r="B1454">
        <v>0.99472303558308395</v>
      </c>
      <c r="C1454">
        <v>1.07156210962011</v>
      </c>
      <c r="D1454">
        <v>0.88128524704783195</v>
      </c>
      <c r="E1454">
        <v>0.66157420300696201</v>
      </c>
      <c r="F1454">
        <v>0.58697051924308496</v>
      </c>
      <c r="G1454">
        <v>0.22101337313765701</v>
      </c>
      <c r="H1454">
        <v>0.134461339305884</v>
      </c>
      <c r="I1454">
        <v>5.5302917508973801E-2</v>
      </c>
      <c r="J1454">
        <v>7.3394175532719694E-2</v>
      </c>
      <c r="K1454">
        <v>8.4950458661143896E-2</v>
      </c>
      <c r="L1454">
        <v>725.77762905083205</v>
      </c>
      <c r="M1454">
        <v>14.588772648888</v>
      </c>
      <c r="N1454">
        <v>49.939417382081899</v>
      </c>
      <c r="O1454">
        <v>48.842332679244102</v>
      </c>
      <c r="P1454">
        <v>-7.2661240443896005E-2</v>
      </c>
      <c r="Q1454">
        <v>2.7047770015339801E-2</v>
      </c>
      <c r="R1454">
        <v>0.978748144897852</v>
      </c>
      <c r="S1454" t="s">
        <v>8022</v>
      </c>
      <c r="T1454" t="s">
        <v>13134</v>
      </c>
      <c r="U1454" t="s">
        <v>13134</v>
      </c>
      <c r="V1454" t="s">
        <v>13134</v>
      </c>
      <c r="W1454" t="s">
        <v>14551</v>
      </c>
      <c r="X1454">
        <v>7</v>
      </c>
      <c r="Y1454" t="s">
        <v>21034</v>
      </c>
      <c r="Z1454" t="s">
        <v>27422</v>
      </c>
      <c r="AA1454">
        <v>0.4618707144985057</v>
      </c>
      <c r="AB1454" t="str">
        <f>HYPERLINK("Melting_Curves/meltCurve_O00468_2_AGRN.pdf", "Melting_Curves/meltCurve_O00468_2_AGRN.pdf")</f>
        <v>Melting_Curves/meltCurve_O00468_2_AGRN.pdf</v>
      </c>
    </row>
    <row r="1455" spans="1:28" x14ac:dyDescent="0.25">
      <c r="A1455" t="s">
        <v>1459</v>
      </c>
      <c r="B1455">
        <v>0.99472303558308395</v>
      </c>
      <c r="C1455">
        <v>0.95282038513604195</v>
      </c>
      <c r="D1455">
        <v>0.85136921044387204</v>
      </c>
      <c r="E1455">
        <v>0.54140238833797505</v>
      </c>
      <c r="F1455">
        <v>0.241242417860146</v>
      </c>
      <c r="G1455">
        <v>0.157065761749797</v>
      </c>
      <c r="H1455">
        <v>7.7857037713573995E-2</v>
      </c>
      <c r="I1455">
        <v>6.7487371033615198E-2</v>
      </c>
      <c r="J1455">
        <v>7.4570123067733696E-2</v>
      </c>
      <c r="K1455">
        <v>6.0317591004077097E-2</v>
      </c>
      <c r="L1455">
        <v>890.26701581140401</v>
      </c>
      <c r="M1455">
        <v>19.075214471801701</v>
      </c>
      <c r="N1455">
        <v>46.999586607574997</v>
      </c>
      <c r="O1455">
        <v>46.167530867934502</v>
      </c>
      <c r="P1455">
        <v>-9.6856533644174195E-2</v>
      </c>
      <c r="Q1455">
        <v>6.2353329726947702E-2</v>
      </c>
      <c r="R1455">
        <v>0.99909426369385301</v>
      </c>
      <c r="S1455" t="s">
        <v>8023</v>
      </c>
      <c r="T1455" t="s">
        <v>13134</v>
      </c>
      <c r="U1455" t="s">
        <v>13134</v>
      </c>
      <c r="V1455" t="s">
        <v>13134</v>
      </c>
      <c r="W1455" t="s">
        <v>14552</v>
      </c>
      <c r="X1455">
        <v>13</v>
      </c>
      <c r="Y1455" t="s">
        <v>21035</v>
      </c>
      <c r="Z1455" t="s">
        <v>27423</v>
      </c>
      <c r="AA1455">
        <v>0.37809689192022128</v>
      </c>
      <c r="AB1455" t="str">
        <f>HYPERLINK("Melting_Curves/meltCurve_O00471_EXOC5.pdf", "Melting_Curves/meltCurve_O00471_EXOC5.pdf")</f>
        <v>Melting_Curves/meltCurve_O00471_EXOC5.pdf</v>
      </c>
    </row>
    <row r="1456" spans="1:28" x14ac:dyDescent="0.25">
      <c r="A1456" t="s">
        <v>1460</v>
      </c>
      <c r="B1456">
        <v>0.99472303558308395</v>
      </c>
      <c r="C1456">
        <v>0.94802904594888304</v>
      </c>
      <c r="D1456">
        <v>0.99146474567472898</v>
      </c>
      <c r="E1456">
        <v>0.73482813842371797</v>
      </c>
      <c r="F1456">
        <v>0.39578804645307503</v>
      </c>
      <c r="G1456">
        <v>0.40729810807120898</v>
      </c>
      <c r="H1456">
        <v>0.37726467190524698</v>
      </c>
      <c r="I1456">
        <v>0.43312924819898502</v>
      </c>
      <c r="J1456">
        <v>0.57899137077289098</v>
      </c>
      <c r="K1456">
        <v>0.44561825140762701</v>
      </c>
      <c r="L1456">
        <v>11654.9905688418</v>
      </c>
      <c r="M1456">
        <v>250</v>
      </c>
      <c r="N1456">
        <v>47.017729554246301</v>
      </c>
      <c r="O1456">
        <v>46.616978842524503</v>
      </c>
      <c r="P1456">
        <v>-0.75122626858825203</v>
      </c>
      <c r="Q1456">
        <v>0.43968161478208101</v>
      </c>
      <c r="R1456">
        <v>0.95293173865710201</v>
      </c>
      <c r="S1456" t="s">
        <v>8024</v>
      </c>
      <c r="T1456" t="s">
        <v>13134</v>
      </c>
      <c r="U1456" t="s">
        <v>13134</v>
      </c>
      <c r="V1456" t="s">
        <v>13134</v>
      </c>
      <c r="W1456" t="s">
        <v>14553</v>
      </c>
      <c r="X1456">
        <v>3</v>
      </c>
      <c r="Y1456" t="s">
        <v>21036</v>
      </c>
      <c r="Z1456" t="s">
        <v>27424</v>
      </c>
      <c r="AA1456">
        <v>0.61940218279047754</v>
      </c>
      <c r="AB1456" t="str">
        <f>HYPERLINK("Melting_Curves/meltCurve_O00479_HMGN4.pdf", "Melting_Curves/meltCurve_O00479_HMGN4.pdf")</f>
        <v>Melting_Curves/meltCurve_O00479_HMGN4.pdf</v>
      </c>
    </row>
    <row r="1457" spans="1:28" x14ac:dyDescent="0.25">
      <c r="A1457" t="s">
        <v>1461</v>
      </c>
      <c r="B1457">
        <v>0.99472303558308395</v>
      </c>
      <c r="C1457">
        <v>0.775904703023236</v>
      </c>
      <c r="D1457">
        <v>0.82318794634236003</v>
      </c>
      <c r="E1457">
        <v>0.59967533102472004</v>
      </c>
      <c r="F1457">
        <v>0.360606627997759</v>
      </c>
      <c r="G1457">
        <v>0.23781059982059699</v>
      </c>
      <c r="H1457">
        <v>0.19907878916972099</v>
      </c>
      <c r="I1457">
        <v>0.17378512172035401</v>
      </c>
      <c r="J1457">
        <v>0.216972323191849</v>
      </c>
      <c r="K1457">
        <v>0.20277045256146201</v>
      </c>
      <c r="L1457">
        <v>594.36090743848104</v>
      </c>
      <c r="M1457">
        <v>12.8563746716162</v>
      </c>
      <c r="N1457">
        <v>47.6359095525887</v>
      </c>
      <c r="O1457">
        <v>45.155148792864303</v>
      </c>
      <c r="P1457">
        <v>-5.9957902547227798E-2</v>
      </c>
      <c r="Q1457">
        <v>0.157800195882392</v>
      </c>
      <c r="R1457">
        <v>0.96924396064524998</v>
      </c>
      <c r="S1457" t="s">
        <v>8025</v>
      </c>
      <c r="T1457" t="s">
        <v>13134</v>
      </c>
      <c r="U1457" t="s">
        <v>13134</v>
      </c>
      <c r="V1457" t="s">
        <v>13134</v>
      </c>
      <c r="W1457" t="s">
        <v>14554</v>
      </c>
      <c r="X1457">
        <v>7</v>
      </c>
      <c r="Y1457" t="s">
        <v>21037</v>
      </c>
      <c r="Z1457" t="s">
        <v>27425</v>
      </c>
      <c r="AA1457">
        <v>0.44246610540124659</v>
      </c>
      <c r="AB1457" t="str">
        <f>HYPERLINK("Melting_Curves/meltCurve_O00483_NDUFA4.pdf", "Melting_Curves/meltCurve_O00483_NDUFA4.pdf")</f>
        <v>Melting_Curves/meltCurve_O00483_NDUFA4.pdf</v>
      </c>
    </row>
    <row r="1458" spans="1:28" x14ac:dyDescent="0.25">
      <c r="A1458" t="s">
        <v>1462</v>
      </c>
      <c r="B1458">
        <v>0.99472303558308395</v>
      </c>
      <c r="C1458">
        <v>0.94788474043745496</v>
      </c>
      <c r="D1458">
        <v>0.75310587447237498</v>
      </c>
      <c r="E1458">
        <v>0.59072015812251499</v>
      </c>
      <c r="F1458">
        <v>0.47344082387210801</v>
      </c>
      <c r="G1458">
        <v>0.17069371213075499</v>
      </c>
      <c r="H1458">
        <v>6.0185976462266602E-2</v>
      </c>
      <c r="I1458">
        <v>2.92640160454124E-2</v>
      </c>
      <c r="J1458">
        <v>3.0614221914894799E-2</v>
      </c>
      <c r="K1458">
        <v>3.1795726293358202E-2</v>
      </c>
      <c r="L1458">
        <v>612.61599532513799</v>
      </c>
      <c r="M1458">
        <v>12.7365895277463</v>
      </c>
      <c r="N1458">
        <v>48.098903950219302</v>
      </c>
      <c r="O1458">
        <v>46.959437792766401</v>
      </c>
      <c r="P1458">
        <v>-6.7819308968496805E-2</v>
      </c>
      <c r="Q1458">
        <v>0</v>
      </c>
      <c r="R1458">
        <v>0.98497865855872102</v>
      </c>
      <c r="S1458" t="s">
        <v>8026</v>
      </c>
      <c r="T1458" t="s">
        <v>13134</v>
      </c>
      <c r="U1458" t="s">
        <v>13134</v>
      </c>
      <c r="V1458" t="s">
        <v>13134</v>
      </c>
      <c r="W1458" t="s">
        <v>14555</v>
      </c>
      <c r="X1458">
        <v>7</v>
      </c>
      <c r="Y1458" t="s">
        <v>21038</v>
      </c>
      <c r="Z1458" t="s">
        <v>27426</v>
      </c>
      <c r="AA1458">
        <v>0.39848562844220831</v>
      </c>
      <c r="AB1458" t="str">
        <f>HYPERLINK("Melting_Curves/meltCurve_O00487_PSMD14.pdf", "Melting_Curves/meltCurve_O00487_PSMD14.pdf")</f>
        <v>Melting_Curves/meltCurve_O00487_PSMD14.pdf</v>
      </c>
    </row>
    <row r="1459" spans="1:28" x14ac:dyDescent="0.25">
      <c r="A1459" t="s">
        <v>1463</v>
      </c>
      <c r="B1459">
        <v>0.99472303558308395</v>
      </c>
      <c r="C1459">
        <v>1.0179487725715901</v>
      </c>
      <c r="D1459">
        <v>0.83637598878370401</v>
      </c>
      <c r="E1459">
        <v>0.77266057661035503</v>
      </c>
      <c r="F1459">
        <v>0.66206051752264705</v>
      </c>
      <c r="G1459">
        <v>0.40342714622797698</v>
      </c>
      <c r="H1459">
        <v>0.29604302343739602</v>
      </c>
      <c r="I1459">
        <v>0.24988638378053099</v>
      </c>
      <c r="J1459">
        <v>0.26534842504565098</v>
      </c>
      <c r="K1459">
        <v>0.22462270049392899</v>
      </c>
      <c r="L1459">
        <v>622.11192337605996</v>
      </c>
      <c r="M1459">
        <v>12.3689579776679</v>
      </c>
      <c r="N1459">
        <v>52.200487660690797</v>
      </c>
      <c r="O1459">
        <v>49.035789096685598</v>
      </c>
      <c r="P1459">
        <v>-5.1621798462533598E-2</v>
      </c>
      <c r="Q1459">
        <v>0.181572731597378</v>
      </c>
      <c r="R1459">
        <v>0.98309487674624896</v>
      </c>
      <c r="S1459" t="s">
        <v>8027</v>
      </c>
      <c r="T1459" t="s">
        <v>13134</v>
      </c>
      <c r="U1459" t="s">
        <v>13134</v>
      </c>
      <c r="V1459" t="s">
        <v>13134</v>
      </c>
      <c r="W1459" t="s">
        <v>14556</v>
      </c>
      <c r="X1459">
        <v>4</v>
      </c>
      <c r="Y1459" t="s">
        <v>21039</v>
      </c>
      <c r="Z1459" t="s">
        <v>27427</v>
      </c>
      <c r="AA1459">
        <v>0.56600194906812951</v>
      </c>
      <c r="AB1459" t="str">
        <f>HYPERLINK("Melting_Curves/meltCurve_O00488_ZNF593.pdf", "Melting_Curves/meltCurve_O00488_ZNF593.pdf")</f>
        <v>Melting_Curves/meltCurve_O00488_ZNF593.pdf</v>
      </c>
    </row>
    <row r="1460" spans="1:28" x14ac:dyDescent="0.25">
      <c r="A1460" t="s">
        <v>1464</v>
      </c>
      <c r="B1460">
        <v>0.99472303558308395</v>
      </c>
      <c r="C1460">
        <v>0.99939108626742901</v>
      </c>
      <c r="D1460">
        <v>1.03692042606138</v>
      </c>
      <c r="E1460">
        <v>0.76166956708952804</v>
      </c>
      <c r="F1460">
        <v>0.401483826781038</v>
      </c>
      <c r="G1460">
        <v>0.155738273601149</v>
      </c>
      <c r="H1460">
        <v>5.8000342437334998E-2</v>
      </c>
      <c r="I1460">
        <v>3.5499215755426201E-2</v>
      </c>
      <c r="J1460">
        <v>5.1855787478731798E-2</v>
      </c>
      <c r="K1460">
        <v>3.8001903362443502E-2</v>
      </c>
      <c r="L1460">
        <v>1164.3827173091099</v>
      </c>
      <c r="M1460">
        <v>23.721073174574901</v>
      </c>
      <c r="N1460">
        <v>49.2478784849161</v>
      </c>
      <c r="O1460">
        <v>48.741563628866402</v>
      </c>
      <c r="P1460">
        <v>-0.11711759106736901</v>
      </c>
      <c r="Q1460">
        <v>3.7412863945668201E-2</v>
      </c>
      <c r="R1460">
        <v>0.99660876197092396</v>
      </c>
      <c r="S1460" t="s">
        <v>8028</v>
      </c>
      <c r="T1460" t="s">
        <v>13134</v>
      </c>
      <c r="U1460" t="s">
        <v>13134</v>
      </c>
      <c r="V1460" t="s">
        <v>13134</v>
      </c>
      <c r="W1460" t="s">
        <v>14557</v>
      </c>
      <c r="X1460">
        <v>11</v>
      </c>
      <c r="Y1460" t="s">
        <v>21040</v>
      </c>
      <c r="Z1460" t="s">
        <v>27428</v>
      </c>
      <c r="AA1460">
        <v>0.43443647253547818</v>
      </c>
      <c r="AB1460" t="str">
        <f>HYPERLINK("Melting_Curves/meltCurve_O00505_KPNA3.pdf", "Melting_Curves/meltCurve_O00505_KPNA3.pdf")</f>
        <v>Melting_Curves/meltCurve_O00505_KPNA3.pdf</v>
      </c>
    </row>
    <row r="1461" spans="1:28" x14ac:dyDescent="0.25">
      <c r="A1461" t="s">
        <v>1465</v>
      </c>
      <c r="B1461">
        <v>0.99472303558308395</v>
      </c>
      <c r="C1461">
        <v>0.943091921601108</v>
      </c>
      <c r="D1461">
        <v>0.981072199810611</v>
      </c>
      <c r="E1461">
        <v>0.90759226384097003</v>
      </c>
      <c r="F1461">
        <v>0.64043531805142795</v>
      </c>
      <c r="G1461">
        <v>0.25795074741667401</v>
      </c>
      <c r="H1461">
        <v>7.2843212918160594E-2</v>
      </c>
      <c r="I1461">
        <v>4.2042800064179202E-2</v>
      </c>
      <c r="J1461">
        <v>2.2922171392707299E-2</v>
      </c>
      <c r="K1461">
        <v>3.5911478518333997E-2</v>
      </c>
      <c r="L1461">
        <v>1238.80860000337</v>
      </c>
      <c r="M1461">
        <v>24.165057214303701</v>
      </c>
      <c r="N1461">
        <v>51.347803238696997</v>
      </c>
      <c r="O1461">
        <v>50.917263508445302</v>
      </c>
      <c r="P1461">
        <v>-0.116368627892473</v>
      </c>
      <c r="Q1461">
        <v>1.92316994082922E-2</v>
      </c>
      <c r="R1461">
        <v>0.99777877733742504</v>
      </c>
      <c r="S1461" t="s">
        <v>8029</v>
      </c>
      <c r="T1461" t="s">
        <v>13134</v>
      </c>
      <c r="U1461" t="s">
        <v>13134</v>
      </c>
      <c r="V1461" t="s">
        <v>13134</v>
      </c>
      <c r="W1461" t="s">
        <v>14558</v>
      </c>
      <c r="X1461">
        <v>8</v>
      </c>
      <c r="Y1461" t="s">
        <v>21041</v>
      </c>
      <c r="Z1461" t="s">
        <v>27429</v>
      </c>
      <c r="AA1461">
        <v>0.4947924063546954</v>
      </c>
      <c r="AB1461" t="str">
        <f>HYPERLINK("Melting_Curves/meltCurve_O00506_STK25.pdf", "Melting_Curves/meltCurve_O00506_STK25.pdf")</f>
        <v>Melting_Curves/meltCurve_O00506_STK25.pdf</v>
      </c>
    </row>
    <row r="1462" spans="1:28" x14ac:dyDescent="0.25">
      <c r="A1462" t="s">
        <v>1466</v>
      </c>
      <c r="B1462">
        <v>0.99472303558308395</v>
      </c>
      <c r="C1462">
        <v>1.05437606086929</v>
      </c>
      <c r="D1462">
        <v>0.94225301009066997</v>
      </c>
      <c r="E1462">
        <v>0.87291925135929205</v>
      </c>
      <c r="F1462">
        <v>0.677280848767985</v>
      </c>
      <c r="G1462">
        <v>0.39300113362371503</v>
      </c>
      <c r="H1462">
        <v>0.32850895088648602</v>
      </c>
      <c r="I1462">
        <v>0.28897877138759798</v>
      </c>
      <c r="J1462">
        <v>0.29481524785626001</v>
      </c>
      <c r="K1462">
        <v>0.28050144424905099</v>
      </c>
      <c r="L1462">
        <v>1074.36715129922</v>
      </c>
      <c r="M1462">
        <v>21.345053367432001</v>
      </c>
      <c r="N1462">
        <v>52.299742679647899</v>
      </c>
      <c r="O1462">
        <v>49.897773630413099</v>
      </c>
      <c r="P1462">
        <v>-7.7439005666602306E-2</v>
      </c>
      <c r="Q1462">
        <v>0.27590970610492899</v>
      </c>
      <c r="R1462">
        <v>0.99282637428222198</v>
      </c>
      <c r="S1462" t="s">
        <v>8030</v>
      </c>
      <c r="T1462" t="s">
        <v>13134</v>
      </c>
      <c r="U1462" t="s">
        <v>13134</v>
      </c>
      <c r="V1462" t="s">
        <v>13134</v>
      </c>
      <c r="W1462" t="s">
        <v>14559</v>
      </c>
      <c r="X1462">
        <v>4</v>
      </c>
      <c r="Y1462" t="s">
        <v>21042</v>
      </c>
      <c r="Z1462" t="s">
        <v>27430</v>
      </c>
      <c r="AA1462">
        <v>0.60622412659885294</v>
      </c>
      <c r="AB1462" t="str">
        <f>HYPERLINK("Melting_Curves/meltCurve_O00512_BCL9.pdf", "Melting_Curves/meltCurve_O00512_BCL9.pdf")</f>
        <v>Melting_Curves/meltCurve_O00512_BCL9.pdf</v>
      </c>
    </row>
    <row r="1463" spans="1:28" x14ac:dyDescent="0.25">
      <c r="A1463" t="s">
        <v>1467</v>
      </c>
      <c r="B1463">
        <v>0.99472303558308395</v>
      </c>
      <c r="C1463">
        <v>0.95406077494938002</v>
      </c>
      <c r="D1463">
        <v>0.89010443422554597</v>
      </c>
      <c r="E1463">
        <v>0.58965458773743895</v>
      </c>
      <c r="F1463">
        <v>0.27257777884465101</v>
      </c>
      <c r="G1463">
        <v>0.110442618759081</v>
      </c>
      <c r="H1463">
        <v>9.4505173228875902E-2</v>
      </c>
      <c r="I1463">
        <v>6.0196639486841202E-2</v>
      </c>
      <c r="J1463">
        <v>3.6309991011899398E-2</v>
      </c>
      <c r="K1463">
        <v>7.9511345312857001E-2</v>
      </c>
      <c r="L1463">
        <v>961.94508168438404</v>
      </c>
      <c r="M1463">
        <v>20.384098687270502</v>
      </c>
      <c r="N1463">
        <v>47.459946565782197</v>
      </c>
      <c r="O1463">
        <v>46.743818408407101</v>
      </c>
      <c r="P1463">
        <v>-0.103075903912783</v>
      </c>
      <c r="Q1463">
        <v>5.4554042066489401E-2</v>
      </c>
      <c r="R1463">
        <v>0.99857465795586298</v>
      </c>
      <c r="S1463" t="s">
        <v>8031</v>
      </c>
      <c r="T1463" t="s">
        <v>13134</v>
      </c>
      <c r="U1463" t="s">
        <v>13134</v>
      </c>
      <c r="V1463" t="s">
        <v>13134</v>
      </c>
      <c r="W1463" t="s">
        <v>14560</v>
      </c>
      <c r="X1463">
        <v>3</v>
      </c>
      <c r="Y1463" t="s">
        <v>21043</v>
      </c>
      <c r="Z1463" t="s">
        <v>27431</v>
      </c>
      <c r="AA1463">
        <v>0.38765505087683022</v>
      </c>
      <c r="AB1463" t="str">
        <f>HYPERLINK("Melting_Curves/meltCurve_O00522_KRIT1.pdf", "Melting_Curves/meltCurve_O00522_KRIT1.pdf")</f>
        <v>Melting_Curves/meltCurve_O00522_KRIT1.pdf</v>
      </c>
    </row>
    <row r="1464" spans="1:28" x14ac:dyDescent="0.25">
      <c r="A1464" t="s">
        <v>1468</v>
      </c>
      <c r="B1464">
        <v>0.99472303558308395</v>
      </c>
      <c r="C1464">
        <v>0.92841832346924702</v>
      </c>
      <c r="D1464">
        <v>0.91621396854693704</v>
      </c>
      <c r="E1464">
        <v>0.75079182009829404</v>
      </c>
      <c r="F1464">
        <v>0.52447282744940904</v>
      </c>
      <c r="G1464">
        <v>0.257039224330323</v>
      </c>
      <c r="H1464">
        <v>0.13988196922542601</v>
      </c>
      <c r="I1464">
        <v>0.14550786011435399</v>
      </c>
      <c r="J1464">
        <v>0.127969313454705</v>
      </c>
      <c r="K1464">
        <v>0.105462021521278</v>
      </c>
      <c r="L1464">
        <v>803.71893700547503</v>
      </c>
      <c r="M1464">
        <v>16.253627110220901</v>
      </c>
      <c r="N1464">
        <v>50.054129425171297</v>
      </c>
      <c r="O1464">
        <v>48.718243460973298</v>
      </c>
      <c r="P1464">
        <v>-7.5967597016518798E-2</v>
      </c>
      <c r="Q1464">
        <v>8.9253165922528604E-2</v>
      </c>
      <c r="R1464">
        <v>0.994746018456938</v>
      </c>
      <c r="S1464" t="s">
        <v>8032</v>
      </c>
      <c r="T1464" t="s">
        <v>13134</v>
      </c>
      <c r="U1464" t="s">
        <v>13134</v>
      </c>
      <c r="V1464" t="s">
        <v>13134</v>
      </c>
      <c r="W1464" t="s">
        <v>14561</v>
      </c>
      <c r="X1464">
        <v>9</v>
      </c>
      <c r="Y1464" t="s">
        <v>20529</v>
      </c>
      <c r="Z1464" t="s">
        <v>27432</v>
      </c>
      <c r="AA1464">
        <v>0.48425143620436428</v>
      </c>
      <c r="AB1464" t="str">
        <f>HYPERLINK("Melting_Curves/meltCurve_O00560_SDCBP.pdf", "Melting_Curves/meltCurve_O00560_SDCBP.pdf")</f>
        <v>Melting_Curves/meltCurve_O00560_SDCBP.pdf</v>
      </c>
    </row>
    <row r="1465" spans="1:28" x14ac:dyDescent="0.25">
      <c r="A1465" t="s">
        <v>1469</v>
      </c>
      <c r="B1465">
        <v>0.99472303558308395</v>
      </c>
      <c r="C1465">
        <v>0.93770857832356103</v>
      </c>
      <c r="D1465">
        <v>0.69181323737828104</v>
      </c>
      <c r="E1465">
        <v>0.45678244173604599</v>
      </c>
      <c r="F1465">
        <v>0.23799267992741499</v>
      </c>
      <c r="G1465">
        <v>0.159473922337136</v>
      </c>
      <c r="H1465">
        <v>7.5572364423373603E-2</v>
      </c>
      <c r="I1465">
        <v>3.0504955766748099E-2</v>
      </c>
      <c r="J1465">
        <v>0</v>
      </c>
      <c r="K1465">
        <v>0</v>
      </c>
      <c r="L1465">
        <v>630.97017576488099</v>
      </c>
      <c r="M1465">
        <v>13.695973618082601</v>
      </c>
      <c r="N1465">
        <v>46.069756806047998</v>
      </c>
      <c r="O1465">
        <v>45.120898782343602</v>
      </c>
      <c r="P1465">
        <v>-7.5895808281741403E-2</v>
      </c>
      <c r="Q1465">
        <v>0</v>
      </c>
      <c r="R1465">
        <v>0.99538939880488098</v>
      </c>
      <c r="S1465" t="s">
        <v>8033</v>
      </c>
      <c r="T1465" t="s">
        <v>13134</v>
      </c>
      <c r="U1465" t="s">
        <v>13134</v>
      </c>
      <c r="V1465" t="s">
        <v>13134</v>
      </c>
      <c r="W1465" t="s">
        <v>14562</v>
      </c>
      <c r="X1465">
        <v>5</v>
      </c>
      <c r="Y1465" t="s">
        <v>21044</v>
      </c>
      <c r="Z1465" t="s">
        <v>27433</v>
      </c>
      <c r="AA1465">
        <v>0.32957222401164921</v>
      </c>
      <c r="AB1465" t="str">
        <f>HYPERLINK("Melting_Curves/meltCurve_O00562_2_PITPNM1.pdf", "Melting_Curves/meltCurve_O00562_2_PITPNM1.pdf")</f>
        <v>Melting_Curves/meltCurve_O00562_2_PITPNM1.pdf</v>
      </c>
    </row>
    <row r="1466" spans="1:28" x14ac:dyDescent="0.25">
      <c r="A1466" t="s">
        <v>1470</v>
      </c>
      <c r="B1466">
        <v>0.99472303558308395</v>
      </c>
      <c r="C1466">
        <v>1.16193739222925</v>
      </c>
      <c r="D1466">
        <v>1.1644800682896199</v>
      </c>
      <c r="E1466">
        <v>0.97745777870457695</v>
      </c>
      <c r="F1466">
        <v>0.58728518109323002</v>
      </c>
      <c r="G1466">
        <v>0.31810756567867099</v>
      </c>
      <c r="H1466">
        <v>0.13113082179009</v>
      </c>
      <c r="I1466">
        <v>0.12914569221788799</v>
      </c>
      <c r="J1466">
        <v>0.13970685749589501</v>
      </c>
      <c r="K1466">
        <v>0.13065816727144</v>
      </c>
      <c r="L1466">
        <v>1496.70024853159</v>
      </c>
      <c r="M1466">
        <v>29.537038370432899</v>
      </c>
      <c r="N1466">
        <v>51.204986344946697</v>
      </c>
      <c r="O1466">
        <v>50.441417041311702</v>
      </c>
      <c r="P1466">
        <v>-0.12701964531674201</v>
      </c>
      <c r="Q1466">
        <v>0.132342735324191</v>
      </c>
      <c r="R1466">
        <v>0.96720068293308303</v>
      </c>
      <c r="S1466" t="s">
        <v>8034</v>
      </c>
      <c r="T1466" t="s">
        <v>13134</v>
      </c>
      <c r="U1466" t="s">
        <v>13134</v>
      </c>
      <c r="V1466" t="s">
        <v>13134</v>
      </c>
      <c r="W1466" t="s">
        <v>14563</v>
      </c>
      <c r="X1466">
        <v>3</v>
      </c>
      <c r="Y1466" t="s">
        <v>21045</v>
      </c>
      <c r="Z1466" t="s">
        <v>27434</v>
      </c>
      <c r="AA1466">
        <v>0.5333086090832575</v>
      </c>
      <c r="AB1466" t="str">
        <f>HYPERLINK("Melting_Curves/meltCurve_O00566_MPHOSPH10.pdf", "Melting_Curves/meltCurve_O00566_MPHOSPH10.pdf")</f>
        <v>Melting_Curves/meltCurve_O00566_MPHOSPH10.pdf</v>
      </c>
    </row>
    <row r="1467" spans="1:28" x14ac:dyDescent="0.25">
      <c r="A1467" t="s">
        <v>1471</v>
      </c>
      <c r="B1467">
        <v>0.99472303558308395</v>
      </c>
      <c r="C1467">
        <v>0.86391489285177803</v>
      </c>
      <c r="D1467">
        <v>0.79496021708148901</v>
      </c>
      <c r="E1467">
        <v>0.699609058823915</v>
      </c>
      <c r="F1467">
        <v>0.76213507915934697</v>
      </c>
      <c r="G1467">
        <v>0.35371612858144202</v>
      </c>
      <c r="H1467">
        <v>0.171239787989725</v>
      </c>
      <c r="I1467">
        <v>0.11785993955085</v>
      </c>
      <c r="J1467">
        <v>0.28087902043588098</v>
      </c>
      <c r="K1467">
        <v>7.4787286477845494E-2</v>
      </c>
      <c r="L1467">
        <v>476.79769573708501</v>
      </c>
      <c r="M1467">
        <v>9.2490931627387898</v>
      </c>
      <c r="N1467">
        <v>51.550750585431302</v>
      </c>
      <c r="O1467">
        <v>49.312764689568098</v>
      </c>
      <c r="P1467">
        <v>-4.6920659359599999E-2</v>
      </c>
      <c r="Q1467">
        <v>0</v>
      </c>
      <c r="R1467">
        <v>0.91446880271424402</v>
      </c>
      <c r="S1467" t="s">
        <v>8035</v>
      </c>
      <c r="T1467" t="s">
        <v>13134</v>
      </c>
      <c r="U1467" t="s">
        <v>13134</v>
      </c>
      <c r="V1467" t="s">
        <v>13134</v>
      </c>
      <c r="W1467" t="s">
        <v>14564</v>
      </c>
      <c r="X1467">
        <v>5</v>
      </c>
      <c r="Y1467" t="s">
        <v>21046</v>
      </c>
      <c r="Z1467" t="s">
        <v>27435</v>
      </c>
      <c r="AA1467">
        <v>0.51469762814957554</v>
      </c>
      <c r="AB1467" t="str">
        <f>HYPERLINK("Melting_Curves/meltCurve_O00567_NOP56.pdf", "Melting_Curves/meltCurve_O00567_NOP56.pdf")</f>
        <v>Melting_Curves/meltCurve_O00567_NOP56.pdf</v>
      </c>
    </row>
    <row r="1468" spans="1:28" x14ac:dyDescent="0.25">
      <c r="A1468" t="s">
        <v>1472</v>
      </c>
      <c r="B1468">
        <v>0.99472303558308395</v>
      </c>
      <c r="C1468">
        <v>0.87367468410877402</v>
      </c>
      <c r="D1468">
        <v>0.91750329386646501</v>
      </c>
      <c r="E1468">
        <v>0.56401199916035205</v>
      </c>
      <c r="F1468">
        <v>0.124452940383235</v>
      </c>
      <c r="G1468">
        <v>7.8287788537328803E-2</v>
      </c>
      <c r="H1468">
        <v>4.6461063482571098E-2</v>
      </c>
      <c r="I1468">
        <v>3.3827718928434301E-2</v>
      </c>
      <c r="J1468">
        <v>3.8887377681071499E-2</v>
      </c>
      <c r="K1468">
        <v>3.1219117280528199E-2</v>
      </c>
      <c r="L1468">
        <v>1322.9305566661601</v>
      </c>
      <c r="M1468">
        <v>28.2755583121507</v>
      </c>
      <c r="N1468">
        <v>46.9077779454569</v>
      </c>
      <c r="O1468">
        <v>46.554924863263601</v>
      </c>
      <c r="P1468">
        <v>-0.146513167551023</v>
      </c>
      <c r="Q1468">
        <v>3.5088440223312201E-2</v>
      </c>
      <c r="R1468">
        <v>0.98965304438425195</v>
      </c>
      <c r="S1468" t="s">
        <v>8036</v>
      </c>
      <c r="T1468" t="s">
        <v>13134</v>
      </c>
      <c r="U1468" t="s">
        <v>13134</v>
      </c>
      <c r="V1468" t="s">
        <v>13134</v>
      </c>
      <c r="W1468" t="s">
        <v>14565</v>
      </c>
      <c r="X1468">
        <v>42</v>
      </c>
      <c r="Y1468" t="s">
        <v>21047</v>
      </c>
      <c r="Z1468" t="s">
        <v>27436</v>
      </c>
      <c r="AA1468">
        <v>0.35617448972816562</v>
      </c>
      <c r="AB1468" t="str">
        <f>HYPERLINK("Melting_Curves/meltCurve_O00571_DDX3X.pdf", "Melting_Curves/meltCurve_O00571_DDX3X.pdf")</f>
        <v>Melting_Curves/meltCurve_O00571_DDX3X.pdf</v>
      </c>
    </row>
    <row r="1469" spans="1:28" x14ac:dyDescent="0.25">
      <c r="A1469" t="s">
        <v>1473</v>
      </c>
      <c r="B1469">
        <v>0.99472303558308395</v>
      </c>
      <c r="C1469">
        <v>0.89812153975415898</v>
      </c>
      <c r="D1469">
        <v>1.05519259118996</v>
      </c>
      <c r="E1469">
        <v>0.87363683462145603</v>
      </c>
      <c r="F1469">
        <v>0.57700217982226298</v>
      </c>
      <c r="G1469">
        <v>0.421284920873434</v>
      </c>
      <c r="H1469">
        <v>0.18365969782592401</v>
      </c>
      <c r="I1469">
        <v>0.159385232925284</v>
      </c>
      <c r="J1469">
        <v>0.11766084556006701</v>
      </c>
      <c r="K1469">
        <v>9.14416085710784E-2</v>
      </c>
      <c r="L1469">
        <v>881.00815898533301</v>
      </c>
      <c r="M1469">
        <v>17.179668399976201</v>
      </c>
      <c r="N1469">
        <v>51.8605800178903</v>
      </c>
      <c r="O1469">
        <v>50.602307903400003</v>
      </c>
      <c r="P1469">
        <v>-7.7478696740463898E-2</v>
      </c>
      <c r="Q1469">
        <v>8.7207431263674598E-2</v>
      </c>
      <c r="R1469">
        <v>0.98307055477517702</v>
      </c>
      <c r="S1469" t="s">
        <v>8037</v>
      </c>
      <c r="T1469" t="s">
        <v>13134</v>
      </c>
      <c r="U1469" t="s">
        <v>13134</v>
      </c>
      <c r="V1469" t="s">
        <v>13134</v>
      </c>
      <c r="W1469" t="s">
        <v>14566</v>
      </c>
      <c r="X1469">
        <v>7</v>
      </c>
      <c r="Y1469" t="s">
        <v>21048</v>
      </c>
      <c r="Z1469" t="s">
        <v>27437</v>
      </c>
      <c r="AA1469">
        <v>0.53683909898750259</v>
      </c>
      <c r="AB1469" t="str">
        <f>HYPERLINK("Melting_Curves/meltCurve_O00625_PIR.pdf", "Melting_Curves/meltCurve_O00625_PIR.pdf")</f>
        <v>Melting_Curves/meltCurve_O00625_PIR.pdf</v>
      </c>
    </row>
    <row r="1470" spans="1:28" x14ac:dyDescent="0.25">
      <c r="A1470" t="s">
        <v>1474</v>
      </c>
      <c r="B1470">
        <v>0.99472303558308395</v>
      </c>
      <c r="C1470">
        <v>0.92391808060945202</v>
      </c>
      <c r="D1470">
        <v>0.94790459457563203</v>
      </c>
      <c r="E1470">
        <v>0.73122398921867104</v>
      </c>
      <c r="F1470">
        <v>0.49935405979844999</v>
      </c>
      <c r="G1470">
        <v>0.330045973001383</v>
      </c>
      <c r="H1470">
        <v>0.12691695069174699</v>
      </c>
      <c r="I1470">
        <v>5.1947209194611703E-2</v>
      </c>
      <c r="J1470">
        <v>5.5856331690216698E-2</v>
      </c>
      <c r="K1470">
        <v>4.3167502715680199E-2</v>
      </c>
      <c r="L1470">
        <v>693.52296393602103</v>
      </c>
      <c r="M1470">
        <v>13.7901559583562</v>
      </c>
      <c r="N1470">
        <v>50.291166694850503</v>
      </c>
      <c r="O1470">
        <v>49.269007119365199</v>
      </c>
      <c r="P1470">
        <v>-6.9983638731331801E-2</v>
      </c>
      <c r="Q1470">
        <v>0</v>
      </c>
      <c r="R1470">
        <v>0.99479126264001005</v>
      </c>
      <c r="S1470" t="s">
        <v>8038</v>
      </c>
      <c r="T1470" t="s">
        <v>13134</v>
      </c>
      <c r="U1470" t="s">
        <v>13134</v>
      </c>
      <c r="V1470" t="s">
        <v>13134</v>
      </c>
      <c r="W1470" t="s">
        <v>14567</v>
      </c>
      <c r="X1470">
        <v>14</v>
      </c>
      <c r="Y1470" t="s">
        <v>21049</v>
      </c>
      <c r="Z1470" t="s">
        <v>27438</v>
      </c>
      <c r="AA1470">
        <v>0.46623461950903422</v>
      </c>
      <c r="AB1470" t="str">
        <f>HYPERLINK("Melting_Curves/meltCurve_O00629_KPNA4.pdf", "Melting_Curves/meltCurve_O00629_KPNA4.pdf")</f>
        <v>Melting_Curves/meltCurve_O00629_KPNA4.pdf</v>
      </c>
    </row>
    <row r="1471" spans="1:28" x14ac:dyDescent="0.25">
      <c r="A1471" t="s">
        <v>1475</v>
      </c>
      <c r="B1471">
        <v>0.99472303558308395</v>
      </c>
      <c r="C1471">
        <v>0.91707536648850696</v>
      </c>
      <c r="D1471">
        <v>0.87745034720805803</v>
      </c>
      <c r="E1471">
        <v>0.50210771799340903</v>
      </c>
      <c r="F1471">
        <v>0.26826560719095</v>
      </c>
      <c r="G1471">
        <v>0.15404332751795699</v>
      </c>
      <c r="H1471">
        <v>8.3547900181837095E-2</v>
      </c>
      <c r="I1471">
        <v>6.5506449441822198E-2</v>
      </c>
      <c r="J1471">
        <v>0.101542438453051</v>
      </c>
      <c r="K1471">
        <v>8.5361983616957807E-2</v>
      </c>
      <c r="L1471">
        <v>898.13148783605902</v>
      </c>
      <c r="M1471">
        <v>19.329332036254399</v>
      </c>
      <c r="N1471">
        <v>46.878500755865602</v>
      </c>
      <c r="O1471">
        <v>45.975930302593099</v>
      </c>
      <c r="P1471">
        <v>-9.6865786771147003E-2</v>
      </c>
      <c r="Q1471">
        <v>7.8430681965290502E-2</v>
      </c>
      <c r="R1471">
        <v>0.99575998593252901</v>
      </c>
      <c r="S1471" t="s">
        <v>8039</v>
      </c>
      <c r="T1471" t="s">
        <v>13134</v>
      </c>
      <c r="U1471" t="s">
        <v>13134</v>
      </c>
      <c r="V1471" t="s">
        <v>13134</v>
      </c>
      <c r="W1471" t="s">
        <v>14568</v>
      </c>
      <c r="X1471">
        <v>3</v>
      </c>
      <c r="Y1471" t="s">
        <v>21050</v>
      </c>
      <c r="Z1471" t="s">
        <v>27439</v>
      </c>
      <c r="AA1471">
        <v>0.38207228122257841</v>
      </c>
      <c r="AB1471" t="str">
        <f>HYPERLINK("Melting_Curves/meltCurve_O00635_TRIM38.pdf", "Melting_Curves/meltCurve_O00635_TRIM38.pdf")</f>
        <v>Melting_Curves/meltCurve_O00635_TRIM38.pdf</v>
      </c>
    </row>
    <row r="1472" spans="1:28" x14ac:dyDescent="0.25">
      <c r="A1472" t="s">
        <v>1476</v>
      </c>
      <c r="B1472">
        <v>0.99472303558308395</v>
      </c>
      <c r="C1472">
        <v>0.92175821463501895</v>
      </c>
      <c r="D1472">
        <v>0.78096207146005003</v>
      </c>
      <c r="E1472">
        <v>0.69036954847024601</v>
      </c>
      <c r="F1472">
        <v>0.61399551061248703</v>
      </c>
      <c r="G1472">
        <v>0.43248342464186601</v>
      </c>
      <c r="H1472">
        <v>0.41882252051220997</v>
      </c>
      <c r="I1472">
        <v>0.33153882553901898</v>
      </c>
      <c r="J1472">
        <v>0.28070903783149498</v>
      </c>
      <c r="K1472">
        <v>0.17140473700717601</v>
      </c>
      <c r="L1472">
        <v>348.84932941373802</v>
      </c>
      <c r="M1472">
        <v>6.6317950779207004</v>
      </c>
      <c r="N1472">
        <v>53.079967143666998</v>
      </c>
      <c r="O1472">
        <v>48.436768369009499</v>
      </c>
      <c r="P1472">
        <v>-3.3313185360336901E-2</v>
      </c>
      <c r="Q1472">
        <v>2.8952146195431901E-2</v>
      </c>
      <c r="R1472">
        <v>0.98235844142028195</v>
      </c>
      <c r="S1472" t="s">
        <v>8040</v>
      </c>
      <c r="T1472" t="s">
        <v>13134</v>
      </c>
      <c r="U1472" t="s">
        <v>13134</v>
      </c>
      <c r="V1472" t="s">
        <v>13134</v>
      </c>
      <c r="W1472" t="s">
        <v>14569</v>
      </c>
      <c r="X1472">
        <v>12</v>
      </c>
      <c r="Y1472" t="s">
        <v>21051</v>
      </c>
      <c r="Z1472" t="s">
        <v>27440</v>
      </c>
      <c r="AA1472">
        <v>0.55647505504442341</v>
      </c>
      <c r="AB1472" t="str">
        <f>HYPERLINK("Melting_Curves/meltCurve_O00743_PPP6C.pdf", "Melting_Curves/meltCurve_O00743_PPP6C.pdf")</f>
        <v>Melting_Curves/meltCurve_O00743_PPP6C.pdf</v>
      </c>
    </row>
    <row r="1473" spans="1:28" x14ac:dyDescent="0.25">
      <c r="A1473" t="s">
        <v>1477</v>
      </c>
      <c r="B1473">
        <v>0.99472303558308395</v>
      </c>
      <c r="C1473">
        <v>1.0202316045119899</v>
      </c>
      <c r="D1473">
        <v>0.97642939226164904</v>
      </c>
      <c r="E1473">
        <v>0.90798126731171902</v>
      </c>
      <c r="F1473">
        <v>0.58418685927349401</v>
      </c>
      <c r="G1473">
        <v>0.26968660738964201</v>
      </c>
      <c r="H1473">
        <v>0.19190292710491599</v>
      </c>
      <c r="I1473">
        <v>0.144180079603908</v>
      </c>
      <c r="J1473">
        <v>0.14808408354493399</v>
      </c>
      <c r="K1473">
        <v>0.12683279477060699</v>
      </c>
      <c r="L1473">
        <v>1296.85951651307</v>
      </c>
      <c r="M1473">
        <v>25.764058418042801</v>
      </c>
      <c r="N1473">
        <v>50.980273489703997</v>
      </c>
      <c r="O1473">
        <v>50.0356752488929</v>
      </c>
      <c r="P1473">
        <v>-0.11084276019155199</v>
      </c>
      <c r="Q1473">
        <v>0.138951379307892</v>
      </c>
      <c r="R1473">
        <v>0.99910506644104102</v>
      </c>
      <c r="S1473" t="s">
        <v>8041</v>
      </c>
      <c r="T1473" t="s">
        <v>13134</v>
      </c>
      <c r="U1473" t="s">
        <v>13134</v>
      </c>
      <c r="V1473" t="s">
        <v>13134</v>
      </c>
      <c r="W1473" t="s">
        <v>14570</v>
      </c>
      <c r="X1473">
        <v>3</v>
      </c>
      <c r="Y1473" t="s">
        <v>21052</v>
      </c>
      <c r="Z1473" t="s">
        <v>27441</v>
      </c>
      <c r="AA1473">
        <v>0.52885191346454752</v>
      </c>
      <c r="AB1473" t="str">
        <f>HYPERLINK("Melting_Curves/meltCurve_O00748_CES2.pdf", "Melting_Curves/meltCurve_O00748_CES2.pdf")</f>
        <v>Melting_Curves/meltCurve_O00748_CES2.pdf</v>
      </c>
    </row>
    <row r="1474" spans="1:28" x14ac:dyDescent="0.25">
      <c r="A1474" t="s">
        <v>1478</v>
      </c>
      <c r="B1474">
        <v>0.99472303558308395</v>
      </c>
      <c r="C1474">
        <v>0.95354666908644603</v>
      </c>
      <c r="D1474">
        <v>0.82681366944821</v>
      </c>
      <c r="E1474">
        <v>0.76417317730722001</v>
      </c>
      <c r="F1474">
        <v>0.72404456006908302</v>
      </c>
      <c r="G1474">
        <v>0.44794475172917703</v>
      </c>
      <c r="H1474">
        <v>0.379203857221735</v>
      </c>
      <c r="I1474">
        <v>0.43161403274712701</v>
      </c>
      <c r="J1474">
        <v>0.55187466552285702</v>
      </c>
      <c r="K1474">
        <v>0.57717531369509001</v>
      </c>
      <c r="L1474">
        <v>680.66768193055998</v>
      </c>
      <c r="M1474">
        <v>14.543953792297399</v>
      </c>
      <c r="N1474">
        <v>57.922777725386197</v>
      </c>
      <c r="O1474">
        <v>45.942651805437499</v>
      </c>
      <c r="P1474">
        <v>-4.1999789187071597E-2</v>
      </c>
      <c r="Q1474">
        <v>0.46937090499622702</v>
      </c>
      <c r="R1474">
        <v>0.86612085103081005</v>
      </c>
      <c r="S1474" t="s">
        <v>8042</v>
      </c>
      <c r="T1474" t="s">
        <v>13134</v>
      </c>
      <c r="U1474" t="s">
        <v>13134</v>
      </c>
      <c r="V1474" t="s">
        <v>13134</v>
      </c>
      <c r="W1474" t="s">
        <v>14571</v>
      </c>
      <c r="X1474">
        <v>9</v>
      </c>
      <c r="Y1474" t="s">
        <v>21053</v>
      </c>
      <c r="Z1474" t="s">
        <v>27442</v>
      </c>
      <c r="AA1474">
        <v>0.65540800154868828</v>
      </c>
      <c r="AB1474" t="str">
        <f>HYPERLINK("Melting_Curves/meltCurve_O00754_2_MAN2B1.pdf", "Melting_Curves/meltCurve_O00754_2_MAN2B1.pdf")</f>
        <v>Melting_Curves/meltCurve_O00754_2_MAN2B1.pdf</v>
      </c>
    </row>
    <row r="1475" spans="1:28" x14ac:dyDescent="0.25">
      <c r="A1475" t="s">
        <v>1479</v>
      </c>
      <c r="B1475">
        <v>0.99472303558308395</v>
      </c>
      <c r="C1475">
        <v>1.0187402562150001</v>
      </c>
      <c r="D1475">
        <v>0.94809462667685795</v>
      </c>
      <c r="E1475">
        <v>0.90864194226413098</v>
      </c>
      <c r="F1475">
        <v>0.77389007712589097</v>
      </c>
      <c r="G1475">
        <v>0.65864537471710205</v>
      </c>
      <c r="H1475">
        <v>0.55614342347126799</v>
      </c>
      <c r="I1475">
        <v>0.55984048215227999</v>
      </c>
      <c r="J1475">
        <v>0.41696002067285998</v>
      </c>
      <c r="K1475">
        <v>0.15562786939175699</v>
      </c>
      <c r="L1475">
        <v>471.56474159048702</v>
      </c>
      <c r="M1475">
        <v>7.9435510431868197</v>
      </c>
      <c r="N1475">
        <v>59.364471952404699</v>
      </c>
      <c r="O1475">
        <v>55.956025063598098</v>
      </c>
      <c r="P1475">
        <v>-3.55313648006206E-2</v>
      </c>
      <c r="Q1475">
        <v>0</v>
      </c>
      <c r="R1475">
        <v>0.94674065141583896</v>
      </c>
      <c r="S1475" t="s">
        <v>8043</v>
      </c>
      <c r="T1475" t="s">
        <v>13134</v>
      </c>
      <c r="U1475" t="s">
        <v>13134</v>
      </c>
      <c r="V1475" t="s">
        <v>13134</v>
      </c>
      <c r="W1475" t="s">
        <v>14572</v>
      </c>
      <c r="X1475">
        <v>13</v>
      </c>
      <c r="Y1475" t="s">
        <v>21054</v>
      </c>
      <c r="Z1475" t="s">
        <v>27443</v>
      </c>
      <c r="AA1475">
        <v>0.7090765522762883</v>
      </c>
      <c r="AB1475" t="str">
        <f>HYPERLINK("Melting_Curves/meltCurve_O00764_PDXK.pdf", "Melting_Curves/meltCurve_O00764_PDXK.pdf")</f>
        <v>Melting_Curves/meltCurve_O00764_PDXK.pdf</v>
      </c>
    </row>
    <row r="1476" spans="1:28" x14ac:dyDescent="0.25">
      <c r="A1476" t="s">
        <v>1480</v>
      </c>
      <c r="B1476">
        <v>0.99472303558308395</v>
      </c>
      <c r="C1476">
        <v>1.0901628573936399</v>
      </c>
      <c r="D1476">
        <v>0.83566539791195904</v>
      </c>
      <c r="E1476">
        <v>0.82107106456263501</v>
      </c>
      <c r="F1476">
        <v>0.96485619620971197</v>
      </c>
      <c r="G1476">
        <v>0.59278062346831095</v>
      </c>
      <c r="H1476">
        <v>0.47484234539532399</v>
      </c>
      <c r="I1476">
        <v>0.36087683845365998</v>
      </c>
      <c r="J1476">
        <v>0.389555843548687</v>
      </c>
      <c r="K1476">
        <v>0.27658658666503599</v>
      </c>
      <c r="L1476">
        <v>687.92527466829404</v>
      </c>
      <c r="M1476">
        <v>12.618888410772801</v>
      </c>
      <c r="N1476">
        <v>57.291138165612303</v>
      </c>
      <c r="O1476">
        <v>53.200786656932799</v>
      </c>
      <c r="P1476">
        <v>-4.5746377662581501E-2</v>
      </c>
      <c r="Q1476">
        <v>0.228692353926778</v>
      </c>
      <c r="R1476">
        <v>0.90905359779053097</v>
      </c>
      <c r="S1476" t="s">
        <v>8044</v>
      </c>
      <c r="T1476" t="s">
        <v>13134</v>
      </c>
      <c r="U1476" t="s">
        <v>13134</v>
      </c>
      <c r="V1476" t="s">
        <v>13134</v>
      </c>
      <c r="W1476" t="s">
        <v>14573</v>
      </c>
      <c r="X1476">
        <v>10</v>
      </c>
      <c r="Y1476" t="s">
        <v>21054</v>
      </c>
      <c r="Z1476" t="s">
        <v>27444</v>
      </c>
      <c r="AA1476">
        <v>0.69141470004092365</v>
      </c>
      <c r="AB1476" t="str">
        <f>HYPERLINK("Melting_Curves/meltCurve_O00764_3_PDXK.pdf", "Melting_Curves/meltCurve_O00764_3_PDXK.pdf")</f>
        <v>Melting_Curves/meltCurve_O00764_3_PDXK.pdf</v>
      </c>
    </row>
    <row r="1477" spans="1:28" x14ac:dyDescent="0.25">
      <c r="A1477" t="s">
        <v>1481</v>
      </c>
      <c r="B1477">
        <v>0.99472303558308395</v>
      </c>
      <c r="C1477">
        <v>1.02904713021774</v>
      </c>
      <c r="D1477">
        <v>0.77957822369049201</v>
      </c>
      <c r="E1477">
        <v>0.67985756287663401</v>
      </c>
      <c r="F1477">
        <v>0.55330269531017595</v>
      </c>
      <c r="G1477">
        <v>0.30198660977826702</v>
      </c>
      <c r="H1477">
        <v>0.18275876489852899</v>
      </c>
      <c r="I1477">
        <v>0.130405754199718</v>
      </c>
      <c r="J1477">
        <v>7.9498052241766495E-2</v>
      </c>
      <c r="K1477">
        <v>7.5738332554726506E-2</v>
      </c>
      <c r="L1477">
        <v>546.59897754162</v>
      </c>
      <c r="M1477">
        <v>10.9107624438582</v>
      </c>
      <c r="N1477">
        <v>50.117881783459602</v>
      </c>
      <c r="O1477">
        <v>48.502498916095497</v>
      </c>
      <c r="P1477">
        <v>-5.6131523681031602E-2</v>
      </c>
      <c r="Q1477">
        <v>2.2432382756503301E-3</v>
      </c>
      <c r="R1477">
        <v>0.985339537016239</v>
      </c>
      <c r="S1477" t="s">
        <v>8045</v>
      </c>
      <c r="T1477" t="s">
        <v>13134</v>
      </c>
      <c r="U1477" t="s">
        <v>13134</v>
      </c>
      <c r="V1477" t="s">
        <v>13134</v>
      </c>
      <c r="W1477" t="s">
        <v>14574</v>
      </c>
      <c r="X1477">
        <v>3</v>
      </c>
      <c r="Y1477" t="s">
        <v>21055</v>
      </c>
      <c r="Z1477" t="s">
        <v>27445</v>
      </c>
      <c r="AA1477">
        <v>0.46863079909804878</v>
      </c>
      <c r="AB1477" t="str">
        <f>HYPERLINK("Melting_Curves/meltCurve_O00767_SCD.pdf", "Melting_Curves/meltCurve_O00767_SCD.pdf")</f>
        <v>Melting_Curves/meltCurve_O00767_SCD.pdf</v>
      </c>
    </row>
    <row r="1478" spans="1:28" x14ac:dyDescent="0.25">
      <c r="A1478" t="s">
        <v>1482</v>
      </c>
      <c r="B1478">
        <v>0.99472303558308395</v>
      </c>
      <c r="C1478">
        <v>0.94231795595907897</v>
      </c>
      <c r="D1478">
        <v>0.619109303157102</v>
      </c>
      <c r="E1478">
        <v>0.30026470495212498</v>
      </c>
      <c r="F1478">
        <v>0.173460932236285</v>
      </c>
      <c r="G1478">
        <v>0.103757521770978</v>
      </c>
      <c r="H1478">
        <v>6.1805098149449803E-2</v>
      </c>
      <c r="I1478">
        <v>5.4281011760047397E-2</v>
      </c>
      <c r="J1478">
        <v>6.6093044046274294E-2</v>
      </c>
      <c r="K1478">
        <v>6.1668504404072302E-2</v>
      </c>
      <c r="L1478">
        <v>891.91873236079198</v>
      </c>
      <c r="M1478">
        <v>20.2379439171808</v>
      </c>
      <c r="N1478">
        <v>44.386712788880303</v>
      </c>
      <c r="O1478">
        <v>43.648071277949903</v>
      </c>
      <c r="P1478">
        <v>-0.10816249827671701</v>
      </c>
      <c r="Q1478">
        <v>6.6913552522961703E-2</v>
      </c>
      <c r="R1478">
        <v>0.99629163802598997</v>
      </c>
      <c r="S1478" t="s">
        <v>8046</v>
      </c>
      <c r="T1478" t="s">
        <v>13134</v>
      </c>
      <c r="U1478" t="s">
        <v>13134</v>
      </c>
      <c r="V1478" t="s">
        <v>13134</v>
      </c>
      <c r="W1478" t="s">
        <v>14575</v>
      </c>
      <c r="X1478">
        <v>31</v>
      </c>
      <c r="Y1478" t="s">
        <v>21056</v>
      </c>
      <c r="Z1478" t="s">
        <v>27446</v>
      </c>
      <c r="AA1478">
        <v>0.29900570312694541</v>
      </c>
      <c r="AB1478" t="str">
        <f>HYPERLINK("Melting_Curves/meltCurve_O14497_ARID1A.pdf", "Melting_Curves/meltCurve_O14497_ARID1A.pdf")</f>
        <v>Melting_Curves/meltCurve_O14497_ARID1A.pdf</v>
      </c>
    </row>
    <row r="1479" spans="1:28" x14ac:dyDescent="0.25">
      <c r="A1479" t="s">
        <v>1483</v>
      </c>
      <c r="B1479">
        <v>0.99472303558308395</v>
      </c>
      <c r="C1479">
        <v>1.0703454102457599</v>
      </c>
      <c r="D1479">
        <v>0.90788617624459</v>
      </c>
      <c r="E1479">
        <v>0.66999096607925301</v>
      </c>
      <c r="F1479">
        <v>0.56445046796180598</v>
      </c>
      <c r="G1479">
        <v>0.33524098549733</v>
      </c>
      <c r="H1479">
        <v>0.37706803480951401</v>
      </c>
      <c r="I1479">
        <v>0.33722497586828798</v>
      </c>
      <c r="J1479">
        <v>9.8923331709449794E-2</v>
      </c>
      <c r="K1479">
        <v>8.5256342998331403E-2</v>
      </c>
      <c r="L1479">
        <v>528.96563422895701</v>
      </c>
      <c r="M1479">
        <v>10.415409973015301</v>
      </c>
      <c r="N1479">
        <v>51.593290458357302</v>
      </c>
      <c r="O1479">
        <v>49.021678698021901</v>
      </c>
      <c r="P1479">
        <v>-4.9146578150354399E-2</v>
      </c>
      <c r="Q1479">
        <v>7.5122154990389697E-2</v>
      </c>
      <c r="R1479">
        <v>0.95012768445256002</v>
      </c>
      <c r="S1479" t="s">
        <v>8047</v>
      </c>
      <c r="T1479" t="s">
        <v>13134</v>
      </c>
      <c r="U1479" t="s">
        <v>13134</v>
      </c>
      <c r="V1479" t="s">
        <v>13134</v>
      </c>
      <c r="W1479" t="s">
        <v>14576</v>
      </c>
      <c r="X1479">
        <v>2</v>
      </c>
      <c r="Y1479" t="s">
        <v>21057</v>
      </c>
      <c r="Z1479" t="s">
        <v>27447</v>
      </c>
      <c r="AA1479">
        <v>0.52811495891107385</v>
      </c>
      <c r="AB1479" t="str">
        <f>HYPERLINK("Melting_Curves/meltCurve_O14503_BHLHE40.pdf", "Melting_Curves/meltCurve_O14503_BHLHE40.pdf")</f>
        <v>Melting_Curves/meltCurve_O14503_BHLHE40.pdf</v>
      </c>
    </row>
    <row r="1480" spans="1:28" x14ac:dyDescent="0.25">
      <c r="A1480" t="s">
        <v>1484</v>
      </c>
      <c r="B1480">
        <v>0.99472303558308395</v>
      </c>
      <c r="C1480">
        <v>1.0392023526004099</v>
      </c>
      <c r="D1480">
        <v>1.0124029758939901</v>
      </c>
      <c r="E1480">
        <v>0.93860288133717895</v>
      </c>
      <c r="F1480">
        <v>0.77529718020397798</v>
      </c>
      <c r="G1480">
        <v>0.59881336517432004</v>
      </c>
      <c r="H1480">
        <v>0.24141903956271599</v>
      </c>
      <c r="I1480">
        <v>4.10284553337509E-2</v>
      </c>
      <c r="J1480">
        <v>4.4443494511327099E-2</v>
      </c>
      <c r="K1480">
        <v>5.0971086639957301E-2</v>
      </c>
      <c r="L1480">
        <v>1068.5237907145199</v>
      </c>
      <c r="M1480">
        <v>19.707019703152699</v>
      </c>
      <c r="N1480">
        <v>54.220469413525997</v>
      </c>
      <c r="O1480">
        <v>53.671421370355702</v>
      </c>
      <c r="P1480">
        <v>-9.1797923312486193E-2</v>
      </c>
      <c r="Q1480">
        <v>0</v>
      </c>
      <c r="R1480">
        <v>0.99211608559784303</v>
      </c>
      <c r="S1480" t="s">
        <v>8048</v>
      </c>
      <c r="T1480" t="s">
        <v>13134</v>
      </c>
      <c r="U1480" t="s">
        <v>13134</v>
      </c>
      <c r="V1480" t="s">
        <v>13134</v>
      </c>
      <c r="W1480" t="s">
        <v>14577</v>
      </c>
      <c r="X1480">
        <v>6</v>
      </c>
      <c r="Y1480" t="s">
        <v>21058</v>
      </c>
      <c r="Z1480" t="s">
        <v>27448</v>
      </c>
      <c r="AA1480">
        <v>0.58618671970185632</v>
      </c>
      <c r="AB1480" t="str">
        <f>HYPERLINK("Melting_Curves/meltCurve_O14508_SOCS2.pdf", "Melting_Curves/meltCurve_O14508_SOCS2.pdf")</f>
        <v>Melting_Curves/meltCurve_O14508_SOCS2.pdf</v>
      </c>
    </row>
    <row r="1481" spans="1:28" x14ac:dyDescent="0.25">
      <c r="A1481" t="s">
        <v>1485</v>
      </c>
      <c r="B1481">
        <v>0.99472303558308395</v>
      </c>
      <c r="C1481">
        <v>0.77527699501832503</v>
      </c>
      <c r="D1481">
        <v>0.94798534768298903</v>
      </c>
      <c r="E1481">
        <v>0.58535357680950395</v>
      </c>
      <c r="F1481">
        <v>0.348838420541214</v>
      </c>
      <c r="G1481">
        <v>0.478394743793843</v>
      </c>
      <c r="H1481">
        <v>0.459030640288904</v>
      </c>
      <c r="I1481">
        <v>0.51101435082400404</v>
      </c>
      <c r="J1481">
        <v>0.67435705103696597</v>
      </c>
      <c r="K1481">
        <v>0.40518916102159802</v>
      </c>
      <c r="L1481">
        <v>2041.0917303584699</v>
      </c>
      <c r="M1481">
        <v>45.317943295930597</v>
      </c>
      <c r="N1481">
        <v>48.502021910624499</v>
      </c>
      <c r="O1481">
        <v>44.9519336993284</v>
      </c>
      <c r="P1481">
        <v>-0.13097639913881401</v>
      </c>
      <c r="Q1481">
        <v>0.48032637397992201</v>
      </c>
      <c r="R1481">
        <v>0.75033490122119195</v>
      </c>
      <c r="S1481" t="s">
        <v>8049</v>
      </c>
      <c r="T1481" t="s">
        <v>13134</v>
      </c>
      <c r="U1481" t="s">
        <v>13134</v>
      </c>
      <c r="V1481" t="s">
        <v>13134</v>
      </c>
      <c r="W1481" t="s">
        <v>14578</v>
      </c>
      <c r="X1481">
        <v>2</v>
      </c>
      <c r="Y1481" t="s">
        <v>21059</v>
      </c>
      <c r="Z1481" t="s">
        <v>27449</v>
      </c>
      <c r="AA1481">
        <v>0.62084695392378675</v>
      </c>
      <c r="AB1481" t="str">
        <f>HYPERLINK("Melting_Curves/meltCurve_O14519_2_CDK2AP1.pdf", "Melting_Curves/meltCurve_O14519_2_CDK2AP1.pdf")</f>
        <v>Melting_Curves/meltCurve_O14519_2_CDK2AP1.pdf</v>
      </c>
    </row>
    <row r="1482" spans="1:28" x14ac:dyDescent="0.25">
      <c r="A1482" t="s">
        <v>1486</v>
      </c>
      <c r="B1482">
        <v>0.99472303558308395</v>
      </c>
      <c r="C1482">
        <v>1.07096894319895</v>
      </c>
      <c r="D1482">
        <v>0.90324935432228104</v>
      </c>
      <c r="E1482">
        <v>0.77000283101085898</v>
      </c>
      <c r="F1482">
        <v>0.64609201654001802</v>
      </c>
      <c r="G1482">
        <v>0.40803940565033597</v>
      </c>
      <c r="H1482">
        <v>0.22228677368407901</v>
      </c>
      <c r="I1482">
        <v>0.163300059339158</v>
      </c>
      <c r="J1482">
        <v>0.12677581085179701</v>
      </c>
      <c r="K1482">
        <v>0.105173024082863</v>
      </c>
      <c r="L1482">
        <v>673.26341544650404</v>
      </c>
      <c r="M1482">
        <v>13.0611882429525</v>
      </c>
      <c r="N1482">
        <v>51.998037162191601</v>
      </c>
      <c r="O1482">
        <v>50.383453904118902</v>
      </c>
      <c r="P1482">
        <v>-6.1347755729628403E-2</v>
      </c>
      <c r="Q1482">
        <v>5.3570120982441197E-2</v>
      </c>
      <c r="R1482">
        <v>0.98977288143539299</v>
      </c>
      <c r="S1482" t="s">
        <v>8050</v>
      </c>
      <c r="T1482" t="s">
        <v>13134</v>
      </c>
      <c r="U1482" t="s">
        <v>13134</v>
      </c>
      <c r="V1482" t="s">
        <v>13134</v>
      </c>
      <c r="W1482" t="s">
        <v>14579</v>
      </c>
      <c r="X1482">
        <v>11</v>
      </c>
      <c r="Y1482" t="s">
        <v>21060</v>
      </c>
      <c r="Z1482" t="s">
        <v>27450</v>
      </c>
      <c r="AA1482">
        <v>0.53417534569478753</v>
      </c>
      <c r="AB1482" t="str">
        <f>HYPERLINK("Melting_Curves/meltCurve_O14523_C2CD2L.pdf", "Melting_Curves/meltCurve_O14523_C2CD2L.pdf")</f>
        <v>Melting_Curves/meltCurve_O14523_C2CD2L.pdf</v>
      </c>
    </row>
    <row r="1483" spans="1:28" x14ac:dyDescent="0.25">
      <c r="A1483" t="s">
        <v>1487</v>
      </c>
      <c r="B1483">
        <v>0.99472303558308395</v>
      </c>
      <c r="C1483">
        <v>0.89494595483833705</v>
      </c>
      <c r="D1483">
        <v>0.83495101448943698</v>
      </c>
      <c r="E1483">
        <v>0.72437995066206196</v>
      </c>
      <c r="F1483">
        <v>0.53707419705653703</v>
      </c>
      <c r="G1483">
        <v>0.192632968495313</v>
      </c>
      <c r="H1483">
        <v>8.2111031476656798E-2</v>
      </c>
      <c r="I1483">
        <v>3.61734525828519E-2</v>
      </c>
      <c r="J1483">
        <v>4.5866442444529802E-2</v>
      </c>
      <c r="K1483">
        <v>3.5202725389097099E-2</v>
      </c>
      <c r="L1483">
        <v>710.38951058852001</v>
      </c>
      <c r="M1483">
        <v>14.335677341930699</v>
      </c>
      <c r="N1483">
        <v>49.553972969902603</v>
      </c>
      <c r="O1483">
        <v>48.619619287205801</v>
      </c>
      <c r="P1483">
        <v>-7.3722330900338306E-2</v>
      </c>
      <c r="Q1483">
        <v>0</v>
      </c>
      <c r="R1483">
        <v>0.98461515784029596</v>
      </c>
      <c r="S1483" t="s">
        <v>8051</v>
      </c>
      <c r="T1483" t="s">
        <v>13134</v>
      </c>
      <c r="U1483" t="s">
        <v>13134</v>
      </c>
      <c r="V1483" t="s">
        <v>13134</v>
      </c>
      <c r="W1483" t="s">
        <v>14580</v>
      </c>
      <c r="X1483">
        <v>4</v>
      </c>
      <c r="Y1483" t="s">
        <v>21061</v>
      </c>
      <c r="Z1483" t="s">
        <v>27451</v>
      </c>
      <c r="AA1483">
        <v>0.4411221393705011</v>
      </c>
      <c r="AB1483" t="str">
        <f>HYPERLINK("Melting_Curves/meltCurve_O14524_2_TMEM194A.pdf", "Melting_Curves/meltCurve_O14524_2_TMEM194A.pdf")</f>
        <v>Melting_Curves/meltCurve_O14524_2_TMEM194A.pdf</v>
      </c>
    </row>
    <row r="1484" spans="1:28" x14ac:dyDescent="0.25">
      <c r="A1484" t="s">
        <v>1488</v>
      </c>
      <c r="B1484">
        <v>0.99472303558308395</v>
      </c>
      <c r="C1484">
        <v>1.0168805162035699</v>
      </c>
      <c r="D1484">
        <v>0.86401789076234503</v>
      </c>
      <c r="E1484">
        <v>0.73685439416572796</v>
      </c>
      <c r="F1484">
        <v>0.49973040145389802</v>
      </c>
      <c r="G1484">
        <v>0.41090071377413301</v>
      </c>
      <c r="H1484">
        <v>0.28127076333635298</v>
      </c>
      <c r="I1484">
        <v>0.22962332673547101</v>
      </c>
      <c r="J1484">
        <v>0.29241180409196799</v>
      </c>
      <c r="K1484">
        <v>0.210129697345843</v>
      </c>
      <c r="L1484">
        <v>695.27377019331504</v>
      </c>
      <c r="M1484">
        <v>14.310787008875399</v>
      </c>
      <c r="N1484">
        <v>50.6232110417737</v>
      </c>
      <c r="O1484">
        <v>47.6647416922304</v>
      </c>
      <c r="P1484">
        <v>-5.8623474453121001E-2</v>
      </c>
      <c r="Q1484">
        <v>0.219068945545981</v>
      </c>
      <c r="R1484">
        <v>0.98975026304122704</v>
      </c>
      <c r="S1484" t="s">
        <v>8052</v>
      </c>
      <c r="T1484" t="s">
        <v>13134</v>
      </c>
      <c r="U1484" t="s">
        <v>13134</v>
      </c>
      <c r="V1484" t="s">
        <v>13134</v>
      </c>
      <c r="W1484" t="s">
        <v>14581</v>
      </c>
      <c r="X1484">
        <v>18</v>
      </c>
      <c r="Y1484" t="s">
        <v>21062</v>
      </c>
      <c r="Z1484" t="s">
        <v>27452</v>
      </c>
      <c r="AA1484">
        <v>0.53890348867826732</v>
      </c>
      <c r="AB1484" t="str">
        <f>HYPERLINK("Melting_Curves/meltCurve_O14545_TRAFD1.pdf", "Melting_Curves/meltCurve_O14545_TRAFD1.pdf")</f>
        <v>Melting_Curves/meltCurve_O14545_TRAFD1.pdf</v>
      </c>
    </row>
    <row r="1485" spans="1:28" x14ac:dyDescent="0.25">
      <c r="A1485" t="s">
        <v>1489</v>
      </c>
      <c r="B1485">
        <v>0.99472303558308395</v>
      </c>
      <c r="C1485">
        <v>0.84717226937861601</v>
      </c>
      <c r="D1485">
        <v>0.76867488732188605</v>
      </c>
      <c r="E1485">
        <v>0.63083577943993996</v>
      </c>
      <c r="F1485">
        <v>0.53064921262896603</v>
      </c>
      <c r="G1485">
        <v>0.31537563994472501</v>
      </c>
      <c r="H1485">
        <v>0.19338377491943201</v>
      </c>
      <c r="I1485">
        <v>0.29245515620212797</v>
      </c>
      <c r="J1485">
        <v>0.28412758385945502</v>
      </c>
      <c r="K1485">
        <v>0.26435895304416901</v>
      </c>
      <c r="L1485">
        <v>521.31892711516798</v>
      </c>
      <c r="M1485">
        <v>11.1636641558972</v>
      </c>
      <c r="N1485">
        <v>49.142356329835401</v>
      </c>
      <c r="O1485">
        <v>45.274577822428803</v>
      </c>
      <c r="P1485">
        <v>-4.8526040363653898E-2</v>
      </c>
      <c r="Q1485">
        <v>0.213055581995613</v>
      </c>
      <c r="R1485">
        <v>0.965378776451845</v>
      </c>
      <c r="S1485" t="s">
        <v>8053</v>
      </c>
      <c r="T1485" t="s">
        <v>13134</v>
      </c>
      <c r="U1485" t="s">
        <v>13134</v>
      </c>
      <c r="V1485" t="s">
        <v>13134</v>
      </c>
      <c r="W1485" t="s">
        <v>14582</v>
      </c>
      <c r="X1485">
        <v>4</v>
      </c>
      <c r="Y1485" t="s">
        <v>21063</v>
      </c>
      <c r="Z1485" t="s">
        <v>27453</v>
      </c>
      <c r="AA1485">
        <v>0.49687113383954212</v>
      </c>
      <c r="AB1485" t="str">
        <f>HYPERLINK("Melting_Curves/meltCurve_O14548_COX7A2L.pdf", "Melting_Curves/meltCurve_O14548_COX7A2L.pdf")</f>
        <v>Melting_Curves/meltCurve_O14548_COX7A2L.pdf</v>
      </c>
    </row>
    <row r="1486" spans="1:28" x14ac:dyDescent="0.25">
      <c r="A1486" t="s">
        <v>1490</v>
      </c>
      <c r="B1486">
        <v>0.99472303558308395</v>
      </c>
      <c r="C1486">
        <v>1.0681420102846799</v>
      </c>
      <c r="D1486">
        <v>1.03365005986862</v>
      </c>
      <c r="E1486">
        <v>0.90072566516570896</v>
      </c>
      <c r="F1486">
        <v>0.62789277603058702</v>
      </c>
      <c r="G1486">
        <v>0.481058114424878</v>
      </c>
      <c r="H1486">
        <v>0.371636047430427</v>
      </c>
      <c r="I1486">
        <v>0.34167193301924598</v>
      </c>
      <c r="J1486">
        <v>0.349843150167234</v>
      </c>
      <c r="K1486">
        <v>0.196854794479319</v>
      </c>
      <c r="L1486">
        <v>960.44417723583899</v>
      </c>
      <c r="M1486">
        <v>18.970005998312299</v>
      </c>
      <c r="N1486">
        <v>52.990057201534903</v>
      </c>
      <c r="O1486">
        <v>50.077059248044201</v>
      </c>
      <c r="P1486">
        <v>-6.7694815930096505E-2</v>
      </c>
      <c r="Q1486">
        <v>0.28522504379719799</v>
      </c>
      <c r="R1486">
        <v>0.97593081088806799</v>
      </c>
      <c r="S1486" t="s">
        <v>8054</v>
      </c>
      <c r="T1486" t="s">
        <v>13134</v>
      </c>
      <c r="U1486" t="s">
        <v>13134</v>
      </c>
      <c r="V1486" t="s">
        <v>13134</v>
      </c>
      <c r="W1486" t="s">
        <v>14583</v>
      </c>
      <c r="X1486">
        <v>1</v>
      </c>
      <c r="Y1486" t="s">
        <v>21064</v>
      </c>
      <c r="Z1486" t="s">
        <v>27454</v>
      </c>
      <c r="AA1486">
        <v>0.62021527121651598</v>
      </c>
      <c r="AB1486" t="str">
        <f>HYPERLINK("Melting_Curves/meltCurve_O14561_NDUFAB1.pdf", "Melting_Curves/meltCurve_O14561_NDUFAB1.pdf")</f>
        <v>Melting_Curves/meltCurve_O14561_NDUFAB1.pdf</v>
      </c>
    </row>
    <row r="1487" spans="1:28" x14ac:dyDescent="0.25">
      <c r="A1487" t="s">
        <v>1491</v>
      </c>
      <c r="B1487">
        <v>0.99472303558308395</v>
      </c>
      <c r="C1487">
        <v>1.02292785659557</v>
      </c>
      <c r="D1487">
        <v>0.83590198974962804</v>
      </c>
      <c r="E1487">
        <v>0.66821343348266804</v>
      </c>
      <c r="F1487">
        <v>0.295889682845556</v>
      </c>
      <c r="G1487">
        <v>0.128067823044544</v>
      </c>
      <c r="H1487">
        <v>8.86673923674723E-2</v>
      </c>
      <c r="I1487">
        <v>6.0375256437910897E-2</v>
      </c>
      <c r="J1487">
        <v>7.6313962554428405E-2</v>
      </c>
      <c r="K1487">
        <v>7.1066470137513493E-2</v>
      </c>
      <c r="L1487">
        <v>942.89989329843695</v>
      </c>
      <c r="M1487">
        <v>19.795925057859701</v>
      </c>
      <c r="N1487">
        <v>47.924433871483799</v>
      </c>
      <c r="O1487">
        <v>47.152940378227299</v>
      </c>
      <c r="P1487">
        <v>-9.8969267391320906E-2</v>
      </c>
      <c r="Q1487">
        <v>5.7071843071162899E-2</v>
      </c>
      <c r="R1487">
        <v>0.99454119866719404</v>
      </c>
      <c r="S1487" t="s">
        <v>8055</v>
      </c>
      <c r="T1487" t="s">
        <v>13134</v>
      </c>
      <c r="U1487" t="s">
        <v>13134</v>
      </c>
      <c r="V1487" t="s">
        <v>13134</v>
      </c>
      <c r="W1487" t="s">
        <v>14584</v>
      </c>
      <c r="X1487">
        <v>21</v>
      </c>
      <c r="Y1487" t="s">
        <v>21065</v>
      </c>
      <c r="Z1487" t="s">
        <v>27455</v>
      </c>
      <c r="AA1487">
        <v>0.40383148172076871</v>
      </c>
      <c r="AB1487" t="str">
        <f>HYPERLINK("Melting_Curves/meltCurve_O14578_CIT.pdf", "Melting_Curves/meltCurve_O14578_CIT.pdf")</f>
        <v>Melting_Curves/meltCurve_O14578_CIT.pdf</v>
      </c>
    </row>
    <row r="1488" spans="1:28" x14ac:dyDescent="0.25">
      <c r="A1488" t="s">
        <v>1492</v>
      </c>
      <c r="B1488">
        <v>0.99472303558308395</v>
      </c>
      <c r="C1488">
        <v>0.87908106298703004</v>
      </c>
      <c r="D1488">
        <v>0.68185402627464797</v>
      </c>
      <c r="E1488">
        <v>0.49657569542725299</v>
      </c>
      <c r="F1488">
        <v>0.418637682507493</v>
      </c>
      <c r="G1488">
        <v>0.208736981285466</v>
      </c>
      <c r="H1488">
        <v>0.17792175909695199</v>
      </c>
      <c r="I1488">
        <v>0.14866801534705801</v>
      </c>
      <c r="J1488">
        <v>0.19377032767032501</v>
      </c>
      <c r="K1488">
        <v>0.17032498800204099</v>
      </c>
      <c r="L1488">
        <v>564.944841805274</v>
      </c>
      <c r="M1488">
        <v>12.4247345587965</v>
      </c>
      <c r="N1488">
        <v>46.7179654943956</v>
      </c>
      <c r="O1488">
        <v>44.339671074748701</v>
      </c>
      <c r="P1488">
        <v>-6.0169648226433302E-2</v>
      </c>
      <c r="Q1488">
        <v>0.141280235048166</v>
      </c>
      <c r="R1488">
        <v>0.98577798509219305</v>
      </c>
      <c r="S1488" t="s">
        <v>8056</v>
      </c>
      <c r="T1488" t="s">
        <v>13134</v>
      </c>
      <c r="U1488" t="s">
        <v>13134</v>
      </c>
      <c r="V1488" t="s">
        <v>13134</v>
      </c>
      <c r="W1488" t="s">
        <v>14585</v>
      </c>
      <c r="X1488">
        <v>1</v>
      </c>
      <c r="Y1488" t="s">
        <v>21066</v>
      </c>
      <c r="Z1488" t="s">
        <v>27456</v>
      </c>
      <c r="AA1488">
        <v>0.41232747370400591</v>
      </c>
      <c r="AB1488" t="str">
        <f>HYPERLINK("Melting_Curves/meltCurve_O14613_CDC42EP2.pdf", "Melting_Curves/meltCurve_O14613_CDC42EP2.pdf")</f>
        <v>Melting_Curves/meltCurve_O14613_CDC42EP2.pdf</v>
      </c>
    </row>
    <row r="1489" spans="1:28" x14ac:dyDescent="0.25">
      <c r="A1489" t="s">
        <v>1493</v>
      </c>
      <c r="B1489">
        <v>0.99472303558308395</v>
      </c>
      <c r="C1489">
        <v>0.974100615999546</v>
      </c>
      <c r="D1489">
        <v>0.80416556315883603</v>
      </c>
      <c r="E1489">
        <v>0.68132187933215804</v>
      </c>
      <c r="F1489">
        <v>0.41599368076644899</v>
      </c>
      <c r="G1489">
        <v>0.100012162788144</v>
      </c>
      <c r="H1489">
        <v>5.7533035865928603E-2</v>
      </c>
      <c r="I1489">
        <v>4.2608416836687903E-2</v>
      </c>
      <c r="J1489">
        <v>4.4275732222624001E-2</v>
      </c>
      <c r="K1489">
        <v>4.2975792437929698E-2</v>
      </c>
      <c r="L1489">
        <v>765.349969085309</v>
      </c>
      <c r="M1489">
        <v>15.8118874726378</v>
      </c>
      <c r="N1489">
        <v>48.428377814000498</v>
      </c>
      <c r="O1489">
        <v>47.649083816250702</v>
      </c>
      <c r="P1489">
        <v>-8.2630693456788307E-2</v>
      </c>
      <c r="Q1489">
        <v>4.0522815509692403E-3</v>
      </c>
      <c r="R1489">
        <v>0.98912222927109394</v>
      </c>
      <c r="S1489" t="s">
        <v>8057</v>
      </c>
      <c r="T1489" t="s">
        <v>13134</v>
      </c>
      <c r="U1489" t="s">
        <v>13134</v>
      </c>
      <c r="V1489" t="s">
        <v>13134</v>
      </c>
      <c r="W1489" t="s">
        <v>14586</v>
      </c>
      <c r="X1489">
        <v>15</v>
      </c>
      <c r="Y1489" t="s">
        <v>21067</v>
      </c>
      <c r="Z1489" t="s">
        <v>27457</v>
      </c>
      <c r="AA1489">
        <v>0.40254031040788979</v>
      </c>
      <c r="AB1489" t="str">
        <f>HYPERLINK("Melting_Curves/meltCurve_O14617_AP3D1.pdf", "Melting_Curves/meltCurve_O14617_AP3D1.pdf")</f>
        <v>Melting_Curves/meltCurve_O14617_AP3D1.pdf</v>
      </c>
    </row>
    <row r="1490" spans="1:28" x14ac:dyDescent="0.25">
      <c r="A1490" t="s">
        <v>1494</v>
      </c>
      <c r="B1490">
        <v>0.99472303558308395</v>
      </c>
      <c r="C1490">
        <v>0.95440932260766898</v>
      </c>
      <c r="D1490">
        <v>0.61800243798606502</v>
      </c>
      <c r="E1490">
        <v>0.35584099340380698</v>
      </c>
      <c r="F1490">
        <v>0.40944813496127702</v>
      </c>
      <c r="G1490">
        <v>0.20349606134805301</v>
      </c>
      <c r="H1490">
        <v>0.19992834931622</v>
      </c>
      <c r="I1490">
        <v>6.1563085038980198E-2</v>
      </c>
      <c r="J1490">
        <v>5.7897133070437701E-2</v>
      </c>
      <c r="K1490">
        <v>5.7550032924054098E-2</v>
      </c>
      <c r="L1490">
        <v>544.48202529827199</v>
      </c>
      <c r="M1490">
        <v>11.97671200898</v>
      </c>
      <c r="N1490">
        <v>45.975444478276103</v>
      </c>
      <c r="O1490">
        <v>44.249933603938302</v>
      </c>
      <c r="P1490">
        <v>-6.3442852144432502E-2</v>
      </c>
      <c r="Q1490">
        <v>6.2627677205000801E-2</v>
      </c>
      <c r="R1490">
        <v>0.95478947878488496</v>
      </c>
      <c r="S1490" t="s">
        <v>8058</v>
      </c>
      <c r="T1490" t="s">
        <v>13134</v>
      </c>
      <c r="U1490" t="s">
        <v>13134</v>
      </c>
      <c r="V1490" t="s">
        <v>13134</v>
      </c>
      <c r="W1490" t="s">
        <v>14587</v>
      </c>
      <c r="X1490">
        <v>16</v>
      </c>
      <c r="Y1490" t="s">
        <v>21068</v>
      </c>
      <c r="Z1490" t="s">
        <v>27458</v>
      </c>
      <c r="AA1490">
        <v>0.3603775283982697</v>
      </c>
      <c r="AB1490" t="str">
        <f>HYPERLINK("Melting_Curves/meltCurve_O14646_2_CHD1.pdf", "Melting_Curves/meltCurve_O14646_2_CHD1.pdf")</f>
        <v>Melting_Curves/meltCurve_O14646_2_CHD1.pdf</v>
      </c>
    </row>
    <row r="1491" spans="1:28" x14ac:dyDescent="0.25">
      <c r="A1491" t="s">
        <v>1495</v>
      </c>
      <c r="B1491">
        <v>0.99472303558308395</v>
      </c>
      <c r="C1491">
        <v>0.96251235904673205</v>
      </c>
      <c r="D1491">
        <v>0.95749494147202396</v>
      </c>
      <c r="E1491">
        <v>0.85395382744088399</v>
      </c>
      <c r="F1491">
        <v>0.64997425551344901</v>
      </c>
      <c r="G1491">
        <v>0.518546503768055</v>
      </c>
      <c r="H1491">
        <v>0.35996994313740199</v>
      </c>
      <c r="I1491">
        <v>0.15565510824370299</v>
      </c>
      <c r="J1491">
        <v>9.8385019601712406E-2</v>
      </c>
      <c r="K1491">
        <v>0.10232624084990199</v>
      </c>
      <c r="L1491">
        <v>623.82079590286003</v>
      </c>
      <c r="M1491">
        <v>11.6362846273662</v>
      </c>
      <c r="N1491">
        <v>53.609963538377002</v>
      </c>
      <c r="O1491">
        <v>52.100053269606597</v>
      </c>
      <c r="P1491">
        <v>-5.5851403702709197E-2</v>
      </c>
      <c r="Q1491">
        <v>0</v>
      </c>
      <c r="R1491">
        <v>0.99395637850333096</v>
      </c>
      <c r="S1491" t="s">
        <v>8059</v>
      </c>
      <c r="T1491" t="s">
        <v>13134</v>
      </c>
      <c r="U1491" t="s">
        <v>13134</v>
      </c>
      <c r="V1491" t="s">
        <v>13134</v>
      </c>
      <c r="W1491" t="s">
        <v>14588</v>
      </c>
      <c r="X1491">
        <v>7</v>
      </c>
      <c r="Y1491" t="s">
        <v>21069</v>
      </c>
      <c r="Z1491" t="s">
        <v>27459</v>
      </c>
      <c r="AA1491">
        <v>0.57304652343334606</v>
      </c>
      <c r="AB1491" t="str">
        <f>HYPERLINK("Melting_Curves/meltCurve_O14656_TOR1A.pdf", "Melting_Curves/meltCurve_O14656_TOR1A.pdf")</f>
        <v>Melting_Curves/meltCurve_O14656_TOR1A.pdf</v>
      </c>
    </row>
    <row r="1492" spans="1:28" x14ac:dyDescent="0.25">
      <c r="A1492" t="s">
        <v>1496</v>
      </c>
      <c r="B1492">
        <v>0.99472303558308395</v>
      </c>
      <c r="C1492">
        <v>1.07284923414611</v>
      </c>
      <c r="D1492">
        <v>1.0195817362061701</v>
      </c>
      <c r="E1492">
        <v>0.91560295835791194</v>
      </c>
      <c r="F1492">
        <v>0.68254716533314197</v>
      </c>
      <c r="G1492">
        <v>0.341140354304033</v>
      </c>
      <c r="H1492">
        <v>0.127466654914032</v>
      </c>
      <c r="I1492">
        <v>8.7282638143563199E-2</v>
      </c>
      <c r="J1492">
        <v>0.13039705730905801</v>
      </c>
      <c r="K1492">
        <v>9.7307655793763603E-2</v>
      </c>
      <c r="L1492">
        <v>1265.24815621677</v>
      </c>
      <c r="M1492">
        <v>24.5788263276383</v>
      </c>
      <c r="N1492">
        <v>51.896385063699</v>
      </c>
      <c r="O1492">
        <v>51.140032057167602</v>
      </c>
      <c r="P1492">
        <v>-0.109337157934549</v>
      </c>
      <c r="Q1492">
        <v>9.0041932953156503E-2</v>
      </c>
      <c r="R1492">
        <v>0.99439473083024399</v>
      </c>
      <c r="S1492" t="s">
        <v>8060</v>
      </c>
      <c r="T1492" t="s">
        <v>13134</v>
      </c>
      <c r="U1492" t="s">
        <v>13134</v>
      </c>
      <c r="V1492" t="s">
        <v>13134</v>
      </c>
      <c r="W1492" t="s">
        <v>14589</v>
      </c>
      <c r="X1492">
        <v>7</v>
      </c>
      <c r="Y1492" t="s">
        <v>21070</v>
      </c>
      <c r="Z1492" t="s">
        <v>27460</v>
      </c>
      <c r="AA1492">
        <v>0.53746523259640955</v>
      </c>
      <c r="AB1492" t="str">
        <f>HYPERLINK("Melting_Curves/meltCurve_O14657_TOR1B.pdf", "Melting_Curves/meltCurve_O14657_TOR1B.pdf")</f>
        <v>Melting_Curves/meltCurve_O14657_TOR1B.pdf</v>
      </c>
    </row>
    <row r="1493" spans="1:28" x14ac:dyDescent="0.25">
      <c r="A1493" t="s">
        <v>1497</v>
      </c>
      <c r="B1493">
        <v>0.99472303558308395</v>
      </c>
      <c r="C1493">
        <v>0.87957905080228405</v>
      </c>
      <c r="D1493">
        <v>0.85161730909570399</v>
      </c>
      <c r="E1493">
        <v>0.75247757865863096</v>
      </c>
      <c r="F1493">
        <v>0.35013778875691598</v>
      </c>
      <c r="G1493">
        <v>0.15884113737710201</v>
      </c>
      <c r="H1493">
        <v>9.5226735666432499E-2</v>
      </c>
      <c r="I1493">
        <v>5.4066038377362E-2</v>
      </c>
      <c r="J1493">
        <v>3.9664166087445898E-2</v>
      </c>
      <c r="K1493">
        <v>3.8677969459422798E-2</v>
      </c>
      <c r="L1493">
        <v>817.78621958631504</v>
      </c>
      <c r="M1493">
        <v>16.831657752072498</v>
      </c>
      <c r="N1493">
        <v>48.705521745143898</v>
      </c>
      <c r="O1493">
        <v>47.915920960131501</v>
      </c>
      <c r="P1493">
        <v>-8.6050393687919793E-2</v>
      </c>
      <c r="Q1493">
        <v>2.0198969510960701E-2</v>
      </c>
      <c r="R1493">
        <v>0.98705962795545499</v>
      </c>
      <c r="S1493" t="s">
        <v>8061</v>
      </c>
      <c r="T1493" t="s">
        <v>13134</v>
      </c>
      <c r="U1493" t="s">
        <v>13134</v>
      </c>
      <c r="V1493" t="s">
        <v>13134</v>
      </c>
      <c r="W1493" t="s">
        <v>14590</v>
      </c>
      <c r="X1493">
        <v>4</v>
      </c>
      <c r="Y1493" t="s">
        <v>21071</v>
      </c>
      <c r="Z1493" t="s">
        <v>27461</v>
      </c>
      <c r="AA1493">
        <v>0.41616878257797518</v>
      </c>
      <c r="AB1493" t="str">
        <f>HYPERLINK("Melting_Curves/meltCurve_O14662_2_STX16.pdf", "Melting_Curves/meltCurve_O14662_2_STX16.pdf")</f>
        <v>Melting_Curves/meltCurve_O14662_2_STX16.pdf</v>
      </c>
    </row>
    <row r="1494" spans="1:28" x14ac:dyDescent="0.25">
      <c r="A1494" t="s">
        <v>1498</v>
      </c>
      <c r="B1494">
        <v>0.99472303558308395</v>
      </c>
      <c r="C1494">
        <v>1.0284195705677599</v>
      </c>
      <c r="D1494">
        <v>1.0067475523364899</v>
      </c>
      <c r="E1494">
        <v>0.89818474146227301</v>
      </c>
      <c r="F1494">
        <v>0.65681672930969404</v>
      </c>
      <c r="G1494">
        <v>0.356739630562185</v>
      </c>
      <c r="H1494">
        <v>0.17759609570265</v>
      </c>
      <c r="I1494">
        <v>0.12979905840369499</v>
      </c>
      <c r="J1494">
        <v>0.145353179970131</v>
      </c>
      <c r="K1494">
        <v>0.145840853321519</v>
      </c>
      <c r="L1494">
        <v>1150.40598923482</v>
      </c>
      <c r="M1494">
        <v>22.484408744206899</v>
      </c>
      <c r="N1494">
        <v>51.832489794157802</v>
      </c>
      <c r="O1494">
        <v>50.765043466040801</v>
      </c>
      <c r="P1494">
        <v>-9.68042922239645E-2</v>
      </c>
      <c r="Q1494">
        <v>0.12576336278501099</v>
      </c>
      <c r="R1494">
        <v>0.99813867055920502</v>
      </c>
      <c r="S1494" t="s">
        <v>8062</v>
      </c>
      <c r="T1494" t="s">
        <v>13134</v>
      </c>
      <c r="U1494" t="s">
        <v>13134</v>
      </c>
      <c r="V1494" t="s">
        <v>13134</v>
      </c>
      <c r="W1494" t="s">
        <v>14591</v>
      </c>
      <c r="X1494">
        <v>25</v>
      </c>
      <c r="Y1494" t="s">
        <v>21072</v>
      </c>
      <c r="Z1494" t="s">
        <v>27462</v>
      </c>
      <c r="AA1494">
        <v>0.54789126016461698</v>
      </c>
      <c r="AB1494" t="str">
        <f>HYPERLINK("Melting_Curves/meltCurve_O14672_ADAM10.pdf", "Melting_Curves/meltCurve_O14672_ADAM10.pdf")</f>
        <v>Melting_Curves/meltCurve_O14672_ADAM10.pdf</v>
      </c>
    </row>
    <row r="1495" spans="1:28" x14ac:dyDescent="0.25">
      <c r="A1495" t="s">
        <v>1499</v>
      </c>
      <c r="B1495">
        <v>0.99472303558308395</v>
      </c>
      <c r="C1495">
        <v>0.95009944416958603</v>
      </c>
      <c r="D1495">
        <v>0.714903254260707</v>
      </c>
      <c r="E1495">
        <v>0.50293929782838498</v>
      </c>
      <c r="F1495">
        <v>0.31310251576158399</v>
      </c>
      <c r="G1495">
        <v>0.16144942960630801</v>
      </c>
      <c r="H1495">
        <v>0.136116404723996</v>
      </c>
      <c r="I1495">
        <v>8.4722463644920198E-2</v>
      </c>
      <c r="J1495">
        <v>0.11532661793282301</v>
      </c>
      <c r="K1495">
        <v>0.13515440193384701</v>
      </c>
      <c r="L1495">
        <v>695.57787932784697</v>
      </c>
      <c r="M1495">
        <v>15.181540975210501</v>
      </c>
      <c r="N1495">
        <v>46.484529647565097</v>
      </c>
      <c r="O1495">
        <v>45.044420907745</v>
      </c>
      <c r="P1495">
        <v>-7.6017387483574797E-2</v>
      </c>
      <c r="Q1495">
        <v>9.7896460924717696E-2</v>
      </c>
      <c r="R1495">
        <v>0.99418389395970497</v>
      </c>
      <c r="S1495" t="s">
        <v>8063</v>
      </c>
      <c r="T1495" t="s">
        <v>13134</v>
      </c>
      <c r="U1495" t="s">
        <v>13134</v>
      </c>
      <c r="V1495" t="s">
        <v>13134</v>
      </c>
      <c r="W1495" t="s">
        <v>14592</v>
      </c>
      <c r="X1495">
        <v>21</v>
      </c>
      <c r="Y1495" t="s">
        <v>21073</v>
      </c>
      <c r="Z1495" t="s">
        <v>27463</v>
      </c>
      <c r="AA1495">
        <v>0.38346661872631949</v>
      </c>
      <c r="AB1495" t="str">
        <f>HYPERLINK("Melting_Curves/meltCurve_O14686_MLL2.pdf", "Melting_Curves/meltCurve_O14686_MLL2.pdf")</f>
        <v>Melting_Curves/meltCurve_O14686_MLL2.pdf</v>
      </c>
    </row>
    <row r="1496" spans="1:28" x14ac:dyDescent="0.25">
      <c r="A1496" t="s">
        <v>1500</v>
      </c>
      <c r="B1496">
        <v>0.99472303558308395</v>
      </c>
      <c r="C1496">
        <v>0.94919969795231895</v>
      </c>
      <c r="D1496">
        <v>0.95436595646221301</v>
      </c>
      <c r="E1496">
        <v>0.77683403089388103</v>
      </c>
      <c r="F1496">
        <v>0.44127970235236003</v>
      </c>
      <c r="G1496">
        <v>0.14403149832000101</v>
      </c>
      <c r="H1496">
        <v>5.06664683914166E-2</v>
      </c>
      <c r="I1496">
        <v>4.2854200073879897E-2</v>
      </c>
      <c r="J1496">
        <v>5.0512542481749703E-2</v>
      </c>
      <c r="K1496">
        <v>3.7464465723469502E-2</v>
      </c>
      <c r="L1496">
        <v>1071.3524982553599</v>
      </c>
      <c r="M1496">
        <v>21.728452431703701</v>
      </c>
      <c r="N1496">
        <v>49.432494972660997</v>
      </c>
      <c r="O1496">
        <v>48.894498132921598</v>
      </c>
      <c r="P1496">
        <v>-0.10810702520384299</v>
      </c>
      <c r="Q1496">
        <v>2.6950527549728698E-2</v>
      </c>
      <c r="R1496">
        <v>0.99776092850251796</v>
      </c>
      <c r="S1496" t="s">
        <v>8064</v>
      </c>
      <c r="T1496" t="s">
        <v>13134</v>
      </c>
      <c r="U1496" t="s">
        <v>13134</v>
      </c>
      <c r="V1496" t="s">
        <v>13134</v>
      </c>
      <c r="W1496" t="s">
        <v>14593</v>
      </c>
      <c r="X1496">
        <v>14</v>
      </c>
      <c r="Y1496" t="s">
        <v>21074</v>
      </c>
      <c r="Z1496" t="s">
        <v>27464</v>
      </c>
      <c r="AA1496">
        <v>0.43712669434157181</v>
      </c>
      <c r="AB1496" t="str">
        <f>HYPERLINK("Melting_Curves/meltCurve_O14733_3_MAP2K7.pdf", "Melting_Curves/meltCurve_O14733_3_MAP2K7.pdf")</f>
        <v>Melting_Curves/meltCurve_O14733_3_MAP2K7.pdf</v>
      </c>
    </row>
    <row r="1497" spans="1:28" x14ac:dyDescent="0.25">
      <c r="A1497" t="s">
        <v>1501</v>
      </c>
      <c r="B1497">
        <v>0.99472303558308395</v>
      </c>
      <c r="C1497">
        <v>1.07763237051469</v>
      </c>
      <c r="D1497">
        <v>0.96808437131106195</v>
      </c>
      <c r="E1497">
        <v>1.0022853293815801</v>
      </c>
      <c r="F1497">
        <v>0.95863160569648498</v>
      </c>
      <c r="G1497">
        <v>0.66661825507053296</v>
      </c>
      <c r="H1497">
        <v>0.50623407218681005</v>
      </c>
      <c r="I1497">
        <v>0.25797013533073299</v>
      </c>
      <c r="J1497">
        <v>4.7827246482162099E-2</v>
      </c>
      <c r="K1497">
        <v>8.8958100295842196E-2</v>
      </c>
      <c r="L1497">
        <v>1009.78573951966</v>
      </c>
      <c r="M1497">
        <v>17.747093802915501</v>
      </c>
      <c r="N1497">
        <v>56.898653489407501</v>
      </c>
      <c r="O1497">
        <v>56.1909691992687</v>
      </c>
      <c r="P1497">
        <v>-7.8962953672312805E-2</v>
      </c>
      <c r="Q1497">
        <v>0</v>
      </c>
      <c r="R1497">
        <v>0.98468907750583401</v>
      </c>
      <c r="S1497" t="s">
        <v>8065</v>
      </c>
      <c r="T1497" t="s">
        <v>13134</v>
      </c>
      <c r="U1497" t="s">
        <v>13134</v>
      </c>
      <c r="V1497" t="s">
        <v>13134</v>
      </c>
      <c r="W1497" t="s">
        <v>14594</v>
      </c>
      <c r="X1497">
        <v>5</v>
      </c>
      <c r="Y1497" t="s">
        <v>21075</v>
      </c>
      <c r="Z1497" t="s">
        <v>27465</v>
      </c>
      <c r="AA1497">
        <v>0.67249914409731104</v>
      </c>
      <c r="AB1497" t="str">
        <f>HYPERLINK("Melting_Curves/meltCurve_O14734_ACOT8.pdf", "Melting_Curves/meltCurve_O14734_ACOT8.pdf")</f>
        <v>Melting_Curves/meltCurve_O14734_ACOT8.pdf</v>
      </c>
    </row>
    <row r="1498" spans="1:28" x14ac:dyDescent="0.25">
      <c r="A1498" t="s">
        <v>1502</v>
      </c>
      <c r="B1498">
        <v>0.99472303558308395</v>
      </c>
      <c r="C1498">
        <v>0.82894815207875205</v>
      </c>
      <c r="D1498">
        <v>0.99458798523492198</v>
      </c>
      <c r="E1498">
        <v>0.82861705572591404</v>
      </c>
      <c r="F1498">
        <v>0.69985791487343996</v>
      </c>
      <c r="G1498">
        <v>0.46564023076739802</v>
      </c>
      <c r="H1498">
        <v>0.48661531082339998</v>
      </c>
      <c r="I1498">
        <v>0.76410641459631901</v>
      </c>
      <c r="J1498">
        <v>1.1890987108704401</v>
      </c>
      <c r="K1498">
        <v>1.09574684146141</v>
      </c>
      <c r="L1498">
        <v>763.268526112887</v>
      </c>
      <c r="M1498">
        <v>18.4525872835348</v>
      </c>
      <c r="O1498">
        <v>40.887158749179299</v>
      </c>
      <c r="P1498">
        <v>-2.3245064390932001E-2</v>
      </c>
      <c r="Q1498">
        <v>0.79398402606037</v>
      </c>
      <c r="R1498">
        <v>6.5204864381529198E-2</v>
      </c>
      <c r="S1498" t="s">
        <v>8066</v>
      </c>
      <c r="T1498" t="s">
        <v>13134</v>
      </c>
      <c r="U1498" t="s">
        <v>13134</v>
      </c>
      <c r="V1498" t="s">
        <v>13134</v>
      </c>
      <c r="W1498" t="s">
        <v>14595</v>
      </c>
      <c r="X1498">
        <v>12</v>
      </c>
      <c r="Y1498" t="s">
        <v>21076</v>
      </c>
      <c r="Z1498" t="s">
        <v>27466</v>
      </c>
      <c r="AA1498">
        <v>0.82798425662309283</v>
      </c>
      <c r="AB1498" t="str">
        <f>HYPERLINK("Melting_Curves/meltCurve_O14737_PDCD5.pdf", "Melting_Curves/meltCurve_O14737_PDCD5.pdf")</f>
        <v>Melting_Curves/meltCurve_O14737_PDCD5.pdf</v>
      </c>
    </row>
    <row r="1499" spans="1:28" x14ac:dyDescent="0.25">
      <c r="A1499" t="s">
        <v>1503</v>
      </c>
      <c r="B1499">
        <v>0.99472303558308395</v>
      </c>
      <c r="C1499">
        <v>0.86770279870852796</v>
      </c>
      <c r="D1499">
        <v>0.71463264973303398</v>
      </c>
      <c r="E1499">
        <v>0.59082311297226398</v>
      </c>
      <c r="F1499">
        <v>0.76943842253022299</v>
      </c>
      <c r="G1499">
        <v>0.36547832382043799</v>
      </c>
      <c r="H1499">
        <v>9.6874729019611694E-2</v>
      </c>
      <c r="I1499">
        <v>4.1391723527827197E-2</v>
      </c>
      <c r="J1499">
        <v>3.8017698186365502E-2</v>
      </c>
      <c r="K1499">
        <v>3.43561036327397E-2</v>
      </c>
      <c r="L1499">
        <v>518.78500817731299</v>
      </c>
      <c r="M1499">
        <v>10.361867274825901</v>
      </c>
      <c r="N1499">
        <v>50.066746253289402</v>
      </c>
      <c r="O1499">
        <v>48.3096358727786</v>
      </c>
      <c r="P1499">
        <v>-5.3644921170705601E-2</v>
      </c>
      <c r="Q1499">
        <v>0</v>
      </c>
      <c r="R1499">
        <v>0.89711606928766296</v>
      </c>
      <c r="S1499" t="s">
        <v>8067</v>
      </c>
      <c r="T1499" t="s">
        <v>13134</v>
      </c>
      <c r="U1499" t="s">
        <v>13134</v>
      </c>
      <c r="V1499" t="s">
        <v>13134</v>
      </c>
      <c r="W1499" t="s">
        <v>14596</v>
      </c>
      <c r="X1499">
        <v>21</v>
      </c>
      <c r="Y1499" t="s">
        <v>21077</v>
      </c>
      <c r="Z1499" t="s">
        <v>27467</v>
      </c>
      <c r="AA1499">
        <v>0.46814887130373861</v>
      </c>
      <c r="AB1499" t="str">
        <f>HYPERLINK("Melting_Curves/meltCurve_O14744_PRMT5.pdf", "Melting_Curves/meltCurve_O14744_PRMT5.pdf")</f>
        <v>Melting_Curves/meltCurve_O14744_PRMT5.pdf</v>
      </c>
    </row>
    <row r="1500" spans="1:28" x14ac:dyDescent="0.25">
      <c r="A1500" t="s">
        <v>1504</v>
      </c>
      <c r="B1500">
        <v>0.99472303558308395</v>
      </c>
      <c r="C1500">
        <v>1.0182380515379399</v>
      </c>
      <c r="D1500">
        <v>1.00247545235514</v>
      </c>
      <c r="E1500">
        <v>0.92691470158537703</v>
      </c>
      <c r="F1500">
        <v>0.74392793830191195</v>
      </c>
      <c r="G1500">
        <v>0.566033776112291</v>
      </c>
      <c r="H1500">
        <v>0.37981345750638201</v>
      </c>
      <c r="I1500">
        <v>0.30942263242567802</v>
      </c>
      <c r="J1500">
        <v>0.38087854555481698</v>
      </c>
      <c r="K1500">
        <v>0.29558169276368201</v>
      </c>
      <c r="L1500">
        <v>994.35017170915</v>
      </c>
      <c r="M1500">
        <v>19.174642436524898</v>
      </c>
      <c r="N1500">
        <v>54.555989755178601</v>
      </c>
      <c r="O1500">
        <v>51.303401384461303</v>
      </c>
      <c r="P1500">
        <v>-6.4818051374101002E-2</v>
      </c>
      <c r="Q1500">
        <v>0.306321637730053</v>
      </c>
      <c r="R1500">
        <v>0.99186193894951602</v>
      </c>
      <c r="S1500" t="s">
        <v>8068</v>
      </c>
      <c r="T1500" t="s">
        <v>13134</v>
      </c>
      <c r="U1500" t="s">
        <v>13134</v>
      </c>
      <c r="V1500" t="s">
        <v>13134</v>
      </c>
      <c r="W1500" t="s">
        <v>14597</v>
      </c>
      <c r="X1500">
        <v>26</v>
      </c>
      <c r="Y1500" t="s">
        <v>21078</v>
      </c>
      <c r="Z1500" t="s">
        <v>27468</v>
      </c>
      <c r="AA1500">
        <v>0.65945663076931305</v>
      </c>
      <c r="AB1500" t="str">
        <f>HYPERLINK("Melting_Curves/meltCurve_O14745_SLC9A3R1.pdf", "Melting_Curves/meltCurve_O14745_SLC9A3R1.pdf")</f>
        <v>Melting_Curves/meltCurve_O14745_SLC9A3R1.pdf</v>
      </c>
    </row>
    <row r="1501" spans="1:28" x14ac:dyDescent="0.25">
      <c r="A1501" t="s">
        <v>1505</v>
      </c>
      <c r="B1501">
        <v>0.99472303558308395</v>
      </c>
      <c r="C1501">
        <v>0.97546688975644902</v>
      </c>
      <c r="D1501">
        <v>1.0271817883324801</v>
      </c>
      <c r="E1501">
        <v>0.89140535046647296</v>
      </c>
      <c r="F1501">
        <v>0.57581996217068199</v>
      </c>
      <c r="G1501">
        <v>0.35234409578104398</v>
      </c>
      <c r="H1501">
        <v>0.10222622689790201</v>
      </c>
      <c r="I1501">
        <v>4.88703178281528E-2</v>
      </c>
      <c r="J1501">
        <v>5.0917523864375099E-2</v>
      </c>
      <c r="K1501">
        <v>3.9768680304309599E-2</v>
      </c>
      <c r="L1501">
        <v>998.73447316757097</v>
      </c>
      <c r="M1501">
        <v>19.4674271235967</v>
      </c>
      <c r="N1501">
        <v>51.418381490455999</v>
      </c>
      <c r="O1501">
        <v>50.770703260446297</v>
      </c>
      <c r="P1501">
        <v>-9.3811621810032803E-2</v>
      </c>
      <c r="Q1501">
        <v>2.13992916092085E-2</v>
      </c>
      <c r="R1501">
        <v>0.99525215253726795</v>
      </c>
      <c r="S1501" t="s">
        <v>8069</v>
      </c>
      <c r="T1501" t="s">
        <v>13134</v>
      </c>
      <c r="U1501" t="s">
        <v>13134</v>
      </c>
      <c r="V1501" t="s">
        <v>13134</v>
      </c>
      <c r="W1501" t="s">
        <v>14598</v>
      </c>
      <c r="X1501">
        <v>17</v>
      </c>
      <c r="Y1501" t="s">
        <v>21079</v>
      </c>
      <c r="Z1501" t="s">
        <v>27469</v>
      </c>
      <c r="AA1501">
        <v>0.50130183949908047</v>
      </c>
      <c r="AB1501" t="str">
        <f>HYPERLINK("Melting_Curves/meltCurve_O14757_CHEK1.pdf", "Melting_Curves/meltCurve_O14757_CHEK1.pdf")</f>
        <v>Melting_Curves/meltCurve_O14757_CHEK1.pdf</v>
      </c>
    </row>
    <row r="1502" spans="1:28" x14ac:dyDescent="0.25">
      <c r="A1502" t="s">
        <v>1506</v>
      </c>
      <c r="B1502">
        <v>0.99472303558308395</v>
      </c>
      <c r="C1502">
        <v>1.05856505102412</v>
      </c>
      <c r="D1502">
        <v>0.94651087559872205</v>
      </c>
      <c r="E1502">
        <v>0.83902082790736598</v>
      </c>
      <c r="F1502">
        <v>0.80499423138454596</v>
      </c>
      <c r="G1502">
        <v>0.51200413171010295</v>
      </c>
      <c r="H1502">
        <v>0.39740995654098099</v>
      </c>
      <c r="I1502">
        <v>0.310604278422206</v>
      </c>
      <c r="J1502">
        <v>0.36550509519947799</v>
      </c>
      <c r="K1502">
        <v>0.29668572449007202</v>
      </c>
      <c r="L1502">
        <v>852.68001499281797</v>
      </c>
      <c r="M1502">
        <v>16.456398820468898</v>
      </c>
      <c r="N1502">
        <v>54.660466972781798</v>
      </c>
      <c r="O1502">
        <v>51.067500970344902</v>
      </c>
      <c r="P1502">
        <v>-5.7384631592128602E-2</v>
      </c>
      <c r="Q1502">
        <v>0.28774601782223402</v>
      </c>
      <c r="R1502">
        <v>0.97843003369497805</v>
      </c>
      <c r="S1502" t="s">
        <v>8070</v>
      </c>
      <c r="T1502" t="s">
        <v>13134</v>
      </c>
      <c r="U1502" t="s">
        <v>13134</v>
      </c>
      <c r="V1502" t="s">
        <v>13134</v>
      </c>
      <c r="W1502" t="s">
        <v>14599</v>
      </c>
      <c r="X1502">
        <v>4</v>
      </c>
      <c r="Y1502" t="s">
        <v>21080</v>
      </c>
      <c r="Z1502" t="s">
        <v>27470</v>
      </c>
      <c r="AA1502">
        <v>0.65173339805027974</v>
      </c>
      <c r="AB1502" t="str">
        <f>HYPERLINK("Melting_Curves/meltCurve_O14763_2_TNFRSF10B.pdf", "Melting_Curves/meltCurve_O14763_2_TNFRSF10B.pdf")</f>
        <v>Melting_Curves/meltCurve_O14763_2_TNFRSF10B.pdf</v>
      </c>
    </row>
    <row r="1503" spans="1:28" x14ac:dyDescent="0.25">
      <c r="A1503" t="s">
        <v>1507</v>
      </c>
      <c r="B1503">
        <v>0.99472303558308395</v>
      </c>
      <c r="C1503">
        <v>0.95871771298336905</v>
      </c>
      <c r="D1503">
        <v>0.95017309330175304</v>
      </c>
      <c r="E1503">
        <v>0.87726647304166805</v>
      </c>
      <c r="F1503">
        <v>0.78006039147683004</v>
      </c>
      <c r="G1503">
        <v>0.36675147760865801</v>
      </c>
      <c r="H1503">
        <v>0.105775293271147</v>
      </c>
      <c r="I1503">
        <v>6.1279431930506202E-2</v>
      </c>
      <c r="J1503">
        <v>9.8795416360325294E-2</v>
      </c>
      <c r="K1503">
        <v>5.9121587840089598E-2</v>
      </c>
      <c r="L1503">
        <v>1316.92747385694</v>
      </c>
      <c r="M1503">
        <v>25.202200291322701</v>
      </c>
      <c r="N1503">
        <v>52.483859308466101</v>
      </c>
      <c r="O1503">
        <v>51.9287933291209</v>
      </c>
      <c r="P1503">
        <v>-0.115004495428133</v>
      </c>
      <c r="Q1503">
        <v>5.21515052326504E-2</v>
      </c>
      <c r="R1503">
        <v>0.99116648047524902</v>
      </c>
      <c r="S1503" t="s">
        <v>8071</v>
      </c>
      <c r="T1503" t="s">
        <v>13134</v>
      </c>
      <c r="U1503" t="s">
        <v>13134</v>
      </c>
      <c r="V1503" t="s">
        <v>13134</v>
      </c>
      <c r="W1503" t="s">
        <v>14600</v>
      </c>
      <c r="X1503">
        <v>5</v>
      </c>
      <c r="Y1503" t="s">
        <v>21081</v>
      </c>
      <c r="Z1503" t="s">
        <v>27471</v>
      </c>
      <c r="AA1503">
        <v>0.54239379236458773</v>
      </c>
      <c r="AB1503" t="str">
        <f>HYPERLINK("Melting_Curves/meltCurve_O14772_2_FPGT.pdf", "Melting_Curves/meltCurve_O14772_2_FPGT.pdf")</f>
        <v>Melting_Curves/meltCurve_O14772_2_FPGT.pdf</v>
      </c>
    </row>
    <row r="1504" spans="1:28" x14ac:dyDescent="0.25">
      <c r="A1504" t="s">
        <v>1508</v>
      </c>
      <c r="B1504">
        <v>0.99472303558308395</v>
      </c>
      <c r="C1504">
        <v>0.91102949778253595</v>
      </c>
      <c r="D1504">
        <v>0.96120138159734103</v>
      </c>
      <c r="E1504">
        <v>0.72137798141398601</v>
      </c>
      <c r="F1504">
        <v>0.438486931561132</v>
      </c>
      <c r="G1504">
        <v>0.370569943413532</v>
      </c>
      <c r="H1504">
        <v>0.25330234491925302</v>
      </c>
      <c r="I1504">
        <v>0.210149340475284</v>
      </c>
      <c r="J1504">
        <v>0.24441625098019201</v>
      </c>
      <c r="K1504">
        <v>0.20079083800443701</v>
      </c>
      <c r="L1504">
        <v>843.84360489067603</v>
      </c>
      <c r="M1504">
        <v>17.507272041411099</v>
      </c>
      <c r="N1504">
        <v>49.773254999618501</v>
      </c>
      <c r="O1504">
        <v>47.583930210364301</v>
      </c>
      <c r="P1504">
        <v>-7.2435567792423605E-2</v>
      </c>
      <c r="Q1504">
        <v>0.21253767385914701</v>
      </c>
      <c r="R1504">
        <v>0.98809110770402298</v>
      </c>
      <c r="S1504" t="s">
        <v>8072</v>
      </c>
      <c r="T1504" t="s">
        <v>13134</v>
      </c>
      <c r="U1504" t="s">
        <v>13134</v>
      </c>
      <c r="V1504" t="s">
        <v>13134</v>
      </c>
      <c r="W1504" t="s">
        <v>14601</v>
      </c>
      <c r="X1504">
        <v>5</v>
      </c>
      <c r="Y1504" t="s">
        <v>21082</v>
      </c>
      <c r="Z1504" t="s">
        <v>27472</v>
      </c>
      <c r="AA1504">
        <v>0.51973321792167648</v>
      </c>
      <c r="AB1504" t="str">
        <f>HYPERLINK("Melting_Curves/meltCurve_O14773_TPP1.pdf", "Melting_Curves/meltCurve_O14773_TPP1.pdf")</f>
        <v>Melting_Curves/meltCurve_O14773_TPP1.pdf</v>
      </c>
    </row>
    <row r="1505" spans="1:28" x14ac:dyDescent="0.25">
      <c r="A1505" t="s">
        <v>1509</v>
      </c>
      <c r="B1505">
        <v>0.99472303558308395</v>
      </c>
      <c r="C1505">
        <v>0.96201587037664205</v>
      </c>
      <c r="D1505">
        <v>0.95023249006854105</v>
      </c>
      <c r="E1505">
        <v>0.70798966459536805</v>
      </c>
      <c r="F1505">
        <v>0.19362143948907001</v>
      </c>
      <c r="G1505">
        <v>0.10347328607153899</v>
      </c>
      <c r="H1505">
        <v>6.6105507620733903E-2</v>
      </c>
      <c r="I1505">
        <v>4.8081008217225697E-2</v>
      </c>
      <c r="J1505">
        <v>5.4168714043565901E-2</v>
      </c>
      <c r="K1505">
        <v>4.7094377040060802E-2</v>
      </c>
      <c r="L1505">
        <v>1563.05385245854</v>
      </c>
      <c r="M1505">
        <v>32.7866659825903</v>
      </c>
      <c r="N1505">
        <v>47.847919408060498</v>
      </c>
      <c r="O1505">
        <v>47.497157400618299</v>
      </c>
      <c r="P1505">
        <v>-0.16285128949316899</v>
      </c>
      <c r="Q1505">
        <v>5.6331240753993997E-2</v>
      </c>
      <c r="R1505">
        <v>0.99816907129923904</v>
      </c>
      <c r="S1505" t="s">
        <v>8073</v>
      </c>
      <c r="T1505" t="s">
        <v>13134</v>
      </c>
      <c r="U1505" t="s">
        <v>13134</v>
      </c>
      <c r="V1505" t="s">
        <v>13134</v>
      </c>
      <c r="W1505" t="s">
        <v>14602</v>
      </c>
      <c r="X1505">
        <v>56</v>
      </c>
      <c r="Y1505" t="s">
        <v>21083</v>
      </c>
      <c r="Z1505" t="s">
        <v>27473</v>
      </c>
      <c r="AA1505">
        <v>0.39671617739939652</v>
      </c>
      <c r="AB1505" t="str">
        <f>HYPERLINK("Melting_Curves/meltCurve_O14776_2_TCERG1.pdf", "Melting_Curves/meltCurve_O14776_2_TCERG1.pdf")</f>
        <v>Melting_Curves/meltCurve_O14776_2_TCERG1.pdf</v>
      </c>
    </row>
    <row r="1506" spans="1:28" x14ac:dyDescent="0.25">
      <c r="A1506" t="s">
        <v>1510</v>
      </c>
      <c r="B1506">
        <v>0.99472303558308395</v>
      </c>
      <c r="C1506">
        <v>0.90783534432167701</v>
      </c>
      <c r="D1506">
        <v>0.84548034426229102</v>
      </c>
      <c r="E1506">
        <v>0.345329055128204</v>
      </c>
      <c r="F1506">
        <v>0.120232516663584</v>
      </c>
      <c r="G1506">
        <v>6.8730695296640304E-2</v>
      </c>
      <c r="H1506">
        <v>4.32299773443484E-2</v>
      </c>
      <c r="I1506">
        <v>3.3226382067915602E-2</v>
      </c>
      <c r="J1506">
        <v>3.4714463126837798E-2</v>
      </c>
      <c r="K1506">
        <v>2.9166366968874501E-2</v>
      </c>
      <c r="L1506">
        <v>1182.86293378234</v>
      </c>
      <c r="M1506">
        <v>26.062226136057699</v>
      </c>
      <c r="N1506">
        <v>45.523024816610103</v>
      </c>
      <c r="O1506">
        <v>45.121422977752999</v>
      </c>
      <c r="P1506">
        <v>-0.13895864415494799</v>
      </c>
      <c r="Q1506">
        <v>3.7696891391838502E-2</v>
      </c>
      <c r="R1506">
        <v>0.99605676838236601</v>
      </c>
      <c r="S1506" t="s">
        <v>8074</v>
      </c>
      <c r="T1506" t="s">
        <v>13134</v>
      </c>
      <c r="U1506" t="s">
        <v>13134</v>
      </c>
      <c r="V1506" t="s">
        <v>13134</v>
      </c>
      <c r="W1506" t="s">
        <v>14603</v>
      </c>
      <c r="X1506">
        <v>25</v>
      </c>
      <c r="Y1506" t="s">
        <v>21084</v>
      </c>
      <c r="Z1506" t="s">
        <v>27474</v>
      </c>
      <c r="AA1506">
        <v>0.3139621584437538</v>
      </c>
      <c r="AB1506" t="str">
        <f>HYPERLINK("Melting_Curves/meltCurve_O14777_NDC80.pdf", "Melting_Curves/meltCurve_O14777_NDC80.pdf")</f>
        <v>Melting_Curves/meltCurve_O14777_NDC80.pdf</v>
      </c>
    </row>
    <row r="1507" spans="1:28" x14ac:dyDescent="0.25">
      <c r="A1507" t="s">
        <v>1511</v>
      </c>
      <c r="B1507">
        <v>0.99472303558308395</v>
      </c>
      <c r="C1507">
        <v>1.0784759075466599</v>
      </c>
      <c r="D1507">
        <v>0.969954639484081</v>
      </c>
      <c r="E1507">
        <v>0.704803432727095</v>
      </c>
      <c r="F1507">
        <v>0.231815309332918</v>
      </c>
      <c r="G1507">
        <v>0.101570668041867</v>
      </c>
      <c r="H1507">
        <v>6.8504075620113403E-2</v>
      </c>
      <c r="I1507">
        <v>7.3773808250123099E-2</v>
      </c>
      <c r="J1507">
        <v>6.0329666928680102E-2</v>
      </c>
      <c r="K1507">
        <v>4.1704044851212797E-2</v>
      </c>
      <c r="L1507">
        <v>1479.3560929185601</v>
      </c>
      <c r="M1507">
        <v>30.962468219225499</v>
      </c>
      <c r="N1507">
        <v>47.983101072648502</v>
      </c>
      <c r="O1507">
        <v>47.581035304216499</v>
      </c>
      <c r="P1507">
        <v>-0.15264747634916001</v>
      </c>
      <c r="Q1507">
        <v>6.1692037294004999E-2</v>
      </c>
      <c r="R1507">
        <v>0.99600757437992904</v>
      </c>
      <c r="S1507" t="s">
        <v>8075</v>
      </c>
      <c r="T1507" t="s">
        <v>13134</v>
      </c>
      <c r="U1507" t="s">
        <v>13134</v>
      </c>
      <c r="V1507" t="s">
        <v>13134</v>
      </c>
      <c r="W1507" t="s">
        <v>14604</v>
      </c>
      <c r="X1507">
        <v>14</v>
      </c>
      <c r="Y1507" t="s">
        <v>21085</v>
      </c>
      <c r="Z1507" t="s">
        <v>27475</v>
      </c>
      <c r="AA1507">
        <v>0.40401990945630911</v>
      </c>
      <c r="AB1507" t="str">
        <f>HYPERLINK("Melting_Curves/meltCurve_O14787_2_TNPO2.pdf", "Melting_Curves/meltCurve_O14787_2_TNPO2.pdf")</f>
        <v>Melting_Curves/meltCurve_O14787_2_TNPO2.pdf</v>
      </c>
    </row>
    <row r="1508" spans="1:28" x14ac:dyDescent="0.25">
      <c r="A1508" t="s">
        <v>1512</v>
      </c>
      <c r="B1508">
        <v>0.99472303558308395</v>
      </c>
      <c r="C1508">
        <v>0.94655178422365505</v>
      </c>
      <c r="D1508">
        <v>0.697731402903633</v>
      </c>
      <c r="E1508">
        <v>0.40233726810361498</v>
      </c>
      <c r="F1508">
        <v>0.15060137142617799</v>
      </c>
      <c r="G1508">
        <v>0.104623212492156</v>
      </c>
      <c r="H1508">
        <v>6.8580019610650203E-2</v>
      </c>
      <c r="I1508">
        <v>6.17204439423754E-2</v>
      </c>
      <c r="J1508">
        <v>6.9492502051583804E-2</v>
      </c>
      <c r="K1508">
        <v>5.6638372023121102E-2</v>
      </c>
      <c r="L1508">
        <v>858.670216487076</v>
      </c>
      <c r="M1508">
        <v>19.089471093417799</v>
      </c>
      <c r="N1508">
        <v>45.270961074716098</v>
      </c>
      <c r="O1508">
        <v>44.496451468057003</v>
      </c>
      <c r="P1508">
        <v>-0.101091750791342</v>
      </c>
      <c r="Q1508">
        <v>5.7480820845357501E-2</v>
      </c>
      <c r="R1508">
        <v>0.99813226753899098</v>
      </c>
      <c r="S1508" t="s">
        <v>8076</v>
      </c>
      <c r="T1508" t="s">
        <v>13134</v>
      </c>
      <c r="U1508" t="s">
        <v>13134</v>
      </c>
      <c r="V1508" t="s">
        <v>13134</v>
      </c>
      <c r="W1508" t="s">
        <v>14605</v>
      </c>
      <c r="X1508">
        <v>12</v>
      </c>
      <c r="Y1508" t="s">
        <v>21086</v>
      </c>
      <c r="Z1508" t="s">
        <v>27476</v>
      </c>
      <c r="AA1508">
        <v>0.32189715099725191</v>
      </c>
      <c r="AB1508" t="str">
        <f>HYPERLINK("Melting_Curves/meltCurve_O14802_POLR3A.pdf", "Melting_Curves/meltCurve_O14802_POLR3A.pdf")</f>
        <v>Melting_Curves/meltCurve_O14802_POLR3A.pdf</v>
      </c>
    </row>
    <row r="1509" spans="1:28" x14ac:dyDescent="0.25">
      <c r="A1509" t="s">
        <v>1513</v>
      </c>
      <c r="B1509">
        <v>0.99472303558308395</v>
      </c>
      <c r="C1509">
        <v>1.0387875692283699</v>
      </c>
      <c r="D1509">
        <v>0.79510999427724804</v>
      </c>
      <c r="E1509">
        <v>0.75650163659097203</v>
      </c>
      <c r="F1509">
        <v>0.96415626363010298</v>
      </c>
      <c r="G1509">
        <v>0.333393954750074</v>
      </c>
      <c r="H1509">
        <v>0.18512590888555699</v>
      </c>
      <c r="I1509">
        <v>0.109017097036662</v>
      </c>
      <c r="J1509">
        <v>0.17641677098429201</v>
      </c>
      <c r="K1509">
        <v>0.29763436976180002</v>
      </c>
      <c r="L1509">
        <v>3423.56751476933</v>
      </c>
      <c r="M1509">
        <v>65.181992423034501</v>
      </c>
      <c r="N1509">
        <v>52.914626645797497</v>
      </c>
      <c r="O1509">
        <v>52.473839277625402</v>
      </c>
      <c r="P1509">
        <v>-0.25114373156665898</v>
      </c>
      <c r="Q1509">
        <v>0.191281431250866</v>
      </c>
      <c r="R1509">
        <v>0.90585616416725101</v>
      </c>
      <c r="S1509" t="s">
        <v>8077</v>
      </c>
      <c r="T1509" t="s">
        <v>13134</v>
      </c>
      <c r="U1509" t="s">
        <v>13134</v>
      </c>
      <c r="V1509" t="s">
        <v>13134</v>
      </c>
      <c r="W1509" t="s">
        <v>14606</v>
      </c>
      <c r="X1509">
        <v>22</v>
      </c>
      <c r="Y1509" t="s">
        <v>21087</v>
      </c>
      <c r="Z1509" t="s">
        <v>27477</v>
      </c>
      <c r="AA1509">
        <v>0.6108449705119946</v>
      </c>
      <c r="AB1509" t="str">
        <f>HYPERLINK("Melting_Curves/meltCurve_O14818_PSMA7.pdf", "Melting_Curves/meltCurve_O14818_PSMA7.pdf")</f>
        <v>Melting_Curves/meltCurve_O14818_PSMA7.pdf</v>
      </c>
    </row>
    <row r="1510" spans="1:28" x14ac:dyDescent="0.25">
      <c r="A1510" t="s">
        <v>1514</v>
      </c>
      <c r="B1510">
        <v>0.99472303558308395</v>
      </c>
      <c r="C1510">
        <v>0.85486662737516805</v>
      </c>
      <c r="D1510">
        <v>0.89885488807947</v>
      </c>
      <c r="E1510">
        <v>0.79403408034760203</v>
      </c>
      <c r="F1510">
        <v>0.64718177081077299</v>
      </c>
      <c r="G1510">
        <v>0.59792096386120297</v>
      </c>
      <c r="H1510">
        <v>0.600079874424576</v>
      </c>
      <c r="I1510">
        <v>0.51607865412471299</v>
      </c>
      <c r="J1510">
        <v>0.68421805702044602</v>
      </c>
      <c r="K1510">
        <v>0.62109102981866604</v>
      </c>
      <c r="L1510">
        <v>597.94360531959296</v>
      </c>
      <c r="M1510">
        <v>13.2310683215225</v>
      </c>
      <c r="O1510">
        <v>44.197458141067798</v>
      </c>
      <c r="P1510">
        <v>-3.0921945111685199E-2</v>
      </c>
      <c r="Q1510">
        <v>0.58689776477306899</v>
      </c>
      <c r="R1510">
        <v>0.87066486565794099</v>
      </c>
      <c r="S1510" t="s">
        <v>8078</v>
      </c>
      <c r="T1510" t="s">
        <v>13134</v>
      </c>
      <c r="U1510" t="s">
        <v>13134</v>
      </c>
      <c r="V1510" t="s">
        <v>13134</v>
      </c>
      <c r="W1510" t="s">
        <v>14607</v>
      </c>
      <c r="X1510">
        <v>11</v>
      </c>
      <c r="Y1510" t="s">
        <v>21088</v>
      </c>
      <c r="Z1510" t="s">
        <v>27478</v>
      </c>
      <c r="AA1510">
        <v>0.71213869891092452</v>
      </c>
      <c r="AB1510" t="str">
        <f>HYPERLINK("Melting_Curves/meltCurve_O14828_SCAMP3.pdf", "Melting_Curves/meltCurve_O14828_SCAMP3.pdf")</f>
        <v>Melting_Curves/meltCurve_O14828_SCAMP3.pdf</v>
      </c>
    </row>
    <row r="1511" spans="1:28" x14ac:dyDescent="0.25">
      <c r="A1511" t="s">
        <v>1515</v>
      </c>
      <c r="B1511">
        <v>0.99472303558308395</v>
      </c>
      <c r="C1511">
        <v>0.94023076796578198</v>
      </c>
      <c r="D1511">
        <v>0.83569037454485795</v>
      </c>
      <c r="E1511">
        <v>0.719752556575046</v>
      </c>
      <c r="F1511">
        <v>0.74727288760629396</v>
      </c>
      <c r="G1511">
        <v>0.238281978659104</v>
      </c>
      <c r="H1511">
        <v>7.8200720275387894E-2</v>
      </c>
      <c r="I1511">
        <v>4.7410955639409801E-2</v>
      </c>
      <c r="J1511">
        <v>6.09821417075588E-2</v>
      </c>
      <c r="K1511">
        <v>4.3647228748885103E-2</v>
      </c>
      <c r="L1511">
        <v>794.18614385887099</v>
      </c>
      <c r="M1511">
        <v>15.5658507477377</v>
      </c>
      <c r="N1511">
        <v>51.021056545609198</v>
      </c>
      <c r="O1511">
        <v>50.201224968267901</v>
      </c>
      <c r="P1511">
        <v>-7.7524055675220194E-2</v>
      </c>
      <c r="Q1511">
        <v>0</v>
      </c>
      <c r="R1511">
        <v>0.953931830233824</v>
      </c>
      <c r="S1511" t="s">
        <v>8079</v>
      </c>
      <c r="T1511" t="s">
        <v>13134</v>
      </c>
      <c r="U1511" t="s">
        <v>13134</v>
      </c>
      <c r="V1511" t="s">
        <v>13134</v>
      </c>
      <c r="W1511" t="s">
        <v>14608</v>
      </c>
      <c r="X1511">
        <v>28</v>
      </c>
      <c r="Y1511" t="s">
        <v>21089</v>
      </c>
      <c r="Z1511" t="s">
        <v>27479</v>
      </c>
      <c r="AA1511">
        <v>0.48651393932290349</v>
      </c>
      <c r="AB1511" t="str">
        <f>HYPERLINK("Melting_Curves/meltCurve_O14841_OPLAH.pdf", "Melting_Curves/meltCurve_O14841_OPLAH.pdf")</f>
        <v>Melting_Curves/meltCurve_O14841_OPLAH.pdf</v>
      </c>
    </row>
    <row r="1512" spans="1:28" x14ac:dyDescent="0.25">
      <c r="A1512" t="s">
        <v>1516</v>
      </c>
      <c r="B1512">
        <v>0.99472303558308395</v>
      </c>
      <c r="C1512">
        <v>0.93119891181605596</v>
      </c>
      <c r="D1512">
        <v>0.86460801927033903</v>
      </c>
      <c r="E1512">
        <v>0.67412054881119099</v>
      </c>
      <c r="F1512">
        <v>0.50785642894027805</v>
      </c>
      <c r="G1512">
        <v>0.31920567494724</v>
      </c>
      <c r="H1512">
        <v>0.20597642545550701</v>
      </c>
      <c r="I1512">
        <v>0.17100635663861699</v>
      </c>
      <c r="J1512">
        <v>0.23155985131975601</v>
      </c>
      <c r="K1512">
        <v>0.179013193946333</v>
      </c>
      <c r="L1512">
        <v>650.35019288929198</v>
      </c>
      <c r="M1512">
        <v>13.447262136184101</v>
      </c>
      <c r="N1512">
        <v>49.7147045775748</v>
      </c>
      <c r="O1512">
        <v>47.331056367984303</v>
      </c>
      <c r="P1512">
        <v>-6.0161495938748102E-2</v>
      </c>
      <c r="Q1512">
        <v>0.15311656980229499</v>
      </c>
      <c r="R1512">
        <v>0.99335051306059496</v>
      </c>
      <c r="S1512" t="s">
        <v>8080</v>
      </c>
      <c r="T1512" t="s">
        <v>13134</v>
      </c>
      <c r="U1512" t="s">
        <v>13134</v>
      </c>
      <c r="V1512" t="s">
        <v>13134</v>
      </c>
      <c r="W1512" t="s">
        <v>14609</v>
      </c>
      <c r="X1512">
        <v>17</v>
      </c>
      <c r="Y1512" t="s">
        <v>21090</v>
      </c>
      <c r="Z1512" t="s">
        <v>27480</v>
      </c>
      <c r="AA1512">
        <v>0.49589751548173522</v>
      </c>
      <c r="AB1512" t="str">
        <f>HYPERLINK("Melting_Curves/meltCurve_O14867_BACH1.pdf", "Melting_Curves/meltCurve_O14867_BACH1.pdf")</f>
        <v>Melting_Curves/meltCurve_O14867_BACH1.pdf</v>
      </c>
    </row>
    <row r="1513" spans="1:28" x14ac:dyDescent="0.25">
      <c r="A1513" t="s">
        <v>1517</v>
      </c>
      <c r="B1513">
        <v>0.99472303558308395</v>
      </c>
      <c r="C1513">
        <v>0.96562592543290704</v>
      </c>
      <c r="D1513">
        <v>0.77758548725813903</v>
      </c>
      <c r="E1513">
        <v>0.68871677131072395</v>
      </c>
      <c r="F1513">
        <v>0.63142736234207797</v>
      </c>
      <c r="G1513">
        <v>0.47069990825793101</v>
      </c>
      <c r="H1513">
        <v>0.28567314732303301</v>
      </c>
      <c r="I1513">
        <v>0.16186614413768199</v>
      </c>
      <c r="J1513">
        <v>0.17801767142902</v>
      </c>
      <c r="K1513">
        <v>0.13027563270321699</v>
      </c>
      <c r="L1513">
        <v>440.502882263054</v>
      </c>
      <c r="M1513">
        <v>8.4879385001223699</v>
      </c>
      <c r="N1513">
        <v>51.8975110199112</v>
      </c>
      <c r="O1513">
        <v>49.257223575405298</v>
      </c>
      <c r="P1513">
        <v>-4.3118688779568502E-2</v>
      </c>
      <c r="Q1513">
        <v>0</v>
      </c>
      <c r="R1513">
        <v>0.98104067920520899</v>
      </c>
      <c r="S1513" t="s">
        <v>8081</v>
      </c>
      <c r="T1513" t="s">
        <v>13134</v>
      </c>
      <c r="U1513" t="s">
        <v>13134</v>
      </c>
      <c r="V1513" t="s">
        <v>13134</v>
      </c>
      <c r="W1513" t="s">
        <v>14610</v>
      </c>
      <c r="X1513">
        <v>6</v>
      </c>
      <c r="Y1513" t="s">
        <v>21091</v>
      </c>
      <c r="Z1513" t="s">
        <v>27481</v>
      </c>
      <c r="AA1513">
        <v>0.5254219502945856</v>
      </c>
      <c r="AB1513" t="str">
        <f>HYPERLINK("Melting_Curves/meltCurve_O14893_2_GEMIN2.pdf", "Melting_Curves/meltCurve_O14893_2_GEMIN2.pdf")</f>
        <v>Melting_Curves/meltCurve_O14893_2_GEMIN2.pdf</v>
      </c>
    </row>
    <row r="1514" spans="1:28" x14ac:dyDescent="0.25">
      <c r="A1514" t="s">
        <v>1518</v>
      </c>
      <c r="B1514">
        <v>0.99472303558308395</v>
      </c>
      <c r="C1514">
        <v>1.0384764833951901</v>
      </c>
      <c r="D1514">
        <v>0.94002367461229597</v>
      </c>
      <c r="E1514">
        <v>0.67639545231061404</v>
      </c>
      <c r="F1514">
        <v>0.320513014780684</v>
      </c>
      <c r="G1514">
        <v>0.15308248363496799</v>
      </c>
      <c r="H1514">
        <v>0.105115736632068</v>
      </c>
      <c r="I1514">
        <v>7.3762423461739002E-2</v>
      </c>
      <c r="J1514">
        <v>9.1300236270384694E-2</v>
      </c>
      <c r="K1514">
        <v>8.4873300852167197E-2</v>
      </c>
      <c r="L1514">
        <v>1111.0187296654101</v>
      </c>
      <c r="M1514">
        <v>23.2029331085403</v>
      </c>
      <c r="N1514">
        <v>48.258630515961997</v>
      </c>
      <c r="O1514">
        <v>47.531273884150998</v>
      </c>
      <c r="P1514">
        <v>-0.111952011223032</v>
      </c>
      <c r="Q1514">
        <v>8.2680582938412003E-2</v>
      </c>
      <c r="R1514">
        <v>0.998333546502851</v>
      </c>
      <c r="S1514" t="s">
        <v>8082</v>
      </c>
      <c r="T1514" t="s">
        <v>13134</v>
      </c>
      <c r="U1514" t="s">
        <v>13134</v>
      </c>
      <c r="V1514" t="s">
        <v>13134</v>
      </c>
      <c r="W1514" t="s">
        <v>14611</v>
      </c>
      <c r="X1514">
        <v>13</v>
      </c>
      <c r="Y1514" t="s">
        <v>21092</v>
      </c>
      <c r="Z1514" t="s">
        <v>27482</v>
      </c>
      <c r="AA1514">
        <v>0.42448451879353077</v>
      </c>
      <c r="AB1514" t="str">
        <f>HYPERLINK("Melting_Curves/meltCurve_O14908_GIPC1.pdf", "Melting_Curves/meltCurve_O14908_GIPC1.pdf")</f>
        <v>Melting_Curves/meltCurve_O14908_GIPC1.pdf</v>
      </c>
    </row>
    <row r="1515" spans="1:28" x14ac:dyDescent="0.25">
      <c r="A1515" t="s">
        <v>1519</v>
      </c>
      <c r="B1515">
        <v>0.99472303558308395</v>
      </c>
      <c r="C1515">
        <v>0.93641728014411196</v>
      </c>
      <c r="D1515">
        <v>0.81631151060239304</v>
      </c>
      <c r="E1515">
        <v>0.55713994585422399</v>
      </c>
      <c r="F1515">
        <v>0.192252332464486</v>
      </c>
      <c r="G1515">
        <v>0.109373224636911</v>
      </c>
      <c r="H1515">
        <v>7.1891671953165495E-2</v>
      </c>
      <c r="I1515">
        <v>5.9993496841039301E-2</v>
      </c>
      <c r="J1515">
        <v>6.6925689738341093E-2</v>
      </c>
      <c r="K1515">
        <v>6.9087873199663197E-2</v>
      </c>
      <c r="L1515">
        <v>917.40886951945004</v>
      </c>
      <c r="M1515">
        <v>19.737321750691901</v>
      </c>
      <c r="N1515">
        <v>46.746814356616497</v>
      </c>
      <c r="O1515">
        <v>46.011645685613502</v>
      </c>
      <c r="P1515">
        <v>-0.10155023797503999</v>
      </c>
      <c r="Q1515">
        <v>5.30963719550391E-2</v>
      </c>
      <c r="R1515">
        <v>0.99642376998339599</v>
      </c>
      <c r="S1515" t="s">
        <v>8083</v>
      </c>
      <c r="T1515" t="s">
        <v>13134</v>
      </c>
      <c r="U1515" t="s">
        <v>13134</v>
      </c>
      <c r="V1515" t="s">
        <v>13134</v>
      </c>
      <c r="W1515" t="s">
        <v>14612</v>
      </c>
      <c r="X1515">
        <v>10</v>
      </c>
      <c r="Y1515" t="s">
        <v>21093</v>
      </c>
      <c r="Z1515" t="s">
        <v>27483</v>
      </c>
      <c r="AA1515">
        <v>0.36505868374196632</v>
      </c>
      <c r="AB1515" t="str">
        <f>HYPERLINK("Melting_Curves/meltCurve_O14920_IKBKB.pdf", "Melting_Curves/meltCurve_O14920_IKBKB.pdf")</f>
        <v>Melting_Curves/meltCurve_O14920_IKBKB.pdf</v>
      </c>
    </row>
    <row r="1516" spans="1:28" x14ac:dyDescent="0.25">
      <c r="A1516" t="s">
        <v>1520</v>
      </c>
      <c r="B1516">
        <v>0.99472303558308395</v>
      </c>
      <c r="C1516">
        <v>0.78058219342764101</v>
      </c>
      <c r="D1516">
        <v>0.80991082209297005</v>
      </c>
      <c r="E1516">
        <v>0.60045058001876495</v>
      </c>
      <c r="F1516">
        <v>0.51891624390294799</v>
      </c>
      <c r="G1516">
        <v>0.41751580916686098</v>
      </c>
      <c r="H1516">
        <v>0.30593676341214399</v>
      </c>
      <c r="I1516">
        <v>0.228027299462672</v>
      </c>
      <c r="J1516">
        <v>0.26332757282341901</v>
      </c>
      <c r="K1516">
        <v>0.27624701760725101</v>
      </c>
      <c r="L1516">
        <v>414.07129597315401</v>
      </c>
      <c r="M1516">
        <v>8.7197580343982306</v>
      </c>
      <c r="N1516">
        <v>50.022223307466497</v>
      </c>
      <c r="O1516">
        <v>45.187453127026302</v>
      </c>
      <c r="P1516">
        <v>-3.9657145271398901E-2</v>
      </c>
      <c r="Q1516">
        <v>0.17862862992234299</v>
      </c>
      <c r="R1516">
        <v>0.96959439801690805</v>
      </c>
      <c r="S1516" t="s">
        <v>8084</v>
      </c>
      <c r="T1516" t="s">
        <v>13134</v>
      </c>
      <c r="U1516" t="s">
        <v>13134</v>
      </c>
      <c r="V1516" t="s">
        <v>13134</v>
      </c>
      <c r="W1516" t="s">
        <v>14613</v>
      </c>
      <c r="X1516">
        <v>4</v>
      </c>
      <c r="Y1516" t="s">
        <v>21094</v>
      </c>
      <c r="Z1516" t="s">
        <v>27484</v>
      </c>
      <c r="AA1516">
        <v>0.50645730657243904</v>
      </c>
      <c r="AB1516" t="str">
        <f>HYPERLINK("Melting_Curves/meltCurve_O14925_TIMM23.pdf", "Melting_Curves/meltCurve_O14925_TIMM23.pdf")</f>
        <v>Melting_Curves/meltCurve_O14925_TIMM23.pdf</v>
      </c>
    </row>
    <row r="1517" spans="1:28" x14ac:dyDescent="0.25">
      <c r="A1517" t="s">
        <v>1521</v>
      </c>
      <c r="B1517">
        <v>0.99472303558308395</v>
      </c>
      <c r="C1517">
        <v>0.91790661200385504</v>
      </c>
      <c r="D1517">
        <v>0.96992098866895204</v>
      </c>
      <c r="E1517">
        <v>0.83123187417635003</v>
      </c>
      <c r="F1517">
        <v>0.45240022102230798</v>
      </c>
      <c r="G1517">
        <v>0.111891063108272</v>
      </c>
      <c r="H1517">
        <v>6.3430909707428207E-2</v>
      </c>
      <c r="I1517">
        <v>4.2518187529953802E-2</v>
      </c>
      <c r="J1517">
        <v>4.9108188529716899E-2</v>
      </c>
      <c r="K1517">
        <v>4.2473445173156099E-2</v>
      </c>
      <c r="L1517">
        <v>1292.4061189900999</v>
      </c>
      <c r="M1517">
        <v>26.103280029603301</v>
      </c>
      <c r="N1517">
        <v>49.652394016459397</v>
      </c>
      <c r="O1517">
        <v>49.223420471336198</v>
      </c>
      <c r="P1517">
        <v>-0.12783644693385199</v>
      </c>
      <c r="Q1517">
        <v>3.5757192703209303E-2</v>
      </c>
      <c r="R1517">
        <v>0.99511890470836095</v>
      </c>
      <c r="S1517" t="s">
        <v>8085</v>
      </c>
      <c r="T1517" t="s">
        <v>13134</v>
      </c>
      <c r="U1517" t="s">
        <v>13134</v>
      </c>
      <c r="V1517" t="s">
        <v>13134</v>
      </c>
      <c r="W1517" t="s">
        <v>14614</v>
      </c>
      <c r="X1517">
        <v>18</v>
      </c>
      <c r="Y1517" t="s">
        <v>21095</v>
      </c>
      <c r="Z1517" t="s">
        <v>27485</v>
      </c>
      <c r="AA1517">
        <v>0.44560073057533711</v>
      </c>
      <c r="AB1517" t="str">
        <f>HYPERLINK("Melting_Curves/meltCurve_O14929_HAT1.pdf", "Melting_Curves/meltCurve_O14929_HAT1.pdf")</f>
        <v>Melting_Curves/meltCurve_O14929_HAT1.pdf</v>
      </c>
    </row>
    <row r="1518" spans="1:28" x14ac:dyDescent="0.25">
      <c r="A1518" t="s">
        <v>1522</v>
      </c>
      <c r="B1518">
        <v>0.99472303558308395</v>
      </c>
      <c r="C1518">
        <v>1.06132088307115</v>
      </c>
      <c r="D1518">
        <v>0.84971636243874704</v>
      </c>
      <c r="E1518">
        <v>0.65672776037014202</v>
      </c>
      <c r="F1518">
        <v>0.51066554917265805</v>
      </c>
      <c r="G1518">
        <v>9.7105880741174599E-2</v>
      </c>
      <c r="H1518">
        <v>0.10213020309724</v>
      </c>
      <c r="I1518">
        <v>0.13178565307631601</v>
      </c>
      <c r="J1518">
        <v>0.13576774626455801</v>
      </c>
      <c r="K1518">
        <v>7.9039093831686405E-2</v>
      </c>
      <c r="L1518">
        <v>846.51056041178595</v>
      </c>
      <c r="M1518">
        <v>17.490148620702701</v>
      </c>
      <c r="N1518">
        <v>48.868179354240901</v>
      </c>
      <c r="O1518">
        <v>47.779866138661902</v>
      </c>
      <c r="P1518">
        <v>-8.4449727123035306E-2</v>
      </c>
      <c r="Q1518">
        <v>7.72465500705702E-2</v>
      </c>
      <c r="R1518">
        <v>0.97164012719680903</v>
      </c>
      <c r="S1518" t="s">
        <v>8086</v>
      </c>
      <c r="T1518" t="s">
        <v>13134</v>
      </c>
      <c r="U1518" t="s">
        <v>13134</v>
      </c>
      <c r="V1518" t="s">
        <v>13134</v>
      </c>
      <c r="W1518" t="s">
        <v>14615</v>
      </c>
      <c r="X1518">
        <v>1</v>
      </c>
      <c r="Y1518" t="s">
        <v>21096</v>
      </c>
      <c r="Z1518" t="s">
        <v>27486</v>
      </c>
      <c r="AA1518">
        <v>0.44336658424943931</v>
      </c>
      <c r="AB1518" t="str">
        <f>HYPERLINK("Melting_Curves/meltCurve_O14933_UBE2L6.pdf", "Melting_Curves/meltCurve_O14933_UBE2L6.pdf")</f>
        <v>Melting_Curves/meltCurve_O14933_UBE2L6.pdf</v>
      </c>
    </row>
    <row r="1519" spans="1:28" x14ac:dyDescent="0.25">
      <c r="A1519" t="s">
        <v>1523</v>
      </c>
      <c r="B1519">
        <v>0.99472303558308395</v>
      </c>
      <c r="C1519">
        <v>0.82166484967759801</v>
      </c>
      <c r="D1519">
        <v>0.75968262861506697</v>
      </c>
      <c r="E1519">
        <v>0.55750412810599803</v>
      </c>
      <c r="F1519">
        <v>0.45231659836107402</v>
      </c>
      <c r="G1519">
        <v>0.238066556393599</v>
      </c>
      <c r="H1519">
        <v>0.197466488321484</v>
      </c>
      <c r="I1519">
        <v>0.164635943426335</v>
      </c>
      <c r="J1519">
        <v>0.19661587830289401</v>
      </c>
      <c r="K1519">
        <v>0.17475028198201401</v>
      </c>
      <c r="L1519">
        <v>512.51377350093799</v>
      </c>
      <c r="M1519">
        <v>11.0152348078592</v>
      </c>
      <c r="N1519">
        <v>47.791326539878803</v>
      </c>
      <c r="O1519">
        <v>45.073148453779702</v>
      </c>
      <c r="P1519">
        <v>-5.3395851067741001E-2</v>
      </c>
      <c r="Q1519">
        <v>0.12633307923147</v>
      </c>
      <c r="R1519">
        <v>0.98484010605667804</v>
      </c>
      <c r="S1519" t="s">
        <v>8087</v>
      </c>
      <c r="T1519" t="s">
        <v>13134</v>
      </c>
      <c r="U1519" t="s">
        <v>13134</v>
      </c>
      <c r="V1519" t="s">
        <v>13134</v>
      </c>
      <c r="W1519" t="s">
        <v>14616</v>
      </c>
      <c r="X1519">
        <v>7</v>
      </c>
      <c r="Y1519" t="s">
        <v>21097</v>
      </c>
      <c r="Z1519" t="s">
        <v>27487</v>
      </c>
      <c r="AA1519">
        <v>0.43748515262250243</v>
      </c>
      <c r="AB1519" t="str">
        <f>HYPERLINK("Melting_Curves/meltCurve_O14949_UQCRQ.pdf", "Melting_Curves/meltCurve_O14949_UQCRQ.pdf")</f>
        <v>Melting_Curves/meltCurve_O14949_UQCRQ.pdf</v>
      </c>
    </row>
    <row r="1520" spans="1:28" x14ac:dyDescent="0.25">
      <c r="A1520" t="s">
        <v>1524</v>
      </c>
      <c r="B1520">
        <v>0.99472303558308395</v>
      </c>
      <c r="C1520">
        <v>0.93962159868714801</v>
      </c>
      <c r="D1520">
        <v>1.02074056064495</v>
      </c>
      <c r="E1520">
        <v>0.82068047266368505</v>
      </c>
      <c r="F1520">
        <v>0.362086044074724</v>
      </c>
      <c r="G1520">
        <v>0.12559296780454901</v>
      </c>
      <c r="H1520">
        <v>6.8486116129977098E-2</v>
      </c>
      <c r="I1520">
        <v>4.96074060500842E-2</v>
      </c>
      <c r="J1520">
        <v>6.3309440449512103E-2</v>
      </c>
      <c r="K1520">
        <v>4.7895533455990603E-2</v>
      </c>
      <c r="L1520">
        <v>1433.23348026806</v>
      </c>
      <c r="M1520">
        <v>29.272771412243301</v>
      </c>
      <c r="N1520">
        <v>49.1553779400774</v>
      </c>
      <c r="O1520">
        <v>48.734528678640103</v>
      </c>
      <c r="P1520">
        <v>-0.14197122702686199</v>
      </c>
      <c r="Q1520">
        <v>5.4568354195427701E-2</v>
      </c>
      <c r="R1520">
        <v>0.99703111599370398</v>
      </c>
      <c r="S1520" t="s">
        <v>8088</v>
      </c>
      <c r="T1520" t="s">
        <v>13134</v>
      </c>
      <c r="U1520" t="s">
        <v>13134</v>
      </c>
      <c r="V1520" t="s">
        <v>13134</v>
      </c>
      <c r="W1520" t="s">
        <v>14617</v>
      </c>
      <c r="X1520">
        <v>24</v>
      </c>
      <c r="Y1520" t="s">
        <v>21098</v>
      </c>
      <c r="Z1520" t="s">
        <v>27488</v>
      </c>
      <c r="AA1520">
        <v>0.43750606421116978</v>
      </c>
      <c r="AB1520" t="str">
        <f>HYPERLINK("Melting_Curves/meltCurve_O14964_HGS.pdf", "Melting_Curves/meltCurve_O14964_HGS.pdf")</f>
        <v>Melting_Curves/meltCurve_O14964_HGS.pdf</v>
      </c>
    </row>
    <row r="1521" spans="1:28" x14ac:dyDescent="0.25">
      <c r="A1521" t="s">
        <v>1525</v>
      </c>
      <c r="B1521">
        <v>0.99472303558308395</v>
      </c>
      <c r="C1521">
        <v>0.94177172444727597</v>
      </c>
      <c r="D1521">
        <v>1.00600199320519</v>
      </c>
      <c r="E1521">
        <v>0.79533483837671204</v>
      </c>
      <c r="F1521">
        <v>0.48866950551251298</v>
      </c>
      <c r="G1521">
        <v>0.300384861086126</v>
      </c>
      <c r="H1521">
        <v>8.7039335193844505E-2</v>
      </c>
      <c r="I1521">
        <v>6.0414949354501299E-2</v>
      </c>
      <c r="J1521">
        <v>5.33513829095165E-2</v>
      </c>
      <c r="K1521">
        <v>3.45461322591359E-2</v>
      </c>
      <c r="L1521">
        <v>884.76636040967298</v>
      </c>
      <c r="M1521">
        <v>17.6134479912097</v>
      </c>
      <c r="N1521">
        <v>50.363483963855501</v>
      </c>
      <c r="O1521">
        <v>49.598347613028203</v>
      </c>
      <c r="P1521">
        <v>-8.6796562605550007E-2</v>
      </c>
      <c r="Q1521">
        <v>2.2398256822724099E-2</v>
      </c>
      <c r="R1521">
        <v>0.99420521121484695</v>
      </c>
      <c r="S1521" t="s">
        <v>8089</v>
      </c>
      <c r="T1521" t="s">
        <v>13134</v>
      </c>
      <c r="U1521" t="s">
        <v>13134</v>
      </c>
      <c r="V1521" t="s">
        <v>13134</v>
      </c>
      <c r="W1521" t="s">
        <v>14618</v>
      </c>
      <c r="X1521">
        <v>8</v>
      </c>
      <c r="Y1521" t="s">
        <v>21099</v>
      </c>
      <c r="Z1521" t="s">
        <v>27489</v>
      </c>
      <c r="AA1521">
        <v>0.46950429048440812</v>
      </c>
      <c r="AB1521" t="str">
        <f>HYPERLINK("Melting_Curves/meltCurve_O14965_AURKA.pdf", "Melting_Curves/meltCurve_O14965_AURKA.pdf")</f>
        <v>Melting_Curves/meltCurve_O14965_AURKA.pdf</v>
      </c>
    </row>
    <row r="1522" spans="1:28" x14ac:dyDescent="0.25">
      <c r="A1522" t="s">
        <v>1526</v>
      </c>
      <c r="B1522">
        <v>0.99472303558308395</v>
      </c>
      <c r="C1522">
        <v>0.953246064275177</v>
      </c>
      <c r="D1522">
        <v>0.87846369084495202</v>
      </c>
      <c r="E1522">
        <v>0.70863650615856399</v>
      </c>
      <c r="F1522">
        <v>0.18301602901067801</v>
      </c>
      <c r="G1522">
        <v>8.9181635391063593E-2</v>
      </c>
      <c r="H1522">
        <v>6.2316319280897502E-2</v>
      </c>
      <c r="I1522">
        <v>4.4609190552548798E-2</v>
      </c>
      <c r="J1522">
        <v>5.2473390713225598E-2</v>
      </c>
      <c r="K1522">
        <v>4.6285478640253702E-2</v>
      </c>
      <c r="L1522">
        <v>1426.78011293596</v>
      </c>
      <c r="M1522">
        <v>29.961501492465299</v>
      </c>
      <c r="N1522">
        <v>47.7802739708426</v>
      </c>
      <c r="O1522">
        <v>47.409841526903499</v>
      </c>
      <c r="P1522">
        <v>-0.15046011489196701</v>
      </c>
      <c r="Q1522">
        <v>4.7679213464964697E-2</v>
      </c>
      <c r="R1522">
        <v>0.99277602076951099</v>
      </c>
      <c r="S1522" t="s">
        <v>8090</v>
      </c>
      <c r="T1522" t="s">
        <v>13134</v>
      </c>
      <c r="U1522" t="s">
        <v>13134</v>
      </c>
      <c r="V1522" t="s">
        <v>13134</v>
      </c>
      <c r="W1522" t="s">
        <v>14619</v>
      </c>
      <c r="X1522">
        <v>34</v>
      </c>
      <c r="Y1522" t="s">
        <v>21100</v>
      </c>
      <c r="Z1522" t="s">
        <v>27490</v>
      </c>
      <c r="AA1522">
        <v>0.39042961967842571</v>
      </c>
      <c r="AB1522" t="str">
        <f>HYPERLINK("Melting_Curves/meltCurve_O14974_4_PPP1R12A.pdf", "Melting_Curves/meltCurve_O14974_4_PPP1R12A.pdf")</f>
        <v>Melting_Curves/meltCurve_O14974_4_PPP1R12A.pdf</v>
      </c>
    </row>
    <row r="1523" spans="1:28" x14ac:dyDescent="0.25">
      <c r="A1523" t="s">
        <v>1527</v>
      </c>
      <c r="B1523">
        <v>0.99472303558308395</v>
      </c>
      <c r="C1523">
        <v>0.97430859307370898</v>
      </c>
      <c r="D1523">
        <v>0.90432330998285904</v>
      </c>
      <c r="E1523">
        <v>0.71952627532604796</v>
      </c>
      <c r="F1523">
        <v>0.30969567200189002</v>
      </c>
      <c r="G1523">
        <v>0.147734803908012</v>
      </c>
      <c r="H1523">
        <v>8.8787143921846307E-2</v>
      </c>
      <c r="I1523">
        <v>6.4411825994554806E-2</v>
      </c>
      <c r="J1523">
        <v>7.567549525851E-2</v>
      </c>
      <c r="K1523">
        <v>6.1158519292278501E-2</v>
      </c>
      <c r="L1523">
        <v>1076.9121187825201</v>
      </c>
      <c r="M1523">
        <v>22.3825306586773</v>
      </c>
      <c r="N1523">
        <v>48.402047414451602</v>
      </c>
      <c r="O1523">
        <v>47.734813937999398</v>
      </c>
      <c r="P1523">
        <v>-0.109914555089174</v>
      </c>
      <c r="Q1523">
        <v>6.2368154074844397E-2</v>
      </c>
      <c r="R1523">
        <v>0.99830373666196304</v>
      </c>
      <c r="S1523" t="s">
        <v>8091</v>
      </c>
      <c r="T1523" t="s">
        <v>13134</v>
      </c>
      <c r="U1523" t="s">
        <v>13134</v>
      </c>
      <c r="V1523" t="s">
        <v>13134</v>
      </c>
      <c r="W1523" t="s">
        <v>14620</v>
      </c>
      <c r="X1523">
        <v>9</v>
      </c>
      <c r="Y1523" t="s">
        <v>21101</v>
      </c>
      <c r="Z1523" t="s">
        <v>27491</v>
      </c>
      <c r="AA1523">
        <v>0.4196658790664447</v>
      </c>
      <c r="AB1523" t="str">
        <f>HYPERLINK("Melting_Curves/meltCurve_O14975_2_SLC27A2.pdf", "Melting_Curves/meltCurve_O14975_2_SLC27A2.pdf")</f>
        <v>Melting_Curves/meltCurve_O14975_2_SLC27A2.pdf</v>
      </c>
    </row>
    <row r="1524" spans="1:28" x14ac:dyDescent="0.25">
      <c r="A1524" t="s">
        <v>1528</v>
      </c>
      <c r="B1524">
        <v>0.99472303558308395</v>
      </c>
      <c r="C1524">
        <v>0.90404915448768797</v>
      </c>
      <c r="D1524">
        <v>0.91781149367039605</v>
      </c>
      <c r="E1524">
        <v>0.56634732438925695</v>
      </c>
      <c r="F1524">
        <v>0.16897341588611001</v>
      </c>
      <c r="G1524">
        <v>9.0891212995274098E-2</v>
      </c>
      <c r="H1524">
        <v>6.5799306262932303E-2</v>
      </c>
      <c r="I1524">
        <v>4.2254185429696597E-2</v>
      </c>
      <c r="J1524">
        <v>4.9979382865258E-2</v>
      </c>
      <c r="K1524">
        <v>4.6712960357137699E-2</v>
      </c>
      <c r="L1524">
        <v>1214.7634683450899</v>
      </c>
      <c r="M1524">
        <v>25.937719566358201</v>
      </c>
      <c r="N1524">
        <v>47.015637282919101</v>
      </c>
      <c r="O1524">
        <v>46.558138274011498</v>
      </c>
      <c r="P1524">
        <v>-0.132632678307783</v>
      </c>
      <c r="Q1524">
        <v>4.7709998328580597E-2</v>
      </c>
      <c r="R1524">
        <v>0.99465306931706199</v>
      </c>
      <c r="S1524" t="s">
        <v>8092</v>
      </c>
      <c r="T1524" t="s">
        <v>13134</v>
      </c>
      <c r="U1524" t="s">
        <v>13134</v>
      </c>
      <c r="V1524" t="s">
        <v>13134</v>
      </c>
      <c r="W1524" t="s">
        <v>14621</v>
      </c>
      <c r="X1524">
        <v>13</v>
      </c>
      <c r="Y1524" t="s">
        <v>21102</v>
      </c>
      <c r="Z1524" t="s">
        <v>27492</v>
      </c>
      <c r="AA1524">
        <v>0.36727297058681019</v>
      </c>
      <c r="AB1524" t="str">
        <f>HYPERLINK("Melting_Curves/meltCurve_O14976_GAK.pdf", "Melting_Curves/meltCurve_O14976_GAK.pdf")</f>
        <v>Melting_Curves/meltCurve_O14976_GAK.pdf</v>
      </c>
    </row>
    <row r="1525" spans="1:28" x14ac:dyDescent="0.25">
      <c r="A1525" t="s">
        <v>1529</v>
      </c>
      <c r="B1525">
        <v>0.99472303558308395</v>
      </c>
      <c r="C1525">
        <v>0.93253702756442303</v>
      </c>
      <c r="D1525">
        <v>0.87302277107669402</v>
      </c>
      <c r="E1525">
        <v>0.90659989987822898</v>
      </c>
      <c r="F1525">
        <v>0.862355410011723</v>
      </c>
      <c r="G1525">
        <v>0.53374852428810104</v>
      </c>
      <c r="H1525">
        <v>0.42313401775750098</v>
      </c>
      <c r="I1525">
        <v>0.50007754072349797</v>
      </c>
      <c r="J1525">
        <v>0.58546709923130702</v>
      </c>
      <c r="K1525">
        <v>0.60192890599965299</v>
      </c>
      <c r="L1525">
        <v>3322.6668182728399</v>
      </c>
      <c r="M1525">
        <v>65.317909389020997</v>
      </c>
      <c r="O1525">
        <v>50.821537393803801</v>
      </c>
      <c r="P1525">
        <v>-0.15220044731613699</v>
      </c>
      <c r="Q1525">
        <v>0.52631317377104303</v>
      </c>
      <c r="R1525">
        <v>0.87610180185752895</v>
      </c>
      <c r="S1525" t="s">
        <v>8093</v>
      </c>
      <c r="T1525" t="s">
        <v>13134</v>
      </c>
      <c r="U1525" t="s">
        <v>13134</v>
      </c>
      <c r="V1525" t="s">
        <v>13134</v>
      </c>
      <c r="W1525" t="s">
        <v>14622</v>
      </c>
      <c r="X1525">
        <v>8</v>
      </c>
      <c r="Y1525" t="s">
        <v>21103</v>
      </c>
      <c r="Z1525" t="s">
        <v>27493</v>
      </c>
      <c r="AA1525">
        <v>0.74592240238531182</v>
      </c>
      <c r="AB1525" t="str">
        <f>HYPERLINK("Melting_Curves/meltCurve_O14979_3_HNRPDL.pdf", "Melting_Curves/meltCurve_O14979_3_HNRPDL.pdf")</f>
        <v>Melting_Curves/meltCurve_O14979_3_HNRPDL.pdf</v>
      </c>
    </row>
    <row r="1526" spans="1:28" x14ac:dyDescent="0.25">
      <c r="A1526" t="s">
        <v>1530</v>
      </c>
      <c r="B1526">
        <v>0.99472303558308395</v>
      </c>
      <c r="C1526">
        <v>0.89402208276599004</v>
      </c>
      <c r="D1526">
        <v>0.88050684347205999</v>
      </c>
      <c r="E1526">
        <v>0.64693819484033099</v>
      </c>
      <c r="F1526">
        <v>0.156099380852813</v>
      </c>
      <c r="G1526">
        <v>8.7861717827946204E-2</v>
      </c>
      <c r="H1526">
        <v>5.2465904943866597E-2</v>
      </c>
      <c r="I1526">
        <v>3.86394948366168E-2</v>
      </c>
      <c r="J1526">
        <v>4.0880897265004199E-2</v>
      </c>
      <c r="K1526">
        <v>3.6466225875702397E-2</v>
      </c>
      <c r="L1526">
        <v>1240.0347290856</v>
      </c>
      <c r="M1526">
        <v>26.251506246800201</v>
      </c>
      <c r="N1526">
        <v>47.370293125266102</v>
      </c>
      <c r="O1526">
        <v>46.965161985023997</v>
      </c>
      <c r="P1526">
        <v>-0.13475518830357699</v>
      </c>
      <c r="Q1526">
        <v>3.5677725577792502E-2</v>
      </c>
      <c r="R1526">
        <v>0.98912564261286895</v>
      </c>
      <c r="S1526" t="s">
        <v>8094</v>
      </c>
      <c r="T1526" t="s">
        <v>13134</v>
      </c>
      <c r="U1526" t="s">
        <v>13134</v>
      </c>
      <c r="V1526" t="s">
        <v>13134</v>
      </c>
      <c r="W1526" t="s">
        <v>14623</v>
      </c>
      <c r="X1526">
        <v>35</v>
      </c>
      <c r="Y1526" t="s">
        <v>21104</v>
      </c>
      <c r="Z1526" t="s">
        <v>27494</v>
      </c>
      <c r="AA1526">
        <v>0.37209478775324289</v>
      </c>
      <c r="AB1526" t="str">
        <f>HYPERLINK("Melting_Curves/meltCurve_O14980_XPO1.pdf", "Melting_Curves/meltCurve_O14980_XPO1.pdf")</f>
        <v>Melting_Curves/meltCurve_O14980_XPO1.pdf</v>
      </c>
    </row>
    <row r="1527" spans="1:28" x14ac:dyDescent="0.25">
      <c r="A1527" t="s">
        <v>1531</v>
      </c>
      <c r="B1527">
        <v>0.99472303558308395</v>
      </c>
      <c r="C1527">
        <v>1.00129503972505</v>
      </c>
      <c r="D1527">
        <v>0.90938251256543701</v>
      </c>
      <c r="E1527">
        <v>0.754058649999097</v>
      </c>
      <c r="F1527">
        <v>0.30511918814955802</v>
      </c>
      <c r="G1527">
        <v>0.15031222870052199</v>
      </c>
      <c r="H1527">
        <v>9.2884742034732196E-2</v>
      </c>
      <c r="I1527">
        <v>7.2943129047322294E-2</v>
      </c>
      <c r="J1527">
        <v>9.0207940958658903E-2</v>
      </c>
      <c r="K1527">
        <v>6.6612433967308704E-2</v>
      </c>
      <c r="L1527">
        <v>1220.6348711882599</v>
      </c>
      <c r="M1527">
        <v>25.312425428081301</v>
      </c>
      <c r="N1527">
        <v>48.536602551216603</v>
      </c>
      <c r="O1527">
        <v>47.924795782981903</v>
      </c>
      <c r="P1527">
        <v>-0.12207593085894</v>
      </c>
      <c r="Q1527">
        <v>7.5491336528496003E-2</v>
      </c>
      <c r="R1527">
        <v>0.99743569881236704</v>
      </c>
      <c r="S1527" t="s">
        <v>8095</v>
      </c>
      <c r="T1527" t="s">
        <v>13134</v>
      </c>
      <c r="U1527" t="s">
        <v>13134</v>
      </c>
      <c r="V1527" t="s">
        <v>13134</v>
      </c>
      <c r="W1527" t="s">
        <v>14624</v>
      </c>
      <c r="X1527">
        <v>11</v>
      </c>
      <c r="Y1527" t="s">
        <v>21105</v>
      </c>
      <c r="Z1527" t="s">
        <v>27495</v>
      </c>
      <c r="AA1527">
        <v>0.42905487510757978</v>
      </c>
      <c r="AB1527" t="str">
        <f>HYPERLINK("Melting_Curves/meltCurve_O14981_BTAF1.pdf", "Melting_Curves/meltCurve_O14981_BTAF1.pdf")</f>
        <v>Melting_Curves/meltCurve_O14981_BTAF1.pdf</v>
      </c>
    </row>
    <row r="1528" spans="1:28" x14ac:dyDescent="0.25">
      <c r="A1528" t="s">
        <v>1532</v>
      </c>
      <c r="B1528">
        <v>0.99472303558308395</v>
      </c>
      <c r="C1528">
        <v>0.991234399697561</v>
      </c>
      <c r="D1528">
        <v>0.66622601784492597</v>
      </c>
      <c r="E1528">
        <v>0.46817833668528502</v>
      </c>
      <c r="F1528">
        <v>0.362178749866505</v>
      </c>
      <c r="G1528">
        <v>0.21192854094949901</v>
      </c>
      <c r="H1528">
        <v>0.11485512176406899</v>
      </c>
      <c r="I1528">
        <v>9.06099922637503E-2</v>
      </c>
      <c r="J1528">
        <v>0.120476905283932</v>
      </c>
      <c r="K1528">
        <v>9.9327606947793995E-2</v>
      </c>
      <c r="L1528">
        <v>631.00509263338404</v>
      </c>
      <c r="M1528">
        <v>13.762943872245</v>
      </c>
      <c r="N1528">
        <v>46.5083472763109</v>
      </c>
      <c r="O1528">
        <v>44.9126911083602</v>
      </c>
      <c r="P1528">
        <v>-6.9821161711198093E-2</v>
      </c>
      <c r="Q1528">
        <v>8.8737897201853794E-2</v>
      </c>
      <c r="R1528">
        <v>0.98147635297123104</v>
      </c>
      <c r="S1528" t="s">
        <v>8096</v>
      </c>
      <c r="T1528" t="s">
        <v>13134</v>
      </c>
      <c r="U1528" t="s">
        <v>13134</v>
      </c>
      <c r="V1528" t="s">
        <v>13134</v>
      </c>
      <c r="W1528" t="s">
        <v>14625</v>
      </c>
      <c r="X1528">
        <v>12</v>
      </c>
      <c r="Y1528" t="s">
        <v>21106</v>
      </c>
      <c r="Z1528" t="s">
        <v>27496</v>
      </c>
      <c r="AA1528">
        <v>0.38230912547727092</v>
      </c>
      <c r="AB1528" t="str">
        <f>HYPERLINK("Melting_Curves/meltCurve_O15014_ZNF609.pdf", "Melting_Curves/meltCurve_O15014_ZNF609.pdf")</f>
        <v>Melting_Curves/meltCurve_O15014_ZNF609.pdf</v>
      </c>
    </row>
    <row r="1529" spans="1:28" x14ac:dyDescent="0.25">
      <c r="A1529" t="s">
        <v>1533</v>
      </c>
      <c r="B1529">
        <v>0.99472303558308395</v>
      </c>
      <c r="C1529">
        <v>0.83533638681428402</v>
      </c>
      <c r="D1529">
        <v>0.66855532639505999</v>
      </c>
      <c r="E1529">
        <v>0.40231819178272399</v>
      </c>
      <c r="F1529">
        <v>0.32680024558489201</v>
      </c>
      <c r="G1529">
        <v>0.163482548101682</v>
      </c>
      <c r="H1529">
        <v>0.113478205841042</v>
      </c>
      <c r="I1529">
        <v>7.91793360161651E-2</v>
      </c>
      <c r="J1529">
        <v>0.11641628233169</v>
      </c>
      <c r="K1529">
        <v>6.0190394541744102E-2</v>
      </c>
      <c r="L1529">
        <v>565.43351398079096</v>
      </c>
      <c r="M1529">
        <v>12.5349927767867</v>
      </c>
      <c r="N1529">
        <v>45.602072688147203</v>
      </c>
      <c r="O1529">
        <v>44.006516397403999</v>
      </c>
      <c r="P1529">
        <v>-6.6706249632205394E-2</v>
      </c>
      <c r="Q1529">
        <v>6.3449664370092501E-2</v>
      </c>
      <c r="R1529">
        <v>0.99113560520683397</v>
      </c>
      <c r="S1529" t="s">
        <v>8097</v>
      </c>
      <c r="T1529" t="s">
        <v>13134</v>
      </c>
      <c r="U1529" t="s">
        <v>13134</v>
      </c>
      <c r="V1529" t="s">
        <v>13134</v>
      </c>
      <c r="W1529" t="s">
        <v>14626</v>
      </c>
      <c r="X1529">
        <v>10</v>
      </c>
      <c r="Y1529" t="s">
        <v>21107</v>
      </c>
      <c r="Z1529" t="s">
        <v>27497</v>
      </c>
      <c r="AA1529">
        <v>0.34786263132177742</v>
      </c>
      <c r="AB1529" t="str">
        <f>HYPERLINK("Melting_Curves/meltCurve_O15020_2_SPTBN2.pdf", "Melting_Curves/meltCurve_O15020_2_SPTBN2.pdf")</f>
        <v>Melting_Curves/meltCurve_O15020_2_SPTBN2.pdf</v>
      </c>
    </row>
    <row r="1530" spans="1:28" x14ac:dyDescent="0.25">
      <c r="A1530" t="s">
        <v>1534</v>
      </c>
      <c r="B1530">
        <v>0.99472303558308395</v>
      </c>
      <c r="C1530">
        <v>0.984949980076681</v>
      </c>
      <c r="D1530">
        <v>0.91149130480893503</v>
      </c>
      <c r="E1530">
        <v>0.85242723435713197</v>
      </c>
      <c r="F1530">
        <v>0.60034561093281502</v>
      </c>
      <c r="G1530">
        <v>0.14283298704363601</v>
      </c>
      <c r="H1530">
        <v>0.10763455213817701</v>
      </c>
      <c r="I1530">
        <v>0.113619767316818</v>
      </c>
      <c r="J1530">
        <v>0.15357044223717201</v>
      </c>
      <c r="K1530">
        <v>0.145751769528077</v>
      </c>
      <c r="L1530">
        <v>1518.94348583895</v>
      </c>
      <c r="M1530">
        <v>30.305683237571301</v>
      </c>
      <c r="N1530">
        <v>50.551967891731302</v>
      </c>
      <c r="O1530">
        <v>49.904030511050998</v>
      </c>
      <c r="P1530">
        <v>-0.13452821293762501</v>
      </c>
      <c r="Q1530">
        <v>0.113901110671857</v>
      </c>
      <c r="R1530">
        <v>0.98466830633864</v>
      </c>
      <c r="S1530" t="s">
        <v>8098</v>
      </c>
      <c r="T1530" t="s">
        <v>13134</v>
      </c>
      <c r="U1530" t="s">
        <v>13134</v>
      </c>
      <c r="V1530" t="s">
        <v>13134</v>
      </c>
      <c r="W1530" t="s">
        <v>14627</v>
      </c>
      <c r="X1530">
        <v>15</v>
      </c>
      <c r="Y1530" t="s">
        <v>21108</v>
      </c>
      <c r="Z1530" t="s">
        <v>27498</v>
      </c>
      <c r="AA1530">
        <v>0.50678332217864497</v>
      </c>
      <c r="AB1530" t="str">
        <f>HYPERLINK("Melting_Curves/meltCurve_O15031_PLXNB2.pdf", "Melting_Curves/meltCurve_O15031_PLXNB2.pdf")</f>
        <v>Melting_Curves/meltCurve_O15031_PLXNB2.pdf</v>
      </c>
    </row>
    <row r="1531" spans="1:28" x14ac:dyDescent="0.25">
      <c r="A1531" t="s">
        <v>1535</v>
      </c>
      <c r="B1531">
        <v>0.99472303558308395</v>
      </c>
      <c r="C1531">
        <v>0.92965155872415906</v>
      </c>
      <c r="D1531">
        <v>0.82831382401213305</v>
      </c>
      <c r="E1531">
        <v>0.436743581940644</v>
      </c>
      <c r="F1531">
        <v>0.13342437498011001</v>
      </c>
      <c r="G1531">
        <v>0.110724909020449</v>
      </c>
      <c r="H1531">
        <v>4.22307787575643E-2</v>
      </c>
      <c r="I1531">
        <v>4.8450368681056503E-2</v>
      </c>
      <c r="J1531">
        <v>4.3862194727108401E-2</v>
      </c>
      <c r="K1531">
        <v>5.9435647842105102E-2</v>
      </c>
      <c r="L1531">
        <v>1036.51431380435</v>
      </c>
      <c r="M1531">
        <v>22.649319366368498</v>
      </c>
      <c r="N1531">
        <v>45.967068067905899</v>
      </c>
      <c r="O1531">
        <v>45.411305734785898</v>
      </c>
      <c r="P1531">
        <v>-0.118744818420693</v>
      </c>
      <c r="Q1531">
        <v>4.7697176313926698E-2</v>
      </c>
      <c r="R1531">
        <v>0.99745990443380805</v>
      </c>
      <c r="S1531" t="s">
        <v>8099</v>
      </c>
      <c r="T1531" t="s">
        <v>13134</v>
      </c>
      <c r="U1531" t="s">
        <v>13134</v>
      </c>
      <c r="V1531" t="s">
        <v>13134</v>
      </c>
      <c r="W1531" t="s">
        <v>14628</v>
      </c>
      <c r="X1531">
        <v>1</v>
      </c>
      <c r="Y1531" t="s">
        <v>21109</v>
      </c>
      <c r="Z1531" t="s">
        <v>27499</v>
      </c>
      <c r="AA1531">
        <v>0.33552938070114452</v>
      </c>
      <c r="AB1531" t="str">
        <f>HYPERLINK("Melting_Curves/meltCurve_O15037_KHNYN.pdf", "Melting_Curves/meltCurve_O15037_KHNYN.pdf")</f>
        <v>Melting_Curves/meltCurve_O15037_KHNYN.pdf</v>
      </c>
    </row>
    <row r="1532" spans="1:28" x14ac:dyDescent="0.25">
      <c r="A1532" t="s">
        <v>1536</v>
      </c>
      <c r="B1532">
        <v>0.99472303558308395</v>
      </c>
      <c r="C1532">
        <v>0.84902192826038603</v>
      </c>
      <c r="D1532">
        <v>0.52912636472391295</v>
      </c>
      <c r="E1532">
        <v>0.206657997199652</v>
      </c>
      <c r="F1532">
        <v>0.13002199477776399</v>
      </c>
      <c r="G1532">
        <v>8.1753723837324099E-2</v>
      </c>
      <c r="H1532">
        <v>5.04134334010089E-2</v>
      </c>
      <c r="I1532">
        <v>4.0684411572802802E-2</v>
      </c>
      <c r="J1532">
        <v>4.6110558558884102E-2</v>
      </c>
      <c r="K1532">
        <v>4.1224228415278799E-2</v>
      </c>
      <c r="L1532">
        <v>892.96231068345003</v>
      </c>
      <c r="M1532">
        <v>20.728052043284801</v>
      </c>
      <c r="N1532">
        <v>43.306121663056302</v>
      </c>
      <c r="O1532">
        <v>42.684934054958703</v>
      </c>
      <c r="P1532">
        <v>-0.115175460503606</v>
      </c>
      <c r="Q1532">
        <v>5.1310973768652297E-2</v>
      </c>
      <c r="R1532">
        <v>0.99805378605908401</v>
      </c>
      <c r="S1532" t="s">
        <v>8100</v>
      </c>
      <c r="T1532" t="s">
        <v>13134</v>
      </c>
      <c r="U1532" t="s">
        <v>13134</v>
      </c>
      <c r="V1532" t="s">
        <v>13134</v>
      </c>
      <c r="W1532" t="s">
        <v>14629</v>
      </c>
      <c r="X1532">
        <v>10</v>
      </c>
      <c r="Y1532" t="s">
        <v>21110</v>
      </c>
      <c r="Z1532" t="s">
        <v>27500</v>
      </c>
      <c r="AA1532">
        <v>0.25571812511986453</v>
      </c>
      <c r="AB1532" t="str">
        <f>HYPERLINK("Melting_Curves/meltCurve_O15047_SETD1A.pdf", "Melting_Curves/meltCurve_O15047_SETD1A.pdf")</f>
        <v>Melting_Curves/meltCurve_O15047_SETD1A.pdf</v>
      </c>
    </row>
    <row r="1533" spans="1:28" x14ac:dyDescent="0.25">
      <c r="A1533" t="s">
        <v>1537</v>
      </c>
      <c r="B1533">
        <v>0.99472303558308395</v>
      </c>
      <c r="C1533">
        <v>0.85344819885169698</v>
      </c>
      <c r="D1533">
        <v>0.64460598573323002</v>
      </c>
      <c r="E1533">
        <v>0.54175599517423501</v>
      </c>
      <c r="F1533">
        <v>0.91671339277519803</v>
      </c>
      <c r="G1533">
        <v>0.41282895155814398</v>
      </c>
      <c r="H1533">
        <v>0.40561036491046698</v>
      </c>
      <c r="I1533">
        <v>5.3659112899145898E-2</v>
      </c>
      <c r="J1533">
        <v>4.0496725927222602E-2</v>
      </c>
      <c r="K1533">
        <v>6.7965133089986002E-2</v>
      </c>
      <c r="L1533">
        <v>417.54073195917198</v>
      </c>
      <c r="M1533">
        <v>8.1268002146642502</v>
      </c>
      <c r="N1533">
        <v>51.378244790984503</v>
      </c>
      <c r="O1533">
        <v>48.548126006110202</v>
      </c>
      <c r="P1533">
        <v>-4.1893823614216598E-2</v>
      </c>
      <c r="Q1533">
        <v>0</v>
      </c>
      <c r="R1533">
        <v>0.78182819684180704</v>
      </c>
      <c r="S1533" t="s">
        <v>8101</v>
      </c>
      <c r="T1533" t="s">
        <v>13134</v>
      </c>
      <c r="U1533" t="s">
        <v>13134</v>
      </c>
      <c r="V1533" t="s">
        <v>13134</v>
      </c>
      <c r="W1533" t="s">
        <v>14630</v>
      </c>
      <c r="X1533">
        <v>11</v>
      </c>
      <c r="Y1533" t="s">
        <v>21111</v>
      </c>
      <c r="Z1533" t="s">
        <v>27501</v>
      </c>
      <c r="AA1533">
        <v>0.51159072988530485</v>
      </c>
      <c r="AB1533" t="str">
        <f>HYPERLINK("Melting_Curves/meltCurve_O15056_SYNJ2.pdf", "Melting_Curves/meltCurve_O15056_SYNJ2.pdf")</f>
        <v>Melting_Curves/meltCurve_O15056_SYNJ2.pdf</v>
      </c>
    </row>
    <row r="1534" spans="1:28" x14ac:dyDescent="0.25">
      <c r="A1534" t="s">
        <v>1538</v>
      </c>
      <c r="B1534">
        <v>0.99472303558308395</v>
      </c>
      <c r="C1534">
        <v>1.1180173927197301</v>
      </c>
      <c r="D1534">
        <v>0.97080052527287697</v>
      </c>
      <c r="E1534">
        <v>0.69720743337561797</v>
      </c>
      <c r="F1534">
        <v>0.368782011195943</v>
      </c>
      <c r="G1534">
        <v>0.15599497298227299</v>
      </c>
      <c r="H1534">
        <v>0.113665617750904</v>
      </c>
      <c r="I1534">
        <v>0.10817266000862</v>
      </c>
      <c r="J1534">
        <v>8.87243190729856E-2</v>
      </c>
      <c r="K1534">
        <v>9.5520275037485003E-2</v>
      </c>
      <c r="L1534">
        <v>1146.87459367153</v>
      </c>
      <c r="M1534">
        <v>23.792151659212699</v>
      </c>
      <c r="N1534">
        <v>48.6318981865493</v>
      </c>
      <c r="O1534">
        <v>47.867238394813299</v>
      </c>
      <c r="P1534">
        <v>-0.112525342901847</v>
      </c>
      <c r="Q1534">
        <v>9.4459496479817801E-2</v>
      </c>
      <c r="R1534">
        <v>0.98960225812605496</v>
      </c>
      <c r="S1534" t="s">
        <v>8102</v>
      </c>
      <c r="T1534" t="s">
        <v>13134</v>
      </c>
      <c r="U1534" t="s">
        <v>13134</v>
      </c>
      <c r="V1534" t="s">
        <v>13134</v>
      </c>
      <c r="W1534" t="s">
        <v>14631</v>
      </c>
      <c r="X1534">
        <v>9</v>
      </c>
      <c r="Y1534" t="s">
        <v>21112</v>
      </c>
      <c r="Z1534" t="s">
        <v>27502</v>
      </c>
      <c r="AA1534">
        <v>0.44117585165369899</v>
      </c>
      <c r="AB1534" t="str">
        <f>HYPERLINK("Melting_Curves/meltCurve_O15066_KIF3B.pdf", "Melting_Curves/meltCurve_O15066_KIF3B.pdf")</f>
        <v>Melting_Curves/meltCurve_O15066_KIF3B.pdf</v>
      </c>
    </row>
    <row r="1535" spans="1:28" x14ac:dyDescent="0.25">
      <c r="A1535" t="s">
        <v>1539</v>
      </c>
      <c r="B1535">
        <v>0.99472303558308395</v>
      </c>
      <c r="C1535">
        <v>0.93454811865512799</v>
      </c>
      <c r="D1535">
        <v>0.93571736754921897</v>
      </c>
      <c r="E1535">
        <v>0.74770667456749995</v>
      </c>
      <c r="F1535">
        <v>0.39567310353490098</v>
      </c>
      <c r="G1535">
        <v>0.16970776108308699</v>
      </c>
      <c r="H1535">
        <v>9.3584756128928498E-2</v>
      </c>
      <c r="I1535">
        <v>6.07350051933324E-2</v>
      </c>
      <c r="J1535">
        <v>4.55225996956393E-2</v>
      </c>
      <c r="K1535">
        <v>4.1878843028031097E-2</v>
      </c>
      <c r="L1535">
        <v>958.86751916889398</v>
      </c>
      <c r="M1535">
        <v>19.605679242198701</v>
      </c>
      <c r="N1535">
        <v>49.105425459420402</v>
      </c>
      <c r="O1535">
        <v>48.4073480773203</v>
      </c>
      <c r="P1535">
        <v>-9.74130008026481E-2</v>
      </c>
      <c r="Q1535">
        <v>3.7964683497130697E-2</v>
      </c>
      <c r="R1535">
        <v>0.99792834725420998</v>
      </c>
      <c r="S1535" t="s">
        <v>8103</v>
      </c>
      <c r="T1535" t="s">
        <v>13134</v>
      </c>
      <c r="U1535" t="s">
        <v>13134</v>
      </c>
      <c r="V1535" t="s">
        <v>13134</v>
      </c>
      <c r="W1535" t="s">
        <v>14632</v>
      </c>
      <c r="X1535">
        <v>51</v>
      </c>
      <c r="Y1535" t="s">
        <v>21113</v>
      </c>
      <c r="Z1535" t="s">
        <v>27503</v>
      </c>
      <c r="AA1535">
        <v>0.43295810075481228</v>
      </c>
      <c r="AB1535" t="str">
        <f>HYPERLINK("Melting_Curves/meltCurve_O15067_PFAS.pdf", "Melting_Curves/meltCurve_O15067_PFAS.pdf")</f>
        <v>Melting_Curves/meltCurve_O15067_PFAS.pdf</v>
      </c>
    </row>
    <row r="1536" spans="1:28" x14ac:dyDescent="0.25">
      <c r="A1536" t="s">
        <v>1540</v>
      </c>
      <c r="B1536">
        <v>0.99472303558308395</v>
      </c>
      <c r="C1536">
        <v>1.02586487067634</v>
      </c>
      <c r="D1536">
        <v>0.73749012349137999</v>
      </c>
      <c r="E1536">
        <v>0.64983718453045802</v>
      </c>
      <c r="F1536">
        <v>0.59178848101417703</v>
      </c>
      <c r="G1536">
        <v>0.17592680189277901</v>
      </c>
      <c r="H1536">
        <v>8.9327938983933E-2</v>
      </c>
      <c r="I1536">
        <v>6.2252066922391602E-2</v>
      </c>
      <c r="J1536">
        <v>6.59661843216858E-2</v>
      </c>
      <c r="K1536">
        <v>5.8892127193407702E-2</v>
      </c>
      <c r="L1536">
        <v>616.10997460589601</v>
      </c>
      <c r="M1536">
        <v>12.5148332140392</v>
      </c>
      <c r="N1536">
        <v>49.230366402681597</v>
      </c>
      <c r="O1536">
        <v>48.024090850410403</v>
      </c>
      <c r="P1536">
        <v>-6.5162069115343793E-2</v>
      </c>
      <c r="Q1536">
        <v>0</v>
      </c>
      <c r="R1536">
        <v>0.96136981944105104</v>
      </c>
      <c r="S1536" t="s">
        <v>8104</v>
      </c>
      <c r="T1536" t="s">
        <v>13134</v>
      </c>
      <c r="U1536" t="s">
        <v>13134</v>
      </c>
      <c r="V1536" t="s">
        <v>13134</v>
      </c>
      <c r="W1536" t="s">
        <v>14633</v>
      </c>
      <c r="X1536">
        <v>17</v>
      </c>
      <c r="Y1536" t="s">
        <v>21114</v>
      </c>
      <c r="Z1536" t="s">
        <v>27504</v>
      </c>
      <c r="AA1536">
        <v>0.43544113594715439</v>
      </c>
      <c r="AB1536" t="str">
        <f>HYPERLINK("Melting_Curves/meltCurve_O15084_ANKRD28.pdf", "Melting_Curves/meltCurve_O15084_ANKRD28.pdf")</f>
        <v>Melting_Curves/meltCurve_O15084_ANKRD28.pdf</v>
      </c>
    </row>
    <row r="1537" spans="1:28" x14ac:dyDescent="0.25">
      <c r="A1537" t="s">
        <v>1541</v>
      </c>
      <c r="B1537">
        <v>0.99472303558308395</v>
      </c>
      <c r="C1537">
        <v>0.94397774954494795</v>
      </c>
      <c r="D1537">
        <v>0.79875697637419096</v>
      </c>
      <c r="E1537">
        <v>0.64038995129644405</v>
      </c>
      <c r="F1537">
        <v>0.46359767926906897</v>
      </c>
      <c r="G1537">
        <v>0.23838818588036501</v>
      </c>
      <c r="H1537">
        <v>0.164355631130046</v>
      </c>
      <c r="I1537">
        <v>9.1856759698290602E-2</v>
      </c>
      <c r="J1537">
        <v>5.2658920041657897E-2</v>
      </c>
      <c r="K1537">
        <v>6.13401826360001E-2</v>
      </c>
      <c r="L1537">
        <v>555.84027012369495</v>
      </c>
      <c r="M1537">
        <v>11.3491610452192</v>
      </c>
      <c r="N1537">
        <v>48.976330202845098</v>
      </c>
      <c r="O1537">
        <v>47.529677363481397</v>
      </c>
      <c r="P1537">
        <v>-5.9712983755061601E-2</v>
      </c>
      <c r="Q1537">
        <v>0</v>
      </c>
      <c r="R1537">
        <v>0.99705410726340804</v>
      </c>
      <c r="S1537" t="s">
        <v>8105</v>
      </c>
      <c r="T1537" t="s">
        <v>13134</v>
      </c>
      <c r="U1537" t="s">
        <v>13134</v>
      </c>
      <c r="V1537" t="s">
        <v>13134</v>
      </c>
      <c r="W1537" t="s">
        <v>14634</v>
      </c>
      <c r="X1537">
        <v>3</v>
      </c>
      <c r="Y1537" t="s">
        <v>21115</v>
      </c>
      <c r="Z1537" t="s">
        <v>27505</v>
      </c>
      <c r="AA1537">
        <v>0.43119947995247548</v>
      </c>
      <c r="AB1537" t="str">
        <f>HYPERLINK("Melting_Curves/meltCurve_O15085_ARHGEF11.pdf", "Melting_Curves/meltCurve_O15085_ARHGEF11.pdf")</f>
        <v>Melting_Curves/meltCurve_O15085_ARHGEF11.pdf</v>
      </c>
    </row>
    <row r="1538" spans="1:28" x14ac:dyDescent="0.25">
      <c r="A1538" t="s">
        <v>1542</v>
      </c>
      <c r="B1538">
        <v>0.99472303558308395</v>
      </c>
      <c r="C1538">
        <v>0.826748606508379</v>
      </c>
      <c r="D1538">
        <v>0.55722526208199696</v>
      </c>
      <c r="E1538">
        <v>0.262293190831693</v>
      </c>
      <c r="F1538">
        <v>0.176067140904511</v>
      </c>
      <c r="G1538">
        <v>9.2503076318696795E-2</v>
      </c>
      <c r="H1538">
        <v>6.7242182899476005E-2</v>
      </c>
      <c r="I1538">
        <v>3.7083782445421702E-2</v>
      </c>
      <c r="J1538">
        <v>4.3771037491970297E-2</v>
      </c>
      <c r="K1538">
        <v>3.1625368043738597E-2</v>
      </c>
      <c r="L1538">
        <v>733.67817262654603</v>
      </c>
      <c r="M1538">
        <v>16.873887389394501</v>
      </c>
      <c r="N1538">
        <v>43.727167154659803</v>
      </c>
      <c r="O1538">
        <v>42.8832019527147</v>
      </c>
      <c r="P1538">
        <v>-9.3904269715968505E-2</v>
      </c>
      <c r="Q1538">
        <v>4.5469908464722E-2</v>
      </c>
      <c r="R1538">
        <v>0.99610132419601505</v>
      </c>
      <c r="S1538" t="s">
        <v>8106</v>
      </c>
      <c r="T1538" t="s">
        <v>13134</v>
      </c>
      <c r="U1538" t="s">
        <v>13134</v>
      </c>
      <c r="V1538" t="s">
        <v>13134</v>
      </c>
      <c r="W1538" t="s">
        <v>14635</v>
      </c>
      <c r="X1538">
        <v>7</v>
      </c>
      <c r="Y1538" t="s">
        <v>21116</v>
      </c>
      <c r="Z1538" t="s">
        <v>27506</v>
      </c>
      <c r="AA1538">
        <v>0.27060702379861351</v>
      </c>
      <c r="AB1538" t="str">
        <f>HYPERLINK("Melting_Curves/meltCurve_O15091_4_KIAA0391.pdf", "Melting_Curves/meltCurve_O15091_4_KIAA0391.pdf")</f>
        <v>Melting_Curves/meltCurve_O15091_4_KIAA0391.pdf</v>
      </c>
    </row>
    <row r="1539" spans="1:28" x14ac:dyDescent="0.25">
      <c r="A1539" t="s">
        <v>1543</v>
      </c>
      <c r="B1539">
        <v>0.99472303558308395</v>
      </c>
      <c r="C1539">
        <v>0.93820287095497501</v>
      </c>
      <c r="D1539">
        <v>0.77935584699921301</v>
      </c>
      <c r="E1539">
        <v>0.48157176512338401</v>
      </c>
      <c r="F1539">
        <v>0.28326860455012998</v>
      </c>
      <c r="G1539">
        <v>0.148540995562152</v>
      </c>
      <c r="H1539">
        <v>0.12849951863189299</v>
      </c>
      <c r="I1539">
        <v>4.9841473983147498E-2</v>
      </c>
      <c r="J1539">
        <v>5.4699355484035601E-2</v>
      </c>
      <c r="K1539">
        <v>5.1809640872139101E-2</v>
      </c>
      <c r="L1539">
        <v>709.00595513683299</v>
      </c>
      <c r="M1539">
        <v>15.3100753394158</v>
      </c>
      <c r="N1539">
        <v>46.618185497995597</v>
      </c>
      <c r="O1539">
        <v>45.541259430704997</v>
      </c>
      <c r="P1539">
        <v>-8.0004542880621698E-2</v>
      </c>
      <c r="Q1539">
        <v>4.8164720205275999E-2</v>
      </c>
      <c r="R1539">
        <v>0.99801655429152802</v>
      </c>
      <c r="S1539" t="s">
        <v>8107</v>
      </c>
      <c r="T1539" t="s">
        <v>13134</v>
      </c>
      <c r="U1539" t="s">
        <v>13134</v>
      </c>
      <c r="V1539" t="s">
        <v>13134</v>
      </c>
      <c r="W1539" t="s">
        <v>14636</v>
      </c>
      <c r="X1539">
        <v>12</v>
      </c>
      <c r="Y1539" t="s">
        <v>21117</v>
      </c>
      <c r="Z1539" t="s">
        <v>27507</v>
      </c>
      <c r="AA1539">
        <v>0.36450250625207931</v>
      </c>
      <c r="AB1539" t="str">
        <f>HYPERLINK("Melting_Curves/meltCurve_O15111_CHUK.pdf", "Melting_Curves/meltCurve_O15111_CHUK.pdf")</f>
        <v>Melting_Curves/meltCurve_O15111_CHUK.pdf</v>
      </c>
    </row>
    <row r="1540" spans="1:28" x14ac:dyDescent="0.25">
      <c r="A1540" t="s">
        <v>1544</v>
      </c>
      <c r="B1540">
        <v>0.99472303558308395</v>
      </c>
      <c r="C1540">
        <v>0.89737288796766501</v>
      </c>
      <c r="D1540">
        <v>1.0828057453856099</v>
      </c>
      <c r="E1540">
        <v>0.96103874765059905</v>
      </c>
      <c r="F1540">
        <v>0.74466771985506197</v>
      </c>
      <c r="G1540">
        <v>0.648407108066961</v>
      </c>
      <c r="H1540">
        <v>0.63269688035309801</v>
      </c>
      <c r="I1540">
        <v>0.62221297175739398</v>
      </c>
      <c r="J1540">
        <v>0.88544136248376204</v>
      </c>
      <c r="K1540">
        <v>0.62681365232729602</v>
      </c>
      <c r="L1540">
        <v>2410.1493556481801</v>
      </c>
      <c r="M1540">
        <v>49.555844122262101</v>
      </c>
      <c r="O1540">
        <v>48.556029164441803</v>
      </c>
      <c r="P1540">
        <v>-8.0773915593130394E-2</v>
      </c>
      <c r="Q1540">
        <v>0.68342333267837996</v>
      </c>
      <c r="R1540">
        <v>0.74814051638547396</v>
      </c>
      <c r="S1540" t="s">
        <v>8108</v>
      </c>
      <c r="T1540" t="s">
        <v>13134</v>
      </c>
      <c r="U1540" t="s">
        <v>13134</v>
      </c>
      <c r="V1540" t="s">
        <v>13134</v>
      </c>
      <c r="W1540" t="s">
        <v>14637</v>
      </c>
      <c r="X1540">
        <v>5</v>
      </c>
      <c r="Y1540" t="s">
        <v>21118</v>
      </c>
      <c r="Z1540" t="s">
        <v>27508</v>
      </c>
      <c r="AA1540">
        <v>0.806893933021684</v>
      </c>
      <c r="AB1540" t="str">
        <f>HYPERLINK("Melting_Curves/meltCurve_O15116_LSM1.pdf", "Melting_Curves/meltCurve_O15116_LSM1.pdf")</f>
        <v>Melting_Curves/meltCurve_O15116_LSM1.pdf</v>
      </c>
    </row>
    <row r="1541" spans="1:28" x14ac:dyDescent="0.25">
      <c r="A1541" t="s">
        <v>1545</v>
      </c>
      <c r="B1541">
        <v>0.99472303558308395</v>
      </c>
      <c r="C1541">
        <v>0.89280590455661102</v>
      </c>
      <c r="D1541">
        <v>0.863224518317387</v>
      </c>
      <c r="E1541">
        <v>0.73180133536949998</v>
      </c>
      <c r="F1541">
        <v>0.59488096027959902</v>
      </c>
      <c r="G1541">
        <v>0.31187999347769202</v>
      </c>
      <c r="H1541">
        <v>0.28716330499724102</v>
      </c>
      <c r="I1541">
        <v>0.19278501263734199</v>
      </c>
      <c r="J1541">
        <v>0.24525886976668401</v>
      </c>
      <c r="K1541">
        <v>0.29565928628153498</v>
      </c>
      <c r="L1541">
        <v>653.22837037681495</v>
      </c>
      <c r="M1541">
        <v>13.4117368593888</v>
      </c>
      <c r="N1541">
        <v>50.697071645068199</v>
      </c>
      <c r="O1541">
        <v>47.661116385548901</v>
      </c>
      <c r="P1541">
        <v>-5.5953778906433597E-2</v>
      </c>
      <c r="Q1541">
        <v>0.204755384801178</v>
      </c>
      <c r="R1541">
        <v>0.97215467144069201</v>
      </c>
      <c r="S1541" t="s">
        <v>8109</v>
      </c>
      <c r="T1541" t="s">
        <v>13134</v>
      </c>
      <c r="U1541" t="s">
        <v>13134</v>
      </c>
      <c r="V1541" t="s">
        <v>13134</v>
      </c>
      <c r="W1541" t="s">
        <v>14638</v>
      </c>
      <c r="X1541">
        <v>9</v>
      </c>
      <c r="Y1541" t="s">
        <v>21119</v>
      </c>
      <c r="Z1541" t="s">
        <v>27509</v>
      </c>
      <c r="AA1541">
        <v>0.53554130510129572</v>
      </c>
      <c r="AB1541" t="str">
        <f>HYPERLINK("Melting_Curves/meltCurve_O15118_NPC1.pdf", "Melting_Curves/meltCurve_O15118_NPC1.pdf")</f>
        <v>Melting_Curves/meltCurve_O15118_NPC1.pdf</v>
      </c>
    </row>
    <row r="1542" spans="1:28" x14ac:dyDescent="0.25">
      <c r="A1542" t="s">
        <v>1546</v>
      </c>
      <c r="B1542">
        <v>0.99472303558308395</v>
      </c>
      <c r="C1542">
        <v>0.86310285174144497</v>
      </c>
      <c r="D1542">
        <v>0.75273026066662696</v>
      </c>
      <c r="E1542">
        <v>0.69365175131694801</v>
      </c>
      <c r="F1542">
        <v>0.62710593216364996</v>
      </c>
      <c r="G1542">
        <v>0.20540156368174001</v>
      </c>
      <c r="H1542">
        <v>0.117543730965579</v>
      </c>
      <c r="I1542">
        <v>9.6692031425452296E-2</v>
      </c>
      <c r="J1542">
        <v>0.14652950617262001</v>
      </c>
      <c r="K1542">
        <v>0.23985032663751199</v>
      </c>
      <c r="L1542">
        <v>560.20282245749002</v>
      </c>
      <c r="M1542">
        <v>11.4958246371874</v>
      </c>
      <c r="N1542">
        <v>49.459961840298298</v>
      </c>
      <c r="O1542">
        <v>47.326352586591497</v>
      </c>
      <c r="P1542">
        <v>-5.6009951567887198E-2</v>
      </c>
      <c r="Q1542">
        <v>7.7928921824559294E-2</v>
      </c>
      <c r="R1542">
        <v>0.92456509474566695</v>
      </c>
      <c r="S1542" t="s">
        <v>8110</v>
      </c>
      <c r="T1542" t="s">
        <v>13134</v>
      </c>
      <c r="U1542" t="s">
        <v>13134</v>
      </c>
      <c r="V1542" t="s">
        <v>13134</v>
      </c>
      <c r="W1542" t="s">
        <v>14639</v>
      </c>
      <c r="X1542">
        <v>1</v>
      </c>
      <c r="Y1542" t="s">
        <v>21120</v>
      </c>
      <c r="Z1542" t="s">
        <v>27510</v>
      </c>
      <c r="AA1542">
        <v>0.4679402632161177</v>
      </c>
      <c r="AB1542" t="str">
        <f>HYPERLINK("Melting_Curves/meltCurve_O15120_AGPAT2.pdf", "Melting_Curves/meltCurve_O15120_AGPAT2.pdf")</f>
        <v>Melting_Curves/meltCurve_O15120_AGPAT2.pdf</v>
      </c>
    </row>
    <row r="1543" spans="1:28" x14ac:dyDescent="0.25">
      <c r="A1543" t="s">
        <v>1547</v>
      </c>
      <c r="B1543">
        <v>0.99472303558308395</v>
      </c>
      <c r="C1543">
        <v>0.96350891519304005</v>
      </c>
      <c r="D1543">
        <v>0.74506725713941502</v>
      </c>
      <c r="E1543">
        <v>0.68868057325256704</v>
      </c>
      <c r="F1543">
        <v>0.59212891426277603</v>
      </c>
      <c r="G1543">
        <v>0.317530939771205</v>
      </c>
      <c r="H1543">
        <v>0.21898921211623301</v>
      </c>
      <c r="I1543">
        <v>0.16805941760500001</v>
      </c>
      <c r="J1543">
        <v>0.13374014799123499</v>
      </c>
      <c r="K1543">
        <v>9.8776264973370997E-2</v>
      </c>
      <c r="L1543">
        <v>468.194389915405</v>
      </c>
      <c r="M1543">
        <v>9.2779737525316595</v>
      </c>
      <c r="N1543">
        <v>50.462999024548303</v>
      </c>
      <c r="O1543">
        <v>48.2849102881842</v>
      </c>
      <c r="P1543">
        <v>-4.8068746621146997E-2</v>
      </c>
      <c r="Q1543">
        <v>0</v>
      </c>
      <c r="R1543">
        <v>0.98193930630214799</v>
      </c>
      <c r="S1543" t="s">
        <v>8111</v>
      </c>
      <c r="T1543" t="s">
        <v>13134</v>
      </c>
      <c r="U1543" t="s">
        <v>13134</v>
      </c>
      <c r="V1543" t="s">
        <v>13134</v>
      </c>
      <c r="W1543" t="s">
        <v>14640</v>
      </c>
      <c r="X1543">
        <v>3</v>
      </c>
      <c r="Y1543" t="s">
        <v>21121</v>
      </c>
      <c r="Z1543" t="s">
        <v>27511</v>
      </c>
      <c r="AA1543">
        <v>0.48316476997838897</v>
      </c>
      <c r="AB1543" t="str">
        <f>HYPERLINK("Melting_Curves/meltCurve_O15121_DEGS1.pdf", "Melting_Curves/meltCurve_O15121_DEGS1.pdf")</f>
        <v>Melting_Curves/meltCurve_O15121_DEGS1.pdf</v>
      </c>
    </row>
    <row r="1544" spans="1:28" x14ac:dyDescent="0.25">
      <c r="A1544" t="s">
        <v>1548</v>
      </c>
      <c r="B1544">
        <v>0.99472303558308395</v>
      </c>
      <c r="C1544">
        <v>0.98448821080508897</v>
      </c>
      <c r="D1544">
        <v>0.87519064493036502</v>
      </c>
      <c r="E1544">
        <v>0.88999092340656905</v>
      </c>
      <c r="F1544">
        <v>0.77037087475172505</v>
      </c>
      <c r="G1544">
        <v>0.65793391721197603</v>
      </c>
      <c r="H1544">
        <v>0.57282052314204301</v>
      </c>
      <c r="I1544">
        <v>0.60256809008434797</v>
      </c>
      <c r="J1544">
        <v>0.76412927783552098</v>
      </c>
      <c r="K1544">
        <v>0.55172822875579297</v>
      </c>
      <c r="L1544">
        <v>672.80796018875401</v>
      </c>
      <c r="M1544">
        <v>13.9790041132797</v>
      </c>
      <c r="O1544">
        <v>47.177050563444801</v>
      </c>
      <c r="P1544">
        <v>-2.9197142406045502E-2</v>
      </c>
      <c r="Q1544">
        <v>0.60590857278485799</v>
      </c>
      <c r="R1544">
        <v>0.84962218167748504</v>
      </c>
      <c r="S1544" t="s">
        <v>8112</v>
      </c>
      <c r="T1544" t="s">
        <v>13134</v>
      </c>
      <c r="U1544" t="s">
        <v>13134</v>
      </c>
      <c r="V1544" t="s">
        <v>13134</v>
      </c>
      <c r="W1544" t="s">
        <v>14641</v>
      </c>
      <c r="X1544">
        <v>6</v>
      </c>
      <c r="Y1544" t="s">
        <v>21122</v>
      </c>
      <c r="Z1544" t="s">
        <v>27512</v>
      </c>
      <c r="AA1544">
        <v>0.76182748662406852</v>
      </c>
      <c r="AB1544" t="str">
        <f>HYPERLINK("Melting_Curves/meltCurve_O15126_SCAMP1.pdf", "Melting_Curves/meltCurve_O15126_SCAMP1.pdf")</f>
        <v>Melting_Curves/meltCurve_O15126_SCAMP1.pdf</v>
      </c>
    </row>
    <row r="1545" spans="1:28" x14ac:dyDescent="0.25">
      <c r="A1545" t="s">
        <v>1549</v>
      </c>
      <c r="B1545">
        <v>0.99472303558308395</v>
      </c>
      <c r="C1545">
        <v>0.97849771299072497</v>
      </c>
      <c r="D1545">
        <v>0.85432492140774696</v>
      </c>
      <c r="E1545">
        <v>0.70373801377240397</v>
      </c>
      <c r="F1545">
        <v>0.53391134059090195</v>
      </c>
      <c r="G1545">
        <v>0.39304109468181703</v>
      </c>
      <c r="H1545">
        <v>0.28405930972686</v>
      </c>
      <c r="I1545">
        <v>0.256564963379808</v>
      </c>
      <c r="J1545">
        <v>0.33758265198193399</v>
      </c>
      <c r="K1545">
        <v>0.293084033571955</v>
      </c>
      <c r="L1545">
        <v>699.85701949023701</v>
      </c>
      <c r="M1545">
        <v>14.643652686055299</v>
      </c>
      <c r="N1545">
        <v>50.453014342501902</v>
      </c>
      <c r="O1545">
        <v>46.927777540232</v>
      </c>
      <c r="P1545">
        <v>-5.7032822672972203E-2</v>
      </c>
      <c r="Q1545">
        <v>0.26900026560600898</v>
      </c>
      <c r="R1545">
        <v>0.98993057229589099</v>
      </c>
      <c r="S1545" t="s">
        <v>8113</v>
      </c>
      <c r="T1545" t="s">
        <v>13134</v>
      </c>
      <c r="U1545" t="s">
        <v>13134</v>
      </c>
      <c r="V1545" t="s">
        <v>13134</v>
      </c>
      <c r="W1545" t="s">
        <v>14642</v>
      </c>
      <c r="X1545">
        <v>6</v>
      </c>
      <c r="Y1545" t="s">
        <v>21123</v>
      </c>
      <c r="Z1545" t="s">
        <v>27513</v>
      </c>
      <c r="AA1545">
        <v>0.54882425732764373</v>
      </c>
      <c r="AB1545" t="str">
        <f>HYPERLINK("Melting_Curves/meltCurve_O15127_SCAMP2.pdf", "Melting_Curves/meltCurve_O15127_SCAMP2.pdf")</f>
        <v>Melting_Curves/meltCurve_O15127_SCAMP2.pdf</v>
      </c>
    </row>
    <row r="1546" spans="1:28" x14ac:dyDescent="0.25">
      <c r="A1546" t="s">
        <v>1550</v>
      </c>
      <c r="B1546">
        <v>0.99472303558308395</v>
      </c>
      <c r="C1546">
        <v>1.0013461644632</v>
      </c>
      <c r="D1546">
        <v>0.87305575269081903</v>
      </c>
      <c r="E1546">
        <v>0.77131905011494895</v>
      </c>
      <c r="F1546">
        <v>0.63927480172887896</v>
      </c>
      <c r="G1546">
        <v>0.37682472138943501</v>
      </c>
      <c r="H1546">
        <v>0.23484612817275999</v>
      </c>
      <c r="I1546">
        <v>0.14492988030228601</v>
      </c>
      <c r="J1546">
        <v>0.11988681200291</v>
      </c>
      <c r="K1546">
        <v>0.108470564475183</v>
      </c>
      <c r="L1546">
        <v>624.14722967775401</v>
      </c>
      <c r="M1546">
        <v>12.132859269027801</v>
      </c>
      <c r="N1546">
        <v>51.7597558375831</v>
      </c>
      <c r="O1546">
        <v>50.105052805133802</v>
      </c>
      <c r="P1546">
        <v>-5.8382685155737302E-2</v>
      </c>
      <c r="Q1546">
        <v>3.5811151520762599E-2</v>
      </c>
      <c r="R1546">
        <v>0.99455834955811695</v>
      </c>
      <c r="S1546" t="s">
        <v>8114</v>
      </c>
      <c r="T1546" t="s">
        <v>13134</v>
      </c>
      <c r="U1546" t="s">
        <v>13134</v>
      </c>
      <c r="V1546" t="s">
        <v>13134</v>
      </c>
      <c r="W1546" t="s">
        <v>14643</v>
      </c>
      <c r="X1546">
        <v>13</v>
      </c>
      <c r="Y1546" t="s">
        <v>21124</v>
      </c>
      <c r="Z1546" t="s">
        <v>27514</v>
      </c>
      <c r="AA1546">
        <v>0.52392403276218502</v>
      </c>
      <c r="AB1546" t="str">
        <f>HYPERLINK("Melting_Curves/meltCurve_O15143_ARPC1B.pdf", "Melting_Curves/meltCurve_O15143_ARPC1B.pdf")</f>
        <v>Melting_Curves/meltCurve_O15143_ARPC1B.pdf</v>
      </c>
    </row>
    <row r="1547" spans="1:28" x14ac:dyDescent="0.25">
      <c r="A1547" t="s">
        <v>1551</v>
      </c>
      <c r="B1547">
        <v>0.99472303558308395</v>
      </c>
      <c r="C1547">
        <v>0.93723363727962095</v>
      </c>
      <c r="D1547">
        <v>0.94825638161130699</v>
      </c>
      <c r="E1547">
        <v>0.887200859807319</v>
      </c>
      <c r="F1547">
        <v>0.87812387327058705</v>
      </c>
      <c r="G1547">
        <v>0.61747385801038701</v>
      </c>
      <c r="H1547">
        <v>0.306991366461907</v>
      </c>
      <c r="I1547">
        <v>0.224016108205008</v>
      </c>
      <c r="J1547">
        <v>0.155924492066363</v>
      </c>
      <c r="K1547">
        <v>0.122982564433057</v>
      </c>
      <c r="L1547">
        <v>1023.51128655821</v>
      </c>
      <c r="M1547">
        <v>18.808506724333899</v>
      </c>
      <c r="N1547">
        <v>55.076845266927201</v>
      </c>
      <c r="O1547">
        <v>53.813514180382498</v>
      </c>
      <c r="P1547">
        <v>-7.8572686925345303E-2</v>
      </c>
      <c r="Q1547">
        <v>0.10081180060162299</v>
      </c>
      <c r="R1547">
        <v>0.98749170987990498</v>
      </c>
      <c r="S1547" t="s">
        <v>8115</v>
      </c>
      <c r="T1547" t="s">
        <v>13134</v>
      </c>
      <c r="U1547" t="s">
        <v>13134</v>
      </c>
      <c r="V1547" t="s">
        <v>13134</v>
      </c>
      <c r="W1547" t="s">
        <v>14644</v>
      </c>
      <c r="X1547">
        <v>18</v>
      </c>
      <c r="Y1547" t="s">
        <v>21125</v>
      </c>
      <c r="Z1547" t="s">
        <v>27515</v>
      </c>
      <c r="AA1547">
        <v>0.63426683606518541</v>
      </c>
      <c r="AB1547" t="str">
        <f>HYPERLINK("Melting_Curves/meltCurve_O15144_ARPC2.pdf", "Melting_Curves/meltCurve_O15144_ARPC2.pdf")</f>
        <v>Melting_Curves/meltCurve_O15144_ARPC2.pdf</v>
      </c>
    </row>
    <row r="1548" spans="1:28" x14ac:dyDescent="0.25">
      <c r="A1548" t="s">
        <v>1552</v>
      </c>
      <c r="B1548">
        <v>0.99472303558308395</v>
      </c>
      <c r="C1548">
        <v>0.92308216716846603</v>
      </c>
      <c r="D1548">
        <v>1.02977155805555</v>
      </c>
      <c r="E1548">
        <v>0.91599857903687099</v>
      </c>
      <c r="F1548">
        <v>0.80902972622568703</v>
      </c>
      <c r="G1548">
        <v>0.58361760982490796</v>
      </c>
      <c r="H1548">
        <v>0.21764875454118501</v>
      </c>
      <c r="I1548">
        <v>0.18896079313991801</v>
      </c>
      <c r="J1548">
        <v>0.111001365531392</v>
      </c>
      <c r="K1548">
        <v>8.9105299881900996E-2</v>
      </c>
      <c r="L1548">
        <v>1066.52465529144</v>
      </c>
      <c r="M1548">
        <v>19.8221588917528</v>
      </c>
      <c r="N1548">
        <v>54.237806908500801</v>
      </c>
      <c r="O1548">
        <v>53.2660379971297</v>
      </c>
      <c r="P1548">
        <v>-8.6226352585542607E-2</v>
      </c>
      <c r="Q1548">
        <v>7.3202605638994694E-2</v>
      </c>
      <c r="R1548">
        <v>0.98830074118415201</v>
      </c>
      <c r="S1548" t="s">
        <v>8116</v>
      </c>
      <c r="T1548" t="s">
        <v>13134</v>
      </c>
      <c r="U1548" t="s">
        <v>13134</v>
      </c>
      <c r="V1548" t="s">
        <v>13134</v>
      </c>
      <c r="W1548" t="s">
        <v>14645</v>
      </c>
      <c r="X1548">
        <v>9</v>
      </c>
      <c r="Y1548" t="s">
        <v>21126</v>
      </c>
      <c r="Z1548" t="s">
        <v>27516</v>
      </c>
      <c r="AA1548">
        <v>0.60380170050938964</v>
      </c>
      <c r="AB1548" t="str">
        <f>HYPERLINK("Melting_Curves/meltCurve_O15145_ARPC3.pdf", "Melting_Curves/meltCurve_O15145_ARPC3.pdf")</f>
        <v>Melting_Curves/meltCurve_O15145_ARPC3.pdf</v>
      </c>
    </row>
    <row r="1549" spans="1:28" x14ac:dyDescent="0.25">
      <c r="A1549" t="s">
        <v>1553</v>
      </c>
      <c r="B1549">
        <v>0.99472303558308395</v>
      </c>
      <c r="C1549">
        <v>1.0660928185907901</v>
      </c>
      <c r="D1549">
        <v>0.95159242154729196</v>
      </c>
      <c r="E1549">
        <v>0.73447550995863498</v>
      </c>
      <c r="F1549">
        <v>0.66830318602434102</v>
      </c>
      <c r="G1549">
        <v>0.45320508436905399</v>
      </c>
      <c r="H1549">
        <v>0.34471030142041098</v>
      </c>
      <c r="I1549">
        <v>0.26298597358247899</v>
      </c>
      <c r="J1549">
        <v>0.30223805916090701</v>
      </c>
      <c r="K1549">
        <v>0.25478945311866802</v>
      </c>
      <c r="L1549">
        <v>698.95198640200795</v>
      </c>
      <c r="M1549">
        <v>13.9091878660438</v>
      </c>
      <c r="N1549">
        <v>52.6590200477726</v>
      </c>
      <c r="O1549">
        <v>49.246579255279102</v>
      </c>
      <c r="P1549">
        <v>-5.4002565832991602E-2</v>
      </c>
      <c r="Q1549">
        <v>0.23530251797325599</v>
      </c>
      <c r="R1549">
        <v>0.98112539605302096</v>
      </c>
      <c r="S1549" t="s">
        <v>8117</v>
      </c>
      <c r="T1549" t="s">
        <v>13134</v>
      </c>
      <c r="U1549" t="s">
        <v>13134</v>
      </c>
      <c r="V1549" t="s">
        <v>13134</v>
      </c>
      <c r="W1549" t="s">
        <v>14646</v>
      </c>
      <c r="X1549">
        <v>3</v>
      </c>
      <c r="Y1549" t="s">
        <v>21127</v>
      </c>
      <c r="Z1549" t="s">
        <v>27517</v>
      </c>
      <c r="AA1549">
        <v>0.59064373265219983</v>
      </c>
      <c r="AB1549" t="str">
        <f>HYPERLINK("Melting_Curves/meltCurve_O15156_ZBTB7B.pdf", "Melting_Curves/meltCurve_O15156_ZBTB7B.pdf")</f>
        <v>Melting_Curves/meltCurve_O15156_ZBTB7B.pdf</v>
      </c>
    </row>
    <row r="1550" spans="1:28" x14ac:dyDescent="0.25">
      <c r="A1550" t="s">
        <v>1554</v>
      </c>
      <c r="B1550">
        <v>0.99472303558308395</v>
      </c>
      <c r="C1550">
        <v>0.92220452230060201</v>
      </c>
      <c r="D1550">
        <v>0.87705720529600695</v>
      </c>
      <c r="E1550">
        <v>0.57292708353043098</v>
      </c>
      <c r="F1550">
        <v>0.261574601585297</v>
      </c>
      <c r="G1550">
        <v>0.127759077363087</v>
      </c>
      <c r="H1550">
        <v>9.0824785333970801E-2</v>
      </c>
      <c r="I1550">
        <v>6.4803891668089295E-2</v>
      </c>
      <c r="J1550">
        <v>7.2011874598471207E-2</v>
      </c>
      <c r="K1550">
        <v>6.6113194702502806E-2</v>
      </c>
      <c r="L1550">
        <v>912.82539828680501</v>
      </c>
      <c r="M1550">
        <v>19.435420853537501</v>
      </c>
      <c r="N1550">
        <v>47.278687987489299</v>
      </c>
      <c r="O1550">
        <v>46.478351154166198</v>
      </c>
      <c r="P1550">
        <v>-9.8259680385995196E-2</v>
      </c>
      <c r="Q1550">
        <v>6.0111639280356802E-2</v>
      </c>
      <c r="R1550">
        <v>0.99804907025221701</v>
      </c>
      <c r="S1550" t="s">
        <v>8118</v>
      </c>
      <c r="T1550" t="s">
        <v>13134</v>
      </c>
      <c r="U1550" t="s">
        <v>13134</v>
      </c>
      <c r="V1550" t="s">
        <v>13134</v>
      </c>
      <c r="W1550" t="s">
        <v>14647</v>
      </c>
      <c r="X1550">
        <v>13</v>
      </c>
      <c r="Y1550" t="s">
        <v>21128</v>
      </c>
      <c r="Z1550" t="s">
        <v>27518</v>
      </c>
      <c r="AA1550">
        <v>0.38538891561444422</v>
      </c>
      <c r="AB1550" t="str">
        <f>HYPERLINK("Melting_Curves/meltCurve_O15160_POLR1C.pdf", "Melting_Curves/meltCurve_O15160_POLR1C.pdf")</f>
        <v>Melting_Curves/meltCurve_O15160_POLR1C.pdf</v>
      </c>
    </row>
    <row r="1551" spans="1:28" x14ac:dyDescent="0.25">
      <c r="A1551" t="s">
        <v>1555</v>
      </c>
      <c r="B1551">
        <v>0.99472303558308395</v>
      </c>
      <c r="C1551">
        <v>1.1189509437017999</v>
      </c>
      <c r="D1551">
        <v>0.79465268659931398</v>
      </c>
      <c r="E1551">
        <v>0.61909057311914295</v>
      </c>
      <c r="F1551">
        <v>0.36218178952793401</v>
      </c>
      <c r="G1551">
        <v>0.216056074954493</v>
      </c>
      <c r="H1551">
        <v>0.14828039817733699</v>
      </c>
      <c r="I1551">
        <v>9.9833822643598399E-2</v>
      </c>
      <c r="J1551">
        <v>6.5779910050184701E-2</v>
      </c>
      <c r="K1551">
        <v>8.55300753851896E-2</v>
      </c>
      <c r="L1551">
        <v>769.89264227952594</v>
      </c>
      <c r="M1551">
        <v>16.155933071620002</v>
      </c>
      <c r="N1551">
        <v>48.144938369628299</v>
      </c>
      <c r="O1551">
        <v>46.941697082099601</v>
      </c>
      <c r="P1551">
        <v>-7.9512444568885801E-2</v>
      </c>
      <c r="Q1551">
        <v>7.5963664263302103E-2</v>
      </c>
      <c r="R1551">
        <v>0.97891905974757598</v>
      </c>
      <c r="S1551" t="s">
        <v>8119</v>
      </c>
      <c r="T1551" t="s">
        <v>13134</v>
      </c>
      <c r="U1551" t="s">
        <v>13134</v>
      </c>
      <c r="V1551" t="s">
        <v>13134</v>
      </c>
      <c r="W1551" t="s">
        <v>14648</v>
      </c>
      <c r="X1551">
        <v>7</v>
      </c>
      <c r="Y1551" t="s">
        <v>21129</v>
      </c>
      <c r="Z1551" t="s">
        <v>27519</v>
      </c>
      <c r="AA1551">
        <v>0.42212180633309521</v>
      </c>
      <c r="AB1551" t="str">
        <f>HYPERLINK("Melting_Curves/meltCurve_O15164_2_TRIM24.pdf", "Melting_Curves/meltCurve_O15164_2_TRIM24.pdf")</f>
        <v>Melting_Curves/meltCurve_O15164_2_TRIM24.pdf</v>
      </c>
    </row>
    <row r="1552" spans="1:28" x14ac:dyDescent="0.25">
      <c r="A1552" t="s">
        <v>1556</v>
      </c>
      <c r="B1552">
        <v>0.99472303558308395</v>
      </c>
      <c r="C1552">
        <v>1.0246983914108001</v>
      </c>
      <c r="D1552">
        <v>0.85260576167184499</v>
      </c>
      <c r="E1552">
        <v>0.53867042189020897</v>
      </c>
      <c r="F1552">
        <v>0.131868743902264</v>
      </c>
      <c r="G1552">
        <v>8.1254201805218806E-2</v>
      </c>
      <c r="H1552">
        <v>5.1818844168406701E-2</v>
      </c>
      <c r="I1552">
        <v>3.0102275968874499E-2</v>
      </c>
      <c r="J1552">
        <v>5.3192719615024003E-2</v>
      </c>
      <c r="K1552">
        <v>5.70626845852256E-2</v>
      </c>
      <c r="L1552">
        <v>1194.82197117192</v>
      </c>
      <c r="M1552">
        <v>25.692699658946299</v>
      </c>
      <c r="N1552">
        <v>46.666657090105701</v>
      </c>
      <c r="O1552">
        <v>46.225354993078398</v>
      </c>
      <c r="P1552">
        <v>-0.133015589761659</v>
      </c>
      <c r="Q1552">
        <v>4.2744628106737098E-2</v>
      </c>
      <c r="R1552">
        <v>0.996272201608702</v>
      </c>
      <c r="S1552" t="s">
        <v>8120</v>
      </c>
      <c r="T1552" t="s">
        <v>13134</v>
      </c>
      <c r="U1552" t="s">
        <v>13134</v>
      </c>
      <c r="V1552" t="s">
        <v>13134</v>
      </c>
      <c r="W1552" t="s">
        <v>14649</v>
      </c>
      <c r="X1552">
        <v>6</v>
      </c>
      <c r="Y1552" t="s">
        <v>21130</v>
      </c>
      <c r="Z1552" t="s">
        <v>27520</v>
      </c>
      <c r="AA1552">
        <v>0.35356637529528112</v>
      </c>
      <c r="AB1552" t="str">
        <f>HYPERLINK("Melting_Curves/meltCurve_O15169_2_AXIN1.pdf", "Melting_Curves/meltCurve_O15169_2_AXIN1.pdf")</f>
        <v>Melting_Curves/meltCurve_O15169_2_AXIN1.pdf</v>
      </c>
    </row>
    <row r="1553" spans="1:28" x14ac:dyDescent="0.25">
      <c r="A1553" t="s">
        <v>1557</v>
      </c>
      <c r="B1553">
        <v>0.99472303558308395</v>
      </c>
      <c r="C1553">
        <v>0.85063834231381996</v>
      </c>
      <c r="D1553">
        <v>0.83496769143785299</v>
      </c>
      <c r="E1553">
        <v>0.73771914766505997</v>
      </c>
      <c r="F1553">
        <v>0.55034771234166402</v>
      </c>
      <c r="G1553">
        <v>0.29530875859986699</v>
      </c>
      <c r="H1553">
        <v>0.18996314439177001</v>
      </c>
      <c r="I1553">
        <v>0.16837969403542799</v>
      </c>
      <c r="J1553">
        <v>0.215479827119374</v>
      </c>
      <c r="K1553">
        <v>0.20040724184036701</v>
      </c>
      <c r="L1553">
        <v>598.84464533083406</v>
      </c>
      <c r="M1553">
        <v>12.2505414459166</v>
      </c>
      <c r="N1553">
        <v>50.104203619425498</v>
      </c>
      <c r="O1553">
        <v>47.635293411957903</v>
      </c>
      <c r="P1553">
        <v>-5.6008442461330403E-2</v>
      </c>
      <c r="Q1553">
        <v>0.12905561605051899</v>
      </c>
      <c r="R1553">
        <v>0.97293641206111703</v>
      </c>
      <c r="S1553" t="s">
        <v>8121</v>
      </c>
      <c r="T1553" t="s">
        <v>13134</v>
      </c>
      <c r="U1553" t="s">
        <v>13134</v>
      </c>
      <c r="V1553" t="s">
        <v>13134</v>
      </c>
      <c r="W1553" t="s">
        <v>14650</v>
      </c>
      <c r="X1553">
        <v>10</v>
      </c>
      <c r="Y1553" t="s">
        <v>21131</v>
      </c>
      <c r="Z1553" t="s">
        <v>27521</v>
      </c>
      <c r="AA1553">
        <v>0.49937247338830881</v>
      </c>
      <c r="AB1553" t="str">
        <f>HYPERLINK("Melting_Curves/meltCurve_O15173_PGRMC2.pdf", "Melting_Curves/meltCurve_O15173_PGRMC2.pdf")</f>
        <v>Melting_Curves/meltCurve_O15173_PGRMC2.pdf</v>
      </c>
    </row>
    <row r="1554" spans="1:28" x14ac:dyDescent="0.25">
      <c r="A1554" t="s">
        <v>1558</v>
      </c>
      <c r="B1554">
        <v>0.99472303558308395</v>
      </c>
      <c r="C1554">
        <v>0.994569331484214</v>
      </c>
      <c r="D1554">
        <v>0.94099278983122903</v>
      </c>
      <c r="E1554">
        <v>0.90529311816121705</v>
      </c>
      <c r="F1554">
        <v>0.77251355373863195</v>
      </c>
      <c r="G1554">
        <v>0.59154166775918504</v>
      </c>
      <c r="H1554">
        <v>0.49977339466064702</v>
      </c>
      <c r="I1554">
        <v>0.52178456605849499</v>
      </c>
      <c r="J1554">
        <v>0.70257674180331597</v>
      </c>
      <c r="K1554">
        <v>0.56134617504365003</v>
      </c>
      <c r="L1554">
        <v>1273.56263005097</v>
      </c>
      <c r="M1554">
        <v>25.781078014887701</v>
      </c>
      <c r="O1554">
        <v>49.104776552610502</v>
      </c>
      <c r="P1554">
        <v>-5.6868179464010203E-2</v>
      </c>
      <c r="Q1554">
        <v>0.56674172447076199</v>
      </c>
      <c r="R1554">
        <v>0.91315399766313798</v>
      </c>
      <c r="S1554" t="s">
        <v>8122</v>
      </c>
      <c r="T1554" t="s">
        <v>13134</v>
      </c>
      <c r="U1554" t="s">
        <v>13134</v>
      </c>
      <c r="V1554" t="s">
        <v>13134</v>
      </c>
      <c r="W1554" t="s">
        <v>14651</v>
      </c>
      <c r="X1554">
        <v>16</v>
      </c>
      <c r="Y1554" t="s">
        <v>21132</v>
      </c>
      <c r="Z1554" t="s">
        <v>27522</v>
      </c>
      <c r="AA1554">
        <v>0.74935451587765345</v>
      </c>
      <c r="AB1554" t="str">
        <f>HYPERLINK("Melting_Curves/meltCurve_O15212_PFDN6.pdf", "Melting_Curves/meltCurve_O15212_PFDN6.pdf")</f>
        <v>Melting_Curves/meltCurve_O15212_PFDN6.pdf</v>
      </c>
    </row>
    <row r="1555" spans="1:28" x14ac:dyDescent="0.25">
      <c r="A1555" t="s">
        <v>1559</v>
      </c>
      <c r="B1555">
        <v>0.99472303558308395</v>
      </c>
      <c r="C1555">
        <v>0.78479360813245103</v>
      </c>
      <c r="D1555">
        <v>0.44548089826603299</v>
      </c>
      <c r="E1555">
        <v>0.247214843321025</v>
      </c>
      <c r="F1555">
        <v>0.14798222311709999</v>
      </c>
      <c r="G1555">
        <v>0.144276491271325</v>
      </c>
      <c r="H1555">
        <v>8.8026189476073602E-2</v>
      </c>
      <c r="I1555">
        <v>8.6897050312441701E-2</v>
      </c>
      <c r="J1555">
        <v>0.13080723726190199</v>
      </c>
      <c r="K1555">
        <v>9.1984662099317202E-2</v>
      </c>
      <c r="L1555">
        <v>869.34285269353097</v>
      </c>
      <c r="M1555">
        <v>20.620818598623401</v>
      </c>
      <c r="N1555">
        <v>42.668630059759799</v>
      </c>
      <c r="O1555">
        <v>41.768030903280902</v>
      </c>
      <c r="P1555">
        <v>-0.10994402740746299</v>
      </c>
      <c r="Q1555">
        <v>0.109247227650777</v>
      </c>
      <c r="R1555">
        <v>0.99405240277552098</v>
      </c>
      <c r="S1555" t="s">
        <v>8123</v>
      </c>
      <c r="T1555" t="s">
        <v>13134</v>
      </c>
      <c r="U1555" t="s">
        <v>13134</v>
      </c>
      <c r="V1555" t="s">
        <v>13134</v>
      </c>
      <c r="W1555" t="s">
        <v>14652</v>
      </c>
      <c r="X1555">
        <v>1</v>
      </c>
      <c r="Y1555" t="s">
        <v>21133</v>
      </c>
      <c r="Z1555" t="s">
        <v>27523</v>
      </c>
      <c r="AA1555">
        <v>0.27471952612449368</v>
      </c>
      <c r="AB1555" t="str">
        <f>HYPERLINK("Melting_Curves/meltCurve_O15226_NKRF.pdf", "Melting_Curves/meltCurve_O15226_NKRF.pdf")</f>
        <v>Melting_Curves/meltCurve_O15226_NKRF.pdf</v>
      </c>
    </row>
    <row r="1556" spans="1:28" x14ac:dyDescent="0.25">
      <c r="A1556" t="s">
        <v>1560</v>
      </c>
      <c r="B1556">
        <v>0.99472303558308395</v>
      </c>
      <c r="C1556">
        <v>0.95037292968386899</v>
      </c>
      <c r="D1556">
        <v>0.96957052755262096</v>
      </c>
      <c r="E1556">
        <v>0.83001989040164303</v>
      </c>
      <c r="F1556">
        <v>0.42311388807460398</v>
      </c>
      <c r="G1556">
        <v>0.16254268168848901</v>
      </c>
      <c r="H1556">
        <v>7.6196758272319906E-2</v>
      </c>
      <c r="I1556">
        <v>4.0369304279070803E-2</v>
      </c>
      <c r="J1556">
        <v>4.15880772090561E-2</v>
      </c>
      <c r="K1556">
        <v>4.3325965141408802E-2</v>
      </c>
      <c r="L1556">
        <v>1199.4421140351001</v>
      </c>
      <c r="M1556">
        <v>24.2671212382904</v>
      </c>
      <c r="N1556">
        <v>49.593456574856503</v>
      </c>
      <c r="O1556">
        <v>49.094659899023803</v>
      </c>
      <c r="P1556">
        <v>-0.11873133174249299</v>
      </c>
      <c r="Q1556">
        <v>3.9196105985416299E-2</v>
      </c>
      <c r="R1556">
        <v>0.99850149855957004</v>
      </c>
      <c r="S1556" t="s">
        <v>8124</v>
      </c>
      <c r="T1556" t="s">
        <v>13134</v>
      </c>
      <c r="U1556" t="s">
        <v>13134</v>
      </c>
      <c r="V1556" t="s">
        <v>13134</v>
      </c>
      <c r="W1556" t="s">
        <v>14653</v>
      </c>
      <c r="X1556">
        <v>15</v>
      </c>
      <c r="Y1556" t="s">
        <v>21134</v>
      </c>
      <c r="Z1556" t="s">
        <v>27524</v>
      </c>
      <c r="AA1556">
        <v>0.44602022847829459</v>
      </c>
      <c r="AB1556" t="str">
        <f>HYPERLINK("Melting_Curves/meltCurve_O15228_GNPAT.pdf", "Melting_Curves/meltCurve_O15228_GNPAT.pdf")</f>
        <v>Melting_Curves/meltCurve_O15228_GNPAT.pdf</v>
      </c>
    </row>
    <row r="1557" spans="1:28" x14ac:dyDescent="0.25">
      <c r="A1557" t="s">
        <v>1561</v>
      </c>
      <c r="B1557">
        <v>0.99472303558308395</v>
      </c>
      <c r="C1557">
        <v>0.97031136316828004</v>
      </c>
      <c r="D1557">
        <v>0.94216167312135601</v>
      </c>
      <c r="E1557">
        <v>0.80867918787136095</v>
      </c>
      <c r="F1557">
        <v>0.51413621369943496</v>
      </c>
      <c r="G1557">
        <v>0.46022415623090301</v>
      </c>
      <c r="H1557">
        <v>1.0697141601884901</v>
      </c>
      <c r="I1557">
        <v>1.73166528526394</v>
      </c>
      <c r="J1557">
        <v>3.4756233769700602</v>
      </c>
      <c r="K1557">
        <v>2.04962420704849</v>
      </c>
      <c r="L1557">
        <v>14454.4669210426</v>
      </c>
      <c r="M1557">
        <v>250</v>
      </c>
      <c r="O1557">
        <v>57.814188374820901</v>
      </c>
      <c r="P1557">
        <v>0.54052494750945101</v>
      </c>
      <c r="Q1557">
        <v>1.5</v>
      </c>
      <c r="R1557">
        <v>0.35021052081745602</v>
      </c>
      <c r="S1557" t="s">
        <v>8125</v>
      </c>
      <c r="T1557" t="s">
        <v>13134</v>
      </c>
      <c r="U1557" t="s">
        <v>13134</v>
      </c>
      <c r="V1557" t="s">
        <v>13134</v>
      </c>
      <c r="W1557" t="s">
        <v>14654</v>
      </c>
      <c r="X1557">
        <v>8</v>
      </c>
      <c r="Y1557" t="s">
        <v>21135</v>
      </c>
      <c r="Z1557" t="s">
        <v>27525</v>
      </c>
      <c r="AA1557">
        <v>1.15298480386819</v>
      </c>
      <c r="AB1557" t="str">
        <f>HYPERLINK("Melting_Curves/meltCurve_O15234_CASC3.pdf", "Melting_Curves/meltCurve_O15234_CASC3.pdf")</f>
        <v>Melting_Curves/meltCurve_O15234_CASC3.pdf</v>
      </c>
    </row>
    <row r="1558" spans="1:28" x14ac:dyDescent="0.25">
      <c r="A1558" t="s">
        <v>1562</v>
      </c>
      <c r="B1558">
        <v>0.99472303558308395</v>
      </c>
      <c r="C1558">
        <v>0.95488609531270996</v>
      </c>
      <c r="D1558">
        <v>0.839572840496843</v>
      </c>
      <c r="E1558">
        <v>0.480169702840608</v>
      </c>
      <c r="F1558">
        <v>0.184043997734262</v>
      </c>
      <c r="G1558">
        <v>0.11497178907337</v>
      </c>
      <c r="H1558">
        <v>8.6239727452706194E-2</v>
      </c>
      <c r="I1558">
        <v>7.7391977140050403E-2</v>
      </c>
      <c r="J1558">
        <v>7.6506199869082303E-2</v>
      </c>
      <c r="K1558">
        <v>6.5873184457642397E-2</v>
      </c>
      <c r="L1558">
        <v>1021.32064364247</v>
      </c>
      <c r="M1558">
        <v>22.189312550194099</v>
      </c>
      <c r="N1558">
        <v>46.350313677961701</v>
      </c>
      <c r="O1558">
        <v>45.658648842455399</v>
      </c>
      <c r="P1558">
        <v>-0.112801882900356</v>
      </c>
      <c r="Q1558">
        <v>7.1576405754227496E-2</v>
      </c>
      <c r="R1558">
        <v>0.99956276030454805</v>
      </c>
      <c r="S1558" t="s">
        <v>8126</v>
      </c>
      <c r="T1558" t="s">
        <v>13134</v>
      </c>
      <c r="U1558" t="s">
        <v>13134</v>
      </c>
      <c r="V1558" t="s">
        <v>13134</v>
      </c>
      <c r="W1558" t="s">
        <v>14655</v>
      </c>
      <c r="X1558">
        <v>3</v>
      </c>
      <c r="Y1558" t="s">
        <v>21136</v>
      </c>
      <c r="Z1558" t="s">
        <v>27526</v>
      </c>
      <c r="AA1558">
        <v>0.36078104703219638</v>
      </c>
      <c r="AB1558" t="str">
        <f>HYPERLINK("Melting_Curves/meltCurve_O15235_MRPS12.pdf", "Melting_Curves/meltCurve_O15235_MRPS12.pdf")</f>
        <v>Melting_Curves/meltCurve_O15235_MRPS12.pdf</v>
      </c>
    </row>
    <row r="1559" spans="1:28" x14ac:dyDescent="0.25">
      <c r="A1559" t="s">
        <v>1563</v>
      </c>
      <c r="B1559">
        <v>0.99472303558308395</v>
      </c>
      <c r="C1559">
        <v>0.85509775323566695</v>
      </c>
      <c r="D1559">
        <v>0.85111120213254798</v>
      </c>
      <c r="E1559">
        <v>0.76557383493990905</v>
      </c>
      <c r="F1559">
        <v>0.54772212213572002</v>
      </c>
      <c r="G1559">
        <v>0.40873295784233998</v>
      </c>
      <c r="H1559">
        <v>0.26397898537863701</v>
      </c>
      <c r="I1559">
        <v>0.208241013567843</v>
      </c>
      <c r="J1559">
        <v>0.22780025897952599</v>
      </c>
      <c r="K1559">
        <v>0.222064782838792</v>
      </c>
      <c r="L1559">
        <v>525.03667809191199</v>
      </c>
      <c r="M1559">
        <v>10.5620520710244</v>
      </c>
      <c r="N1559">
        <v>51.245736915235703</v>
      </c>
      <c r="O1559">
        <v>48.027009475726402</v>
      </c>
      <c r="P1559">
        <v>-4.7538724620585303E-2</v>
      </c>
      <c r="Q1559">
        <v>0.13568214114749</v>
      </c>
      <c r="R1559">
        <v>0.98296652526797401</v>
      </c>
      <c r="S1559" t="s">
        <v>8127</v>
      </c>
      <c r="T1559" t="s">
        <v>13134</v>
      </c>
      <c r="U1559" t="s">
        <v>13134</v>
      </c>
      <c r="V1559" t="s">
        <v>13134</v>
      </c>
      <c r="W1559" t="s">
        <v>14656</v>
      </c>
      <c r="X1559">
        <v>1</v>
      </c>
      <c r="Y1559" t="s">
        <v>21137</v>
      </c>
      <c r="Z1559" t="s">
        <v>27527</v>
      </c>
      <c r="AA1559">
        <v>0.53035738748756767</v>
      </c>
      <c r="AB1559" t="str">
        <f>HYPERLINK("Melting_Curves/meltCurve_O15240_VGF.pdf", "Melting_Curves/meltCurve_O15240_VGF.pdf")</f>
        <v>Melting_Curves/meltCurve_O15240_VGF.pdf</v>
      </c>
    </row>
    <row r="1560" spans="1:28" x14ac:dyDescent="0.25">
      <c r="A1560" t="s">
        <v>1564</v>
      </c>
      <c r="B1560">
        <v>0.99472303558308395</v>
      </c>
      <c r="C1560">
        <v>0.97013125388104304</v>
      </c>
      <c r="D1560">
        <v>0.990052085763649</v>
      </c>
      <c r="E1560">
        <v>0.818386637242566</v>
      </c>
      <c r="F1560">
        <v>0.29401476993387499</v>
      </c>
      <c r="G1560">
        <v>0.14655620016486401</v>
      </c>
      <c r="H1560">
        <v>7.2546162030055594E-2</v>
      </c>
      <c r="I1560">
        <v>5.0127784553783701E-2</v>
      </c>
      <c r="J1560">
        <v>5.0131613012691E-2</v>
      </c>
      <c r="K1560">
        <v>4.0013000452549102E-2</v>
      </c>
      <c r="L1560">
        <v>1532.64240258726</v>
      </c>
      <c r="M1560">
        <v>31.525853150469398</v>
      </c>
      <c r="N1560">
        <v>48.808415548748798</v>
      </c>
      <c r="O1560">
        <v>48.4210595554785</v>
      </c>
      <c r="P1560">
        <v>-0.15323075695240701</v>
      </c>
      <c r="Q1560">
        <v>5.8606848182655102E-2</v>
      </c>
      <c r="R1560">
        <v>0.99774226393734</v>
      </c>
      <c r="S1560" t="s">
        <v>8128</v>
      </c>
      <c r="T1560" t="s">
        <v>13134</v>
      </c>
      <c r="U1560" t="s">
        <v>13134</v>
      </c>
      <c r="V1560" t="s">
        <v>13134</v>
      </c>
      <c r="W1560" t="s">
        <v>14657</v>
      </c>
      <c r="X1560">
        <v>15</v>
      </c>
      <c r="Y1560" t="s">
        <v>21138</v>
      </c>
      <c r="Z1560" t="s">
        <v>27528</v>
      </c>
      <c r="AA1560">
        <v>0.42820180041325151</v>
      </c>
      <c r="AB1560" t="str">
        <f>HYPERLINK("Melting_Curves/meltCurve_O15247_CLIC2.pdf", "Melting_Curves/meltCurve_O15247_CLIC2.pdf")</f>
        <v>Melting_Curves/meltCurve_O15247_CLIC2.pdf</v>
      </c>
    </row>
    <row r="1561" spans="1:28" x14ac:dyDescent="0.25">
      <c r="A1561" t="s">
        <v>1565</v>
      </c>
      <c r="B1561">
        <v>0.99472303558308395</v>
      </c>
      <c r="C1561">
        <v>1.0113298828773001</v>
      </c>
      <c r="D1561">
        <v>0.82836287239761597</v>
      </c>
      <c r="E1561">
        <v>0.762954364809451</v>
      </c>
      <c r="F1561">
        <v>0.591826916683589</v>
      </c>
      <c r="G1561">
        <v>0.41348605133994298</v>
      </c>
      <c r="H1561">
        <v>0.315237584168233</v>
      </c>
      <c r="I1561">
        <v>0.30025152190947901</v>
      </c>
      <c r="J1561">
        <v>0.274668213339825</v>
      </c>
      <c r="K1561">
        <v>0.34107489238559902</v>
      </c>
      <c r="L1561">
        <v>668.59215620224995</v>
      </c>
      <c r="M1561">
        <v>13.731189341509699</v>
      </c>
      <c r="N1561">
        <v>51.598720022102498</v>
      </c>
      <c r="O1561">
        <v>47.693583621692298</v>
      </c>
      <c r="P1561">
        <v>-5.2597655562165599E-2</v>
      </c>
      <c r="Q1561">
        <v>0.26933824213338198</v>
      </c>
      <c r="R1561">
        <v>0.983053786374258</v>
      </c>
      <c r="S1561" t="s">
        <v>8129</v>
      </c>
      <c r="T1561" t="s">
        <v>13134</v>
      </c>
      <c r="U1561" t="s">
        <v>13134</v>
      </c>
      <c r="V1561" t="s">
        <v>13134</v>
      </c>
      <c r="W1561" t="s">
        <v>14658</v>
      </c>
      <c r="X1561">
        <v>4</v>
      </c>
      <c r="Y1561" t="s">
        <v>21139</v>
      </c>
      <c r="Z1561" t="s">
        <v>27529</v>
      </c>
      <c r="AA1561">
        <v>0.57226991100914526</v>
      </c>
      <c r="AB1561" t="str">
        <f>HYPERLINK("Melting_Curves/meltCurve_O15258_RER1.pdf", "Melting_Curves/meltCurve_O15258_RER1.pdf")</f>
        <v>Melting_Curves/meltCurve_O15258_RER1.pdf</v>
      </c>
    </row>
    <row r="1562" spans="1:28" x14ac:dyDescent="0.25">
      <c r="A1562" t="s">
        <v>1566</v>
      </c>
      <c r="B1562">
        <v>0.99472303558308395</v>
      </c>
      <c r="C1562">
        <v>0.919164147481212</v>
      </c>
      <c r="D1562">
        <v>0.83477834479520197</v>
      </c>
      <c r="E1562">
        <v>0.66319477097032298</v>
      </c>
      <c r="F1562">
        <v>0.40181453017591801</v>
      </c>
      <c r="G1562">
        <v>0.16591780659399599</v>
      </c>
      <c r="H1562">
        <v>6.7448087297626094E-2</v>
      </c>
      <c r="I1562">
        <v>3.8556486228559603E-2</v>
      </c>
      <c r="J1562">
        <v>4.7625285175072397E-2</v>
      </c>
      <c r="K1562">
        <v>3.9027489278000198E-2</v>
      </c>
      <c r="L1562">
        <v>696.85448404075498</v>
      </c>
      <c r="M1562">
        <v>14.3802081151376</v>
      </c>
      <c r="N1562">
        <v>48.459276751507097</v>
      </c>
      <c r="O1562">
        <v>47.551056275987598</v>
      </c>
      <c r="P1562">
        <v>-7.5613051576486207E-2</v>
      </c>
      <c r="Q1562">
        <v>0</v>
      </c>
      <c r="R1562">
        <v>0.99599495582993203</v>
      </c>
      <c r="S1562" t="s">
        <v>8130</v>
      </c>
      <c r="T1562" t="s">
        <v>13134</v>
      </c>
      <c r="U1562" t="s">
        <v>13134</v>
      </c>
      <c r="V1562" t="s">
        <v>13134</v>
      </c>
      <c r="W1562" t="s">
        <v>14659</v>
      </c>
      <c r="X1562">
        <v>15</v>
      </c>
      <c r="Y1562" t="s">
        <v>21140</v>
      </c>
      <c r="Z1562" t="s">
        <v>27530</v>
      </c>
      <c r="AA1562">
        <v>0.40530627363960181</v>
      </c>
      <c r="AB1562" t="str">
        <f>HYPERLINK("Melting_Curves/meltCurve_O15269_SPTLC1.pdf", "Melting_Curves/meltCurve_O15269_SPTLC1.pdf")</f>
        <v>Melting_Curves/meltCurve_O15269_SPTLC1.pdf</v>
      </c>
    </row>
    <row r="1563" spans="1:28" x14ac:dyDescent="0.25">
      <c r="A1563" t="s">
        <v>1567</v>
      </c>
      <c r="B1563">
        <v>0.99472303558308395</v>
      </c>
      <c r="C1563">
        <v>0.96231325958872005</v>
      </c>
      <c r="D1563">
        <v>0.86114937281538495</v>
      </c>
      <c r="E1563">
        <v>0.80212881113012502</v>
      </c>
      <c r="F1563">
        <v>0.66948598903108703</v>
      </c>
      <c r="G1563">
        <v>0.25749991044663401</v>
      </c>
      <c r="H1563">
        <v>8.3608789253537999E-2</v>
      </c>
      <c r="I1563">
        <v>5.34835963538728E-2</v>
      </c>
      <c r="J1563">
        <v>6.0134439905265499E-2</v>
      </c>
      <c r="K1563">
        <v>5.6177074848644398E-2</v>
      </c>
      <c r="L1563">
        <v>893.49975384829804</v>
      </c>
      <c r="M1563">
        <v>17.502855620166599</v>
      </c>
      <c r="N1563">
        <v>51.106120205036</v>
      </c>
      <c r="O1563">
        <v>50.396407094384202</v>
      </c>
      <c r="P1563">
        <v>-8.5986705603236194E-2</v>
      </c>
      <c r="Q1563">
        <v>9.7199258556992692E-3</v>
      </c>
      <c r="R1563">
        <v>0.98205220158786999</v>
      </c>
      <c r="S1563" t="s">
        <v>8131</v>
      </c>
      <c r="T1563" t="s">
        <v>13134</v>
      </c>
      <c r="U1563" t="s">
        <v>13134</v>
      </c>
      <c r="V1563" t="s">
        <v>13134</v>
      </c>
      <c r="W1563" t="s">
        <v>14660</v>
      </c>
      <c r="X1563">
        <v>13</v>
      </c>
      <c r="Y1563" t="s">
        <v>21141</v>
      </c>
      <c r="Z1563" t="s">
        <v>27531</v>
      </c>
      <c r="AA1563">
        <v>0.4894738659747539</v>
      </c>
      <c r="AB1563" t="str">
        <f>HYPERLINK("Melting_Curves/meltCurve_O15270_SPTLC2.pdf", "Melting_Curves/meltCurve_O15270_SPTLC2.pdf")</f>
        <v>Melting_Curves/meltCurve_O15270_SPTLC2.pdf</v>
      </c>
    </row>
    <row r="1564" spans="1:28" x14ac:dyDescent="0.25">
      <c r="A1564" t="s">
        <v>1568</v>
      </c>
      <c r="B1564">
        <v>0.99472303558308395</v>
      </c>
      <c r="C1564">
        <v>0.86840538634389597</v>
      </c>
      <c r="D1564">
        <v>0.77645511652003196</v>
      </c>
      <c r="E1564">
        <v>0.62308791659073004</v>
      </c>
      <c r="F1564">
        <v>0.38876143616664399</v>
      </c>
      <c r="G1564">
        <v>0.12868522690395501</v>
      </c>
      <c r="H1564">
        <v>9.0411867443124294E-2</v>
      </c>
      <c r="I1564">
        <v>5.4251730964471799E-2</v>
      </c>
      <c r="J1564">
        <v>6.25825795797183E-2</v>
      </c>
      <c r="K1564">
        <v>5.5932911804116997E-2</v>
      </c>
      <c r="L1564">
        <v>603.68470596624695</v>
      </c>
      <c r="M1564">
        <v>12.642485191679899</v>
      </c>
      <c r="N1564">
        <v>47.773998512956098</v>
      </c>
      <c r="O1564">
        <v>46.6030222520858</v>
      </c>
      <c r="P1564">
        <v>-6.7622770656239006E-2</v>
      </c>
      <c r="Q1564">
        <v>3.10561406926979E-3</v>
      </c>
      <c r="R1564">
        <v>0.98938250826569296</v>
      </c>
      <c r="S1564" t="s">
        <v>8132</v>
      </c>
      <c r="T1564" t="s">
        <v>13134</v>
      </c>
      <c r="U1564" t="s">
        <v>13134</v>
      </c>
      <c r="V1564" t="s">
        <v>13134</v>
      </c>
      <c r="W1564" t="s">
        <v>14661</v>
      </c>
      <c r="X1564">
        <v>20</v>
      </c>
      <c r="Y1564" t="s">
        <v>21142</v>
      </c>
      <c r="Z1564" t="s">
        <v>27532</v>
      </c>
      <c r="AA1564">
        <v>0.38952466351730591</v>
      </c>
      <c r="AB1564" t="str">
        <f>HYPERLINK("Melting_Curves/meltCurve_O15294_3_OGT.pdf", "Melting_Curves/meltCurve_O15294_3_OGT.pdf")</f>
        <v>Melting_Curves/meltCurve_O15294_3_OGT.pdf</v>
      </c>
    </row>
    <row r="1565" spans="1:28" x14ac:dyDescent="0.25">
      <c r="A1565" t="s">
        <v>1569</v>
      </c>
      <c r="B1565">
        <v>0.99472303558308395</v>
      </c>
      <c r="C1565">
        <v>0.98757184310518598</v>
      </c>
      <c r="D1565">
        <v>0.97077567711119395</v>
      </c>
      <c r="E1565">
        <v>0.91400404252740797</v>
      </c>
      <c r="F1565">
        <v>0.66229828282304304</v>
      </c>
      <c r="G1565">
        <v>0.48379133117421103</v>
      </c>
      <c r="H1565">
        <v>0.24700500292945499</v>
      </c>
      <c r="I1565">
        <v>0.113132697761607</v>
      </c>
      <c r="J1565">
        <v>9.1880041406145002E-2</v>
      </c>
      <c r="K1565">
        <v>7.5878138812991797E-2</v>
      </c>
      <c r="L1565">
        <v>806.616527099412</v>
      </c>
      <c r="M1565">
        <v>15.2539434240428</v>
      </c>
      <c r="N1565">
        <v>53.0616697727149</v>
      </c>
      <c r="O1565">
        <v>51.995392723924397</v>
      </c>
      <c r="P1565">
        <v>-7.1475621090007505E-2</v>
      </c>
      <c r="Q1565">
        <v>2.5549955255319799E-2</v>
      </c>
      <c r="R1565">
        <v>0.99710597552768998</v>
      </c>
      <c r="S1565" t="s">
        <v>8133</v>
      </c>
      <c r="T1565" t="s">
        <v>13134</v>
      </c>
      <c r="U1565" t="s">
        <v>13134</v>
      </c>
      <c r="V1565" t="s">
        <v>13134</v>
      </c>
      <c r="W1565" t="s">
        <v>14662</v>
      </c>
      <c r="X1565">
        <v>14</v>
      </c>
      <c r="Y1565" t="s">
        <v>21143</v>
      </c>
      <c r="Z1565" t="s">
        <v>27533</v>
      </c>
      <c r="AA1565">
        <v>0.55860149198983555</v>
      </c>
      <c r="AB1565" t="str">
        <f>HYPERLINK("Melting_Curves/meltCurve_O15305_PMM2.pdf", "Melting_Curves/meltCurve_O15305_PMM2.pdf")</f>
        <v>Melting_Curves/meltCurve_O15305_PMM2.pdf</v>
      </c>
    </row>
    <row r="1566" spans="1:28" x14ac:dyDescent="0.25">
      <c r="A1566" t="s">
        <v>1570</v>
      </c>
      <c r="B1566">
        <v>0.99472303558308395</v>
      </c>
      <c r="C1566">
        <v>0.88311684380090405</v>
      </c>
      <c r="D1566">
        <v>1.02840408023677</v>
      </c>
      <c r="E1566">
        <v>0.92422925074866602</v>
      </c>
      <c r="F1566">
        <v>0.56625913502332703</v>
      </c>
      <c r="G1566">
        <v>0.50356720683862999</v>
      </c>
      <c r="H1566">
        <v>0.399310532311272</v>
      </c>
      <c r="I1566">
        <v>0.36053362651749898</v>
      </c>
      <c r="J1566">
        <v>0.44399697417947198</v>
      </c>
      <c r="K1566">
        <v>0.265527690350714</v>
      </c>
      <c r="L1566">
        <v>1304.66108621847</v>
      </c>
      <c r="M1566">
        <v>26.438780616212899</v>
      </c>
      <c r="N1566">
        <v>52.018914105953797</v>
      </c>
      <c r="O1566">
        <v>49.066781659820599</v>
      </c>
      <c r="P1566">
        <v>-8.4672071357236103E-2</v>
      </c>
      <c r="Q1566">
        <v>0.371447429911893</v>
      </c>
      <c r="R1566">
        <v>0.946740787740459</v>
      </c>
      <c r="S1566" t="s">
        <v>8134</v>
      </c>
      <c r="T1566" t="s">
        <v>13134</v>
      </c>
      <c r="U1566" t="s">
        <v>13134</v>
      </c>
      <c r="V1566" t="s">
        <v>13134</v>
      </c>
      <c r="W1566" t="s">
        <v>14663</v>
      </c>
      <c r="X1566">
        <v>16</v>
      </c>
      <c r="Y1566" t="s">
        <v>21144</v>
      </c>
      <c r="Z1566" t="s">
        <v>27534</v>
      </c>
      <c r="AA1566">
        <v>0.63502171355214243</v>
      </c>
      <c r="AB1566" t="str">
        <f>HYPERLINK("Melting_Curves/meltCurve_O15347_HMGB3.pdf", "Melting_Curves/meltCurve_O15347_HMGB3.pdf")</f>
        <v>Melting_Curves/meltCurve_O15347_HMGB3.pdf</v>
      </c>
    </row>
    <row r="1567" spans="1:28" x14ac:dyDescent="0.25">
      <c r="A1567" t="s">
        <v>1571</v>
      </c>
      <c r="B1567">
        <v>0.99472303558308395</v>
      </c>
      <c r="C1567">
        <v>0.917937475687435</v>
      </c>
      <c r="D1567">
        <v>1.03213396871472</v>
      </c>
      <c r="E1567">
        <v>0.71309990884441299</v>
      </c>
      <c r="F1567">
        <v>0.121333189097966</v>
      </c>
      <c r="G1567">
        <v>7.2583407584467394E-2</v>
      </c>
      <c r="H1567">
        <v>4.1952436382875199E-2</v>
      </c>
      <c r="I1567">
        <v>3.2947811056684199E-2</v>
      </c>
      <c r="J1567">
        <v>3.8829973963153602E-2</v>
      </c>
      <c r="K1567">
        <v>3.3666879085562103E-2</v>
      </c>
      <c r="L1567">
        <v>2152.88903322244</v>
      </c>
      <c r="M1567">
        <v>45.336801487654498</v>
      </c>
      <c r="N1567">
        <v>47.581496564925303</v>
      </c>
      <c r="O1567">
        <v>47.394448775693</v>
      </c>
      <c r="P1567">
        <v>-0.22880554907484599</v>
      </c>
      <c r="Q1567">
        <v>4.3240826133697799E-2</v>
      </c>
      <c r="R1567">
        <v>0.99496866699352204</v>
      </c>
      <c r="S1567" t="s">
        <v>8135</v>
      </c>
      <c r="T1567" t="s">
        <v>13134</v>
      </c>
      <c r="U1567" t="s">
        <v>13134</v>
      </c>
      <c r="V1567" t="s">
        <v>13134</v>
      </c>
      <c r="W1567" t="s">
        <v>14664</v>
      </c>
      <c r="X1567">
        <v>26</v>
      </c>
      <c r="Y1567" t="s">
        <v>21145</v>
      </c>
      <c r="Z1567" t="s">
        <v>27535</v>
      </c>
      <c r="AA1567">
        <v>0.38011856167940128</v>
      </c>
      <c r="AB1567" t="str">
        <f>HYPERLINK("Melting_Curves/meltCurve_O15355_PPM1G.pdf", "Melting_Curves/meltCurve_O15355_PPM1G.pdf")</f>
        <v>Melting_Curves/meltCurve_O15355_PPM1G.pdf</v>
      </c>
    </row>
    <row r="1568" spans="1:28" x14ac:dyDescent="0.25">
      <c r="A1568" t="s">
        <v>1572</v>
      </c>
      <c r="B1568">
        <v>0.99472303558308395</v>
      </c>
      <c r="C1568">
        <v>0.92725328697825304</v>
      </c>
      <c r="D1568">
        <v>0.82187445351455402</v>
      </c>
      <c r="E1568">
        <v>0.56554787639769</v>
      </c>
      <c r="F1568">
        <v>0.195898951485519</v>
      </c>
      <c r="G1568">
        <v>0.10721304619441201</v>
      </c>
      <c r="H1568">
        <v>6.3961020850045097E-2</v>
      </c>
      <c r="I1568">
        <v>4.6329517279028197E-2</v>
      </c>
      <c r="J1568">
        <v>4.7652391133762698E-2</v>
      </c>
      <c r="K1568">
        <v>4.7848090632035101E-2</v>
      </c>
      <c r="L1568">
        <v>889.968434925255</v>
      </c>
      <c r="M1568">
        <v>19.073323267989199</v>
      </c>
      <c r="N1568">
        <v>46.844946543736</v>
      </c>
      <c r="O1568">
        <v>46.1565236562938</v>
      </c>
      <c r="P1568">
        <v>-9.9572224543601401E-2</v>
      </c>
      <c r="Q1568">
        <v>3.6197576561418601E-2</v>
      </c>
      <c r="R1568">
        <v>0.99648845215099102</v>
      </c>
      <c r="S1568" t="s">
        <v>8136</v>
      </c>
      <c r="T1568" t="s">
        <v>13134</v>
      </c>
      <c r="U1568" t="s">
        <v>13134</v>
      </c>
      <c r="V1568" t="s">
        <v>13134</v>
      </c>
      <c r="W1568" t="s">
        <v>14665</v>
      </c>
      <c r="X1568">
        <v>19</v>
      </c>
      <c r="Y1568" t="s">
        <v>21146</v>
      </c>
      <c r="Z1568" t="s">
        <v>27536</v>
      </c>
      <c r="AA1568">
        <v>0.36039747550737389</v>
      </c>
      <c r="AB1568" t="str">
        <f>HYPERLINK("Melting_Curves/meltCurve_O15357_INPPL1.pdf", "Melting_Curves/meltCurve_O15357_INPPL1.pdf")</f>
        <v>Melting_Curves/meltCurve_O15357_INPPL1.pdf</v>
      </c>
    </row>
    <row r="1569" spans="1:28" x14ac:dyDescent="0.25">
      <c r="A1569" t="s">
        <v>1573</v>
      </c>
      <c r="B1569">
        <v>0.99472303558308395</v>
      </c>
      <c r="C1569">
        <v>0.85724982360836299</v>
      </c>
      <c r="D1569">
        <v>0.62715700409494801</v>
      </c>
      <c r="E1569">
        <v>0.41149704995971798</v>
      </c>
      <c r="F1569">
        <v>0.32341143312753101</v>
      </c>
      <c r="G1569">
        <v>0.14300591615677999</v>
      </c>
      <c r="H1569">
        <v>6.4541579880906197E-2</v>
      </c>
      <c r="I1569">
        <v>4.2881967644956297E-2</v>
      </c>
      <c r="J1569">
        <v>4.8041267933967902E-2</v>
      </c>
      <c r="K1569">
        <v>4.5433764741058098E-2</v>
      </c>
      <c r="L1569">
        <v>541.627399741776</v>
      </c>
      <c r="M1569">
        <v>11.9167556470021</v>
      </c>
      <c r="N1569">
        <v>45.560817290022001</v>
      </c>
      <c r="O1569">
        <v>44.227719738199298</v>
      </c>
      <c r="P1569">
        <v>-6.6422267010966499E-2</v>
      </c>
      <c r="Q1569">
        <v>1.4168727273477399E-2</v>
      </c>
      <c r="R1569">
        <v>0.99024423329220002</v>
      </c>
      <c r="S1569" t="s">
        <v>8137</v>
      </c>
      <c r="T1569" t="s">
        <v>13134</v>
      </c>
      <c r="U1569" t="s">
        <v>13134</v>
      </c>
      <c r="V1569" t="s">
        <v>13134</v>
      </c>
      <c r="W1569" t="s">
        <v>14666</v>
      </c>
      <c r="X1569">
        <v>5</v>
      </c>
      <c r="Y1569" t="s">
        <v>21147</v>
      </c>
      <c r="Z1569" t="s">
        <v>27537</v>
      </c>
      <c r="AA1569">
        <v>0.32728623414753288</v>
      </c>
      <c r="AB1569" t="str">
        <f>HYPERLINK("Melting_Curves/meltCurve_O15379_HDAC3.pdf", "Melting_Curves/meltCurve_O15379_HDAC3.pdf")</f>
        <v>Melting_Curves/meltCurve_O15379_HDAC3.pdf</v>
      </c>
    </row>
    <row r="1570" spans="1:28" x14ac:dyDescent="0.25">
      <c r="A1570" t="s">
        <v>1574</v>
      </c>
      <c r="B1570">
        <v>0.99472303558308395</v>
      </c>
      <c r="C1570">
        <v>1.56041478449613</v>
      </c>
      <c r="D1570">
        <v>1.2854891326250699</v>
      </c>
      <c r="E1570">
        <v>0.84067224717618805</v>
      </c>
      <c r="F1570">
        <v>1.0926772571858601</v>
      </c>
      <c r="G1570">
        <v>0.432171135765339</v>
      </c>
      <c r="H1570">
        <v>0.18184657788082101</v>
      </c>
      <c r="I1570">
        <v>0.123485603077501</v>
      </c>
      <c r="J1570">
        <v>0</v>
      </c>
      <c r="K1570">
        <v>3.7459100857531298E-2</v>
      </c>
      <c r="L1570">
        <v>6495.5346692991398</v>
      </c>
      <c r="M1570">
        <v>121.22743134440501</v>
      </c>
      <c r="N1570">
        <v>53.6645035417583</v>
      </c>
      <c r="O1570">
        <v>53.566816522936797</v>
      </c>
      <c r="P1570">
        <v>-0.51735313778192704</v>
      </c>
      <c r="Q1570">
        <v>8.5587829614630698E-2</v>
      </c>
      <c r="R1570">
        <v>0.84619360555114598</v>
      </c>
      <c r="S1570" t="s">
        <v>8138</v>
      </c>
      <c r="T1570" t="s">
        <v>13134</v>
      </c>
      <c r="U1570" t="s">
        <v>13134</v>
      </c>
      <c r="V1570" t="s">
        <v>13134</v>
      </c>
      <c r="W1570" t="s">
        <v>14667</v>
      </c>
      <c r="X1570">
        <v>2</v>
      </c>
      <c r="Y1570" t="s">
        <v>21148</v>
      </c>
      <c r="Z1570" t="s">
        <v>27538</v>
      </c>
      <c r="AA1570">
        <v>0.59136137093117047</v>
      </c>
      <c r="AB1570" t="str">
        <f>HYPERLINK("Melting_Curves/meltCurve_O15381_2_NVL.pdf", "Melting_Curves/meltCurve_O15381_2_NVL.pdf")</f>
        <v>Melting_Curves/meltCurve_O15381_2_NVL.pdf</v>
      </c>
    </row>
    <row r="1571" spans="1:28" x14ac:dyDescent="0.25">
      <c r="A1571" t="s">
        <v>1575</v>
      </c>
      <c r="B1571">
        <v>0.99472303558308395</v>
      </c>
      <c r="C1571">
        <v>0.97816497621194198</v>
      </c>
      <c r="D1571">
        <v>0.93855492507030702</v>
      </c>
      <c r="E1571">
        <v>0.80837471801069105</v>
      </c>
      <c r="F1571">
        <v>0.66472878428647697</v>
      </c>
      <c r="G1571">
        <v>0.482914158199308</v>
      </c>
      <c r="H1571">
        <v>0.39955194348309803</v>
      </c>
      <c r="I1571">
        <v>0.30997349076589398</v>
      </c>
      <c r="J1571">
        <v>0.25057914720723701</v>
      </c>
      <c r="K1571">
        <v>0.175296240720512</v>
      </c>
      <c r="L1571">
        <v>539.22348004403705</v>
      </c>
      <c r="M1571">
        <v>10.2392936389783</v>
      </c>
      <c r="N1571">
        <v>54.039845131842903</v>
      </c>
      <c r="O1571">
        <v>50.772070645781596</v>
      </c>
      <c r="P1571">
        <v>-4.4646081022261197E-2</v>
      </c>
      <c r="Q1571">
        <v>0.11487355189901099</v>
      </c>
      <c r="R1571">
        <v>0.99665540448784395</v>
      </c>
      <c r="S1571" t="s">
        <v>8139</v>
      </c>
      <c r="T1571" t="s">
        <v>13134</v>
      </c>
      <c r="U1571" t="s">
        <v>13134</v>
      </c>
      <c r="V1571" t="s">
        <v>13134</v>
      </c>
      <c r="W1571" t="s">
        <v>14668</v>
      </c>
      <c r="X1571">
        <v>13</v>
      </c>
      <c r="Y1571" t="s">
        <v>21149</v>
      </c>
      <c r="Z1571" t="s">
        <v>27539</v>
      </c>
      <c r="AA1571">
        <v>0.59797490436006717</v>
      </c>
      <c r="AB1571" t="str">
        <f>HYPERLINK("Melting_Curves/meltCurve_O15382_BCAT2.pdf", "Melting_Curves/meltCurve_O15382_BCAT2.pdf")</f>
        <v>Melting_Curves/meltCurve_O15382_BCAT2.pdf</v>
      </c>
    </row>
    <row r="1572" spans="1:28" x14ac:dyDescent="0.25">
      <c r="A1572" t="s">
        <v>1576</v>
      </c>
      <c r="B1572">
        <v>0.99472303558308395</v>
      </c>
      <c r="C1572">
        <v>0.937779760515426</v>
      </c>
      <c r="D1572">
        <v>0.85785008286352904</v>
      </c>
      <c r="E1572">
        <v>0.63349816451094998</v>
      </c>
      <c r="F1572">
        <v>0.45396905787692499</v>
      </c>
      <c r="G1572">
        <v>0.26571457959030897</v>
      </c>
      <c r="H1572">
        <v>0.245972102764526</v>
      </c>
      <c r="I1572">
        <v>0.123782784513164</v>
      </c>
      <c r="J1572">
        <v>0.12726920529795799</v>
      </c>
      <c r="K1572">
        <v>0.145384172871554</v>
      </c>
      <c r="L1572">
        <v>628.49848560585804</v>
      </c>
      <c r="M1572">
        <v>13.043417089848701</v>
      </c>
      <c r="N1572">
        <v>49.070253222974102</v>
      </c>
      <c r="O1572">
        <v>47.094695058718898</v>
      </c>
      <c r="P1572">
        <v>-6.19930608915168E-2</v>
      </c>
      <c r="Q1572">
        <v>0.10482499149626701</v>
      </c>
      <c r="R1572">
        <v>0.99559046575256804</v>
      </c>
      <c r="S1572" t="s">
        <v>8140</v>
      </c>
      <c r="T1572" t="s">
        <v>13134</v>
      </c>
      <c r="U1572" t="s">
        <v>13134</v>
      </c>
      <c r="V1572" t="s">
        <v>13134</v>
      </c>
      <c r="W1572" t="s">
        <v>14669</v>
      </c>
      <c r="X1572">
        <v>6</v>
      </c>
      <c r="Y1572" t="s">
        <v>21150</v>
      </c>
      <c r="Z1572" t="s">
        <v>27540</v>
      </c>
      <c r="AA1572">
        <v>0.46311863752480931</v>
      </c>
      <c r="AB1572" t="str">
        <f>HYPERLINK("Melting_Curves/meltCurve_O15391_YY2.pdf", "Melting_Curves/meltCurve_O15391_YY2.pdf")</f>
        <v>Melting_Curves/meltCurve_O15391_YY2.pdf</v>
      </c>
    </row>
    <row r="1573" spans="1:28" x14ac:dyDescent="0.25">
      <c r="A1573" t="s">
        <v>1577</v>
      </c>
      <c r="B1573">
        <v>0.99472303558308395</v>
      </c>
      <c r="C1573">
        <v>0.82190117271559004</v>
      </c>
      <c r="D1573">
        <v>0.74357384969877205</v>
      </c>
      <c r="E1573">
        <v>0.30512177909542898</v>
      </c>
      <c r="F1573">
        <v>0.112158315609409</v>
      </c>
      <c r="G1573">
        <v>6.9347328118993898E-2</v>
      </c>
      <c r="H1573">
        <v>4.4534936181138698E-2</v>
      </c>
      <c r="I1573">
        <v>3.9800178636525303E-2</v>
      </c>
      <c r="J1573">
        <v>4.87685878015265E-2</v>
      </c>
      <c r="K1573">
        <v>3.65582324665744E-2</v>
      </c>
      <c r="L1573">
        <v>868.97341520293105</v>
      </c>
      <c r="M1573">
        <v>19.484787514342202</v>
      </c>
      <c r="N1573">
        <v>44.753542851753501</v>
      </c>
      <c r="O1573">
        <v>44.135765868300403</v>
      </c>
      <c r="P1573">
        <v>-0.10674847757641</v>
      </c>
      <c r="Q1573">
        <v>3.2834465056908499E-2</v>
      </c>
      <c r="R1573">
        <v>0.99027684173421204</v>
      </c>
      <c r="S1573" t="s">
        <v>8141</v>
      </c>
      <c r="T1573" t="s">
        <v>13134</v>
      </c>
      <c r="U1573" t="s">
        <v>13134</v>
      </c>
      <c r="V1573" t="s">
        <v>13134</v>
      </c>
      <c r="W1573" t="s">
        <v>14670</v>
      </c>
      <c r="X1573">
        <v>15</v>
      </c>
      <c r="Y1573" t="s">
        <v>21151</v>
      </c>
      <c r="Z1573" t="s">
        <v>27541</v>
      </c>
      <c r="AA1573">
        <v>0.2912800412214045</v>
      </c>
      <c r="AB1573" t="str">
        <f>HYPERLINK("Melting_Curves/meltCurve_O15397_IPO8.pdf", "Melting_Curves/meltCurve_O15397_IPO8.pdf")</f>
        <v>Melting_Curves/meltCurve_O15397_IPO8.pdf</v>
      </c>
    </row>
    <row r="1574" spans="1:28" x14ac:dyDescent="0.25">
      <c r="A1574" t="s">
        <v>1578</v>
      </c>
      <c r="B1574">
        <v>0.99472303558308395</v>
      </c>
      <c r="C1574">
        <v>1.10128105036126</v>
      </c>
      <c r="D1574">
        <v>0.96861145788666003</v>
      </c>
      <c r="E1574">
        <v>0.965489155031933</v>
      </c>
      <c r="F1574">
        <v>0.73499758989547703</v>
      </c>
      <c r="G1574">
        <v>0.59577511963623297</v>
      </c>
      <c r="H1574">
        <v>0.43791784352808899</v>
      </c>
      <c r="I1574">
        <v>0.44896563106426401</v>
      </c>
      <c r="J1574">
        <v>0.50096422113613803</v>
      </c>
      <c r="K1574">
        <v>0.40815067100244601</v>
      </c>
      <c r="L1574">
        <v>1200.81939186963</v>
      </c>
      <c r="M1574">
        <v>23.6371245883293</v>
      </c>
      <c r="N1574">
        <v>55.886652697928199</v>
      </c>
      <c r="O1574">
        <v>50.442844545088498</v>
      </c>
      <c r="P1574">
        <v>-6.5395144897582996E-2</v>
      </c>
      <c r="Q1574">
        <v>0.44178302606054398</v>
      </c>
      <c r="R1574">
        <v>0.97052320683554705</v>
      </c>
      <c r="S1574" t="s">
        <v>8142</v>
      </c>
      <c r="T1574" t="s">
        <v>13134</v>
      </c>
      <c r="U1574" t="s">
        <v>13134</v>
      </c>
      <c r="V1574" t="s">
        <v>13134</v>
      </c>
      <c r="W1574" t="s">
        <v>14671</v>
      </c>
      <c r="X1574">
        <v>15</v>
      </c>
      <c r="Y1574" t="s">
        <v>21152</v>
      </c>
      <c r="Z1574" t="s">
        <v>27542</v>
      </c>
      <c r="AA1574">
        <v>0.70406005279313744</v>
      </c>
      <c r="AB1574" t="str">
        <f>HYPERLINK("Melting_Curves/meltCurve_O15400_2_STX7.pdf", "Melting_Curves/meltCurve_O15400_2_STX7.pdf")</f>
        <v>Melting_Curves/meltCurve_O15400_2_STX7.pdf</v>
      </c>
    </row>
    <row r="1575" spans="1:28" x14ac:dyDescent="0.25">
      <c r="A1575" t="s">
        <v>1579</v>
      </c>
      <c r="B1575">
        <v>0.99472303558308395</v>
      </c>
      <c r="C1575">
        <v>1.0065446764394701</v>
      </c>
      <c r="D1575">
        <v>0.86165533961734397</v>
      </c>
      <c r="E1575">
        <v>0.80083925814610502</v>
      </c>
      <c r="F1575">
        <v>0.64640214618950298</v>
      </c>
      <c r="G1575">
        <v>0.412339974954537</v>
      </c>
      <c r="H1575">
        <v>0.28745675490152001</v>
      </c>
      <c r="I1575">
        <v>0.19119285609704401</v>
      </c>
      <c r="J1575">
        <v>0.13363692724006701</v>
      </c>
      <c r="K1575">
        <v>0.103873103427091</v>
      </c>
      <c r="L1575">
        <v>569.62739894211995</v>
      </c>
      <c r="M1575">
        <v>10.8972930110049</v>
      </c>
      <c r="N1575">
        <v>52.456596188062001</v>
      </c>
      <c r="O1575">
        <v>50.604505401212499</v>
      </c>
      <c r="P1575">
        <v>-5.2843391313560903E-2</v>
      </c>
      <c r="Q1575">
        <v>1.8773352595072901E-2</v>
      </c>
      <c r="R1575">
        <v>0.99511772622252304</v>
      </c>
      <c r="S1575" t="s">
        <v>8143</v>
      </c>
      <c r="T1575" t="s">
        <v>13134</v>
      </c>
      <c r="U1575" t="s">
        <v>13134</v>
      </c>
      <c r="V1575" t="s">
        <v>13134</v>
      </c>
      <c r="W1575" t="s">
        <v>14672</v>
      </c>
      <c r="X1575">
        <v>15</v>
      </c>
      <c r="Y1575" t="s">
        <v>21153</v>
      </c>
      <c r="Z1575" t="s">
        <v>27543</v>
      </c>
      <c r="AA1575">
        <v>0.54236041482434283</v>
      </c>
      <c r="AB1575" t="str">
        <f>HYPERLINK("Melting_Curves/meltCurve_O15439_2_ABCC4.pdf", "Melting_Curves/meltCurve_O15439_2_ABCC4.pdf")</f>
        <v>Melting_Curves/meltCurve_O15439_2_ABCC4.pdf</v>
      </c>
    </row>
    <row r="1576" spans="1:28" x14ac:dyDescent="0.25">
      <c r="A1576" t="s">
        <v>1580</v>
      </c>
      <c r="B1576">
        <v>0.99472303558308395</v>
      </c>
      <c r="C1576">
        <v>1.0049436706031301</v>
      </c>
      <c r="D1576">
        <v>0.77538268522137599</v>
      </c>
      <c r="E1576">
        <v>0.62620570178357104</v>
      </c>
      <c r="F1576">
        <v>0.76971637372452695</v>
      </c>
      <c r="G1576">
        <v>0.92941966657001596</v>
      </c>
      <c r="H1576">
        <v>0.89915814164240504</v>
      </c>
      <c r="I1576">
        <v>0.90832114484738702</v>
      </c>
      <c r="J1576">
        <v>1.21387104450919</v>
      </c>
      <c r="K1576">
        <v>1.02399993719856</v>
      </c>
      <c r="L1576">
        <v>10284.0229098033</v>
      </c>
      <c r="M1576">
        <v>250</v>
      </c>
      <c r="O1576">
        <v>41.133458846545302</v>
      </c>
      <c r="P1576">
        <v>-0.16175808931060701</v>
      </c>
      <c r="Q1576">
        <v>0.89354128384812004</v>
      </c>
      <c r="R1576">
        <v>7.5664526860747594E-2</v>
      </c>
      <c r="S1576" t="s">
        <v>8144</v>
      </c>
      <c r="T1576" t="s">
        <v>13134</v>
      </c>
      <c r="U1576" t="s">
        <v>13134</v>
      </c>
      <c r="V1576" t="s">
        <v>13134</v>
      </c>
      <c r="W1576" t="s">
        <v>13682</v>
      </c>
      <c r="X1576">
        <v>11</v>
      </c>
      <c r="Y1576" t="s">
        <v>21154</v>
      </c>
      <c r="Z1576" t="s">
        <v>27544</v>
      </c>
      <c r="AA1576">
        <v>0.90822640297014667</v>
      </c>
      <c r="AB1576" t="str">
        <f>HYPERLINK("Melting_Curves/meltCurve_O15446_CD3EAP.pdf", "Melting_Curves/meltCurve_O15446_CD3EAP.pdf")</f>
        <v>Melting_Curves/meltCurve_O15446_CD3EAP.pdf</v>
      </c>
    </row>
    <row r="1577" spans="1:28" x14ac:dyDescent="0.25">
      <c r="A1577" t="s">
        <v>1581</v>
      </c>
      <c r="B1577">
        <v>0.99472303558308395</v>
      </c>
      <c r="C1577">
        <v>0.83299003463036903</v>
      </c>
      <c r="D1577">
        <v>0.97983214419301201</v>
      </c>
      <c r="E1577">
        <v>0.91244671727493698</v>
      </c>
      <c r="F1577">
        <v>0.91307034378166496</v>
      </c>
      <c r="G1577">
        <v>0.73676551026034198</v>
      </c>
      <c r="H1577">
        <v>0.33885967291034802</v>
      </c>
      <c r="I1577">
        <v>0.45341266278060799</v>
      </c>
      <c r="J1577">
        <v>0.430321092952757</v>
      </c>
      <c r="K1577">
        <v>0.29095032623342498</v>
      </c>
      <c r="L1577">
        <v>13466.599844002199</v>
      </c>
      <c r="M1577">
        <v>250</v>
      </c>
      <c r="N1577">
        <v>54.1727472146042</v>
      </c>
      <c r="O1577">
        <v>53.862952272193901</v>
      </c>
      <c r="P1577">
        <v>-0.72129133057346795</v>
      </c>
      <c r="Q1577">
        <v>0.37838591238698899</v>
      </c>
      <c r="R1577">
        <v>0.91331512921793501</v>
      </c>
      <c r="S1577" t="s">
        <v>8145</v>
      </c>
      <c r="T1577" t="s">
        <v>13134</v>
      </c>
      <c r="U1577" t="s">
        <v>13134</v>
      </c>
      <c r="V1577" t="s">
        <v>13134</v>
      </c>
      <c r="W1577" t="s">
        <v>14673</v>
      </c>
      <c r="X1577">
        <v>1</v>
      </c>
      <c r="Y1577" t="s">
        <v>21155</v>
      </c>
      <c r="Z1577" t="s">
        <v>27545</v>
      </c>
      <c r="AA1577">
        <v>0.72792439179813029</v>
      </c>
      <c r="AB1577" t="str">
        <f>HYPERLINK("Melting_Curves/meltCurve_O15453_NBR2.pdf", "Melting_Curves/meltCurve_O15453_NBR2.pdf")</f>
        <v>Melting_Curves/meltCurve_O15453_NBR2.pdf</v>
      </c>
    </row>
    <row r="1578" spans="1:28" x14ac:dyDescent="0.25">
      <c r="A1578" t="s">
        <v>1582</v>
      </c>
      <c r="B1578">
        <v>0.99472303558308395</v>
      </c>
      <c r="C1578">
        <v>0.91454086176010096</v>
      </c>
      <c r="D1578">
        <v>0.73276589946209403</v>
      </c>
      <c r="E1578">
        <v>0.53246693009361401</v>
      </c>
      <c r="F1578">
        <v>0.41260739006612601</v>
      </c>
      <c r="G1578">
        <v>0.10014656817311</v>
      </c>
      <c r="H1578">
        <v>5.5797784959364702E-2</v>
      </c>
      <c r="I1578">
        <v>4.1595737948854003E-2</v>
      </c>
      <c r="J1578">
        <v>4.7398794073509901E-2</v>
      </c>
      <c r="K1578">
        <v>4.7977176019844602E-2</v>
      </c>
      <c r="L1578">
        <v>599.09067204248697</v>
      </c>
      <c r="M1578">
        <v>12.7025087233162</v>
      </c>
      <c r="N1578">
        <v>47.1631768134</v>
      </c>
      <c r="O1578">
        <v>46.040109429691903</v>
      </c>
      <c r="P1578">
        <v>-6.8988564635989999E-2</v>
      </c>
      <c r="Q1578">
        <v>0</v>
      </c>
      <c r="R1578">
        <v>0.98558345060256003</v>
      </c>
      <c r="S1578" t="s">
        <v>8146</v>
      </c>
      <c r="T1578" t="s">
        <v>13134</v>
      </c>
      <c r="U1578" t="s">
        <v>13134</v>
      </c>
      <c r="V1578" t="s">
        <v>13134</v>
      </c>
      <c r="W1578" t="s">
        <v>14674</v>
      </c>
      <c r="X1578">
        <v>7</v>
      </c>
      <c r="Y1578" t="s">
        <v>21156</v>
      </c>
      <c r="Z1578" t="s">
        <v>27546</v>
      </c>
      <c r="AA1578">
        <v>0.36854217374802878</v>
      </c>
      <c r="AB1578" t="str">
        <f>HYPERLINK("Melting_Curves/meltCurve_O15460_2_P4HA2.pdf", "Melting_Curves/meltCurve_O15460_2_P4HA2.pdf")</f>
        <v>Melting_Curves/meltCurve_O15460_2_P4HA2.pdf</v>
      </c>
    </row>
    <row r="1579" spans="1:28" x14ac:dyDescent="0.25">
      <c r="A1579" t="s">
        <v>1583</v>
      </c>
      <c r="B1579">
        <v>0.99472303558308395</v>
      </c>
      <c r="C1579">
        <v>1.08221410169054</v>
      </c>
      <c r="D1579">
        <v>0.95230370224248495</v>
      </c>
      <c r="E1579">
        <v>0.46627139073870599</v>
      </c>
      <c r="F1579">
        <v>0.21261997229756499</v>
      </c>
      <c r="G1579">
        <v>6.9661588032754407E-2</v>
      </c>
      <c r="H1579">
        <v>4.1160479195501101E-2</v>
      </c>
      <c r="I1579">
        <v>5.48278253287941E-2</v>
      </c>
      <c r="J1579">
        <v>4.6953663518544998E-2</v>
      </c>
      <c r="K1579">
        <v>1.9198151536723902E-2</v>
      </c>
      <c r="L1579">
        <v>1319.61956602585</v>
      </c>
      <c r="M1579">
        <v>28.3950340525382</v>
      </c>
      <c r="N1579">
        <v>46.642534467020198</v>
      </c>
      <c r="O1579">
        <v>46.244933408493999</v>
      </c>
      <c r="P1579">
        <v>-0.14600382538609</v>
      </c>
      <c r="Q1579">
        <v>4.8864325237470002E-2</v>
      </c>
      <c r="R1579">
        <v>0.99095394178090501</v>
      </c>
      <c r="S1579" t="s">
        <v>8147</v>
      </c>
      <c r="T1579" t="s">
        <v>13134</v>
      </c>
      <c r="U1579" t="s">
        <v>13134</v>
      </c>
      <c r="V1579" t="s">
        <v>13134</v>
      </c>
      <c r="W1579" t="s">
        <v>14675</v>
      </c>
      <c r="X1579">
        <v>3</v>
      </c>
      <c r="Y1579" t="s">
        <v>21157</v>
      </c>
      <c r="Z1579" t="s">
        <v>27547</v>
      </c>
      <c r="AA1579">
        <v>0.35534131666516922</v>
      </c>
      <c r="AB1579" t="str">
        <f>HYPERLINK("Melting_Curves/meltCurve_O15479_MAGEB2.pdf", "Melting_Curves/meltCurve_O15479_MAGEB2.pdf")</f>
        <v>Melting_Curves/meltCurve_O15479_MAGEB2.pdf</v>
      </c>
    </row>
    <row r="1580" spans="1:28" x14ac:dyDescent="0.25">
      <c r="A1580" t="s">
        <v>1584</v>
      </c>
      <c r="B1580">
        <v>0.99472303558308395</v>
      </c>
      <c r="C1580">
        <v>1.02066454397077</v>
      </c>
      <c r="D1580">
        <v>1.0523134387601201</v>
      </c>
      <c r="E1580">
        <v>0.95659675130150501</v>
      </c>
      <c r="F1580">
        <v>0.71606438893292601</v>
      </c>
      <c r="G1580">
        <v>0.56422719402113597</v>
      </c>
      <c r="H1580">
        <v>0.30138945672638301</v>
      </c>
      <c r="I1580">
        <v>0.11727114023574201</v>
      </c>
      <c r="J1580">
        <v>0.11698380349588</v>
      </c>
      <c r="K1580">
        <v>8.9638694604697103E-2</v>
      </c>
      <c r="L1580">
        <v>892.20309341353197</v>
      </c>
      <c r="M1580">
        <v>16.575696532224899</v>
      </c>
      <c r="N1580">
        <v>54.110942493577298</v>
      </c>
      <c r="O1580">
        <v>53.060851783694602</v>
      </c>
      <c r="P1580">
        <v>-7.4838568037514805E-2</v>
      </c>
      <c r="Q1580">
        <v>4.1795410086939502E-2</v>
      </c>
      <c r="R1580">
        <v>0.99098483815892002</v>
      </c>
      <c r="S1580" t="s">
        <v>8148</v>
      </c>
      <c r="T1580" t="s">
        <v>13134</v>
      </c>
      <c r="U1580" t="s">
        <v>13134</v>
      </c>
      <c r="V1580" t="s">
        <v>13134</v>
      </c>
      <c r="W1580" t="s">
        <v>14676</v>
      </c>
      <c r="X1580">
        <v>12</v>
      </c>
      <c r="Y1580" t="s">
        <v>21158</v>
      </c>
      <c r="Z1580" t="s">
        <v>27548</v>
      </c>
      <c r="AA1580">
        <v>0.5937249084919427</v>
      </c>
      <c r="AB1580" t="str">
        <f>HYPERLINK("Melting_Curves/meltCurve_O15498_YKT6.pdf", "Melting_Curves/meltCurve_O15498_YKT6.pdf")</f>
        <v>Melting_Curves/meltCurve_O15498_YKT6.pdf</v>
      </c>
    </row>
    <row r="1581" spans="1:28" x14ac:dyDescent="0.25">
      <c r="A1581" t="s">
        <v>1585</v>
      </c>
      <c r="B1581">
        <v>0.99472303558308395</v>
      </c>
      <c r="C1581">
        <v>0.95493595447936197</v>
      </c>
      <c r="D1581">
        <v>0.86390708686943496</v>
      </c>
      <c r="E1581">
        <v>0.841027920035475</v>
      </c>
      <c r="F1581">
        <v>0.84409634968034097</v>
      </c>
      <c r="G1581">
        <v>0.52632480911076296</v>
      </c>
      <c r="H1581">
        <v>0.29872559432302798</v>
      </c>
      <c r="I1581">
        <v>0.25582109193219099</v>
      </c>
      <c r="J1581">
        <v>0.233931805455839</v>
      </c>
      <c r="K1581">
        <v>0.16476874567401401</v>
      </c>
      <c r="L1581">
        <v>727.47564242264104</v>
      </c>
      <c r="M1581">
        <v>13.619918497607401</v>
      </c>
      <c r="N1581">
        <v>54.466175949201599</v>
      </c>
      <c r="O1581">
        <v>52.3006376997104</v>
      </c>
      <c r="P1581">
        <v>-5.7573235716521398E-2</v>
      </c>
      <c r="Q1581">
        <v>0.115802832107621</v>
      </c>
      <c r="R1581">
        <v>0.96866181079521596</v>
      </c>
      <c r="S1581" t="s">
        <v>8149</v>
      </c>
      <c r="T1581" t="s">
        <v>13134</v>
      </c>
      <c r="U1581" t="s">
        <v>13134</v>
      </c>
      <c r="V1581" t="s">
        <v>13134</v>
      </c>
      <c r="W1581" t="s">
        <v>14677</v>
      </c>
      <c r="X1581">
        <v>6</v>
      </c>
      <c r="Y1581" t="s">
        <v>21159</v>
      </c>
      <c r="Z1581" t="s">
        <v>27549</v>
      </c>
      <c r="AA1581">
        <v>0.61593291042677956</v>
      </c>
      <c r="AB1581" t="str">
        <f>HYPERLINK("Melting_Curves/meltCurve_O15511_ARPC5.pdf", "Melting_Curves/meltCurve_O15511_ARPC5.pdf")</f>
        <v>Melting_Curves/meltCurve_O15511_ARPC5.pdf</v>
      </c>
    </row>
    <row r="1582" spans="1:28" x14ac:dyDescent="0.25">
      <c r="A1582" t="s">
        <v>1586</v>
      </c>
      <c r="B1582">
        <v>0.99472303558308395</v>
      </c>
      <c r="C1582">
        <v>0.82801786255331999</v>
      </c>
      <c r="D1582">
        <v>0.94090369109280103</v>
      </c>
      <c r="E1582">
        <v>0.81040368527365303</v>
      </c>
      <c r="F1582">
        <v>0.58306262353011196</v>
      </c>
      <c r="G1582">
        <v>0.56163151988668603</v>
      </c>
      <c r="H1582">
        <v>0.49426832493752798</v>
      </c>
      <c r="I1582">
        <v>0.55190050571085403</v>
      </c>
      <c r="J1582">
        <v>0.59414204121046299</v>
      </c>
      <c r="K1582">
        <v>0.21711692303212901</v>
      </c>
      <c r="L1582">
        <v>334.81953524645701</v>
      </c>
      <c r="M1582">
        <v>6.3465574272748997</v>
      </c>
      <c r="N1582">
        <v>58.626930491222602</v>
      </c>
      <c r="O1582">
        <v>48.246625686093303</v>
      </c>
      <c r="P1582">
        <v>-2.5218648368025301E-2</v>
      </c>
      <c r="Q1582">
        <v>0.23517477751867299</v>
      </c>
      <c r="R1582">
        <v>0.80413820331838404</v>
      </c>
      <c r="S1582" t="s">
        <v>8150</v>
      </c>
      <c r="T1582" t="s">
        <v>13134</v>
      </c>
      <c r="U1582" t="s">
        <v>13134</v>
      </c>
      <c r="V1582" t="s">
        <v>13134</v>
      </c>
      <c r="W1582" t="s">
        <v>14678</v>
      </c>
      <c r="X1582">
        <v>8</v>
      </c>
      <c r="Y1582" t="s">
        <v>21160</v>
      </c>
      <c r="Z1582" t="s">
        <v>27550</v>
      </c>
      <c r="AA1582">
        <v>0.65302598189605154</v>
      </c>
      <c r="AB1582" t="str">
        <f>HYPERLINK("Melting_Curves/meltCurve_O15514_POLR2D.pdf", "Melting_Curves/meltCurve_O15514_POLR2D.pdf")</f>
        <v>Melting_Curves/meltCurve_O15514_POLR2D.pdf</v>
      </c>
    </row>
    <row r="1583" spans="1:28" x14ac:dyDescent="0.25">
      <c r="A1583" t="s">
        <v>1587</v>
      </c>
      <c r="B1583">
        <v>0.99472303558308395</v>
      </c>
      <c r="C1583">
        <v>0.91813786951082299</v>
      </c>
      <c r="D1583">
        <v>1.03582203238028</v>
      </c>
      <c r="E1583">
        <v>0.899423205132448</v>
      </c>
      <c r="F1583">
        <v>0.69717092365524402</v>
      </c>
      <c r="G1583">
        <v>0.61115765361041896</v>
      </c>
      <c r="H1583">
        <v>0.495653709078066</v>
      </c>
      <c r="I1583">
        <v>0.53233036771569497</v>
      </c>
      <c r="J1583">
        <v>0.64983986405294702</v>
      </c>
      <c r="K1583">
        <v>0.482781877519327</v>
      </c>
      <c r="L1583">
        <v>1305.6514717090499</v>
      </c>
      <c r="M1583">
        <v>26.6481912936447</v>
      </c>
      <c r="O1583">
        <v>48.722455175951801</v>
      </c>
      <c r="P1583">
        <v>-6.2467458811492897E-2</v>
      </c>
      <c r="Q1583">
        <v>0.54315305575931205</v>
      </c>
      <c r="R1583">
        <v>0.930927862903425</v>
      </c>
      <c r="S1583" t="s">
        <v>8151</v>
      </c>
      <c r="T1583" t="s">
        <v>13134</v>
      </c>
      <c r="U1583" t="s">
        <v>13134</v>
      </c>
      <c r="V1583" t="s">
        <v>13134</v>
      </c>
      <c r="W1583" t="s">
        <v>14679</v>
      </c>
      <c r="X1583">
        <v>16</v>
      </c>
      <c r="Y1583" t="s">
        <v>21161</v>
      </c>
      <c r="Z1583" t="s">
        <v>27551</v>
      </c>
      <c r="AA1583">
        <v>0.72931318871987949</v>
      </c>
      <c r="AB1583" t="str">
        <f>HYPERLINK("Melting_Curves/meltCurve_O15541_RNF113A.pdf", "Melting_Curves/meltCurve_O15541_RNF113A.pdf")</f>
        <v>Melting_Curves/meltCurve_O15541_RNF113A.pdf</v>
      </c>
    </row>
    <row r="1584" spans="1:28" x14ac:dyDescent="0.25">
      <c r="A1584" t="s">
        <v>1588</v>
      </c>
      <c r="B1584">
        <v>0.99472303558308395</v>
      </c>
      <c r="C1584">
        <v>0.98094433397000902</v>
      </c>
      <c r="D1584">
        <v>1.0170670372550901</v>
      </c>
      <c r="E1584">
        <v>1.00215671041606</v>
      </c>
      <c r="F1584">
        <v>0.94534561964646202</v>
      </c>
      <c r="G1584">
        <v>0.705651089485965</v>
      </c>
      <c r="H1584">
        <v>0.343084585482553</v>
      </c>
      <c r="I1584">
        <v>9.88167131951522E-2</v>
      </c>
      <c r="J1584">
        <v>7.4411815934190897E-2</v>
      </c>
      <c r="K1584">
        <v>7.4711518262787102E-2</v>
      </c>
      <c r="L1584">
        <v>1484.3676540711299</v>
      </c>
      <c r="M1584">
        <v>26.750480632936</v>
      </c>
      <c r="N1584">
        <v>55.704437165456</v>
      </c>
      <c r="O1584">
        <v>55.182081556964299</v>
      </c>
      <c r="P1584">
        <v>-0.11524742209783199</v>
      </c>
      <c r="Q1584">
        <v>4.90599912560764E-2</v>
      </c>
      <c r="R1584">
        <v>0.99867069875802705</v>
      </c>
      <c r="S1584" t="s">
        <v>8152</v>
      </c>
      <c r="T1584" t="s">
        <v>13134</v>
      </c>
      <c r="U1584" t="s">
        <v>13134</v>
      </c>
      <c r="V1584" t="s">
        <v>13134</v>
      </c>
      <c r="W1584" t="s">
        <v>14680</v>
      </c>
      <c r="X1584">
        <v>45</v>
      </c>
      <c r="Y1584" t="s">
        <v>21162</v>
      </c>
      <c r="Z1584" t="s">
        <v>27552</v>
      </c>
      <c r="AA1584">
        <v>0.64232189921487814</v>
      </c>
      <c r="AB1584" t="str">
        <f>HYPERLINK("Melting_Curves/meltCurve_O43143_DHX15.pdf", "Melting_Curves/meltCurve_O43143_DHX15.pdf")</f>
        <v>Melting_Curves/meltCurve_O43143_DHX15.pdf</v>
      </c>
    </row>
    <row r="1585" spans="1:28" x14ac:dyDescent="0.25">
      <c r="A1585" t="s">
        <v>1589</v>
      </c>
      <c r="B1585">
        <v>0.99472303558308395</v>
      </c>
      <c r="C1585">
        <v>0.97382345636502399</v>
      </c>
      <c r="D1585">
        <v>0.89406007705120005</v>
      </c>
      <c r="E1585">
        <v>0.87193749721089098</v>
      </c>
      <c r="F1585">
        <v>0.76782295646198195</v>
      </c>
      <c r="G1585">
        <v>0.54791320578068803</v>
      </c>
      <c r="H1585">
        <v>0.334404224419735</v>
      </c>
      <c r="I1585">
        <v>0.152750143306255</v>
      </c>
      <c r="J1585">
        <v>9.0334577184418605E-2</v>
      </c>
      <c r="K1585">
        <v>9.0168222425704506E-2</v>
      </c>
      <c r="L1585">
        <v>720.66334666592695</v>
      </c>
      <c r="M1585">
        <v>13.284249018283701</v>
      </c>
      <c r="N1585">
        <v>54.249460840243799</v>
      </c>
      <c r="O1585">
        <v>53.064333247207003</v>
      </c>
      <c r="P1585">
        <v>-6.2595747961611006E-2</v>
      </c>
      <c r="Q1585">
        <v>0</v>
      </c>
      <c r="R1585">
        <v>0.99223981402770201</v>
      </c>
      <c r="S1585" t="s">
        <v>8153</v>
      </c>
      <c r="T1585" t="s">
        <v>13134</v>
      </c>
      <c r="U1585" t="s">
        <v>13134</v>
      </c>
      <c r="V1585" t="s">
        <v>13134</v>
      </c>
      <c r="W1585" t="s">
        <v>14681</v>
      </c>
      <c r="X1585">
        <v>18</v>
      </c>
      <c r="Y1585" t="s">
        <v>21163</v>
      </c>
      <c r="Z1585" t="s">
        <v>27553</v>
      </c>
      <c r="AA1585">
        <v>0.59167994609022923</v>
      </c>
      <c r="AB1585" t="str">
        <f>HYPERLINK("Melting_Curves/meltCurve_O43148_RNMT.pdf", "Melting_Curves/meltCurve_O43148_RNMT.pdf")</f>
        <v>Melting_Curves/meltCurve_O43148_RNMT.pdf</v>
      </c>
    </row>
    <row r="1586" spans="1:28" x14ac:dyDescent="0.25">
      <c r="A1586" t="s">
        <v>1590</v>
      </c>
      <c r="B1586">
        <v>0.99472303558308395</v>
      </c>
      <c r="C1586">
        <v>1.0559254436227901</v>
      </c>
      <c r="D1586">
        <v>0.65075724711352101</v>
      </c>
      <c r="E1586">
        <v>0.54563407815326403</v>
      </c>
      <c r="F1586">
        <v>0.134830884990399</v>
      </c>
      <c r="G1586">
        <v>9.3715498855792501E-2</v>
      </c>
      <c r="H1586">
        <v>2.3695935993386201E-2</v>
      </c>
      <c r="I1586">
        <v>0</v>
      </c>
      <c r="J1586">
        <v>0</v>
      </c>
      <c r="K1586">
        <v>0</v>
      </c>
      <c r="L1586">
        <v>800.92587470265198</v>
      </c>
      <c r="M1586">
        <v>17.379511796628002</v>
      </c>
      <c r="N1586">
        <v>46.0844791853091</v>
      </c>
      <c r="O1586">
        <v>45.487329072014703</v>
      </c>
      <c r="P1586">
        <v>-9.55238361641019E-2</v>
      </c>
      <c r="Q1586">
        <v>0</v>
      </c>
      <c r="R1586">
        <v>0.973573081133007</v>
      </c>
      <c r="S1586" t="s">
        <v>8154</v>
      </c>
      <c r="T1586" t="s">
        <v>13134</v>
      </c>
      <c r="U1586" t="s">
        <v>13134</v>
      </c>
      <c r="V1586" t="s">
        <v>13134</v>
      </c>
      <c r="W1586" t="s">
        <v>14682</v>
      </c>
      <c r="X1586">
        <v>4</v>
      </c>
      <c r="Y1586" t="s">
        <v>21164</v>
      </c>
      <c r="Z1586" t="s">
        <v>27554</v>
      </c>
      <c r="AA1586">
        <v>0.32012816041258563</v>
      </c>
      <c r="AB1586" t="str">
        <f>HYPERLINK("Melting_Curves/meltCurve_O43149_ZZEF1.pdf", "Melting_Curves/meltCurve_O43149_ZZEF1.pdf")</f>
        <v>Melting_Curves/meltCurve_O43149_ZZEF1.pdf</v>
      </c>
    </row>
    <row r="1587" spans="1:28" x14ac:dyDescent="0.25">
      <c r="A1587" t="s">
        <v>1591</v>
      </c>
      <c r="B1587">
        <v>0.99472303558308395</v>
      </c>
      <c r="C1587">
        <v>0.92936185952449901</v>
      </c>
      <c r="D1587">
        <v>0.83500915084717098</v>
      </c>
      <c r="E1587">
        <v>0.51504297100445795</v>
      </c>
      <c r="F1587">
        <v>0.24610564578584901</v>
      </c>
      <c r="G1587">
        <v>0.11129240501535299</v>
      </c>
      <c r="H1587">
        <v>6.7049783700717E-2</v>
      </c>
      <c r="I1587">
        <v>4.6124608032881598E-2</v>
      </c>
      <c r="J1587">
        <v>5.0387144760009099E-2</v>
      </c>
      <c r="K1587">
        <v>4.4233885320871899E-2</v>
      </c>
      <c r="L1587">
        <v>836.18292435909098</v>
      </c>
      <c r="M1587">
        <v>17.9507154098204</v>
      </c>
      <c r="N1587">
        <v>46.782694541476097</v>
      </c>
      <c r="O1587">
        <v>46.015585298694198</v>
      </c>
      <c r="P1587">
        <v>-9.39183499126377E-2</v>
      </c>
      <c r="Q1587">
        <v>3.7031737245514798E-2</v>
      </c>
      <c r="R1587">
        <v>0.99937781476502396</v>
      </c>
      <c r="S1587" t="s">
        <v>8155</v>
      </c>
      <c r="T1587" t="s">
        <v>13134</v>
      </c>
      <c r="U1587" t="s">
        <v>13134</v>
      </c>
      <c r="V1587" t="s">
        <v>13134</v>
      </c>
      <c r="W1587" t="s">
        <v>14683</v>
      </c>
      <c r="X1587">
        <v>16</v>
      </c>
      <c r="Y1587" t="s">
        <v>21165</v>
      </c>
      <c r="Z1587" t="s">
        <v>27555</v>
      </c>
      <c r="AA1587">
        <v>0.36018584698831879</v>
      </c>
      <c r="AB1587" t="str">
        <f>HYPERLINK("Melting_Curves/meltCurve_O43156_TTI1.pdf", "Melting_Curves/meltCurve_O43156_TTI1.pdf")</f>
        <v>Melting_Curves/meltCurve_O43156_TTI1.pdf</v>
      </c>
    </row>
    <row r="1588" spans="1:28" x14ac:dyDescent="0.25">
      <c r="A1588" t="s">
        <v>1592</v>
      </c>
      <c r="B1588">
        <v>0.99472303558308395</v>
      </c>
      <c r="C1588">
        <v>1.0751717513035199</v>
      </c>
      <c r="D1588">
        <v>0.91612298135492198</v>
      </c>
      <c r="E1588">
        <v>0.748677258745026</v>
      </c>
      <c r="F1588">
        <v>0.541905258528941</v>
      </c>
      <c r="G1588">
        <v>0.35448314173339102</v>
      </c>
      <c r="H1588">
        <v>0.29489840406485301</v>
      </c>
      <c r="I1588">
        <v>0.233267370250963</v>
      </c>
      <c r="J1588">
        <v>0.29353566740340198</v>
      </c>
      <c r="K1588">
        <v>0.23056665036714</v>
      </c>
      <c r="L1588">
        <v>863.35330255591305</v>
      </c>
      <c r="M1588">
        <v>17.723645132566599</v>
      </c>
      <c r="N1588">
        <v>50.598792108314299</v>
      </c>
      <c r="O1588">
        <v>48.104517321096999</v>
      </c>
      <c r="P1588">
        <v>-6.9840323442858496E-2</v>
      </c>
      <c r="Q1588">
        <v>0.241813103619818</v>
      </c>
      <c r="R1588">
        <v>0.98821300757966302</v>
      </c>
      <c r="S1588" t="s">
        <v>8156</v>
      </c>
      <c r="T1588" t="s">
        <v>13134</v>
      </c>
      <c r="U1588" t="s">
        <v>13134</v>
      </c>
      <c r="V1588" t="s">
        <v>13134</v>
      </c>
      <c r="W1588" t="s">
        <v>14684</v>
      </c>
      <c r="X1588">
        <v>4</v>
      </c>
      <c r="Y1588" t="s">
        <v>21166</v>
      </c>
      <c r="Z1588" t="s">
        <v>27556</v>
      </c>
      <c r="AA1588">
        <v>0.55021781542681159</v>
      </c>
      <c r="AB1588" t="str">
        <f>HYPERLINK("Melting_Curves/meltCurve_O43164_2_PJA2.pdf", "Melting_Curves/meltCurve_O43164_2_PJA2.pdf")</f>
        <v>Melting_Curves/meltCurve_O43164_2_PJA2.pdf</v>
      </c>
    </row>
    <row r="1589" spans="1:28" x14ac:dyDescent="0.25">
      <c r="A1589" t="s">
        <v>1593</v>
      </c>
      <c r="B1589">
        <v>0.99472303558308395</v>
      </c>
      <c r="C1589">
        <v>1.0089168656571099</v>
      </c>
      <c r="D1589">
        <v>0.80084303097019405</v>
      </c>
      <c r="E1589">
        <v>0.86107551477265598</v>
      </c>
      <c r="F1589">
        <v>0.52434955227498703</v>
      </c>
      <c r="G1589">
        <v>0.15824723844301</v>
      </c>
      <c r="H1589">
        <v>6.9721021574045305E-2</v>
      </c>
      <c r="I1589">
        <v>5.2337217024009099E-2</v>
      </c>
      <c r="J1589">
        <v>6.1730681625222598E-2</v>
      </c>
      <c r="K1589">
        <v>4.6719200974127503E-2</v>
      </c>
      <c r="L1589">
        <v>1083.2245155338501</v>
      </c>
      <c r="M1589">
        <v>21.672625503768899</v>
      </c>
      <c r="N1589">
        <v>50.130216743332703</v>
      </c>
      <c r="O1589">
        <v>49.561529230166002</v>
      </c>
      <c r="P1589">
        <v>-0.105914581811703</v>
      </c>
      <c r="Q1589">
        <v>3.1189859177839299E-2</v>
      </c>
      <c r="R1589">
        <v>0.97874332652172302</v>
      </c>
      <c r="S1589" t="s">
        <v>8157</v>
      </c>
      <c r="T1589" t="s">
        <v>13134</v>
      </c>
      <c r="U1589" t="s">
        <v>13134</v>
      </c>
      <c r="V1589" t="s">
        <v>13134</v>
      </c>
      <c r="W1589" t="s">
        <v>14685</v>
      </c>
      <c r="X1589">
        <v>17</v>
      </c>
      <c r="Y1589" t="s">
        <v>21167</v>
      </c>
      <c r="Z1589" t="s">
        <v>27557</v>
      </c>
      <c r="AA1589">
        <v>0.46145639298413182</v>
      </c>
      <c r="AB1589" t="str">
        <f>HYPERLINK("Melting_Curves/meltCurve_O43172_2_PRPF4.pdf", "Melting_Curves/meltCurve_O43172_2_PRPF4.pdf")</f>
        <v>Melting_Curves/meltCurve_O43172_2_PRPF4.pdf</v>
      </c>
    </row>
    <row r="1590" spans="1:28" x14ac:dyDescent="0.25">
      <c r="A1590" t="s">
        <v>1594</v>
      </c>
      <c r="B1590">
        <v>0.99472303558308395</v>
      </c>
      <c r="C1590">
        <v>0.97197536856503797</v>
      </c>
      <c r="D1590">
        <v>0.914345128669524</v>
      </c>
      <c r="E1590">
        <v>0.83259782296413598</v>
      </c>
      <c r="F1590">
        <v>0.83939035945529505</v>
      </c>
      <c r="G1590">
        <v>0.61863697976703502</v>
      </c>
      <c r="H1590">
        <v>0.36635210513652899</v>
      </c>
      <c r="I1590">
        <v>0.228053435487963</v>
      </c>
      <c r="J1590">
        <v>0.104020730024833</v>
      </c>
      <c r="K1590">
        <v>0.107847860335611</v>
      </c>
      <c r="L1590">
        <v>718.14778360991295</v>
      </c>
      <c r="M1590">
        <v>12.9890435231447</v>
      </c>
      <c r="N1590">
        <v>55.288734976442903</v>
      </c>
      <c r="O1590">
        <v>54.027464667530602</v>
      </c>
      <c r="P1590">
        <v>-6.0114544868278399E-2</v>
      </c>
      <c r="Q1590">
        <v>0</v>
      </c>
      <c r="R1590">
        <v>0.98552105470206997</v>
      </c>
      <c r="S1590" t="s">
        <v>8158</v>
      </c>
      <c r="T1590" t="s">
        <v>13134</v>
      </c>
      <c r="U1590" t="s">
        <v>13134</v>
      </c>
      <c r="V1590" t="s">
        <v>13134</v>
      </c>
      <c r="W1590" t="s">
        <v>14686</v>
      </c>
      <c r="X1590">
        <v>22</v>
      </c>
      <c r="Y1590" t="s">
        <v>21168</v>
      </c>
      <c r="Z1590" t="s">
        <v>27558</v>
      </c>
      <c r="AA1590">
        <v>0.62305905408341666</v>
      </c>
      <c r="AB1590" t="str">
        <f>HYPERLINK("Melting_Curves/meltCurve_O43175_PHGDH.pdf", "Melting_Curves/meltCurve_O43175_PHGDH.pdf")</f>
        <v>Melting_Curves/meltCurve_O43175_PHGDH.pdf</v>
      </c>
    </row>
    <row r="1591" spans="1:28" x14ac:dyDescent="0.25">
      <c r="A1591" t="s">
        <v>1595</v>
      </c>
      <c r="B1591">
        <v>0.99472303558308395</v>
      </c>
      <c r="C1591">
        <v>1.1197469067091299</v>
      </c>
      <c r="D1591">
        <v>0.84061853704394796</v>
      </c>
      <c r="E1591">
        <v>0.70598293753260799</v>
      </c>
      <c r="F1591">
        <v>0.59680931161860895</v>
      </c>
      <c r="G1591">
        <v>0.42536974369890401</v>
      </c>
      <c r="H1591">
        <v>0.25022003376026802</v>
      </c>
      <c r="I1591">
        <v>0.30009547833303002</v>
      </c>
      <c r="J1591">
        <v>0.33649879704452801</v>
      </c>
      <c r="K1591">
        <v>0.20898538671102301</v>
      </c>
      <c r="L1591">
        <v>683.50481349974098</v>
      </c>
      <c r="M1591">
        <v>13.9833578447329</v>
      </c>
      <c r="N1591">
        <v>51.268539855040302</v>
      </c>
      <c r="O1591">
        <v>47.912758741492397</v>
      </c>
      <c r="P1591">
        <v>-5.5505013026418901E-2</v>
      </c>
      <c r="Q1591">
        <v>0.239368722471616</v>
      </c>
      <c r="R1591">
        <v>0.95431483329371103</v>
      </c>
      <c r="S1591" t="s">
        <v>8159</v>
      </c>
      <c r="T1591" t="s">
        <v>13134</v>
      </c>
      <c r="U1591" t="s">
        <v>13134</v>
      </c>
      <c r="V1591" t="s">
        <v>13134</v>
      </c>
      <c r="W1591" t="s">
        <v>14687</v>
      </c>
      <c r="X1591">
        <v>1</v>
      </c>
      <c r="Y1591" t="s">
        <v>21169</v>
      </c>
      <c r="Z1591" t="s">
        <v>27559</v>
      </c>
      <c r="AA1591">
        <v>0.5588701919332465</v>
      </c>
      <c r="AB1591" t="str">
        <f>HYPERLINK("Melting_Curves/meltCurve_O43181_NDUFS4.pdf", "Melting_Curves/meltCurve_O43181_NDUFS4.pdf")</f>
        <v>Melting_Curves/meltCurve_O43181_NDUFS4.pdf</v>
      </c>
    </row>
    <row r="1592" spans="1:28" x14ac:dyDescent="0.25">
      <c r="A1592" t="s">
        <v>1596</v>
      </c>
      <c r="B1592">
        <v>0.99472303558308395</v>
      </c>
      <c r="C1592">
        <v>0.95508487650887697</v>
      </c>
      <c r="D1592">
        <v>0.86574386323504504</v>
      </c>
      <c r="E1592">
        <v>0.42766991404082999</v>
      </c>
      <c r="F1592">
        <v>0.16080494548423599</v>
      </c>
      <c r="G1592">
        <v>9.8738832291568199E-2</v>
      </c>
      <c r="H1592">
        <v>8.0237190692638793E-2</v>
      </c>
      <c r="I1592">
        <v>5.0188323926276798E-2</v>
      </c>
      <c r="J1592">
        <v>9.1935376028225907E-2</v>
      </c>
      <c r="K1592">
        <v>7.5349673931411204E-2</v>
      </c>
      <c r="L1592">
        <v>1195.5107002864399</v>
      </c>
      <c r="M1592">
        <v>26.1154870817148</v>
      </c>
      <c r="N1592">
        <v>46.061434889319202</v>
      </c>
      <c r="O1592">
        <v>45.511936012386201</v>
      </c>
      <c r="P1592">
        <v>-0.13280216545196299</v>
      </c>
      <c r="Q1592">
        <v>7.4263048648813099E-2</v>
      </c>
      <c r="R1592">
        <v>0.99877235510540996</v>
      </c>
      <c r="S1592" t="s">
        <v>8160</v>
      </c>
      <c r="T1592" t="s">
        <v>13134</v>
      </c>
      <c r="U1592" t="s">
        <v>13134</v>
      </c>
      <c r="V1592" t="s">
        <v>13134</v>
      </c>
      <c r="W1592" t="s">
        <v>14688</v>
      </c>
      <c r="X1592">
        <v>14</v>
      </c>
      <c r="Y1592" t="s">
        <v>21170</v>
      </c>
      <c r="Z1592" t="s">
        <v>27560</v>
      </c>
      <c r="AA1592">
        <v>0.35212208628576891</v>
      </c>
      <c r="AB1592" t="str">
        <f>HYPERLINK("Melting_Curves/meltCurve_O43182_4_ARHGAP6.pdf", "Melting_Curves/meltCurve_O43182_4_ARHGAP6.pdf")</f>
        <v>Melting_Curves/meltCurve_O43182_4_ARHGAP6.pdf</v>
      </c>
    </row>
    <row r="1593" spans="1:28" x14ac:dyDescent="0.25">
      <c r="A1593" t="s">
        <v>1597</v>
      </c>
      <c r="B1593">
        <v>0.99472303558308395</v>
      </c>
      <c r="C1593">
        <v>0.96719275540767802</v>
      </c>
      <c r="D1593">
        <v>0.97528713067550399</v>
      </c>
      <c r="E1593">
        <v>0.77551665286276505</v>
      </c>
      <c r="F1593">
        <v>0.20343551150786601</v>
      </c>
      <c r="G1593">
        <v>5.7395941812900697E-2</v>
      </c>
      <c r="H1593">
        <v>3.7435779897959202E-2</v>
      </c>
      <c r="I1593">
        <v>2.1628041809563601E-2</v>
      </c>
      <c r="J1593">
        <v>2.6431007555465E-2</v>
      </c>
      <c r="K1593">
        <v>2.34138292863241E-2</v>
      </c>
      <c r="L1593">
        <v>1734.16507851349</v>
      </c>
      <c r="M1593">
        <v>36.029073825760797</v>
      </c>
      <c r="N1593">
        <v>48.208636864307998</v>
      </c>
      <c r="O1593">
        <v>47.984840290477599</v>
      </c>
      <c r="P1593">
        <v>-0.18251036593580799</v>
      </c>
      <c r="Q1593">
        <v>2.77074956807935E-2</v>
      </c>
      <c r="R1593">
        <v>0.99924158513815697</v>
      </c>
      <c r="S1593" t="s">
        <v>8161</v>
      </c>
      <c r="T1593" t="s">
        <v>13134</v>
      </c>
      <c r="U1593" t="s">
        <v>13134</v>
      </c>
      <c r="V1593" t="s">
        <v>13134</v>
      </c>
      <c r="W1593" t="s">
        <v>14689</v>
      </c>
      <c r="X1593">
        <v>8</v>
      </c>
      <c r="Y1593" t="s">
        <v>21171</v>
      </c>
      <c r="Z1593" t="s">
        <v>27561</v>
      </c>
      <c r="AA1593">
        <v>0.39249873106907912</v>
      </c>
      <c r="AB1593" t="str">
        <f>HYPERLINK("Melting_Curves/meltCurve_O43237_DYNC1LI2.pdf", "Melting_Curves/meltCurve_O43237_DYNC1LI2.pdf")</f>
        <v>Melting_Curves/meltCurve_O43237_DYNC1LI2.pdf</v>
      </c>
    </row>
    <row r="1594" spans="1:28" x14ac:dyDescent="0.25">
      <c r="A1594" t="s">
        <v>1598</v>
      </c>
      <c r="B1594">
        <v>0.99472303558308395</v>
      </c>
      <c r="C1594">
        <v>0.96298195470796699</v>
      </c>
      <c r="D1594">
        <v>0.739859544053458</v>
      </c>
      <c r="E1594">
        <v>0.61773421751173296</v>
      </c>
      <c r="F1594">
        <v>0.54348115464368296</v>
      </c>
      <c r="G1594">
        <v>0.19977812228740199</v>
      </c>
      <c r="H1594">
        <v>8.2785943716503399E-2</v>
      </c>
      <c r="I1594">
        <v>4.9255734682411498E-2</v>
      </c>
      <c r="J1594">
        <v>5.6975358261482298E-2</v>
      </c>
      <c r="K1594">
        <v>4.5343885874670399E-2</v>
      </c>
      <c r="L1594">
        <v>581.56356394434601</v>
      </c>
      <c r="M1594">
        <v>11.935905497382601</v>
      </c>
      <c r="N1594">
        <v>48.723874730995803</v>
      </c>
      <c r="O1594">
        <v>47.416611814336399</v>
      </c>
      <c r="P1594">
        <v>-6.2946521912167999E-2</v>
      </c>
      <c r="Q1594">
        <v>0</v>
      </c>
      <c r="R1594">
        <v>0.97541018238603705</v>
      </c>
      <c r="S1594" t="s">
        <v>8162</v>
      </c>
      <c r="T1594" t="s">
        <v>13134</v>
      </c>
      <c r="U1594" t="s">
        <v>13134</v>
      </c>
      <c r="V1594" t="s">
        <v>13134</v>
      </c>
      <c r="W1594" t="s">
        <v>14690</v>
      </c>
      <c r="X1594">
        <v>36</v>
      </c>
      <c r="Y1594" t="s">
        <v>21172</v>
      </c>
      <c r="Z1594" t="s">
        <v>27562</v>
      </c>
      <c r="AA1594">
        <v>0.42118434237237928</v>
      </c>
      <c r="AB1594" t="str">
        <f>HYPERLINK("Melting_Curves/meltCurve_O43242_PSMD3.pdf", "Melting_Curves/meltCurve_O43242_PSMD3.pdf")</f>
        <v>Melting_Curves/meltCurve_O43242_PSMD3.pdf</v>
      </c>
    </row>
    <row r="1595" spans="1:28" x14ac:dyDescent="0.25">
      <c r="A1595" t="s">
        <v>1599</v>
      </c>
      <c r="B1595">
        <v>0.99472303558308395</v>
      </c>
      <c r="C1595">
        <v>1.00397433664591</v>
      </c>
      <c r="D1595">
        <v>0.94345245128080102</v>
      </c>
      <c r="E1595">
        <v>0.90131769857798405</v>
      </c>
      <c r="F1595">
        <v>0.81632832018670698</v>
      </c>
      <c r="G1595">
        <v>0.55375639419720302</v>
      </c>
      <c r="H1595">
        <v>0.124316484894314</v>
      </c>
      <c r="I1595">
        <v>5.2995397625587401E-2</v>
      </c>
      <c r="J1595">
        <v>4.5273795885241601E-2</v>
      </c>
      <c r="K1595">
        <v>4.48050296866934E-2</v>
      </c>
      <c r="L1595">
        <v>1272.2248229529901</v>
      </c>
      <c r="M1595">
        <v>23.6887386216846</v>
      </c>
      <c r="N1595">
        <v>53.7530204658771</v>
      </c>
      <c r="O1595">
        <v>53.327547560850803</v>
      </c>
      <c r="P1595">
        <v>-0.109913466256456</v>
      </c>
      <c r="Q1595">
        <v>1.0277598619766799E-2</v>
      </c>
      <c r="R1595">
        <v>0.98978647089345295</v>
      </c>
      <c r="S1595" t="s">
        <v>8163</v>
      </c>
      <c r="T1595" t="s">
        <v>13134</v>
      </c>
      <c r="U1595" t="s">
        <v>13134</v>
      </c>
      <c r="V1595" t="s">
        <v>13134</v>
      </c>
      <c r="W1595" t="s">
        <v>14691</v>
      </c>
      <c r="X1595">
        <v>16</v>
      </c>
      <c r="Y1595" t="s">
        <v>21173</v>
      </c>
      <c r="Z1595" t="s">
        <v>27563</v>
      </c>
      <c r="AA1595">
        <v>0.5708897153990804</v>
      </c>
      <c r="AB1595" t="str">
        <f>HYPERLINK("Melting_Curves/meltCurve_O43252_PAPSS1.pdf", "Melting_Curves/meltCurve_O43252_PAPSS1.pdf")</f>
        <v>Melting_Curves/meltCurve_O43252_PAPSS1.pdf</v>
      </c>
    </row>
    <row r="1596" spans="1:28" x14ac:dyDescent="0.25">
      <c r="A1596" t="s">
        <v>1600</v>
      </c>
      <c r="B1596">
        <v>0.99472303558308395</v>
      </c>
      <c r="C1596">
        <v>1.14910841828466</v>
      </c>
      <c r="D1596">
        <v>0.79526383425418601</v>
      </c>
      <c r="E1596">
        <v>0.71853544477281495</v>
      </c>
      <c r="F1596">
        <v>0.38162576857223302</v>
      </c>
      <c r="G1596">
        <v>0.179373578255035</v>
      </c>
      <c r="H1596">
        <v>9.8928847963533004E-2</v>
      </c>
      <c r="I1596">
        <v>9.3927050718351293E-2</v>
      </c>
      <c r="J1596">
        <v>7.3755874722808701E-2</v>
      </c>
      <c r="K1596">
        <v>6.71562618441673E-2</v>
      </c>
      <c r="L1596">
        <v>866.47638259932398</v>
      </c>
      <c r="M1596">
        <v>17.915510355035401</v>
      </c>
      <c r="N1596">
        <v>48.705763249099</v>
      </c>
      <c r="O1596">
        <v>47.7740814202363</v>
      </c>
      <c r="P1596">
        <v>-8.8227289945201404E-2</v>
      </c>
      <c r="Q1596">
        <v>5.8968263772884298E-2</v>
      </c>
      <c r="R1596">
        <v>0.97270334487843002</v>
      </c>
      <c r="S1596" t="s">
        <v>8164</v>
      </c>
      <c r="T1596" t="s">
        <v>13134</v>
      </c>
      <c r="U1596" t="s">
        <v>13134</v>
      </c>
      <c r="V1596" t="s">
        <v>13134</v>
      </c>
      <c r="W1596" t="s">
        <v>14692</v>
      </c>
      <c r="X1596">
        <v>1</v>
      </c>
      <c r="Y1596" t="s">
        <v>21174</v>
      </c>
      <c r="Z1596" t="s">
        <v>27564</v>
      </c>
      <c r="AA1596">
        <v>0.43059336222214972</v>
      </c>
      <c r="AB1596" t="str">
        <f>HYPERLINK("Melting_Curves/meltCurve_O43257_ZNHIT1.pdf", "Melting_Curves/meltCurve_O43257_ZNHIT1.pdf")</f>
        <v>Melting_Curves/meltCurve_O43257_ZNHIT1.pdf</v>
      </c>
    </row>
    <row r="1597" spans="1:28" x14ac:dyDescent="0.25">
      <c r="A1597" t="s">
        <v>1601</v>
      </c>
      <c r="B1597">
        <v>0.99472303558308395</v>
      </c>
      <c r="C1597">
        <v>0.77775272028516496</v>
      </c>
      <c r="D1597">
        <v>0.75403131296913795</v>
      </c>
      <c r="E1597">
        <v>0.46248541461578802</v>
      </c>
      <c r="F1597">
        <v>0.164900587619215</v>
      </c>
      <c r="G1597">
        <v>6.5679126898972207E-2</v>
      </c>
      <c r="H1597">
        <v>4.48681471719862E-2</v>
      </c>
      <c r="I1597">
        <v>3.4427881897444799E-2</v>
      </c>
      <c r="J1597">
        <v>3.9919420709978101E-2</v>
      </c>
      <c r="K1597">
        <v>3.9792506282982899E-2</v>
      </c>
      <c r="L1597">
        <v>670.44032511131002</v>
      </c>
      <c r="M1597">
        <v>14.7231863794925</v>
      </c>
      <c r="N1597">
        <v>45.580040983104098</v>
      </c>
      <c r="O1597">
        <v>44.721058200123302</v>
      </c>
      <c r="P1597">
        <v>-8.1737979848063497E-2</v>
      </c>
      <c r="Q1597">
        <v>7.0052354703194902E-3</v>
      </c>
      <c r="R1597">
        <v>0.98319572879231698</v>
      </c>
      <c r="S1597" t="s">
        <v>8165</v>
      </c>
      <c r="T1597" t="s">
        <v>13134</v>
      </c>
      <c r="U1597" t="s">
        <v>13134</v>
      </c>
      <c r="V1597" t="s">
        <v>13134</v>
      </c>
      <c r="W1597" t="s">
        <v>14693</v>
      </c>
      <c r="X1597">
        <v>13</v>
      </c>
      <c r="Y1597" t="s">
        <v>21175</v>
      </c>
      <c r="Z1597" t="s">
        <v>27565</v>
      </c>
      <c r="AA1597">
        <v>0.31361322047062767</v>
      </c>
      <c r="AB1597" t="str">
        <f>HYPERLINK("Melting_Curves/meltCurve_O43264_ZW10.pdf", "Melting_Curves/meltCurve_O43264_ZW10.pdf")</f>
        <v>Melting_Curves/meltCurve_O43264_ZW10.pdf</v>
      </c>
    </row>
    <row r="1598" spans="1:28" x14ac:dyDescent="0.25">
      <c r="A1598" t="s">
        <v>1602</v>
      </c>
      <c r="B1598">
        <v>0.99472303558308395</v>
      </c>
      <c r="C1598">
        <v>0.97802329384211295</v>
      </c>
      <c r="D1598">
        <v>1.0964141934559499</v>
      </c>
      <c r="E1598">
        <v>1.1366540074539899</v>
      </c>
      <c r="F1598">
        <v>0.92175447764039697</v>
      </c>
      <c r="G1598">
        <v>0.63333615296761403</v>
      </c>
      <c r="H1598">
        <v>0.46376755038990097</v>
      </c>
      <c r="I1598">
        <v>0.44490280336725102</v>
      </c>
      <c r="J1598">
        <v>0.62494999769318105</v>
      </c>
      <c r="K1598">
        <v>0.54349690880463497</v>
      </c>
      <c r="L1598">
        <v>2458.2149297677402</v>
      </c>
      <c r="M1598">
        <v>47.046146964461201</v>
      </c>
      <c r="O1598">
        <v>52.156996333907799</v>
      </c>
      <c r="P1598">
        <v>-0.108211974357347</v>
      </c>
      <c r="Q1598">
        <v>0.52013027124223798</v>
      </c>
      <c r="R1598">
        <v>0.92156498546253995</v>
      </c>
      <c r="S1598" t="s">
        <v>8166</v>
      </c>
      <c r="T1598" t="s">
        <v>13134</v>
      </c>
      <c r="U1598" t="s">
        <v>13134</v>
      </c>
      <c r="V1598" t="s">
        <v>13134</v>
      </c>
      <c r="W1598" t="s">
        <v>14694</v>
      </c>
      <c r="X1598">
        <v>43</v>
      </c>
      <c r="Y1598" t="s">
        <v>21176</v>
      </c>
      <c r="Z1598" t="s">
        <v>27566</v>
      </c>
      <c r="AA1598">
        <v>0.76533151433594804</v>
      </c>
      <c r="AB1598" t="str">
        <f>HYPERLINK("Melting_Curves/meltCurve_O43290_SART1.pdf", "Melting_Curves/meltCurve_O43290_SART1.pdf")</f>
        <v>Melting_Curves/meltCurve_O43290_SART1.pdf</v>
      </c>
    </row>
    <row r="1599" spans="1:28" x14ac:dyDescent="0.25">
      <c r="A1599" t="s">
        <v>1603</v>
      </c>
      <c r="B1599">
        <v>0.99472303558308395</v>
      </c>
      <c r="C1599">
        <v>0.99912280492209005</v>
      </c>
      <c r="D1599">
        <v>0.83002889026464399</v>
      </c>
      <c r="E1599">
        <v>0.62761398726400397</v>
      </c>
      <c r="F1599">
        <v>0.25237200212252803</v>
      </c>
      <c r="G1599">
        <v>0.103664886241625</v>
      </c>
      <c r="H1599">
        <v>5.13092744877248E-2</v>
      </c>
      <c r="I1599">
        <v>2.3852981678392102E-2</v>
      </c>
      <c r="J1599">
        <v>3.70716868334489E-2</v>
      </c>
      <c r="K1599">
        <v>3.2481721093766097E-2</v>
      </c>
      <c r="L1599">
        <v>908.74910005630795</v>
      </c>
      <c r="M1599">
        <v>19.166149056209001</v>
      </c>
      <c r="N1599">
        <v>47.511538064394102</v>
      </c>
      <c r="O1599">
        <v>46.9071583802668</v>
      </c>
      <c r="P1599">
        <v>-0.100188123705739</v>
      </c>
      <c r="Q1599">
        <v>1.92376793057151E-2</v>
      </c>
      <c r="R1599">
        <v>0.99677164292162801</v>
      </c>
      <c r="S1599" t="s">
        <v>8167</v>
      </c>
      <c r="T1599" t="s">
        <v>13134</v>
      </c>
      <c r="U1599" t="s">
        <v>13134</v>
      </c>
      <c r="V1599" t="s">
        <v>13134</v>
      </c>
      <c r="W1599" t="s">
        <v>14695</v>
      </c>
      <c r="X1599">
        <v>3</v>
      </c>
      <c r="Y1599" t="s">
        <v>21177</v>
      </c>
      <c r="Z1599" t="s">
        <v>27567</v>
      </c>
      <c r="AA1599">
        <v>0.37365574179831651</v>
      </c>
      <c r="AB1599" t="str">
        <f>HYPERLINK("Melting_Curves/meltCurve_O43293_DAPK3.pdf", "Melting_Curves/meltCurve_O43293_DAPK3.pdf")</f>
        <v>Melting_Curves/meltCurve_O43293_DAPK3.pdf</v>
      </c>
    </row>
    <row r="1600" spans="1:28" x14ac:dyDescent="0.25">
      <c r="A1600" t="s">
        <v>1604</v>
      </c>
      <c r="B1600">
        <v>0.99472303558308395</v>
      </c>
      <c r="C1600">
        <v>0.92661474667399302</v>
      </c>
      <c r="D1600">
        <v>0.80969317636541605</v>
      </c>
      <c r="E1600">
        <v>0.64028230980223499</v>
      </c>
      <c r="F1600">
        <v>0.66626384818833495</v>
      </c>
      <c r="G1600">
        <v>0.43829529663387901</v>
      </c>
      <c r="H1600">
        <v>0.22586998109373199</v>
      </c>
      <c r="I1600">
        <v>0.19466421489542199</v>
      </c>
      <c r="J1600">
        <v>0.22220614303515199</v>
      </c>
      <c r="K1600">
        <v>0.42737221308617401</v>
      </c>
      <c r="L1600">
        <v>535.96797576187396</v>
      </c>
      <c r="M1600">
        <v>11.0800674693822</v>
      </c>
      <c r="N1600">
        <v>51.096546477590202</v>
      </c>
      <c r="O1600">
        <v>46.876777246607297</v>
      </c>
      <c r="P1600">
        <v>-4.5926538955036803E-2</v>
      </c>
      <c r="Q1600">
        <v>0.22304372879444001</v>
      </c>
      <c r="R1600">
        <v>0.903932715977528</v>
      </c>
      <c r="S1600" t="s">
        <v>8168</v>
      </c>
      <c r="T1600" t="s">
        <v>13134</v>
      </c>
      <c r="U1600" t="s">
        <v>13134</v>
      </c>
      <c r="V1600" t="s">
        <v>13134</v>
      </c>
      <c r="W1600" t="s">
        <v>14696</v>
      </c>
      <c r="X1600">
        <v>3</v>
      </c>
      <c r="Y1600" t="s">
        <v>21178</v>
      </c>
      <c r="Z1600" t="s">
        <v>27568</v>
      </c>
      <c r="AA1600">
        <v>0.5441981369460005</v>
      </c>
      <c r="AB1600" t="str">
        <f>HYPERLINK("Melting_Curves/meltCurve_O43299_AP5Z1.pdf", "Melting_Curves/meltCurve_O43299_AP5Z1.pdf")</f>
        <v>Melting_Curves/meltCurve_O43299_AP5Z1.pdf</v>
      </c>
    </row>
    <row r="1601" spans="1:28" x14ac:dyDescent="0.25">
      <c r="A1601" t="s">
        <v>1605</v>
      </c>
      <c r="B1601">
        <v>0.99472303558308395</v>
      </c>
      <c r="C1601">
        <v>1.0771924917185101</v>
      </c>
      <c r="D1601">
        <v>0.95229099701568698</v>
      </c>
      <c r="E1601">
        <v>0.89723888430631604</v>
      </c>
      <c r="F1601">
        <v>0.59561441682495997</v>
      </c>
      <c r="G1601">
        <v>0.28180539940455901</v>
      </c>
      <c r="H1601">
        <v>0.10059932601765099</v>
      </c>
      <c r="I1601">
        <v>5.7972300394279502E-2</v>
      </c>
      <c r="J1601">
        <v>6.6392993120212795E-2</v>
      </c>
      <c r="K1601">
        <v>6.8852981198741794E-2</v>
      </c>
      <c r="L1601">
        <v>1144.3002354591599</v>
      </c>
      <c r="M1601">
        <v>22.478491447013301</v>
      </c>
      <c r="N1601">
        <v>51.144895885270103</v>
      </c>
      <c r="O1601">
        <v>50.508701147710397</v>
      </c>
      <c r="P1601">
        <v>-0.105728262745328</v>
      </c>
      <c r="Q1601">
        <v>4.9742793247328103E-2</v>
      </c>
      <c r="R1601">
        <v>0.99514062044862495</v>
      </c>
      <c r="S1601" t="s">
        <v>8169</v>
      </c>
      <c r="T1601" t="s">
        <v>13134</v>
      </c>
      <c r="U1601" t="s">
        <v>13134</v>
      </c>
      <c r="V1601" t="s">
        <v>13134</v>
      </c>
      <c r="W1601" t="s">
        <v>14697</v>
      </c>
      <c r="X1601">
        <v>3</v>
      </c>
      <c r="Y1601" t="s">
        <v>21179</v>
      </c>
      <c r="Z1601" t="s">
        <v>27569</v>
      </c>
      <c r="AA1601">
        <v>0.50040513427123012</v>
      </c>
      <c r="AB1601" t="str">
        <f>HYPERLINK("Melting_Curves/meltCurve_O43310_CTIF.pdf", "Melting_Curves/meltCurve_O43310_CTIF.pdf")</f>
        <v>Melting_Curves/meltCurve_O43310_CTIF.pdf</v>
      </c>
    </row>
    <row r="1602" spans="1:28" x14ac:dyDescent="0.25">
      <c r="A1602" t="s">
        <v>1606</v>
      </c>
      <c r="B1602">
        <v>0.99472303558308395</v>
      </c>
      <c r="C1602">
        <v>0.97177024323191097</v>
      </c>
      <c r="D1602">
        <v>0.89800766007799804</v>
      </c>
      <c r="E1602">
        <v>0.83858220818548601</v>
      </c>
      <c r="F1602">
        <v>0.694089518311231</v>
      </c>
      <c r="G1602">
        <v>0.42490664116624</v>
      </c>
      <c r="H1602">
        <v>0.119210635664875</v>
      </c>
      <c r="I1602">
        <v>6.4295683080048294E-2</v>
      </c>
      <c r="J1602">
        <v>6.05925647077575E-2</v>
      </c>
      <c r="K1602">
        <v>6.6020092488783794E-2</v>
      </c>
      <c r="L1602">
        <v>843.33533004793901</v>
      </c>
      <c r="M1602">
        <v>16.144471151400801</v>
      </c>
      <c r="N1602">
        <v>52.236788557524498</v>
      </c>
      <c r="O1602">
        <v>51.4550502370153</v>
      </c>
      <c r="P1602">
        <v>-7.8445621070879198E-2</v>
      </c>
      <c r="Q1602">
        <v>0</v>
      </c>
      <c r="R1602">
        <v>0.98856456472549803</v>
      </c>
      <c r="S1602" t="s">
        <v>8170</v>
      </c>
      <c r="T1602" t="s">
        <v>13134</v>
      </c>
      <c r="U1602" t="s">
        <v>13134</v>
      </c>
      <c r="V1602" t="s">
        <v>13134</v>
      </c>
      <c r="W1602" t="s">
        <v>14698</v>
      </c>
      <c r="X1602">
        <v>30</v>
      </c>
      <c r="Y1602" t="s">
        <v>20575</v>
      </c>
      <c r="Z1602" t="s">
        <v>27570</v>
      </c>
      <c r="AA1602">
        <v>0.5251983149946281</v>
      </c>
      <c r="AB1602" t="str">
        <f>HYPERLINK("Melting_Curves/meltCurve_O43314_2_PPIP5K2.pdf", "Melting_Curves/meltCurve_O43314_2_PPIP5K2.pdf")</f>
        <v>Melting_Curves/meltCurve_O43314_2_PPIP5K2.pdf</v>
      </c>
    </row>
    <row r="1603" spans="1:28" x14ac:dyDescent="0.25">
      <c r="A1603" t="s">
        <v>1607</v>
      </c>
      <c r="B1603">
        <v>0.99472303558308395</v>
      </c>
      <c r="C1603">
        <v>0.99631697422229604</v>
      </c>
      <c r="D1603">
        <v>0.84959886097760795</v>
      </c>
      <c r="E1603">
        <v>0.60212242896631096</v>
      </c>
      <c r="F1603">
        <v>0.16124182982052701</v>
      </c>
      <c r="G1603">
        <v>8.8557385452300796E-2</v>
      </c>
      <c r="H1603">
        <v>5.67862136658705E-2</v>
      </c>
      <c r="I1603">
        <v>4.1994074869032602E-2</v>
      </c>
      <c r="J1603">
        <v>5.8762349490893498E-2</v>
      </c>
      <c r="K1603">
        <v>4.37631266752972E-2</v>
      </c>
      <c r="L1603">
        <v>1137.78783008245</v>
      </c>
      <c r="M1603">
        <v>24.255190714462501</v>
      </c>
      <c r="N1603">
        <v>47.079507985998902</v>
      </c>
      <c r="O1603">
        <v>46.593673903965403</v>
      </c>
      <c r="P1603">
        <v>-0.12467305433790001</v>
      </c>
      <c r="Q1603">
        <v>4.2038032004676103E-2</v>
      </c>
      <c r="R1603">
        <v>0.99553078488515001</v>
      </c>
      <c r="S1603" t="s">
        <v>8171</v>
      </c>
      <c r="T1603" t="s">
        <v>13134</v>
      </c>
      <c r="U1603" t="s">
        <v>13134</v>
      </c>
      <c r="V1603" t="s">
        <v>13134</v>
      </c>
      <c r="W1603" t="s">
        <v>14699</v>
      </c>
      <c r="X1603">
        <v>13</v>
      </c>
      <c r="Y1603" t="s">
        <v>21180</v>
      </c>
      <c r="Z1603" t="s">
        <v>27571</v>
      </c>
      <c r="AA1603">
        <v>0.36699338139045118</v>
      </c>
      <c r="AB1603" t="str">
        <f>HYPERLINK("Melting_Curves/meltCurve_O43318_MAP3K7.pdf", "Melting_Curves/meltCurve_O43318_MAP3K7.pdf")</f>
        <v>Melting_Curves/meltCurve_O43318_MAP3K7.pdf</v>
      </c>
    </row>
    <row r="1604" spans="1:28" x14ac:dyDescent="0.25">
      <c r="A1604" t="s">
        <v>1608</v>
      </c>
      <c r="B1604">
        <v>0.99472303558308395</v>
      </c>
      <c r="C1604">
        <v>1.02371041386351</v>
      </c>
      <c r="D1604">
        <v>0.90892522332232595</v>
      </c>
      <c r="E1604">
        <v>0.90248936105925004</v>
      </c>
      <c r="F1604">
        <v>0.64883280696772205</v>
      </c>
      <c r="G1604">
        <v>0.428835187924409</v>
      </c>
      <c r="H1604">
        <v>0.198586225060258</v>
      </c>
      <c r="I1604">
        <v>0.26647400542808902</v>
      </c>
      <c r="J1604">
        <v>0.225386115200128</v>
      </c>
      <c r="K1604">
        <v>0.16869199975346899</v>
      </c>
      <c r="L1604">
        <v>983.69896235841702</v>
      </c>
      <c r="M1604">
        <v>19.2984020477613</v>
      </c>
      <c r="N1604">
        <v>52.228697142122797</v>
      </c>
      <c r="O1604">
        <v>50.435213827704303</v>
      </c>
      <c r="P1604">
        <v>-7.7907437703894203E-2</v>
      </c>
      <c r="Q1604">
        <v>0.18560490936486099</v>
      </c>
      <c r="R1604">
        <v>0.98680957720905604</v>
      </c>
      <c r="S1604" t="s">
        <v>8172</v>
      </c>
      <c r="T1604" t="s">
        <v>13134</v>
      </c>
      <c r="U1604" t="s">
        <v>13134</v>
      </c>
      <c r="V1604" t="s">
        <v>13134</v>
      </c>
      <c r="W1604" t="s">
        <v>14700</v>
      </c>
      <c r="X1604">
        <v>11</v>
      </c>
      <c r="Y1604" t="s">
        <v>21181</v>
      </c>
      <c r="Z1604" t="s">
        <v>27572</v>
      </c>
      <c r="AA1604">
        <v>0.57623734675041705</v>
      </c>
      <c r="AB1604" t="str">
        <f>HYPERLINK("Melting_Curves/meltCurve_O43353_RIPK2.pdf", "Melting_Curves/meltCurve_O43353_RIPK2.pdf")</f>
        <v>Melting_Curves/meltCurve_O43353_RIPK2.pdf</v>
      </c>
    </row>
    <row r="1605" spans="1:28" x14ac:dyDescent="0.25">
      <c r="A1605" t="s">
        <v>1609</v>
      </c>
      <c r="B1605">
        <v>0.99472303558308395</v>
      </c>
      <c r="C1605">
        <v>0.87906841010534598</v>
      </c>
      <c r="D1605">
        <v>0.65567949980652396</v>
      </c>
      <c r="E1605">
        <v>0.420185649923906</v>
      </c>
      <c r="F1605">
        <v>0.21477758462421201</v>
      </c>
      <c r="G1605">
        <v>0.11839551673648301</v>
      </c>
      <c r="H1605">
        <v>7.8077004198566793E-2</v>
      </c>
      <c r="I1605">
        <v>4.8341501068006297E-2</v>
      </c>
      <c r="J1605">
        <v>6.6809936343618898E-2</v>
      </c>
      <c r="K1605">
        <v>6.7759852824970601E-2</v>
      </c>
      <c r="L1605">
        <v>672.53515652903604</v>
      </c>
      <c r="M1605">
        <v>14.958936115674501</v>
      </c>
      <c r="N1605">
        <v>45.264047522869298</v>
      </c>
      <c r="O1605">
        <v>44.178238911856702</v>
      </c>
      <c r="P1605">
        <v>-8.0597126486055604E-2</v>
      </c>
      <c r="Q1605">
        <v>4.7986829431543802E-2</v>
      </c>
      <c r="R1605">
        <v>0.99785282723187196</v>
      </c>
      <c r="S1605" t="s">
        <v>8173</v>
      </c>
      <c r="T1605" t="s">
        <v>13134</v>
      </c>
      <c r="U1605" t="s">
        <v>13134</v>
      </c>
      <c r="V1605" t="s">
        <v>13134</v>
      </c>
      <c r="W1605" t="s">
        <v>14701</v>
      </c>
      <c r="X1605">
        <v>6</v>
      </c>
      <c r="Y1605" t="s">
        <v>21182</v>
      </c>
      <c r="Z1605" t="s">
        <v>27573</v>
      </c>
      <c r="AA1605">
        <v>0.32335180104521127</v>
      </c>
      <c r="AB1605" t="str">
        <f>HYPERLINK("Melting_Curves/meltCurve_O43379_WDR62.pdf", "Melting_Curves/meltCurve_O43379_WDR62.pdf")</f>
        <v>Melting_Curves/meltCurve_O43379_WDR62.pdf</v>
      </c>
    </row>
    <row r="1606" spans="1:28" x14ac:dyDescent="0.25">
      <c r="A1606" t="s">
        <v>1610</v>
      </c>
      <c r="B1606">
        <v>0.99472303558308395</v>
      </c>
      <c r="C1606">
        <v>0.88141189817830401</v>
      </c>
      <c r="D1606">
        <v>0.79745395367923799</v>
      </c>
      <c r="E1606">
        <v>0.61276308719466399</v>
      </c>
      <c r="F1606">
        <v>0.35860241774636498</v>
      </c>
      <c r="G1606">
        <v>0.166944904656639</v>
      </c>
      <c r="H1606">
        <v>0.103980473892198</v>
      </c>
      <c r="I1606">
        <v>8.1102166473592904E-2</v>
      </c>
      <c r="J1606">
        <v>8.05859084559752E-2</v>
      </c>
      <c r="K1606">
        <v>6.5086815395355102E-2</v>
      </c>
      <c r="L1606">
        <v>632.28471402396099</v>
      </c>
      <c r="M1606">
        <v>13.309989089894801</v>
      </c>
      <c r="N1606">
        <v>47.749076696939802</v>
      </c>
      <c r="O1606">
        <v>46.470602979950399</v>
      </c>
      <c r="P1606">
        <v>-6.9256247255412504E-2</v>
      </c>
      <c r="Q1606">
        <v>3.2948394940533199E-2</v>
      </c>
      <c r="R1606">
        <v>0.99532132170863197</v>
      </c>
      <c r="S1606" t="s">
        <v>8174</v>
      </c>
      <c r="T1606" t="s">
        <v>13134</v>
      </c>
      <c r="U1606" t="s">
        <v>13134</v>
      </c>
      <c r="V1606" t="s">
        <v>13134</v>
      </c>
      <c r="W1606" t="s">
        <v>14702</v>
      </c>
      <c r="X1606">
        <v>14</v>
      </c>
      <c r="Y1606" t="s">
        <v>21183</v>
      </c>
      <c r="Z1606" t="s">
        <v>27574</v>
      </c>
      <c r="AA1606">
        <v>0.39789689614586438</v>
      </c>
      <c r="AB1606" t="str">
        <f>HYPERLINK("Melting_Curves/meltCurve_O43390_HNRNPR.pdf", "Melting_Curves/meltCurve_O43390_HNRNPR.pdf")</f>
        <v>Melting_Curves/meltCurve_O43390_HNRNPR.pdf</v>
      </c>
    </row>
    <row r="1607" spans="1:28" x14ac:dyDescent="0.25">
      <c r="A1607" t="s">
        <v>1611</v>
      </c>
      <c r="B1607">
        <v>0.99472303558308395</v>
      </c>
      <c r="C1607">
        <v>0.98267416738712199</v>
      </c>
      <c r="D1607">
        <v>0.80805710406192399</v>
      </c>
      <c r="E1607">
        <v>0.672482008877336</v>
      </c>
      <c r="F1607">
        <v>0.278302727008993</v>
      </c>
      <c r="G1607">
        <v>0.122011303750526</v>
      </c>
      <c r="H1607">
        <v>9.0168604873495803E-2</v>
      </c>
      <c r="I1607">
        <v>7.8963051004223905E-2</v>
      </c>
      <c r="J1607">
        <v>7.94319764139471E-2</v>
      </c>
      <c r="K1607">
        <v>6.4957198444442504E-2</v>
      </c>
      <c r="L1607">
        <v>892.31417758697705</v>
      </c>
      <c r="M1607">
        <v>18.801312059141502</v>
      </c>
      <c r="N1607">
        <v>47.764319871829798</v>
      </c>
      <c r="O1607">
        <v>46.9330728811019</v>
      </c>
      <c r="P1607">
        <v>-9.4504112873391097E-2</v>
      </c>
      <c r="Q1607">
        <v>5.6409653735206497E-2</v>
      </c>
      <c r="R1607">
        <v>0.99204676251871104</v>
      </c>
      <c r="S1607" t="s">
        <v>8175</v>
      </c>
      <c r="T1607" t="s">
        <v>13134</v>
      </c>
      <c r="U1607" t="s">
        <v>13134</v>
      </c>
      <c r="V1607" t="s">
        <v>13134</v>
      </c>
      <c r="W1607" t="s">
        <v>14703</v>
      </c>
      <c r="X1607">
        <v>15</v>
      </c>
      <c r="Y1607" t="s">
        <v>21184</v>
      </c>
      <c r="Z1607" t="s">
        <v>27575</v>
      </c>
      <c r="AA1607">
        <v>0.39933974301483061</v>
      </c>
      <c r="AB1607" t="str">
        <f>HYPERLINK("Melting_Curves/meltCurve_O43395_PRPF3.pdf", "Melting_Curves/meltCurve_O43395_PRPF3.pdf")</f>
        <v>Melting_Curves/meltCurve_O43395_PRPF3.pdf</v>
      </c>
    </row>
    <row r="1608" spans="1:28" x14ac:dyDescent="0.25">
      <c r="A1608" t="s">
        <v>1612</v>
      </c>
      <c r="B1608">
        <v>0.99472303558308395</v>
      </c>
      <c r="C1608">
        <v>0.98213939175433396</v>
      </c>
      <c r="D1608">
        <v>0.94452811884937304</v>
      </c>
      <c r="E1608">
        <v>0.81350520722096997</v>
      </c>
      <c r="F1608">
        <v>0.419866115375717</v>
      </c>
      <c r="G1608">
        <v>0.11297336315435801</v>
      </c>
      <c r="H1608">
        <v>6.2375194653395902E-2</v>
      </c>
      <c r="I1608">
        <v>4.5730453361912303E-2</v>
      </c>
      <c r="J1608">
        <v>5.4696792315557699E-2</v>
      </c>
      <c r="K1608">
        <v>4.4492492194910901E-2</v>
      </c>
      <c r="L1608">
        <v>1249.13383138939</v>
      </c>
      <c r="M1608">
        <v>25.369384239434801</v>
      </c>
      <c r="N1608">
        <v>49.3956213492716</v>
      </c>
      <c r="O1608">
        <v>48.9349647795488</v>
      </c>
      <c r="P1608">
        <v>-0.12456521981140101</v>
      </c>
      <c r="Q1608">
        <v>3.8917557310200898E-2</v>
      </c>
      <c r="R1608">
        <v>0.99860548662700899</v>
      </c>
      <c r="S1608" t="s">
        <v>8176</v>
      </c>
      <c r="T1608" t="s">
        <v>13134</v>
      </c>
      <c r="U1608" t="s">
        <v>13134</v>
      </c>
      <c r="V1608" t="s">
        <v>13134</v>
      </c>
      <c r="W1608" t="s">
        <v>14704</v>
      </c>
      <c r="X1608">
        <v>17</v>
      </c>
      <c r="Y1608" t="s">
        <v>21185</v>
      </c>
      <c r="Z1608" t="s">
        <v>27576</v>
      </c>
      <c r="AA1608">
        <v>0.43906712678660759</v>
      </c>
      <c r="AB1608" t="str">
        <f>HYPERLINK("Melting_Curves/meltCurve_O43396_TXNL1.pdf", "Melting_Curves/meltCurve_O43396_TXNL1.pdf")</f>
        <v>Melting_Curves/meltCurve_O43396_TXNL1.pdf</v>
      </c>
    </row>
    <row r="1609" spans="1:28" x14ac:dyDescent="0.25">
      <c r="A1609" t="s">
        <v>1613</v>
      </c>
      <c r="B1609">
        <v>0.99472303558308395</v>
      </c>
      <c r="C1609">
        <v>0.96944291690300899</v>
      </c>
      <c r="D1609">
        <v>1.02050637824546</v>
      </c>
      <c r="E1609">
        <v>0.90844337909025696</v>
      </c>
      <c r="F1609">
        <v>0.69217424918517001</v>
      </c>
      <c r="G1609">
        <v>0.60801870124215196</v>
      </c>
      <c r="H1609">
        <v>0.54265518869738705</v>
      </c>
      <c r="I1609">
        <v>0.62691858985864102</v>
      </c>
      <c r="J1609">
        <v>0.84855574944291201</v>
      </c>
      <c r="K1609">
        <v>0.66479413125818199</v>
      </c>
      <c r="L1609">
        <v>2329.8127097790898</v>
      </c>
      <c r="M1609">
        <v>48.960007388686499</v>
      </c>
      <c r="O1609">
        <v>47.506849414722701</v>
      </c>
      <c r="P1609">
        <v>-8.7759620528792603E-2</v>
      </c>
      <c r="Q1609">
        <v>0.65938082772586104</v>
      </c>
      <c r="R1609">
        <v>0.811526508806935</v>
      </c>
      <c r="S1609" t="s">
        <v>8177</v>
      </c>
      <c r="T1609" t="s">
        <v>13134</v>
      </c>
      <c r="U1609" t="s">
        <v>13134</v>
      </c>
      <c r="V1609" t="s">
        <v>13134</v>
      </c>
      <c r="W1609" t="s">
        <v>14705</v>
      </c>
      <c r="X1609">
        <v>18</v>
      </c>
      <c r="Y1609" t="s">
        <v>21186</v>
      </c>
      <c r="Z1609" t="s">
        <v>27577</v>
      </c>
      <c r="AA1609">
        <v>0.78032023737927103</v>
      </c>
      <c r="AB1609" t="str">
        <f>HYPERLINK("Melting_Curves/meltCurve_O43399_TPD52L2.pdf", "Melting_Curves/meltCurve_O43399_TPD52L2.pdf")</f>
        <v>Melting_Curves/meltCurve_O43399_TPD52L2.pdf</v>
      </c>
    </row>
    <row r="1610" spans="1:28" x14ac:dyDescent="0.25">
      <c r="A1610" t="s">
        <v>1614</v>
      </c>
      <c r="B1610">
        <v>0.99472303558308395</v>
      </c>
      <c r="C1610">
        <v>0.887421288267358</v>
      </c>
      <c r="D1610">
        <v>0.80830876230233395</v>
      </c>
      <c r="E1610">
        <v>0.651132715806234</v>
      </c>
      <c r="F1610">
        <v>0.55227706754523598</v>
      </c>
      <c r="G1610">
        <v>0.26233039088903998</v>
      </c>
      <c r="H1610">
        <v>5.93322803512909E-2</v>
      </c>
      <c r="I1610">
        <v>3.3980665199426802E-2</v>
      </c>
      <c r="J1610">
        <v>2.85612757289916E-2</v>
      </c>
      <c r="K1610">
        <v>2.6488767358238598E-2</v>
      </c>
      <c r="L1610">
        <v>620.56963011726896</v>
      </c>
      <c r="M1610">
        <v>12.601792011077601</v>
      </c>
      <c r="N1610">
        <v>49.244541474258597</v>
      </c>
      <c r="O1610">
        <v>48.053854113237797</v>
      </c>
      <c r="P1610">
        <v>-6.5573848599155493E-2</v>
      </c>
      <c r="Q1610">
        <v>0</v>
      </c>
      <c r="R1610">
        <v>0.97850762156506699</v>
      </c>
      <c r="S1610" t="s">
        <v>8178</v>
      </c>
      <c r="T1610" t="s">
        <v>13134</v>
      </c>
      <c r="U1610" t="s">
        <v>13134</v>
      </c>
      <c r="V1610" t="s">
        <v>13134</v>
      </c>
      <c r="W1610" t="s">
        <v>14706</v>
      </c>
      <c r="X1610">
        <v>10</v>
      </c>
      <c r="Y1610" t="s">
        <v>21187</v>
      </c>
      <c r="Z1610" t="s">
        <v>27578</v>
      </c>
      <c r="AA1610">
        <v>0.43563731298129349</v>
      </c>
      <c r="AB1610" t="str">
        <f>HYPERLINK("Melting_Curves/meltCurve_O43402_EMC8.pdf", "Melting_Curves/meltCurve_O43402_EMC8.pdf")</f>
        <v>Melting_Curves/meltCurve_O43402_EMC8.pdf</v>
      </c>
    </row>
    <row r="1611" spans="1:28" x14ac:dyDescent="0.25">
      <c r="A1611" t="s">
        <v>1615</v>
      </c>
      <c r="B1611">
        <v>0.99472303558308395</v>
      </c>
      <c r="C1611">
        <v>1.2613847159552201</v>
      </c>
      <c r="D1611">
        <v>1.11087831100112</v>
      </c>
      <c r="E1611">
        <v>1.08791327903622</v>
      </c>
      <c r="F1611">
        <v>0.31594343210181502</v>
      </c>
      <c r="G1611">
        <v>0.192726387674791</v>
      </c>
      <c r="H1611">
        <v>0.139082618736734</v>
      </c>
      <c r="I1611">
        <v>0.112635466269975</v>
      </c>
      <c r="J1611">
        <v>0.155985552767858</v>
      </c>
      <c r="K1611">
        <v>0.129021517728234</v>
      </c>
      <c r="L1611">
        <v>12480.1251339504</v>
      </c>
      <c r="M1611">
        <v>250</v>
      </c>
      <c r="N1611">
        <v>49.9894855776664</v>
      </c>
      <c r="O1611">
        <v>49.917292990635502</v>
      </c>
      <c r="P1611">
        <v>-1.06940578932279</v>
      </c>
      <c r="Q1611">
        <v>0.14589030449072901</v>
      </c>
      <c r="R1611">
        <v>0.95780463754688505</v>
      </c>
      <c r="S1611" t="s">
        <v>8179</v>
      </c>
      <c r="T1611" t="s">
        <v>13134</v>
      </c>
      <c r="U1611" t="s">
        <v>13134</v>
      </c>
      <c r="V1611" t="s">
        <v>13134</v>
      </c>
      <c r="W1611" t="s">
        <v>14707</v>
      </c>
      <c r="X1611">
        <v>5</v>
      </c>
      <c r="Y1611" t="s">
        <v>21188</v>
      </c>
      <c r="Z1611" t="s">
        <v>27579</v>
      </c>
      <c r="AA1611">
        <v>0.5138159587349016</v>
      </c>
      <c r="AB1611" t="str">
        <f>HYPERLINK("Melting_Curves/meltCurve_O43422_PRKRIR.pdf", "Melting_Curves/meltCurve_O43422_PRKRIR.pdf")</f>
        <v>Melting_Curves/meltCurve_O43422_PRKRIR.pdf</v>
      </c>
    </row>
    <row r="1612" spans="1:28" x14ac:dyDescent="0.25">
      <c r="A1612" t="s">
        <v>1616</v>
      </c>
      <c r="B1612">
        <v>0.99472303558308395</v>
      </c>
      <c r="C1612">
        <v>0.95567846830185599</v>
      </c>
      <c r="D1612">
        <v>0.89000816822666995</v>
      </c>
      <c r="E1612">
        <v>0.58020672639438697</v>
      </c>
      <c r="F1612">
        <v>0.38446947158797201</v>
      </c>
      <c r="G1612">
        <v>0.24746587830889499</v>
      </c>
      <c r="H1612">
        <v>0.131492426612351</v>
      </c>
      <c r="I1612">
        <v>0.10573968599924199</v>
      </c>
      <c r="J1612">
        <v>0.16784028760263101</v>
      </c>
      <c r="K1612">
        <v>9.2445388415082694E-2</v>
      </c>
      <c r="L1612">
        <v>764.18341116461499</v>
      </c>
      <c r="M1612">
        <v>16.109470346290699</v>
      </c>
      <c r="N1612">
        <v>48.152198492509399</v>
      </c>
      <c r="O1612">
        <v>46.7239957089512</v>
      </c>
      <c r="P1612">
        <v>-7.7028591052832496E-2</v>
      </c>
      <c r="Q1612">
        <v>0.106411828407494</v>
      </c>
      <c r="R1612">
        <v>0.99391666711594595</v>
      </c>
      <c r="S1612" t="s">
        <v>8180</v>
      </c>
      <c r="T1612" t="s">
        <v>13134</v>
      </c>
      <c r="U1612" t="s">
        <v>13134</v>
      </c>
      <c r="V1612" t="s">
        <v>13134</v>
      </c>
      <c r="W1612" t="s">
        <v>14708</v>
      </c>
      <c r="X1612">
        <v>1</v>
      </c>
      <c r="Y1612" t="s">
        <v>21189</v>
      </c>
      <c r="Z1612" t="s">
        <v>27580</v>
      </c>
      <c r="AA1612">
        <v>0.43484512660845431</v>
      </c>
      <c r="AB1612" t="str">
        <f>HYPERLINK("Melting_Curves/meltCurve_O43435_3_TBX1.pdf", "Melting_Curves/meltCurve_O43435_3_TBX1.pdf")</f>
        <v>Melting_Curves/meltCurve_O43435_3_TBX1.pdf</v>
      </c>
    </row>
    <row r="1613" spans="1:28" x14ac:dyDescent="0.25">
      <c r="A1613" t="s">
        <v>1617</v>
      </c>
      <c r="B1613">
        <v>0.99472303558308395</v>
      </c>
      <c r="C1613">
        <v>0.96777151391776906</v>
      </c>
      <c r="D1613">
        <v>1.1021297678170301</v>
      </c>
      <c r="E1613">
        <v>0.93182791485982797</v>
      </c>
      <c r="F1613">
        <v>0.51289089826628698</v>
      </c>
      <c r="G1613">
        <v>0.19887834946197</v>
      </c>
      <c r="H1613">
        <v>8.0345234776916102E-2</v>
      </c>
      <c r="I1613">
        <v>5.3406256563492502E-2</v>
      </c>
      <c r="J1613">
        <v>6.2374275408090901E-2</v>
      </c>
      <c r="K1613">
        <v>5.3562833991663401E-2</v>
      </c>
      <c r="L1613">
        <v>1524.695083501</v>
      </c>
      <c r="M1613">
        <v>30.366923115588101</v>
      </c>
      <c r="N1613">
        <v>50.422712941064297</v>
      </c>
      <c r="O1613">
        <v>49.992828594219802</v>
      </c>
      <c r="P1613">
        <v>-0.14269034420468299</v>
      </c>
      <c r="Q1613">
        <v>6.03655421598467E-2</v>
      </c>
      <c r="R1613">
        <v>0.99238516195202997</v>
      </c>
      <c r="S1613" t="s">
        <v>8181</v>
      </c>
      <c r="T1613" t="s">
        <v>13134</v>
      </c>
      <c r="U1613" t="s">
        <v>13134</v>
      </c>
      <c r="V1613" t="s">
        <v>13134</v>
      </c>
      <c r="W1613" t="s">
        <v>14709</v>
      </c>
      <c r="X1613">
        <v>12</v>
      </c>
      <c r="Y1613" t="s">
        <v>21190</v>
      </c>
      <c r="Z1613" t="s">
        <v>27581</v>
      </c>
      <c r="AA1613">
        <v>0.47973664607253608</v>
      </c>
      <c r="AB1613" t="str">
        <f>HYPERLINK("Melting_Curves/meltCurve_O43447_PPIH.pdf", "Melting_Curves/meltCurve_O43447_PPIH.pdf")</f>
        <v>Melting_Curves/meltCurve_O43447_PPIH.pdf</v>
      </c>
    </row>
    <row r="1614" spans="1:28" x14ac:dyDescent="0.25">
      <c r="A1614" t="s">
        <v>1618</v>
      </c>
      <c r="B1614">
        <v>0.99472303558308395</v>
      </c>
      <c r="C1614">
        <v>1.20526465173431</v>
      </c>
      <c r="D1614">
        <v>0.96915121574429997</v>
      </c>
      <c r="E1614">
        <v>0.91837313429061396</v>
      </c>
      <c r="F1614">
        <v>0.84550418312428</v>
      </c>
      <c r="G1614">
        <v>0.63195470705824497</v>
      </c>
      <c r="H1614">
        <v>0.40343719084347901</v>
      </c>
      <c r="I1614">
        <v>0.44738991028363501</v>
      </c>
      <c r="J1614">
        <v>0.45888637194217802</v>
      </c>
      <c r="K1614">
        <v>0.30368038325829</v>
      </c>
      <c r="L1614">
        <v>1087.9254208258701</v>
      </c>
      <c r="M1614">
        <v>20.676889574947602</v>
      </c>
      <c r="N1614">
        <v>56.277732450170497</v>
      </c>
      <c r="O1614">
        <v>52.130800917445498</v>
      </c>
      <c r="P1614">
        <v>-6.2491760334623302E-2</v>
      </c>
      <c r="Q1614">
        <v>0.36979838709441698</v>
      </c>
      <c r="R1614">
        <v>0.92737709467652296</v>
      </c>
      <c r="S1614" t="s">
        <v>8182</v>
      </c>
      <c r="T1614" t="s">
        <v>13134</v>
      </c>
      <c r="U1614" t="s">
        <v>13134</v>
      </c>
      <c r="V1614" t="s">
        <v>13134</v>
      </c>
      <c r="W1614" t="s">
        <v>14710</v>
      </c>
      <c r="X1614">
        <v>8</v>
      </c>
      <c r="Y1614" t="s">
        <v>21191</v>
      </c>
      <c r="Z1614" t="s">
        <v>27582</v>
      </c>
      <c r="AA1614">
        <v>0.70546201803962016</v>
      </c>
      <c r="AB1614" t="str">
        <f>HYPERLINK("Melting_Curves/meltCurve_O43464_3_HTRA2.pdf", "Melting_Curves/meltCurve_O43464_3_HTRA2.pdf")</f>
        <v>Melting_Curves/meltCurve_O43464_3_HTRA2.pdf</v>
      </c>
    </row>
    <row r="1615" spans="1:28" x14ac:dyDescent="0.25">
      <c r="A1615" t="s">
        <v>1619</v>
      </c>
      <c r="B1615">
        <v>0.99472303558308395</v>
      </c>
      <c r="C1615">
        <v>1.0251715985769601</v>
      </c>
      <c r="D1615">
        <v>0.95328402203894702</v>
      </c>
      <c r="E1615">
        <v>0.83881475485762003</v>
      </c>
      <c r="F1615">
        <v>0.69985249173305997</v>
      </c>
      <c r="G1615">
        <v>0.30663206798322101</v>
      </c>
      <c r="H1615">
        <v>8.0540420990624598E-2</v>
      </c>
      <c r="I1615">
        <v>6.93991516690185E-2</v>
      </c>
      <c r="J1615">
        <v>3.7829239181389501E-2</v>
      </c>
      <c r="K1615">
        <v>4.9794407581241797E-2</v>
      </c>
      <c r="L1615">
        <v>1080.2982564101101</v>
      </c>
      <c r="M1615">
        <v>20.931184509378902</v>
      </c>
      <c r="N1615">
        <v>51.7130993905023</v>
      </c>
      <c r="O1615">
        <v>51.147731230410301</v>
      </c>
      <c r="P1615">
        <v>-0.100257293121468</v>
      </c>
      <c r="Q1615">
        <v>2.00662255605152E-2</v>
      </c>
      <c r="R1615">
        <v>0.99316541651333201</v>
      </c>
      <c r="S1615" t="s">
        <v>8183</v>
      </c>
      <c r="T1615" t="s">
        <v>13134</v>
      </c>
      <c r="U1615" t="s">
        <v>13134</v>
      </c>
      <c r="V1615" t="s">
        <v>13134</v>
      </c>
      <c r="W1615" t="s">
        <v>14711</v>
      </c>
      <c r="X1615">
        <v>5</v>
      </c>
      <c r="Y1615" t="s">
        <v>21192</v>
      </c>
      <c r="Z1615" t="s">
        <v>27583</v>
      </c>
      <c r="AA1615">
        <v>0.50918117207879454</v>
      </c>
      <c r="AB1615" t="str">
        <f>HYPERLINK("Melting_Curves/meltCurve_O43482_OIP5.pdf", "Melting_Curves/meltCurve_O43482_OIP5.pdf")</f>
        <v>Melting_Curves/meltCurve_O43482_OIP5.pdf</v>
      </c>
    </row>
    <row r="1616" spans="1:28" x14ac:dyDescent="0.25">
      <c r="A1616" t="s">
        <v>1620</v>
      </c>
      <c r="B1616">
        <v>0.99472303558308395</v>
      </c>
      <c r="C1616">
        <v>0.98969382788495797</v>
      </c>
      <c r="D1616">
        <v>1.0134193058349701</v>
      </c>
      <c r="E1616">
        <v>0.85296005565781996</v>
      </c>
      <c r="F1616">
        <v>0.54941292169716505</v>
      </c>
      <c r="G1616">
        <v>0.19651376548847299</v>
      </c>
      <c r="H1616">
        <v>8.1721462929257804E-2</v>
      </c>
      <c r="I1616">
        <v>6.4326506660811994E-2</v>
      </c>
      <c r="J1616">
        <v>6.9950775742747301E-2</v>
      </c>
      <c r="K1616">
        <v>5.4658506392904503E-2</v>
      </c>
      <c r="L1616">
        <v>1234.25847460926</v>
      </c>
      <c r="M1616">
        <v>24.563187562227998</v>
      </c>
      <c r="N1616">
        <v>50.471712591963097</v>
      </c>
      <c r="O1616">
        <v>49.918808942966699</v>
      </c>
      <c r="P1616">
        <v>-0.116680510421018</v>
      </c>
      <c r="Q1616">
        <v>5.1512670455364E-2</v>
      </c>
      <c r="R1616">
        <v>0.99861055631967599</v>
      </c>
      <c r="S1616" t="s">
        <v>8184</v>
      </c>
      <c r="T1616" t="s">
        <v>13134</v>
      </c>
      <c r="U1616" t="s">
        <v>13134</v>
      </c>
      <c r="V1616" t="s">
        <v>13134</v>
      </c>
      <c r="W1616" t="s">
        <v>14712</v>
      </c>
      <c r="X1616">
        <v>33</v>
      </c>
      <c r="Y1616" t="s">
        <v>21193</v>
      </c>
      <c r="Z1616" t="s">
        <v>27584</v>
      </c>
      <c r="AA1616">
        <v>0.47897175163053812</v>
      </c>
      <c r="AB1616" t="str">
        <f>HYPERLINK("Melting_Curves/meltCurve_O43491_EPB41L2.pdf", "Melting_Curves/meltCurve_O43491_EPB41L2.pdf")</f>
        <v>Melting_Curves/meltCurve_O43491_EPB41L2.pdf</v>
      </c>
    </row>
    <row r="1617" spans="1:28" x14ac:dyDescent="0.25">
      <c r="A1617" t="s">
        <v>1621</v>
      </c>
      <c r="B1617">
        <v>0.99472303558308395</v>
      </c>
      <c r="C1617">
        <v>1.0011139867179299</v>
      </c>
      <c r="D1617">
        <v>0.92459733839146496</v>
      </c>
      <c r="E1617">
        <v>0.81565463918421</v>
      </c>
      <c r="F1617">
        <v>0.56456454473539897</v>
      </c>
      <c r="G1617">
        <v>0.29879411440796499</v>
      </c>
      <c r="H1617">
        <v>9.5291746612608794E-2</v>
      </c>
      <c r="I1617">
        <v>4.43055323593365E-2</v>
      </c>
      <c r="J1617">
        <v>4.2692145811260601E-2</v>
      </c>
      <c r="K1617">
        <v>4.9210521051577701E-2</v>
      </c>
      <c r="L1617">
        <v>862.90897224189303</v>
      </c>
      <c r="M1617">
        <v>16.9943373969253</v>
      </c>
      <c r="N1617">
        <v>50.820894812910801</v>
      </c>
      <c r="O1617">
        <v>50.088820362384702</v>
      </c>
      <c r="P1617">
        <v>-8.4197988502594898E-2</v>
      </c>
      <c r="Q1617">
        <v>7.4064807107422801E-3</v>
      </c>
      <c r="R1617">
        <v>0.99763743308007702</v>
      </c>
      <c r="S1617" t="s">
        <v>8185</v>
      </c>
      <c r="T1617" t="s">
        <v>13134</v>
      </c>
      <c r="U1617" t="s">
        <v>13134</v>
      </c>
      <c r="V1617" t="s">
        <v>13134</v>
      </c>
      <c r="W1617" t="s">
        <v>14713</v>
      </c>
      <c r="X1617">
        <v>5</v>
      </c>
      <c r="Y1617" t="s">
        <v>21194</v>
      </c>
      <c r="Z1617" t="s">
        <v>27585</v>
      </c>
      <c r="AA1617">
        <v>0.48010210313630169</v>
      </c>
      <c r="AB1617" t="str">
        <f>HYPERLINK("Melting_Curves/meltCurve_O43502_RAD51C.pdf", "Melting_Curves/meltCurve_O43502_RAD51C.pdf")</f>
        <v>Melting_Curves/meltCurve_O43502_RAD51C.pdf</v>
      </c>
    </row>
    <row r="1618" spans="1:28" x14ac:dyDescent="0.25">
      <c r="A1618" t="s">
        <v>1622</v>
      </c>
      <c r="B1618">
        <v>0.99472303558308395</v>
      </c>
      <c r="C1618">
        <v>0.99992489196913503</v>
      </c>
      <c r="D1618">
        <v>0.92909771245936901</v>
      </c>
      <c r="E1618">
        <v>0.811134095050281</v>
      </c>
      <c r="F1618">
        <v>0.70087895539119704</v>
      </c>
      <c r="G1618">
        <v>0.463661273743181</v>
      </c>
      <c r="H1618">
        <v>0.40041109520610202</v>
      </c>
      <c r="I1618">
        <v>0.38544553524042502</v>
      </c>
      <c r="J1618">
        <v>0.56366218802359702</v>
      </c>
      <c r="K1618">
        <v>0.45539291805243698</v>
      </c>
      <c r="L1618">
        <v>964.62682254970002</v>
      </c>
      <c r="M1618">
        <v>19.838781381855899</v>
      </c>
      <c r="N1618">
        <v>54.409991985908498</v>
      </c>
      <c r="O1618">
        <v>48.137333019384101</v>
      </c>
      <c r="P1618">
        <v>-5.7764202200201099E-2</v>
      </c>
      <c r="Q1618">
        <v>0.439376617125042</v>
      </c>
      <c r="R1618">
        <v>0.94425179570668105</v>
      </c>
      <c r="S1618" t="s">
        <v>8186</v>
      </c>
      <c r="T1618" t="s">
        <v>13134</v>
      </c>
      <c r="U1618" t="s">
        <v>13134</v>
      </c>
      <c r="V1618" t="s">
        <v>13134</v>
      </c>
      <c r="W1618" t="s">
        <v>14714</v>
      </c>
      <c r="X1618">
        <v>4</v>
      </c>
      <c r="Y1618" t="s">
        <v>21195</v>
      </c>
      <c r="Z1618" t="s">
        <v>27586</v>
      </c>
      <c r="AA1618">
        <v>0.66407762878053311</v>
      </c>
      <c r="AB1618" t="str">
        <f>HYPERLINK("Melting_Curves/meltCurve_O43504_LAMTOR5.pdf", "Melting_Curves/meltCurve_O43504_LAMTOR5.pdf")</f>
        <v>Melting_Curves/meltCurve_O43504_LAMTOR5.pdf</v>
      </c>
    </row>
    <row r="1619" spans="1:28" x14ac:dyDescent="0.25">
      <c r="A1619" t="s">
        <v>1623</v>
      </c>
      <c r="B1619">
        <v>0.99472303558308395</v>
      </c>
      <c r="C1619">
        <v>1.3284833157045199</v>
      </c>
      <c r="D1619">
        <v>0.75624470280659695</v>
      </c>
      <c r="E1619">
        <v>6.2381943772969599</v>
      </c>
      <c r="F1619">
        <v>0.52287498204590999</v>
      </c>
      <c r="G1619">
        <v>7.1397888319569498</v>
      </c>
      <c r="H1619">
        <v>4.73987196931503E-2</v>
      </c>
      <c r="I1619">
        <v>12.018041718924099</v>
      </c>
      <c r="J1619">
        <v>2.65636893788555E-2</v>
      </c>
      <c r="K1619">
        <v>11.1008947896871</v>
      </c>
      <c r="L1619">
        <v>1528.18779188339</v>
      </c>
      <c r="M1619">
        <v>38.148894897287597</v>
      </c>
      <c r="O1619">
        <v>39.9489113823401</v>
      </c>
      <c r="P1619">
        <v>0.11936806269814999</v>
      </c>
      <c r="Q1619">
        <v>1.5</v>
      </c>
      <c r="R1619">
        <v>-0.31569928170292999</v>
      </c>
      <c r="S1619" t="s">
        <v>8187</v>
      </c>
      <c r="T1619" t="s">
        <v>13134</v>
      </c>
      <c r="U1619" t="s">
        <v>13134</v>
      </c>
      <c r="V1619" t="s">
        <v>13134</v>
      </c>
      <c r="W1619" t="s">
        <v>14715</v>
      </c>
      <c r="X1619">
        <v>2</v>
      </c>
      <c r="Y1619" t="s">
        <v>21196</v>
      </c>
      <c r="Z1619" t="s">
        <v>27587</v>
      </c>
      <c r="AA1619">
        <v>1.446905165639542</v>
      </c>
      <c r="AB1619" t="str">
        <f>HYPERLINK("Melting_Curves/meltCurve_O43513_MED7.pdf", "Melting_Curves/meltCurve_O43513_MED7.pdf")</f>
        <v>Melting_Curves/meltCurve_O43513_MED7.pdf</v>
      </c>
    </row>
    <row r="1620" spans="1:28" x14ac:dyDescent="0.25">
      <c r="A1620" t="s">
        <v>1624</v>
      </c>
      <c r="B1620">
        <v>0.99472303558308395</v>
      </c>
      <c r="C1620">
        <v>1.00719527384646</v>
      </c>
      <c r="D1620">
        <v>0.94101182297208996</v>
      </c>
      <c r="E1620">
        <v>0.79741972828927499</v>
      </c>
      <c r="F1620">
        <v>0.64829963729310802</v>
      </c>
      <c r="G1620">
        <v>0.464711294965657</v>
      </c>
      <c r="H1620">
        <v>0.36285164374234802</v>
      </c>
      <c r="I1620">
        <v>0.41134608067003797</v>
      </c>
      <c r="J1620">
        <v>0.58973515794944598</v>
      </c>
      <c r="K1620">
        <v>0.47681510415404299</v>
      </c>
      <c r="L1620">
        <v>1072.76049750283</v>
      </c>
      <c r="M1620">
        <v>22.380532729875998</v>
      </c>
      <c r="N1620">
        <v>53.713948010689002</v>
      </c>
      <c r="O1620">
        <v>47.555004912017303</v>
      </c>
      <c r="P1620">
        <v>-6.4119367463604499E-2</v>
      </c>
      <c r="Q1620">
        <v>0.45503851909998699</v>
      </c>
      <c r="R1620">
        <v>0.93574123053158098</v>
      </c>
      <c r="S1620" t="s">
        <v>8188</v>
      </c>
      <c r="T1620" t="s">
        <v>13134</v>
      </c>
      <c r="U1620" t="s">
        <v>13134</v>
      </c>
      <c r="V1620" t="s">
        <v>13134</v>
      </c>
      <c r="W1620" t="s">
        <v>14716</v>
      </c>
      <c r="X1620">
        <v>7</v>
      </c>
      <c r="Y1620" t="s">
        <v>21197</v>
      </c>
      <c r="Z1620" t="s">
        <v>27588</v>
      </c>
      <c r="AA1620">
        <v>0.65940257005961922</v>
      </c>
      <c r="AB1620" t="str">
        <f>HYPERLINK("Melting_Curves/meltCurve_O43516_WIPF1.pdf", "Melting_Curves/meltCurve_O43516_WIPF1.pdf")</f>
        <v>Melting_Curves/meltCurve_O43516_WIPF1.pdf</v>
      </c>
    </row>
    <row r="1621" spans="1:28" x14ac:dyDescent="0.25">
      <c r="A1621" t="s">
        <v>1625</v>
      </c>
      <c r="B1621">
        <v>0.99472303558308395</v>
      </c>
      <c r="C1621">
        <v>1.03062288225117</v>
      </c>
      <c r="D1621">
        <v>0.89176928643370101</v>
      </c>
      <c r="E1621">
        <v>0.59852534954765801</v>
      </c>
      <c r="F1621">
        <v>0.59864388599023899</v>
      </c>
      <c r="G1621">
        <v>0.33159995919593599</v>
      </c>
      <c r="H1621">
        <v>0.20359011524871601</v>
      </c>
      <c r="I1621">
        <v>0.22691525337121701</v>
      </c>
      <c r="J1621">
        <v>0.18790095619003599</v>
      </c>
      <c r="K1621">
        <v>0.137554400114859</v>
      </c>
      <c r="L1621">
        <v>618.20219949113402</v>
      </c>
      <c r="M1621">
        <v>12.596017465800999</v>
      </c>
      <c r="N1621">
        <v>50.261525384150502</v>
      </c>
      <c r="O1621">
        <v>47.891432838793698</v>
      </c>
      <c r="P1621">
        <v>-5.7333579824604998E-2</v>
      </c>
      <c r="Q1621">
        <v>0.12822002285767301</v>
      </c>
      <c r="R1621">
        <v>0.97269371388261805</v>
      </c>
      <c r="S1621" t="s">
        <v>8189</v>
      </c>
      <c r="T1621" t="s">
        <v>13134</v>
      </c>
      <c r="U1621" t="s">
        <v>13134</v>
      </c>
      <c r="V1621" t="s">
        <v>13134</v>
      </c>
      <c r="W1621" t="s">
        <v>14717</v>
      </c>
      <c r="X1621">
        <v>3</v>
      </c>
      <c r="Y1621" t="s">
        <v>21198</v>
      </c>
      <c r="Z1621" t="s">
        <v>27589</v>
      </c>
      <c r="AA1621">
        <v>0.50340591816707558</v>
      </c>
      <c r="AB1621" t="str">
        <f>HYPERLINK("Melting_Curves/meltCurve_O43521_6_BCL2L11.pdf", "Melting_Curves/meltCurve_O43521_6_BCL2L11.pdf")</f>
        <v>Melting_Curves/meltCurve_O43521_6_BCL2L11.pdf</v>
      </c>
    </row>
    <row r="1622" spans="1:28" x14ac:dyDescent="0.25">
      <c r="A1622" t="s">
        <v>1626</v>
      </c>
      <c r="B1622">
        <v>0.99472303558308395</v>
      </c>
      <c r="C1622">
        <v>0.98150100297239096</v>
      </c>
      <c r="D1622">
        <v>1.0218305005066599</v>
      </c>
      <c r="E1622">
        <v>0.96488373171980102</v>
      </c>
      <c r="F1622">
        <v>0.82432473970470099</v>
      </c>
      <c r="G1622">
        <v>0.685369124775834</v>
      </c>
      <c r="H1622">
        <v>0.61857577694926202</v>
      </c>
      <c r="I1622">
        <v>0.535111915859941</v>
      </c>
      <c r="J1622">
        <v>0.555674540483445</v>
      </c>
      <c r="K1622">
        <v>0.324685475536728</v>
      </c>
      <c r="L1622">
        <v>545.36887741972896</v>
      </c>
      <c r="M1622">
        <v>9.5574929747523694</v>
      </c>
      <c r="N1622">
        <v>61.917034314549703</v>
      </c>
      <c r="O1622">
        <v>54.731487921989299</v>
      </c>
      <c r="P1622">
        <v>-3.2163449561447802E-2</v>
      </c>
      <c r="Q1622">
        <v>0.26368290515853199</v>
      </c>
      <c r="R1622">
        <v>0.95299507307249298</v>
      </c>
      <c r="S1622" t="s">
        <v>8190</v>
      </c>
      <c r="T1622" t="s">
        <v>13134</v>
      </c>
      <c r="U1622" t="s">
        <v>13134</v>
      </c>
      <c r="V1622" t="s">
        <v>13134</v>
      </c>
      <c r="W1622" t="s">
        <v>14718</v>
      </c>
      <c r="X1622">
        <v>13</v>
      </c>
      <c r="Y1622" t="s">
        <v>21199</v>
      </c>
      <c r="Z1622" t="s">
        <v>27590</v>
      </c>
      <c r="AA1622">
        <v>0.75382293140074641</v>
      </c>
      <c r="AB1622" t="str">
        <f>HYPERLINK("Melting_Curves/meltCurve_O43583_DENR.pdf", "Melting_Curves/meltCurve_O43583_DENR.pdf")</f>
        <v>Melting_Curves/meltCurve_O43583_DENR.pdf</v>
      </c>
    </row>
    <row r="1623" spans="1:28" x14ac:dyDescent="0.25">
      <c r="A1623" t="s">
        <v>1627</v>
      </c>
      <c r="B1623">
        <v>0.99472303558308395</v>
      </c>
      <c r="C1623">
        <v>0.90956570579824203</v>
      </c>
      <c r="D1623">
        <v>0.86158329208184103</v>
      </c>
      <c r="E1623">
        <v>0.66006318268173103</v>
      </c>
      <c r="F1623">
        <v>0.26190914760373202</v>
      </c>
      <c r="G1623">
        <v>0.136238656979739</v>
      </c>
      <c r="H1623">
        <v>9.7790705502869099E-2</v>
      </c>
      <c r="I1623">
        <v>7.7945838092850106E-2</v>
      </c>
      <c r="J1623">
        <v>8.4744459186880505E-2</v>
      </c>
      <c r="K1623">
        <v>8.4443713023780703E-2</v>
      </c>
      <c r="L1623">
        <v>955.17194453905097</v>
      </c>
      <c r="M1623">
        <v>20.164311004126098</v>
      </c>
      <c r="N1623">
        <v>47.726823802043697</v>
      </c>
      <c r="O1623">
        <v>46.910921555102803</v>
      </c>
      <c r="P1623">
        <v>-9.9933535460459494E-2</v>
      </c>
      <c r="Q1623">
        <v>7.0074486622979298E-2</v>
      </c>
      <c r="R1623">
        <v>0.99291528106266302</v>
      </c>
      <c r="S1623" t="s">
        <v>8191</v>
      </c>
      <c r="T1623" t="s">
        <v>13134</v>
      </c>
      <c r="U1623" t="s">
        <v>13134</v>
      </c>
      <c r="V1623" t="s">
        <v>13134</v>
      </c>
      <c r="W1623" t="s">
        <v>14719</v>
      </c>
      <c r="X1623">
        <v>10</v>
      </c>
      <c r="Y1623" t="s">
        <v>21200</v>
      </c>
      <c r="Z1623" t="s">
        <v>27591</v>
      </c>
      <c r="AA1623">
        <v>0.40349915768990058</v>
      </c>
      <c r="AB1623" t="str">
        <f>HYPERLINK("Melting_Curves/meltCurve_O43592_XPOT.pdf", "Melting_Curves/meltCurve_O43592_XPOT.pdf")</f>
        <v>Melting_Curves/meltCurve_O43592_XPOT.pdf</v>
      </c>
    </row>
    <row r="1624" spans="1:28" x14ac:dyDescent="0.25">
      <c r="A1624" t="s">
        <v>1628</v>
      </c>
      <c r="B1624">
        <v>0.99472303558308395</v>
      </c>
      <c r="C1624">
        <v>0.87043309306642103</v>
      </c>
      <c r="D1624">
        <v>1.0957154341630699</v>
      </c>
      <c r="E1624">
        <v>1.0281828909960899</v>
      </c>
      <c r="F1624">
        <v>0.96552113558107</v>
      </c>
      <c r="G1624">
        <v>0.85672574286113201</v>
      </c>
      <c r="H1624">
        <v>0.239644031178849</v>
      </c>
      <c r="I1624">
        <v>0.71468458085030395</v>
      </c>
      <c r="J1624">
        <v>0.47934529979578799</v>
      </c>
      <c r="K1624">
        <v>0.26659844811573902</v>
      </c>
      <c r="L1624">
        <v>13509.3343195953</v>
      </c>
      <c r="M1624">
        <v>250</v>
      </c>
      <c r="N1624">
        <v>54.450741538025603</v>
      </c>
      <c r="O1624">
        <v>54.033859829124097</v>
      </c>
      <c r="P1624">
        <v>-0.66501324561670805</v>
      </c>
      <c r="Q1624">
        <v>0.42506807292909599</v>
      </c>
      <c r="R1624">
        <v>0.80587542618686603</v>
      </c>
      <c r="S1624" t="s">
        <v>8192</v>
      </c>
      <c r="T1624" t="s">
        <v>13134</v>
      </c>
      <c r="U1624" t="s">
        <v>13134</v>
      </c>
      <c r="V1624" t="s">
        <v>13134</v>
      </c>
      <c r="W1624" t="s">
        <v>14720</v>
      </c>
      <c r="X1624">
        <v>9</v>
      </c>
      <c r="Y1624" t="s">
        <v>20572</v>
      </c>
      <c r="Z1624" t="s">
        <v>27592</v>
      </c>
      <c r="AA1624">
        <v>0.75163290153837825</v>
      </c>
      <c r="AB1624" t="str">
        <f>HYPERLINK("Melting_Curves/meltCurve_O43598_DNPH1.pdf", "Melting_Curves/meltCurve_O43598_DNPH1.pdf")</f>
        <v>Melting_Curves/meltCurve_O43598_DNPH1.pdf</v>
      </c>
    </row>
    <row r="1625" spans="1:28" x14ac:dyDescent="0.25">
      <c r="A1625" t="s">
        <v>1629</v>
      </c>
      <c r="B1625">
        <v>0.99472303558308395</v>
      </c>
      <c r="C1625">
        <v>0.95347550935022696</v>
      </c>
      <c r="D1625">
        <v>1.0225870171870599</v>
      </c>
      <c r="E1625">
        <v>0.81867254660011601</v>
      </c>
      <c r="F1625">
        <v>0.37887590798533599</v>
      </c>
      <c r="G1625">
        <v>0.144195851564307</v>
      </c>
      <c r="H1625">
        <v>7.4995350976111999E-2</v>
      </c>
      <c r="I1625">
        <v>5.7068221500085503E-2</v>
      </c>
      <c r="J1625">
        <v>7.0293024395200798E-2</v>
      </c>
      <c r="K1625">
        <v>5.20116123200806E-2</v>
      </c>
      <c r="L1625">
        <v>1376.4094844113599</v>
      </c>
      <c r="M1625">
        <v>28.071600798548499</v>
      </c>
      <c r="N1625">
        <v>49.258240119037502</v>
      </c>
      <c r="O1625">
        <v>48.785308099296003</v>
      </c>
      <c r="P1625">
        <v>-0.13515693381305399</v>
      </c>
      <c r="Q1625">
        <v>6.0457595402676999E-2</v>
      </c>
      <c r="R1625">
        <v>0.99761779263861705</v>
      </c>
      <c r="S1625" t="s">
        <v>8193</v>
      </c>
      <c r="T1625" t="s">
        <v>13134</v>
      </c>
      <c r="U1625" t="s">
        <v>13134</v>
      </c>
      <c r="V1625" t="s">
        <v>13134</v>
      </c>
      <c r="W1625" t="s">
        <v>14721</v>
      </c>
      <c r="X1625">
        <v>31</v>
      </c>
      <c r="Y1625" t="s">
        <v>21201</v>
      </c>
      <c r="Z1625" t="s">
        <v>27593</v>
      </c>
      <c r="AA1625">
        <v>0.44374992002584362</v>
      </c>
      <c r="AB1625" t="str">
        <f>HYPERLINK("Melting_Curves/meltCurve_O43615_TIMM44.pdf", "Melting_Curves/meltCurve_O43615_TIMM44.pdf")</f>
        <v>Melting_Curves/meltCurve_O43615_TIMM44.pdf</v>
      </c>
    </row>
    <row r="1626" spans="1:28" x14ac:dyDescent="0.25">
      <c r="A1626" t="s">
        <v>1630</v>
      </c>
      <c r="B1626">
        <v>0.99472303558308395</v>
      </c>
      <c r="C1626">
        <v>0.96141813613999805</v>
      </c>
      <c r="D1626">
        <v>0.92762827207412302</v>
      </c>
      <c r="E1626">
        <v>0.81859589519789799</v>
      </c>
      <c r="F1626">
        <v>0.62790789836166505</v>
      </c>
      <c r="G1626">
        <v>0.41076315745258601</v>
      </c>
      <c r="H1626">
        <v>0.17634035933376199</v>
      </c>
      <c r="I1626">
        <v>0.10285485837740201</v>
      </c>
      <c r="J1626">
        <v>0.112079715734111</v>
      </c>
      <c r="K1626">
        <v>9.8436605673889899E-2</v>
      </c>
      <c r="L1626">
        <v>747.11786432050803</v>
      </c>
      <c r="M1626">
        <v>14.492512201862899</v>
      </c>
      <c r="N1626">
        <v>51.860637742598499</v>
      </c>
      <c r="O1626">
        <v>50.6002689059058</v>
      </c>
      <c r="P1626">
        <v>-6.8652372330301997E-2</v>
      </c>
      <c r="Q1626">
        <v>4.13181876643096E-2</v>
      </c>
      <c r="R1626">
        <v>0.995424535867794</v>
      </c>
      <c r="S1626" t="s">
        <v>8194</v>
      </c>
      <c r="T1626" t="s">
        <v>13134</v>
      </c>
      <c r="U1626" t="s">
        <v>13134</v>
      </c>
      <c r="V1626" t="s">
        <v>13134</v>
      </c>
      <c r="W1626" t="s">
        <v>14722</v>
      </c>
      <c r="X1626">
        <v>10</v>
      </c>
      <c r="Y1626" t="s">
        <v>21202</v>
      </c>
      <c r="Z1626" t="s">
        <v>27594</v>
      </c>
      <c r="AA1626">
        <v>0.52593849050016883</v>
      </c>
      <c r="AB1626" t="str">
        <f>HYPERLINK("Melting_Curves/meltCurve_O43617_TRAPPC3.pdf", "Melting_Curves/meltCurve_O43617_TRAPPC3.pdf")</f>
        <v>Melting_Curves/meltCurve_O43617_TRAPPC3.pdf</v>
      </c>
    </row>
    <row r="1627" spans="1:28" x14ac:dyDescent="0.25">
      <c r="A1627" t="s">
        <v>1631</v>
      </c>
      <c r="B1627">
        <v>0.99472303558308395</v>
      </c>
      <c r="C1627">
        <v>0.99824108228671304</v>
      </c>
      <c r="D1627">
        <v>1.0261547761269001</v>
      </c>
      <c r="E1627">
        <v>0.94747374255518102</v>
      </c>
      <c r="F1627">
        <v>0.731971624143815</v>
      </c>
      <c r="G1627">
        <v>0.50572190360397495</v>
      </c>
      <c r="H1627">
        <v>0.21400929437392699</v>
      </c>
      <c r="I1627">
        <v>9.4415867892433697E-2</v>
      </c>
      <c r="J1627">
        <v>8.0318942024703896E-2</v>
      </c>
      <c r="K1627">
        <v>8.0524812803611304E-2</v>
      </c>
      <c r="L1627">
        <v>1016.41392170825</v>
      </c>
      <c r="M1627">
        <v>19.1169430539899</v>
      </c>
      <c r="N1627">
        <v>53.4169078169421</v>
      </c>
      <c r="O1627">
        <v>52.596682964707099</v>
      </c>
      <c r="P1627">
        <v>-8.7000328497371895E-2</v>
      </c>
      <c r="Q1627">
        <v>4.2576857224331299E-2</v>
      </c>
      <c r="R1627">
        <v>0.99665122453973898</v>
      </c>
      <c r="S1627" t="s">
        <v>8195</v>
      </c>
      <c r="T1627" t="s">
        <v>13134</v>
      </c>
      <c r="U1627" t="s">
        <v>13134</v>
      </c>
      <c r="V1627" t="s">
        <v>13134</v>
      </c>
      <c r="W1627" t="s">
        <v>14723</v>
      </c>
      <c r="X1627">
        <v>12</v>
      </c>
      <c r="Y1627" t="s">
        <v>21203</v>
      </c>
      <c r="Z1627" t="s">
        <v>27595</v>
      </c>
      <c r="AA1627">
        <v>0.5713378366980455</v>
      </c>
      <c r="AB1627" t="str">
        <f>HYPERLINK("Melting_Curves/meltCurve_O43633_CHMP2A.pdf", "Melting_Curves/meltCurve_O43633_CHMP2A.pdf")</f>
        <v>Melting_Curves/meltCurve_O43633_CHMP2A.pdf</v>
      </c>
    </row>
    <row r="1628" spans="1:28" x14ac:dyDescent="0.25">
      <c r="A1628" t="s">
        <v>1632</v>
      </c>
      <c r="B1628">
        <v>0.99472303558308395</v>
      </c>
      <c r="C1628">
        <v>0.980131986094542</v>
      </c>
      <c r="D1628">
        <v>0.92816970032437596</v>
      </c>
      <c r="E1628">
        <v>0.64310640860338997</v>
      </c>
      <c r="F1628">
        <v>0.30800698321851</v>
      </c>
      <c r="G1628">
        <v>0.179697456427792</v>
      </c>
      <c r="H1628">
        <v>0.116555064287325</v>
      </c>
      <c r="I1628">
        <v>9.5056828627390705E-2</v>
      </c>
      <c r="J1628">
        <v>0.106432327888214</v>
      </c>
      <c r="K1628">
        <v>9.4024995007058104E-2</v>
      </c>
      <c r="L1628">
        <v>1036.89544643407</v>
      </c>
      <c r="M1628">
        <v>21.811716731564001</v>
      </c>
      <c r="N1628">
        <v>48.015654505779601</v>
      </c>
      <c r="O1628">
        <v>47.1442813270207</v>
      </c>
      <c r="P1628">
        <v>-0.10439648539207901</v>
      </c>
      <c r="Q1628">
        <v>9.7442234787582502E-2</v>
      </c>
      <c r="R1628">
        <v>0.99956858558925199</v>
      </c>
      <c r="S1628" t="s">
        <v>8196</v>
      </c>
      <c r="T1628" t="s">
        <v>13134</v>
      </c>
      <c r="U1628" t="s">
        <v>13134</v>
      </c>
      <c r="V1628" t="s">
        <v>13134</v>
      </c>
      <c r="W1628" t="s">
        <v>14724</v>
      </c>
      <c r="X1628">
        <v>6</v>
      </c>
      <c r="Y1628" t="s">
        <v>21204</v>
      </c>
      <c r="Z1628" t="s">
        <v>27596</v>
      </c>
      <c r="AA1628">
        <v>0.42449939918470903</v>
      </c>
      <c r="AB1628" t="str">
        <f>HYPERLINK("Melting_Curves/meltCurve_O43639_NCK2.pdf", "Melting_Curves/meltCurve_O43639_NCK2.pdf")</f>
        <v>Melting_Curves/meltCurve_O43639_NCK2.pdf</v>
      </c>
    </row>
    <row r="1629" spans="1:28" x14ac:dyDescent="0.25">
      <c r="A1629" t="s">
        <v>1633</v>
      </c>
      <c r="B1629">
        <v>0.99472303558308395</v>
      </c>
      <c r="C1629">
        <v>0.88485832239441498</v>
      </c>
      <c r="D1629">
        <v>0.64745752636374798</v>
      </c>
      <c r="E1629">
        <v>0.20170952635395401</v>
      </c>
      <c r="F1629">
        <v>0.105944013467854</v>
      </c>
      <c r="G1629">
        <v>6.5837447129549406E-2</v>
      </c>
      <c r="H1629">
        <v>4.2404392513082201E-2</v>
      </c>
      <c r="I1629">
        <v>2.9074859946275199E-2</v>
      </c>
      <c r="J1629">
        <v>2.6705507296703599E-2</v>
      </c>
      <c r="K1629">
        <v>2.80229321133608E-2</v>
      </c>
      <c r="L1629">
        <v>1018.12570128064</v>
      </c>
      <c r="M1629">
        <v>23.225470603842599</v>
      </c>
      <c r="N1629">
        <v>43.976182139414497</v>
      </c>
      <c r="O1629">
        <v>43.515510284906</v>
      </c>
      <c r="P1629">
        <v>-0.12869324048499101</v>
      </c>
      <c r="Q1629">
        <v>3.5533034700711001E-2</v>
      </c>
      <c r="R1629">
        <v>0.99769423798550205</v>
      </c>
      <c r="S1629" t="s">
        <v>8197</v>
      </c>
      <c r="T1629" t="s">
        <v>13134</v>
      </c>
      <c r="U1629" t="s">
        <v>13134</v>
      </c>
      <c r="V1629" t="s">
        <v>13134</v>
      </c>
      <c r="W1629" t="s">
        <v>14725</v>
      </c>
      <c r="X1629">
        <v>14</v>
      </c>
      <c r="Y1629" t="s">
        <v>21205</v>
      </c>
      <c r="Z1629" t="s">
        <v>27597</v>
      </c>
      <c r="AA1629">
        <v>0.26464682298149977</v>
      </c>
      <c r="AB1629" t="str">
        <f>HYPERLINK("Melting_Curves/meltCurve_O43663_PRC1.pdf", "Melting_Curves/meltCurve_O43663_PRC1.pdf")</f>
        <v>Melting_Curves/meltCurve_O43663_PRC1.pdf</v>
      </c>
    </row>
    <row r="1630" spans="1:28" x14ac:dyDescent="0.25">
      <c r="A1630" t="s">
        <v>1634</v>
      </c>
      <c r="B1630">
        <v>0.99472303558308395</v>
      </c>
      <c r="C1630">
        <v>1.03766314971742</v>
      </c>
      <c r="D1630">
        <v>1.0137679428611699</v>
      </c>
      <c r="E1630">
        <v>0.94566907710911896</v>
      </c>
      <c r="F1630">
        <v>0.67000444186585595</v>
      </c>
      <c r="G1630">
        <v>0.31290315050856599</v>
      </c>
      <c r="H1630">
        <v>0.16972079500901499</v>
      </c>
      <c r="I1630">
        <v>0.12803088085733499</v>
      </c>
      <c r="J1630">
        <v>0.169812078907188</v>
      </c>
      <c r="K1630">
        <v>0.15764849050202501</v>
      </c>
      <c r="L1630">
        <v>1468.0653135145201</v>
      </c>
      <c r="M1630">
        <v>28.769806438178701</v>
      </c>
      <c r="N1630">
        <v>51.651545595492202</v>
      </c>
      <c r="O1630">
        <v>50.783355256119002</v>
      </c>
      <c r="P1630">
        <v>-0.120851884477868</v>
      </c>
      <c r="Q1630">
        <v>0.146714198242028</v>
      </c>
      <c r="R1630">
        <v>0.99786521667152095</v>
      </c>
      <c r="S1630" t="s">
        <v>8198</v>
      </c>
      <c r="T1630" t="s">
        <v>13134</v>
      </c>
      <c r="U1630" t="s">
        <v>13134</v>
      </c>
      <c r="V1630" t="s">
        <v>13134</v>
      </c>
      <c r="W1630" t="s">
        <v>14726</v>
      </c>
      <c r="X1630">
        <v>9</v>
      </c>
      <c r="Y1630" t="s">
        <v>21206</v>
      </c>
      <c r="Z1630" t="s">
        <v>27598</v>
      </c>
      <c r="AA1630">
        <v>0.5514786837107899</v>
      </c>
      <c r="AB1630" t="str">
        <f>HYPERLINK("Melting_Curves/meltCurve_O43665_2_RGS10.pdf", "Melting_Curves/meltCurve_O43665_2_RGS10.pdf")</f>
        <v>Melting_Curves/meltCurve_O43665_2_RGS10.pdf</v>
      </c>
    </row>
    <row r="1631" spans="1:28" x14ac:dyDescent="0.25">
      <c r="A1631" t="s">
        <v>1635</v>
      </c>
      <c r="B1631">
        <v>0.99472303558308395</v>
      </c>
      <c r="C1631">
        <v>1.0858216817847799</v>
      </c>
      <c r="D1631">
        <v>0.91040932569267996</v>
      </c>
      <c r="E1631">
        <v>0.79784798890534503</v>
      </c>
      <c r="F1631">
        <v>0.55151903848211503</v>
      </c>
      <c r="G1631">
        <v>0.38031625300973698</v>
      </c>
      <c r="H1631">
        <v>0.46692603383328302</v>
      </c>
      <c r="I1631">
        <v>0.479010498004177</v>
      </c>
      <c r="J1631">
        <v>0.81954193100260297</v>
      </c>
      <c r="K1631">
        <v>0.54363708789792198</v>
      </c>
      <c r="L1631">
        <v>1876.8558664493701</v>
      </c>
      <c r="M1631">
        <v>40.1440866380212</v>
      </c>
      <c r="O1631">
        <v>46.6374281243735</v>
      </c>
      <c r="P1631">
        <v>-9.9821907717314001E-2</v>
      </c>
      <c r="Q1631">
        <v>0.53612829461626299</v>
      </c>
      <c r="R1631">
        <v>0.77121409403624497</v>
      </c>
      <c r="S1631" t="s">
        <v>8199</v>
      </c>
      <c r="T1631" t="s">
        <v>13134</v>
      </c>
      <c r="U1631" t="s">
        <v>13134</v>
      </c>
      <c r="V1631" t="s">
        <v>13134</v>
      </c>
      <c r="W1631" t="s">
        <v>14727</v>
      </c>
      <c r="X1631">
        <v>1</v>
      </c>
      <c r="Y1631" t="s">
        <v>21207</v>
      </c>
      <c r="Z1631" t="s">
        <v>27599</v>
      </c>
      <c r="AA1631">
        <v>0.68842149548719411</v>
      </c>
      <c r="AB1631" t="str">
        <f>HYPERLINK("Melting_Curves/meltCurve_O43677_NDUFC1.pdf", "Melting_Curves/meltCurve_O43677_NDUFC1.pdf")</f>
        <v>Melting_Curves/meltCurve_O43677_NDUFC1.pdf</v>
      </c>
    </row>
    <row r="1632" spans="1:28" x14ac:dyDescent="0.25">
      <c r="A1632" t="s">
        <v>1636</v>
      </c>
      <c r="B1632">
        <v>0.99472303558308395</v>
      </c>
      <c r="C1632">
        <v>0.85083453378942797</v>
      </c>
      <c r="D1632">
        <v>0.90021082457766299</v>
      </c>
      <c r="E1632">
        <v>0.70464580295011203</v>
      </c>
      <c r="F1632">
        <v>0.46785409222720298</v>
      </c>
      <c r="G1632">
        <v>0.19810537356349001</v>
      </c>
      <c r="H1632">
        <v>9.5987690125812306E-2</v>
      </c>
      <c r="I1632">
        <v>0.11347104981128001</v>
      </c>
      <c r="J1632">
        <v>0.118098333086368</v>
      </c>
      <c r="K1632">
        <v>8.4806664262267406E-2</v>
      </c>
      <c r="L1632">
        <v>754.47263068287896</v>
      </c>
      <c r="M1632">
        <v>15.4727159487456</v>
      </c>
      <c r="N1632">
        <v>49.179224800498297</v>
      </c>
      <c r="O1632">
        <v>47.968749413825101</v>
      </c>
      <c r="P1632">
        <v>-7.5680630302693105E-2</v>
      </c>
      <c r="Q1632">
        <v>6.1578804443297101E-2</v>
      </c>
      <c r="R1632">
        <v>0.98297250648605405</v>
      </c>
      <c r="S1632" t="s">
        <v>8200</v>
      </c>
      <c r="T1632" t="s">
        <v>13134</v>
      </c>
      <c r="U1632" t="s">
        <v>13134</v>
      </c>
      <c r="V1632" t="s">
        <v>13134</v>
      </c>
      <c r="W1632" t="s">
        <v>14728</v>
      </c>
      <c r="X1632">
        <v>5</v>
      </c>
      <c r="Y1632" t="s">
        <v>21208</v>
      </c>
      <c r="Z1632" t="s">
        <v>27600</v>
      </c>
      <c r="AA1632">
        <v>0.44880371977392097</v>
      </c>
      <c r="AB1632" t="str">
        <f>HYPERLINK("Melting_Curves/meltCurve_O43678_NDUFA2.pdf", "Melting_Curves/meltCurve_O43678_NDUFA2.pdf")</f>
        <v>Melting_Curves/meltCurve_O43678_NDUFA2.pdf</v>
      </c>
    </row>
    <row r="1633" spans="1:28" x14ac:dyDescent="0.25">
      <c r="A1633" t="s">
        <v>1637</v>
      </c>
      <c r="B1633">
        <v>0.99472303558308395</v>
      </c>
      <c r="C1633">
        <v>0.97085973092933198</v>
      </c>
      <c r="D1633">
        <v>0.91066622436806199</v>
      </c>
      <c r="E1633">
        <v>0.84534018769521801</v>
      </c>
      <c r="F1633">
        <v>0.76633317009468804</v>
      </c>
      <c r="G1633">
        <v>0.80234800354457703</v>
      </c>
      <c r="H1633">
        <v>0.66073915341691902</v>
      </c>
      <c r="I1633">
        <v>0.51655275507445797</v>
      </c>
      <c r="J1633">
        <v>0.28911064971364903</v>
      </c>
      <c r="K1633">
        <v>0.13564388817369999</v>
      </c>
      <c r="L1633">
        <v>597.259999745806</v>
      </c>
      <c r="M1633">
        <v>10.037026393075999</v>
      </c>
      <c r="N1633">
        <v>59.505671948421799</v>
      </c>
      <c r="O1633">
        <v>57.288304228821502</v>
      </c>
      <c r="P1633">
        <v>-4.3821509551444197E-2</v>
      </c>
      <c r="Q1633">
        <v>0</v>
      </c>
      <c r="R1633">
        <v>0.93154078890536296</v>
      </c>
      <c r="S1633" t="s">
        <v>8201</v>
      </c>
      <c r="T1633" t="s">
        <v>13134</v>
      </c>
      <c r="U1633" t="s">
        <v>13134</v>
      </c>
      <c r="V1633" t="s">
        <v>13134</v>
      </c>
      <c r="W1633" t="s">
        <v>14729</v>
      </c>
      <c r="X1633">
        <v>9</v>
      </c>
      <c r="Y1633" t="s">
        <v>21209</v>
      </c>
      <c r="Z1633" t="s">
        <v>27601</v>
      </c>
      <c r="AA1633">
        <v>0.72841854337009082</v>
      </c>
      <c r="AB1633" t="str">
        <f>HYPERLINK("Melting_Curves/meltCurve_O43681_ASNA1.pdf", "Melting_Curves/meltCurve_O43681_ASNA1.pdf")</f>
        <v>Melting_Curves/meltCurve_O43681_ASNA1.pdf</v>
      </c>
    </row>
    <row r="1634" spans="1:28" x14ac:dyDescent="0.25">
      <c r="A1634" t="s">
        <v>1638</v>
      </c>
      <c r="B1634">
        <v>0.99472303558308395</v>
      </c>
      <c r="C1634">
        <v>0.98152143102163203</v>
      </c>
      <c r="D1634">
        <v>0.99796493003748199</v>
      </c>
      <c r="E1634">
        <v>0.92857008768636295</v>
      </c>
      <c r="F1634">
        <v>0.67779447401918302</v>
      </c>
      <c r="G1634">
        <v>0.56069872623783501</v>
      </c>
      <c r="H1634">
        <v>0.258694913808105</v>
      </c>
      <c r="I1634">
        <v>0.120208268053171</v>
      </c>
      <c r="J1634">
        <v>5.8771603429623301E-2</v>
      </c>
      <c r="K1634">
        <v>6.8156941515720298E-2</v>
      </c>
      <c r="L1634">
        <v>812.22359983251499</v>
      </c>
      <c r="M1634">
        <v>15.1214036980325</v>
      </c>
      <c r="N1634">
        <v>53.713505474467901</v>
      </c>
      <c r="O1634">
        <v>52.800377777280197</v>
      </c>
      <c r="P1634">
        <v>-7.1604051618097506E-2</v>
      </c>
      <c r="Q1634">
        <v>0</v>
      </c>
      <c r="R1634">
        <v>0.99249378429911495</v>
      </c>
      <c r="S1634" t="s">
        <v>8202</v>
      </c>
      <c r="T1634" t="s">
        <v>13134</v>
      </c>
      <c r="U1634" t="s">
        <v>13134</v>
      </c>
      <c r="V1634" t="s">
        <v>13134</v>
      </c>
      <c r="W1634" t="s">
        <v>14730</v>
      </c>
      <c r="X1634">
        <v>21</v>
      </c>
      <c r="Y1634" t="s">
        <v>21210</v>
      </c>
      <c r="Z1634" t="s">
        <v>27602</v>
      </c>
      <c r="AA1634">
        <v>0.57372087117540338</v>
      </c>
      <c r="AB1634" t="str">
        <f>HYPERLINK("Melting_Curves/meltCurve_O43684_BUB3.pdf", "Melting_Curves/meltCurve_O43684_BUB3.pdf")</f>
        <v>Melting_Curves/meltCurve_O43684_BUB3.pdf</v>
      </c>
    </row>
    <row r="1635" spans="1:28" x14ac:dyDescent="0.25">
      <c r="A1635" t="s">
        <v>1639</v>
      </c>
      <c r="B1635">
        <v>0.99472303558308395</v>
      </c>
      <c r="C1635">
        <v>0.98831151728465505</v>
      </c>
      <c r="D1635">
        <v>0.93570634537993702</v>
      </c>
      <c r="E1635">
        <v>0.95844434137252799</v>
      </c>
      <c r="F1635">
        <v>0.97294186999419396</v>
      </c>
      <c r="G1635">
        <v>0.58304444858126003</v>
      </c>
      <c r="H1635">
        <v>0.36952766754179101</v>
      </c>
      <c r="I1635">
        <v>8.4970245713970605E-2</v>
      </c>
      <c r="J1635">
        <v>7.8860808168287999E-2</v>
      </c>
      <c r="K1635">
        <v>7.9315477697174994E-2</v>
      </c>
      <c r="L1635">
        <v>1279.6741174149399</v>
      </c>
      <c r="M1635">
        <v>23.2760617485058</v>
      </c>
      <c r="N1635">
        <v>55.213837067573301</v>
      </c>
      <c r="O1635">
        <v>54.577134341426301</v>
      </c>
      <c r="P1635">
        <v>-0.101579150960488</v>
      </c>
      <c r="Q1635">
        <v>4.7295882556246303E-2</v>
      </c>
      <c r="R1635">
        <v>0.98740327831892805</v>
      </c>
      <c r="S1635" t="s">
        <v>8203</v>
      </c>
      <c r="T1635" t="s">
        <v>13134</v>
      </c>
      <c r="U1635" t="s">
        <v>13134</v>
      </c>
      <c r="V1635" t="s">
        <v>13134</v>
      </c>
      <c r="W1635" t="s">
        <v>14731</v>
      </c>
      <c r="X1635">
        <v>69</v>
      </c>
      <c r="Y1635" t="s">
        <v>21211</v>
      </c>
      <c r="Z1635" t="s">
        <v>27603</v>
      </c>
      <c r="AA1635">
        <v>0.6272017855867863</v>
      </c>
      <c r="AB1635" t="str">
        <f>HYPERLINK("Melting_Curves/meltCurve_O43707_ACTN4.pdf", "Melting_Curves/meltCurve_O43707_ACTN4.pdf")</f>
        <v>Melting_Curves/meltCurve_O43707_ACTN4.pdf</v>
      </c>
    </row>
    <row r="1636" spans="1:28" x14ac:dyDescent="0.25">
      <c r="A1636" t="s">
        <v>1640</v>
      </c>
      <c r="B1636">
        <v>0.99472303558308395</v>
      </c>
      <c r="C1636">
        <v>0.93553067770417397</v>
      </c>
      <c r="D1636">
        <v>0.92495394607451598</v>
      </c>
      <c r="E1636">
        <v>0.80494396496440102</v>
      </c>
      <c r="F1636">
        <v>0.615299310601787</v>
      </c>
      <c r="G1636">
        <v>0.40212145017863299</v>
      </c>
      <c r="H1636">
        <v>0.18996698840030499</v>
      </c>
      <c r="I1636">
        <v>7.5436880508353399E-2</v>
      </c>
      <c r="J1636">
        <v>5.0621320124582703E-2</v>
      </c>
      <c r="K1636">
        <v>4.6545876280080202E-2</v>
      </c>
      <c r="L1636">
        <v>712.40026998227802</v>
      </c>
      <c r="M1636">
        <v>13.772209021462301</v>
      </c>
      <c r="N1636">
        <v>51.727378606007001</v>
      </c>
      <c r="O1636">
        <v>50.673361848530902</v>
      </c>
      <c r="P1636">
        <v>-6.7955586474465798E-2</v>
      </c>
      <c r="Q1636">
        <v>0</v>
      </c>
      <c r="R1636">
        <v>0.996045315534413</v>
      </c>
      <c r="S1636" t="s">
        <v>8204</v>
      </c>
      <c r="T1636" t="s">
        <v>13134</v>
      </c>
      <c r="U1636" t="s">
        <v>13134</v>
      </c>
      <c r="V1636" t="s">
        <v>13134</v>
      </c>
      <c r="W1636" t="s">
        <v>14732</v>
      </c>
      <c r="X1636">
        <v>7</v>
      </c>
      <c r="Y1636" t="s">
        <v>21212</v>
      </c>
      <c r="Z1636" t="s">
        <v>27604</v>
      </c>
      <c r="AA1636">
        <v>0.51231643092971801</v>
      </c>
      <c r="AB1636" t="str">
        <f>HYPERLINK("Melting_Curves/meltCurve_O43709_WBSCR22.pdf", "Melting_Curves/meltCurve_O43709_WBSCR22.pdf")</f>
        <v>Melting_Curves/meltCurve_O43709_WBSCR22.pdf</v>
      </c>
    </row>
    <row r="1637" spans="1:28" x14ac:dyDescent="0.25">
      <c r="A1637" t="s">
        <v>1641</v>
      </c>
      <c r="B1637">
        <v>0.99472303558308395</v>
      </c>
      <c r="C1637">
        <v>1.01878194226163</v>
      </c>
      <c r="D1637">
        <v>0.94712254761535097</v>
      </c>
      <c r="E1637">
        <v>0.88098196435721599</v>
      </c>
      <c r="F1637">
        <v>0.67812214695523898</v>
      </c>
      <c r="G1637">
        <v>0.55604098870274499</v>
      </c>
      <c r="H1637">
        <v>0.51102173437832699</v>
      </c>
      <c r="I1637">
        <v>0.57584728921745698</v>
      </c>
      <c r="J1637">
        <v>0.808776661394916</v>
      </c>
      <c r="K1637">
        <v>0.64572525112676704</v>
      </c>
      <c r="L1637">
        <v>1759.1944504123901</v>
      </c>
      <c r="M1637">
        <v>37.010779212715697</v>
      </c>
      <c r="O1637">
        <v>47.393800989501798</v>
      </c>
      <c r="P1637">
        <v>-7.4084458770966699E-2</v>
      </c>
      <c r="Q1637">
        <v>0.62052832254052004</v>
      </c>
      <c r="R1637">
        <v>0.82609964446148598</v>
      </c>
      <c r="S1637" t="s">
        <v>8205</v>
      </c>
      <c r="T1637" t="s">
        <v>13134</v>
      </c>
      <c r="U1637" t="s">
        <v>13134</v>
      </c>
      <c r="V1637" t="s">
        <v>13134</v>
      </c>
      <c r="W1637" t="s">
        <v>14733</v>
      </c>
      <c r="X1637">
        <v>9</v>
      </c>
      <c r="Y1637" t="s">
        <v>21213</v>
      </c>
      <c r="Z1637" t="s">
        <v>27605</v>
      </c>
      <c r="AA1637">
        <v>0.75520593787583323</v>
      </c>
      <c r="AB1637" t="str">
        <f>HYPERLINK("Melting_Curves/meltCurve_O43715_TRIAP1.pdf", "Melting_Curves/meltCurve_O43715_TRIAP1.pdf")</f>
        <v>Melting_Curves/meltCurve_O43715_TRIAP1.pdf</v>
      </c>
    </row>
    <row r="1638" spans="1:28" x14ac:dyDescent="0.25">
      <c r="A1638" t="s">
        <v>1642</v>
      </c>
      <c r="B1638">
        <v>0.99472303558308395</v>
      </c>
      <c r="C1638">
        <v>0.90976290246586899</v>
      </c>
      <c r="D1638">
        <v>0.818255493363093</v>
      </c>
      <c r="E1638">
        <v>0.39491872994037702</v>
      </c>
      <c r="F1638">
        <v>0.15898063199497001</v>
      </c>
      <c r="G1638">
        <v>9.1845648437492197E-2</v>
      </c>
      <c r="H1638">
        <v>5.8651951587854599E-2</v>
      </c>
      <c r="I1638">
        <v>4.7901763234493203E-2</v>
      </c>
      <c r="J1638">
        <v>6.1777710116169698E-2</v>
      </c>
      <c r="K1638">
        <v>5.3696681932990001E-2</v>
      </c>
      <c r="L1638">
        <v>1000.25015031473</v>
      </c>
      <c r="M1638">
        <v>21.987386214581001</v>
      </c>
      <c r="N1638">
        <v>45.7236442374464</v>
      </c>
      <c r="O1638">
        <v>45.120733115842199</v>
      </c>
      <c r="P1638">
        <v>-0.11540698304012099</v>
      </c>
      <c r="Q1638">
        <v>5.2706229349336303E-2</v>
      </c>
      <c r="R1638">
        <v>0.99762289017517403</v>
      </c>
      <c r="S1638" t="s">
        <v>8206</v>
      </c>
      <c r="T1638" t="s">
        <v>13134</v>
      </c>
      <c r="U1638" t="s">
        <v>13134</v>
      </c>
      <c r="V1638" t="s">
        <v>13134</v>
      </c>
      <c r="W1638" t="s">
        <v>14734</v>
      </c>
      <c r="X1638">
        <v>23</v>
      </c>
      <c r="Y1638" t="s">
        <v>21214</v>
      </c>
      <c r="Z1638" t="s">
        <v>27606</v>
      </c>
      <c r="AA1638">
        <v>0.33104457425136719</v>
      </c>
      <c r="AB1638" t="str">
        <f>HYPERLINK("Melting_Curves/meltCurve_O43719_HTATSF1.pdf", "Melting_Curves/meltCurve_O43719_HTATSF1.pdf")</f>
        <v>Melting_Curves/meltCurve_O43719_HTATSF1.pdf</v>
      </c>
    </row>
    <row r="1639" spans="1:28" x14ac:dyDescent="0.25">
      <c r="A1639" t="s">
        <v>1643</v>
      </c>
      <c r="B1639">
        <v>0.99472303558308395</v>
      </c>
      <c r="C1639">
        <v>0.93709373089937797</v>
      </c>
      <c r="D1639">
        <v>0.83481995346308702</v>
      </c>
      <c r="E1639">
        <v>0.62709881818874202</v>
      </c>
      <c r="F1639">
        <v>0.37269383777287701</v>
      </c>
      <c r="G1639">
        <v>0.159735557086294</v>
      </c>
      <c r="H1639">
        <v>0.102495222080478</v>
      </c>
      <c r="I1639">
        <v>8.4863536121480995E-2</v>
      </c>
      <c r="J1639">
        <v>6.5299195798995499E-2</v>
      </c>
      <c r="K1639">
        <v>0.10238825663213701</v>
      </c>
      <c r="L1639">
        <v>744.19887344622202</v>
      </c>
      <c r="M1639">
        <v>15.6101898815749</v>
      </c>
      <c r="N1639">
        <v>48.040389663329996</v>
      </c>
      <c r="O1639">
        <v>46.912100886198502</v>
      </c>
      <c r="P1639">
        <v>-7.8525722378162799E-2</v>
      </c>
      <c r="Q1639">
        <v>5.6132352971899703E-2</v>
      </c>
      <c r="R1639">
        <v>0.99686314290186995</v>
      </c>
      <c r="S1639" t="s">
        <v>8207</v>
      </c>
      <c r="T1639" t="s">
        <v>13134</v>
      </c>
      <c r="U1639" t="s">
        <v>13134</v>
      </c>
      <c r="V1639" t="s">
        <v>13134</v>
      </c>
      <c r="W1639" t="s">
        <v>14735</v>
      </c>
      <c r="X1639">
        <v>2</v>
      </c>
      <c r="Y1639" t="s">
        <v>21215</v>
      </c>
      <c r="Z1639" t="s">
        <v>27607</v>
      </c>
      <c r="AA1639">
        <v>0.41149537564038918</v>
      </c>
      <c r="AB1639" t="str">
        <f>HYPERLINK("Melting_Curves/meltCurve_O43734_5_TRAF3IP2.pdf", "Melting_Curves/meltCurve_O43734_5_TRAF3IP2.pdf")</f>
        <v>Melting_Curves/meltCurve_O43734_5_TRAF3IP2.pdf</v>
      </c>
    </row>
    <row r="1640" spans="1:28" x14ac:dyDescent="0.25">
      <c r="A1640" t="s">
        <v>1644</v>
      </c>
      <c r="B1640">
        <v>0.99472303558308395</v>
      </c>
      <c r="C1640">
        <v>0.99203869262162403</v>
      </c>
      <c r="D1640">
        <v>0.97319446849938696</v>
      </c>
      <c r="E1640">
        <v>0.85183226848603699</v>
      </c>
      <c r="F1640">
        <v>0.63658719742838099</v>
      </c>
      <c r="G1640">
        <v>0.35598830152176197</v>
      </c>
      <c r="H1640">
        <v>0.20888638592610101</v>
      </c>
      <c r="I1640">
        <v>0.300672705392725</v>
      </c>
      <c r="J1640">
        <v>0.29772027792317501</v>
      </c>
      <c r="K1640">
        <v>0.32629892749865702</v>
      </c>
      <c r="L1640">
        <v>1256.6899231586799</v>
      </c>
      <c r="M1640">
        <v>25.253681676795999</v>
      </c>
      <c r="N1640">
        <v>51.396986937114598</v>
      </c>
      <c r="O1640">
        <v>49.453761832097499</v>
      </c>
      <c r="P1640">
        <v>-9.2427410977412403E-2</v>
      </c>
      <c r="Q1640">
        <v>0.27601476577607398</v>
      </c>
      <c r="R1640">
        <v>0.98491440988980805</v>
      </c>
      <c r="S1640" t="s">
        <v>8208</v>
      </c>
      <c r="T1640" t="s">
        <v>13134</v>
      </c>
      <c r="U1640" t="s">
        <v>13134</v>
      </c>
      <c r="V1640" t="s">
        <v>13134</v>
      </c>
      <c r="W1640" t="s">
        <v>14736</v>
      </c>
      <c r="X1640">
        <v>2</v>
      </c>
      <c r="Y1640" t="s">
        <v>21216</v>
      </c>
      <c r="Z1640" t="s">
        <v>27608</v>
      </c>
      <c r="AA1640">
        <v>0.59020753652600688</v>
      </c>
      <c r="AB1640" t="str">
        <f>HYPERLINK("Melting_Curves/meltCurve_O43736_2_ITM2A.pdf", "Melting_Curves/meltCurve_O43736_2_ITM2A.pdf")</f>
        <v>Melting_Curves/meltCurve_O43736_2_ITM2A.pdf</v>
      </c>
    </row>
    <row r="1641" spans="1:28" x14ac:dyDescent="0.25">
      <c r="A1641" t="s">
        <v>1645</v>
      </c>
      <c r="B1641">
        <v>0.99472303558308395</v>
      </c>
      <c r="C1641">
        <v>0.97282552947516598</v>
      </c>
      <c r="D1641">
        <v>0.89953755589947104</v>
      </c>
      <c r="E1641">
        <v>0.86883630656729305</v>
      </c>
      <c r="F1641">
        <v>0.61137340417140495</v>
      </c>
      <c r="G1641">
        <v>0.39220991889276502</v>
      </c>
      <c r="H1641">
        <v>0.218086296932201</v>
      </c>
      <c r="I1641">
        <v>0.157042144570571</v>
      </c>
      <c r="J1641">
        <v>0.174681475918607</v>
      </c>
      <c r="K1641">
        <v>0.182762956068936</v>
      </c>
      <c r="L1641">
        <v>869.83071008055697</v>
      </c>
      <c r="M1641">
        <v>17.137378526860498</v>
      </c>
      <c r="N1641">
        <v>51.753203960594398</v>
      </c>
      <c r="O1641">
        <v>50.080343365775803</v>
      </c>
      <c r="P1641">
        <v>-7.3527918969439901E-2</v>
      </c>
      <c r="Q1641">
        <v>0.14057258902442499</v>
      </c>
      <c r="R1641">
        <v>0.99351307327210203</v>
      </c>
      <c r="S1641" t="s">
        <v>8209</v>
      </c>
      <c r="T1641" t="s">
        <v>13134</v>
      </c>
      <c r="U1641" t="s">
        <v>13134</v>
      </c>
      <c r="V1641" t="s">
        <v>13134</v>
      </c>
      <c r="W1641" t="s">
        <v>14737</v>
      </c>
      <c r="X1641">
        <v>4</v>
      </c>
      <c r="Y1641" t="s">
        <v>21217</v>
      </c>
      <c r="Z1641" t="s">
        <v>27609</v>
      </c>
      <c r="AA1641">
        <v>0.54910395349346308</v>
      </c>
      <c r="AB1641" t="str">
        <f>HYPERLINK("Melting_Curves/meltCurve_O43752_STX6.pdf", "Melting_Curves/meltCurve_O43752_STX6.pdf")</f>
        <v>Melting_Curves/meltCurve_O43752_STX6.pdf</v>
      </c>
    </row>
    <row r="1642" spans="1:28" x14ac:dyDescent="0.25">
      <c r="A1642" t="s">
        <v>1646</v>
      </c>
      <c r="B1642">
        <v>0.99472303558308395</v>
      </c>
      <c r="C1642">
        <v>0.94009983585410495</v>
      </c>
      <c r="D1642">
        <v>1.00293930449594</v>
      </c>
      <c r="E1642">
        <v>0.83042450317961303</v>
      </c>
      <c r="F1642">
        <v>0.64547339227221401</v>
      </c>
      <c r="G1642">
        <v>0.54423909229948997</v>
      </c>
      <c r="H1642">
        <v>0.34224281077747898</v>
      </c>
      <c r="I1642">
        <v>0.48097442716126998</v>
      </c>
      <c r="J1642">
        <v>0.55056405721203205</v>
      </c>
      <c r="K1642">
        <v>0.52431301939614094</v>
      </c>
      <c r="L1642">
        <v>1194.0676754173101</v>
      </c>
      <c r="M1642">
        <v>24.725301462227101</v>
      </c>
      <c r="N1642">
        <v>55.5032594585727</v>
      </c>
      <c r="O1642">
        <v>47.980791725400202</v>
      </c>
      <c r="P1642">
        <v>-6.7010326723553004E-2</v>
      </c>
      <c r="Q1642">
        <v>0.479858800409869</v>
      </c>
      <c r="R1642">
        <v>0.93303562128522999</v>
      </c>
      <c r="S1642" t="s">
        <v>8210</v>
      </c>
      <c r="T1642" t="s">
        <v>13134</v>
      </c>
      <c r="U1642" t="s">
        <v>13134</v>
      </c>
      <c r="V1642" t="s">
        <v>13134</v>
      </c>
      <c r="W1642" t="s">
        <v>14738</v>
      </c>
      <c r="X1642">
        <v>6</v>
      </c>
      <c r="Y1642" t="s">
        <v>21218</v>
      </c>
      <c r="Z1642" t="s">
        <v>27610</v>
      </c>
      <c r="AA1642">
        <v>0.68021238738114809</v>
      </c>
      <c r="AB1642" t="str">
        <f>HYPERLINK("Melting_Curves/meltCurve_O43760_SYNGR2.pdf", "Melting_Curves/meltCurve_O43760_SYNGR2.pdf")</f>
        <v>Melting_Curves/meltCurve_O43760_SYNGR2.pdf</v>
      </c>
    </row>
    <row r="1643" spans="1:28" x14ac:dyDescent="0.25">
      <c r="A1643" t="s">
        <v>1647</v>
      </c>
      <c r="B1643">
        <v>0.99472303558308395</v>
      </c>
      <c r="C1643">
        <v>0.93882361434074502</v>
      </c>
      <c r="D1643">
        <v>0.99055428649897803</v>
      </c>
      <c r="E1643">
        <v>0.85133154126744104</v>
      </c>
      <c r="F1643">
        <v>0.31171956687313601</v>
      </c>
      <c r="G1643">
        <v>9.9339781148614206E-2</v>
      </c>
      <c r="H1643">
        <v>5.6753324407252899E-2</v>
      </c>
      <c r="I1643">
        <v>4.5138475201190402E-2</v>
      </c>
      <c r="J1643">
        <v>5.1378448942959599E-2</v>
      </c>
      <c r="K1643">
        <v>4.4267634132647497E-2</v>
      </c>
      <c r="L1643">
        <v>1688.37178578302</v>
      </c>
      <c r="M1643">
        <v>34.575583628600398</v>
      </c>
      <c r="N1643">
        <v>48.980289719320403</v>
      </c>
      <c r="O1643">
        <v>48.668872375985103</v>
      </c>
      <c r="P1643">
        <v>-0.168743629641012</v>
      </c>
      <c r="Q1643">
        <v>4.9904357035636802E-2</v>
      </c>
      <c r="R1643">
        <v>0.99776079354638103</v>
      </c>
      <c r="S1643" t="s">
        <v>8211</v>
      </c>
      <c r="T1643" t="s">
        <v>13134</v>
      </c>
      <c r="U1643" t="s">
        <v>13134</v>
      </c>
      <c r="V1643" t="s">
        <v>13134</v>
      </c>
      <c r="W1643" t="s">
        <v>14739</v>
      </c>
      <c r="X1643">
        <v>17</v>
      </c>
      <c r="Y1643" t="s">
        <v>21219</v>
      </c>
      <c r="Z1643" t="s">
        <v>27611</v>
      </c>
      <c r="AA1643">
        <v>0.42889988265497159</v>
      </c>
      <c r="AB1643" t="str">
        <f>HYPERLINK("Melting_Curves/meltCurve_O43765_SGTA.pdf", "Melting_Curves/meltCurve_O43765_SGTA.pdf")</f>
        <v>Melting_Curves/meltCurve_O43765_SGTA.pdf</v>
      </c>
    </row>
    <row r="1644" spans="1:28" x14ac:dyDescent="0.25">
      <c r="A1644" t="s">
        <v>1648</v>
      </c>
      <c r="B1644">
        <v>0.99472303558308395</v>
      </c>
      <c r="C1644">
        <v>1.0285193530972101</v>
      </c>
      <c r="D1644">
        <v>0.91187212267440498</v>
      </c>
      <c r="E1644">
        <v>0.79809648675553302</v>
      </c>
      <c r="F1644">
        <v>0.49801239651745399</v>
      </c>
      <c r="G1644">
        <v>0.44107949294100601</v>
      </c>
      <c r="H1644">
        <v>0.264304160205243</v>
      </c>
      <c r="I1644">
        <v>0.26281470001297302</v>
      </c>
      <c r="J1644">
        <v>0.22504766851320501</v>
      </c>
      <c r="K1644">
        <v>0.112820753072885</v>
      </c>
      <c r="L1644">
        <v>673.41276715663798</v>
      </c>
      <c r="M1644">
        <v>13.4536036992909</v>
      </c>
      <c r="N1644">
        <v>51.434834618694403</v>
      </c>
      <c r="O1644">
        <v>48.987362967247897</v>
      </c>
      <c r="P1644">
        <v>-5.8263631293042503E-2</v>
      </c>
      <c r="Q1644">
        <v>0.151531262072573</v>
      </c>
      <c r="R1644">
        <v>0.98309191758355097</v>
      </c>
      <c r="S1644" t="s">
        <v>8212</v>
      </c>
      <c r="T1644" t="s">
        <v>13134</v>
      </c>
      <c r="U1644" t="s">
        <v>13134</v>
      </c>
      <c r="V1644" t="s">
        <v>13134</v>
      </c>
      <c r="W1644" t="s">
        <v>14740</v>
      </c>
      <c r="X1644">
        <v>10</v>
      </c>
      <c r="Y1644" t="s">
        <v>21220</v>
      </c>
      <c r="Z1644" t="s">
        <v>27612</v>
      </c>
      <c r="AA1644">
        <v>0.54129609826105851</v>
      </c>
      <c r="AB1644" t="str">
        <f>HYPERLINK("Melting_Curves/meltCurve_O43766_2_LIAS.pdf", "Melting_Curves/meltCurve_O43766_2_LIAS.pdf")</f>
        <v>Melting_Curves/meltCurve_O43766_2_LIAS.pdf</v>
      </c>
    </row>
    <row r="1645" spans="1:28" x14ac:dyDescent="0.25">
      <c r="A1645" t="s">
        <v>1649</v>
      </c>
      <c r="B1645">
        <v>0.99472303558308395</v>
      </c>
      <c r="C1645">
        <v>0.96403299248985097</v>
      </c>
      <c r="D1645">
        <v>1.0020867011855601</v>
      </c>
      <c r="E1645">
        <v>0.91687814450489402</v>
      </c>
      <c r="F1645">
        <v>0.73092168573548399</v>
      </c>
      <c r="G1645">
        <v>0.60900655600118203</v>
      </c>
      <c r="H1645">
        <v>0.61420560490283405</v>
      </c>
      <c r="I1645">
        <v>0.647824206807042</v>
      </c>
      <c r="J1645">
        <v>0.92008521348775796</v>
      </c>
      <c r="K1645">
        <v>0.74665439676846301</v>
      </c>
      <c r="L1645">
        <v>2535.67169905326</v>
      </c>
      <c r="M1645">
        <v>53.480659126798699</v>
      </c>
      <c r="O1645">
        <v>47.346720081383403</v>
      </c>
      <c r="P1645">
        <v>-8.2198749879051403E-2</v>
      </c>
      <c r="Q1645">
        <v>0.70891618027740799</v>
      </c>
      <c r="R1645">
        <v>0.69919141467365897</v>
      </c>
      <c r="S1645" t="s">
        <v>8213</v>
      </c>
      <c r="T1645" t="s">
        <v>13134</v>
      </c>
      <c r="U1645" t="s">
        <v>13134</v>
      </c>
      <c r="V1645" t="s">
        <v>13134</v>
      </c>
      <c r="W1645" t="s">
        <v>14741</v>
      </c>
      <c r="X1645">
        <v>13</v>
      </c>
      <c r="Y1645" t="s">
        <v>21221</v>
      </c>
      <c r="Z1645" t="s">
        <v>27613</v>
      </c>
      <c r="AA1645">
        <v>0.81048187425668783</v>
      </c>
      <c r="AB1645" t="str">
        <f>HYPERLINK("Melting_Curves/meltCurve_O43768_2_ENSA.pdf", "Melting_Curves/meltCurve_O43768_2_ENSA.pdf")</f>
        <v>Melting_Curves/meltCurve_O43768_2_ENSA.pdf</v>
      </c>
    </row>
    <row r="1646" spans="1:28" x14ac:dyDescent="0.25">
      <c r="A1646" t="s">
        <v>1650</v>
      </c>
      <c r="B1646">
        <v>0.99472303558308395</v>
      </c>
      <c r="C1646">
        <v>0.85884007022079301</v>
      </c>
      <c r="D1646">
        <v>0.83195160040425398</v>
      </c>
      <c r="E1646">
        <v>0.70085964326052297</v>
      </c>
      <c r="F1646">
        <v>0.54709755112993996</v>
      </c>
      <c r="G1646">
        <v>0.38231289285019499</v>
      </c>
      <c r="H1646">
        <v>0.26338958383082001</v>
      </c>
      <c r="I1646">
        <v>0.23793738685655</v>
      </c>
      <c r="J1646">
        <v>0.19187116793985601</v>
      </c>
      <c r="K1646">
        <v>0.13273586590090999</v>
      </c>
      <c r="L1646">
        <v>436.15143806307299</v>
      </c>
      <c r="M1646">
        <v>8.6442971803708897</v>
      </c>
      <c r="N1646">
        <v>50.991083931974401</v>
      </c>
      <c r="O1646">
        <v>47.973141511881103</v>
      </c>
      <c r="P1646">
        <v>-4.3128700492670702E-2</v>
      </c>
      <c r="Q1646">
        <v>4.3405892362121098E-2</v>
      </c>
      <c r="R1646">
        <v>0.99294151021060395</v>
      </c>
      <c r="S1646" t="s">
        <v>8214</v>
      </c>
      <c r="T1646" t="s">
        <v>13134</v>
      </c>
      <c r="U1646" t="s">
        <v>13134</v>
      </c>
      <c r="V1646" t="s">
        <v>13134</v>
      </c>
      <c r="W1646" t="s">
        <v>14742</v>
      </c>
      <c r="X1646">
        <v>7</v>
      </c>
      <c r="Y1646" t="s">
        <v>21222</v>
      </c>
      <c r="Z1646" t="s">
        <v>27614</v>
      </c>
      <c r="AA1646">
        <v>0.50711872761645949</v>
      </c>
      <c r="AB1646" t="str">
        <f>HYPERLINK("Melting_Curves/meltCurve_O43772_SLC25A20.pdf", "Melting_Curves/meltCurve_O43772_SLC25A20.pdf")</f>
        <v>Melting_Curves/meltCurve_O43772_SLC25A20.pdf</v>
      </c>
    </row>
    <row r="1647" spans="1:28" x14ac:dyDescent="0.25">
      <c r="A1647" t="s">
        <v>1651</v>
      </c>
      <c r="B1647">
        <v>0.99472303558308395</v>
      </c>
      <c r="C1647">
        <v>0.98971730869180796</v>
      </c>
      <c r="D1647">
        <v>0.912823354281038</v>
      </c>
      <c r="E1647">
        <v>0.90263551812123399</v>
      </c>
      <c r="F1647">
        <v>0.73528642928999</v>
      </c>
      <c r="G1647">
        <v>0.45711441998769797</v>
      </c>
      <c r="H1647">
        <v>0.197930376672699</v>
      </c>
      <c r="I1647">
        <v>6.8145961472114103E-2</v>
      </c>
      <c r="J1647">
        <v>6.5310174495084694E-2</v>
      </c>
      <c r="K1647">
        <v>6.2568502043084104E-2</v>
      </c>
      <c r="L1647">
        <v>923.47428488863602</v>
      </c>
      <c r="M1647">
        <v>17.443313289851002</v>
      </c>
      <c r="N1647">
        <v>53.016361724465</v>
      </c>
      <c r="O1647">
        <v>52.2603421355807</v>
      </c>
      <c r="P1647">
        <v>-8.2433086341627604E-2</v>
      </c>
      <c r="Q1647">
        <v>1.21737424587832E-2</v>
      </c>
      <c r="R1647">
        <v>0.99488828073149904</v>
      </c>
      <c r="S1647" t="s">
        <v>8215</v>
      </c>
      <c r="T1647" t="s">
        <v>13134</v>
      </c>
      <c r="U1647" t="s">
        <v>13134</v>
      </c>
      <c r="V1647" t="s">
        <v>13134</v>
      </c>
      <c r="W1647" t="s">
        <v>14447</v>
      </c>
      <c r="X1647">
        <v>27</v>
      </c>
      <c r="Y1647" t="s">
        <v>20934</v>
      </c>
      <c r="Z1647" t="s">
        <v>27615</v>
      </c>
      <c r="AA1647">
        <v>0.55207351726173959</v>
      </c>
      <c r="AB1647" t="str">
        <f>HYPERLINK("Melting_Curves/meltCurve_O43776_NARS.pdf", "Melting_Curves/meltCurve_O43776_NARS.pdf")</f>
        <v>Melting_Curves/meltCurve_O43776_NARS.pdf</v>
      </c>
    </row>
    <row r="1648" spans="1:28" x14ac:dyDescent="0.25">
      <c r="A1648" t="s">
        <v>1652</v>
      </c>
      <c r="B1648">
        <v>0.99472303558308395</v>
      </c>
      <c r="C1648">
        <v>0.90992156156660198</v>
      </c>
      <c r="D1648">
        <v>1.0073366036476801</v>
      </c>
      <c r="E1648">
        <v>0.83212449290664903</v>
      </c>
      <c r="F1648">
        <v>0.49708706955217602</v>
      </c>
      <c r="G1648">
        <v>0.32159845369569301</v>
      </c>
      <c r="H1648">
        <v>0.22659582207936599</v>
      </c>
      <c r="I1648">
        <v>0.16311738187843899</v>
      </c>
      <c r="J1648">
        <v>0.215814800769213</v>
      </c>
      <c r="K1648">
        <v>0.181873730489473</v>
      </c>
      <c r="L1648">
        <v>1102.78801121691</v>
      </c>
      <c r="M1648">
        <v>22.3563054701747</v>
      </c>
      <c r="N1648">
        <v>50.384053430699097</v>
      </c>
      <c r="O1648">
        <v>48.938238077003099</v>
      </c>
      <c r="P1648">
        <v>-9.2842677005282204E-2</v>
      </c>
      <c r="Q1648">
        <v>0.18708180916828199</v>
      </c>
      <c r="R1648">
        <v>0.99005833913347197</v>
      </c>
      <c r="S1648" t="s">
        <v>8216</v>
      </c>
      <c r="T1648" t="s">
        <v>13134</v>
      </c>
      <c r="U1648" t="s">
        <v>13134</v>
      </c>
      <c r="V1648" t="s">
        <v>13134</v>
      </c>
      <c r="W1648" t="s">
        <v>14743</v>
      </c>
      <c r="X1648">
        <v>5</v>
      </c>
      <c r="Y1648" t="s">
        <v>21223</v>
      </c>
      <c r="Z1648" t="s">
        <v>27616</v>
      </c>
      <c r="AA1648">
        <v>0.5298608550408449</v>
      </c>
      <c r="AB1648" t="str">
        <f>HYPERLINK("Melting_Curves/meltCurve_O43805_SSNA1.pdf", "Melting_Curves/meltCurve_O43805_SSNA1.pdf")</f>
        <v>Melting_Curves/meltCurve_O43805_SSNA1.pdf</v>
      </c>
    </row>
    <row r="1649" spans="1:28" x14ac:dyDescent="0.25">
      <c r="A1649" t="s">
        <v>1653</v>
      </c>
      <c r="B1649">
        <v>0.99472303558308395</v>
      </c>
      <c r="C1649">
        <v>0.844706151381307</v>
      </c>
      <c r="D1649">
        <v>1.0314309741816201</v>
      </c>
      <c r="E1649">
        <v>0.84993422100206995</v>
      </c>
      <c r="F1649">
        <v>0.66463350196365201</v>
      </c>
      <c r="G1649">
        <v>0.55454471027635899</v>
      </c>
      <c r="H1649">
        <v>0.18262570351778501</v>
      </c>
      <c r="I1649">
        <v>4.3047161305623902E-2</v>
      </c>
      <c r="J1649">
        <v>3.8055923773959902E-2</v>
      </c>
      <c r="K1649">
        <v>3.8721825680748799E-2</v>
      </c>
      <c r="L1649">
        <v>854.02491453741095</v>
      </c>
      <c r="M1649">
        <v>16.1137902005526</v>
      </c>
      <c r="N1649">
        <v>52.999622930762698</v>
      </c>
      <c r="O1649">
        <v>52.203543217780599</v>
      </c>
      <c r="P1649">
        <v>-7.7173997243173198E-2</v>
      </c>
      <c r="Q1649">
        <v>0</v>
      </c>
      <c r="R1649">
        <v>0.96741019441946097</v>
      </c>
      <c r="S1649" t="s">
        <v>8217</v>
      </c>
      <c r="T1649" t="s">
        <v>13134</v>
      </c>
      <c r="U1649" t="s">
        <v>13134</v>
      </c>
      <c r="V1649" t="s">
        <v>13134</v>
      </c>
      <c r="W1649" t="s">
        <v>14744</v>
      </c>
      <c r="X1649">
        <v>14</v>
      </c>
      <c r="Y1649" t="s">
        <v>20646</v>
      </c>
      <c r="Z1649" t="s">
        <v>27617</v>
      </c>
      <c r="AA1649">
        <v>0.54990424125374848</v>
      </c>
      <c r="AB1649" t="str">
        <f>HYPERLINK("Melting_Curves/meltCurve_O43809_NUDT21.pdf", "Melting_Curves/meltCurve_O43809_NUDT21.pdf")</f>
        <v>Melting_Curves/meltCurve_O43809_NUDT21.pdf</v>
      </c>
    </row>
    <row r="1650" spans="1:28" x14ac:dyDescent="0.25">
      <c r="A1650" t="s">
        <v>1654</v>
      </c>
      <c r="B1650">
        <v>0.99472303558308395</v>
      </c>
      <c r="C1650">
        <v>0.88415606493099896</v>
      </c>
      <c r="D1650">
        <v>0.980327339835531</v>
      </c>
      <c r="E1650">
        <v>0.85981919167117804</v>
      </c>
      <c r="F1650">
        <v>0.69654632532748795</v>
      </c>
      <c r="G1650">
        <v>0.58861308814661495</v>
      </c>
      <c r="H1650">
        <v>0.50228700852348696</v>
      </c>
      <c r="I1650">
        <v>0.40121603100844999</v>
      </c>
      <c r="J1650">
        <v>0.25895362288462498</v>
      </c>
      <c r="K1650">
        <v>0.120700191083325</v>
      </c>
      <c r="L1650">
        <v>479.60494897339203</v>
      </c>
      <c r="M1650">
        <v>8.5153668011273407</v>
      </c>
      <c r="N1650">
        <v>56.322288176190902</v>
      </c>
      <c r="O1650">
        <v>53.473811772835496</v>
      </c>
      <c r="P1650">
        <v>-3.9846554235917701E-2</v>
      </c>
      <c r="Q1650">
        <v>0</v>
      </c>
      <c r="R1650">
        <v>0.97163726386772398</v>
      </c>
      <c r="S1650" t="s">
        <v>8218</v>
      </c>
      <c r="T1650" t="s">
        <v>13134</v>
      </c>
      <c r="U1650" t="s">
        <v>13134</v>
      </c>
      <c r="V1650" t="s">
        <v>13134</v>
      </c>
      <c r="W1650" t="s">
        <v>14745</v>
      </c>
      <c r="X1650">
        <v>14</v>
      </c>
      <c r="Y1650" t="s">
        <v>21224</v>
      </c>
      <c r="Z1650" t="s">
        <v>27618</v>
      </c>
      <c r="AA1650">
        <v>0.64221355929387192</v>
      </c>
      <c r="AB1650" t="str">
        <f>HYPERLINK("Melting_Curves/meltCurve_O43813_LANCL1.pdf", "Melting_Curves/meltCurve_O43813_LANCL1.pdf")</f>
        <v>Melting_Curves/meltCurve_O43813_LANCL1.pdf</v>
      </c>
    </row>
    <row r="1651" spans="1:28" x14ac:dyDescent="0.25">
      <c r="A1651" t="s">
        <v>1655</v>
      </c>
      <c r="B1651">
        <v>0.99472303558308395</v>
      </c>
      <c r="C1651">
        <v>0.944320149580403</v>
      </c>
      <c r="D1651">
        <v>0.73192435936137201</v>
      </c>
      <c r="E1651">
        <v>0.64448161258370995</v>
      </c>
      <c r="F1651">
        <v>0.60121884893493804</v>
      </c>
      <c r="G1651">
        <v>0.23215680533715</v>
      </c>
      <c r="H1651">
        <v>9.2186141283229994E-2</v>
      </c>
      <c r="I1651">
        <v>5.39433011552507E-2</v>
      </c>
      <c r="J1651">
        <v>5.7547374974109299E-2</v>
      </c>
      <c r="K1651">
        <v>5.3149719265718903E-2</v>
      </c>
      <c r="L1651">
        <v>567.50786936049496</v>
      </c>
      <c r="M1651">
        <v>11.5255334444819</v>
      </c>
      <c r="N1651">
        <v>49.239168260183</v>
      </c>
      <c r="O1651">
        <v>47.826858578384901</v>
      </c>
      <c r="P1651">
        <v>-6.02631115185875E-2</v>
      </c>
      <c r="Q1651">
        <v>0</v>
      </c>
      <c r="R1651">
        <v>0.96550489358592895</v>
      </c>
      <c r="S1651" t="s">
        <v>8219</v>
      </c>
      <c r="T1651" t="s">
        <v>13134</v>
      </c>
      <c r="U1651" t="s">
        <v>13134</v>
      </c>
      <c r="V1651" t="s">
        <v>13134</v>
      </c>
      <c r="W1651" t="s">
        <v>14746</v>
      </c>
      <c r="X1651">
        <v>22</v>
      </c>
      <c r="Y1651" t="s">
        <v>21225</v>
      </c>
      <c r="Z1651" t="s">
        <v>27619</v>
      </c>
      <c r="AA1651">
        <v>0.4388310161857284</v>
      </c>
      <c r="AB1651" t="str">
        <f>HYPERLINK("Melting_Curves/meltCurve_O43815_STRN.pdf", "Melting_Curves/meltCurve_O43815_STRN.pdf")</f>
        <v>Melting_Curves/meltCurve_O43815_STRN.pdf</v>
      </c>
    </row>
    <row r="1652" spans="1:28" x14ac:dyDescent="0.25">
      <c r="A1652" t="s">
        <v>1656</v>
      </c>
      <c r="B1652">
        <v>0.99472303558308395</v>
      </c>
      <c r="C1652">
        <v>1.0315505108684999</v>
      </c>
      <c r="D1652">
        <v>0.89100190842494298</v>
      </c>
      <c r="E1652">
        <v>0.87845538125667499</v>
      </c>
      <c r="F1652">
        <v>1.08298331835691</v>
      </c>
      <c r="G1652">
        <v>0.89251841082188199</v>
      </c>
      <c r="H1652">
        <v>0.68873950516893001</v>
      </c>
      <c r="I1652">
        <v>0.49644275932667198</v>
      </c>
      <c r="J1652">
        <v>0.40595608948121897</v>
      </c>
      <c r="K1652">
        <v>0.21497403721811201</v>
      </c>
      <c r="L1652">
        <v>971.14947806718101</v>
      </c>
      <c r="M1652">
        <v>16.098413377318199</v>
      </c>
      <c r="N1652">
        <v>61.1432747482894</v>
      </c>
      <c r="O1652">
        <v>59.4179607041239</v>
      </c>
      <c r="P1652">
        <v>-6.1180197377642798E-2</v>
      </c>
      <c r="Q1652">
        <v>9.6824369671512298E-2</v>
      </c>
      <c r="R1652">
        <v>0.942309699737369</v>
      </c>
      <c r="S1652" t="s">
        <v>8220</v>
      </c>
      <c r="T1652" t="s">
        <v>13134</v>
      </c>
      <c r="U1652" t="s">
        <v>13134</v>
      </c>
      <c r="V1652" t="s">
        <v>13134</v>
      </c>
      <c r="W1652" t="s">
        <v>14747</v>
      </c>
      <c r="X1652">
        <v>17</v>
      </c>
      <c r="Y1652" t="s">
        <v>21226</v>
      </c>
      <c r="Z1652" t="s">
        <v>27620</v>
      </c>
      <c r="AA1652">
        <v>0.79321925563285167</v>
      </c>
      <c r="AB1652" t="str">
        <f>HYPERLINK("Melting_Curves/meltCurve_O43818_RRP9.pdf", "Melting_Curves/meltCurve_O43818_RRP9.pdf")</f>
        <v>Melting_Curves/meltCurve_O43818_RRP9.pdf</v>
      </c>
    </row>
    <row r="1653" spans="1:28" x14ac:dyDescent="0.25">
      <c r="A1653" t="s">
        <v>1657</v>
      </c>
      <c r="B1653">
        <v>0.99472303558308395</v>
      </c>
      <c r="C1653">
        <v>0.935166133209964</v>
      </c>
      <c r="D1653">
        <v>0.88335708336603302</v>
      </c>
      <c r="E1653">
        <v>0.62083987831452603</v>
      </c>
      <c r="F1653">
        <v>0.24272657720124999</v>
      </c>
      <c r="G1653">
        <v>9.71438745202826E-2</v>
      </c>
      <c r="H1653">
        <v>4.5029864159043302E-2</v>
      </c>
      <c r="I1653">
        <v>4.1700828627683199E-2</v>
      </c>
      <c r="J1653">
        <v>4.5928254866489E-2</v>
      </c>
      <c r="K1653">
        <v>4.9662132400667303E-2</v>
      </c>
      <c r="L1653">
        <v>1006.3128924203399</v>
      </c>
      <c r="M1653">
        <v>21.253666541623801</v>
      </c>
      <c r="N1653">
        <v>47.504945781972701</v>
      </c>
      <c r="O1653">
        <v>46.934548437081602</v>
      </c>
      <c r="P1653">
        <v>-0.109367242126877</v>
      </c>
      <c r="Q1653">
        <v>3.3960433039051698E-2</v>
      </c>
      <c r="R1653">
        <v>0.99767816326039405</v>
      </c>
      <c r="S1653" t="s">
        <v>8221</v>
      </c>
      <c r="T1653" t="s">
        <v>13134</v>
      </c>
      <c r="U1653" t="s">
        <v>13134</v>
      </c>
      <c r="V1653" t="s">
        <v>13134</v>
      </c>
      <c r="W1653" t="s">
        <v>14748</v>
      </c>
      <c r="X1653">
        <v>5</v>
      </c>
      <c r="Y1653" t="s">
        <v>21227</v>
      </c>
      <c r="Z1653" t="s">
        <v>27621</v>
      </c>
      <c r="AA1653">
        <v>0.3784194802098223</v>
      </c>
      <c r="AB1653" t="str">
        <f>HYPERLINK("Melting_Curves/meltCurve_O43819_SCO2.pdf", "Melting_Curves/meltCurve_O43819_SCO2.pdf")</f>
        <v>Melting_Curves/meltCurve_O43819_SCO2.pdf</v>
      </c>
    </row>
    <row r="1654" spans="1:28" x14ac:dyDescent="0.25">
      <c r="A1654" t="s">
        <v>1658</v>
      </c>
      <c r="B1654">
        <v>0.99472303558308395</v>
      </c>
      <c r="C1654">
        <v>1.1951327171106401</v>
      </c>
      <c r="D1654">
        <v>0.86074497383845106</v>
      </c>
      <c r="E1654">
        <v>1.0011682677117499</v>
      </c>
      <c r="F1654">
        <v>0.81807692174423696</v>
      </c>
      <c r="G1654">
        <v>0.70992938642522696</v>
      </c>
      <c r="H1654">
        <v>0.52828251656372105</v>
      </c>
      <c r="I1654">
        <v>0.73573400779303499</v>
      </c>
      <c r="J1654">
        <v>0.997084048805018</v>
      </c>
      <c r="K1654">
        <v>0.57757190584643203</v>
      </c>
      <c r="L1654">
        <v>11109.515188446299</v>
      </c>
      <c r="M1654">
        <v>221.82323977249899</v>
      </c>
      <c r="O1654">
        <v>50.078652273352802</v>
      </c>
      <c r="P1654">
        <v>-0.32144810346518798</v>
      </c>
      <c r="Q1654">
        <v>0.70972035947906997</v>
      </c>
      <c r="R1654">
        <v>0.51661693624119998</v>
      </c>
      <c r="S1654" t="s">
        <v>8222</v>
      </c>
      <c r="T1654" t="s">
        <v>13134</v>
      </c>
      <c r="U1654" t="s">
        <v>13134</v>
      </c>
      <c r="V1654" t="s">
        <v>13134</v>
      </c>
      <c r="W1654" t="s">
        <v>14749</v>
      </c>
      <c r="X1654">
        <v>1</v>
      </c>
      <c r="Y1654" t="s">
        <v>21228</v>
      </c>
      <c r="Z1654" t="s">
        <v>27622</v>
      </c>
      <c r="AA1654">
        <v>0.83634118441582783</v>
      </c>
      <c r="AB1654" t="str">
        <f>HYPERLINK("Melting_Curves/meltCurve_O43820_4_HYAL3.pdf", "Melting_Curves/meltCurve_O43820_4_HYAL3.pdf")</f>
        <v>Melting_Curves/meltCurve_O43820_4_HYAL3.pdf</v>
      </c>
    </row>
    <row r="1655" spans="1:28" x14ac:dyDescent="0.25">
      <c r="A1655" t="s">
        <v>1659</v>
      </c>
      <c r="B1655">
        <v>0.99472303558308395</v>
      </c>
      <c r="C1655">
        <v>1.00992003256582</v>
      </c>
      <c r="D1655">
        <v>0.82402539247560502</v>
      </c>
      <c r="E1655">
        <v>0.69076739160296796</v>
      </c>
      <c r="F1655">
        <v>0.39152688863562801</v>
      </c>
      <c r="G1655">
        <v>0.178249959608239</v>
      </c>
      <c r="H1655">
        <v>0.11651478961676701</v>
      </c>
      <c r="I1655">
        <v>0.107898143098264</v>
      </c>
      <c r="J1655">
        <v>0.141304563685138</v>
      </c>
      <c r="K1655">
        <v>0.16645483257273699</v>
      </c>
      <c r="L1655">
        <v>870.07437615911999</v>
      </c>
      <c r="M1655">
        <v>18.209107790683301</v>
      </c>
      <c r="N1655">
        <v>48.460071753291999</v>
      </c>
      <c r="O1655">
        <v>47.217248904860597</v>
      </c>
      <c r="P1655">
        <v>-8.5578198481465501E-2</v>
      </c>
      <c r="Q1655">
        <v>0.112405046164304</v>
      </c>
      <c r="R1655">
        <v>0.98928514900507503</v>
      </c>
      <c r="S1655" t="s">
        <v>8223</v>
      </c>
      <c r="T1655" t="s">
        <v>13134</v>
      </c>
      <c r="U1655" t="s">
        <v>13134</v>
      </c>
      <c r="V1655" t="s">
        <v>13134</v>
      </c>
      <c r="W1655" t="s">
        <v>14750</v>
      </c>
      <c r="X1655">
        <v>5</v>
      </c>
      <c r="Y1655" t="s">
        <v>21229</v>
      </c>
      <c r="Z1655" t="s">
        <v>27623</v>
      </c>
      <c r="AA1655">
        <v>0.44531789888332068</v>
      </c>
      <c r="AB1655" t="str">
        <f>HYPERLINK("Melting_Curves/meltCurve_O43823_AKAP8.pdf", "Melting_Curves/meltCurve_O43823_AKAP8.pdf")</f>
        <v>Melting_Curves/meltCurve_O43823_AKAP8.pdf</v>
      </c>
    </row>
    <row r="1656" spans="1:28" x14ac:dyDescent="0.25">
      <c r="A1656" t="s">
        <v>1660</v>
      </c>
      <c r="B1656">
        <v>0.99472303558308395</v>
      </c>
      <c r="C1656">
        <v>0.94036949831083505</v>
      </c>
      <c r="D1656">
        <v>0.77372452346007803</v>
      </c>
      <c r="E1656">
        <v>0.65150569714440099</v>
      </c>
      <c r="F1656">
        <v>0.44061776493480698</v>
      </c>
      <c r="G1656">
        <v>0.232737202987393</v>
      </c>
      <c r="H1656">
        <v>0.148318578771271</v>
      </c>
      <c r="I1656">
        <v>0.14790188544196001</v>
      </c>
      <c r="J1656">
        <v>0.15566329713246299</v>
      </c>
      <c r="K1656">
        <v>7.0666863397446905E-2</v>
      </c>
      <c r="L1656">
        <v>589.92110411145802</v>
      </c>
      <c r="M1656">
        <v>12.2746832334964</v>
      </c>
      <c r="N1656">
        <v>48.640411239126301</v>
      </c>
      <c r="O1656">
        <v>46.837775534973098</v>
      </c>
      <c r="P1656">
        <v>-6.1067070517950003E-2</v>
      </c>
      <c r="Q1656">
        <v>6.8125716539364903E-2</v>
      </c>
      <c r="R1656">
        <v>0.99177146952238804</v>
      </c>
      <c r="S1656" t="s">
        <v>8224</v>
      </c>
      <c r="T1656" t="s">
        <v>13134</v>
      </c>
      <c r="U1656" t="s">
        <v>13134</v>
      </c>
      <c r="V1656" t="s">
        <v>13134</v>
      </c>
      <c r="W1656" t="s">
        <v>14751</v>
      </c>
      <c r="X1656">
        <v>3</v>
      </c>
      <c r="Y1656" t="s">
        <v>21230</v>
      </c>
      <c r="Z1656" t="s">
        <v>27624</v>
      </c>
      <c r="AA1656">
        <v>0.4398139544277947</v>
      </c>
      <c r="AB1656" t="str">
        <f>HYPERLINK("Melting_Curves/meltCurve_O43824_GTPBP6.pdf", "Melting_Curves/meltCurve_O43824_GTPBP6.pdf")</f>
        <v>Melting_Curves/meltCurve_O43824_GTPBP6.pdf</v>
      </c>
    </row>
    <row r="1657" spans="1:28" x14ac:dyDescent="0.25">
      <c r="A1657" t="s">
        <v>1661</v>
      </c>
      <c r="B1657">
        <v>0.99472303558308395</v>
      </c>
      <c r="C1657">
        <v>1.0973686079832701</v>
      </c>
      <c r="D1657">
        <v>0.845219742529566</v>
      </c>
      <c r="E1657">
        <v>0.74097299364195002</v>
      </c>
      <c r="F1657">
        <v>0.54016565354274904</v>
      </c>
      <c r="G1657">
        <v>0.43903961372716699</v>
      </c>
      <c r="H1657">
        <v>0.329501052556195</v>
      </c>
      <c r="I1657">
        <v>0.379325024631462</v>
      </c>
      <c r="J1657">
        <v>0.43693565360933601</v>
      </c>
      <c r="K1657">
        <v>0.52586815275557197</v>
      </c>
      <c r="L1657">
        <v>987.25545380640301</v>
      </c>
      <c r="M1657">
        <v>21.127558532249701</v>
      </c>
      <c r="N1657">
        <v>51.020347053600197</v>
      </c>
      <c r="O1657">
        <v>46.315737669610797</v>
      </c>
      <c r="P1657">
        <v>-6.6663704829501999E-2</v>
      </c>
      <c r="Q1657">
        <v>0.415455837007773</v>
      </c>
      <c r="R1657">
        <v>0.93508032912391303</v>
      </c>
      <c r="S1657" t="s">
        <v>8225</v>
      </c>
      <c r="T1657" t="s">
        <v>13134</v>
      </c>
      <c r="U1657" t="s">
        <v>13134</v>
      </c>
      <c r="V1657" t="s">
        <v>13134</v>
      </c>
      <c r="W1657" t="s">
        <v>14752</v>
      </c>
      <c r="X1657">
        <v>1</v>
      </c>
      <c r="Y1657" t="s">
        <v>21231</v>
      </c>
      <c r="Z1657" t="s">
        <v>27625</v>
      </c>
      <c r="AA1657">
        <v>0.61186856787452848</v>
      </c>
      <c r="AB1657" t="str">
        <f>HYPERLINK("Melting_Curves/meltCurve_O43826_SLC37A4.pdf", "Melting_Curves/meltCurve_O43826_SLC37A4.pdf")</f>
        <v>Melting_Curves/meltCurve_O43826_SLC37A4.pdf</v>
      </c>
    </row>
    <row r="1658" spans="1:28" x14ac:dyDescent="0.25">
      <c r="A1658" t="s">
        <v>1662</v>
      </c>
      <c r="B1658">
        <v>0.99472303558308395</v>
      </c>
      <c r="C1658">
        <v>0.97895047528948698</v>
      </c>
      <c r="D1658">
        <v>0.95780927214136202</v>
      </c>
      <c r="E1658">
        <v>0.76869571133507497</v>
      </c>
      <c r="F1658">
        <v>0.46092889169642098</v>
      </c>
      <c r="G1658">
        <v>0.41867676603971798</v>
      </c>
      <c r="H1658">
        <v>0.34647283495193398</v>
      </c>
      <c r="I1658">
        <v>0.37349960546001798</v>
      </c>
      <c r="J1658">
        <v>0.52072966522988196</v>
      </c>
      <c r="K1658">
        <v>0.37719764403741501</v>
      </c>
      <c r="L1658">
        <v>1634.66938364303</v>
      </c>
      <c r="M1658">
        <v>34.6702857723891</v>
      </c>
      <c r="N1658">
        <v>49.510765908916298</v>
      </c>
      <c r="O1658">
        <v>46.992969346928199</v>
      </c>
      <c r="P1658">
        <v>-0.109865994217591</v>
      </c>
      <c r="Q1658">
        <v>0.404341761229422</v>
      </c>
      <c r="R1658">
        <v>0.97073137561559297</v>
      </c>
      <c r="S1658" t="s">
        <v>8226</v>
      </c>
      <c r="T1658" t="s">
        <v>13134</v>
      </c>
      <c r="U1658" t="s">
        <v>13134</v>
      </c>
      <c r="V1658" t="s">
        <v>13134</v>
      </c>
      <c r="W1658" t="s">
        <v>14753</v>
      </c>
      <c r="X1658">
        <v>4</v>
      </c>
      <c r="Y1658" t="s">
        <v>21232</v>
      </c>
      <c r="Z1658" t="s">
        <v>27626</v>
      </c>
      <c r="AA1658">
        <v>0.60844455707129319</v>
      </c>
      <c r="AB1658" t="str">
        <f>HYPERLINK("Melting_Curves/meltCurve_O43829_ZBTB14.pdf", "Melting_Curves/meltCurve_O43829_ZBTB14.pdf")</f>
        <v>Melting_Curves/meltCurve_O43829_ZBTB14.pdf</v>
      </c>
    </row>
    <row r="1659" spans="1:28" x14ac:dyDescent="0.25">
      <c r="A1659" t="s">
        <v>1663</v>
      </c>
      <c r="B1659">
        <v>0.99472303558308395</v>
      </c>
      <c r="C1659">
        <v>0.944150413316028</v>
      </c>
      <c r="D1659">
        <v>0.84046158503391399</v>
      </c>
      <c r="E1659">
        <v>0.73202161735053095</v>
      </c>
      <c r="F1659">
        <v>0.49549066034919098</v>
      </c>
      <c r="G1659">
        <v>0.230267496250463</v>
      </c>
      <c r="H1659">
        <v>0.12295366497615499</v>
      </c>
      <c r="I1659">
        <v>5.8084912972520601E-2</v>
      </c>
      <c r="J1659">
        <v>5.63153587010322E-2</v>
      </c>
      <c r="K1659">
        <v>5.6846954356075098E-2</v>
      </c>
      <c r="L1659">
        <v>672.15326707435099</v>
      </c>
      <c r="M1659">
        <v>13.5447023670897</v>
      </c>
      <c r="N1659">
        <v>49.639897563048599</v>
      </c>
      <c r="O1659">
        <v>48.580569591707999</v>
      </c>
      <c r="P1659">
        <v>-6.9569743691953595E-2</v>
      </c>
      <c r="Q1659">
        <v>2.0514559060422401E-3</v>
      </c>
      <c r="R1659">
        <v>0.99508239855204605</v>
      </c>
      <c r="S1659" t="s">
        <v>8227</v>
      </c>
      <c r="T1659" t="s">
        <v>13134</v>
      </c>
      <c r="U1659" t="s">
        <v>13134</v>
      </c>
      <c r="V1659" t="s">
        <v>13134</v>
      </c>
      <c r="W1659" t="s">
        <v>14754</v>
      </c>
      <c r="X1659">
        <v>12</v>
      </c>
      <c r="Y1659" t="s">
        <v>21233</v>
      </c>
      <c r="Z1659" t="s">
        <v>27627</v>
      </c>
      <c r="AA1659">
        <v>0.44644632315028843</v>
      </c>
      <c r="AB1659" t="str">
        <f>HYPERLINK("Melting_Curves/meltCurve_O43837_IDH3B.pdf", "Melting_Curves/meltCurve_O43837_IDH3B.pdf")</f>
        <v>Melting_Curves/meltCurve_O43837_IDH3B.pdf</v>
      </c>
    </row>
    <row r="1660" spans="1:28" x14ac:dyDescent="0.25">
      <c r="A1660" t="s">
        <v>1664</v>
      </c>
      <c r="B1660">
        <v>0.99472303558308395</v>
      </c>
      <c r="C1660">
        <v>1.0107068096620699</v>
      </c>
      <c r="D1660">
        <v>0.93200335970870796</v>
      </c>
      <c r="E1660">
        <v>0.83602251760740298</v>
      </c>
      <c r="F1660">
        <v>0.65081531226419698</v>
      </c>
      <c r="G1660">
        <v>0.50203690105593302</v>
      </c>
      <c r="H1660">
        <v>0.43229987969275102</v>
      </c>
      <c r="I1660">
        <v>0.47601278354775101</v>
      </c>
      <c r="J1660">
        <v>0.69545161823645596</v>
      </c>
      <c r="K1660">
        <v>0.51000119697847901</v>
      </c>
      <c r="L1660">
        <v>1231.7907185593599</v>
      </c>
      <c r="M1660">
        <v>25.819067521431698</v>
      </c>
      <c r="O1660">
        <v>47.425143442053503</v>
      </c>
      <c r="P1660">
        <v>-6.5184928171645007E-2</v>
      </c>
      <c r="Q1660">
        <v>0.52107224949132003</v>
      </c>
      <c r="R1660">
        <v>0.898995127788907</v>
      </c>
      <c r="S1660" t="s">
        <v>8228</v>
      </c>
      <c r="T1660" t="s">
        <v>13134</v>
      </c>
      <c r="U1660" t="s">
        <v>13134</v>
      </c>
      <c r="V1660" t="s">
        <v>13134</v>
      </c>
      <c r="W1660" t="s">
        <v>14755</v>
      </c>
      <c r="X1660">
        <v>20</v>
      </c>
      <c r="Y1660" t="s">
        <v>21234</v>
      </c>
      <c r="Z1660" t="s">
        <v>27628</v>
      </c>
      <c r="AA1660">
        <v>0.69583787736129188</v>
      </c>
      <c r="AB1660" t="str">
        <f>HYPERLINK("Melting_Curves/meltCurve_O43852_CALU.pdf", "Melting_Curves/meltCurve_O43852_CALU.pdf")</f>
        <v>Melting_Curves/meltCurve_O43852_CALU.pdf</v>
      </c>
    </row>
    <row r="1661" spans="1:28" x14ac:dyDescent="0.25">
      <c r="A1661" t="s">
        <v>1665</v>
      </c>
      <c r="B1661">
        <v>0.99472303558308395</v>
      </c>
      <c r="C1661">
        <v>0.796592889285198</v>
      </c>
      <c r="D1661">
        <v>0.999972429508036</v>
      </c>
      <c r="E1661">
        <v>0.82929366910410596</v>
      </c>
      <c r="F1661">
        <v>0.54014833957974695</v>
      </c>
      <c r="G1661">
        <v>0.332492050540249</v>
      </c>
      <c r="H1661">
        <v>0.155046648636193</v>
      </c>
      <c r="I1661">
        <v>0.115996637852222</v>
      </c>
      <c r="J1661">
        <v>9.1839074139293098E-2</v>
      </c>
      <c r="K1661">
        <v>6.7388092689790596E-2</v>
      </c>
      <c r="L1661">
        <v>815.59798676099695</v>
      </c>
      <c r="M1661">
        <v>16.110962277643502</v>
      </c>
      <c r="N1661">
        <v>50.9742335571962</v>
      </c>
      <c r="O1661">
        <v>49.863124523971898</v>
      </c>
      <c r="P1661">
        <v>-7.6547486553282001E-2</v>
      </c>
      <c r="Q1661">
        <v>5.2420400193356198E-2</v>
      </c>
      <c r="R1661">
        <v>0.96969090484407106</v>
      </c>
      <c r="S1661" t="s">
        <v>8229</v>
      </c>
      <c r="T1661" t="s">
        <v>13134</v>
      </c>
      <c r="U1661" t="s">
        <v>13134</v>
      </c>
      <c r="V1661" t="s">
        <v>13134</v>
      </c>
      <c r="W1661" t="s">
        <v>14756</v>
      </c>
      <c r="X1661">
        <v>21</v>
      </c>
      <c r="Y1661" t="s">
        <v>21235</v>
      </c>
      <c r="Z1661" t="s">
        <v>27629</v>
      </c>
      <c r="AA1661">
        <v>0.5002588553761308</v>
      </c>
      <c r="AB1661" t="str">
        <f>HYPERLINK("Melting_Curves/meltCurve_O43865_AHCYL1.pdf", "Melting_Curves/meltCurve_O43865_AHCYL1.pdf")</f>
        <v>Melting_Curves/meltCurve_O43865_AHCYL1.pdf</v>
      </c>
    </row>
    <row r="1662" spans="1:28" x14ac:dyDescent="0.25">
      <c r="A1662" t="s">
        <v>1666</v>
      </c>
      <c r="B1662">
        <v>0.99472303558308395</v>
      </c>
      <c r="C1662">
        <v>1.0201451613908701</v>
      </c>
      <c r="D1662">
        <v>0.82786196988703498</v>
      </c>
      <c r="E1662">
        <v>0.62172793690906003</v>
      </c>
      <c r="F1662">
        <v>0.45028885003742702</v>
      </c>
      <c r="G1662">
        <v>0.215185873863528</v>
      </c>
      <c r="H1662">
        <v>7.4345359031272304E-2</v>
      </c>
      <c r="I1662">
        <v>8.5588821040713706E-2</v>
      </c>
      <c r="J1662">
        <v>4.73742335856926E-2</v>
      </c>
      <c r="K1662">
        <v>8.6514260381676505E-2</v>
      </c>
      <c r="L1662">
        <v>691.48098353324201</v>
      </c>
      <c r="M1662">
        <v>14.273605465107799</v>
      </c>
      <c r="N1662">
        <v>48.665632352654299</v>
      </c>
      <c r="O1662">
        <v>47.523598263904098</v>
      </c>
      <c r="P1662">
        <v>-7.2740541387235E-2</v>
      </c>
      <c r="Q1662">
        <v>3.1367881169043599E-2</v>
      </c>
      <c r="R1662">
        <v>0.99073621267905299</v>
      </c>
      <c r="S1662" t="s">
        <v>8230</v>
      </c>
      <c r="T1662" t="s">
        <v>13134</v>
      </c>
      <c r="U1662" t="s">
        <v>13134</v>
      </c>
      <c r="V1662" t="s">
        <v>13134</v>
      </c>
      <c r="W1662" t="s">
        <v>14757</v>
      </c>
      <c r="X1662">
        <v>3</v>
      </c>
      <c r="Y1662" t="s">
        <v>21236</v>
      </c>
      <c r="Z1662" t="s">
        <v>27630</v>
      </c>
      <c r="AA1662">
        <v>0.42376895202949549</v>
      </c>
      <c r="AB1662" t="str">
        <f>HYPERLINK("Melting_Curves/meltCurve_O43896_KIF1C.pdf", "Melting_Curves/meltCurve_O43896_KIF1C.pdf")</f>
        <v>Melting_Curves/meltCurve_O43896_KIF1C.pdf</v>
      </c>
    </row>
    <row r="1663" spans="1:28" x14ac:dyDescent="0.25">
      <c r="A1663" t="s">
        <v>1667</v>
      </c>
      <c r="B1663">
        <v>0.99472303558308395</v>
      </c>
      <c r="C1663">
        <v>1.00796352925586</v>
      </c>
      <c r="D1663">
        <v>0.84841121210993897</v>
      </c>
      <c r="E1663">
        <v>0.42850850524351403</v>
      </c>
      <c r="F1663">
        <v>0.14129487327804699</v>
      </c>
      <c r="G1663">
        <v>7.0420387929979997E-2</v>
      </c>
      <c r="H1663">
        <v>4.6868533614556097E-2</v>
      </c>
      <c r="I1663">
        <v>3.0212536502488702E-2</v>
      </c>
      <c r="J1663">
        <v>4.8927417382519198E-2</v>
      </c>
      <c r="K1663">
        <v>2.8414717887900402E-2</v>
      </c>
      <c r="L1663">
        <v>1162.4972811186201</v>
      </c>
      <c r="M1663">
        <v>25.320967211991601</v>
      </c>
      <c r="N1663">
        <v>46.057825945807501</v>
      </c>
      <c r="O1663">
        <v>45.626994513217802</v>
      </c>
      <c r="P1663">
        <v>-0.13334233194287401</v>
      </c>
      <c r="Q1663">
        <v>3.8910327912241201E-2</v>
      </c>
      <c r="R1663">
        <v>0.99921507356176298</v>
      </c>
      <c r="S1663" t="s">
        <v>8231</v>
      </c>
      <c r="T1663" t="s">
        <v>13134</v>
      </c>
      <c r="U1663" t="s">
        <v>13134</v>
      </c>
      <c r="V1663" t="s">
        <v>13134</v>
      </c>
      <c r="W1663" t="s">
        <v>14758</v>
      </c>
      <c r="X1663">
        <v>9</v>
      </c>
      <c r="Y1663" t="s">
        <v>21237</v>
      </c>
      <c r="Z1663" t="s">
        <v>27631</v>
      </c>
      <c r="AA1663">
        <v>0.33211804041867771</v>
      </c>
      <c r="AB1663" t="str">
        <f>HYPERLINK("Melting_Curves/meltCurve_O43913_ORC5.pdf", "Melting_Curves/meltCurve_O43913_ORC5.pdf")</f>
        <v>Melting_Curves/meltCurve_O43913_ORC5.pdf</v>
      </c>
    </row>
    <row r="1664" spans="1:28" x14ac:dyDescent="0.25">
      <c r="A1664" t="s">
        <v>1668</v>
      </c>
      <c r="B1664">
        <v>0.99472303558308395</v>
      </c>
      <c r="C1664">
        <v>0.96622394542675905</v>
      </c>
      <c r="D1664">
        <v>0.73973856435880603</v>
      </c>
      <c r="E1664">
        <v>0.68758003626661701</v>
      </c>
      <c r="F1664">
        <v>0.50579032059835705</v>
      </c>
      <c r="G1664">
        <v>0.26128945837013101</v>
      </c>
      <c r="H1664">
        <v>0.14660331437433</v>
      </c>
      <c r="I1664">
        <v>0.136783689273729</v>
      </c>
      <c r="J1664">
        <v>0.144296875782946</v>
      </c>
      <c r="K1664">
        <v>9.0894440958943404E-2</v>
      </c>
      <c r="L1664">
        <v>551.31414828112997</v>
      </c>
      <c r="M1664">
        <v>11.279081748142</v>
      </c>
      <c r="N1664">
        <v>49.2964683558289</v>
      </c>
      <c r="O1664">
        <v>47.4184328952269</v>
      </c>
      <c r="P1664">
        <v>-5.6776640360700098E-2</v>
      </c>
      <c r="Q1664">
        <v>4.5512550555826599E-2</v>
      </c>
      <c r="R1664">
        <v>0.98313601259633798</v>
      </c>
      <c r="S1664" t="s">
        <v>8232</v>
      </c>
      <c r="T1664" t="s">
        <v>13134</v>
      </c>
      <c r="U1664" t="s">
        <v>13134</v>
      </c>
      <c r="V1664" t="s">
        <v>13134</v>
      </c>
      <c r="W1664" t="s">
        <v>14759</v>
      </c>
      <c r="X1664">
        <v>6</v>
      </c>
      <c r="Y1664" t="s">
        <v>21238</v>
      </c>
      <c r="Z1664" t="s">
        <v>27632</v>
      </c>
      <c r="AA1664">
        <v>0.45443193673482402</v>
      </c>
      <c r="AB1664" t="str">
        <f>HYPERLINK("Melting_Curves/meltCurve_O43920_NDUFS5.pdf", "Melting_Curves/meltCurve_O43920_NDUFS5.pdf")</f>
        <v>Melting_Curves/meltCurve_O43920_NDUFS5.pdf</v>
      </c>
    </row>
    <row r="1665" spans="1:28" x14ac:dyDescent="0.25">
      <c r="A1665" t="s">
        <v>1669</v>
      </c>
      <c r="B1665">
        <v>0.99472303558308395</v>
      </c>
      <c r="C1665">
        <v>1.06555791330514</v>
      </c>
      <c r="D1665">
        <v>0.91752530429249901</v>
      </c>
      <c r="E1665">
        <v>0.86735744782064805</v>
      </c>
      <c r="F1665">
        <v>0.51736406855018302</v>
      </c>
      <c r="G1665">
        <v>9.09801503325217E-2</v>
      </c>
      <c r="H1665">
        <v>7.1017836549441701E-2</v>
      </c>
      <c r="I1665">
        <v>5.9737813122636998E-2</v>
      </c>
      <c r="J1665">
        <v>6.3968076968273502E-2</v>
      </c>
      <c r="K1665">
        <v>3.49689086962294E-2</v>
      </c>
      <c r="L1665">
        <v>1469.5981037410299</v>
      </c>
      <c r="M1665">
        <v>29.430369663205902</v>
      </c>
      <c r="N1665">
        <v>50.084404682178601</v>
      </c>
      <c r="O1665">
        <v>49.705901463679403</v>
      </c>
      <c r="P1665">
        <v>-0.141792873382136</v>
      </c>
      <c r="Q1665">
        <v>4.2092491968059503E-2</v>
      </c>
      <c r="R1665">
        <v>0.99145032389934995</v>
      </c>
      <c r="S1665" t="s">
        <v>8233</v>
      </c>
      <c r="T1665" t="s">
        <v>13134</v>
      </c>
      <c r="U1665" t="s">
        <v>13134</v>
      </c>
      <c r="V1665" t="s">
        <v>13134</v>
      </c>
      <c r="W1665" t="s">
        <v>14760</v>
      </c>
      <c r="X1665">
        <v>1</v>
      </c>
      <c r="Y1665" t="s">
        <v>21239</v>
      </c>
      <c r="Z1665" t="s">
        <v>27633</v>
      </c>
      <c r="AA1665">
        <v>0.46119973068760012</v>
      </c>
      <c r="AB1665" t="str">
        <f>HYPERLINK("Melting_Curves/meltCurve_O43924_PDE6D.pdf", "Melting_Curves/meltCurve_O43924_PDE6D.pdf")</f>
        <v>Melting_Curves/meltCurve_O43924_PDE6D.pdf</v>
      </c>
    </row>
    <row r="1666" spans="1:28" x14ac:dyDescent="0.25">
      <c r="A1666" t="s">
        <v>1670</v>
      </c>
      <c r="B1666">
        <v>0.99472303558308395</v>
      </c>
      <c r="C1666">
        <v>0.92828211029190799</v>
      </c>
      <c r="D1666">
        <v>1.03347999343571</v>
      </c>
      <c r="E1666">
        <v>0.65575886241610504</v>
      </c>
      <c r="F1666">
        <v>0.223664779931189</v>
      </c>
      <c r="G1666">
        <v>0.126765947927136</v>
      </c>
      <c r="H1666">
        <v>2.0390180220617199E-2</v>
      </c>
      <c r="I1666">
        <v>5.8514950049777303E-2</v>
      </c>
      <c r="J1666">
        <v>1.55086922578571E-2</v>
      </c>
      <c r="K1666">
        <v>2.01859979131607E-2</v>
      </c>
      <c r="L1666">
        <v>1360.3650628078601</v>
      </c>
      <c r="M1666">
        <v>28.5188246466858</v>
      </c>
      <c r="N1666">
        <v>47.831637114804401</v>
      </c>
      <c r="O1666">
        <v>47.4679094378427</v>
      </c>
      <c r="P1666">
        <v>-0.14455784200431601</v>
      </c>
      <c r="Q1666">
        <v>3.75754999851063E-2</v>
      </c>
      <c r="R1666">
        <v>0.99138884351530498</v>
      </c>
      <c r="S1666" t="s">
        <v>8234</v>
      </c>
      <c r="T1666" t="s">
        <v>13134</v>
      </c>
      <c r="U1666" t="s">
        <v>13134</v>
      </c>
      <c r="V1666" t="s">
        <v>13134</v>
      </c>
      <c r="W1666" t="s">
        <v>14761</v>
      </c>
      <c r="X1666">
        <v>2</v>
      </c>
      <c r="Y1666" t="s">
        <v>21240</v>
      </c>
      <c r="Z1666" t="s">
        <v>27634</v>
      </c>
      <c r="AA1666">
        <v>0.38713496566708122</v>
      </c>
      <c r="AB1666" t="str">
        <f>HYPERLINK("Melting_Curves/meltCurve_O43930_PRKY.pdf", "Melting_Curves/meltCurve_O43930_PRKY.pdf")</f>
        <v>Melting_Curves/meltCurve_O43930_PRKY.pdf</v>
      </c>
    </row>
    <row r="1667" spans="1:28" x14ac:dyDescent="0.25">
      <c r="A1667" t="s">
        <v>1671</v>
      </c>
      <c r="B1667">
        <v>0.99472303558308395</v>
      </c>
      <c r="C1667">
        <v>0.884859197689572</v>
      </c>
      <c r="D1667">
        <v>0.75447991553245397</v>
      </c>
      <c r="E1667">
        <v>0.62598003855327899</v>
      </c>
      <c r="F1667">
        <v>0.52476531958060002</v>
      </c>
      <c r="G1667">
        <v>0.18856196903747799</v>
      </c>
      <c r="H1667">
        <v>8.6575879807114398E-2</v>
      </c>
      <c r="I1667">
        <v>5.6460159518990603E-2</v>
      </c>
      <c r="J1667">
        <v>4.7012373824346199E-2</v>
      </c>
      <c r="K1667">
        <v>4.9581030746577902E-2</v>
      </c>
      <c r="L1667">
        <v>563.23336151645401</v>
      </c>
      <c r="M1667">
        <v>11.605360737498</v>
      </c>
      <c r="N1667">
        <v>48.532171869461699</v>
      </c>
      <c r="O1667">
        <v>47.158323246721103</v>
      </c>
      <c r="P1667">
        <v>-6.15402778160054E-2</v>
      </c>
      <c r="Q1667">
        <v>0</v>
      </c>
      <c r="R1667">
        <v>0.97860421342583703</v>
      </c>
      <c r="S1667" t="s">
        <v>8235</v>
      </c>
      <c r="T1667" t="s">
        <v>13134</v>
      </c>
      <c r="U1667" t="s">
        <v>13134</v>
      </c>
      <c r="V1667" t="s">
        <v>13134</v>
      </c>
      <c r="W1667" t="s">
        <v>14762</v>
      </c>
      <c r="X1667">
        <v>7</v>
      </c>
      <c r="Y1667" t="s">
        <v>21241</v>
      </c>
      <c r="Z1667" t="s">
        <v>27635</v>
      </c>
      <c r="AA1667">
        <v>0.41631091801343778</v>
      </c>
      <c r="AB1667" t="str">
        <f>HYPERLINK("Melting_Curves/meltCurve_O43933_PEX1.pdf", "Melting_Curves/meltCurve_O43933_PEX1.pdf")</f>
        <v>Melting_Curves/meltCurve_O43933_PEX1.pdf</v>
      </c>
    </row>
    <row r="1668" spans="1:28" x14ac:dyDescent="0.25">
      <c r="A1668" t="s">
        <v>1672</v>
      </c>
      <c r="B1668">
        <v>0.99472303558308395</v>
      </c>
      <c r="C1668">
        <v>0.96130969830473301</v>
      </c>
      <c r="D1668">
        <v>0.78491870122512497</v>
      </c>
      <c r="E1668">
        <v>0.67299923811916995</v>
      </c>
      <c r="F1668">
        <v>0.64381182833152895</v>
      </c>
      <c r="G1668">
        <v>0.26356721492631002</v>
      </c>
      <c r="H1668">
        <v>0.104005874810093</v>
      </c>
      <c r="I1668">
        <v>5.3669344878709301E-2</v>
      </c>
      <c r="J1668">
        <v>4.9302064815431E-2</v>
      </c>
      <c r="K1668">
        <v>4.84732548546222E-2</v>
      </c>
      <c r="L1668">
        <v>622.93344820096297</v>
      </c>
      <c r="M1668">
        <v>12.4481246339995</v>
      </c>
      <c r="N1668">
        <v>50.042361561985501</v>
      </c>
      <c r="O1668">
        <v>48.8035296450701</v>
      </c>
      <c r="P1668">
        <v>-6.3779852946132407E-2</v>
      </c>
      <c r="Q1668">
        <v>0</v>
      </c>
      <c r="R1668">
        <v>0.969363457311475</v>
      </c>
      <c r="S1668" t="s">
        <v>8236</v>
      </c>
      <c r="T1668" t="s">
        <v>13134</v>
      </c>
      <c r="U1668" t="s">
        <v>13134</v>
      </c>
      <c r="V1668" t="s">
        <v>13134</v>
      </c>
      <c r="W1668" t="s">
        <v>14763</v>
      </c>
      <c r="X1668">
        <v>14</v>
      </c>
      <c r="Y1668" t="s">
        <v>21242</v>
      </c>
      <c r="Z1668" t="s">
        <v>27636</v>
      </c>
      <c r="AA1668">
        <v>0.46147256073705628</v>
      </c>
      <c r="AB1668" t="str">
        <f>HYPERLINK("Melting_Curves/meltCurve_O60216_RAD21.pdf", "Melting_Curves/meltCurve_O60216_RAD21.pdf")</f>
        <v>Melting_Curves/meltCurve_O60216_RAD21.pdf</v>
      </c>
    </row>
    <row r="1669" spans="1:28" x14ac:dyDescent="0.25">
      <c r="A1669" t="s">
        <v>1673</v>
      </c>
      <c r="B1669">
        <v>0.99472303558308395</v>
      </c>
      <c r="C1669">
        <v>0.97309878945079298</v>
      </c>
      <c r="D1669">
        <v>0.92746221069995705</v>
      </c>
      <c r="E1669">
        <v>0.89791148099672502</v>
      </c>
      <c r="F1669">
        <v>0.77683235516184701</v>
      </c>
      <c r="G1669">
        <v>0.58886378543007001</v>
      </c>
      <c r="H1669">
        <v>0.53773378290919704</v>
      </c>
      <c r="I1669">
        <v>0.53055902490837803</v>
      </c>
      <c r="J1669">
        <v>0.69194248240567302</v>
      </c>
      <c r="K1669">
        <v>0.58067512815467304</v>
      </c>
      <c r="L1669">
        <v>1139.9613758048999</v>
      </c>
      <c r="M1669">
        <v>23.2031079684091</v>
      </c>
      <c r="O1669">
        <v>48.769125194712302</v>
      </c>
      <c r="P1669">
        <v>-5.0310912320927999E-2</v>
      </c>
      <c r="Q1669">
        <v>0.57702652065389703</v>
      </c>
      <c r="R1669">
        <v>0.91958878367299002</v>
      </c>
      <c r="S1669" t="s">
        <v>8237</v>
      </c>
      <c r="T1669" t="s">
        <v>13134</v>
      </c>
      <c r="U1669" t="s">
        <v>13134</v>
      </c>
      <c r="V1669" t="s">
        <v>13134</v>
      </c>
      <c r="W1669" t="s">
        <v>14764</v>
      </c>
      <c r="X1669">
        <v>7</v>
      </c>
      <c r="Y1669" t="s">
        <v>21243</v>
      </c>
      <c r="Z1669" t="s">
        <v>27637</v>
      </c>
      <c r="AA1669">
        <v>0.75227035349766824</v>
      </c>
      <c r="AB1669" t="str">
        <f>HYPERLINK("Melting_Curves/meltCurve_O60220_TIMM8A.pdf", "Melting_Curves/meltCurve_O60220_TIMM8A.pdf")</f>
        <v>Melting_Curves/meltCurve_O60220_TIMM8A.pdf</v>
      </c>
    </row>
    <row r="1670" spans="1:28" x14ac:dyDescent="0.25">
      <c r="A1670" t="s">
        <v>1674</v>
      </c>
      <c r="B1670">
        <v>0.99472303558308395</v>
      </c>
      <c r="C1670">
        <v>1.00253126877646</v>
      </c>
      <c r="D1670">
        <v>0.90990649219819097</v>
      </c>
      <c r="E1670">
        <v>0.72859029770717598</v>
      </c>
      <c r="F1670">
        <v>0.50028773261510295</v>
      </c>
      <c r="G1670">
        <v>0.198822302405847</v>
      </c>
      <c r="H1670">
        <v>0.10109821446195399</v>
      </c>
      <c r="I1670">
        <v>7.8575337896481898E-2</v>
      </c>
      <c r="J1670">
        <v>8.6857179798982997E-2</v>
      </c>
      <c r="K1670">
        <v>6.9812177758081101E-2</v>
      </c>
      <c r="L1670">
        <v>857.82355436853595</v>
      </c>
      <c r="M1670">
        <v>17.387699436555302</v>
      </c>
      <c r="N1670">
        <v>49.630347028505497</v>
      </c>
      <c r="O1670">
        <v>48.696373132524599</v>
      </c>
      <c r="P1670">
        <v>-8.4884387662730307E-2</v>
      </c>
      <c r="Q1670">
        <v>4.9137099373069398E-2</v>
      </c>
      <c r="R1670">
        <v>0.99630313238277701</v>
      </c>
      <c r="S1670" t="s">
        <v>8238</v>
      </c>
      <c r="T1670" t="s">
        <v>13134</v>
      </c>
      <c r="U1670" t="s">
        <v>13134</v>
      </c>
      <c r="V1670" t="s">
        <v>13134</v>
      </c>
      <c r="W1670" t="s">
        <v>14765</v>
      </c>
      <c r="X1670">
        <v>32</v>
      </c>
      <c r="Y1670" t="s">
        <v>21244</v>
      </c>
      <c r="Z1670" t="s">
        <v>27638</v>
      </c>
      <c r="AA1670">
        <v>0.45609473744461759</v>
      </c>
      <c r="AB1670" t="str">
        <f>HYPERLINK("Melting_Curves/meltCurve_O60231_DHX16.pdf", "Melting_Curves/meltCurve_O60231_DHX16.pdf")</f>
        <v>Melting_Curves/meltCurve_O60231_DHX16.pdf</v>
      </c>
    </row>
    <row r="1671" spans="1:28" x14ac:dyDescent="0.25">
      <c r="A1671" t="s">
        <v>1675</v>
      </c>
      <c r="B1671">
        <v>0.99472303558308395</v>
      </c>
      <c r="C1671">
        <v>0.99883518395127702</v>
      </c>
      <c r="D1671">
        <v>1.0210530228502299</v>
      </c>
      <c r="E1671">
        <v>0.87318599640070604</v>
      </c>
      <c r="F1671">
        <v>0.50403119627397797</v>
      </c>
      <c r="G1671">
        <v>0.28592439640148898</v>
      </c>
      <c r="H1671">
        <v>0.1711803653674</v>
      </c>
      <c r="I1671">
        <v>0.14536607742831401</v>
      </c>
      <c r="J1671">
        <v>0.14947075715781899</v>
      </c>
      <c r="K1671">
        <v>0.100627533447937</v>
      </c>
      <c r="L1671">
        <v>1198.0369856510799</v>
      </c>
      <c r="M1671">
        <v>24.041303899425799</v>
      </c>
      <c r="N1671">
        <v>50.476562783022302</v>
      </c>
      <c r="O1671">
        <v>49.491503312457901</v>
      </c>
      <c r="P1671">
        <v>-0.105401198308865</v>
      </c>
      <c r="Q1671">
        <v>0.13209671761119701</v>
      </c>
      <c r="R1671">
        <v>0.99700302278402797</v>
      </c>
      <c r="S1671" t="s">
        <v>8239</v>
      </c>
      <c r="T1671" t="s">
        <v>13134</v>
      </c>
      <c r="U1671" t="s">
        <v>13134</v>
      </c>
      <c r="V1671" t="s">
        <v>13134</v>
      </c>
      <c r="W1671" t="s">
        <v>14479</v>
      </c>
      <c r="X1671">
        <v>8</v>
      </c>
      <c r="Y1671" t="s">
        <v>20965</v>
      </c>
      <c r="Z1671" t="s">
        <v>27639</v>
      </c>
      <c r="AA1671">
        <v>0.51150218086312882</v>
      </c>
      <c r="AB1671" t="str">
        <f>HYPERLINK("Melting_Curves/meltCurve_O60234_GMFG.pdf", "Melting_Curves/meltCurve_O60234_GMFG.pdf")</f>
        <v>Melting_Curves/meltCurve_O60234_GMFG.pdf</v>
      </c>
    </row>
    <row r="1672" spans="1:28" x14ac:dyDescent="0.25">
      <c r="A1672" t="s">
        <v>1676</v>
      </c>
      <c r="B1672">
        <v>0.99472303558308395</v>
      </c>
      <c r="C1672">
        <v>1.0718156537511301</v>
      </c>
      <c r="D1672">
        <v>0.99170544049811304</v>
      </c>
      <c r="E1672">
        <v>0.92497547645511702</v>
      </c>
      <c r="F1672">
        <v>0.74541070370649598</v>
      </c>
      <c r="G1672">
        <v>0.38079576440566199</v>
      </c>
      <c r="H1672">
        <v>0.21745896407422499</v>
      </c>
      <c r="I1672">
        <v>0.159858535956211</v>
      </c>
      <c r="J1672">
        <v>0.214899290084344</v>
      </c>
      <c r="K1672">
        <v>0.14732838435736101</v>
      </c>
      <c r="L1672">
        <v>1338.36448147028</v>
      </c>
      <c r="M1672">
        <v>25.904772953360201</v>
      </c>
      <c r="N1672">
        <v>52.473002352558801</v>
      </c>
      <c r="O1672">
        <v>51.359847695997502</v>
      </c>
      <c r="P1672">
        <v>-0.105352578760289</v>
      </c>
      <c r="Q1672">
        <v>0.16450466815492101</v>
      </c>
      <c r="R1672">
        <v>0.99353656350131603</v>
      </c>
      <c r="S1672" t="s">
        <v>8240</v>
      </c>
      <c r="T1672" t="s">
        <v>13134</v>
      </c>
      <c r="U1672" t="s">
        <v>13134</v>
      </c>
      <c r="V1672" t="s">
        <v>13134</v>
      </c>
      <c r="W1672" t="s">
        <v>14766</v>
      </c>
      <c r="X1672">
        <v>6</v>
      </c>
      <c r="Y1672" t="s">
        <v>21245</v>
      </c>
      <c r="Z1672" t="s">
        <v>27640</v>
      </c>
      <c r="AA1672">
        <v>0.57984639197526278</v>
      </c>
      <c r="AB1672" t="str">
        <f>HYPERLINK("Melting_Curves/meltCurve_O60239_SH3BP5.pdf", "Melting_Curves/meltCurve_O60239_SH3BP5.pdf")</f>
        <v>Melting_Curves/meltCurve_O60239_SH3BP5.pdf</v>
      </c>
    </row>
    <row r="1673" spans="1:28" x14ac:dyDescent="0.25">
      <c r="A1673" t="s">
        <v>1677</v>
      </c>
      <c r="B1673">
        <v>0.99472303558308395</v>
      </c>
      <c r="C1673">
        <v>0.89421058485482696</v>
      </c>
      <c r="D1673">
        <v>0.714773838837366</v>
      </c>
      <c r="E1673">
        <v>0.54392905196183505</v>
      </c>
      <c r="F1673">
        <v>0.34334861547231899</v>
      </c>
      <c r="G1673">
        <v>0.16482024473583001</v>
      </c>
      <c r="H1673">
        <v>0.13454857423106301</v>
      </c>
      <c r="I1673">
        <v>9.5767222379832401E-2</v>
      </c>
      <c r="J1673">
        <v>0.11756292475385299</v>
      </c>
      <c r="K1673">
        <v>8.7228205434883702E-2</v>
      </c>
      <c r="L1673">
        <v>592.52364739346501</v>
      </c>
      <c r="M1673">
        <v>12.777346580629199</v>
      </c>
      <c r="N1673">
        <v>46.891502868597598</v>
      </c>
      <c r="O1673">
        <v>45.281126802226403</v>
      </c>
      <c r="P1673">
        <v>-6.5909413712198398E-2</v>
      </c>
      <c r="Q1673">
        <v>6.5881574494182304E-2</v>
      </c>
      <c r="R1673">
        <v>0.99512934637723804</v>
      </c>
      <c r="S1673" t="s">
        <v>8241</v>
      </c>
      <c r="T1673" t="s">
        <v>13134</v>
      </c>
      <c r="U1673" t="s">
        <v>13134</v>
      </c>
      <c r="V1673" t="s">
        <v>13134</v>
      </c>
      <c r="W1673" t="s">
        <v>14767</v>
      </c>
      <c r="X1673">
        <v>2</v>
      </c>
      <c r="Y1673" t="s">
        <v>21246</v>
      </c>
      <c r="Z1673" t="s">
        <v>27641</v>
      </c>
      <c r="AA1673">
        <v>0.3861773776595398</v>
      </c>
      <c r="AB1673" t="str">
        <f>HYPERLINK("Melting_Curves/meltCurve_O60244_MED14.pdf", "Melting_Curves/meltCurve_O60244_MED14.pdf")</f>
        <v>Melting_Curves/meltCurve_O60244_MED14.pdf</v>
      </c>
    </row>
    <row r="1674" spans="1:28" x14ac:dyDescent="0.25">
      <c r="A1674" t="s">
        <v>1678</v>
      </c>
      <c r="B1674">
        <v>0.99472303558308395</v>
      </c>
      <c r="C1674">
        <v>0.97336641109554001</v>
      </c>
      <c r="D1674">
        <v>0.88025544278185197</v>
      </c>
      <c r="E1674">
        <v>0.82315653825173796</v>
      </c>
      <c r="F1674">
        <v>0.94668450905726598</v>
      </c>
      <c r="G1674">
        <v>0.58430801351501704</v>
      </c>
      <c r="H1674">
        <v>0.40805009563669298</v>
      </c>
      <c r="I1674">
        <v>0.38659613898647799</v>
      </c>
      <c r="J1674">
        <v>0.35748234839031401</v>
      </c>
      <c r="K1674">
        <v>0.27067163520762899</v>
      </c>
      <c r="L1674">
        <v>784.16586793784097</v>
      </c>
      <c r="M1674">
        <v>14.5950095235861</v>
      </c>
      <c r="N1674">
        <v>56.459090376459898</v>
      </c>
      <c r="O1674">
        <v>52.749919810579698</v>
      </c>
      <c r="P1674">
        <v>-5.1664536080661003E-2</v>
      </c>
      <c r="Q1674">
        <v>0.25317110544217902</v>
      </c>
      <c r="R1674">
        <v>0.93454362153132697</v>
      </c>
      <c r="S1674" t="s">
        <v>8242</v>
      </c>
      <c r="T1674" t="s">
        <v>13134</v>
      </c>
      <c r="U1674" t="s">
        <v>13134</v>
      </c>
      <c r="V1674" t="s">
        <v>13134</v>
      </c>
      <c r="W1674" t="s">
        <v>14768</v>
      </c>
      <c r="X1674">
        <v>8</v>
      </c>
      <c r="Y1674" t="s">
        <v>21247</v>
      </c>
      <c r="Z1674" t="s">
        <v>27642</v>
      </c>
      <c r="AA1674">
        <v>0.68233611038778741</v>
      </c>
      <c r="AB1674" t="str">
        <f>HYPERLINK("Melting_Curves/meltCurve_O60256_PRPSAP2.pdf", "Melting_Curves/meltCurve_O60256_PRPSAP2.pdf")</f>
        <v>Melting_Curves/meltCurve_O60256_PRPSAP2.pdf</v>
      </c>
    </row>
    <row r="1675" spans="1:28" x14ac:dyDescent="0.25">
      <c r="A1675" t="s">
        <v>1679</v>
      </c>
      <c r="B1675">
        <v>0.99472303558308395</v>
      </c>
      <c r="C1675">
        <v>0.89789450467235099</v>
      </c>
      <c r="D1675">
        <v>0.85352561759762202</v>
      </c>
      <c r="E1675">
        <v>0.419976764344002</v>
      </c>
      <c r="F1675">
        <v>0.15907948708583999</v>
      </c>
      <c r="G1675">
        <v>8.8301617014716602E-2</v>
      </c>
      <c r="H1675">
        <v>5.8943567613157798E-2</v>
      </c>
      <c r="I1675">
        <v>4.3566407431134199E-2</v>
      </c>
      <c r="J1675">
        <v>5.3202764121451002E-2</v>
      </c>
      <c r="K1675">
        <v>4.53809601707423E-2</v>
      </c>
      <c r="L1675">
        <v>1037.8964196632301</v>
      </c>
      <c r="M1675">
        <v>22.668568633113701</v>
      </c>
      <c r="N1675">
        <v>45.988136361682102</v>
      </c>
      <c r="O1675">
        <v>45.433881293316702</v>
      </c>
      <c r="P1675">
        <v>-0.118813544369512</v>
      </c>
      <c r="Q1675">
        <v>4.7482736108577402E-2</v>
      </c>
      <c r="R1675">
        <v>0.99572139164248297</v>
      </c>
      <c r="S1675" t="s">
        <v>8243</v>
      </c>
      <c r="T1675" t="s">
        <v>13134</v>
      </c>
      <c r="U1675" t="s">
        <v>13134</v>
      </c>
      <c r="V1675" t="s">
        <v>13134</v>
      </c>
      <c r="W1675" t="s">
        <v>14769</v>
      </c>
      <c r="X1675">
        <v>24</v>
      </c>
      <c r="Y1675" t="s">
        <v>21248</v>
      </c>
      <c r="Z1675" t="s">
        <v>27643</v>
      </c>
      <c r="AA1675">
        <v>0.33606612639428829</v>
      </c>
      <c r="AB1675" t="str">
        <f>HYPERLINK("Melting_Curves/meltCurve_O60264_SMARCA5.pdf", "Melting_Curves/meltCurve_O60264_SMARCA5.pdf")</f>
        <v>Melting_Curves/meltCurve_O60264_SMARCA5.pdf</v>
      </c>
    </row>
    <row r="1676" spans="1:28" x14ac:dyDescent="0.25">
      <c r="A1676" t="s">
        <v>1680</v>
      </c>
      <c r="B1676">
        <v>0.99472303558308395</v>
      </c>
      <c r="C1676">
        <v>0.987671378942928</v>
      </c>
      <c r="D1676">
        <v>0.92691343046661701</v>
      </c>
      <c r="E1676">
        <v>0.81452067597445799</v>
      </c>
      <c r="F1676">
        <v>0.28864724220833399</v>
      </c>
      <c r="G1676">
        <v>0.16731107018984001</v>
      </c>
      <c r="H1676">
        <v>0.112193305844049</v>
      </c>
      <c r="I1676">
        <v>9.5383899734856503E-2</v>
      </c>
      <c r="J1676">
        <v>0.126201628897888</v>
      </c>
      <c r="K1676">
        <v>9.2006988833182396E-2</v>
      </c>
      <c r="L1676">
        <v>1628.87404613022</v>
      </c>
      <c r="M1676">
        <v>33.722514179026398</v>
      </c>
      <c r="N1676">
        <v>48.660563079575503</v>
      </c>
      <c r="O1676">
        <v>48.133363509368401</v>
      </c>
      <c r="P1676">
        <v>-0.15589602765851901</v>
      </c>
      <c r="Q1676">
        <v>0.10993949968563101</v>
      </c>
      <c r="R1676">
        <v>0.99613408751379695</v>
      </c>
      <c r="S1676" t="s">
        <v>8244</v>
      </c>
      <c r="T1676" t="s">
        <v>13134</v>
      </c>
      <c r="U1676" t="s">
        <v>13134</v>
      </c>
      <c r="V1676" t="s">
        <v>13134</v>
      </c>
      <c r="W1676" t="s">
        <v>14770</v>
      </c>
      <c r="X1676">
        <v>44</v>
      </c>
      <c r="Y1676" t="s">
        <v>21249</v>
      </c>
      <c r="Z1676" t="s">
        <v>27644</v>
      </c>
      <c r="AA1676">
        <v>0.44945409578578288</v>
      </c>
      <c r="AB1676" t="str">
        <f>HYPERLINK("Melting_Curves/meltCurve_O60271_4_SPAG9.pdf", "Melting_Curves/meltCurve_O60271_4_SPAG9.pdf")</f>
        <v>Melting_Curves/meltCurve_O60271_4_SPAG9.pdf</v>
      </c>
    </row>
    <row r="1677" spans="1:28" x14ac:dyDescent="0.25">
      <c r="A1677" t="s">
        <v>1681</v>
      </c>
      <c r="B1677">
        <v>0.99472303558308395</v>
      </c>
      <c r="C1677">
        <v>0.81354058147350095</v>
      </c>
      <c r="D1677">
        <v>0.54890922731496805</v>
      </c>
      <c r="E1677">
        <v>0.298164249052143</v>
      </c>
      <c r="F1677">
        <v>0.124557073270782</v>
      </c>
      <c r="G1677">
        <v>9.7516316680090295E-2</v>
      </c>
      <c r="H1677">
        <v>8.2312689439658901E-2</v>
      </c>
      <c r="I1677">
        <v>7.5306491928932406E-2</v>
      </c>
      <c r="J1677">
        <v>6.4506760188922901E-2</v>
      </c>
      <c r="K1677">
        <v>4.8015683992845899E-2</v>
      </c>
      <c r="L1677">
        <v>748.31025229158399</v>
      </c>
      <c r="M1677">
        <v>17.274342787735101</v>
      </c>
      <c r="N1677">
        <v>43.6497488669823</v>
      </c>
      <c r="O1677">
        <v>42.751141372342701</v>
      </c>
      <c r="P1677">
        <v>-9.4828574625136094E-2</v>
      </c>
      <c r="Q1677">
        <v>6.1314314993608801E-2</v>
      </c>
      <c r="R1677">
        <v>0.99709815483055897</v>
      </c>
      <c r="S1677" t="s">
        <v>8245</v>
      </c>
      <c r="T1677" t="s">
        <v>13134</v>
      </c>
      <c r="U1677" t="s">
        <v>13134</v>
      </c>
      <c r="V1677" t="s">
        <v>13134</v>
      </c>
      <c r="W1677" t="s">
        <v>14771</v>
      </c>
      <c r="X1677">
        <v>3</v>
      </c>
      <c r="Y1677" t="s">
        <v>21250</v>
      </c>
      <c r="Z1677" t="s">
        <v>27645</v>
      </c>
      <c r="AA1677">
        <v>0.27690307572267658</v>
      </c>
      <c r="AB1677" t="str">
        <f>HYPERLINK("Melting_Curves/meltCurve_O60293_2_ZFC3H1.pdf", "Melting_Curves/meltCurve_O60293_2_ZFC3H1.pdf")</f>
        <v>Melting_Curves/meltCurve_O60293_2_ZFC3H1.pdf</v>
      </c>
    </row>
    <row r="1678" spans="1:28" x14ac:dyDescent="0.25">
      <c r="A1678" t="s">
        <v>1682</v>
      </c>
      <c r="B1678">
        <v>0.99472303558308395</v>
      </c>
      <c r="C1678">
        <v>0.98213275381299103</v>
      </c>
      <c r="D1678">
        <v>0.94536828603566703</v>
      </c>
      <c r="E1678">
        <v>0.80919666774941601</v>
      </c>
      <c r="F1678">
        <v>0.356749040941023</v>
      </c>
      <c r="G1678">
        <v>0.13527499102684701</v>
      </c>
      <c r="H1678">
        <v>0.103131969779545</v>
      </c>
      <c r="I1678">
        <v>0.110062344123829</v>
      </c>
      <c r="J1678">
        <v>0.118914486882906</v>
      </c>
      <c r="K1678">
        <v>0.143879074444798</v>
      </c>
      <c r="L1678">
        <v>1481.0122279775201</v>
      </c>
      <c r="M1678">
        <v>30.508339467544499</v>
      </c>
      <c r="N1678">
        <v>48.954573697306003</v>
      </c>
      <c r="O1678">
        <v>48.337363423705298</v>
      </c>
      <c r="P1678">
        <v>-0.13999774462120501</v>
      </c>
      <c r="Q1678">
        <v>0.112756611677124</v>
      </c>
      <c r="R1678">
        <v>0.99766110033774402</v>
      </c>
      <c r="S1678" t="s">
        <v>8246</v>
      </c>
      <c r="T1678" t="s">
        <v>13134</v>
      </c>
      <c r="U1678" t="s">
        <v>13134</v>
      </c>
      <c r="V1678" t="s">
        <v>13134</v>
      </c>
      <c r="W1678" t="s">
        <v>14772</v>
      </c>
      <c r="X1678">
        <v>9</v>
      </c>
      <c r="Y1678" t="s">
        <v>21251</v>
      </c>
      <c r="Z1678" t="s">
        <v>27646</v>
      </c>
      <c r="AA1678">
        <v>0.45931514937533491</v>
      </c>
      <c r="AB1678" t="str">
        <f>HYPERLINK("Melting_Curves/meltCurve_O60294_LCMT2.pdf", "Melting_Curves/meltCurve_O60294_LCMT2.pdf")</f>
        <v>Melting_Curves/meltCurve_O60294_LCMT2.pdf</v>
      </c>
    </row>
    <row r="1679" spans="1:28" x14ac:dyDescent="0.25">
      <c r="A1679" t="s">
        <v>1683</v>
      </c>
      <c r="B1679">
        <v>0.99472303558308395</v>
      </c>
      <c r="C1679">
        <v>0.91690163673772296</v>
      </c>
      <c r="D1679">
        <v>0.55825709924411704</v>
      </c>
      <c r="E1679">
        <v>0.277213357187235</v>
      </c>
      <c r="F1679">
        <v>0.18578797809155601</v>
      </c>
      <c r="G1679">
        <v>0.10044645253859499</v>
      </c>
      <c r="H1679">
        <v>5.8883005743963303E-2</v>
      </c>
      <c r="I1679">
        <v>4.60325051367085E-2</v>
      </c>
      <c r="J1679">
        <v>4.86107969050825E-2</v>
      </c>
      <c r="K1679">
        <v>3.9200481878458197E-2</v>
      </c>
      <c r="L1679">
        <v>831.69334684902105</v>
      </c>
      <c r="M1679">
        <v>19.030690805072599</v>
      </c>
      <c r="N1679">
        <v>43.9854288678928</v>
      </c>
      <c r="O1679">
        <v>43.228761137962401</v>
      </c>
      <c r="P1679">
        <v>-0.10372699570362399</v>
      </c>
      <c r="Q1679">
        <v>5.75619184959286E-2</v>
      </c>
      <c r="R1679">
        <v>0.99276975788295097</v>
      </c>
      <c r="S1679" t="s">
        <v>8247</v>
      </c>
      <c r="T1679" t="s">
        <v>13134</v>
      </c>
      <c r="U1679" t="s">
        <v>13134</v>
      </c>
      <c r="V1679" t="s">
        <v>13134</v>
      </c>
      <c r="W1679" t="s">
        <v>14773</v>
      </c>
      <c r="X1679">
        <v>17</v>
      </c>
      <c r="Y1679" t="s">
        <v>21252</v>
      </c>
      <c r="Z1679" t="s">
        <v>27647</v>
      </c>
      <c r="AA1679">
        <v>0.28233712772040831</v>
      </c>
      <c r="AB1679" t="str">
        <f>HYPERLINK("Melting_Curves/meltCurve_O60306_AQR.pdf", "Melting_Curves/meltCurve_O60306_AQR.pdf")</f>
        <v>Melting_Curves/meltCurve_O60306_AQR.pdf</v>
      </c>
    </row>
    <row r="1680" spans="1:28" x14ac:dyDescent="0.25">
      <c r="A1680" t="s">
        <v>1684</v>
      </c>
      <c r="B1680">
        <v>0.99472303558308395</v>
      </c>
      <c r="C1680">
        <v>1.03924034282535</v>
      </c>
      <c r="D1680">
        <v>0.87697056556921704</v>
      </c>
      <c r="E1680">
        <v>0.72398297574211601</v>
      </c>
      <c r="F1680">
        <v>0.31680345509395802</v>
      </c>
      <c r="G1680">
        <v>0.174456979940909</v>
      </c>
      <c r="H1680">
        <v>0.114576993002535</v>
      </c>
      <c r="I1680">
        <v>0.11218376013689201</v>
      </c>
      <c r="J1680">
        <v>0.214438371610983</v>
      </c>
      <c r="K1680">
        <v>0.122604994203832</v>
      </c>
      <c r="L1680">
        <v>1199.3576445824499</v>
      </c>
      <c r="M1680">
        <v>25.127978733773102</v>
      </c>
      <c r="N1680">
        <v>48.329947687605099</v>
      </c>
      <c r="O1680">
        <v>47.430769631330698</v>
      </c>
      <c r="P1680">
        <v>-0.114700875143441</v>
      </c>
      <c r="Q1680">
        <v>0.133988853625782</v>
      </c>
      <c r="R1680">
        <v>0.98817990044620896</v>
      </c>
      <c r="S1680" t="s">
        <v>8248</v>
      </c>
      <c r="T1680" t="s">
        <v>13134</v>
      </c>
      <c r="U1680" t="s">
        <v>13134</v>
      </c>
      <c r="V1680" t="s">
        <v>13134</v>
      </c>
      <c r="W1680" t="s">
        <v>14774</v>
      </c>
      <c r="X1680">
        <v>5</v>
      </c>
      <c r="Y1680" t="s">
        <v>21253</v>
      </c>
      <c r="Z1680" t="s">
        <v>27648</v>
      </c>
      <c r="AA1680">
        <v>0.45100792237120307</v>
      </c>
      <c r="AB1680" t="str">
        <f>HYPERLINK("Melting_Curves/meltCurve_O60307_MAST3.pdf", "Melting_Curves/meltCurve_O60307_MAST3.pdf")</f>
        <v>Melting_Curves/meltCurve_O60307_MAST3.pdf</v>
      </c>
    </row>
    <row r="1681" spans="1:28" x14ac:dyDescent="0.25">
      <c r="A1681" t="s">
        <v>1685</v>
      </c>
      <c r="B1681">
        <v>0.99472303558308395</v>
      </c>
      <c r="C1681">
        <v>0.96787287549547096</v>
      </c>
      <c r="D1681">
        <v>0.909358839564675</v>
      </c>
      <c r="E1681">
        <v>0.76588654824682101</v>
      </c>
      <c r="F1681">
        <v>0.34102471629214498</v>
      </c>
      <c r="G1681">
        <v>0.10837031481654801</v>
      </c>
      <c r="H1681">
        <v>7.0823259979849798E-2</v>
      </c>
      <c r="I1681">
        <v>5.6265620516355003E-2</v>
      </c>
      <c r="J1681">
        <v>6.9082926033407405E-2</v>
      </c>
      <c r="K1681">
        <v>5.8459239490370303E-2</v>
      </c>
      <c r="L1681">
        <v>1198.1264183503799</v>
      </c>
      <c r="M1681">
        <v>24.696541845462999</v>
      </c>
      <c r="N1681">
        <v>48.731785320119101</v>
      </c>
      <c r="O1681">
        <v>48.199214620301902</v>
      </c>
      <c r="P1681">
        <v>-0.12140343633167699</v>
      </c>
      <c r="Q1681">
        <v>5.2261437769131898E-2</v>
      </c>
      <c r="R1681">
        <v>0.99716900671976505</v>
      </c>
      <c r="S1681" t="s">
        <v>8249</v>
      </c>
      <c r="T1681" t="s">
        <v>13134</v>
      </c>
      <c r="U1681" t="s">
        <v>13134</v>
      </c>
      <c r="V1681" t="s">
        <v>13134</v>
      </c>
      <c r="W1681" t="s">
        <v>14775</v>
      </c>
      <c r="X1681">
        <v>40</v>
      </c>
      <c r="Y1681" t="s">
        <v>21254</v>
      </c>
      <c r="Z1681" t="s">
        <v>27649</v>
      </c>
      <c r="AA1681">
        <v>0.42433418177358001</v>
      </c>
      <c r="AB1681" t="str">
        <f>HYPERLINK("Melting_Curves/meltCurve_O60313_2_OPA1.pdf", "Melting_Curves/meltCurve_O60313_2_OPA1.pdf")</f>
        <v>Melting_Curves/meltCurve_O60313_2_OPA1.pdf</v>
      </c>
    </row>
    <row r="1682" spans="1:28" x14ac:dyDescent="0.25">
      <c r="A1682" t="s">
        <v>1686</v>
      </c>
      <c r="B1682">
        <v>0.99472303558308395</v>
      </c>
      <c r="C1682">
        <v>0.985471327725158</v>
      </c>
      <c r="D1682">
        <v>0.76384215221585405</v>
      </c>
      <c r="E1682">
        <v>0.59313570574295804</v>
      </c>
      <c r="F1682">
        <v>0.41094713058825999</v>
      </c>
      <c r="G1682">
        <v>0.219669636253714</v>
      </c>
      <c r="H1682">
        <v>0.14290861963415899</v>
      </c>
      <c r="I1682">
        <v>0.112924055514949</v>
      </c>
      <c r="J1682">
        <v>0.176398552127702</v>
      </c>
      <c r="K1682">
        <v>0.111363448931834</v>
      </c>
      <c r="L1682">
        <v>658.24975593727902</v>
      </c>
      <c r="M1682">
        <v>13.9558097876097</v>
      </c>
      <c r="N1682">
        <v>47.955353923481397</v>
      </c>
      <c r="O1682">
        <v>46.229930074504203</v>
      </c>
      <c r="P1682">
        <v>-6.7740228682307502E-2</v>
      </c>
      <c r="Q1682">
        <v>0.10253676944467099</v>
      </c>
      <c r="R1682">
        <v>0.99001484498501602</v>
      </c>
      <c r="S1682" t="s">
        <v>8250</v>
      </c>
      <c r="T1682" t="s">
        <v>13134</v>
      </c>
      <c r="U1682" t="s">
        <v>13134</v>
      </c>
      <c r="V1682" t="s">
        <v>13134</v>
      </c>
      <c r="W1682" t="s">
        <v>14776</v>
      </c>
      <c r="X1682">
        <v>7</v>
      </c>
      <c r="Y1682" t="s">
        <v>21255</v>
      </c>
      <c r="Z1682" t="s">
        <v>27650</v>
      </c>
      <c r="AA1682">
        <v>0.42950688241033891</v>
      </c>
      <c r="AB1682" t="str">
        <f>HYPERLINK("Melting_Curves/meltCurve_O60315_2_ZEB2.pdf", "Melting_Curves/meltCurve_O60315_2_ZEB2.pdf")</f>
        <v>Melting_Curves/meltCurve_O60315_2_ZEB2.pdf</v>
      </c>
    </row>
    <row r="1683" spans="1:28" x14ac:dyDescent="0.25">
      <c r="A1683" t="s">
        <v>1687</v>
      </c>
      <c r="B1683">
        <v>0.99472303558308395</v>
      </c>
      <c r="C1683">
        <v>1.0512168238318</v>
      </c>
      <c r="D1683">
        <v>0.77296772439488803</v>
      </c>
      <c r="E1683">
        <v>0.564480170104524</v>
      </c>
      <c r="F1683">
        <v>0.26389758804058899</v>
      </c>
      <c r="G1683">
        <v>0.118024234923275</v>
      </c>
      <c r="H1683">
        <v>7.4036273944397504E-2</v>
      </c>
      <c r="I1683">
        <v>4.2357357811857101E-2</v>
      </c>
      <c r="J1683">
        <v>6.0621446133202701E-2</v>
      </c>
      <c r="K1683">
        <v>4.06181695041564E-2</v>
      </c>
      <c r="L1683">
        <v>830.37522110115594</v>
      </c>
      <c r="M1683">
        <v>17.7241547367965</v>
      </c>
      <c r="N1683">
        <v>47.058111718952297</v>
      </c>
      <c r="O1683">
        <v>46.265730312711597</v>
      </c>
      <c r="P1683">
        <v>-9.2166916500345197E-2</v>
      </c>
      <c r="Q1683">
        <v>3.7709375924945603E-2</v>
      </c>
      <c r="R1683">
        <v>0.99100771044546498</v>
      </c>
      <c r="S1683" t="s">
        <v>8251</v>
      </c>
      <c r="T1683" t="s">
        <v>13134</v>
      </c>
      <c r="U1683" t="s">
        <v>13134</v>
      </c>
      <c r="V1683" t="s">
        <v>13134</v>
      </c>
      <c r="W1683" t="s">
        <v>14777</v>
      </c>
      <c r="X1683">
        <v>12</v>
      </c>
      <c r="Y1683" t="s">
        <v>21256</v>
      </c>
      <c r="Z1683" t="s">
        <v>27651</v>
      </c>
      <c r="AA1683">
        <v>0.36958356974486939</v>
      </c>
      <c r="AB1683" t="str">
        <f>HYPERLINK("Melting_Curves/meltCurve_O60333_2_KIF1B.pdf", "Melting_Curves/meltCurve_O60333_2_KIF1B.pdf")</f>
        <v>Melting_Curves/meltCurve_O60333_2_KIF1B.pdf</v>
      </c>
    </row>
    <row r="1684" spans="1:28" x14ac:dyDescent="0.25">
      <c r="A1684" t="s">
        <v>1688</v>
      </c>
      <c r="B1684">
        <v>0.99472303558308395</v>
      </c>
      <c r="C1684">
        <v>0.88649075500276298</v>
      </c>
      <c r="D1684">
        <v>0.879661882254274</v>
      </c>
      <c r="E1684">
        <v>0.72161496116443802</v>
      </c>
      <c r="F1684">
        <v>0.38994423139647599</v>
      </c>
      <c r="G1684">
        <v>0.24782538608859001</v>
      </c>
      <c r="H1684">
        <v>0.185325806366192</v>
      </c>
      <c r="I1684">
        <v>0.147312132889487</v>
      </c>
      <c r="J1684">
        <v>0.17475254297245399</v>
      </c>
      <c r="K1684">
        <v>9.7840537161463501E-2</v>
      </c>
      <c r="L1684">
        <v>764.07089285021004</v>
      </c>
      <c r="M1684">
        <v>15.8636463547967</v>
      </c>
      <c r="N1684">
        <v>48.989161853377702</v>
      </c>
      <c r="O1684">
        <v>47.419010000811802</v>
      </c>
      <c r="P1684">
        <v>-7.3845255678446006E-2</v>
      </c>
      <c r="Q1684">
        <v>0.117129880111177</v>
      </c>
      <c r="R1684">
        <v>0.98894845533279496</v>
      </c>
      <c r="S1684" t="s">
        <v>8252</v>
      </c>
      <c r="T1684" t="s">
        <v>13134</v>
      </c>
      <c r="U1684" t="s">
        <v>13134</v>
      </c>
      <c r="V1684" t="s">
        <v>13134</v>
      </c>
      <c r="W1684" t="s">
        <v>14778</v>
      </c>
      <c r="X1684">
        <v>1</v>
      </c>
      <c r="Y1684" t="s">
        <v>21257</v>
      </c>
      <c r="Z1684" t="s">
        <v>27652</v>
      </c>
      <c r="AA1684">
        <v>0.46332685324845219</v>
      </c>
      <c r="AB1684" t="str">
        <f>HYPERLINK("Melting_Curves/meltCurve_O60337_5_MARCH6.pdf", "Melting_Curves/meltCurve_O60337_5_MARCH6.pdf")</f>
        <v>Melting_Curves/meltCurve_O60337_5_MARCH6.pdf</v>
      </c>
    </row>
    <row r="1685" spans="1:28" x14ac:dyDescent="0.25">
      <c r="A1685" t="s">
        <v>1689</v>
      </c>
      <c r="B1685">
        <v>0.99472303558308395</v>
      </c>
      <c r="C1685">
        <v>0.85104396499672197</v>
      </c>
      <c r="D1685">
        <v>0.58622064977459498</v>
      </c>
      <c r="E1685">
        <v>0.36134944469837799</v>
      </c>
      <c r="F1685">
        <v>0.147788691068584</v>
      </c>
      <c r="G1685">
        <v>6.5198428909815795E-2</v>
      </c>
      <c r="H1685">
        <v>3.8261870124524797E-2</v>
      </c>
      <c r="I1685">
        <v>2.3267227753904499E-2</v>
      </c>
      <c r="J1685">
        <v>2.8129262467825399E-2</v>
      </c>
      <c r="K1685">
        <v>2.6035290235591799E-2</v>
      </c>
      <c r="L1685">
        <v>682.13882317493994</v>
      </c>
      <c r="M1685">
        <v>15.397613267989</v>
      </c>
      <c r="N1685">
        <v>44.385038193158898</v>
      </c>
      <c r="O1685">
        <v>43.5745017694788</v>
      </c>
      <c r="P1685">
        <v>-8.7088663569647104E-2</v>
      </c>
      <c r="Q1685">
        <v>1.4262614793515E-2</v>
      </c>
      <c r="R1685">
        <v>0.99673165629316995</v>
      </c>
      <c r="S1685" t="s">
        <v>8253</v>
      </c>
      <c r="T1685" t="s">
        <v>13134</v>
      </c>
      <c r="U1685" t="s">
        <v>13134</v>
      </c>
      <c r="V1685" t="s">
        <v>13134</v>
      </c>
      <c r="W1685" t="s">
        <v>14779</v>
      </c>
      <c r="X1685">
        <v>22</v>
      </c>
      <c r="Y1685" t="s">
        <v>21258</v>
      </c>
      <c r="Z1685" t="s">
        <v>27653</v>
      </c>
      <c r="AA1685">
        <v>0.27703711397495279</v>
      </c>
      <c r="AB1685" t="str">
        <f>HYPERLINK("Melting_Curves/meltCurve_O60341_KDM1A.pdf", "Melting_Curves/meltCurve_O60341_KDM1A.pdf")</f>
        <v>Melting_Curves/meltCurve_O60341_KDM1A.pdf</v>
      </c>
    </row>
    <row r="1686" spans="1:28" x14ac:dyDescent="0.25">
      <c r="A1686" t="s">
        <v>1690</v>
      </c>
      <c r="B1686">
        <v>0.99472303558308395</v>
      </c>
      <c r="C1686">
        <v>1.0379541248859501</v>
      </c>
      <c r="D1686">
        <v>0.91575926434737798</v>
      </c>
      <c r="E1686">
        <v>0.733294563224551</v>
      </c>
      <c r="F1686">
        <v>0.48741492063039998</v>
      </c>
      <c r="G1686">
        <v>0.201184919736561</v>
      </c>
      <c r="H1686">
        <v>0.137225889004289</v>
      </c>
      <c r="I1686">
        <v>0.10086505887535099</v>
      </c>
      <c r="J1686">
        <v>0.102901847360759</v>
      </c>
      <c r="K1686">
        <v>9.9463444911772503E-2</v>
      </c>
      <c r="L1686">
        <v>904.777184842069</v>
      </c>
      <c r="M1686">
        <v>18.4259795363851</v>
      </c>
      <c r="N1686">
        <v>49.582904191819402</v>
      </c>
      <c r="O1686">
        <v>48.535942373193699</v>
      </c>
      <c r="P1686">
        <v>-8.7166580260700205E-2</v>
      </c>
      <c r="Q1686">
        <v>8.1618045339975895E-2</v>
      </c>
      <c r="R1686">
        <v>0.99574380848989197</v>
      </c>
      <c r="S1686" t="s">
        <v>8254</v>
      </c>
      <c r="T1686" t="s">
        <v>13134</v>
      </c>
      <c r="U1686" t="s">
        <v>13134</v>
      </c>
      <c r="V1686" t="s">
        <v>13134</v>
      </c>
      <c r="W1686" t="s">
        <v>14780</v>
      </c>
      <c r="X1686">
        <v>9</v>
      </c>
      <c r="Y1686" t="s">
        <v>21259</v>
      </c>
      <c r="Z1686" t="s">
        <v>27654</v>
      </c>
      <c r="AA1686">
        <v>0.46614257994110392</v>
      </c>
      <c r="AB1686" t="str">
        <f>HYPERLINK("Melting_Curves/meltCurve_O60343_2_TBC1D4.pdf", "Melting_Curves/meltCurve_O60343_2_TBC1D4.pdf")</f>
        <v>Melting_Curves/meltCurve_O60343_2_TBC1D4.pdf</v>
      </c>
    </row>
    <row r="1687" spans="1:28" x14ac:dyDescent="0.25">
      <c r="A1687" t="s">
        <v>1691</v>
      </c>
      <c r="B1687">
        <v>0.99472303558308395</v>
      </c>
      <c r="C1687">
        <v>0.97184772225498195</v>
      </c>
      <c r="D1687">
        <v>0.952802384337468</v>
      </c>
      <c r="E1687">
        <v>0.32516099214203598</v>
      </c>
      <c r="F1687">
        <v>0.110294311210516</v>
      </c>
      <c r="G1687">
        <v>6.2223033186675401E-2</v>
      </c>
      <c r="H1687">
        <v>3.59760800129338E-2</v>
      </c>
      <c r="I1687">
        <v>3.4061990606128002E-2</v>
      </c>
      <c r="J1687">
        <v>3.6265430796989302E-2</v>
      </c>
      <c r="K1687">
        <v>2.9364263234602599E-2</v>
      </c>
      <c r="L1687">
        <v>1953.0593644419901</v>
      </c>
      <c r="M1687">
        <v>42.754637764558701</v>
      </c>
      <c r="N1687">
        <v>45.785877877165099</v>
      </c>
      <c r="O1687">
        <v>45.581052929872499</v>
      </c>
      <c r="P1687">
        <v>-0.22352524497974999</v>
      </c>
      <c r="Q1687">
        <v>4.67936141477528E-2</v>
      </c>
      <c r="R1687">
        <v>0.99777369586964404</v>
      </c>
      <c r="S1687" t="s">
        <v>8255</v>
      </c>
      <c r="T1687" t="s">
        <v>13134</v>
      </c>
      <c r="U1687" t="s">
        <v>13134</v>
      </c>
      <c r="V1687" t="s">
        <v>13134</v>
      </c>
      <c r="W1687" t="s">
        <v>14781</v>
      </c>
      <c r="X1687">
        <v>6</v>
      </c>
      <c r="Y1687" t="s">
        <v>21260</v>
      </c>
      <c r="Z1687" t="s">
        <v>27655</v>
      </c>
      <c r="AA1687">
        <v>0.32524160361849591</v>
      </c>
      <c r="AB1687" t="str">
        <f>HYPERLINK("Melting_Curves/meltCurve_O60344_4_ECE2.pdf", "Melting_Curves/meltCurve_O60344_4_ECE2.pdf")</f>
        <v>Melting_Curves/meltCurve_O60344_4_ECE2.pdf</v>
      </c>
    </row>
    <row r="1688" spans="1:28" x14ac:dyDescent="0.25">
      <c r="A1688" t="s">
        <v>1692</v>
      </c>
      <c r="B1688">
        <v>0.99472303558308395</v>
      </c>
      <c r="C1688">
        <v>0.9598839138095</v>
      </c>
      <c r="D1688">
        <v>0.91663349806808603</v>
      </c>
      <c r="E1688">
        <v>0.73392044748386798</v>
      </c>
      <c r="F1688">
        <v>0.47216822065080899</v>
      </c>
      <c r="G1688">
        <v>0.20951241276052801</v>
      </c>
      <c r="H1688">
        <v>0.100736939278547</v>
      </c>
      <c r="I1688">
        <v>6.5505154212184294E-2</v>
      </c>
      <c r="J1688">
        <v>7.1392907414629905E-2</v>
      </c>
      <c r="K1688">
        <v>6.5008730373919493E-2</v>
      </c>
      <c r="L1688">
        <v>840.30240195377405</v>
      </c>
      <c r="M1688">
        <v>17.044431151812098</v>
      </c>
      <c r="N1688">
        <v>49.541501082219</v>
      </c>
      <c r="O1688">
        <v>48.637067624104297</v>
      </c>
      <c r="P1688">
        <v>-8.4132629716739293E-2</v>
      </c>
      <c r="Q1688">
        <v>3.9753428016204601E-2</v>
      </c>
      <c r="R1688">
        <v>0.99837615825306603</v>
      </c>
      <c r="S1688" t="s">
        <v>8256</v>
      </c>
      <c r="T1688" t="s">
        <v>13134</v>
      </c>
      <c r="U1688" t="s">
        <v>13134</v>
      </c>
      <c r="V1688" t="s">
        <v>13134</v>
      </c>
      <c r="W1688" t="s">
        <v>14782</v>
      </c>
      <c r="X1688">
        <v>13</v>
      </c>
      <c r="Y1688" t="s">
        <v>21261</v>
      </c>
      <c r="Z1688" t="s">
        <v>27656</v>
      </c>
      <c r="AA1688">
        <v>0.45018139671645119</v>
      </c>
      <c r="AB1688" t="str">
        <f>HYPERLINK("Melting_Curves/meltCurve_O60427_FADS1.pdf", "Melting_Curves/meltCurve_O60427_FADS1.pdf")</f>
        <v>Melting_Curves/meltCurve_O60427_FADS1.pdf</v>
      </c>
    </row>
    <row r="1689" spans="1:28" x14ac:dyDescent="0.25">
      <c r="A1689" t="s">
        <v>1693</v>
      </c>
      <c r="B1689">
        <v>0.99472303558308395</v>
      </c>
      <c r="C1689">
        <v>1.00565386960097</v>
      </c>
      <c r="D1689">
        <v>0.91838900285292402</v>
      </c>
      <c r="E1689">
        <v>0.77028422328063195</v>
      </c>
      <c r="F1689">
        <v>0.57380720255306195</v>
      </c>
      <c r="G1689">
        <v>0.34140231582896502</v>
      </c>
      <c r="H1689">
        <v>0.17087127417345199</v>
      </c>
      <c r="I1689">
        <v>0.12353038180638801</v>
      </c>
      <c r="J1689">
        <v>0.136885832604909</v>
      </c>
      <c r="K1689">
        <v>0.101047886350923</v>
      </c>
      <c r="L1689">
        <v>752.77208612919503</v>
      </c>
      <c r="M1689">
        <v>14.9386446226467</v>
      </c>
      <c r="N1689">
        <v>50.940789507122702</v>
      </c>
      <c r="O1689">
        <v>49.5137968437013</v>
      </c>
      <c r="P1689">
        <v>-6.9817507204838494E-2</v>
      </c>
      <c r="Q1689">
        <v>7.4460881778122101E-2</v>
      </c>
      <c r="R1689">
        <v>0.99719659290256601</v>
      </c>
      <c r="S1689" t="s">
        <v>8257</v>
      </c>
      <c r="T1689" t="s">
        <v>13134</v>
      </c>
      <c r="U1689" t="s">
        <v>13134</v>
      </c>
      <c r="V1689" t="s">
        <v>13134</v>
      </c>
      <c r="W1689" t="s">
        <v>14783</v>
      </c>
      <c r="X1689">
        <v>7</v>
      </c>
      <c r="Y1689" t="s">
        <v>21262</v>
      </c>
      <c r="Z1689" t="s">
        <v>27657</v>
      </c>
      <c r="AA1689">
        <v>0.50678602229024816</v>
      </c>
      <c r="AB1689" t="str">
        <f>HYPERLINK("Melting_Curves/meltCurve_O60476_MAN1A2.pdf", "Melting_Curves/meltCurve_O60476_MAN1A2.pdf")</f>
        <v>Melting_Curves/meltCurve_O60476_MAN1A2.pdf</v>
      </c>
    </row>
    <row r="1690" spans="1:28" x14ac:dyDescent="0.25">
      <c r="A1690" t="s">
        <v>1694</v>
      </c>
      <c r="B1690">
        <v>0.99472303558308395</v>
      </c>
      <c r="C1690">
        <v>0.888645445896454</v>
      </c>
      <c r="D1690">
        <v>0.81710460872721402</v>
      </c>
      <c r="E1690">
        <v>0.39678224906594001</v>
      </c>
      <c r="F1690">
        <v>0.22623603831915801</v>
      </c>
      <c r="G1690">
        <v>0.108590525510326</v>
      </c>
      <c r="H1690">
        <v>6.9040455548160795E-2</v>
      </c>
      <c r="I1690">
        <v>4.3574279734153697E-2</v>
      </c>
      <c r="J1690">
        <v>5.9731680118568303E-2</v>
      </c>
      <c r="K1690">
        <v>4.2947058897522497E-2</v>
      </c>
      <c r="L1690">
        <v>837.51268450089799</v>
      </c>
      <c r="M1690">
        <v>18.3393667774878</v>
      </c>
      <c r="N1690">
        <v>45.915313981032703</v>
      </c>
      <c r="O1690">
        <v>45.134880448293003</v>
      </c>
      <c r="P1690">
        <v>-9.6798477747064404E-2</v>
      </c>
      <c r="Q1690">
        <v>4.7123532749665999E-2</v>
      </c>
      <c r="R1690">
        <v>0.99452871041176205</v>
      </c>
      <c r="S1690" t="s">
        <v>8258</v>
      </c>
      <c r="T1690" t="s">
        <v>13134</v>
      </c>
      <c r="U1690" t="s">
        <v>13134</v>
      </c>
      <c r="V1690" t="s">
        <v>13134</v>
      </c>
      <c r="W1690" t="s">
        <v>14784</v>
      </c>
      <c r="X1690">
        <v>18</v>
      </c>
      <c r="Y1690" t="s">
        <v>21263</v>
      </c>
      <c r="Z1690" t="s">
        <v>27658</v>
      </c>
      <c r="AA1690">
        <v>0.33730617479225061</v>
      </c>
      <c r="AB1690" t="str">
        <f>HYPERLINK("Melting_Curves/meltCurve_O60488_2_ACSL4.pdf", "Melting_Curves/meltCurve_O60488_2_ACSL4.pdf")</f>
        <v>Melting_Curves/meltCurve_O60488_2_ACSL4.pdf</v>
      </c>
    </row>
    <row r="1691" spans="1:28" x14ac:dyDescent="0.25">
      <c r="A1691" t="s">
        <v>1695</v>
      </c>
      <c r="B1691">
        <v>0.99472303558308395</v>
      </c>
      <c r="C1691">
        <v>0.89456540759918102</v>
      </c>
      <c r="D1691">
        <v>0.92277702331404599</v>
      </c>
      <c r="E1691">
        <v>0.46250675219683401</v>
      </c>
      <c r="F1691">
        <v>0.19704571642313501</v>
      </c>
      <c r="G1691">
        <v>9.8071828718048606E-2</v>
      </c>
      <c r="H1691">
        <v>6.36865374879238E-2</v>
      </c>
      <c r="I1691">
        <v>5.0699872291497097E-2</v>
      </c>
      <c r="J1691">
        <v>6.06013505675011E-2</v>
      </c>
      <c r="K1691">
        <v>5.0241179683645401E-2</v>
      </c>
      <c r="L1691">
        <v>1139.30128832026</v>
      </c>
      <c r="M1691">
        <v>24.622521764575001</v>
      </c>
      <c r="N1691">
        <v>46.503441716990999</v>
      </c>
      <c r="O1691">
        <v>45.968736406365402</v>
      </c>
      <c r="P1691">
        <v>-0.12614813001143799</v>
      </c>
      <c r="Q1691">
        <v>5.7970292263569902E-2</v>
      </c>
      <c r="R1691">
        <v>0.99235546119928897</v>
      </c>
      <c r="S1691" t="s">
        <v>8259</v>
      </c>
      <c r="T1691" t="s">
        <v>13134</v>
      </c>
      <c r="U1691" t="s">
        <v>13134</v>
      </c>
      <c r="V1691" t="s">
        <v>13134</v>
      </c>
      <c r="W1691" t="s">
        <v>14785</v>
      </c>
      <c r="X1691">
        <v>12</v>
      </c>
      <c r="Y1691" t="s">
        <v>21264</v>
      </c>
      <c r="Z1691" t="s">
        <v>27659</v>
      </c>
      <c r="AA1691">
        <v>0.35715822546582809</v>
      </c>
      <c r="AB1691" t="str">
        <f>HYPERLINK("Melting_Curves/meltCurve_O60493_SNX3.pdf", "Melting_Curves/meltCurve_O60493_SNX3.pdf")</f>
        <v>Melting_Curves/meltCurve_O60493_SNX3.pdf</v>
      </c>
    </row>
    <row r="1692" spans="1:28" x14ac:dyDescent="0.25">
      <c r="A1692" t="s">
        <v>1696</v>
      </c>
      <c r="B1692">
        <v>0.99472303558308395</v>
      </c>
      <c r="C1692">
        <v>1.0135266657664701</v>
      </c>
      <c r="D1692">
        <v>0.88700266673181605</v>
      </c>
      <c r="E1692">
        <v>0.79070204092165397</v>
      </c>
      <c r="F1692">
        <v>0.54789537786325104</v>
      </c>
      <c r="G1692">
        <v>0.233079541452936</v>
      </c>
      <c r="H1692">
        <v>5.5622446911617503E-2</v>
      </c>
      <c r="I1692">
        <v>3.56455778278272E-2</v>
      </c>
      <c r="J1692">
        <v>4.1228249995969003E-2</v>
      </c>
      <c r="K1692">
        <v>3.6055110833595798E-2</v>
      </c>
      <c r="L1692">
        <v>880.69006279679297</v>
      </c>
      <c r="M1692">
        <v>17.510869936851599</v>
      </c>
      <c r="N1692">
        <v>50.293907750610899</v>
      </c>
      <c r="O1692">
        <v>49.651739266854001</v>
      </c>
      <c r="P1692">
        <v>-8.8173312255438993E-2</v>
      </c>
      <c r="Q1692">
        <v>0</v>
      </c>
      <c r="R1692">
        <v>0.99412499168536705</v>
      </c>
      <c r="S1692" t="s">
        <v>8260</v>
      </c>
      <c r="T1692" t="s">
        <v>13134</v>
      </c>
      <c r="U1692" t="s">
        <v>13134</v>
      </c>
      <c r="V1692" t="s">
        <v>13134</v>
      </c>
      <c r="W1692" t="s">
        <v>14786</v>
      </c>
      <c r="X1692">
        <v>16</v>
      </c>
      <c r="Y1692" t="s">
        <v>21265</v>
      </c>
      <c r="Z1692" t="s">
        <v>27660</v>
      </c>
      <c r="AA1692">
        <v>0.45953506863633359</v>
      </c>
      <c r="AB1692" t="str">
        <f>HYPERLINK("Melting_Curves/meltCurve_O60502_MGEA5.pdf", "Melting_Curves/meltCurve_O60502_MGEA5.pdf")</f>
        <v>Melting_Curves/meltCurve_O60502_MGEA5.pdf</v>
      </c>
    </row>
    <row r="1693" spans="1:28" x14ac:dyDescent="0.25">
      <c r="A1693" t="s">
        <v>1697</v>
      </c>
      <c r="B1693">
        <v>0.99472303558308395</v>
      </c>
      <c r="C1693">
        <v>0.89407213166987698</v>
      </c>
      <c r="D1693">
        <v>0.88683666453270305</v>
      </c>
      <c r="E1693">
        <v>0.72581873092872295</v>
      </c>
      <c r="F1693">
        <v>0.62139422793547905</v>
      </c>
      <c r="G1693">
        <v>0.17337259575090699</v>
      </c>
      <c r="H1693">
        <v>9.4802520732400003E-2</v>
      </c>
      <c r="I1693">
        <v>6.23407253076372E-2</v>
      </c>
      <c r="J1693">
        <v>6.42957277911545E-2</v>
      </c>
      <c r="K1693">
        <v>6.5432864667952007E-2</v>
      </c>
      <c r="L1693">
        <v>771.18298496463694</v>
      </c>
      <c r="M1693">
        <v>15.3975315528278</v>
      </c>
      <c r="N1693">
        <v>50.1494218752431</v>
      </c>
      <c r="O1693">
        <v>49.262848179892302</v>
      </c>
      <c r="P1693">
        <v>-7.73798238520325E-2</v>
      </c>
      <c r="Q1693">
        <v>9.8145420593698691E-3</v>
      </c>
      <c r="R1693">
        <v>0.97390477236906703</v>
      </c>
      <c r="S1693" t="s">
        <v>8261</v>
      </c>
      <c r="T1693" t="s">
        <v>13134</v>
      </c>
      <c r="U1693" t="s">
        <v>13134</v>
      </c>
      <c r="V1693" t="s">
        <v>13134</v>
      </c>
      <c r="W1693" t="s">
        <v>14787</v>
      </c>
      <c r="X1693">
        <v>27</v>
      </c>
      <c r="Y1693" t="s">
        <v>21266</v>
      </c>
      <c r="Z1693" t="s">
        <v>27661</v>
      </c>
      <c r="AA1693">
        <v>0.46156669755991692</v>
      </c>
      <c r="AB1693" t="str">
        <f>HYPERLINK("Melting_Curves/meltCurve_O60506_3_SYNCRIP.pdf", "Melting_Curves/meltCurve_O60506_3_SYNCRIP.pdf")</f>
        <v>Melting_Curves/meltCurve_O60506_3_SYNCRIP.pdf</v>
      </c>
    </row>
    <row r="1694" spans="1:28" x14ac:dyDescent="0.25">
      <c r="A1694" t="s">
        <v>1698</v>
      </c>
      <c r="B1694">
        <v>0.99472303558308395</v>
      </c>
      <c r="C1694">
        <v>0.74086776678730204</v>
      </c>
      <c r="D1694">
        <v>1.01341449135642</v>
      </c>
      <c r="E1694">
        <v>0.676710895549686</v>
      </c>
      <c r="F1694">
        <v>0.39003284093760698</v>
      </c>
      <c r="G1694">
        <v>0.15158256306658199</v>
      </c>
      <c r="H1694">
        <v>0.13691111003978801</v>
      </c>
      <c r="I1694">
        <v>4.5303238919453599E-2</v>
      </c>
      <c r="J1694">
        <v>5.73162617800227E-2</v>
      </c>
      <c r="K1694">
        <v>0.101622457782997</v>
      </c>
      <c r="L1694">
        <v>917.98528762694298</v>
      </c>
      <c r="M1694">
        <v>18.973408386144001</v>
      </c>
      <c r="N1694">
        <v>48.717301650840902</v>
      </c>
      <c r="O1694">
        <v>47.8548748749363</v>
      </c>
      <c r="P1694">
        <v>-9.3068637747209401E-2</v>
      </c>
      <c r="Q1694">
        <v>6.1083885294335699E-2</v>
      </c>
      <c r="R1694">
        <v>0.94724130061799805</v>
      </c>
      <c r="S1694" t="s">
        <v>8262</v>
      </c>
      <c r="T1694" t="s">
        <v>13134</v>
      </c>
      <c r="U1694" t="s">
        <v>13134</v>
      </c>
      <c r="V1694" t="s">
        <v>13134</v>
      </c>
      <c r="W1694" t="s">
        <v>14788</v>
      </c>
      <c r="X1694">
        <v>1</v>
      </c>
      <c r="Y1694" t="s">
        <v>21267</v>
      </c>
      <c r="Z1694" t="s">
        <v>27662</v>
      </c>
      <c r="AA1694">
        <v>0.4309476581854027</v>
      </c>
      <c r="AB1694" t="str">
        <f>HYPERLINK("Melting_Curves/meltCurve_O60512_B4GALT3.pdf", "Melting_Curves/meltCurve_O60512_B4GALT3.pdf")</f>
        <v>Melting_Curves/meltCurve_O60512_B4GALT3.pdf</v>
      </c>
    </row>
    <row r="1695" spans="1:28" x14ac:dyDescent="0.25">
      <c r="A1695" t="s">
        <v>1699</v>
      </c>
      <c r="B1695">
        <v>0.99472303558308395</v>
      </c>
      <c r="C1695">
        <v>0.73743456899264004</v>
      </c>
      <c r="D1695">
        <v>0.76786242768680801</v>
      </c>
      <c r="E1695">
        <v>0.32929854647879397</v>
      </c>
      <c r="F1695">
        <v>0.18405374410371</v>
      </c>
      <c r="G1695">
        <v>8.2869564417072897E-2</v>
      </c>
      <c r="H1695">
        <v>5.2897875574482299E-2</v>
      </c>
      <c r="I1695">
        <v>3.6928110425783499E-2</v>
      </c>
      <c r="J1695">
        <v>3.6547408761870299E-2</v>
      </c>
      <c r="K1695">
        <v>5.1104498905751999E-2</v>
      </c>
      <c r="L1695">
        <v>669.94891038203798</v>
      </c>
      <c r="M1695">
        <v>14.9574546991487</v>
      </c>
      <c r="N1695">
        <v>44.925723124939303</v>
      </c>
      <c r="O1695">
        <v>44.012566118359501</v>
      </c>
      <c r="P1695">
        <v>-8.3097062866576699E-2</v>
      </c>
      <c r="Q1695">
        <v>2.20417962088349E-2</v>
      </c>
      <c r="R1695">
        <v>0.97343790376012695</v>
      </c>
      <c r="S1695" t="s">
        <v>8263</v>
      </c>
      <c r="T1695" t="s">
        <v>13134</v>
      </c>
      <c r="U1695" t="s">
        <v>13134</v>
      </c>
      <c r="V1695" t="s">
        <v>13134</v>
      </c>
      <c r="W1695" t="s">
        <v>14789</v>
      </c>
      <c r="X1695">
        <v>5</v>
      </c>
      <c r="Y1695" t="s">
        <v>21268</v>
      </c>
      <c r="Z1695" t="s">
        <v>27663</v>
      </c>
      <c r="AA1695">
        <v>0.2995747764048835</v>
      </c>
      <c r="AB1695" t="str">
        <f>HYPERLINK("Melting_Curves/meltCurve_O60518_RANBP6.pdf", "Melting_Curves/meltCurve_O60518_RANBP6.pdf")</f>
        <v>Melting_Curves/meltCurve_O60518_RANBP6.pdf</v>
      </c>
    </row>
    <row r="1696" spans="1:28" x14ac:dyDescent="0.25">
      <c r="A1696" t="s">
        <v>1700</v>
      </c>
      <c r="B1696">
        <v>0.99472303558308395</v>
      </c>
      <c r="C1696">
        <v>0.95808336052022502</v>
      </c>
      <c r="D1696">
        <v>0.86857198949741699</v>
      </c>
      <c r="E1696">
        <v>0.64736326948879397</v>
      </c>
      <c r="F1696">
        <v>0.196600292406516</v>
      </c>
      <c r="G1696">
        <v>6.31966502128673E-2</v>
      </c>
      <c r="H1696">
        <v>3.6195050110196102E-2</v>
      </c>
      <c r="I1696">
        <v>2.40960627731556E-2</v>
      </c>
      <c r="J1696">
        <v>2.64654146083033E-2</v>
      </c>
      <c r="K1696">
        <v>2.2429437305612799E-2</v>
      </c>
      <c r="L1696">
        <v>1121.9606369821299</v>
      </c>
      <c r="M1696">
        <v>23.662670342620999</v>
      </c>
      <c r="N1696">
        <v>47.481411608545997</v>
      </c>
      <c r="O1696">
        <v>47.080049713424899</v>
      </c>
      <c r="P1696">
        <v>-0.123601825352118</v>
      </c>
      <c r="Q1696">
        <v>1.6326987243859201E-2</v>
      </c>
      <c r="R1696">
        <v>0.996283516646157</v>
      </c>
      <c r="S1696" t="s">
        <v>8264</v>
      </c>
      <c r="T1696" t="s">
        <v>13134</v>
      </c>
      <c r="U1696" t="s">
        <v>13134</v>
      </c>
      <c r="V1696" t="s">
        <v>13134</v>
      </c>
      <c r="W1696" t="s">
        <v>14790</v>
      </c>
      <c r="X1696">
        <v>18</v>
      </c>
      <c r="Y1696" t="s">
        <v>21269</v>
      </c>
      <c r="Z1696" t="s">
        <v>27664</v>
      </c>
      <c r="AA1696">
        <v>0.36709184692889929</v>
      </c>
      <c r="AB1696" t="str">
        <f>HYPERLINK("Melting_Curves/meltCurve_O60524_4_NEMF.pdf", "Melting_Curves/meltCurve_O60524_4_NEMF.pdf")</f>
        <v>Melting_Curves/meltCurve_O60524_4_NEMF.pdf</v>
      </c>
    </row>
    <row r="1697" spans="1:28" x14ac:dyDescent="0.25">
      <c r="A1697" t="s">
        <v>1701</v>
      </c>
      <c r="B1697">
        <v>0.99472303558308395</v>
      </c>
      <c r="C1697">
        <v>0.950398632894211</v>
      </c>
      <c r="D1697">
        <v>0.856949066627268</v>
      </c>
      <c r="E1697">
        <v>0.78968845711070201</v>
      </c>
      <c r="F1697">
        <v>0.81656124549577902</v>
      </c>
      <c r="G1697">
        <v>0.57784159248589295</v>
      </c>
      <c r="H1697">
        <v>0.36024234387387499</v>
      </c>
      <c r="I1697">
        <v>9.4433663029909506E-2</v>
      </c>
      <c r="J1697">
        <v>8.3454678761524001E-2</v>
      </c>
      <c r="K1697">
        <v>8.1470071881347805E-2</v>
      </c>
      <c r="L1697">
        <v>733.492378976483</v>
      </c>
      <c r="M1697">
        <v>13.496404167184901</v>
      </c>
      <c r="N1697">
        <v>54.347244668593298</v>
      </c>
      <c r="O1697">
        <v>53.195719287971897</v>
      </c>
      <c r="P1697">
        <v>-6.3437739188965198E-2</v>
      </c>
      <c r="Q1697">
        <v>0</v>
      </c>
      <c r="R1697">
        <v>0.96457193728198098</v>
      </c>
      <c r="S1697" t="s">
        <v>8265</v>
      </c>
      <c r="T1697" t="s">
        <v>13134</v>
      </c>
      <c r="U1697" t="s">
        <v>13134</v>
      </c>
      <c r="V1697" t="s">
        <v>13134</v>
      </c>
      <c r="W1697" t="s">
        <v>14791</v>
      </c>
      <c r="X1697">
        <v>8</v>
      </c>
      <c r="Y1697" t="s">
        <v>21270</v>
      </c>
      <c r="Z1697" t="s">
        <v>27665</v>
      </c>
      <c r="AA1697">
        <v>0.59458043199265576</v>
      </c>
      <c r="AB1697" t="str">
        <f>HYPERLINK("Melting_Curves/meltCurve_O60547_2_GMDS.pdf", "Melting_Curves/meltCurve_O60547_2_GMDS.pdf")</f>
        <v>Melting_Curves/meltCurve_O60547_2_GMDS.pdf</v>
      </c>
    </row>
    <row r="1698" spans="1:28" x14ac:dyDescent="0.25">
      <c r="A1698" t="s">
        <v>1702</v>
      </c>
      <c r="B1698">
        <v>0.99472303558308395</v>
      </c>
      <c r="C1698">
        <v>0.88654146388295796</v>
      </c>
      <c r="D1698">
        <v>0.87212482150748405</v>
      </c>
      <c r="E1698">
        <v>0.62989377144799796</v>
      </c>
      <c r="F1698">
        <v>0.43760019698355002</v>
      </c>
      <c r="G1698">
        <v>0.242104775263453</v>
      </c>
      <c r="H1698">
        <v>6.9775053507792395E-2</v>
      </c>
      <c r="I1698">
        <v>5.1477545233724199E-2</v>
      </c>
      <c r="J1698">
        <v>5.4100488285065598E-2</v>
      </c>
      <c r="K1698">
        <v>4.3130009388731197E-2</v>
      </c>
      <c r="L1698">
        <v>634.03276058385904</v>
      </c>
      <c r="M1698">
        <v>13.005158952675</v>
      </c>
      <c r="N1698">
        <v>48.752403812190103</v>
      </c>
      <c r="O1698">
        <v>47.6428933439635</v>
      </c>
      <c r="P1698">
        <v>-6.8254947224469106E-2</v>
      </c>
      <c r="Q1698">
        <v>0</v>
      </c>
      <c r="R1698">
        <v>0.99328289514379298</v>
      </c>
      <c r="S1698" t="s">
        <v>8266</v>
      </c>
      <c r="T1698" t="s">
        <v>13134</v>
      </c>
      <c r="U1698" t="s">
        <v>13134</v>
      </c>
      <c r="V1698" t="s">
        <v>13134</v>
      </c>
      <c r="W1698" t="s">
        <v>14792</v>
      </c>
      <c r="X1698">
        <v>10</v>
      </c>
      <c r="Y1698" t="s">
        <v>21271</v>
      </c>
      <c r="Z1698" t="s">
        <v>27666</v>
      </c>
      <c r="AA1698">
        <v>0.41865152019962631</v>
      </c>
      <c r="AB1698" t="str">
        <f>HYPERLINK("Melting_Curves/meltCurve_O60563_CCNT1.pdf", "Melting_Curves/meltCurve_O60563_CCNT1.pdf")</f>
        <v>Melting_Curves/meltCurve_O60563_CCNT1.pdf</v>
      </c>
    </row>
    <row r="1699" spans="1:28" x14ac:dyDescent="0.25">
      <c r="A1699" t="s">
        <v>1703</v>
      </c>
      <c r="B1699">
        <v>0.99472303558308395</v>
      </c>
      <c r="C1699">
        <v>1.01292426815296</v>
      </c>
      <c r="D1699">
        <v>0.86124120220058797</v>
      </c>
      <c r="E1699">
        <v>0.56045606969945105</v>
      </c>
      <c r="F1699">
        <v>0.197450728884593</v>
      </c>
      <c r="G1699">
        <v>9.7788550487012099E-2</v>
      </c>
      <c r="H1699">
        <v>6.5684069305125506E-2</v>
      </c>
      <c r="I1699">
        <v>4.1810839357783403E-2</v>
      </c>
      <c r="J1699">
        <v>5.2990044183994001E-2</v>
      </c>
      <c r="K1699">
        <v>4.5644981975248598E-2</v>
      </c>
      <c r="L1699">
        <v>1062.66719637083</v>
      </c>
      <c r="M1699">
        <v>22.7130776916805</v>
      </c>
      <c r="N1699">
        <v>46.983386814384701</v>
      </c>
      <c r="O1699">
        <v>46.428435282411101</v>
      </c>
      <c r="P1699">
        <v>-0.11675402223806799</v>
      </c>
      <c r="Q1699">
        <v>4.5378289375301403E-2</v>
      </c>
      <c r="R1699">
        <v>0.99854805006146197</v>
      </c>
      <c r="S1699" t="s">
        <v>8267</v>
      </c>
      <c r="T1699" t="s">
        <v>13134</v>
      </c>
      <c r="U1699" t="s">
        <v>13134</v>
      </c>
      <c r="V1699" t="s">
        <v>13134</v>
      </c>
      <c r="W1699" t="s">
        <v>14793</v>
      </c>
      <c r="X1699">
        <v>28</v>
      </c>
      <c r="Y1699" t="s">
        <v>21272</v>
      </c>
      <c r="Z1699" t="s">
        <v>27667</v>
      </c>
      <c r="AA1699">
        <v>0.3664900017208248</v>
      </c>
      <c r="AB1699" t="str">
        <f>HYPERLINK("Melting_Curves/meltCurve_O60566_BUB1B.pdf", "Melting_Curves/meltCurve_O60566_BUB1B.pdf")</f>
        <v>Melting_Curves/meltCurve_O60566_BUB1B.pdf</v>
      </c>
    </row>
    <row r="1700" spans="1:28" x14ac:dyDescent="0.25">
      <c r="A1700" t="s">
        <v>1704</v>
      </c>
      <c r="B1700">
        <v>0.99472303558308395</v>
      </c>
      <c r="C1700">
        <v>0.87936341545431096</v>
      </c>
      <c r="D1700">
        <v>0.79018990382069998</v>
      </c>
      <c r="E1700">
        <v>0.69397667453678102</v>
      </c>
      <c r="F1700">
        <v>0.72997262805337904</v>
      </c>
      <c r="G1700">
        <v>0.34548120872389099</v>
      </c>
      <c r="H1700">
        <v>8.9320109179325896E-2</v>
      </c>
      <c r="I1700">
        <v>5.3719727249091902E-2</v>
      </c>
      <c r="J1700">
        <v>4.7161200708652498E-2</v>
      </c>
      <c r="K1700">
        <v>5.0852336962010698E-2</v>
      </c>
      <c r="L1700">
        <v>637.09620948936094</v>
      </c>
      <c r="M1700">
        <v>12.5179882108764</v>
      </c>
      <c r="N1700">
        <v>50.894457699096797</v>
      </c>
      <c r="O1700">
        <v>49.647999883128897</v>
      </c>
      <c r="P1700">
        <v>-6.3046599257507094E-2</v>
      </c>
      <c r="Q1700">
        <v>0</v>
      </c>
      <c r="R1700">
        <v>0.94336263575620505</v>
      </c>
      <c r="S1700" t="s">
        <v>8268</v>
      </c>
      <c r="T1700" t="s">
        <v>13134</v>
      </c>
      <c r="U1700" t="s">
        <v>13134</v>
      </c>
      <c r="V1700" t="s">
        <v>13134</v>
      </c>
      <c r="W1700" t="s">
        <v>14794</v>
      </c>
      <c r="X1700">
        <v>18</v>
      </c>
      <c r="Y1700" t="s">
        <v>21273</v>
      </c>
      <c r="Z1700" t="s">
        <v>27668</v>
      </c>
      <c r="AA1700">
        <v>0.48827034711219341</v>
      </c>
      <c r="AB1700" t="str">
        <f>HYPERLINK("Melting_Curves/meltCurve_O60568_PLOD3.pdf", "Melting_Curves/meltCurve_O60568_PLOD3.pdf")</f>
        <v>Melting_Curves/meltCurve_O60568_PLOD3.pdf</v>
      </c>
    </row>
    <row r="1701" spans="1:28" x14ac:dyDescent="0.25">
      <c r="A1701" t="s">
        <v>1705</v>
      </c>
      <c r="B1701">
        <v>0.99472303558308395</v>
      </c>
      <c r="C1701">
        <v>0.89637675674207695</v>
      </c>
      <c r="D1701">
        <v>0.79170640499144496</v>
      </c>
      <c r="E1701">
        <v>0.53849715939990905</v>
      </c>
      <c r="F1701">
        <v>0.35262010067520499</v>
      </c>
      <c r="G1701">
        <v>0.183923145779603</v>
      </c>
      <c r="H1701">
        <v>8.5922685377576705E-2</v>
      </c>
      <c r="I1701">
        <v>5.8128251144868998E-2</v>
      </c>
      <c r="J1701">
        <v>7.83498390867087E-2</v>
      </c>
      <c r="K1701">
        <v>7.36010467205786E-2</v>
      </c>
      <c r="L1701">
        <v>626.28661158393197</v>
      </c>
      <c r="M1701">
        <v>13.3109322770311</v>
      </c>
      <c r="N1701">
        <v>47.307035615294303</v>
      </c>
      <c r="O1701">
        <v>46.0266520996664</v>
      </c>
      <c r="P1701">
        <v>-6.9794356157379403E-2</v>
      </c>
      <c r="Q1701">
        <v>3.4813505638819499E-2</v>
      </c>
      <c r="R1701">
        <v>0.99704630898818403</v>
      </c>
      <c r="S1701" t="s">
        <v>8269</v>
      </c>
      <c r="T1701" t="s">
        <v>13134</v>
      </c>
      <c r="U1701" t="s">
        <v>13134</v>
      </c>
      <c r="V1701" t="s">
        <v>13134</v>
      </c>
      <c r="W1701" t="s">
        <v>14795</v>
      </c>
      <c r="X1701">
        <v>5</v>
      </c>
      <c r="Y1701" t="s">
        <v>21274</v>
      </c>
      <c r="Z1701" t="s">
        <v>27669</v>
      </c>
      <c r="AA1701">
        <v>0.3848751341174862</v>
      </c>
      <c r="AB1701" t="str">
        <f>HYPERLINK("Melting_Curves/meltCurve_O60583_2_CCNT2.pdf", "Melting_Curves/meltCurve_O60583_2_CCNT2.pdf")</f>
        <v>Melting_Curves/meltCurve_O60583_2_CCNT2.pdf</v>
      </c>
    </row>
    <row r="1702" spans="1:28" x14ac:dyDescent="0.25">
      <c r="A1702" t="s">
        <v>1706</v>
      </c>
      <c r="B1702">
        <v>0.99472303558308395</v>
      </c>
      <c r="C1702">
        <v>0.93629779845263605</v>
      </c>
      <c r="D1702">
        <v>0.79849122963080699</v>
      </c>
      <c r="E1702">
        <v>0.75753494039004698</v>
      </c>
      <c r="F1702">
        <v>0.75714633055604696</v>
      </c>
      <c r="G1702">
        <v>0.214737930455524</v>
      </c>
      <c r="H1702">
        <v>0.12508718674330499</v>
      </c>
      <c r="I1702">
        <v>9.1332640415995606E-2</v>
      </c>
      <c r="J1702">
        <v>0.101588494284512</v>
      </c>
      <c r="K1702">
        <v>8.1525339188822099E-2</v>
      </c>
      <c r="L1702">
        <v>748.55150244536605</v>
      </c>
      <c r="M1702">
        <v>14.676904926493499</v>
      </c>
      <c r="N1702">
        <v>51.1373580978101</v>
      </c>
      <c r="O1702">
        <v>50.0832417968819</v>
      </c>
      <c r="P1702">
        <v>-7.1874674419594303E-2</v>
      </c>
      <c r="Q1702">
        <v>1.90518490666894E-2</v>
      </c>
      <c r="R1702">
        <v>0.94221901974759903</v>
      </c>
      <c r="S1702" t="s">
        <v>8270</v>
      </c>
      <c r="T1702" t="s">
        <v>13134</v>
      </c>
      <c r="U1702" t="s">
        <v>13134</v>
      </c>
      <c r="V1702" t="s">
        <v>13134</v>
      </c>
      <c r="W1702" t="s">
        <v>14796</v>
      </c>
      <c r="X1702">
        <v>5</v>
      </c>
      <c r="Y1702" t="s">
        <v>21275</v>
      </c>
      <c r="Z1702" t="s">
        <v>27670</v>
      </c>
      <c r="AA1702">
        <v>0.49720385315800991</v>
      </c>
      <c r="AB1702" t="str">
        <f>HYPERLINK("Melting_Curves/meltCurve_O60613_SEP15.pdf", "Melting_Curves/meltCurve_O60613_SEP15.pdf")</f>
        <v>Melting_Curves/meltCurve_O60613_SEP15.pdf</v>
      </c>
    </row>
    <row r="1703" spans="1:28" x14ac:dyDescent="0.25">
      <c r="A1703" t="s">
        <v>1707</v>
      </c>
      <c r="B1703">
        <v>0.99472303558308395</v>
      </c>
      <c r="C1703">
        <v>0.86630782240945903</v>
      </c>
      <c r="D1703">
        <v>0.72422646728377704</v>
      </c>
      <c r="E1703">
        <v>0.47517140151049903</v>
      </c>
      <c r="F1703">
        <v>0.176001203872415</v>
      </c>
      <c r="G1703">
        <v>0.109499770470652</v>
      </c>
      <c r="H1703">
        <v>6.9590761344208094E-2</v>
      </c>
      <c r="I1703">
        <v>5.77896118525454E-2</v>
      </c>
      <c r="J1703">
        <v>7.8321046408829406E-2</v>
      </c>
      <c r="K1703">
        <v>6.4846392674374906E-2</v>
      </c>
      <c r="L1703">
        <v>728.99832662992003</v>
      </c>
      <c r="M1703">
        <v>16.039299276711699</v>
      </c>
      <c r="N1703">
        <v>45.729866135685</v>
      </c>
      <c r="O1703">
        <v>44.761844710391898</v>
      </c>
      <c r="P1703">
        <v>-8.5410982436230895E-2</v>
      </c>
      <c r="Q1703">
        <v>4.6627515912112803E-2</v>
      </c>
      <c r="R1703">
        <v>0.99457711416989203</v>
      </c>
      <c r="S1703" t="s">
        <v>8271</v>
      </c>
      <c r="T1703" t="s">
        <v>13134</v>
      </c>
      <c r="U1703" t="s">
        <v>13134</v>
      </c>
      <c r="V1703" t="s">
        <v>13134</v>
      </c>
      <c r="W1703" t="s">
        <v>14797</v>
      </c>
      <c r="X1703">
        <v>14</v>
      </c>
      <c r="Y1703" t="s">
        <v>21276</v>
      </c>
      <c r="Z1703" t="s">
        <v>27671</v>
      </c>
      <c r="AA1703">
        <v>0.33475897110436542</v>
      </c>
      <c r="AB1703" t="str">
        <f>HYPERLINK("Melting_Curves/meltCurve_O60645_3_EXOC3.pdf", "Melting_Curves/meltCurve_O60645_3_EXOC3.pdf")</f>
        <v>Melting_Curves/meltCurve_O60645_3_EXOC3.pdf</v>
      </c>
    </row>
    <row r="1704" spans="1:28" x14ac:dyDescent="0.25">
      <c r="A1704" t="s">
        <v>1708</v>
      </c>
      <c r="B1704">
        <v>0.99472303558308395</v>
      </c>
      <c r="C1704">
        <v>1.0047662043319101</v>
      </c>
      <c r="D1704">
        <v>1.08390591704399</v>
      </c>
      <c r="E1704">
        <v>0.96498817423474004</v>
      </c>
      <c r="F1704">
        <v>0.75313368923983004</v>
      </c>
      <c r="G1704">
        <v>0.54909936203955501</v>
      </c>
      <c r="H1704">
        <v>0.31579658823274098</v>
      </c>
      <c r="I1704">
        <v>0.242647263208596</v>
      </c>
      <c r="J1704">
        <v>0.30562215971912499</v>
      </c>
      <c r="K1704">
        <v>0.29879412856361598</v>
      </c>
      <c r="L1704">
        <v>1218.69532394871</v>
      </c>
      <c r="M1704">
        <v>23.3902939218206</v>
      </c>
      <c r="N1704">
        <v>53.880792605713701</v>
      </c>
      <c r="O1704">
        <v>51.726253441155698</v>
      </c>
      <c r="P1704">
        <v>-8.2646651477758598E-2</v>
      </c>
      <c r="Q1704">
        <v>0.26894004901152102</v>
      </c>
      <c r="R1704">
        <v>0.98525598403937997</v>
      </c>
      <c r="S1704" t="s">
        <v>8272</v>
      </c>
      <c r="T1704" t="s">
        <v>13134</v>
      </c>
      <c r="U1704" t="s">
        <v>13134</v>
      </c>
      <c r="V1704" t="s">
        <v>13134</v>
      </c>
      <c r="W1704" t="s">
        <v>14798</v>
      </c>
      <c r="X1704">
        <v>23</v>
      </c>
      <c r="Y1704" t="s">
        <v>21277</v>
      </c>
      <c r="Z1704" t="s">
        <v>27672</v>
      </c>
      <c r="AA1704">
        <v>0.64425280030151255</v>
      </c>
      <c r="AB1704" t="str">
        <f>HYPERLINK("Melting_Curves/meltCurve_O60664_PLIN3.pdf", "Melting_Curves/meltCurve_O60664_PLIN3.pdf")</f>
        <v>Melting_Curves/meltCurve_O60664_PLIN3.pdf</v>
      </c>
    </row>
    <row r="1705" spans="1:28" x14ac:dyDescent="0.25">
      <c r="A1705" t="s">
        <v>1709</v>
      </c>
      <c r="B1705">
        <v>0.99472303558308395</v>
      </c>
      <c r="C1705">
        <v>0.95257492556572498</v>
      </c>
      <c r="D1705">
        <v>1.0188445190224</v>
      </c>
      <c r="E1705">
        <v>0.91073782608153198</v>
      </c>
      <c r="F1705">
        <v>0.65748393088611501</v>
      </c>
      <c r="G1705">
        <v>0.48085583747163102</v>
      </c>
      <c r="H1705">
        <v>0.21873607274307399</v>
      </c>
      <c r="I1705">
        <v>0.14627547423322099</v>
      </c>
      <c r="J1705">
        <v>0.108104460699981</v>
      </c>
      <c r="K1705">
        <v>8.2742632111233103E-2</v>
      </c>
      <c r="L1705">
        <v>858.44393487513503</v>
      </c>
      <c r="M1705">
        <v>16.343415749716598</v>
      </c>
      <c r="N1705">
        <v>52.9120780124086</v>
      </c>
      <c r="O1705">
        <v>51.757873181716498</v>
      </c>
      <c r="P1705">
        <v>-7.4502945372520196E-2</v>
      </c>
      <c r="Q1705">
        <v>5.6296247679129198E-2</v>
      </c>
      <c r="R1705">
        <v>0.99421165090850205</v>
      </c>
      <c r="S1705" t="s">
        <v>8273</v>
      </c>
      <c r="T1705" t="s">
        <v>13134</v>
      </c>
      <c r="U1705" t="s">
        <v>13134</v>
      </c>
      <c r="V1705" t="s">
        <v>13134</v>
      </c>
      <c r="W1705" t="s">
        <v>14799</v>
      </c>
      <c r="X1705">
        <v>4</v>
      </c>
      <c r="Y1705" t="s">
        <v>21278</v>
      </c>
      <c r="Z1705" t="s">
        <v>27673</v>
      </c>
      <c r="AA1705">
        <v>0.56052136800457197</v>
      </c>
      <c r="AB1705" t="str">
        <f>HYPERLINK("Melting_Curves/meltCurve_O60671_RAD1.pdf", "Melting_Curves/meltCurve_O60671_RAD1.pdf")</f>
        <v>Melting_Curves/meltCurve_O60671_RAD1.pdf</v>
      </c>
    </row>
    <row r="1706" spans="1:28" x14ac:dyDescent="0.25">
      <c r="A1706" t="s">
        <v>1710</v>
      </c>
      <c r="B1706">
        <v>0.99472303558308395</v>
      </c>
      <c r="C1706">
        <v>0.95436128882383597</v>
      </c>
      <c r="D1706">
        <v>0.90673405458801604</v>
      </c>
      <c r="E1706">
        <v>0.80360284064624499</v>
      </c>
      <c r="F1706">
        <v>0.55329864889675995</v>
      </c>
      <c r="G1706">
        <v>9.6481884919637703E-2</v>
      </c>
      <c r="H1706">
        <v>5.7580371465369998E-2</v>
      </c>
      <c r="I1706">
        <v>3.2663150152942098E-2</v>
      </c>
      <c r="J1706">
        <v>4.1274144603010897E-2</v>
      </c>
      <c r="K1706">
        <v>3.5064094136186601E-2</v>
      </c>
      <c r="L1706">
        <v>1144.74672225118</v>
      </c>
      <c r="M1706">
        <v>22.9067034608345</v>
      </c>
      <c r="N1706">
        <v>50.037255273964902</v>
      </c>
      <c r="O1706">
        <v>49.598119756058402</v>
      </c>
      <c r="P1706">
        <v>-0.113823916714911</v>
      </c>
      <c r="Q1706">
        <v>1.42021365185185E-2</v>
      </c>
      <c r="R1706">
        <v>0.98789714519678795</v>
      </c>
      <c r="S1706" t="s">
        <v>8274</v>
      </c>
      <c r="T1706" t="s">
        <v>13134</v>
      </c>
      <c r="U1706" t="s">
        <v>13134</v>
      </c>
      <c r="V1706" t="s">
        <v>13134</v>
      </c>
      <c r="W1706" t="s">
        <v>14800</v>
      </c>
      <c r="X1706">
        <v>11</v>
      </c>
      <c r="Y1706" t="s">
        <v>21279</v>
      </c>
      <c r="Z1706" t="s">
        <v>27674</v>
      </c>
      <c r="AA1706">
        <v>0.45069771584837698</v>
      </c>
      <c r="AB1706" t="str">
        <f>HYPERLINK("Melting_Curves/meltCurve_O60678_PRMT3.pdf", "Melting_Curves/meltCurve_O60678_PRMT3.pdf")</f>
        <v>Melting_Curves/meltCurve_O60678_PRMT3.pdf</v>
      </c>
    </row>
    <row r="1707" spans="1:28" x14ac:dyDescent="0.25">
      <c r="A1707" t="s">
        <v>1711</v>
      </c>
      <c r="B1707">
        <v>0.99472303558308395</v>
      </c>
      <c r="C1707">
        <v>0.90785803761265205</v>
      </c>
      <c r="D1707">
        <v>0.78534191377886498</v>
      </c>
      <c r="E1707">
        <v>0.67510360062968899</v>
      </c>
      <c r="F1707">
        <v>0.54867336004886602</v>
      </c>
      <c r="G1707">
        <v>0.19522535653292</v>
      </c>
      <c r="H1707">
        <v>8.3032630072621405E-2</v>
      </c>
      <c r="I1707">
        <v>5.2828170640363797E-2</v>
      </c>
      <c r="J1707">
        <v>5.84980525823788E-2</v>
      </c>
      <c r="K1707">
        <v>5.2252363589325501E-2</v>
      </c>
      <c r="L1707">
        <v>616.44314690815099</v>
      </c>
      <c r="M1707">
        <v>12.5392407245731</v>
      </c>
      <c r="N1707">
        <v>49.161114536987597</v>
      </c>
      <c r="O1707">
        <v>47.961028360036899</v>
      </c>
      <c r="P1707">
        <v>-6.5374899595446706E-2</v>
      </c>
      <c r="Q1707">
        <v>0</v>
      </c>
      <c r="R1707">
        <v>0.97928524082527502</v>
      </c>
      <c r="S1707" t="s">
        <v>8275</v>
      </c>
      <c r="T1707" t="s">
        <v>13134</v>
      </c>
      <c r="U1707" t="s">
        <v>13134</v>
      </c>
      <c r="V1707" t="s">
        <v>13134</v>
      </c>
      <c r="W1707" t="s">
        <v>14801</v>
      </c>
      <c r="X1707">
        <v>14</v>
      </c>
      <c r="Y1707" t="s">
        <v>21280</v>
      </c>
      <c r="Z1707" t="s">
        <v>27675</v>
      </c>
      <c r="AA1707">
        <v>0.43315701021856612</v>
      </c>
      <c r="AB1707" t="str">
        <f>HYPERLINK("Melting_Curves/meltCurve_O60701_UGDH.pdf", "Melting_Curves/meltCurve_O60701_UGDH.pdf")</f>
        <v>Melting_Curves/meltCurve_O60701_UGDH.pdf</v>
      </c>
    </row>
    <row r="1708" spans="1:28" x14ac:dyDescent="0.25">
      <c r="A1708" t="s">
        <v>1712</v>
      </c>
      <c r="B1708">
        <v>0.99472303558308395</v>
      </c>
      <c r="C1708">
        <v>0.99410471913685206</v>
      </c>
      <c r="D1708">
        <v>0.89719820061720501</v>
      </c>
      <c r="E1708">
        <v>0.79202598391538803</v>
      </c>
      <c r="F1708">
        <v>0.594195599865605</v>
      </c>
      <c r="G1708">
        <v>0.24946685312810099</v>
      </c>
      <c r="H1708">
        <v>0.10665147551090901</v>
      </c>
      <c r="I1708">
        <v>5.8266983171693203E-2</v>
      </c>
      <c r="J1708">
        <v>6.4400580441975996E-2</v>
      </c>
      <c r="K1708">
        <v>6.6099902323425094E-2</v>
      </c>
      <c r="L1708">
        <v>867.08056498101996</v>
      </c>
      <c r="M1708">
        <v>17.167981341965898</v>
      </c>
      <c r="N1708">
        <v>50.657726737198097</v>
      </c>
      <c r="O1708">
        <v>49.835362181886403</v>
      </c>
      <c r="P1708">
        <v>-8.3965828021063393E-2</v>
      </c>
      <c r="Q1708">
        <v>2.5111080806465898E-2</v>
      </c>
      <c r="R1708">
        <v>0.99373206927228597</v>
      </c>
      <c r="S1708" t="s">
        <v>8276</v>
      </c>
      <c r="T1708" t="s">
        <v>13134</v>
      </c>
      <c r="U1708" t="s">
        <v>13134</v>
      </c>
      <c r="V1708" t="s">
        <v>13134</v>
      </c>
      <c r="W1708" t="s">
        <v>14802</v>
      </c>
      <c r="X1708">
        <v>6</v>
      </c>
      <c r="Y1708" t="s">
        <v>21281</v>
      </c>
      <c r="Z1708" t="s">
        <v>27676</v>
      </c>
      <c r="AA1708">
        <v>0.48042711119152332</v>
      </c>
      <c r="AB1708" t="str">
        <f>HYPERLINK("Melting_Curves/meltCurve_O60704_TPST2.pdf", "Melting_Curves/meltCurve_O60704_TPST2.pdf")</f>
        <v>Melting_Curves/meltCurve_O60704_TPST2.pdf</v>
      </c>
    </row>
    <row r="1709" spans="1:28" x14ac:dyDescent="0.25">
      <c r="A1709" t="s">
        <v>1713</v>
      </c>
      <c r="B1709">
        <v>0.99472303558308395</v>
      </c>
      <c r="C1709">
        <v>0.87106662662392698</v>
      </c>
      <c r="D1709">
        <v>0.78540444004503596</v>
      </c>
      <c r="E1709">
        <v>0.25231933550334701</v>
      </c>
      <c r="F1709">
        <v>0.136133122194662</v>
      </c>
      <c r="G1709">
        <v>8.1380731879276899E-2</v>
      </c>
      <c r="H1709">
        <v>5.0965188410039698E-2</v>
      </c>
      <c r="I1709">
        <v>3.8251324814987601E-2</v>
      </c>
      <c r="J1709">
        <v>4.3831319976132703E-2</v>
      </c>
      <c r="K1709">
        <v>3.8681055109754003E-2</v>
      </c>
      <c r="L1709">
        <v>1132.73996370961</v>
      </c>
      <c r="M1709">
        <v>25.3749563691728</v>
      </c>
      <c r="N1709">
        <v>44.822768821322697</v>
      </c>
      <c r="O1709">
        <v>44.3655993012108</v>
      </c>
      <c r="P1709">
        <v>-0.13596432386000901</v>
      </c>
      <c r="Q1709">
        <v>4.91314541618664E-2</v>
      </c>
      <c r="R1709">
        <v>0.990744650447554</v>
      </c>
      <c r="S1709" t="s">
        <v>8277</v>
      </c>
      <c r="T1709" t="s">
        <v>13134</v>
      </c>
      <c r="U1709" t="s">
        <v>13134</v>
      </c>
      <c r="V1709" t="s">
        <v>13134</v>
      </c>
      <c r="W1709" t="s">
        <v>14803</v>
      </c>
      <c r="X1709">
        <v>35</v>
      </c>
      <c r="Y1709" t="s">
        <v>21282</v>
      </c>
      <c r="Z1709" t="s">
        <v>27677</v>
      </c>
      <c r="AA1709">
        <v>0.29884126152845442</v>
      </c>
      <c r="AB1709" t="str">
        <f>HYPERLINK("Melting_Curves/meltCurve_O60716_5_CTNND1.pdf", "Melting_Curves/meltCurve_O60716_5_CTNND1.pdf")</f>
        <v>Melting_Curves/meltCurve_O60716_5_CTNND1.pdf</v>
      </c>
    </row>
    <row r="1710" spans="1:28" x14ac:dyDescent="0.25">
      <c r="A1710" t="s">
        <v>1714</v>
      </c>
      <c r="B1710">
        <v>0.99472303558308395</v>
      </c>
      <c r="C1710">
        <v>0.96557257106384098</v>
      </c>
      <c r="D1710">
        <v>0.76614655389698505</v>
      </c>
      <c r="E1710">
        <v>0.60035080406678198</v>
      </c>
      <c r="F1710">
        <v>0.42391464006128299</v>
      </c>
      <c r="G1710">
        <v>0.24282287903069599</v>
      </c>
      <c r="H1710">
        <v>0.151210081990762</v>
      </c>
      <c r="I1710">
        <v>0.123045319981404</v>
      </c>
      <c r="J1710">
        <v>0.13941657154621101</v>
      </c>
      <c r="K1710">
        <v>0.111305342926714</v>
      </c>
      <c r="L1710">
        <v>608.20526696161403</v>
      </c>
      <c r="M1710">
        <v>12.8015555431317</v>
      </c>
      <c r="N1710">
        <v>48.212654486263098</v>
      </c>
      <c r="O1710">
        <v>46.395694724793401</v>
      </c>
      <c r="P1710">
        <v>-6.3123907720104205E-2</v>
      </c>
      <c r="Q1710">
        <v>8.5071076780876997E-2</v>
      </c>
      <c r="R1710">
        <v>0.99450329355655098</v>
      </c>
      <c r="S1710" t="s">
        <v>8278</v>
      </c>
      <c r="T1710" t="s">
        <v>13134</v>
      </c>
      <c r="U1710" t="s">
        <v>13134</v>
      </c>
      <c r="V1710" t="s">
        <v>13134</v>
      </c>
      <c r="W1710" t="s">
        <v>14804</v>
      </c>
      <c r="X1710">
        <v>5</v>
      </c>
      <c r="Y1710" t="s">
        <v>21283</v>
      </c>
      <c r="Z1710" t="s">
        <v>27678</v>
      </c>
      <c r="AA1710">
        <v>0.43213212595198391</v>
      </c>
      <c r="AB1710" t="str">
        <f>HYPERLINK("Melting_Curves/meltCurve_O60732_MAGEC1.pdf", "Melting_Curves/meltCurve_O60732_MAGEC1.pdf")</f>
        <v>Melting_Curves/meltCurve_O60732_MAGEC1.pdf</v>
      </c>
    </row>
    <row r="1711" spans="1:28" x14ac:dyDescent="0.25">
      <c r="A1711" t="s">
        <v>1715</v>
      </c>
      <c r="B1711">
        <v>0.99472303558308395</v>
      </c>
      <c r="C1711">
        <v>0.93951056773458297</v>
      </c>
      <c r="D1711">
        <v>0.80908924563427997</v>
      </c>
      <c r="E1711">
        <v>0.90922078304486798</v>
      </c>
      <c r="F1711">
        <v>0.66914705633904104</v>
      </c>
      <c r="G1711">
        <v>0.59739196327292099</v>
      </c>
      <c r="H1711">
        <v>0.370658709248611</v>
      </c>
      <c r="I1711">
        <v>0.26718471175434599</v>
      </c>
      <c r="J1711">
        <v>0.173490582772661</v>
      </c>
      <c r="K1711">
        <v>0.124956311612325</v>
      </c>
      <c r="L1711">
        <v>524.66093650723803</v>
      </c>
      <c r="M1711">
        <v>9.6058696725900301</v>
      </c>
      <c r="N1711">
        <v>54.618785598802098</v>
      </c>
      <c r="O1711">
        <v>52.409068430595902</v>
      </c>
      <c r="P1711">
        <v>-4.5847589064807903E-2</v>
      </c>
      <c r="Q1711">
        <v>0</v>
      </c>
      <c r="R1711">
        <v>0.97314217813980897</v>
      </c>
      <c r="S1711" t="s">
        <v>8279</v>
      </c>
      <c r="T1711" t="s">
        <v>13134</v>
      </c>
      <c r="U1711" t="s">
        <v>13134</v>
      </c>
      <c r="V1711" t="s">
        <v>13134</v>
      </c>
      <c r="W1711" t="s">
        <v>14805</v>
      </c>
      <c r="X1711">
        <v>12</v>
      </c>
      <c r="Y1711" t="s">
        <v>21284</v>
      </c>
      <c r="Z1711" t="s">
        <v>27679</v>
      </c>
      <c r="AA1711">
        <v>0.6010310530035875</v>
      </c>
      <c r="AB1711" t="str">
        <f>HYPERLINK("Melting_Curves/meltCurve_O60739_EIF1B.pdf", "Melting_Curves/meltCurve_O60739_EIF1B.pdf")</f>
        <v>Melting_Curves/meltCurve_O60739_EIF1B.pdf</v>
      </c>
    </row>
    <row r="1712" spans="1:28" x14ac:dyDescent="0.25">
      <c r="A1712" t="s">
        <v>1716</v>
      </c>
      <c r="B1712">
        <v>0.99472303558308395</v>
      </c>
      <c r="C1712">
        <v>0.99074428248303803</v>
      </c>
      <c r="D1712">
        <v>0.94055634105346797</v>
      </c>
      <c r="E1712">
        <v>0.73842509517343702</v>
      </c>
      <c r="F1712">
        <v>0.27771636974729302</v>
      </c>
      <c r="G1712">
        <v>9.4271652366612294E-2</v>
      </c>
      <c r="H1712">
        <v>6.0443307633670097E-2</v>
      </c>
      <c r="I1712">
        <v>4.1684132230070503E-2</v>
      </c>
      <c r="J1712">
        <v>4.8707717231236597E-2</v>
      </c>
      <c r="K1712">
        <v>4.3087397293361598E-2</v>
      </c>
      <c r="L1712">
        <v>1313.6141982825</v>
      </c>
      <c r="M1712">
        <v>27.2621376366655</v>
      </c>
      <c r="N1712">
        <v>48.345483016802902</v>
      </c>
      <c r="O1712">
        <v>47.927538818625301</v>
      </c>
      <c r="P1712">
        <v>-0.13603920488274299</v>
      </c>
      <c r="Q1712">
        <v>4.3367446829955997E-2</v>
      </c>
      <c r="R1712">
        <v>0.99948441302909596</v>
      </c>
      <c r="S1712" t="s">
        <v>8280</v>
      </c>
      <c r="T1712" t="s">
        <v>13134</v>
      </c>
      <c r="U1712" t="s">
        <v>13134</v>
      </c>
      <c r="V1712" t="s">
        <v>13134</v>
      </c>
      <c r="W1712" t="s">
        <v>14806</v>
      </c>
      <c r="X1712">
        <v>22</v>
      </c>
      <c r="Y1712" t="s">
        <v>21285</v>
      </c>
      <c r="Z1712" t="s">
        <v>27680</v>
      </c>
      <c r="AA1712">
        <v>0.40690198410883471</v>
      </c>
      <c r="AB1712" t="str">
        <f>HYPERLINK("Melting_Curves/meltCurve_O60749_SNX2.pdf", "Melting_Curves/meltCurve_O60749_SNX2.pdf")</f>
        <v>Melting_Curves/meltCurve_O60749_SNX2.pdf</v>
      </c>
    </row>
    <row r="1713" spans="1:28" x14ac:dyDescent="0.25">
      <c r="A1713" t="s">
        <v>1717</v>
      </c>
      <c r="B1713">
        <v>0.99472303558308395</v>
      </c>
      <c r="C1713">
        <v>1.0517818705300901</v>
      </c>
      <c r="D1713">
        <v>0.98091624778327402</v>
      </c>
      <c r="E1713">
        <v>0.89131690726796098</v>
      </c>
      <c r="F1713">
        <v>0.39383431929676499</v>
      </c>
      <c r="G1713">
        <v>0.104122335831735</v>
      </c>
      <c r="H1713">
        <v>6.3055157402652606E-2</v>
      </c>
      <c r="I1713">
        <v>4.8524549478781001E-2</v>
      </c>
      <c r="J1713">
        <v>5.6434724059685797E-2</v>
      </c>
      <c r="K1713">
        <v>4.34482847207475E-2</v>
      </c>
      <c r="L1713">
        <v>1685.0249306775399</v>
      </c>
      <c r="M1713">
        <v>34.1312453121405</v>
      </c>
      <c r="N1713">
        <v>49.5228647448141</v>
      </c>
      <c r="O1713">
        <v>49.200432761173303</v>
      </c>
      <c r="P1713">
        <v>-0.16470462593749</v>
      </c>
      <c r="Q1713">
        <v>5.0312143470859098E-2</v>
      </c>
      <c r="R1713">
        <v>0.99839574678915599</v>
      </c>
      <c r="S1713" t="s">
        <v>8281</v>
      </c>
      <c r="T1713" t="s">
        <v>13134</v>
      </c>
      <c r="U1713" t="s">
        <v>13134</v>
      </c>
      <c r="V1713" t="s">
        <v>13134</v>
      </c>
      <c r="W1713" t="s">
        <v>14807</v>
      </c>
      <c r="X1713">
        <v>35</v>
      </c>
      <c r="Y1713" t="s">
        <v>21286</v>
      </c>
      <c r="Z1713" t="s">
        <v>27681</v>
      </c>
      <c r="AA1713">
        <v>0.44632405118779739</v>
      </c>
      <c r="AB1713" t="str">
        <f>HYPERLINK("Melting_Curves/meltCurve_O60763_USO1.pdf", "Melting_Curves/meltCurve_O60763_USO1.pdf")</f>
        <v>Melting_Curves/meltCurve_O60763_USO1.pdf</v>
      </c>
    </row>
    <row r="1714" spans="1:28" x14ac:dyDescent="0.25">
      <c r="A1714" t="s">
        <v>1718</v>
      </c>
      <c r="B1714">
        <v>0.99472303558308395</v>
      </c>
      <c r="C1714">
        <v>0.93199051885227102</v>
      </c>
      <c r="D1714">
        <v>0.66799507017056303</v>
      </c>
      <c r="E1714">
        <v>0.48085662640814603</v>
      </c>
      <c r="F1714">
        <v>0.28407247284856801</v>
      </c>
      <c r="G1714">
        <v>0.11214226136303899</v>
      </c>
      <c r="H1714">
        <v>6.7486119164260505E-2</v>
      </c>
      <c r="I1714">
        <v>4.6435509712393602E-2</v>
      </c>
      <c r="J1714">
        <v>5.2131524393596598E-2</v>
      </c>
      <c r="K1714">
        <v>5.1530922379066202E-2</v>
      </c>
      <c r="L1714">
        <v>636.39823268018495</v>
      </c>
      <c r="M1714">
        <v>13.8637685951644</v>
      </c>
      <c r="N1714">
        <v>46.074718964226797</v>
      </c>
      <c r="O1714">
        <v>44.9802377444447</v>
      </c>
      <c r="P1714">
        <v>-7.5132608706162105E-2</v>
      </c>
      <c r="Q1714">
        <v>2.5079217572712701E-2</v>
      </c>
      <c r="R1714">
        <v>0.99359087410840896</v>
      </c>
      <c r="S1714" t="s">
        <v>8282</v>
      </c>
      <c r="T1714" t="s">
        <v>13134</v>
      </c>
      <c r="U1714" t="s">
        <v>13134</v>
      </c>
      <c r="V1714" t="s">
        <v>13134</v>
      </c>
      <c r="W1714" t="s">
        <v>14808</v>
      </c>
      <c r="X1714">
        <v>14</v>
      </c>
      <c r="Y1714" t="s">
        <v>21287</v>
      </c>
      <c r="Z1714" t="s">
        <v>27682</v>
      </c>
      <c r="AA1714">
        <v>0.34055745935257731</v>
      </c>
      <c r="AB1714" t="str">
        <f>HYPERLINK("Melting_Curves/meltCurve_O60826_CCDC22.pdf", "Melting_Curves/meltCurve_O60826_CCDC22.pdf")</f>
        <v>Melting_Curves/meltCurve_O60826_CCDC22.pdf</v>
      </c>
    </row>
    <row r="1715" spans="1:28" x14ac:dyDescent="0.25">
      <c r="A1715" t="s">
        <v>1719</v>
      </c>
      <c r="B1715">
        <v>0.99472303558308395</v>
      </c>
      <c r="C1715">
        <v>0.96511513069787602</v>
      </c>
      <c r="D1715">
        <v>0.99550981165914298</v>
      </c>
      <c r="E1715">
        <v>0.87255472451806604</v>
      </c>
      <c r="F1715">
        <v>0.70881314148514596</v>
      </c>
      <c r="G1715">
        <v>0.64281582060008202</v>
      </c>
      <c r="H1715">
        <v>0.43241958283134402</v>
      </c>
      <c r="I1715">
        <v>0.540932168907726</v>
      </c>
      <c r="J1715">
        <v>0.68012781526753296</v>
      </c>
      <c r="K1715">
        <v>0.55916907813733197</v>
      </c>
      <c r="L1715">
        <v>1165.95683507023</v>
      </c>
      <c r="M1715">
        <v>23.980607927091899</v>
      </c>
      <c r="O1715">
        <v>48.286498773519497</v>
      </c>
      <c r="P1715">
        <v>-5.4597417200275701E-2</v>
      </c>
      <c r="Q1715">
        <v>0.56026531064547103</v>
      </c>
      <c r="R1715">
        <v>0.90204334343660297</v>
      </c>
      <c r="S1715" t="s">
        <v>8283</v>
      </c>
      <c r="T1715" t="s">
        <v>13134</v>
      </c>
      <c r="U1715" t="s">
        <v>13134</v>
      </c>
      <c r="V1715" t="s">
        <v>13134</v>
      </c>
      <c r="W1715" t="s">
        <v>14809</v>
      </c>
      <c r="X1715">
        <v>10</v>
      </c>
      <c r="Y1715" t="s">
        <v>21288</v>
      </c>
      <c r="Z1715" t="s">
        <v>27683</v>
      </c>
      <c r="AA1715">
        <v>0.73470143104166918</v>
      </c>
      <c r="AB1715" t="str">
        <f>HYPERLINK("Melting_Curves/meltCurve_O60828_PQBP1.pdf", "Melting_Curves/meltCurve_O60828_PQBP1.pdf")</f>
        <v>Melting_Curves/meltCurve_O60828_PQBP1.pdf</v>
      </c>
    </row>
    <row r="1716" spans="1:28" x14ac:dyDescent="0.25">
      <c r="A1716" t="s">
        <v>1720</v>
      </c>
      <c r="B1716">
        <v>0.99472303558308395</v>
      </c>
      <c r="C1716">
        <v>1.0553741910119001</v>
      </c>
      <c r="D1716">
        <v>0.81392833030120404</v>
      </c>
      <c r="E1716">
        <v>0.76309498070382797</v>
      </c>
      <c r="F1716">
        <v>0.53868922315990098</v>
      </c>
      <c r="G1716">
        <v>0.38316988209477798</v>
      </c>
      <c r="H1716">
        <v>0.32145511231725199</v>
      </c>
      <c r="I1716">
        <v>0.406757661761523</v>
      </c>
      <c r="J1716">
        <v>0.47612402310508301</v>
      </c>
      <c r="K1716">
        <v>0.38166226202967302</v>
      </c>
      <c r="L1716">
        <v>888.41940973633496</v>
      </c>
      <c r="M1716">
        <v>18.919462795275599</v>
      </c>
      <c r="N1716">
        <v>50.859380747723598</v>
      </c>
      <c r="O1716">
        <v>46.442758627715797</v>
      </c>
      <c r="P1716">
        <v>-6.2852989996478495E-2</v>
      </c>
      <c r="Q1716">
        <v>0.38286845479016202</v>
      </c>
      <c r="R1716">
        <v>0.94767922901922896</v>
      </c>
      <c r="S1716" t="s">
        <v>8284</v>
      </c>
      <c r="T1716" t="s">
        <v>13134</v>
      </c>
      <c r="U1716" t="s">
        <v>13134</v>
      </c>
      <c r="V1716" t="s">
        <v>13134</v>
      </c>
      <c r="W1716" t="s">
        <v>14810</v>
      </c>
      <c r="X1716">
        <v>1</v>
      </c>
      <c r="Y1716" t="s">
        <v>21289</v>
      </c>
      <c r="Z1716" t="s">
        <v>27684</v>
      </c>
      <c r="AA1716">
        <v>0.59671644916833533</v>
      </c>
      <c r="AB1716" t="str">
        <f>HYPERLINK("Melting_Curves/meltCurve_O60829_PAGE4.pdf", "Melting_Curves/meltCurve_O60829_PAGE4.pdf")</f>
        <v>Melting_Curves/meltCurve_O60829_PAGE4.pdf</v>
      </c>
    </row>
    <row r="1717" spans="1:28" x14ac:dyDescent="0.25">
      <c r="A1717" t="s">
        <v>1721</v>
      </c>
      <c r="B1717">
        <v>0.99472303558308395</v>
      </c>
      <c r="C1717">
        <v>0.97694148841157202</v>
      </c>
      <c r="D1717">
        <v>0.73846371853835002</v>
      </c>
      <c r="E1717">
        <v>0.76189344450347596</v>
      </c>
      <c r="F1717">
        <v>0.65974103934911499</v>
      </c>
      <c r="G1717">
        <v>0.43126894521361098</v>
      </c>
      <c r="H1717">
        <v>0.32678487703764703</v>
      </c>
      <c r="I1717">
        <v>0.35846160889054102</v>
      </c>
      <c r="J1717">
        <v>0.36076560396829999</v>
      </c>
      <c r="K1717">
        <v>0.477464945200539</v>
      </c>
      <c r="L1717">
        <v>566.458239623748</v>
      </c>
      <c r="M1717">
        <v>11.929541633233301</v>
      </c>
      <c r="N1717">
        <v>52.739375917314497</v>
      </c>
      <c r="O1717">
        <v>46.208389241296103</v>
      </c>
      <c r="P1717">
        <v>-4.2110416637958101E-2</v>
      </c>
      <c r="Q1717">
        <v>0.34771212890248598</v>
      </c>
      <c r="R1717">
        <v>0.91405092261459897</v>
      </c>
      <c r="S1717" t="s">
        <v>8285</v>
      </c>
      <c r="T1717" t="s">
        <v>13134</v>
      </c>
      <c r="U1717" t="s">
        <v>13134</v>
      </c>
      <c r="V1717" t="s">
        <v>13134</v>
      </c>
      <c r="W1717" t="s">
        <v>14811</v>
      </c>
      <c r="X1717">
        <v>6</v>
      </c>
      <c r="Y1717" t="s">
        <v>21290</v>
      </c>
      <c r="Z1717" t="s">
        <v>27685</v>
      </c>
      <c r="AA1717">
        <v>0.59678911507804144</v>
      </c>
      <c r="AB1717" t="str">
        <f>HYPERLINK("Melting_Curves/meltCurve_O60830_TIMM17B.pdf", "Melting_Curves/meltCurve_O60830_TIMM17B.pdf")</f>
        <v>Melting_Curves/meltCurve_O60830_TIMM17B.pdf</v>
      </c>
    </row>
    <row r="1718" spans="1:28" x14ac:dyDescent="0.25">
      <c r="A1718" t="s">
        <v>1722</v>
      </c>
      <c r="B1718">
        <v>0.99472303558308395</v>
      </c>
      <c r="C1718">
        <v>0.89329418646063596</v>
      </c>
      <c r="D1718">
        <v>0.85171679680024703</v>
      </c>
      <c r="E1718">
        <v>0.69199805431972605</v>
      </c>
      <c r="F1718">
        <v>0.55272096929418701</v>
      </c>
      <c r="G1718">
        <v>0.28832119463559702</v>
      </c>
      <c r="H1718">
        <v>0.198968986220249</v>
      </c>
      <c r="I1718">
        <v>0.21153386339182501</v>
      </c>
      <c r="J1718">
        <v>0.24634280685642601</v>
      </c>
      <c r="K1718">
        <v>0.16935480897746699</v>
      </c>
      <c r="L1718">
        <v>616.40939135087206</v>
      </c>
      <c r="M1718">
        <v>12.695794890437201</v>
      </c>
      <c r="N1718">
        <v>49.954878282046899</v>
      </c>
      <c r="O1718">
        <v>47.394927398057803</v>
      </c>
      <c r="P1718">
        <v>-5.6938798604095599E-2</v>
      </c>
      <c r="Q1718">
        <v>0.14992714602139801</v>
      </c>
      <c r="R1718">
        <v>0.98212841170889198</v>
      </c>
      <c r="S1718" t="s">
        <v>8286</v>
      </c>
      <c r="T1718" t="s">
        <v>13134</v>
      </c>
      <c r="U1718" t="s">
        <v>13134</v>
      </c>
      <c r="V1718" t="s">
        <v>13134</v>
      </c>
      <c r="W1718" t="s">
        <v>14812</v>
      </c>
      <c r="X1718">
        <v>16</v>
      </c>
      <c r="Y1718" t="s">
        <v>21291</v>
      </c>
      <c r="Z1718" t="s">
        <v>27686</v>
      </c>
      <c r="AA1718">
        <v>0.5011580136578373</v>
      </c>
      <c r="AB1718" t="str">
        <f>HYPERLINK("Melting_Curves/meltCurve_O60832_DKC1.pdf", "Melting_Curves/meltCurve_O60832_DKC1.pdf")</f>
        <v>Melting_Curves/meltCurve_O60832_DKC1.pdf</v>
      </c>
    </row>
    <row r="1719" spans="1:28" x14ac:dyDescent="0.25">
      <c r="A1719" t="s">
        <v>1723</v>
      </c>
      <c r="B1719">
        <v>0.99472303558308395</v>
      </c>
      <c r="C1719">
        <v>0.95521743068107701</v>
      </c>
      <c r="D1719">
        <v>0.99711367071402002</v>
      </c>
      <c r="E1719">
        <v>0.86526087085741599</v>
      </c>
      <c r="F1719">
        <v>0.55553008177226904</v>
      </c>
      <c r="G1719">
        <v>0.24351218621030499</v>
      </c>
      <c r="H1719">
        <v>8.7713263167352506E-2</v>
      </c>
      <c r="I1719">
        <v>6.6728393686483797E-2</v>
      </c>
      <c r="J1719">
        <v>7.09292756035661E-2</v>
      </c>
      <c r="K1719">
        <v>5.5216420098747998E-2</v>
      </c>
      <c r="L1719">
        <v>1143.1938098472799</v>
      </c>
      <c r="M1719">
        <v>22.657496604247701</v>
      </c>
      <c r="N1719">
        <v>50.691804219081703</v>
      </c>
      <c r="O1719">
        <v>50.067326429813299</v>
      </c>
      <c r="P1719">
        <v>-0.107465800974638</v>
      </c>
      <c r="Q1719">
        <v>5.0130109923436701E-2</v>
      </c>
      <c r="R1719">
        <v>0.99831164712582499</v>
      </c>
      <c r="S1719" t="s">
        <v>8287</v>
      </c>
      <c r="T1719" t="s">
        <v>13134</v>
      </c>
      <c r="U1719" t="s">
        <v>13134</v>
      </c>
      <c r="V1719" t="s">
        <v>13134</v>
      </c>
      <c r="W1719" t="s">
        <v>14813</v>
      </c>
      <c r="X1719">
        <v>63</v>
      </c>
      <c r="Y1719" t="s">
        <v>21292</v>
      </c>
      <c r="Z1719" t="s">
        <v>27687</v>
      </c>
      <c r="AA1719">
        <v>0.48617409399548173</v>
      </c>
      <c r="AB1719" t="str">
        <f>HYPERLINK("Melting_Curves/meltCurve_O60841_EIF5B.pdf", "Melting_Curves/meltCurve_O60841_EIF5B.pdf")</f>
        <v>Melting_Curves/meltCurve_O60841_EIF5B.pdf</v>
      </c>
    </row>
    <row r="1720" spans="1:28" x14ac:dyDescent="0.25">
      <c r="A1720" t="s">
        <v>1724</v>
      </c>
      <c r="B1720">
        <v>0.99472303558308395</v>
      </c>
      <c r="C1720">
        <v>0.96025920115531505</v>
      </c>
      <c r="D1720">
        <v>1.01649705777955</v>
      </c>
      <c r="E1720">
        <v>0.859730331631675</v>
      </c>
      <c r="F1720">
        <v>0.60246817369237304</v>
      </c>
      <c r="G1720">
        <v>0.54552235513950997</v>
      </c>
      <c r="H1720">
        <v>0.39794071602501802</v>
      </c>
      <c r="I1720">
        <v>0.50943650117280204</v>
      </c>
      <c r="J1720">
        <v>0.80695848139417703</v>
      </c>
      <c r="K1720">
        <v>0.50638358763126401</v>
      </c>
      <c r="L1720">
        <v>2024.75908148586</v>
      </c>
      <c r="M1720">
        <v>42.634987681874698</v>
      </c>
      <c r="O1720">
        <v>47.386430400995501</v>
      </c>
      <c r="P1720">
        <v>-0.10034097437743</v>
      </c>
      <c r="Q1720">
        <v>0.55390696159376496</v>
      </c>
      <c r="R1720">
        <v>0.80467950388689102</v>
      </c>
      <c r="S1720" t="s">
        <v>8288</v>
      </c>
      <c r="T1720" t="s">
        <v>13134</v>
      </c>
      <c r="U1720" t="s">
        <v>13134</v>
      </c>
      <c r="V1720" t="s">
        <v>13134</v>
      </c>
      <c r="W1720" t="s">
        <v>14814</v>
      </c>
      <c r="X1720">
        <v>14</v>
      </c>
      <c r="Y1720" t="s">
        <v>21293</v>
      </c>
      <c r="Z1720" t="s">
        <v>27688</v>
      </c>
      <c r="AA1720">
        <v>0.71118690641202176</v>
      </c>
      <c r="AB1720" t="str">
        <f>HYPERLINK("Melting_Curves/meltCurve_O60869_EDF1.pdf", "Melting_Curves/meltCurve_O60869_EDF1.pdf")</f>
        <v>Melting_Curves/meltCurve_O60869_EDF1.pdf</v>
      </c>
    </row>
    <row r="1721" spans="1:28" x14ac:dyDescent="0.25">
      <c r="A1721" t="s">
        <v>1725</v>
      </c>
      <c r="B1721">
        <v>0.99472303558308395</v>
      </c>
      <c r="C1721">
        <v>0.90147975406463798</v>
      </c>
      <c r="D1721">
        <v>0.918399704570524</v>
      </c>
      <c r="E1721">
        <v>0.64247249939722995</v>
      </c>
      <c r="F1721">
        <v>0.21574263084398701</v>
      </c>
      <c r="G1721">
        <v>0.115508726779326</v>
      </c>
      <c r="H1721">
        <v>6.8394845010270197E-2</v>
      </c>
      <c r="I1721">
        <v>5.4261696682971497E-2</v>
      </c>
      <c r="J1721">
        <v>5.9549364732585798E-2</v>
      </c>
      <c r="K1721">
        <v>4.5541216432933802E-2</v>
      </c>
      <c r="L1721">
        <v>1161.08654257851</v>
      </c>
      <c r="M1721">
        <v>24.5087420802388</v>
      </c>
      <c r="N1721">
        <v>47.587966593008503</v>
      </c>
      <c r="O1721">
        <v>47.062372986427398</v>
      </c>
      <c r="P1721">
        <v>-0.123413886592232</v>
      </c>
      <c r="Q1721">
        <v>5.2082685558594299E-2</v>
      </c>
      <c r="R1721">
        <v>0.99371985995235401</v>
      </c>
      <c r="S1721" t="s">
        <v>8289</v>
      </c>
      <c r="T1721" t="s">
        <v>13134</v>
      </c>
      <c r="U1721" t="s">
        <v>13134</v>
      </c>
      <c r="V1721" t="s">
        <v>13134</v>
      </c>
      <c r="W1721" t="s">
        <v>14815</v>
      </c>
      <c r="X1721">
        <v>9</v>
      </c>
      <c r="Y1721" t="s">
        <v>21294</v>
      </c>
      <c r="Z1721" t="s">
        <v>27689</v>
      </c>
      <c r="AA1721">
        <v>0.38821251431225062</v>
      </c>
      <c r="AB1721" t="str">
        <f>HYPERLINK("Melting_Curves/meltCurve_O60870_KIN.pdf", "Melting_Curves/meltCurve_O60870_KIN.pdf")</f>
        <v>Melting_Curves/meltCurve_O60870_KIN.pdf</v>
      </c>
    </row>
    <row r="1722" spans="1:28" x14ac:dyDescent="0.25">
      <c r="A1722" t="s">
        <v>1726</v>
      </c>
      <c r="B1722">
        <v>0.99472303558308395</v>
      </c>
      <c r="C1722">
        <v>0.95297702254119698</v>
      </c>
      <c r="D1722">
        <v>0.81332977303263798</v>
      </c>
      <c r="E1722">
        <v>0.68266815529748304</v>
      </c>
      <c r="F1722">
        <v>0.48337720231696801</v>
      </c>
      <c r="G1722">
        <v>0.244373926856195</v>
      </c>
      <c r="H1722">
        <v>0.10068560461508599</v>
      </c>
      <c r="I1722">
        <v>4.1669518018150303E-2</v>
      </c>
      <c r="J1722">
        <v>3.9198861118865301E-2</v>
      </c>
      <c r="K1722">
        <v>3.8916460021404899E-2</v>
      </c>
      <c r="L1722">
        <v>643.16276210333899</v>
      </c>
      <c r="M1722">
        <v>13.067462352477399</v>
      </c>
      <c r="N1722">
        <v>49.218630645473198</v>
      </c>
      <c r="O1722">
        <v>48.1087825010747</v>
      </c>
      <c r="P1722">
        <v>-6.7917562076469096E-2</v>
      </c>
      <c r="Q1722">
        <v>0</v>
      </c>
      <c r="R1722">
        <v>0.99451217617806997</v>
      </c>
      <c r="S1722" t="s">
        <v>8290</v>
      </c>
      <c r="T1722" t="s">
        <v>13134</v>
      </c>
      <c r="U1722" t="s">
        <v>13134</v>
      </c>
      <c r="V1722" t="s">
        <v>13134</v>
      </c>
      <c r="W1722" t="s">
        <v>14816</v>
      </c>
      <c r="X1722">
        <v>20</v>
      </c>
      <c r="Y1722" t="s">
        <v>21295</v>
      </c>
      <c r="Z1722" t="s">
        <v>27690</v>
      </c>
      <c r="AA1722">
        <v>0.43347549510546218</v>
      </c>
      <c r="AB1722" t="str">
        <f>HYPERLINK("Melting_Curves/meltCurve_O60884_DNAJA2.pdf", "Melting_Curves/meltCurve_O60884_DNAJA2.pdf")</f>
        <v>Melting_Curves/meltCurve_O60884_DNAJA2.pdf</v>
      </c>
    </row>
    <row r="1723" spans="1:28" x14ac:dyDescent="0.25">
      <c r="A1723" t="s">
        <v>1727</v>
      </c>
      <c r="B1723">
        <v>0.99472303558308395</v>
      </c>
      <c r="C1723">
        <v>0.95755863916086403</v>
      </c>
      <c r="D1723">
        <v>0.81181224571644806</v>
      </c>
      <c r="E1723">
        <v>0.38394541370166502</v>
      </c>
      <c r="F1723">
        <v>0.18187756539522201</v>
      </c>
      <c r="G1723">
        <v>0.10563847060170101</v>
      </c>
      <c r="H1723">
        <v>6.1400026433735599E-2</v>
      </c>
      <c r="I1723">
        <v>6.0328710733516699E-2</v>
      </c>
      <c r="J1723">
        <v>6.3182383605693407E-2</v>
      </c>
      <c r="K1723">
        <v>5.6866445156406903E-2</v>
      </c>
      <c r="L1723">
        <v>1030.3620842964699</v>
      </c>
      <c r="M1723">
        <v>22.6726775101904</v>
      </c>
      <c r="N1723">
        <v>45.717741003305697</v>
      </c>
      <c r="O1723">
        <v>45.096013754488901</v>
      </c>
      <c r="P1723">
        <v>-0.117745580278866</v>
      </c>
      <c r="Q1723">
        <v>6.3233917079476301E-2</v>
      </c>
      <c r="R1723">
        <v>0.99897981703845795</v>
      </c>
      <c r="S1723" t="s">
        <v>8291</v>
      </c>
      <c r="T1723" t="s">
        <v>13134</v>
      </c>
      <c r="U1723" t="s">
        <v>13134</v>
      </c>
      <c r="V1723" t="s">
        <v>13134</v>
      </c>
      <c r="W1723" t="s">
        <v>14817</v>
      </c>
      <c r="X1723">
        <v>19</v>
      </c>
      <c r="Y1723" t="s">
        <v>21296</v>
      </c>
      <c r="Z1723" t="s">
        <v>27691</v>
      </c>
      <c r="AA1723">
        <v>0.33639044793658018</v>
      </c>
      <c r="AB1723" t="str">
        <f>HYPERLINK("Melting_Curves/meltCurve_O60885_BRD4.pdf", "Melting_Curves/meltCurve_O60885_BRD4.pdf")</f>
        <v>Melting_Curves/meltCurve_O60885_BRD4.pdf</v>
      </c>
    </row>
    <row r="1724" spans="1:28" x14ac:dyDescent="0.25">
      <c r="A1724" t="s">
        <v>1728</v>
      </c>
      <c r="B1724">
        <v>0.99472303558308395</v>
      </c>
      <c r="C1724">
        <v>1.28717824014278</v>
      </c>
      <c r="D1724">
        <v>0.92937061398354504</v>
      </c>
      <c r="E1724">
        <v>0.95644599347802195</v>
      </c>
      <c r="F1724">
        <v>1.30360391055131</v>
      </c>
      <c r="G1724">
        <v>0.59904115308343697</v>
      </c>
      <c r="H1724">
        <v>0.37448730561126298</v>
      </c>
      <c r="I1724">
        <v>0.343009215405295</v>
      </c>
      <c r="J1724">
        <v>0.400276514004757</v>
      </c>
      <c r="K1724">
        <v>0.344888939698895</v>
      </c>
      <c r="L1724">
        <v>13420.8829605098</v>
      </c>
      <c r="M1724">
        <v>250</v>
      </c>
      <c r="N1724">
        <v>53.967249947558301</v>
      </c>
      <c r="O1724">
        <v>53.680079675805899</v>
      </c>
      <c r="P1724">
        <v>-0.73855880334879398</v>
      </c>
      <c r="Q1724">
        <v>0.36566547498545199</v>
      </c>
      <c r="R1724">
        <v>0.86340811618458702</v>
      </c>
      <c r="S1724" t="s">
        <v>8292</v>
      </c>
      <c r="T1724" t="s">
        <v>13134</v>
      </c>
      <c r="U1724" t="s">
        <v>13134</v>
      </c>
      <c r="V1724" t="s">
        <v>13134</v>
      </c>
      <c r="W1724" t="s">
        <v>14818</v>
      </c>
      <c r="X1724">
        <v>6</v>
      </c>
      <c r="Y1724" t="s">
        <v>21297</v>
      </c>
      <c r="Z1724" t="s">
        <v>27692</v>
      </c>
      <c r="AA1724">
        <v>0.7184899129141481</v>
      </c>
      <c r="AB1724" t="str">
        <f>HYPERLINK("Melting_Curves/meltCurve_O60888_3_CUTA.pdf", "Melting_Curves/meltCurve_O60888_3_CUTA.pdf")</f>
        <v>Melting_Curves/meltCurve_O60888_3_CUTA.pdf</v>
      </c>
    </row>
    <row r="1725" spans="1:28" x14ac:dyDescent="0.25">
      <c r="A1725" t="s">
        <v>1729</v>
      </c>
      <c r="B1725">
        <v>0.99472303558308395</v>
      </c>
      <c r="C1725">
        <v>1.0351421833708201</v>
      </c>
      <c r="D1725">
        <v>0.82756276313935195</v>
      </c>
      <c r="E1725">
        <v>0.79519412638371001</v>
      </c>
      <c r="F1725">
        <v>0.58763438717726102</v>
      </c>
      <c r="G1725">
        <v>0.333091021153615</v>
      </c>
      <c r="H1725">
        <v>0.25003440613938199</v>
      </c>
      <c r="I1725">
        <v>0.23294092961830901</v>
      </c>
      <c r="J1725">
        <v>0.26404402988374398</v>
      </c>
      <c r="K1725">
        <v>0.20559624697127499</v>
      </c>
      <c r="L1725">
        <v>756.21553010609</v>
      </c>
      <c r="M1725">
        <v>15.3222036154755</v>
      </c>
      <c r="N1725">
        <v>51.013380988354399</v>
      </c>
      <c r="O1725">
        <v>48.5364564948175</v>
      </c>
      <c r="P1725">
        <v>-6.3440309463479297E-2</v>
      </c>
      <c r="Q1725">
        <v>0.19623007142125401</v>
      </c>
      <c r="R1725">
        <v>0.98074436219982797</v>
      </c>
      <c r="S1725" t="s">
        <v>8293</v>
      </c>
      <c r="T1725" t="s">
        <v>13134</v>
      </c>
      <c r="U1725" t="s">
        <v>13134</v>
      </c>
      <c r="V1725" t="s">
        <v>13134</v>
      </c>
      <c r="W1725" t="s">
        <v>14819</v>
      </c>
      <c r="X1725">
        <v>3</v>
      </c>
      <c r="Y1725" t="s">
        <v>21298</v>
      </c>
      <c r="Z1725" t="s">
        <v>27693</v>
      </c>
      <c r="AA1725">
        <v>0.54380682438510874</v>
      </c>
      <c r="AB1725" t="str">
        <f>HYPERLINK("Melting_Curves/meltCurve_O60906_SMPD2.pdf", "Melting_Curves/meltCurve_O60906_SMPD2.pdf")</f>
        <v>Melting_Curves/meltCurve_O60906_SMPD2.pdf</v>
      </c>
    </row>
    <row r="1726" spans="1:28" x14ac:dyDescent="0.25">
      <c r="A1726" t="s">
        <v>1730</v>
      </c>
      <c r="B1726">
        <v>0.99472303558308395</v>
      </c>
      <c r="C1726">
        <v>0.82890220767684497</v>
      </c>
      <c r="D1726">
        <v>0.82074327683620096</v>
      </c>
      <c r="E1726">
        <v>0.60990877897209606</v>
      </c>
      <c r="F1726">
        <v>0.40782118935414302</v>
      </c>
      <c r="G1726">
        <v>0.27689153940213601</v>
      </c>
      <c r="H1726">
        <v>0.18303272423495001</v>
      </c>
      <c r="I1726">
        <v>0.12522600491675301</v>
      </c>
      <c r="J1726">
        <v>7.5156218277607101E-2</v>
      </c>
      <c r="K1726">
        <v>5.1473480554023898E-2</v>
      </c>
      <c r="L1726">
        <v>484.03729696110599</v>
      </c>
      <c r="M1726">
        <v>9.9616015945988696</v>
      </c>
      <c r="N1726">
        <v>48.5902879810494</v>
      </c>
      <c r="O1726">
        <v>46.753860638361502</v>
      </c>
      <c r="P1726">
        <v>-5.3292490801203997E-2</v>
      </c>
      <c r="Q1726">
        <v>0</v>
      </c>
      <c r="R1726">
        <v>0.992982135974254</v>
      </c>
      <c r="S1726" t="s">
        <v>8294</v>
      </c>
      <c r="T1726" t="s">
        <v>13134</v>
      </c>
      <c r="U1726" t="s">
        <v>13134</v>
      </c>
      <c r="V1726" t="s">
        <v>13134</v>
      </c>
      <c r="W1726" t="s">
        <v>14820</v>
      </c>
      <c r="X1726">
        <v>8</v>
      </c>
      <c r="Y1726" t="s">
        <v>21299</v>
      </c>
      <c r="Z1726" t="s">
        <v>27694</v>
      </c>
      <c r="AA1726">
        <v>0.4249027475268003</v>
      </c>
      <c r="AB1726" t="str">
        <f>HYPERLINK("Melting_Curves/meltCurve_O60907_2_TBL1X.pdf", "Melting_Curves/meltCurve_O60907_2_TBL1X.pdf")</f>
        <v>Melting_Curves/meltCurve_O60907_2_TBL1X.pdf</v>
      </c>
    </row>
    <row r="1727" spans="1:28" x14ac:dyDescent="0.25">
      <c r="A1727" t="s">
        <v>1731</v>
      </c>
      <c r="B1727">
        <v>0.99472303558308395</v>
      </c>
      <c r="C1727">
        <v>0.987110910230516</v>
      </c>
      <c r="D1727">
        <v>0.87160167390648702</v>
      </c>
      <c r="E1727">
        <v>0.79700843450674197</v>
      </c>
      <c r="F1727">
        <v>0.572838757450856</v>
      </c>
      <c r="G1727">
        <v>0.30034302862494699</v>
      </c>
      <c r="H1727">
        <v>0.16171706041876499</v>
      </c>
      <c r="I1727">
        <v>0.12793584094419999</v>
      </c>
      <c r="J1727">
        <v>0.17274406225984501</v>
      </c>
      <c r="K1727">
        <v>0.143878308820896</v>
      </c>
      <c r="L1727">
        <v>824.84940280964599</v>
      </c>
      <c r="M1727">
        <v>16.530831345656399</v>
      </c>
      <c r="N1727">
        <v>50.671921603106199</v>
      </c>
      <c r="O1727">
        <v>49.184585291883899</v>
      </c>
      <c r="P1727">
        <v>-7.4651680743592894E-2</v>
      </c>
      <c r="Q1727">
        <v>0.11160943316803</v>
      </c>
      <c r="R1727">
        <v>0.99108402491125802</v>
      </c>
      <c r="S1727" t="s">
        <v>8295</v>
      </c>
      <c r="T1727" t="s">
        <v>13134</v>
      </c>
      <c r="U1727" t="s">
        <v>13134</v>
      </c>
      <c r="V1727" t="s">
        <v>13134</v>
      </c>
      <c r="W1727" t="s">
        <v>14821</v>
      </c>
      <c r="X1727">
        <v>1</v>
      </c>
      <c r="Y1727" t="s">
        <v>21300</v>
      </c>
      <c r="Z1727" t="s">
        <v>27695</v>
      </c>
      <c r="AA1727">
        <v>0.50962705239206174</v>
      </c>
      <c r="AB1727" t="str">
        <f>HYPERLINK("Melting_Curves/meltCurve_O60911_CTSL2.pdf", "Melting_Curves/meltCurve_O60911_CTSL2.pdf")</f>
        <v>Melting_Curves/meltCurve_O60911_CTSL2.pdf</v>
      </c>
    </row>
    <row r="1728" spans="1:28" x14ac:dyDescent="0.25">
      <c r="A1728" t="s">
        <v>1732</v>
      </c>
      <c r="B1728">
        <v>0.99472303558308395</v>
      </c>
      <c r="C1728">
        <v>0.93388876723631298</v>
      </c>
      <c r="D1728">
        <v>1.0408150893125301</v>
      </c>
      <c r="E1728">
        <v>0.87136509590901501</v>
      </c>
      <c r="F1728">
        <v>0.67997928466985602</v>
      </c>
      <c r="G1728">
        <v>0.58119127227730505</v>
      </c>
      <c r="H1728">
        <v>0.42004841263612402</v>
      </c>
      <c r="I1728">
        <v>0.30790368517182598</v>
      </c>
      <c r="J1728">
        <v>0.28962395618391801</v>
      </c>
      <c r="K1728">
        <v>0.23764617204146801</v>
      </c>
      <c r="L1728">
        <v>665.43762891720803</v>
      </c>
      <c r="M1728">
        <v>12.5960779406025</v>
      </c>
      <c r="N1728">
        <v>55.0063459325956</v>
      </c>
      <c r="O1728">
        <v>51.550473063880197</v>
      </c>
      <c r="P1728">
        <v>-4.9104065786673097E-2</v>
      </c>
      <c r="Q1728">
        <v>0.19631100041703001</v>
      </c>
      <c r="R1728">
        <v>0.98479437630035105</v>
      </c>
      <c r="S1728" t="s">
        <v>8296</v>
      </c>
      <c r="T1728" t="s">
        <v>13134</v>
      </c>
      <c r="U1728" t="s">
        <v>13134</v>
      </c>
      <c r="V1728" t="s">
        <v>13134</v>
      </c>
      <c r="W1728" t="s">
        <v>14822</v>
      </c>
      <c r="X1728">
        <v>12</v>
      </c>
      <c r="Y1728" t="s">
        <v>21301</v>
      </c>
      <c r="Z1728" t="s">
        <v>27696</v>
      </c>
      <c r="AA1728">
        <v>0.63718361991368844</v>
      </c>
      <c r="AB1728" t="str">
        <f>HYPERLINK("Melting_Curves/meltCurve_O60925_PFDN1.pdf", "Melting_Curves/meltCurve_O60925_PFDN1.pdf")</f>
        <v>Melting_Curves/meltCurve_O60925_PFDN1.pdf</v>
      </c>
    </row>
    <row r="1729" spans="1:28" x14ac:dyDescent="0.25">
      <c r="A1729" t="s">
        <v>1733</v>
      </c>
      <c r="B1729">
        <v>0.99472303558308395</v>
      </c>
      <c r="C1729">
        <v>1.05126525827134</v>
      </c>
      <c r="D1729">
        <v>0.93274461885253301</v>
      </c>
      <c r="E1729">
        <v>0.85589788360364205</v>
      </c>
      <c r="F1729">
        <v>0.58324817941192797</v>
      </c>
      <c r="G1729">
        <v>0.47570159367516601</v>
      </c>
      <c r="H1729">
        <v>0.37575416363326303</v>
      </c>
      <c r="I1729">
        <v>0.40263736283686602</v>
      </c>
      <c r="J1729">
        <v>0.596475655623118</v>
      </c>
      <c r="K1729">
        <v>0.42295045027369099</v>
      </c>
      <c r="L1729">
        <v>1377.74865825594</v>
      </c>
      <c r="M1729">
        <v>28.601864996416399</v>
      </c>
      <c r="N1729">
        <v>52.335051433467697</v>
      </c>
      <c r="O1729">
        <v>47.936260347091697</v>
      </c>
      <c r="P1729">
        <v>-8.2240506068022107E-2</v>
      </c>
      <c r="Q1729">
        <v>0.44866934603740499</v>
      </c>
      <c r="R1729">
        <v>0.94205451817083097</v>
      </c>
      <c r="S1729" t="s">
        <v>8297</v>
      </c>
      <c r="T1729" t="s">
        <v>13134</v>
      </c>
      <c r="U1729" t="s">
        <v>13134</v>
      </c>
      <c r="V1729" t="s">
        <v>13134</v>
      </c>
      <c r="W1729" t="s">
        <v>14823</v>
      </c>
      <c r="X1729">
        <v>7</v>
      </c>
      <c r="Y1729" t="s">
        <v>21302</v>
      </c>
      <c r="Z1729" t="s">
        <v>27697</v>
      </c>
      <c r="AA1729">
        <v>0.65755027414828071</v>
      </c>
      <c r="AB1729" t="str">
        <f>HYPERLINK("Melting_Curves/meltCurve_O60927_PPP1R11.pdf", "Melting_Curves/meltCurve_O60927_PPP1R11.pdf")</f>
        <v>Melting_Curves/meltCurve_O60927_PPP1R11.pdf</v>
      </c>
    </row>
    <row r="1730" spans="1:28" x14ac:dyDescent="0.25">
      <c r="A1730" t="s">
        <v>1734</v>
      </c>
      <c r="B1730">
        <v>0.99472303558308395</v>
      </c>
      <c r="C1730">
        <v>1.0888805078116199</v>
      </c>
      <c r="D1730">
        <v>0.77098931033495799</v>
      </c>
      <c r="E1730">
        <v>0.47611707815536602</v>
      </c>
      <c r="F1730">
        <v>0.32898686173490699</v>
      </c>
      <c r="G1730">
        <v>0.22932105349545201</v>
      </c>
      <c r="H1730">
        <v>0.17131511374038</v>
      </c>
      <c r="I1730">
        <v>0.12554003920467599</v>
      </c>
      <c r="J1730">
        <v>0.17361926692361901</v>
      </c>
      <c r="K1730">
        <v>0.12842096796517399</v>
      </c>
      <c r="L1730">
        <v>893.38127305231501</v>
      </c>
      <c r="M1730">
        <v>19.522827501761402</v>
      </c>
      <c r="N1730">
        <v>46.6504193808737</v>
      </c>
      <c r="O1730">
        <v>45.288843534565302</v>
      </c>
      <c r="P1730">
        <v>-9.1022562432215903E-2</v>
      </c>
      <c r="Q1730">
        <v>0.15541773827995101</v>
      </c>
      <c r="R1730">
        <v>0.97896763472581305</v>
      </c>
      <c r="S1730" t="s">
        <v>8298</v>
      </c>
      <c r="T1730" t="s">
        <v>13134</v>
      </c>
      <c r="U1730" t="s">
        <v>13134</v>
      </c>
      <c r="V1730" t="s">
        <v>13134</v>
      </c>
      <c r="W1730" t="s">
        <v>14824</v>
      </c>
      <c r="X1730">
        <v>2</v>
      </c>
      <c r="Y1730" t="s">
        <v>21303</v>
      </c>
      <c r="Z1730" t="s">
        <v>27698</v>
      </c>
      <c r="AA1730">
        <v>0.41366491986162868</v>
      </c>
      <c r="AB1730" t="str">
        <f>HYPERLINK("Melting_Curves/meltCurve_O60930_RNASEH1.pdf", "Melting_Curves/meltCurve_O60930_RNASEH1.pdf")</f>
        <v>Melting_Curves/meltCurve_O60930_RNASEH1.pdf</v>
      </c>
    </row>
    <row r="1731" spans="1:28" x14ac:dyDescent="0.25">
      <c r="A1731" t="s">
        <v>1735</v>
      </c>
      <c r="B1731">
        <v>0.99472303558308395</v>
      </c>
      <c r="C1731">
        <v>0.95065118759907696</v>
      </c>
      <c r="D1731">
        <v>0.77408755483279101</v>
      </c>
      <c r="E1731">
        <v>0.56947540703462696</v>
      </c>
      <c r="F1731">
        <v>0.16651407695068399</v>
      </c>
      <c r="G1731">
        <v>8.16856709455617E-2</v>
      </c>
      <c r="H1731">
        <v>4.8408831361580702E-2</v>
      </c>
      <c r="I1731">
        <v>3.7896541118158003E-2</v>
      </c>
      <c r="J1731">
        <v>4.2417482717836102E-2</v>
      </c>
      <c r="K1731">
        <v>3.2584889024958999E-2</v>
      </c>
      <c r="L1731">
        <v>869.19746766950902</v>
      </c>
      <c r="M1731">
        <v>18.688117524244198</v>
      </c>
      <c r="N1731">
        <v>46.619589875670997</v>
      </c>
      <c r="O1731">
        <v>45.987952562709502</v>
      </c>
      <c r="P1731">
        <v>-9.9427172637235398E-2</v>
      </c>
      <c r="Q1731">
        <v>2.13551252105991E-2</v>
      </c>
      <c r="R1731">
        <v>0.99297842598347796</v>
      </c>
      <c r="S1731" t="s">
        <v>8299</v>
      </c>
      <c r="T1731" t="s">
        <v>13134</v>
      </c>
      <c r="U1731" t="s">
        <v>13134</v>
      </c>
      <c r="V1731" t="s">
        <v>13134</v>
      </c>
      <c r="W1731" t="s">
        <v>14825</v>
      </c>
      <c r="X1731">
        <v>20</v>
      </c>
      <c r="Y1731" t="s">
        <v>21304</v>
      </c>
      <c r="Z1731" t="s">
        <v>27699</v>
      </c>
      <c r="AA1731">
        <v>0.34624552639814271</v>
      </c>
      <c r="AB1731" t="str">
        <f>HYPERLINK("Melting_Curves/meltCurve_O60934_NBN.pdf", "Melting_Curves/meltCurve_O60934_NBN.pdf")</f>
        <v>Melting_Curves/meltCurve_O60934_NBN.pdf</v>
      </c>
    </row>
    <row r="1732" spans="1:28" x14ac:dyDescent="0.25">
      <c r="A1732" t="s">
        <v>1736</v>
      </c>
      <c r="B1732">
        <v>0.99472303558308395</v>
      </c>
      <c r="C1732">
        <v>0.924138372180763</v>
      </c>
      <c r="D1732">
        <v>0.96173212287313103</v>
      </c>
      <c r="E1732">
        <v>0.72674645914036795</v>
      </c>
      <c r="F1732">
        <v>0.240650356493568</v>
      </c>
      <c r="G1732">
        <v>0.114843306372993</v>
      </c>
      <c r="H1732">
        <v>9.4765470814815303E-2</v>
      </c>
      <c r="I1732">
        <v>7.2751786333503002E-2</v>
      </c>
      <c r="J1732">
        <v>9.4463453553647395E-2</v>
      </c>
      <c r="K1732">
        <v>6.3554403677651805E-2</v>
      </c>
      <c r="L1732">
        <v>1507.5804621207501</v>
      </c>
      <c r="M1732">
        <v>31.526052792946199</v>
      </c>
      <c r="N1732">
        <v>48.087524905558297</v>
      </c>
      <c r="O1732">
        <v>47.628976702643797</v>
      </c>
      <c r="P1732">
        <v>-0.152175102420988</v>
      </c>
      <c r="Q1732">
        <v>8.0391714101347003E-2</v>
      </c>
      <c r="R1732">
        <v>0.99583269915163497</v>
      </c>
      <c r="S1732" t="s">
        <v>8300</v>
      </c>
      <c r="T1732" t="s">
        <v>13134</v>
      </c>
      <c r="U1732" t="s">
        <v>13134</v>
      </c>
      <c r="V1732" t="s">
        <v>13134</v>
      </c>
      <c r="W1732" t="s">
        <v>14826</v>
      </c>
      <c r="X1732">
        <v>11</v>
      </c>
      <c r="Y1732" t="s">
        <v>21305</v>
      </c>
      <c r="Z1732" t="s">
        <v>27700</v>
      </c>
      <c r="AA1732">
        <v>0.41698059843500751</v>
      </c>
      <c r="AB1732" t="str">
        <f>HYPERLINK("Melting_Curves/meltCurve_O60942_RNGTT.pdf", "Melting_Curves/meltCurve_O60942_RNGTT.pdf")</f>
        <v>Melting_Curves/meltCurve_O60942_RNGTT.pdf</v>
      </c>
    </row>
    <row r="1733" spans="1:28" x14ac:dyDescent="0.25">
      <c r="A1733" t="s">
        <v>1737</v>
      </c>
      <c r="B1733">
        <v>0.99472303558308395</v>
      </c>
      <c r="C1733">
        <v>0.95842808067597596</v>
      </c>
      <c r="D1733">
        <v>0.92352538218679103</v>
      </c>
      <c r="E1733">
        <v>0.73663730495533097</v>
      </c>
      <c r="F1733">
        <v>0.54589679450069795</v>
      </c>
      <c r="G1733">
        <v>0.31777698686202999</v>
      </c>
      <c r="H1733">
        <v>0.112745393677749</v>
      </c>
      <c r="I1733">
        <v>6.4832648508551693E-2</v>
      </c>
      <c r="J1733">
        <v>7.43209187663805E-2</v>
      </c>
      <c r="K1733">
        <v>5.9953591028628198E-2</v>
      </c>
      <c r="L1733">
        <v>712.32550339640204</v>
      </c>
      <c r="M1733">
        <v>14.1329288983369</v>
      </c>
      <c r="N1733">
        <v>50.4689976309309</v>
      </c>
      <c r="O1733">
        <v>49.424934658471798</v>
      </c>
      <c r="P1733">
        <v>-7.0829936346397504E-2</v>
      </c>
      <c r="Q1733">
        <v>9.3156298330577796E-3</v>
      </c>
      <c r="R1733">
        <v>0.99604097411872705</v>
      </c>
      <c r="S1733" t="s">
        <v>8301</v>
      </c>
      <c r="T1733" t="s">
        <v>13134</v>
      </c>
      <c r="U1733" t="s">
        <v>13134</v>
      </c>
      <c r="V1733" t="s">
        <v>13134</v>
      </c>
      <c r="W1733" t="s">
        <v>14827</v>
      </c>
      <c r="X1733">
        <v>10</v>
      </c>
      <c r="Y1733" t="s">
        <v>21306</v>
      </c>
      <c r="Z1733" t="s">
        <v>27701</v>
      </c>
      <c r="AA1733">
        <v>0.47402211742461731</v>
      </c>
      <c r="AB1733" t="str">
        <f>HYPERLINK("Melting_Curves/meltCurve_O75027_ABCB7.pdf", "Melting_Curves/meltCurve_O75027_ABCB7.pdf")</f>
        <v>Melting_Curves/meltCurve_O75027_ABCB7.pdf</v>
      </c>
    </row>
    <row r="1734" spans="1:28" x14ac:dyDescent="0.25">
      <c r="A1734" t="s">
        <v>1738</v>
      </c>
      <c r="B1734">
        <v>0.99472303558308395</v>
      </c>
      <c r="C1734">
        <v>0.92755447038739802</v>
      </c>
      <c r="D1734">
        <v>0.81731497656356999</v>
      </c>
      <c r="E1734">
        <v>0.52380217623163705</v>
      </c>
      <c r="F1734">
        <v>0.27850732758767199</v>
      </c>
      <c r="G1734">
        <v>9.8044010380712698E-2</v>
      </c>
      <c r="H1734">
        <v>4.3649114111504302E-2</v>
      </c>
      <c r="I1734">
        <v>3.1305027671689002E-2</v>
      </c>
      <c r="J1734">
        <v>3.4757143813585398E-2</v>
      </c>
      <c r="K1734">
        <v>2.9849650628601999E-2</v>
      </c>
      <c r="L1734">
        <v>764.894158658847</v>
      </c>
      <c r="M1734">
        <v>16.328756655830301</v>
      </c>
      <c r="N1734">
        <v>46.910773476274102</v>
      </c>
      <c r="O1734">
        <v>46.157708801338401</v>
      </c>
      <c r="P1734">
        <v>-8.7421106902078397E-2</v>
      </c>
      <c r="Q1734">
        <v>1.15926347255682E-2</v>
      </c>
      <c r="R1734">
        <v>0.99888593848740104</v>
      </c>
      <c r="S1734" t="s">
        <v>8302</v>
      </c>
      <c r="T1734" t="s">
        <v>13134</v>
      </c>
      <c r="U1734" t="s">
        <v>13134</v>
      </c>
      <c r="V1734" t="s">
        <v>13134</v>
      </c>
      <c r="W1734" t="s">
        <v>14828</v>
      </c>
      <c r="X1734">
        <v>17</v>
      </c>
      <c r="Y1734" t="s">
        <v>21307</v>
      </c>
      <c r="Z1734" t="s">
        <v>27702</v>
      </c>
      <c r="AA1734">
        <v>0.35500513692048408</v>
      </c>
      <c r="AB1734" t="str">
        <f>HYPERLINK("Melting_Curves/meltCurve_O75044_SRGAP2.pdf", "Melting_Curves/meltCurve_O75044_SRGAP2.pdf")</f>
        <v>Melting_Curves/meltCurve_O75044_SRGAP2.pdf</v>
      </c>
    </row>
    <row r="1735" spans="1:28" x14ac:dyDescent="0.25">
      <c r="A1735" t="s">
        <v>1739</v>
      </c>
      <c r="B1735">
        <v>0.99472303558308395</v>
      </c>
      <c r="C1735">
        <v>1.02626584746793</v>
      </c>
      <c r="D1735">
        <v>0.86449377336783395</v>
      </c>
      <c r="E1735">
        <v>0.77683954224134499</v>
      </c>
      <c r="F1735">
        <v>0.66717060117877103</v>
      </c>
      <c r="G1735">
        <v>0.37189388343653501</v>
      </c>
      <c r="H1735">
        <v>0.167043195995044</v>
      </c>
      <c r="I1735">
        <v>0.12980216510099901</v>
      </c>
      <c r="J1735">
        <v>0.172541810223176</v>
      </c>
      <c r="K1735">
        <v>0.15888604518230101</v>
      </c>
      <c r="L1735">
        <v>752.68536710670003</v>
      </c>
      <c r="M1735">
        <v>14.8123452784746</v>
      </c>
      <c r="N1735">
        <v>51.565776829168101</v>
      </c>
      <c r="O1735">
        <v>49.9155246167673</v>
      </c>
      <c r="P1735">
        <v>-6.6996028626228804E-2</v>
      </c>
      <c r="Q1735">
        <v>9.7026983776632603E-2</v>
      </c>
      <c r="R1735">
        <v>0.98051999722578498</v>
      </c>
      <c r="S1735" t="s">
        <v>8303</v>
      </c>
      <c r="T1735" t="s">
        <v>13134</v>
      </c>
      <c r="U1735" t="s">
        <v>13134</v>
      </c>
      <c r="V1735" t="s">
        <v>13134</v>
      </c>
      <c r="W1735" t="s">
        <v>14829</v>
      </c>
      <c r="X1735">
        <v>11</v>
      </c>
      <c r="Y1735" t="s">
        <v>21308</v>
      </c>
      <c r="Z1735" t="s">
        <v>27703</v>
      </c>
      <c r="AA1735">
        <v>0.53146784585569717</v>
      </c>
      <c r="AB1735" t="str">
        <f>HYPERLINK("Melting_Curves/meltCurve_O75054_IGSF3.pdf", "Melting_Curves/meltCurve_O75054_IGSF3.pdf")</f>
        <v>Melting_Curves/meltCurve_O75054_IGSF3.pdf</v>
      </c>
    </row>
    <row r="1736" spans="1:28" x14ac:dyDescent="0.25">
      <c r="A1736" t="s">
        <v>1740</v>
      </c>
      <c r="B1736">
        <v>0.99472303558308395</v>
      </c>
      <c r="C1736">
        <v>1.00491312516237</v>
      </c>
      <c r="D1736">
        <v>1.0052723704318201</v>
      </c>
      <c r="E1736">
        <v>0.88637411978704905</v>
      </c>
      <c r="F1736">
        <v>0.60453315012751896</v>
      </c>
      <c r="G1736">
        <v>0.23260426534315101</v>
      </c>
      <c r="H1736">
        <v>9.0972921044720795E-2</v>
      </c>
      <c r="I1736">
        <v>5.1276570037284197E-2</v>
      </c>
      <c r="J1736">
        <v>6.5543478762165402E-2</v>
      </c>
      <c r="K1736">
        <v>6.0311907394724702E-2</v>
      </c>
      <c r="L1736">
        <v>1265.26503641722</v>
      </c>
      <c r="M1736">
        <v>24.916814327559599</v>
      </c>
      <c r="N1736">
        <v>50.9899875511421</v>
      </c>
      <c r="O1736">
        <v>50.455872051812001</v>
      </c>
      <c r="P1736">
        <v>-0.117428188350439</v>
      </c>
      <c r="Q1736">
        <v>4.8857357037327097E-2</v>
      </c>
      <c r="R1736">
        <v>0.99920611117204805</v>
      </c>
      <c r="S1736" t="s">
        <v>8304</v>
      </c>
      <c r="T1736" t="s">
        <v>13134</v>
      </c>
      <c r="U1736" t="s">
        <v>13134</v>
      </c>
      <c r="V1736" t="s">
        <v>13134</v>
      </c>
      <c r="W1736" t="s">
        <v>14830</v>
      </c>
      <c r="X1736">
        <v>9</v>
      </c>
      <c r="Y1736" t="s">
        <v>21309</v>
      </c>
      <c r="Z1736" t="s">
        <v>27704</v>
      </c>
      <c r="AA1736">
        <v>0.49416564243841848</v>
      </c>
      <c r="AB1736" t="str">
        <f>HYPERLINK("Melting_Curves/meltCurve_O75061_4_DNAJC6.pdf", "Melting_Curves/meltCurve_O75061_4_DNAJC6.pdf")</f>
        <v>Melting_Curves/meltCurve_O75061_4_DNAJC6.pdf</v>
      </c>
    </row>
    <row r="1737" spans="1:28" x14ac:dyDescent="0.25">
      <c r="A1737" t="s">
        <v>1741</v>
      </c>
      <c r="B1737">
        <v>0.99472303558308395</v>
      </c>
      <c r="C1737">
        <v>0.92624733389899006</v>
      </c>
      <c r="D1737">
        <v>0.84962471563045305</v>
      </c>
      <c r="E1737">
        <v>0.75704294784836201</v>
      </c>
      <c r="F1737">
        <v>0.50098321179073002</v>
      </c>
      <c r="G1737">
        <v>0.123298640804682</v>
      </c>
      <c r="H1737">
        <v>7.4873725908713495E-2</v>
      </c>
      <c r="I1737">
        <v>5.9138118166125297E-2</v>
      </c>
      <c r="J1737">
        <v>7.2139586872200304E-2</v>
      </c>
      <c r="K1737">
        <v>5.6103315385011399E-2</v>
      </c>
      <c r="L1737">
        <v>869.57820824686701</v>
      </c>
      <c r="M1737">
        <v>17.648572296019299</v>
      </c>
      <c r="N1737">
        <v>49.418809688100502</v>
      </c>
      <c r="O1737">
        <v>48.652328517740898</v>
      </c>
      <c r="P1737">
        <v>-8.8374172490573902E-2</v>
      </c>
      <c r="Q1737">
        <v>2.5557418848988E-2</v>
      </c>
      <c r="R1737">
        <v>0.98404337047005697</v>
      </c>
      <c r="S1737" t="s">
        <v>8305</v>
      </c>
      <c r="T1737" t="s">
        <v>13134</v>
      </c>
      <c r="U1737" t="s">
        <v>13134</v>
      </c>
      <c r="V1737" t="s">
        <v>13134</v>
      </c>
      <c r="W1737" t="s">
        <v>14831</v>
      </c>
      <c r="X1737">
        <v>14</v>
      </c>
      <c r="Y1737" t="s">
        <v>21310</v>
      </c>
      <c r="Z1737" t="s">
        <v>27705</v>
      </c>
      <c r="AA1737">
        <v>0.44015713461260347</v>
      </c>
      <c r="AB1737" t="str">
        <f>HYPERLINK("Melting_Curves/meltCurve_O75063_FAM20B.pdf", "Melting_Curves/meltCurve_O75063_FAM20B.pdf")</f>
        <v>Melting_Curves/meltCurve_O75063_FAM20B.pdf</v>
      </c>
    </row>
    <row r="1738" spans="1:28" x14ac:dyDescent="0.25">
      <c r="A1738" t="s">
        <v>1742</v>
      </c>
      <c r="B1738">
        <v>0.99472303558308395</v>
      </c>
      <c r="C1738">
        <v>0.96798467605595895</v>
      </c>
      <c r="D1738">
        <v>0.96629372582365203</v>
      </c>
      <c r="E1738">
        <v>0.82471755341110398</v>
      </c>
      <c r="F1738">
        <v>0.47020543322874198</v>
      </c>
      <c r="G1738">
        <v>0.15768060643897899</v>
      </c>
      <c r="H1738">
        <v>6.5498684822842296E-2</v>
      </c>
      <c r="I1738">
        <v>4.8288490832126697E-2</v>
      </c>
      <c r="J1738">
        <v>5.6630682970440799E-2</v>
      </c>
      <c r="K1738">
        <v>4.7358261899200498E-2</v>
      </c>
      <c r="L1738">
        <v>1181.3375752183299</v>
      </c>
      <c r="M1738">
        <v>23.7975680830275</v>
      </c>
      <c r="N1738">
        <v>49.813213235673999</v>
      </c>
      <c r="O1738">
        <v>49.294558248187997</v>
      </c>
      <c r="P1738">
        <v>-0.11592931409985099</v>
      </c>
      <c r="Q1738">
        <v>3.9466422156302999E-2</v>
      </c>
      <c r="R1738">
        <v>0.99897620370399498</v>
      </c>
      <c r="S1738" t="s">
        <v>8306</v>
      </c>
      <c r="T1738" t="s">
        <v>13134</v>
      </c>
      <c r="U1738" t="s">
        <v>13134</v>
      </c>
      <c r="V1738" t="s">
        <v>13134</v>
      </c>
      <c r="W1738" t="s">
        <v>14832</v>
      </c>
      <c r="X1738">
        <v>32</v>
      </c>
      <c r="Y1738" t="s">
        <v>21311</v>
      </c>
      <c r="Z1738" t="s">
        <v>27706</v>
      </c>
      <c r="AA1738">
        <v>0.45339838209064431</v>
      </c>
      <c r="AB1738" t="str">
        <f>HYPERLINK("Melting_Curves/meltCurve_O75083_WDR1.pdf", "Melting_Curves/meltCurve_O75083_WDR1.pdf")</f>
        <v>Melting_Curves/meltCurve_O75083_WDR1.pdf</v>
      </c>
    </row>
    <row r="1739" spans="1:28" x14ac:dyDescent="0.25">
      <c r="A1739" t="s">
        <v>1743</v>
      </c>
      <c r="B1739">
        <v>0.99472303558308395</v>
      </c>
      <c r="C1739">
        <v>0.99133625443567397</v>
      </c>
      <c r="D1739">
        <v>0.90464153510682599</v>
      </c>
      <c r="E1739">
        <v>0.65738612924538498</v>
      </c>
      <c r="F1739">
        <v>0.26188254260542299</v>
      </c>
      <c r="G1739">
        <v>0.13052312791260801</v>
      </c>
      <c r="H1739">
        <v>0.10746153045891001</v>
      </c>
      <c r="I1739">
        <v>8.2169379438690196E-2</v>
      </c>
      <c r="J1739">
        <v>0.12425340344228999</v>
      </c>
      <c r="K1739">
        <v>0.121437080143467</v>
      </c>
      <c r="L1739">
        <v>1211.6188699335</v>
      </c>
      <c r="M1739">
        <v>25.596360233118101</v>
      </c>
      <c r="N1739">
        <v>47.760723424517401</v>
      </c>
      <c r="O1739">
        <v>47.049508627883398</v>
      </c>
      <c r="P1739">
        <v>-0.122153876903737</v>
      </c>
      <c r="Q1739">
        <v>0.101870924732983</v>
      </c>
      <c r="R1739">
        <v>0.99799330625125404</v>
      </c>
      <c r="S1739" t="s">
        <v>8307</v>
      </c>
      <c r="T1739" t="s">
        <v>13134</v>
      </c>
      <c r="U1739" t="s">
        <v>13134</v>
      </c>
      <c r="V1739" t="s">
        <v>13134</v>
      </c>
      <c r="W1739" t="s">
        <v>14833</v>
      </c>
      <c r="X1739">
        <v>16</v>
      </c>
      <c r="Y1739" t="s">
        <v>21312</v>
      </c>
      <c r="Z1739" t="s">
        <v>27707</v>
      </c>
      <c r="AA1739">
        <v>0.41852424574006858</v>
      </c>
      <c r="AB1739" t="str">
        <f>HYPERLINK("Melting_Curves/meltCurve_O75113_N4BP1.pdf", "Melting_Curves/meltCurve_O75113_N4BP1.pdf")</f>
        <v>Melting_Curves/meltCurve_O75113_N4BP1.pdf</v>
      </c>
    </row>
    <row r="1740" spans="1:28" x14ac:dyDescent="0.25">
      <c r="A1740" t="s">
        <v>1744</v>
      </c>
      <c r="B1740">
        <v>0.99472303558308395</v>
      </c>
      <c r="C1740">
        <v>0.98404244547020603</v>
      </c>
      <c r="D1740">
        <v>0.892716911837244</v>
      </c>
      <c r="E1740">
        <v>0.68893201081720701</v>
      </c>
      <c r="F1740">
        <v>0.20182911490260799</v>
      </c>
      <c r="G1740">
        <v>9.3299025269361999E-2</v>
      </c>
      <c r="H1740">
        <v>5.9828344137729403E-2</v>
      </c>
      <c r="I1740">
        <v>4.0419375422828897E-2</v>
      </c>
      <c r="J1740">
        <v>5.2231999508964802E-2</v>
      </c>
      <c r="K1740">
        <v>4.2340381095513399E-2</v>
      </c>
      <c r="L1740">
        <v>1311.5837914979199</v>
      </c>
      <c r="M1740">
        <v>27.5542064116432</v>
      </c>
      <c r="N1740">
        <v>47.761747180296702</v>
      </c>
      <c r="O1740">
        <v>47.3515280415874</v>
      </c>
      <c r="P1740">
        <v>-0.13900280945569499</v>
      </c>
      <c r="Q1740">
        <v>4.45109635523099E-2</v>
      </c>
      <c r="R1740">
        <v>0.99660959852922404</v>
      </c>
      <c r="S1740" t="s">
        <v>8308</v>
      </c>
      <c r="T1740" t="s">
        <v>13134</v>
      </c>
      <c r="U1740" t="s">
        <v>13134</v>
      </c>
      <c r="V1740" t="s">
        <v>13134</v>
      </c>
      <c r="W1740" t="s">
        <v>14834</v>
      </c>
      <c r="X1740">
        <v>46</v>
      </c>
      <c r="Y1740" t="s">
        <v>21313</v>
      </c>
      <c r="Z1740" t="s">
        <v>27708</v>
      </c>
      <c r="AA1740">
        <v>0.38878516519365458</v>
      </c>
      <c r="AB1740" t="str">
        <f>HYPERLINK("Melting_Curves/meltCurve_O75116_ROCK2.pdf", "Melting_Curves/meltCurve_O75116_ROCK2.pdf")</f>
        <v>Melting_Curves/meltCurve_O75116_ROCK2.pdf</v>
      </c>
    </row>
    <row r="1741" spans="1:28" x14ac:dyDescent="0.25">
      <c r="A1741" t="s">
        <v>1745</v>
      </c>
      <c r="B1741">
        <v>0.99472303558308395</v>
      </c>
      <c r="C1741">
        <v>0.962268769122964</v>
      </c>
      <c r="D1741">
        <v>0.96899366076037696</v>
      </c>
      <c r="E1741">
        <v>0.85909004586094295</v>
      </c>
      <c r="F1741">
        <v>0.53240590749239203</v>
      </c>
      <c r="G1741">
        <v>0.13428239169469899</v>
      </c>
      <c r="H1741">
        <v>7.0859430957836603E-2</v>
      </c>
      <c r="I1741">
        <v>4.92507665267106E-2</v>
      </c>
      <c r="J1741">
        <v>5.6839597809238501E-2</v>
      </c>
      <c r="K1741">
        <v>4.4377775817221202E-2</v>
      </c>
      <c r="L1741">
        <v>1342.61061339814</v>
      </c>
      <c r="M1741">
        <v>26.8121555799327</v>
      </c>
      <c r="N1741">
        <v>50.230844626209802</v>
      </c>
      <c r="O1741">
        <v>49.798633809444603</v>
      </c>
      <c r="P1741">
        <v>-0.129222177781812</v>
      </c>
      <c r="Q1741">
        <v>3.9984333520723801E-2</v>
      </c>
      <c r="R1741">
        <v>0.99725557375444496</v>
      </c>
      <c r="S1741" t="s">
        <v>8309</v>
      </c>
      <c r="T1741" t="s">
        <v>13134</v>
      </c>
      <c r="U1741" t="s">
        <v>13134</v>
      </c>
      <c r="V1741" t="s">
        <v>13134</v>
      </c>
      <c r="W1741" t="s">
        <v>14835</v>
      </c>
      <c r="X1741">
        <v>19</v>
      </c>
      <c r="Y1741" t="s">
        <v>21314</v>
      </c>
      <c r="Z1741" t="s">
        <v>27709</v>
      </c>
      <c r="AA1741">
        <v>0.46572779537339049</v>
      </c>
      <c r="AB1741" t="str">
        <f>HYPERLINK("Melting_Curves/meltCurve_O75131_CPNE3.pdf", "Melting_Curves/meltCurve_O75131_CPNE3.pdf")</f>
        <v>Melting_Curves/meltCurve_O75131_CPNE3.pdf</v>
      </c>
    </row>
    <row r="1742" spans="1:28" x14ac:dyDescent="0.25">
      <c r="A1742" t="s">
        <v>1746</v>
      </c>
      <c r="B1742">
        <v>0.99472303558308395</v>
      </c>
      <c r="C1742">
        <v>0.87047542937142497</v>
      </c>
      <c r="D1742">
        <v>0.82046088679705198</v>
      </c>
      <c r="E1742">
        <v>0.57934559704733402</v>
      </c>
      <c r="F1742">
        <v>0.375180022812516</v>
      </c>
      <c r="G1742">
        <v>0.25115389930795701</v>
      </c>
      <c r="H1742">
        <v>0.24036492522091599</v>
      </c>
      <c r="I1742">
        <v>0.20512922142355</v>
      </c>
      <c r="J1742">
        <v>0.31122807706414202</v>
      </c>
      <c r="K1742">
        <v>0.24704895275723099</v>
      </c>
      <c r="L1742">
        <v>751.74585530949605</v>
      </c>
      <c r="M1742">
        <v>16.428529894120299</v>
      </c>
      <c r="N1742">
        <v>47.558618052312902</v>
      </c>
      <c r="O1742">
        <v>45.096682545336101</v>
      </c>
      <c r="P1742">
        <v>-6.9994048376101195E-2</v>
      </c>
      <c r="Q1742">
        <v>0.231513392623547</v>
      </c>
      <c r="R1742">
        <v>0.98269494743016905</v>
      </c>
      <c r="S1742" t="s">
        <v>8310</v>
      </c>
      <c r="T1742" t="s">
        <v>13134</v>
      </c>
      <c r="U1742" t="s">
        <v>13134</v>
      </c>
      <c r="V1742" t="s">
        <v>13134</v>
      </c>
      <c r="W1742" t="s">
        <v>14836</v>
      </c>
      <c r="X1742">
        <v>6</v>
      </c>
      <c r="Y1742" t="s">
        <v>21315</v>
      </c>
      <c r="Z1742" t="s">
        <v>27710</v>
      </c>
      <c r="AA1742">
        <v>0.47081790595306361</v>
      </c>
      <c r="AB1742" t="str">
        <f>HYPERLINK("Melting_Curves/meltCurve_O75143_3_ATG13.pdf", "Melting_Curves/meltCurve_O75143_3_ATG13.pdf")</f>
        <v>Melting_Curves/meltCurve_O75143_3_ATG13.pdf</v>
      </c>
    </row>
    <row r="1743" spans="1:28" x14ac:dyDescent="0.25">
      <c r="A1743" t="s">
        <v>1747</v>
      </c>
      <c r="B1743">
        <v>0.99472303558308395</v>
      </c>
      <c r="C1743">
        <v>0.94506594486999396</v>
      </c>
      <c r="D1743">
        <v>0.90460642880911701</v>
      </c>
      <c r="E1743">
        <v>0.69897457485634695</v>
      </c>
      <c r="F1743">
        <v>0.307119555113468</v>
      </c>
      <c r="G1743">
        <v>0.201158673988721</v>
      </c>
      <c r="H1743">
        <v>0.13174176414002001</v>
      </c>
      <c r="I1743">
        <v>0.124037763241064</v>
      </c>
      <c r="J1743">
        <v>0.12333767944176501</v>
      </c>
      <c r="K1743">
        <v>0.15990727046111999</v>
      </c>
      <c r="L1743">
        <v>1101.5533602227799</v>
      </c>
      <c r="M1743">
        <v>23.135042709354099</v>
      </c>
      <c r="N1743">
        <v>48.237025624715599</v>
      </c>
      <c r="O1743">
        <v>47.262601988092101</v>
      </c>
      <c r="P1743">
        <v>-0.106573260954333</v>
      </c>
      <c r="Q1743">
        <v>0.12914162706420901</v>
      </c>
      <c r="R1743">
        <v>0.99559815181624201</v>
      </c>
      <c r="S1743" t="s">
        <v>8311</v>
      </c>
      <c r="T1743" t="s">
        <v>13134</v>
      </c>
      <c r="U1743" t="s">
        <v>13134</v>
      </c>
      <c r="V1743" t="s">
        <v>13134</v>
      </c>
      <c r="W1743" t="s">
        <v>14837</v>
      </c>
      <c r="X1743">
        <v>5</v>
      </c>
      <c r="Y1743" t="s">
        <v>21316</v>
      </c>
      <c r="Z1743" t="s">
        <v>27711</v>
      </c>
      <c r="AA1743">
        <v>0.44585832861213093</v>
      </c>
      <c r="AB1743" t="str">
        <f>HYPERLINK("Melting_Curves/meltCurve_O75145_2_PPFIA3.pdf", "Melting_Curves/meltCurve_O75145_2_PPFIA3.pdf")</f>
        <v>Melting_Curves/meltCurve_O75145_2_PPFIA3.pdf</v>
      </c>
    </row>
    <row r="1744" spans="1:28" x14ac:dyDescent="0.25">
      <c r="A1744" t="s">
        <v>1748</v>
      </c>
      <c r="B1744">
        <v>0.99472303558308395</v>
      </c>
      <c r="C1744">
        <v>1.03965987933974</v>
      </c>
      <c r="D1744">
        <v>0.94876697248182995</v>
      </c>
      <c r="E1744">
        <v>0.79201549171380403</v>
      </c>
      <c r="F1744">
        <v>0.31072514965153097</v>
      </c>
      <c r="G1744">
        <v>0.120009932156086</v>
      </c>
      <c r="H1744">
        <v>7.2695388182830695E-2</v>
      </c>
      <c r="I1744">
        <v>5.2290347883653297E-2</v>
      </c>
      <c r="J1744">
        <v>7.5405975333219397E-2</v>
      </c>
      <c r="K1744">
        <v>5.89660502870301E-2</v>
      </c>
      <c r="L1744">
        <v>1423.1125875781299</v>
      </c>
      <c r="M1744">
        <v>29.3353374778304</v>
      </c>
      <c r="N1744">
        <v>48.733900231421302</v>
      </c>
      <c r="O1744">
        <v>48.288132826643697</v>
      </c>
      <c r="P1744">
        <v>-0.14237802822730899</v>
      </c>
      <c r="Q1744">
        <v>6.2547728257881893E-2</v>
      </c>
      <c r="R1744">
        <v>0.99819770485443104</v>
      </c>
      <c r="S1744" t="s">
        <v>8312</v>
      </c>
      <c r="T1744" t="s">
        <v>13134</v>
      </c>
      <c r="U1744" t="s">
        <v>13134</v>
      </c>
      <c r="V1744" t="s">
        <v>13134</v>
      </c>
      <c r="W1744" t="s">
        <v>14838</v>
      </c>
      <c r="X1744">
        <v>26</v>
      </c>
      <c r="Y1744" t="s">
        <v>21317</v>
      </c>
      <c r="Z1744" t="s">
        <v>27712</v>
      </c>
      <c r="AA1744">
        <v>0.42813752988394782</v>
      </c>
      <c r="AB1744" t="str">
        <f>HYPERLINK("Melting_Curves/meltCurve_O75146_HIP1R.pdf", "Melting_Curves/meltCurve_O75146_HIP1R.pdf")</f>
        <v>Melting_Curves/meltCurve_O75146_HIP1R.pdf</v>
      </c>
    </row>
    <row r="1745" spans="1:28" x14ac:dyDescent="0.25">
      <c r="A1745" t="s">
        <v>1749</v>
      </c>
      <c r="B1745">
        <v>0.99472303558308395</v>
      </c>
      <c r="C1745">
        <v>0.98714094742437897</v>
      </c>
      <c r="D1745">
        <v>0.78989651808016703</v>
      </c>
      <c r="E1745">
        <v>0.239191607379454</v>
      </c>
      <c r="F1745">
        <v>0.12992462749061601</v>
      </c>
      <c r="G1745">
        <v>7.5055630163776199E-2</v>
      </c>
      <c r="H1745">
        <v>5.3452158186347402E-2</v>
      </c>
      <c r="I1745">
        <v>4.2599869910169903E-2</v>
      </c>
      <c r="J1745">
        <v>5.19877124205455E-2</v>
      </c>
      <c r="K1745">
        <v>4.0796030049834599E-2</v>
      </c>
      <c r="L1745">
        <v>1428.8848018920601</v>
      </c>
      <c r="M1745">
        <v>32.0101973988914</v>
      </c>
      <c r="N1745">
        <v>44.812881347088101</v>
      </c>
      <c r="O1745">
        <v>44.465293543923103</v>
      </c>
      <c r="P1745">
        <v>-0.169430498038532</v>
      </c>
      <c r="Q1745">
        <v>5.85826523855522E-2</v>
      </c>
      <c r="R1745">
        <v>0.99794730630702599</v>
      </c>
      <c r="S1745" t="s">
        <v>8313</v>
      </c>
      <c r="T1745" t="s">
        <v>13134</v>
      </c>
      <c r="U1745" t="s">
        <v>13134</v>
      </c>
      <c r="V1745" t="s">
        <v>13134</v>
      </c>
      <c r="W1745" t="s">
        <v>14839</v>
      </c>
      <c r="X1745">
        <v>32</v>
      </c>
      <c r="Y1745" t="s">
        <v>21318</v>
      </c>
      <c r="Z1745" t="s">
        <v>27713</v>
      </c>
      <c r="AA1745">
        <v>0.30287703926104548</v>
      </c>
      <c r="AB1745" t="str">
        <f>HYPERLINK("Melting_Curves/meltCurve_O75150_RNF40.pdf", "Melting_Curves/meltCurve_O75150_RNF40.pdf")</f>
        <v>Melting_Curves/meltCurve_O75150_RNF40.pdf</v>
      </c>
    </row>
    <row r="1746" spans="1:28" x14ac:dyDescent="0.25">
      <c r="A1746" t="s">
        <v>1750</v>
      </c>
      <c r="B1746">
        <v>0.99472303558308395</v>
      </c>
      <c r="C1746">
        <v>0.91300577458591503</v>
      </c>
      <c r="D1746">
        <v>0.81221083862736798</v>
      </c>
      <c r="E1746">
        <v>0.41752533259165803</v>
      </c>
      <c r="F1746">
        <v>0.16346946893964501</v>
      </c>
      <c r="G1746">
        <v>7.9760924492313506E-2</v>
      </c>
      <c r="H1746">
        <v>5.63666814170442E-2</v>
      </c>
      <c r="I1746">
        <v>4.1927757678321097E-2</v>
      </c>
      <c r="J1746">
        <v>5.7047710733538801E-2</v>
      </c>
      <c r="K1746">
        <v>4.3804703776569899E-2</v>
      </c>
      <c r="L1746">
        <v>955.40684034921196</v>
      </c>
      <c r="M1746">
        <v>20.929907022876002</v>
      </c>
      <c r="N1746">
        <v>45.84530060262</v>
      </c>
      <c r="O1746">
        <v>45.237342711445599</v>
      </c>
      <c r="P1746">
        <v>-0.110686825916193</v>
      </c>
      <c r="Q1746">
        <v>4.3083829553269899E-2</v>
      </c>
      <c r="R1746">
        <v>0.99834055081961404</v>
      </c>
      <c r="S1746" t="s">
        <v>8314</v>
      </c>
      <c r="T1746" t="s">
        <v>13134</v>
      </c>
      <c r="U1746" t="s">
        <v>13134</v>
      </c>
      <c r="V1746" t="s">
        <v>13134</v>
      </c>
      <c r="W1746" t="s">
        <v>14840</v>
      </c>
      <c r="X1746">
        <v>14</v>
      </c>
      <c r="Y1746" t="s">
        <v>21319</v>
      </c>
      <c r="Z1746" t="s">
        <v>27714</v>
      </c>
      <c r="AA1746">
        <v>0.33033028113354562</v>
      </c>
      <c r="AB1746" t="str">
        <f>HYPERLINK("Melting_Curves/meltCurve_O75152_ZC3H11A.pdf", "Melting_Curves/meltCurve_O75152_ZC3H11A.pdf")</f>
        <v>Melting_Curves/meltCurve_O75152_ZC3H11A.pdf</v>
      </c>
    </row>
    <row r="1747" spans="1:28" x14ac:dyDescent="0.25">
      <c r="A1747" t="s">
        <v>1751</v>
      </c>
      <c r="B1747">
        <v>0.99472303558308395</v>
      </c>
      <c r="C1747">
        <v>0.93684899023453205</v>
      </c>
      <c r="D1747">
        <v>0.844153614693956</v>
      </c>
      <c r="E1747">
        <v>0.67458298606216205</v>
      </c>
      <c r="F1747">
        <v>0.224215471403827</v>
      </c>
      <c r="G1747">
        <v>0.112409378838475</v>
      </c>
      <c r="H1747">
        <v>7.4949586283997796E-2</v>
      </c>
      <c r="I1747">
        <v>4.9080975536639197E-2</v>
      </c>
      <c r="J1747">
        <v>5.7833780240386198E-2</v>
      </c>
      <c r="K1747">
        <v>5.4377647317045003E-2</v>
      </c>
      <c r="L1747">
        <v>1012.75094043816</v>
      </c>
      <c r="M1747">
        <v>21.345768364232899</v>
      </c>
      <c r="N1747">
        <v>47.653747294638002</v>
      </c>
      <c r="O1747">
        <v>47.034528316572903</v>
      </c>
      <c r="P1747">
        <v>-0.108397735685082</v>
      </c>
      <c r="Q1747">
        <v>4.4624149337915697E-2</v>
      </c>
      <c r="R1747">
        <v>0.99195441497602999</v>
      </c>
      <c r="S1747" t="s">
        <v>8315</v>
      </c>
      <c r="T1747" t="s">
        <v>13134</v>
      </c>
      <c r="U1747" t="s">
        <v>13134</v>
      </c>
      <c r="V1747" t="s">
        <v>13134</v>
      </c>
      <c r="W1747" t="s">
        <v>14264</v>
      </c>
      <c r="X1747">
        <v>44</v>
      </c>
      <c r="Y1747" t="s">
        <v>20751</v>
      </c>
      <c r="Z1747" t="s">
        <v>27715</v>
      </c>
      <c r="AA1747">
        <v>0.38829423166845251</v>
      </c>
      <c r="AB1747" t="str">
        <f>HYPERLINK("Melting_Curves/meltCurve_O75153_CLUH.pdf", "Melting_Curves/meltCurve_O75153_CLUH.pdf")</f>
        <v>Melting_Curves/meltCurve_O75153_CLUH.pdf</v>
      </c>
    </row>
    <row r="1748" spans="1:28" x14ac:dyDescent="0.25">
      <c r="A1748" t="s">
        <v>1752</v>
      </c>
      <c r="B1748">
        <v>0.99472303558308395</v>
      </c>
      <c r="C1748">
        <v>0.97748431139313796</v>
      </c>
      <c r="D1748">
        <v>0.79492565714886099</v>
      </c>
      <c r="E1748">
        <v>0.55226123698365204</v>
      </c>
      <c r="F1748">
        <v>0.30529516515492999</v>
      </c>
      <c r="G1748">
        <v>0.19854947794436401</v>
      </c>
      <c r="H1748">
        <v>0.13118348819711101</v>
      </c>
      <c r="I1748">
        <v>0.11851496322126701</v>
      </c>
      <c r="J1748">
        <v>0.13121135031915199</v>
      </c>
      <c r="K1748">
        <v>0.10237642534498299</v>
      </c>
      <c r="L1748">
        <v>777.68314534499802</v>
      </c>
      <c r="M1748">
        <v>16.726129881236101</v>
      </c>
      <c r="N1748">
        <v>47.167994037257799</v>
      </c>
      <c r="O1748">
        <v>45.845729300303702</v>
      </c>
      <c r="P1748">
        <v>-8.1533255738969607E-2</v>
      </c>
      <c r="Q1748">
        <v>0.10613951411872399</v>
      </c>
      <c r="R1748">
        <v>0.99828384621206101</v>
      </c>
      <c r="S1748" t="s">
        <v>8316</v>
      </c>
      <c r="T1748" t="s">
        <v>13134</v>
      </c>
      <c r="U1748" t="s">
        <v>13134</v>
      </c>
      <c r="V1748" t="s">
        <v>13134</v>
      </c>
      <c r="W1748" t="s">
        <v>14841</v>
      </c>
      <c r="X1748">
        <v>12</v>
      </c>
      <c r="Y1748" t="s">
        <v>21320</v>
      </c>
      <c r="Z1748" t="s">
        <v>27716</v>
      </c>
      <c r="AA1748">
        <v>0.40563576471696278</v>
      </c>
      <c r="AB1748" t="str">
        <f>HYPERLINK("Melting_Curves/meltCurve_O75155_CAND2.pdf", "Melting_Curves/meltCurve_O75155_CAND2.pdf")</f>
        <v>Melting_Curves/meltCurve_O75155_CAND2.pdf</v>
      </c>
    </row>
    <row r="1749" spans="1:28" x14ac:dyDescent="0.25">
      <c r="A1749" t="s">
        <v>1753</v>
      </c>
      <c r="B1749">
        <v>0.99472303558308395</v>
      </c>
      <c r="C1749">
        <v>1.0923560352761701</v>
      </c>
      <c r="D1749">
        <v>1.0129663550521999</v>
      </c>
      <c r="E1749">
        <v>0.84761058877917494</v>
      </c>
      <c r="F1749">
        <v>0.49326072002681798</v>
      </c>
      <c r="G1749">
        <v>0.311333610931392</v>
      </c>
      <c r="H1749">
        <v>0.17512405905252601</v>
      </c>
      <c r="I1749">
        <v>0.14268743347103199</v>
      </c>
      <c r="J1749">
        <v>0.23537871022461801</v>
      </c>
      <c r="K1749">
        <v>0.248290741518363</v>
      </c>
      <c r="L1749">
        <v>1321.6948648974801</v>
      </c>
      <c r="M1749">
        <v>26.850149508471699</v>
      </c>
      <c r="N1749">
        <v>50.190663406130803</v>
      </c>
      <c r="O1749">
        <v>48.954244338665198</v>
      </c>
      <c r="P1749">
        <v>-0.109456332876402</v>
      </c>
      <c r="Q1749">
        <v>0.201747842205177</v>
      </c>
      <c r="R1749">
        <v>0.98509953641741599</v>
      </c>
      <c r="S1749" t="s">
        <v>8317</v>
      </c>
      <c r="T1749" t="s">
        <v>13134</v>
      </c>
      <c r="U1749" t="s">
        <v>13134</v>
      </c>
      <c r="V1749" t="s">
        <v>13134</v>
      </c>
      <c r="W1749" t="s">
        <v>14842</v>
      </c>
      <c r="X1749">
        <v>8</v>
      </c>
      <c r="Y1749" t="s">
        <v>21321</v>
      </c>
      <c r="Z1749" t="s">
        <v>27717</v>
      </c>
      <c r="AA1749">
        <v>0.53305095628208521</v>
      </c>
      <c r="AB1749" t="str">
        <f>HYPERLINK("Melting_Curves/meltCurve_O75157_2_TSC22D2.pdf", "Melting_Curves/meltCurve_O75157_2_TSC22D2.pdf")</f>
        <v>Melting_Curves/meltCurve_O75157_2_TSC22D2.pdf</v>
      </c>
    </row>
    <row r="1750" spans="1:28" x14ac:dyDescent="0.25">
      <c r="A1750" t="s">
        <v>1754</v>
      </c>
      <c r="B1750">
        <v>0.99472303558308395</v>
      </c>
      <c r="C1750">
        <v>1.21146084102003</v>
      </c>
      <c r="D1750">
        <v>0.73467072911660802</v>
      </c>
      <c r="E1750">
        <v>0.70994376473590504</v>
      </c>
      <c r="F1750">
        <v>0.42470958479974402</v>
      </c>
      <c r="G1750">
        <v>0.158832205880473</v>
      </c>
      <c r="H1750">
        <v>8.6863552434023605E-2</v>
      </c>
      <c r="I1750">
        <v>4.7153151355320902E-2</v>
      </c>
      <c r="J1750">
        <v>4.9540685058702003E-2</v>
      </c>
      <c r="K1750">
        <v>4.9100426722976299E-2</v>
      </c>
      <c r="L1750">
        <v>788.93191418599201</v>
      </c>
      <c r="M1750">
        <v>16.209575403952499</v>
      </c>
      <c r="N1750">
        <v>48.7970704496785</v>
      </c>
      <c r="O1750">
        <v>47.948056969822602</v>
      </c>
      <c r="P1750">
        <v>-8.2785741206880897E-2</v>
      </c>
      <c r="Q1750">
        <v>2.0549386543860501E-2</v>
      </c>
      <c r="R1750">
        <v>0.94967281974356799</v>
      </c>
      <c r="S1750" t="s">
        <v>8318</v>
      </c>
      <c r="T1750" t="s">
        <v>13134</v>
      </c>
      <c r="U1750" t="s">
        <v>13134</v>
      </c>
      <c r="V1750" t="s">
        <v>13134</v>
      </c>
      <c r="W1750" t="s">
        <v>14843</v>
      </c>
      <c r="X1750">
        <v>5</v>
      </c>
      <c r="Y1750" t="s">
        <v>21322</v>
      </c>
      <c r="Z1750" t="s">
        <v>27718</v>
      </c>
      <c r="AA1750">
        <v>0.42027858412859298</v>
      </c>
      <c r="AB1750" t="str">
        <f>HYPERLINK("Melting_Curves/meltCurve_O75165_DNAJC13.pdf", "Melting_Curves/meltCurve_O75165_DNAJC13.pdf")</f>
        <v>Melting_Curves/meltCurve_O75165_DNAJC13.pdf</v>
      </c>
    </row>
    <row r="1751" spans="1:28" x14ac:dyDescent="0.25">
      <c r="A1751" t="s">
        <v>1755</v>
      </c>
      <c r="B1751">
        <v>0.99472303558308395</v>
      </c>
      <c r="C1751">
        <v>0.97071730578283499</v>
      </c>
      <c r="D1751">
        <v>0.76262584470246297</v>
      </c>
      <c r="E1751">
        <v>0.71566104891660398</v>
      </c>
      <c r="F1751">
        <v>0.78075385701908395</v>
      </c>
      <c r="G1751">
        <v>0.374199681499916</v>
      </c>
      <c r="H1751">
        <v>0.13113610461639999</v>
      </c>
      <c r="I1751">
        <v>6.7860891673046306E-2</v>
      </c>
      <c r="J1751">
        <v>7.6371564467417094E-2</v>
      </c>
      <c r="K1751">
        <v>7.8925102964846394E-2</v>
      </c>
      <c r="L1751">
        <v>648.46714981156003</v>
      </c>
      <c r="M1751">
        <v>12.5548314749214</v>
      </c>
      <c r="N1751">
        <v>51.650804761449798</v>
      </c>
      <c r="O1751">
        <v>50.392938721030603</v>
      </c>
      <c r="P1751">
        <v>-6.2297276793762901E-2</v>
      </c>
      <c r="Q1751">
        <v>0</v>
      </c>
      <c r="R1751">
        <v>0.93952291570352098</v>
      </c>
      <c r="S1751" t="s">
        <v>8319</v>
      </c>
      <c r="T1751" t="s">
        <v>13134</v>
      </c>
      <c r="U1751" t="s">
        <v>13134</v>
      </c>
      <c r="V1751" t="s">
        <v>13134</v>
      </c>
      <c r="W1751" t="s">
        <v>14844</v>
      </c>
      <c r="X1751">
        <v>11</v>
      </c>
      <c r="Y1751" t="s">
        <v>21323</v>
      </c>
      <c r="Z1751" t="s">
        <v>27719</v>
      </c>
      <c r="AA1751">
        <v>0.51197510890828679</v>
      </c>
      <c r="AB1751" t="str">
        <f>HYPERLINK("Melting_Curves/meltCurve_O75170_2_PPP6R2.pdf", "Melting_Curves/meltCurve_O75170_2_PPP6R2.pdf")</f>
        <v>Melting_Curves/meltCurve_O75170_2_PPP6R2.pdf</v>
      </c>
    </row>
    <row r="1752" spans="1:28" x14ac:dyDescent="0.25">
      <c r="A1752" t="s">
        <v>1756</v>
      </c>
      <c r="B1752">
        <v>0.99472303558308395</v>
      </c>
      <c r="C1752">
        <v>0.92176640315816305</v>
      </c>
      <c r="D1752">
        <v>0.70507196065361399</v>
      </c>
      <c r="E1752">
        <v>0.53789974318665301</v>
      </c>
      <c r="F1752">
        <v>0.42853032010777398</v>
      </c>
      <c r="G1752">
        <v>0.110590077619244</v>
      </c>
      <c r="H1752">
        <v>7.9881426170225006E-2</v>
      </c>
      <c r="I1752">
        <v>4.3286172966228498E-2</v>
      </c>
      <c r="J1752">
        <v>4.9200138527699902E-2</v>
      </c>
      <c r="K1752">
        <v>5.4868534292804798E-2</v>
      </c>
      <c r="L1752">
        <v>568.67075179552</v>
      </c>
      <c r="M1752">
        <v>12.0450818298344</v>
      </c>
      <c r="N1752">
        <v>47.211862643881297</v>
      </c>
      <c r="O1752">
        <v>45.967034756196298</v>
      </c>
      <c r="P1752">
        <v>-6.5524911989386606E-2</v>
      </c>
      <c r="Q1752">
        <v>0</v>
      </c>
      <c r="R1752">
        <v>0.98260619269967897</v>
      </c>
      <c r="S1752" t="s">
        <v>8320</v>
      </c>
      <c r="T1752" t="s">
        <v>13134</v>
      </c>
      <c r="U1752" t="s">
        <v>13134</v>
      </c>
      <c r="V1752" t="s">
        <v>13134</v>
      </c>
      <c r="W1752" t="s">
        <v>14845</v>
      </c>
      <c r="X1752">
        <v>10</v>
      </c>
      <c r="Y1752" t="s">
        <v>21324</v>
      </c>
      <c r="Z1752" t="s">
        <v>27720</v>
      </c>
      <c r="AA1752">
        <v>0.37273286773743741</v>
      </c>
      <c r="AB1752" t="str">
        <f>HYPERLINK("Melting_Curves/meltCurve_O75175_CNOT3.pdf", "Melting_Curves/meltCurve_O75175_CNOT3.pdf")</f>
        <v>Melting_Curves/meltCurve_O75175_CNOT3.pdf</v>
      </c>
    </row>
    <row r="1753" spans="1:28" x14ac:dyDescent="0.25">
      <c r="A1753" t="s">
        <v>1757</v>
      </c>
      <c r="B1753">
        <v>0.99472303558308395</v>
      </c>
      <c r="C1753">
        <v>0.94682112314283795</v>
      </c>
      <c r="D1753">
        <v>0.80956618989726403</v>
      </c>
      <c r="E1753">
        <v>0.52119669958105597</v>
      </c>
      <c r="F1753">
        <v>0.175958245177226</v>
      </c>
      <c r="G1753">
        <v>8.7082337747390604E-2</v>
      </c>
      <c r="H1753">
        <v>6.4864182525040101E-2</v>
      </c>
      <c r="I1753">
        <v>3.7885210899798301E-2</v>
      </c>
      <c r="J1753">
        <v>4.85411423462003E-2</v>
      </c>
      <c r="K1753">
        <v>4.6777163817680503E-2</v>
      </c>
      <c r="L1753">
        <v>921.34496526764804</v>
      </c>
      <c r="M1753">
        <v>19.893181781936701</v>
      </c>
      <c r="N1753">
        <v>46.491445632473699</v>
      </c>
      <c r="O1753">
        <v>45.854213431825499</v>
      </c>
      <c r="P1753">
        <v>-0.104510415680302</v>
      </c>
      <c r="Q1753">
        <v>3.6436977868447601E-2</v>
      </c>
      <c r="R1753">
        <v>0.99803771513934403</v>
      </c>
      <c r="S1753" t="s">
        <v>8321</v>
      </c>
      <c r="T1753" t="s">
        <v>13134</v>
      </c>
      <c r="U1753" t="s">
        <v>13134</v>
      </c>
      <c r="V1753" t="s">
        <v>13134</v>
      </c>
      <c r="W1753" t="s">
        <v>14846</v>
      </c>
      <c r="X1753">
        <v>33</v>
      </c>
      <c r="Y1753" t="s">
        <v>21325</v>
      </c>
      <c r="Z1753" t="s">
        <v>27721</v>
      </c>
      <c r="AA1753">
        <v>0.3483435740650791</v>
      </c>
      <c r="AB1753" t="str">
        <f>HYPERLINK("Melting_Curves/meltCurve_O75179_2_ANKRD17.pdf", "Melting_Curves/meltCurve_O75179_2_ANKRD17.pdf")</f>
        <v>Melting_Curves/meltCurve_O75179_2_ANKRD17.pdf</v>
      </c>
    </row>
    <row r="1754" spans="1:28" x14ac:dyDescent="0.25">
      <c r="A1754" t="s">
        <v>1758</v>
      </c>
      <c r="B1754">
        <v>0.99472303558308395</v>
      </c>
      <c r="C1754">
        <v>1.0765198239523199</v>
      </c>
      <c r="D1754">
        <v>0.98904494159475598</v>
      </c>
      <c r="E1754">
        <v>0.70943788221133997</v>
      </c>
      <c r="F1754">
        <v>0.27374494370427999</v>
      </c>
      <c r="G1754">
        <v>0.14505951750533699</v>
      </c>
      <c r="H1754">
        <v>8.7877072216561603E-2</v>
      </c>
      <c r="I1754">
        <v>7.5720295747846403E-2</v>
      </c>
      <c r="J1754">
        <v>7.1400225837076794E-2</v>
      </c>
      <c r="K1754">
        <v>7.5915610569493405E-2</v>
      </c>
      <c r="L1754">
        <v>1377.7372219941501</v>
      </c>
      <c r="M1754">
        <v>28.7541209187698</v>
      </c>
      <c r="N1754">
        <v>48.209223388513003</v>
      </c>
      <c r="O1754">
        <v>47.684474035877102</v>
      </c>
      <c r="P1754">
        <v>-0.13859970883595699</v>
      </c>
      <c r="Q1754">
        <v>8.0618325600950003E-2</v>
      </c>
      <c r="R1754">
        <v>0.99550751997618303</v>
      </c>
      <c r="S1754" t="s">
        <v>8322</v>
      </c>
      <c r="T1754" t="s">
        <v>13134</v>
      </c>
      <c r="U1754" t="s">
        <v>13134</v>
      </c>
      <c r="V1754" t="s">
        <v>13134</v>
      </c>
      <c r="W1754" t="s">
        <v>14847</v>
      </c>
      <c r="X1754">
        <v>7</v>
      </c>
      <c r="Y1754" t="s">
        <v>21326</v>
      </c>
      <c r="Z1754" t="s">
        <v>27722</v>
      </c>
      <c r="AA1754">
        <v>0.42102198447474443</v>
      </c>
      <c r="AB1754" t="str">
        <f>HYPERLINK("Melting_Curves/meltCurve_O75191_XYLB.pdf", "Melting_Curves/meltCurve_O75191_XYLB.pdf")</f>
        <v>Melting_Curves/meltCurve_O75191_XYLB.pdf</v>
      </c>
    </row>
    <row r="1755" spans="1:28" x14ac:dyDescent="0.25">
      <c r="A1755" t="s">
        <v>1759</v>
      </c>
      <c r="B1755">
        <v>0.99472303558308395</v>
      </c>
      <c r="C1755">
        <v>1.09049032730409</v>
      </c>
      <c r="D1755">
        <v>1.0659692533270499</v>
      </c>
      <c r="E1755">
        <v>0.85548282330432801</v>
      </c>
      <c r="F1755">
        <v>0.51261442536014301</v>
      </c>
      <c r="G1755">
        <v>0.38640114349163002</v>
      </c>
      <c r="H1755">
        <v>0.23184393521240601</v>
      </c>
      <c r="I1755">
        <v>0.225601811329975</v>
      </c>
      <c r="J1755">
        <v>0.21905400361626901</v>
      </c>
      <c r="K1755">
        <v>0.12619755655262099</v>
      </c>
      <c r="L1755">
        <v>1085.7450145969501</v>
      </c>
      <c r="M1755">
        <v>21.796518607416601</v>
      </c>
      <c r="N1755">
        <v>50.937459153416697</v>
      </c>
      <c r="O1755">
        <v>49.399165871519202</v>
      </c>
      <c r="P1755">
        <v>-8.9241506427079398E-2</v>
      </c>
      <c r="Q1755">
        <v>0.19099853619954599</v>
      </c>
      <c r="R1755">
        <v>0.97899870858050497</v>
      </c>
      <c r="S1755" t="s">
        <v>8323</v>
      </c>
      <c r="T1755" t="s">
        <v>13134</v>
      </c>
      <c r="U1755" t="s">
        <v>13134</v>
      </c>
      <c r="V1755" t="s">
        <v>13134</v>
      </c>
      <c r="W1755" t="s">
        <v>14848</v>
      </c>
      <c r="X1755">
        <v>9</v>
      </c>
      <c r="Y1755" t="s">
        <v>21327</v>
      </c>
      <c r="Z1755" t="s">
        <v>27723</v>
      </c>
      <c r="AA1755">
        <v>0.54564722557570144</v>
      </c>
      <c r="AB1755" t="str">
        <f>HYPERLINK("Melting_Curves/meltCurve_O75208_COQ9.pdf", "Melting_Curves/meltCurve_O75208_COQ9.pdf")</f>
        <v>Melting_Curves/meltCurve_O75208_COQ9.pdf</v>
      </c>
    </row>
    <row r="1756" spans="1:28" x14ac:dyDescent="0.25">
      <c r="A1756" t="s">
        <v>1760</v>
      </c>
      <c r="B1756">
        <v>0.99472303558308395</v>
      </c>
      <c r="C1756">
        <v>0.96300666227130105</v>
      </c>
      <c r="D1756">
        <v>0.96211724368416096</v>
      </c>
      <c r="E1756">
        <v>0.94783626263855603</v>
      </c>
      <c r="F1756">
        <v>0.81646442721850798</v>
      </c>
      <c r="G1756">
        <v>0.61464119641367998</v>
      </c>
      <c r="H1756">
        <v>0.16093686552803499</v>
      </c>
      <c r="I1756">
        <v>6.82954068964894E-2</v>
      </c>
      <c r="J1756">
        <v>5.88055051858586E-2</v>
      </c>
      <c r="K1756">
        <v>5.81922185007629E-2</v>
      </c>
      <c r="L1756">
        <v>1323.6916195281999</v>
      </c>
      <c r="M1756">
        <v>24.458336439630099</v>
      </c>
      <c r="N1756">
        <v>54.2332882429153</v>
      </c>
      <c r="O1756">
        <v>53.762364488707902</v>
      </c>
      <c r="P1756">
        <v>-0.11090923805033399</v>
      </c>
      <c r="Q1756">
        <v>2.4846939198148801E-2</v>
      </c>
      <c r="R1756">
        <v>0.99029617788586499</v>
      </c>
      <c r="S1756" t="s">
        <v>8324</v>
      </c>
      <c r="T1756" t="s">
        <v>13134</v>
      </c>
      <c r="U1756" t="s">
        <v>13134</v>
      </c>
      <c r="V1756" t="s">
        <v>13134</v>
      </c>
      <c r="W1756" t="s">
        <v>14849</v>
      </c>
      <c r="X1756">
        <v>15</v>
      </c>
      <c r="Y1756" t="s">
        <v>21328</v>
      </c>
      <c r="Z1756" t="s">
        <v>27724</v>
      </c>
      <c r="AA1756">
        <v>0.59013727607881961</v>
      </c>
      <c r="AB1756" t="str">
        <f>HYPERLINK("Melting_Curves/meltCurve_O75223_GGCT.pdf", "Melting_Curves/meltCurve_O75223_GGCT.pdf")</f>
        <v>Melting_Curves/meltCurve_O75223_GGCT.pdf</v>
      </c>
    </row>
    <row r="1757" spans="1:28" x14ac:dyDescent="0.25">
      <c r="A1757" t="s">
        <v>1761</v>
      </c>
      <c r="B1757">
        <v>0.99472303558308395</v>
      </c>
      <c r="C1757">
        <v>0.89237748685951901</v>
      </c>
      <c r="D1757">
        <v>0.78900876925909802</v>
      </c>
      <c r="E1757">
        <v>0.672272388163349</v>
      </c>
      <c r="F1757">
        <v>0.45088198750287301</v>
      </c>
      <c r="G1757">
        <v>0.23586789820797099</v>
      </c>
      <c r="H1757">
        <v>0.14382269250052501</v>
      </c>
      <c r="I1757">
        <v>9.1134439053380395E-2</v>
      </c>
      <c r="J1757">
        <v>8.2960855137484593E-2</v>
      </c>
      <c r="K1757">
        <v>6.4896727338704996E-2</v>
      </c>
      <c r="L1757">
        <v>545.81347243294204</v>
      </c>
      <c r="M1757">
        <v>11.167995903015999</v>
      </c>
      <c r="N1757">
        <v>48.900445971097199</v>
      </c>
      <c r="O1757">
        <v>47.3845673270799</v>
      </c>
      <c r="P1757">
        <v>-5.87567536695092E-2</v>
      </c>
      <c r="Q1757">
        <v>3.1241950743092E-3</v>
      </c>
      <c r="R1757">
        <v>0.99467835154650697</v>
      </c>
      <c r="S1757" t="s">
        <v>8325</v>
      </c>
      <c r="T1757" t="s">
        <v>13134</v>
      </c>
      <c r="U1757" t="s">
        <v>13134</v>
      </c>
      <c r="V1757" t="s">
        <v>13134</v>
      </c>
      <c r="W1757" t="s">
        <v>14850</v>
      </c>
      <c r="X1757">
        <v>15</v>
      </c>
      <c r="Y1757" t="s">
        <v>21329</v>
      </c>
      <c r="Z1757" t="s">
        <v>27725</v>
      </c>
      <c r="AA1757">
        <v>0.43041400927223111</v>
      </c>
      <c r="AB1757" t="str">
        <f>HYPERLINK("Melting_Curves/meltCurve_O75306_NDUFS2.pdf", "Melting_Curves/meltCurve_O75306_NDUFS2.pdf")</f>
        <v>Melting_Curves/meltCurve_O75306_NDUFS2.pdf</v>
      </c>
    </row>
    <row r="1758" spans="1:28" x14ac:dyDescent="0.25">
      <c r="A1758" t="s">
        <v>1762</v>
      </c>
      <c r="B1758">
        <v>0.99472303558308395</v>
      </c>
      <c r="C1758">
        <v>0.96638001372356297</v>
      </c>
      <c r="D1758">
        <v>1.0187658833284301</v>
      </c>
      <c r="E1758">
        <v>0.88809532064794205</v>
      </c>
      <c r="F1758">
        <v>0.60167662120211796</v>
      </c>
      <c r="G1758">
        <v>0.31342138673744802</v>
      </c>
      <c r="H1758">
        <v>0.106190664109742</v>
      </c>
      <c r="I1758">
        <v>6.1468571472534102E-2</v>
      </c>
      <c r="J1758">
        <v>6.6477803108256905E-2</v>
      </c>
      <c r="K1758">
        <v>5.7055260889013797E-2</v>
      </c>
      <c r="L1758">
        <v>1084.4156546321899</v>
      </c>
      <c r="M1758">
        <v>21.213883739186599</v>
      </c>
      <c r="N1758">
        <v>51.335870139582099</v>
      </c>
      <c r="O1758">
        <v>50.670468102337203</v>
      </c>
      <c r="P1758">
        <v>-0.10016678417875299</v>
      </c>
      <c r="Q1758">
        <v>4.3010318340757997E-2</v>
      </c>
      <c r="R1758">
        <v>0.99771299978024897</v>
      </c>
      <c r="S1758" t="s">
        <v>8326</v>
      </c>
      <c r="T1758" t="s">
        <v>13134</v>
      </c>
      <c r="U1758" t="s">
        <v>13134</v>
      </c>
      <c r="V1758" t="s">
        <v>13134</v>
      </c>
      <c r="W1758" t="s">
        <v>14851</v>
      </c>
      <c r="X1758">
        <v>24</v>
      </c>
      <c r="Y1758" t="s">
        <v>21330</v>
      </c>
      <c r="Z1758" t="s">
        <v>27726</v>
      </c>
      <c r="AA1758">
        <v>0.50470809211874135</v>
      </c>
      <c r="AB1758" t="str">
        <f>HYPERLINK("Melting_Curves/meltCurve_O75312_ZNF259.pdf", "Melting_Curves/meltCurve_O75312_ZNF259.pdf")</f>
        <v>Melting_Curves/meltCurve_O75312_ZNF259.pdf</v>
      </c>
    </row>
    <row r="1759" spans="1:28" x14ac:dyDescent="0.25">
      <c r="A1759" t="s">
        <v>1763</v>
      </c>
      <c r="B1759">
        <v>0.99472303558308395</v>
      </c>
      <c r="C1759">
        <v>0.78616756988914904</v>
      </c>
      <c r="D1759">
        <v>0.93373208311101397</v>
      </c>
      <c r="E1759">
        <v>0.70603633456613202</v>
      </c>
      <c r="F1759">
        <v>0.53507724446893901</v>
      </c>
      <c r="G1759">
        <v>0.37746884382554102</v>
      </c>
      <c r="H1759">
        <v>0.109166475359517</v>
      </c>
      <c r="I1759">
        <v>6.2328921732187403E-2</v>
      </c>
      <c r="J1759">
        <v>6.87993613786365E-2</v>
      </c>
      <c r="K1759">
        <v>6.2092070172428501E-2</v>
      </c>
      <c r="L1759">
        <v>604.73757147163099</v>
      </c>
      <c r="M1759">
        <v>12.018727880035501</v>
      </c>
      <c r="N1759">
        <v>50.316275608387997</v>
      </c>
      <c r="O1759">
        <v>48.984018862279001</v>
      </c>
      <c r="P1759">
        <v>-6.1354744232043498E-2</v>
      </c>
      <c r="Q1759">
        <v>0</v>
      </c>
      <c r="R1759">
        <v>0.96477356614828302</v>
      </c>
      <c r="S1759" t="s">
        <v>8327</v>
      </c>
      <c r="T1759" t="s">
        <v>13134</v>
      </c>
      <c r="U1759" t="s">
        <v>13134</v>
      </c>
      <c r="V1759" t="s">
        <v>13134</v>
      </c>
      <c r="W1759" t="s">
        <v>14852</v>
      </c>
      <c r="X1759">
        <v>10</v>
      </c>
      <c r="Y1759" t="s">
        <v>21331</v>
      </c>
      <c r="Z1759" t="s">
        <v>27727</v>
      </c>
      <c r="AA1759">
        <v>0.4712298276214773</v>
      </c>
      <c r="AB1759" t="str">
        <f>HYPERLINK("Melting_Curves/meltCurve_O75323_GBAS.pdf", "Melting_Curves/meltCurve_O75323_GBAS.pdf")</f>
        <v>Melting_Curves/meltCurve_O75323_GBAS.pdf</v>
      </c>
    </row>
    <row r="1760" spans="1:28" x14ac:dyDescent="0.25">
      <c r="A1760" t="s">
        <v>1764</v>
      </c>
      <c r="B1760">
        <v>0.99472303558308395</v>
      </c>
      <c r="C1760">
        <v>0.97960615269681195</v>
      </c>
      <c r="D1760">
        <v>0.80386337387805995</v>
      </c>
      <c r="E1760">
        <v>0.41823904581385002</v>
      </c>
      <c r="F1760">
        <v>0.15942372782295999</v>
      </c>
      <c r="G1760">
        <v>9.4388123125889303E-2</v>
      </c>
      <c r="H1760">
        <v>6.6043931249815099E-2</v>
      </c>
      <c r="I1760">
        <v>5.3407075109514701E-2</v>
      </c>
      <c r="J1760">
        <v>6.8223995017596503E-2</v>
      </c>
      <c r="K1760">
        <v>5.26729684851295E-2</v>
      </c>
      <c r="L1760">
        <v>1037.8125909134901</v>
      </c>
      <c r="M1760">
        <v>22.760110766324502</v>
      </c>
      <c r="N1760">
        <v>45.846894584023502</v>
      </c>
      <c r="O1760">
        <v>45.250221332471597</v>
      </c>
      <c r="P1760">
        <v>-0.11843671070181799</v>
      </c>
      <c r="Q1760">
        <v>5.8144212810747602E-2</v>
      </c>
      <c r="R1760">
        <v>0.99965501420370895</v>
      </c>
      <c r="S1760" t="s">
        <v>8328</v>
      </c>
      <c r="T1760" t="s">
        <v>13134</v>
      </c>
      <c r="U1760" t="s">
        <v>13134</v>
      </c>
      <c r="V1760" t="s">
        <v>13134</v>
      </c>
      <c r="W1760" t="s">
        <v>14853</v>
      </c>
      <c r="X1760">
        <v>28</v>
      </c>
      <c r="Y1760" t="s">
        <v>21332</v>
      </c>
      <c r="Z1760" t="s">
        <v>27728</v>
      </c>
      <c r="AA1760">
        <v>0.33751171047049933</v>
      </c>
      <c r="AB1760" t="str">
        <f>HYPERLINK("Melting_Curves/meltCurve_O75330_2_HMMR.pdf", "Melting_Curves/meltCurve_O75330_2_HMMR.pdf")</f>
        <v>Melting_Curves/meltCurve_O75330_2_HMMR.pdf</v>
      </c>
    </row>
    <row r="1761" spans="1:28" x14ac:dyDescent="0.25">
      <c r="A1761" t="s">
        <v>1765</v>
      </c>
      <c r="B1761">
        <v>0.99472303558308395</v>
      </c>
      <c r="C1761">
        <v>0.93155777819793895</v>
      </c>
      <c r="D1761">
        <v>1.0240289795589199</v>
      </c>
      <c r="E1761">
        <v>0.87333067593360003</v>
      </c>
      <c r="F1761">
        <v>0.57163065388851098</v>
      </c>
      <c r="G1761">
        <v>0.26631175869152501</v>
      </c>
      <c r="H1761">
        <v>0.10262287551803601</v>
      </c>
      <c r="I1761">
        <v>7.3597324809858006E-2</v>
      </c>
      <c r="J1761">
        <v>7.74987672730649E-2</v>
      </c>
      <c r="K1761">
        <v>6.3518205377138703E-2</v>
      </c>
      <c r="L1761">
        <v>1142.3059082641901</v>
      </c>
      <c r="M1761">
        <v>22.565960419599801</v>
      </c>
      <c r="N1761">
        <v>50.900306169850197</v>
      </c>
      <c r="O1761">
        <v>50.2282497696321</v>
      </c>
      <c r="P1761">
        <v>-0.105773160835315</v>
      </c>
      <c r="Q1761">
        <v>5.8281872254938701E-2</v>
      </c>
      <c r="R1761">
        <v>0.99581792105687095</v>
      </c>
      <c r="S1761" t="s">
        <v>8329</v>
      </c>
      <c r="T1761" t="s">
        <v>13134</v>
      </c>
      <c r="U1761" t="s">
        <v>13134</v>
      </c>
      <c r="V1761" t="s">
        <v>13134</v>
      </c>
      <c r="W1761" t="s">
        <v>14854</v>
      </c>
      <c r="X1761">
        <v>9</v>
      </c>
      <c r="Y1761" t="s">
        <v>21333</v>
      </c>
      <c r="Z1761" t="s">
        <v>27729</v>
      </c>
      <c r="AA1761">
        <v>0.49585150354211788</v>
      </c>
      <c r="AB1761" t="str">
        <f>HYPERLINK("Melting_Curves/meltCurve_O75340_PDCD6.pdf", "Melting_Curves/meltCurve_O75340_PDCD6.pdf")</f>
        <v>Melting_Curves/meltCurve_O75340_PDCD6.pdf</v>
      </c>
    </row>
    <row r="1762" spans="1:28" x14ac:dyDescent="0.25">
      <c r="A1762" t="s">
        <v>1766</v>
      </c>
      <c r="B1762">
        <v>0.99472303558308395</v>
      </c>
      <c r="C1762">
        <v>0.96799405145744399</v>
      </c>
      <c r="D1762">
        <v>1.0085225249765399</v>
      </c>
      <c r="E1762">
        <v>0.95099468124504805</v>
      </c>
      <c r="F1762">
        <v>0.81240292020141902</v>
      </c>
      <c r="G1762">
        <v>0.69132199172015396</v>
      </c>
      <c r="H1762">
        <v>0.57847822198801602</v>
      </c>
      <c r="I1762">
        <v>0.61829464308427295</v>
      </c>
      <c r="J1762">
        <v>0.80409011140368203</v>
      </c>
      <c r="K1762">
        <v>0.61014245512037701</v>
      </c>
      <c r="L1762">
        <v>1599.15148917741</v>
      </c>
      <c r="M1762">
        <v>32.107740884782402</v>
      </c>
      <c r="O1762">
        <v>49.613787909559498</v>
      </c>
      <c r="P1762">
        <v>-5.5980303065910703E-2</v>
      </c>
      <c r="Q1762">
        <v>0.65399237491031603</v>
      </c>
      <c r="R1762">
        <v>0.87165429761225699</v>
      </c>
      <c r="S1762" t="s">
        <v>8330</v>
      </c>
      <c r="T1762" t="s">
        <v>13134</v>
      </c>
      <c r="U1762" t="s">
        <v>13134</v>
      </c>
      <c r="V1762" t="s">
        <v>13134</v>
      </c>
      <c r="W1762" t="s">
        <v>14855</v>
      </c>
      <c r="X1762">
        <v>16</v>
      </c>
      <c r="Y1762" t="s">
        <v>21334</v>
      </c>
      <c r="Z1762" t="s">
        <v>27730</v>
      </c>
      <c r="AA1762">
        <v>0.80353840968197332</v>
      </c>
      <c r="AB1762" t="str">
        <f>HYPERLINK("Melting_Curves/meltCurve_O75347_TBCA.pdf", "Melting_Curves/meltCurve_O75347_TBCA.pdf")</f>
        <v>Melting_Curves/meltCurve_O75347_TBCA.pdf</v>
      </c>
    </row>
    <row r="1763" spans="1:28" x14ac:dyDescent="0.25">
      <c r="A1763" t="s">
        <v>1767</v>
      </c>
      <c r="B1763">
        <v>0.99472303558308395</v>
      </c>
      <c r="C1763">
        <v>1.0435229741758001</v>
      </c>
      <c r="D1763">
        <v>0.75186920818203296</v>
      </c>
      <c r="E1763">
        <v>0.73425694343510395</v>
      </c>
      <c r="F1763">
        <v>0.643627766693189</v>
      </c>
      <c r="G1763">
        <v>0.34831064797929301</v>
      </c>
      <c r="H1763">
        <v>0.22875965884487801</v>
      </c>
      <c r="I1763">
        <v>0.19601558637511801</v>
      </c>
      <c r="J1763">
        <v>0.238381517261535</v>
      </c>
      <c r="K1763">
        <v>0.18088443412313701</v>
      </c>
      <c r="L1763">
        <v>572.71952087843601</v>
      </c>
      <c r="M1763">
        <v>11.4908120635655</v>
      </c>
      <c r="N1763">
        <v>51.137300083742801</v>
      </c>
      <c r="O1763">
        <v>48.403673002239699</v>
      </c>
      <c r="P1763">
        <v>-5.1867582372031498E-2</v>
      </c>
      <c r="Q1763">
        <v>0.12630511083548199</v>
      </c>
      <c r="R1763">
        <v>0.95895525324449604</v>
      </c>
      <c r="S1763" t="s">
        <v>8331</v>
      </c>
      <c r="T1763" t="s">
        <v>13134</v>
      </c>
      <c r="U1763" t="s">
        <v>13134</v>
      </c>
      <c r="V1763" t="s">
        <v>13134</v>
      </c>
      <c r="W1763" t="s">
        <v>14856</v>
      </c>
      <c r="X1763">
        <v>6</v>
      </c>
      <c r="Y1763" t="s">
        <v>21335</v>
      </c>
      <c r="Z1763" t="s">
        <v>27731</v>
      </c>
      <c r="AA1763">
        <v>0.52628183228965519</v>
      </c>
      <c r="AB1763" t="str">
        <f>HYPERLINK("Melting_Curves/meltCurve_O75348_ATP6V1G1.pdf", "Melting_Curves/meltCurve_O75348_ATP6V1G1.pdf")</f>
        <v>Melting_Curves/meltCurve_O75348_ATP6V1G1.pdf</v>
      </c>
    </row>
    <row r="1764" spans="1:28" x14ac:dyDescent="0.25">
      <c r="A1764" t="s">
        <v>1768</v>
      </c>
      <c r="B1764">
        <v>0.99472303558308395</v>
      </c>
      <c r="C1764">
        <v>1.01874840694844</v>
      </c>
      <c r="D1764">
        <v>1.0304588624300199</v>
      </c>
      <c r="E1764">
        <v>0.97222589463064502</v>
      </c>
      <c r="F1764">
        <v>0.60738810928372999</v>
      </c>
      <c r="G1764">
        <v>0.208347368905199</v>
      </c>
      <c r="H1764">
        <v>0.128441437271751</v>
      </c>
      <c r="I1764">
        <v>7.3122895708149005E-2</v>
      </c>
      <c r="J1764">
        <v>7.9915401739765704E-2</v>
      </c>
      <c r="K1764">
        <v>7.9857929271432301E-2</v>
      </c>
      <c r="L1764">
        <v>1675.65054503442</v>
      </c>
      <c r="M1764">
        <v>33.055100230262703</v>
      </c>
      <c r="N1764">
        <v>50.979624506125603</v>
      </c>
      <c r="O1764">
        <v>50.508197167403601</v>
      </c>
      <c r="P1764">
        <v>-0.149723146464316</v>
      </c>
      <c r="Q1764">
        <v>8.4896178956763199E-2</v>
      </c>
      <c r="R1764">
        <v>0.99839269801088304</v>
      </c>
      <c r="S1764" t="s">
        <v>8332</v>
      </c>
      <c r="T1764" t="s">
        <v>13134</v>
      </c>
      <c r="U1764" t="s">
        <v>13134</v>
      </c>
      <c r="V1764" t="s">
        <v>13134</v>
      </c>
      <c r="W1764" t="s">
        <v>14857</v>
      </c>
      <c r="X1764">
        <v>9</v>
      </c>
      <c r="Y1764" t="s">
        <v>21336</v>
      </c>
      <c r="Z1764" t="s">
        <v>27732</v>
      </c>
      <c r="AA1764">
        <v>0.50725731038899513</v>
      </c>
      <c r="AB1764" t="str">
        <f>HYPERLINK("Melting_Curves/meltCurve_O75351_VPS4B.pdf", "Melting_Curves/meltCurve_O75351_VPS4B.pdf")</f>
        <v>Melting_Curves/meltCurve_O75351_VPS4B.pdf</v>
      </c>
    </row>
    <row r="1765" spans="1:28" x14ac:dyDescent="0.25">
      <c r="A1765" t="s">
        <v>1769</v>
      </c>
      <c r="B1765">
        <v>0.99472303558308395</v>
      </c>
      <c r="C1765">
        <v>1.0545301440860599</v>
      </c>
      <c r="D1765">
        <v>0.75289346227057596</v>
      </c>
      <c r="E1765">
        <v>0.62492635575162603</v>
      </c>
      <c r="F1765">
        <v>0.43955725362084203</v>
      </c>
      <c r="G1765">
        <v>0.12961608723450299</v>
      </c>
      <c r="H1765">
        <v>8.3142355052162498E-2</v>
      </c>
      <c r="I1765">
        <v>7.3237648867136795E-2</v>
      </c>
      <c r="J1765">
        <v>7.5876946272579598E-2</v>
      </c>
      <c r="K1765">
        <v>6.9011717463825395E-2</v>
      </c>
      <c r="L1765">
        <v>702.47200242068095</v>
      </c>
      <c r="M1765">
        <v>14.6470157147696</v>
      </c>
      <c r="N1765">
        <v>48.183215940178499</v>
      </c>
      <c r="O1765">
        <v>47.092692385836898</v>
      </c>
      <c r="P1765">
        <v>-7.5215195730403903E-2</v>
      </c>
      <c r="Q1765">
        <v>3.27877406511944E-2</v>
      </c>
      <c r="R1765">
        <v>0.97800568741584004</v>
      </c>
      <c r="S1765" t="s">
        <v>8333</v>
      </c>
      <c r="T1765" t="s">
        <v>13134</v>
      </c>
      <c r="U1765" t="s">
        <v>13134</v>
      </c>
      <c r="V1765" t="s">
        <v>13134</v>
      </c>
      <c r="W1765" t="s">
        <v>14858</v>
      </c>
      <c r="X1765">
        <v>4</v>
      </c>
      <c r="Y1765" t="s">
        <v>21337</v>
      </c>
      <c r="Z1765" t="s">
        <v>27733</v>
      </c>
      <c r="AA1765">
        <v>0.40833497877547031</v>
      </c>
      <c r="AB1765" t="str">
        <f>HYPERLINK("Melting_Curves/meltCurve_O75362_ZNF217.pdf", "Melting_Curves/meltCurve_O75362_ZNF217.pdf")</f>
        <v>Melting_Curves/meltCurve_O75362_ZNF217.pdf</v>
      </c>
    </row>
    <row r="1766" spans="1:28" x14ac:dyDescent="0.25">
      <c r="A1766" t="s">
        <v>1770</v>
      </c>
      <c r="B1766">
        <v>0.99472303558308395</v>
      </c>
      <c r="C1766">
        <v>0.77728490357213997</v>
      </c>
      <c r="D1766">
        <v>0.69881076692529998</v>
      </c>
      <c r="E1766">
        <v>0.57708181432363703</v>
      </c>
      <c r="F1766">
        <v>0.49457801717420902</v>
      </c>
      <c r="G1766">
        <v>0.25990628396905802</v>
      </c>
      <c r="H1766">
        <v>0.28990567953027402</v>
      </c>
      <c r="I1766">
        <v>9.0783810552913596E-2</v>
      </c>
      <c r="J1766">
        <v>0.154245349079284</v>
      </c>
      <c r="K1766">
        <v>9.8186789245244002E-2</v>
      </c>
      <c r="L1766">
        <v>375.699130388215</v>
      </c>
      <c r="M1766">
        <v>7.7653989771832697</v>
      </c>
      <c r="N1766">
        <v>48.3811672580578</v>
      </c>
      <c r="O1766">
        <v>45.486895871107897</v>
      </c>
      <c r="P1766">
        <v>-4.2733252607054101E-2</v>
      </c>
      <c r="Q1766">
        <v>0</v>
      </c>
      <c r="R1766">
        <v>0.96826866964351999</v>
      </c>
      <c r="S1766" t="s">
        <v>8334</v>
      </c>
      <c r="T1766" t="s">
        <v>13134</v>
      </c>
      <c r="U1766" t="s">
        <v>13134</v>
      </c>
      <c r="V1766" t="s">
        <v>13134</v>
      </c>
      <c r="W1766" t="s">
        <v>14859</v>
      </c>
      <c r="X1766">
        <v>2</v>
      </c>
      <c r="Y1766" t="s">
        <v>21338</v>
      </c>
      <c r="Z1766" t="s">
        <v>27734</v>
      </c>
      <c r="AA1766">
        <v>0.43064242573786921</v>
      </c>
      <c r="AB1766" t="str">
        <f>HYPERLINK("Melting_Curves/meltCurve_O75365_2_PTP4A3.pdf", "Melting_Curves/meltCurve_O75365_2_PTP4A3.pdf")</f>
        <v>Melting_Curves/meltCurve_O75365_2_PTP4A3.pdf</v>
      </c>
    </row>
    <row r="1767" spans="1:28" x14ac:dyDescent="0.25">
      <c r="A1767" t="s">
        <v>1771</v>
      </c>
      <c r="B1767">
        <v>0.99472303558308395</v>
      </c>
      <c r="C1767">
        <v>1.08137630629521</v>
      </c>
      <c r="D1767">
        <v>0.975830797026769</v>
      </c>
      <c r="E1767">
        <v>0.95924337515856095</v>
      </c>
      <c r="F1767">
        <v>0.73161027045448102</v>
      </c>
      <c r="G1767">
        <v>0.46534592630076299</v>
      </c>
      <c r="H1767">
        <v>0.254637469801829</v>
      </c>
      <c r="I1767">
        <v>0.228336200569073</v>
      </c>
      <c r="J1767">
        <v>0.29909802117392997</v>
      </c>
      <c r="K1767">
        <v>0.25362959528301399</v>
      </c>
      <c r="L1767">
        <v>1326.6501031094899</v>
      </c>
      <c r="M1767">
        <v>25.755505716631902</v>
      </c>
      <c r="N1767">
        <v>52.9061951677011</v>
      </c>
      <c r="O1767">
        <v>51.201877064375303</v>
      </c>
      <c r="P1767">
        <v>-9.4733546249842801E-2</v>
      </c>
      <c r="Q1767">
        <v>0.24668907501478299</v>
      </c>
      <c r="R1767">
        <v>0.98848110174824999</v>
      </c>
      <c r="S1767" t="s">
        <v>8335</v>
      </c>
      <c r="T1767" t="s">
        <v>13134</v>
      </c>
      <c r="U1767" t="s">
        <v>13134</v>
      </c>
      <c r="V1767" t="s">
        <v>13134</v>
      </c>
      <c r="W1767" t="s">
        <v>14860</v>
      </c>
      <c r="X1767">
        <v>8</v>
      </c>
      <c r="Y1767" t="s">
        <v>21339</v>
      </c>
      <c r="Z1767" t="s">
        <v>27735</v>
      </c>
      <c r="AA1767">
        <v>0.61733450473838125</v>
      </c>
      <c r="AB1767" t="str">
        <f>HYPERLINK("Melting_Curves/meltCurve_O75368_SH3BGRL.pdf", "Melting_Curves/meltCurve_O75368_SH3BGRL.pdf")</f>
        <v>Melting_Curves/meltCurve_O75368_SH3BGRL.pdf</v>
      </c>
    </row>
    <row r="1768" spans="1:28" x14ac:dyDescent="0.25">
      <c r="A1768" t="s">
        <v>1772</v>
      </c>
      <c r="B1768">
        <v>0.99472303558308395</v>
      </c>
      <c r="C1768">
        <v>1.00047612781005</v>
      </c>
      <c r="D1768">
        <v>0.91114299046964997</v>
      </c>
      <c r="E1768">
        <v>0.82242881301511095</v>
      </c>
      <c r="F1768">
        <v>0.56934262290882998</v>
      </c>
      <c r="G1768">
        <v>0.17138885816520399</v>
      </c>
      <c r="H1768">
        <v>7.5153262272748406E-2</v>
      </c>
      <c r="I1768">
        <v>4.8861062654056701E-2</v>
      </c>
      <c r="J1768">
        <v>5.4084352500683698E-2</v>
      </c>
      <c r="K1768">
        <v>4.9241274355021701E-2</v>
      </c>
      <c r="L1768">
        <v>1087.4519892927001</v>
      </c>
      <c r="M1768">
        <v>21.645728094480202</v>
      </c>
      <c r="N1768">
        <v>50.377997416539898</v>
      </c>
      <c r="O1768">
        <v>49.815760162623697</v>
      </c>
      <c r="P1768">
        <v>-0.105474753110838</v>
      </c>
      <c r="Q1768">
        <v>2.90594560404779E-2</v>
      </c>
      <c r="R1768">
        <v>0.99387164164725394</v>
      </c>
      <c r="S1768" t="s">
        <v>8336</v>
      </c>
      <c r="T1768" t="s">
        <v>13134</v>
      </c>
      <c r="U1768" t="s">
        <v>13134</v>
      </c>
      <c r="V1768" t="s">
        <v>13134</v>
      </c>
      <c r="W1768" t="s">
        <v>14861</v>
      </c>
      <c r="X1768">
        <v>99</v>
      </c>
      <c r="Y1768" t="s">
        <v>21340</v>
      </c>
      <c r="Z1768" t="s">
        <v>27736</v>
      </c>
      <c r="AA1768">
        <v>0.46863500728200402</v>
      </c>
      <c r="AB1768" t="str">
        <f>HYPERLINK("Melting_Curves/meltCurve_O75369_8_FLNB.pdf", "Melting_Curves/meltCurve_O75369_8_FLNB.pdf")</f>
        <v>Melting_Curves/meltCurve_O75369_8_FLNB.pdf</v>
      </c>
    </row>
    <row r="1769" spans="1:28" x14ac:dyDescent="0.25">
      <c r="A1769" t="s">
        <v>1773</v>
      </c>
      <c r="B1769">
        <v>0.99472303558308395</v>
      </c>
      <c r="C1769">
        <v>0.82104077551883203</v>
      </c>
      <c r="D1769">
        <v>0.62313158397565604</v>
      </c>
      <c r="E1769">
        <v>0.44202082279740701</v>
      </c>
      <c r="F1769">
        <v>0.310195080025845</v>
      </c>
      <c r="G1769">
        <v>0.167127354342756</v>
      </c>
      <c r="H1769">
        <v>0.12719273338092199</v>
      </c>
      <c r="I1769">
        <v>0.11528895172885099</v>
      </c>
      <c r="J1769">
        <v>0.139942297069064</v>
      </c>
      <c r="K1769">
        <v>0.110521415342914</v>
      </c>
      <c r="L1769">
        <v>566.67361771345895</v>
      </c>
      <c r="M1769">
        <v>12.7047621022719</v>
      </c>
      <c r="N1769">
        <v>45.379037645003301</v>
      </c>
      <c r="O1769">
        <v>43.541501709276503</v>
      </c>
      <c r="P1769">
        <v>-6.5838333836495497E-2</v>
      </c>
      <c r="Q1769">
        <v>9.7615231552184406E-2</v>
      </c>
      <c r="R1769">
        <v>0.99215095800600905</v>
      </c>
      <c r="S1769" t="s">
        <v>8337</v>
      </c>
      <c r="T1769" t="s">
        <v>13134</v>
      </c>
      <c r="U1769" t="s">
        <v>13134</v>
      </c>
      <c r="V1769" t="s">
        <v>13134</v>
      </c>
      <c r="W1769" t="s">
        <v>14862</v>
      </c>
      <c r="X1769">
        <v>17</v>
      </c>
      <c r="Y1769" t="s">
        <v>21341</v>
      </c>
      <c r="Z1769" t="s">
        <v>27737</v>
      </c>
      <c r="AA1769">
        <v>0.35651327516987602</v>
      </c>
      <c r="AB1769" t="str">
        <f>HYPERLINK("Melting_Curves/meltCurve_O75376_NCOR1.pdf", "Melting_Curves/meltCurve_O75376_NCOR1.pdf")</f>
        <v>Melting_Curves/meltCurve_O75376_NCOR1.pdf</v>
      </c>
    </row>
    <row r="1770" spans="1:28" x14ac:dyDescent="0.25">
      <c r="A1770" t="s">
        <v>1774</v>
      </c>
      <c r="B1770">
        <v>0.99472303558308395</v>
      </c>
      <c r="C1770">
        <v>1.14294744384223</v>
      </c>
      <c r="D1770">
        <v>0.92080946720446999</v>
      </c>
      <c r="E1770">
        <v>0.87058463917570195</v>
      </c>
      <c r="F1770">
        <v>0.67096617404269598</v>
      </c>
      <c r="G1770">
        <v>0.51874972255226004</v>
      </c>
      <c r="H1770">
        <v>0.46199927121280099</v>
      </c>
      <c r="I1770">
        <v>0.55350704470545797</v>
      </c>
      <c r="J1770">
        <v>0.69632081510933697</v>
      </c>
      <c r="K1770">
        <v>0.65272431899809902</v>
      </c>
      <c r="L1770">
        <v>1533.1222992451001</v>
      </c>
      <c r="M1770">
        <v>32.127193540569202</v>
      </c>
      <c r="O1770">
        <v>47.536645592248902</v>
      </c>
      <c r="P1770">
        <v>-7.1313828286309902E-2</v>
      </c>
      <c r="Q1770">
        <v>0.57792724838953402</v>
      </c>
      <c r="R1770">
        <v>0.85686125095055798</v>
      </c>
      <c r="S1770" t="s">
        <v>8338</v>
      </c>
      <c r="T1770" t="s">
        <v>13134</v>
      </c>
      <c r="U1770" t="s">
        <v>13134</v>
      </c>
      <c r="V1770" t="s">
        <v>13134</v>
      </c>
      <c r="W1770" t="s">
        <v>14863</v>
      </c>
      <c r="X1770">
        <v>8</v>
      </c>
      <c r="Y1770" t="s">
        <v>21342</v>
      </c>
      <c r="Z1770" t="s">
        <v>27738</v>
      </c>
      <c r="AA1770">
        <v>0.7309196564842444</v>
      </c>
      <c r="AB1770" t="str">
        <f>HYPERLINK("Melting_Curves/meltCurve_O75379_VAMP4.pdf", "Melting_Curves/meltCurve_O75379_VAMP4.pdf")</f>
        <v>Melting_Curves/meltCurve_O75379_VAMP4.pdf</v>
      </c>
    </row>
    <row r="1771" spans="1:28" x14ac:dyDescent="0.25">
      <c r="A1771" t="s">
        <v>1775</v>
      </c>
      <c r="B1771">
        <v>0.99472303558308395</v>
      </c>
      <c r="C1771">
        <v>0.893623387237787</v>
      </c>
      <c r="D1771">
        <v>0.83631461720254097</v>
      </c>
      <c r="E1771">
        <v>0.79581275933111095</v>
      </c>
      <c r="F1771">
        <v>0.62970522724431399</v>
      </c>
      <c r="G1771">
        <v>0.53016082386771402</v>
      </c>
      <c r="H1771">
        <v>0.421989778460163</v>
      </c>
      <c r="I1771">
        <v>0.58634175382020703</v>
      </c>
      <c r="J1771">
        <v>0.86602228331991304</v>
      </c>
      <c r="K1771">
        <v>0.64520857335262205</v>
      </c>
      <c r="L1771">
        <v>749.553695334841</v>
      </c>
      <c r="M1771">
        <v>17.054416534712601</v>
      </c>
      <c r="O1771">
        <v>43.359768877640398</v>
      </c>
      <c r="P1771">
        <v>-3.8273357249519302E-2</v>
      </c>
      <c r="Q1771">
        <v>0.61079345007301</v>
      </c>
      <c r="R1771">
        <v>0.59402466358549499</v>
      </c>
      <c r="S1771" t="s">
        <v>8339</v>
      </c>
      <c r="T1771" t="s">
        <v>13134</v>
      </c>
      <c r="U1771" t="s">
        <v>13134</v>
      </c>
      <c r="V1771" t="s">
        <v>13134</v>
      </c>
      <c r="W1771" t="s">
        <v>14864</v>
      </c>
      <c r="X1771">
        <v>7</v>
      </c>
      <c r="Y1771" t="s">
        <v>21343</v>
      </c>
      <c r="Z1771" t="s">
        <v>27739</v>
      </c>
      <c r="AA1771">
        <v>0.70835129695241883</v>
      </c>
      <c r="AB1771" t="str">
        <f>HYPERLINK("Melting_Curves/meltCurve_O75380_NDUFS6.pdf", "Melting_Curves/meltCurve_O75380_NDUFS6.pdf")</f>
        <v>Melting_Curves/meltCurve_O75380_NDUFS6.pdf</v>
      </c>
    </row>
    <row r="1772" spans="1:28" x14ac:dyDescent="0.25">
      <c r="A1772" t="s">
        <v>1776</v>
      </c>
      <c r="B1772">
        <v>0.99472303558308395</v>
      </c>
      <c r="C1772">
        <v>1.0850077544982899</v>
      </c>
      <c r="D1772">
        <v>0.75391877293518095</v>
      </c>
      <c r="E1772">
        <v>0.634376295456613</v>
      </c>
      <c r="F1772">
        <v>0.47096538992353298</v>
      </c>
      <c r="G1772">
        <v>0.22740073035962699</v>
      </c>
      <c r="H1772">
        <v>0.13823737009322301</v>
      </c>
      <c r="I1772">
        <v>0.11947548078955</v>
      </c>
      <c r="J1772">
        <v>0.12835835834050299</v>
      </c>
      <c r="K1772">
        <v>0.164068174503335</v>
      </c>
      <c r="L1772">
        <v>693.10055737494997</v>
      </c>
      <c r="M1772">
        <v>14.4856307405978</v>
      </c>
      <c r="N1772">
        <v>48.6309145184632</v>
      </c>
      <c r="O1772">
        <v>46.9633091176918</v>
      </c>
      <c r="P1772">
        <v>-6.9094524742505894E-2</v>
      </c>
      <c r="Q1772">
        <v>0.1040689053371</v>
      </c>
      <c r="R1772">
        <v>0.97094033369636201</v>
      </c>
      <c r="S1772" t="s">
        <v>8340</v>
      </c>
      <c r="T1772" t="s">
        <v>13134</v>
      </c>
      <c r="U1772" t="s">
        <v>13134</v>
      </c>
      <c r="V1772" t="s">
        <v>13134</v>
      </c>
      <c r="W1772" t="s">
        <v>14865</v>
      </c>
      <c r="X1772">
        <v>7</v>
      </c>
      <c r="Y1772" t="s">
        <v>21344</v>
      </c>
      <c r="Z1772" t="s">
        <v>27740</v>
      </c>
      <c r="AA1772">
        <v>0.44901868030026171</v>
      </c>
      <c r="AB1772" t="str">
        <f>HYPERLINK("Melting_Curves/meltCurve_O75381_2_PEX14.pdf", "Melting_Curves/meltCurve_O75381_2_PEX14.pdf")</f>
        <v>Melting_Curves/meltCurve_O75381_2_PEX14.pdf</v>
      </c>
    </row>
    <row r="1773" spans="1:28" x14ac:dyDescent="0.25">
      <c r="A1773" t="s">
        <v>1777</v>
      </c>
      <c r="B1773">
        <v>0.99472303558308395</v>
      </c>
      <c r="C1773">
        <v>1.03578555288886</v>
      </c>
      <c r="D1773">
        <v>0.91848115183358303</v>
      </c>
      <c r="E1773">
        <v>0.75383076780406999</v>
      </c>
      <c r="F1773">
        <v>0.35001445878597998</v>
      </c>
      <c r="G1773">
        <v>0.102773349915025</v>
      </c>
      <c r="H1773">
        <v>0.120253896822413</v>
      </c>
      <c r="I1773">
        <v>9.1109434803341396E-2</v>
      </c>
      <c r="J1773">
        <v>8.6969285079621095E-2</v>
      </c>
      <c r="K1773">
        <v>0.14379108708796201</v>
      </c>
      <c r="L1773">
        <v>1291.93409351112</v>
      </c>
      <c r="M1773">
        <v>26.772557666199098</v>
      </c>
      <c r="N1773">
        <v>48.650644726708997</v>
      </c>
      <c r="O1773">
        <v>47.989099322590697</v>
      </c>
      <c r="P1773">
        <v>-0.125857391087245</v>
      </c>
      <c r="Q1773">
        <v>9.76252779133579E-2</v>
      </c>
      <c r="R1773">
        <v>0.99417923748231196</v>
      </c>
      <c r="S1773" t="s">
        <v>8341</v>
      </c>
      <c r="T1773" t="s">
        <v>13134</v>
      </c>
      <c r="U1773" t="s">
        <v>13134</v>
      </c>
      <c r="V1773" t="s">
        <v>13134</v>
      </c>
      <c r="W1773" t="s">
        <v>14866</v>
      </c>
      <c r="X1773">
        <v>1</v>
      </c>
      <c r="Y1773" t="s">
        <v>21345</v>
      </c>
      <c r="Z1773" t="s">
        <v>27741</v>
      </c>
      <c r="AA1773">
        <v>0.44293333524301531</v>
      </c>
      <c r="AB1773" t="str">
        <f>HYPERLINK("Melting_Curves/meltCurve_O75386_TULP3.pdf", "Melting_Curves/meltCurve_O75386_TULP3.pdf")</f>
        <v>Melting_Curves/meltCurve_O75386_TULP3.pdf</v>
      </c>
    </row>
    <row r="1774" spans="1:28" x14ac:dyDescent="0.25">
      <c r="A1774" t="s">
        <v>1778</v>
      </c>
      <c r="B1774">
        <v>0.99472303558308395</v>
      </c>
      <c r="C1774">
        <v>1.0170512073931399</v>
      </c>
      <c r="D1774">
        <v>0.68198115705944196</v>
      </c>
      <c r="E1774">
        <v>0.69914273027220697</v>
      </c>
      <c r="F1774">
        <v>0.58798894741835905</v>
      </c>
      <c r="G1774">
        <v>0.42923464362046698</v>
      </c>
      <c r="H1774">
        <v>0.30592103468170501</v>
      </c>
      <c r="I1774">
        <v>0.18315406977600901</v>
      </c>
      <c r="J1774">
        <v>0.19729524631901699</v>
      </c>
      <c r="K1774">
        <v>0.15306894667074999</v>
      </c>
      <c r="L1774">
        <v>409.71603763963799</v>
      </c>
      <c r="M1774">
        <v>7.9983741570765998</v>
      </c>
      <c r="N1774">
        <v>51.421785751464597</v>
      </c>
      <c r="O1774">
        <v>48.320293373996002</v>
      </c>
      <c r="P1774">
        <v>-4.0804194961176397E-2</v>
      </c>
      <c r="Q1774">
        <v>1.5079031348230401E-2</v>
      </c>
      <c r="R1774">
        <v>0.95950225239172304</v>
      </c>
      <c r="S1774" t="s">
        <v>8342</v>
      </c>
      <c r="T1774" t="s">
        <v>13134</v>
      </c>
      <c r="U1774" t="s">
        <v>13134</v>
      </c>
      <c r="V1774" t="s">
        <v>13134</v>
      </c>
      <c r="W1774" t="s">
        <v>14867</v>
      </c>
      <c r="X1774">
        <v>2</v>
      </c>
      <c r="Y1774" t="s">
        <v>21346</v>
      </c>
      <c r="Z1774" t="s">
        <v>27742</v>
      </c>
      <c r="AA1774">
        <v>0.51504222090243212</v>
      </c>
      <c r="AB1774" t="str">
        <f>HYPERLINK("Melting_Curves/meltCurve_O75387_SLC43A1.pdf", "Melting_Curves/meltCurve_O75387_SLC43A1.pdf")</f>
        <v>Melting_Curves/meltCurve_O75387_SLC43A1.pdf</v>
      </c>
    </row>
    <row r="1775" spans="1:28" x14ac:dyDescent="0.25">
      <c r="A1775" t="s">
        <v>1779</v>
      </c>
      <c r="B1775">
        <v>0.99472303558308395</v>
      </c>
      <c r="C1775">
        <v>0.98116073783227498</v>
      </c>
      <c r="D1775">
        <v>0.96329234681539899</v>
      </c>
      <c r="E1775">
        <v>0.90387886311018595</v>
      </c>
      <c r="F1775">
        <v>0.68308926365715505</v>
      </c>
      <c r="G1775">
        <v>0.49572317289559598</v>
      </c>
      <c r="H1775">
        <v>0.32152884703986401</v>
      </c>
      <c r="I1775">
        <v>0.28236068424264399</v>
      </c>
      <c r="J1775">
        <v>0.34274405034422001</v>
      </c>
      <c r="K1775">
        <v>0.29342367754493798</v>
      </c>
      <c r="L1775">
        <v>1004.54052412155</v>
      </c>
      <c r="M1775">
        <v>19.7459602067783</v>
      </c>
      <c r="N1775">
        <v>53.1726985530372</v>
      </c>
      <c r="O1775">
        <v>50.360062682090501</v>
      </c>
      <c r="P1775">
        <v>-6.9880742785883895E-2</v>
      </c>
      <c r="Q1775">
        <v>0.28712951062896702</v>
      </c>
      <c r="R1775">
        <v>0.99383018093387299</v>
      </c>
      <c r="S1775" t="s">
        <v>8343</v>
      </c>
      <c r="T1775" t="s">
        <v>13134</v>
      </c>
      <c r="U1775" t="s">
        <v>13134</v>
      </c>
      <c r="V1775" t="s">
        <v>13134</v>
      </c>
      <c r="W1775" t="s">
        <v>14868</v>
      </c>
      <c r="X1775">
        <v>11</v>
      </c>
      <c r="Y1775" t="s">
        <v>21347</v>
      </c>
      <c r="Z1775" t="s">
        <v>27743</v>
      </c>
      <c r="AA1775">
        <v>0.62633525580492866</v>
      </c>
      <c r="AB1775" t="str">
        <f>HYPERLINK("Melting_Curves/meltCurve_O75391_SPAG7.pdf", "Melting_Curves/meltCurve_O75391_SPAG7.pdf")</f>
        <v>Melting_Curves/meltCurve_O75391_SPAG7.pdf</v>
      </c>
    </row>
    <row r="1776" spans="1:28" x14ac:dyDescent="0.25">
      <c r="A1776" t="s">
        <v>1780</v>
      </c>
      <c r="B1776">
        <v>0.99472303558308395</v>
      </c>
      <c r="C1776">
        <v>0.99673125375267801</v>
      </c>
      <c r="D1776">
        <v>0.95173108419785402</v>
      </c>
      <c r="E1776">
        <v>0.83387787720773798</v>
      </c>
      <c r="F1776">
        <v>0.67802668236588504</v>
      </c>
      <c r="G1776">
        <v>0.40862731603374502</v>
      </c>
      <c r="H1776">
        <v>9.9740766072192594E-2</v>
      </c>
      <c r="I1776">
        <v>3.9557631184413203E-2</v>
      </c>
      <c r="J1776">
        <v>2.3674462208866199E-2</v>
      </c>
      <c r="K1776">
        <v>3.02178797022013E-2</v>
      </c>
      <c r="L1776">
        <v>933.48662979523704</v>
      </c>
      <c r="M1776">
        <v>17.933914369274699</v>
      </c>
      <c r="N1776">
        <v>52.051470346619901</v>
      </c>
      <c r="O1776">
        <v>51.417216929921302</v>
      </c>
      <c r="P1776">
        <v>-8.7202359064748394E-2</v>
      </c>
      <c r="Q1776">
        <v>0</v>
      </c>
      <c r="R1776">
        <v>0.99326368452676805</v>
      </c>
      <c r="S1776" t="s">
        <v>8344</v>
      </c>
      <c r="T1776" t="s">
        <v>13134</v>
      </c>
      <c r="U1776" t="s">
        <v>13134</v>
      </c>
      <c r="V1776" t="s">
        <v>13134</v>
      </c>
      <c r="W1776" t="s">
        <v>14869</v>
      </c>
      <c r="X1776">
        <v>12</v>
      </c>
      <c r="Y1776" t="s">
        <v>21348</v>
      </c>
      <c r="Z1776" t="s">
        <v>27744</v>
      </c>
      <c r="AA1776">
        <v>0.51689041626234922</v>
      </c>
      <c r="AB1776" t="str">
        <f>HYPERLINK("Melting_Curves/meltCurve_O75396_SEC22B.pdf", "Melting_Curves/meltCurve_O75396_SEC22B.pdf")</f>
        <v>Melting_Curves/meltCurve_O75396_SEC22B.pdf</v>
      </c>
    </row>
    <row r="1777" spans="1:28" x14ac:dyDescent="0.25">
      <c r="A1777" t="s">
        <v>1781</v>
      </c>
      <c r="B1777">
        <v>0.99472303558308395</v>
      </c>
      <c r="C1777">
        <v>0.86571959340150095</v>
      </c>
      <c r="D1777">
        <v>0.84895570796474795</v>
      </c>
      <c r="E1777">
        <v>0.44210384558317101</v>
      </c>
      <c r="F1777">
        <v>0.14561334921930999</v>
      </c>
      <c r="G1777">
        <v>8.0374769700640503E-2</v>
      </c>
      <c r="H1777">
        <v>5.2865059086464897E-2</v>
      </c>
      <c r="I1777">
        <v>3.9192625162701902E-2</v>
      </c>
      <c r="J1777">
        <v>5.3713165025634897E-2</v>
      </c>
      <c r="K1777">
        <v>3.8913686761479903E-2</v>
      </c>
      <c r="L1777">
        <v>986.44517919442796</v>
      </c>
      <c r="M1777">
        <v>21.505458526157099</v>
      </c>
      <c r="N1777">
        <v>46.039479431907303</v>
      </c>
      <c r="O1777">
        <v>45.478445757689499</v>
      </c>
      <c r="P1777">
        <v>-0.113709636584782</v>
      </c>
      <c r="Q1777">
        <v>3.8158754326681601E-2</v>
      </c>
      <c r="R1777">
        <v>0.99202913908926105</v>
      </c>
      <c r="S1777" t="s">
        <v>8345</v>
      </c>
      <c r="T1777" t="s">
        <v>13134</v>
      </c>
      <c r="U1777" t="s">
        <v>13134</v>
      </c>
      <c r="V1777" t="s">
        <v>13134</v>
      </c>
      <c r="W1777" t="s">
        <v>14870</v>
      </c>
      <c r="X1777">
        <v>25</v>
      </c>
      <c r="Y1777" t="s">
        <v>21349</v>
      </c>
      <c r="Z1777" t="s">
        <v>27745</v>
      </c>
      <c r="AA1777">
        <v>0.33337052353218538</v>
      </c>
      <c r="AB1777" t="str">
        <f>HYPERLINK("Melting_Curves/meltCurve_O75400_PRPF40A.pdf", "Melting_Curves/meltCurve_O75400_PRPF40A.pdf")</f>
        <v>Melting_Curves/meltCurve_O75400_PRPF40A.pdf</v>
      </c>
    </row>
    <row r="1778" spans="1:28" x14ac:dyDescent="0.25">
      <c r="A1778" t="s">
        <v>1782</v>
      </c>
      <c r="B1778">
        <v>0.99472303558308395</v>
      </c>
      <c r="C1778">
        <v>0.73509051376571899</v>
      </c>
      <c r="D1778">
        <v>0.82842842574851905</v>
      </c>
      <c r="E1778">
        <v>0.34984283205856398</v>
      </c>
      <c r="F1778">
        <v>0.156859969558345</v>
      </c>
      <c r="G1778">
        <v>0.126750671633615</v>
      </c>
      <c r="H1778">
        <v>5.2384492971016702E-2</v>
      </c>
      <c r="I1778">
        <v>0.15481626095961301</v>
      </c>
      <c r="J1778">
        <v>0.11221950942794499</v>
      </c>
      <c r="K1778">
        <v>0.118409758447101</v>
      </c>
      <c r="L1778">
        <v>849.22768863290503</v>
      </c>
      <c r="M1778">
        <v>18.998017982369198</v>
      </c>
      <c r="N1778">
        <v>45.200143607846002</v>
      </c>
      <c r="O1778">
        <v>44.214413748236197</v>
      </c>
      <c r="P1778">
        <v>-9.7256388316491804E-2</v>
      </c>
      <c r="Q1778">
        <v>9.4650249270671505E-2</v>
      </c>
      <c r="R1778">
        <v>0.94954716191487998</v>
      </c>
      <c r="S1778" t="s">
        <v>8346</v>
      </c>
      <c r="T1778" t="s">
        <v>13134</v>
      </c>
      <c r="U1778" t="s">
        <v>13134</v>
      </c>
      <c r="V1778" t="s">
        <v>13134</v>
      </c>
      <c r="W1778" t="s">
        <v>14871</v>
      </c>
      <c r="X1778">
        <v>7</v>
      </c>
      <c r="Y1778" t="s">
        <v>21350</v>
      </c>
      <c r="Z1778" t="s">
        <v>27746</v>
      </c>
      <c r="AA1778">
        <v>0.34037015401677417</v>
      </c>
      <c r="AB1778" t="str">
        <f>HYPERLINK("Melting_Curves/meltCurve_O75419_2_CDC45.pdf", "Melting_Curves/meltCurve_O75419_2_CDC45.pdf")</f>
        <v>Melting_Curves/meltCurve_O75419_2_CDC45.pdf</v>
      </c>
    </row>
    <row r="1779" spans="1:28" x14ac:dyDescent="0.25">
      <c r="A1779" t="s">
        <v>1783</v>
      </c>
      <c r="B1779">
        <v>0.99472303558308395</v>
      </c>
      <c r="C1779">
        <v>0.93160764505752602</v>
      </c>
      <c r="D1779">
        <v>0.74913578504513101</v>
      </c>
      <c r="E1779">
        <v>0.47799392948678099</v>
      </c>
      <c r="F1779">
        <v>0.22169618689717899</v>
      </c>
      <c r="G1779">
        <v>0.138430534738157</v>
      </c>
      <c r="H1779">
        <v>8.7162853788891603E-2</v>
      </c>
      <c r="I1779">
        <v>7.5958321095163095E-2</v>
      </c>
      <c r="J1779">
        <v>0.14482673541650601</v>
      </c>
      <c r="K1779">
        <v>7.69397066712392E-2</v>
      </c>
      <c r="L1779">
        <v>807.22516345802399</v>
      </c>
      <c r="M1779">
        <v>17.7067766298203</v>
      </c>
      <c r="N1779">
        <v>46.0701777794701</v>
      </c>
      <c r="O1779">
        <v>45.018942052687898</v>
      </c>
      <c r="P1779">
        <v>-9.0025106288559004E-2</v>
      </c>
      <c r="Q1779">
        <v>8.4503763530036899E-2</v>
      </c>
      <c r="R1779">
        <v>0.99598235395682</v>
      </c>
      <c r="S1779" t="s">
        <v>8347</v>
      </c>
      <c r="T1779" t="s">
        <v>13134</v>
      </c>
      <c r="U1779" t="s">
        <v>13134</v>
      </c>
      <c r="V1779" t="s">
        <v>13134</v>
      </c>
      <c r="W1779" t="s">
        <v>14872</v>
      </c>
      <c r="X1779">
        <v>10</v>
      </c>
      <c r="Y1779" t="s">
        <v>21351</v>
      </c>
      <c r="Z1779" t="s">
        <v>27747</v>
      </c>
      <c r="AA1779">
        <v>0.36196209721404271</v>
      </c>
      <c r="AB1779" t="str">
        <f>HYPERLINK("Melting_Curves/meltCurve_O75420_GIGYF1.pdf", "Melting_Curves/meltCurve_O75420_GIGYF1.pdf")</f>
        <v>Melting_Curves/meltCurve_O75420_GIGYF1.pdf</v>
      </c>
    </row>
    <row r="1780" spans="1:28" x14ac:dyDescent="0.25">
      <c r="A1780" t="s">
        <v>1784</v>
      </c>
      <c r="B1780">
        <v>0.99472303558308395</v>
      </c>
      <c r="C1780">
        <v>0.889943529989349</v>
      </c>
      <c r="D1780">
        <v>0.67710091389062399</v>
      </c>
      <c r="E1780">
        <v>0.40287035560144602</v>
      </c>
      <c r="F1780">
        <v>0.18891924367355301</v>
      </c>
      <c r="G1780">
        <v>0.102223505941421</v>
      </c>
      <c r="H1780">
        <v>6.1047693539281203E-2</v>
      </c>
      <c r="I1780">
        <v>2.71461294554847E-2</v>
      </c>
      <c r="J1780">
        <v>4.3958968258232298E-2</v>
      </c>
      <c r="K1780">
        <v>5.1950135000863998E-2</v>
      </c>
      <c r="L1780">
        <v>714.51208728495703</v>
      </c>
      <c r="M1780">
        <v>15.859257704838001</v>
      </c>
      <c r="N1780">
        <v>45.241870466897502</v>
      </c>
      <c r="O1780">
        <v>44.355234675502203</v>
      </c>
      <c r="P1780">
        <v>-8.6535889230052496E-2</v>
      </c>
      <c r="Q1780">
        <v>3.1982943802703799E-2</v>
      </c>
      <c r="R1780">
        <v>0.99877960953580502</v>
      </c>
      <c r="S1780" t="s">
        <v>8348</v>
      </c>
      <c r="T1780" t="s">
        <v>13134</v>
      </c>
      <c r="U1780" t="s">
        <v>13134</v>
      </c>
      <c r="V1780" t="s">
        <v>13134</v>
      </c>
      <c r="W1780" t="s">
        <v>14873</v>
      </c>
      <c r="X1780">
        <v>9</v>
      </c>
      <c r="Y1780" t="s">
        <v>21352</v>
      </c>
      <c r="Z1780" t="s">
        <v>27748</v>
      </c>
      <c r="AA1780">
        <v>0.31239400173970222</v>
      </c>
      <c r="AB1780" t="str">
        <f>HYPERLINK("Melting_Curves/meltCurve_O75427_LRCH4.pdf", "Melting_Curves/meltCurve_O75427_LRCH4.pdf")</f>
        <v>Melting_Curves/meltCurve_O75427_LRCH4.pdf</v>
      </c>
    </row>
    <row r="1781" spans="1:28" x14ac:dyDescent="0.25">
      <c r="A1781" t="s">
        <v>1785</v>
      </c>
      <c r="B1781">
        <v>0.99472303558308395</v>
      </c>
      <c r="C1781">
        <v>0.93049765440417898</v>
      </c>
      <c r="D1781">
        <v>0.87167610629579095</v>
      </c>
      <c r="E1781">
        <v>0.80158711872043598</v>
      </c>
      <c r="F1781">
        <v>0.72544893806062105</v>
      </c>
      <c r="G1781">
        <v>0.419414546234334</v>
      </c>
      <c r="H1781">
        <v>0.23560359712735901</v>
      </c>
      <c r="I1781">
        <v>9.5230487802139996E-2</v>
      </c>
      <c r="J1781">
        <v>0.107446372606054</v>
      </c>
      <c r="K1781">
        <v>0.10000957100416</v>
      </c>
      <c r="L1781">
        <v>654.21436434798795</v>
      </c>
      <c r="M1781">
        <v>12.4506504214306</v>
      </c>
      <c r="N1781">
        <v>52.5446107390162</v>
      </c>
      <c r="O1781">
        <v>51.2443319048757</v>
      </c>
      <c r="P1781">
        <v>-6.0754290072562403E-2</v>
      </c>
      <c r="Q1781">
        <v>0</v>
      </c>
      <c r="R1781">
        <v>0.98378126076896</v>
      </c>
      <c r="S1781" t="s">
        <v>8349</v>
      </c>
      <c r="T1781" t="s">
        <v>13134</v>
      </c>
      <c r="U1781" t="s">
        <v>13134</v>
      </c>
      <c r="V1781" t="s">
        <v>13134</v>
      </c>
      <c r="W1781" t="s">
        <v>14874</v>
      </c>
      <c r="X1781">
        <v>12</v>
      </c>
      <c r="Y1781" t="s">
        <v>21353</v>
      </c>
      <c r="Z1781" t="s">
        <v>27749</v>
      </c>
      <c r="AA1781">
        <v>0.53994888513538286</v>
      </c>
      <c r="AB1781" t="str">
        <f>HYPERLINK("Melting_Curves/meltCurve_O75436_VPS26A.pdf", "Melting_Curves/meltCurve_O75436_VPS26A.pdf")</f>
        <v>Melting_Curves/meltCurve_O75436_VPS26A.pdf</v>
      </c>
    </row>
    <row r="1782" spans="1:28" x14ac:dyDescent="0.25">
      <c r="A1782" t="s">
        <v>1786</v>
      </c>
      <c r="B1782">
        <v>0.99472303558308395</v>
      </c>
      <c r="C1782">
        <v>0.84618195030066201</v>
      </c>
      <c r="D1782">
        <v>0.86953277457689904</v>
      </c>
      <c r="E1782">
        <v>0.79042998527840802</v>
      </c>
      <c r="F1782">
        <v>0.63376316171316205</v>
      </c>
      <c r="G1782">
        <v>0.36254191236321798</v>
      </c>
      <c r="H1782">
        <v>0.19996227446423301</v>
      </c>
      <c r="I1782">
        <v>0.32530318249862999</v>
      </c>
      <c r="J1782">
        <v>0.324317914387173</v>
      </c>
      <c r="K1782">
        <v>0.28844198158836198</v>
      </c>
      <c r="L1782">
        <v>707.64608179455604</v>
      </c>
      <c r="M1782">
        <v>14.4448745225626</v>
      </c>
      <c r="N1782">
        <v>51.434836419898502</v>
      </c>
      <c r="O1782">
        <v>48.079218015793003</v>
      </c>
      <c r="P1782">
        <v>-5.6459143827177399E-2</v>
      </c>
      <c r="Q1782">
        <v>0.24839951839720301</v>
      </c>
      <c r="R1782">
        <v>0.93828096768677904</v>
      </c>
      <c r="S1782" t="s">
        <v>8350</v>
      </c>
      <c r="T1782" t="s">
        <v>13134</v>
      </c>
      <c r="U1782" t="s">
        <v>13134</v>
      </c>
      <c r="V1782" t="s">
        <v>13134</v>
      </c>
      <c r="W1782" t="s">
        <v>14875</v>
      </c>
      <c r="X1782">
        <v>4</v>
      </c>
      <c r="Y1782" t="s">
        <v>21354</v>
      </c>
      <c r="Z1782" t="s">
        <v>27750</v>
      </c>
      <c r="AA1782">
        <v>0.5659216624700516</v>
      </c>
      <c r="AB1782" t="str">
        <f>HYPERLINK("Melting_Curves/meltCurve_O75438_NDUFB1.pdf", "Melting_Curves/meltCurve_O75438_NDUFB1.pdf")</f>
        <v>Melting_Curves/meltCurve_O75438_NDUFB1.pdf</v>
      </c>
    </row>
    <row r="1783" spans="1:28" x14ac:dyDescent="0.25">
      <c r="A1783" t="s">
        <v>1787</v>
      </c>
      <c r="B1783">
        <v>0.99472303558308395</v>
      </c>
      <c r="C1783">
        <v>0.93390701090594797</v>
      </c>
      <c r="D1783">
        <v>0.95332972355352996</v>
      </c>
      <c r="E1783">
        <v>0.84350315542370802</v>
      </c>
      <c r="F1783">
        <v>0.52839092741489102</v>
      </c>
      <c r="G1783">
        <v>0.160112812278281</v>
      </c>
      <c r="H1783">
        <v>6.6763485961901306E-2</v>
      </c>
      <c r="I1783">
        <v>4.6157008122985302E-2</v>
      </c>
      <c r="J1783">
        <v>4.64440581643739E-2</v>
      </c>
      <c r="K1783">
        <v>3.6093458142939898E-2</v>
      </c>
      <c r="L1783">
        <v>1183.27346713473</v>
      </c>
      <c r="M1783">
        <v>23.622713282825401</v>
      </c>
      <c r="N1783">
        <v>50.216691814264799</v>
      </c>
      <c r="O1783">
        <v>49.735678358452397</v>
      </c>
      <c r="P1783">
        <v>-0.115321338799353</v>
      </c>
      <c r="Q1783">
        <v>2.8818005894141401E-2</v>
      </c>
      <c r="R1783">
        <v>0.99593926319867498</v>
      </c>
      <c r="S1783" t="s">
        <v>8351</v>
      </c>
      <c r="T1783" t="s">
        <v>13134</v>
      </c>
      <c r="U1783" t="s">
        <v>13134</v>
      </c>
      <c r="V1783" t="s">
        <v>13134</v>
      </c>
      <c r="W1783" t="s">
        <v>14876</v>
      </c>
      <c r="X1783">
        <v>22</v>
      </c>
      <c r="Y1783" t="s">
        <v>21355</v>
      </c>
      <c r="Z1783" t="s">
        <v>27751</v>
      </c>
      <c r="AA1783">
        <v>0.46205327209305092</v>
      </c>
      <c r="AB1783" t="str">
        <f>HYPERLINK("Melting_Curves/meltCurve_O75439_PMPCB.pdf", "Melting_Curves/meltCurve_O75439_PMPCB.pdf")</f>
        <v>Melting_Curves/meltCurve_O75439_PMPCB.pdf</v>
      </c>
    </row>
    <row r="1784" spans="1:28" x14ac:dyDescent="0.25">
      <c r="A1784" t="s">
        <v>1788</v>
      </c>
      <c r="B1784">
        <v>0.99472303558308395</v>
      </c>
      <c r="C1784">
        <v>0.72267717324542402</v>
      </c>
      <c r="D1784">
        <v>0.57275849207582796</v>
      </c>
      <c r="E1784">
        <v>0.28073115847729901</v>
      </c>
      <c r="F1784">
        <v>0.139909691723799</v>
      </c>
      <c r="G1784">
        <v>0.105817644506959</v>
      </c>
      <c r="H1784">
        <v>3.97668704531534E-2</v>
      </c>
      <c r="I1784">
        <v>4.2190988024547002E-2</v>
      </c>
      <c r="J1784">
        <v>5.92608900139086E-2</v>
      </c>
      <c r="K1784">
        <v>2.9314922077443701E-2</v>
      </c>
      <c r="L1784">
        <v>636.685990984407</v>
      </c>
      <c r="M1784">
        <v>14.6983511330476</v>
      </c>
      <c r="N1784">
        <v>43.520103789612897</v>
      </c>
      <c r="O1784">
        <v>42.538722804762799</v>
      </c>
      <c r="P1784">
        <v>-8.3525626407913098E-2</v>
      </c>
      <c r="Q1784">
        <v>3.3174599196013101E-2</v>
      </c>
      <c r="R1784">
        <v>0.98989350721979097</v>
      </c>
      <c r="S1784" t="s">
        <v>8352</v>
      </c>
      <c r="T1784" t="s">
        <v>13134</v>
      </c>
      <c r="U1784" t="s">
        <v>13134</v>
      </c>
      <c r="V1784" t="s">
        <v>13134</v>
      </c>
      <c r="W1784" t="s">
        <v>14877</v>
      </c>
      <c r="X1784">
        <v>3</v>
      </c>
      <c r="Y1784" t="s">
        <v>21356</v>
      </c>
      <c r="Z1784" t="s">
        <v>27752</v>
      </c>
      <c r="AA1784">
        <v>0.26283720407028899</v>
      </c>
      <c r="AB1784" t="str">
        <f>HYPERLINK("Melting_Curves/meltCurve_O75446_SAP30.pdf", "Melting_Curves/meltCurve_O75446_SAP30.pdf")</f>
        <v>Melting_Curves/meltCurve_O75446_SAP30.pdf</v>
      </c>
    </row>
    <row r="1785" spans="1:28" x14ac:dyDescent="0.25">
      <c r="A1785" t="s">
        <v>1789</v>
      </c>
      <c r="B1785">
        <v>0.99472303558308395</v>
      </c>
      <c r="C1785">
        <v>0.92296131215815902</v>
      </c>
      <c r="D1785">
        <v>0.94326948355760598</v>
      </c>
      <c r="E1785">
        <v>0.77493307878731998</v>
      </c>
      <c r="F1785">
        <v>0.45957480282595797</v>
      </c>
      <c r="G1785">
        <v>0.18055113948318199</v>
      </c>
      <c r="H1785">
        <v>0.111876038050299</v>
      </c>
      <c r="I1785">
        <v>7.4178782776650798E-2</v>
      </c>
      <c r="J1785">
        <v>8.7937413585117793E-2</v>
      </c>
      <c r="K1785">
        <v>6.6471021668655594E-2</v>
      </c>
      <c r="L1785">
        <v>991.06830721630797</v>
      </c>
      <c r="M1785">
        <v>20.121683559465001</v>
      </c>
      <c r="N1785">
        <v>49.575223841179003</v>
      </c>
      <c r="O1785">
        <v>48.775012850602302</v>
      </c>
      <c r="P1785">
        <v>-9.6830158323475093E-2</v>
      </c>
      <c r="Q1785">
        <v>6.1163644616323301E-2</v>
      </c>
      <c r="R1785">
        <v>0.99584588956064801</v>
      </c>
      <c r="S1785" t="s">
        <v>8353</v>
      </c>
      <c r="T1785" t="s">
        <v>13134</v>
      </c>
      <c r="U1785" t="s">
        <v>13134</v>
      </c>
      <c r="V1785" t="s">
        <v>13134</v>
      </c>
      <c r="W1785" t="s">
        <v>14878</v>
      </c>
      <c r="X1785">
        <v>10</v>
      </c>
      <c r="Y1785" t="s">
        <v>21357</v>
      </c>
      <c r="Z1785" t="s">
        <v>27753</v>
      </c>
      <c r="AA1785">
        <v>0.45687640287291331</v>
      </c>
      <c r="AB1785" t="str">
        <f>HYPERLINK("Melting_Curves/meltCurve_O75449_KATNA1.pdf", "Melting_Curves/meltCurve_O75449_KATNA1.pdf")</f>
        <v>Melting_Curves/meltCurve_O75449_KATNA1.pdf</v>
      </c>
    </row>
    <row r="1786" spans="1:28" x14ac:dyDescent="0.25">
      <c r="A1786" t="s">
        <v>1790</v>
      </c>
      <c r="B1786">
        <v>0.99472303558308395</v>
      </c>
      <c r="C1786">
        <v>0.89072677620903395</v>
      </c>
      <c r="D1786">
        <v>0.79892192199739798</v>
      </c>
      <c r="E1786">
        <v>0.52712962891705994</v>
      </c>
      <c r="F1786">
        <v>0.40906145061378102</v>
      </c>
      <c r="G1786">
        <v>0.375453162359211</v>
      </c>
      <c r="H1786">
        <v>0.115363550176451</v>
      </c>
      <c r="I1786">
        <v>0.10397019191939801</v>
      </c>
      <c r="J1786">
        <v>0.13966552541535601</v>
      </c>
      <c r="K1786">
        <v>5.9625187768801199E-2</v>
      </c>
      <c r="L1786">
        <v>485.96309140965298</v>
      </c>
      <c r="M1786">
        <v>10.1021620798874</v>
      </c>
      <c r="N1786">
        <v>48.3435178455371</v>
      </c>
      <c r="O1786">
        <v>46.333988082367803</v>
      </c>
      <c r="P1786">
        <v>-5.3206350911736103E-2</v>
      </c>
      <c r="Q1786">
        <v>2.4324134698944899E-2</v>
      </c>
      <c r="R1786">
        <v>0.978313651674524</v>
      </c>
      <c r="S1786" t="s">
        <v>8354</v>
      </c>
      <c r="T1786" t="s">
        <v>13134</v>
      </c>
      <c r="U1786" t="s">
        <v>13134</v>
      </c>
      <c r="V1786" t="s">
        <v>13134</v>
      </c>
      <c r="W1786" t="s">
        <v>14879</v>
      </c>
      <c r="X1786">
        <v>1</v>
      </c>
      <c r="Y1786" t="s">
        <v>21358</v>
      </c>
      <c r="Z1786" t="s">
        <v>27754</v>
      </c>
      <c r="AA1786">
        <v>0.42386697488004738</v>
      </c>
      <c r="AB1786" t="str">
        <f>HYPERLINK("Melting_Curves/meltCurve_O75452_RDH16.pdf", "Melting_Curves/meltCurve_O75452_RDH16.pdf")</f>
        <v>Melting_Curves/meltCurve_O75452_RDH16.pdf</v>
      </c>
    </row>
    <row r="1787" spans="1:28" x14ac:dyDescent="0.25">
      <c r="A1787" t="s">
        <v>1791</v>
      </c>
      <c r="B1787">
        <v>0.99472303558308395</v>
      </c>
      <c r="C1787">
        <v>1.19789078224331</v>
      </c>
      <c r="D1787">
        <v>1.06362222835176</v>
      </c>
      <c r="E1787">
        <v>1.01106842611895</v>
      </c>
      <c r="F1787">
        <v>0.64231960243338204</v>
      </c>
      <c r="G1787">
        <v>0.43558711206550499</v>
      </c>
      <c r="H1787">
        <v>0.40769477929115</v>
      </c>
      <c r="I1787">
        <v>0.50602216340684703</v>
      </c>
      <c r="J1787">
        <v>0.759416389119702</v>
      </c>
      <c r="K1787">
        <v>0.52066245657211696</v>
      </c>
      <c r="L1787">
        <v>12493.6636596157</v>
      </c>
      <c r="M1787">
        <v>250</v>
      </c>
      <c r="O1787">
        <v>49.971473520048598</v>
      </c>
      <c r="P1787">
        <v>-0.59299279534070304</v>
      </c>
      <c r="Q1787">
        <v>0.52587657999830895</v>
      </c>
      <c r="R1787">
        <v>0.84290918682873905</v>
      </c>
      <c r="S1787" t="s">
        <v>8355</v>
      </c>
      <c r="T1787" t="s">
        <v>13134</v>
      </c>
      <c r="U1787" t="s">
        <v>13134</v>
      </c>
      <c r="V1787" t="s">
        <v>13134</v>
      </c>
      <c r="W1787" t="s">
        <v>14880</v>
      </c>
      <c r="X1787">
        <v>5</v>
      </c>
      <c r="Y1787" t="s">
        <v>21359</v>
      </c>
      <c r="Z1787" t="s">
        <v>27755</v>
      </c>
      <c r="AA1787">
        <v>0.73097108388774223</v>
      </c>
      <c r="AB1787" t="str">
        <f>HYPERLINK("Melting_Curves/meltCurve_O75459_PAGE1.pdf", "Melting_Curves/meltCurve_O75459_PAGE1.pdf")</f>
        <v>Melting_Curves/meltCurve_O75459_PAGE1.pdf</v>
      </c>
    </row>
    <row r="1788" spans="1:28" x14ac:dyDescent="0.25">
      <c r="A1788" t="s">
        <v>1792</v>
      </c>
      <c r="B1788">
        <v>0.99472303558308395</v>
      </c>
      <c r="C1788">
        <v>0.9838959832202</v>
      </c>
      <c r="D1788">
        <v>0.95219029128099197</v>
      </c>
      <c r="E1788">
        <v>0.85095626323610496</v>
      </c>
      <c r="F1788">
        <v>0.50348290040172805</v>
      </c>
      <c r="G1788">
        <v>0.29700472517443099</v>
      </c>
      <c r="H1788">
        <v>0.22298900385175999</v>
      </c>
      <c r="I1788">
        <v>0.20652041795416701</v>
      </c>
      <c r="J1788">
        <v>0.28517974430119197</v>
      </c>
      <c r="K1788">
        <v>0.221624020139401</v>
      </c>
      <c r="L1788">
        <v>1294.3146415687299</v>
      </c>
      <c r="M1788">
        <v>26.386504383070001</v>
      </c>
      <c r="N1788">
        <v>50.216479927341702</v>
      </c>
      <c r="O1788">
        <v>48.773007752863002</v>
      </c>
      <c r="P1788">
        <v>-0.10430543204763</v>
      </c>
      <c r="Q1788">
        <v>0.22881271121088401</v>
      </c>
      <c r="R1788">
        <v>0.99513327890072201</v>
      </c>
      <c r="S1788" t="s">
        <v>8356</v>
      </c>
      <c r="T1788" t="s">
        <v>13134</v>
      </c>
      <c r="U1788" t="s">
        <v>13134</v>
      </c>
      <c r="V1788" t="s">
        <v>13134</v>
      </c>
      <c r="W1788" t="s">
        <v>14881</v>
      </c>
      <c r="X1788">
        <v>23</v>
      </c>
      <c r="Y1788" t="s">
        <v>21360</v>
      </c>
      <c r="Z1788" t="s">
        <v>27756</v>
      </c>
      <c r="AA1788">
        <v>0.54462971715518327</v>
      </c>
      <c r="AB1788" t="str">
        <f>HYPERLINK("Melting_Curves/meltCurve_O75475_PSIP1.pdf", "Melting_Curves/meltCurve_O75475_PSIP1.pdf")</f>
        <v>Melting_Curves/meltCurve_O75475_PSIP1.pdf</v>
      </c>
    </row>
    <row r="1789" spans="1:28" x14ac:dyDescent="0.25">
      <c r="A1789" t="s">
        <v>1793</v>
      </c>
      <c r="B1789">
        <v>0.99472303558308395</v>
      </c>
      <c r="C1789">
        <v>1.03204445305791</v>
      </c>
      <c r="D1789">
        <v>0.69595514397261504</v>
      </c>
      <c r="E1789">
        <v>0.56972937466662199</v>
      </c>
      <c r="F1789">
        <v>0.29325485466947099</v>
      </c>
      <c r="G1789">
        <v>0.121197282696256</v>
      </c>
      <c r="H1789">
        <v>6.8582304450031994E-2</v>
      </c>
      <c r="I1789">
        <v>4.6609525927750799E-2</v>
      </c>
      <c r="J1789">
        <v>6.2226855879051503E-2</v>
      </c>
      <c r="K1789">
        <v>4.9713808487544899E-2</v>
      </c>
      <c r="L1789">
        <v>710.83033883814596</v>
      </c>
      <c r="M1789">
        <v>15.2072730129319</v>
      </c>
      <c r="N1789">
        <v>46.9275392242061</v>
      </c>
      <c r="O1789">
        <v>45.956854204429497</v>
      </c>
      <c r="P1789">
        <v>-8.0329760032683301E-2</v>
      </c>
      <c r="Q1789">
        <v>2.90566095568826E-2</v>
      </c>
      <c r="R1789">
        <v>0.983726639578822</v>
      </c>
      <c r="S1789" t="s">
        <v>8357</v>
      </c>
      <c r="T1789" t="s">
        <v>13134</v>
      </c>
      <c r="U1789" t="s">
        <v>13134</v>
      </c>
      <c r="V1789" t="s">
        <v>13134</v>
      </c>
      <c r="W1789" t="s">
        <v>14882</v>
      </c>
      <c r="X1789">
        <v>10</v>
      </c>
      <c r="Y1789" t="s">
        <v>21361</v>
      </c>
      <c r="Z1789" t="s">
        <v>27757</v>
      </c>
      <c r="AA1789">
        <v>0.36582215378203808</v>
      </c>
      <c r="AB1789" t="str">
        <f>HYPERLINK("Melting_Curves/meltCurve_O75477_ERLIN1.pdf", "Melting_Curves/meltCurve_O75477_ERLIN1.pdf")</f>
        <v>Melting_Curves/meltCurve_O75477_ERLIN1.pdf</v>
      </c>
    </row>
    <row r="1790" spans="1:28" x14ac:dyDescent="0.25">
      <c r="A1790" t="s">
        <v>1794</v>
      </c>
      <c r="B1790">
        <v>0.99472303558308395</v>
      </c>
      <c r="C1790">
        <v>1.0051439605474899</v>
      </c>
      <c r="D1790">
        <v>0.81148129309678396</v>
      </c>
      <c r="E1790">
        <v>0.705302087657527</v>
      </c>
      <c r="F1790">
        <v>0.51785499594045303</v>
      </c>
      <c r="G1790">
        <v>0.25450133136396802</v>
      </c>
      <c r="H1790">
        <v>0.16268692491011999</v>
      </c>
      <c r="I1790">
        <v>9.9735533253765302E-2</v>
      </c>
      <c r="J1790">
        <v>9.3026073036826404E-2</v>
      </c>
      <c r="K1790">
        <v>6.7256271822451794E-2</v>
      </c>
      <c r="L1790">
        <v>625.89304387960306</v>
      </c>
      <c r="M1790">
        <v>12.6295872622135</v>
      </c>
      <c r="N1790">
        <v>49.762439975451002</v>
      </c>
      <c r="O1790">
        <v>48.364468506910903</v>
      </c>
      <c r="P1790">
        <v>-6.3642988862672598E-2</v>
      </c>
      <c r="Q1790">
        <v>2.5320181574258301E-2</v>
      </c>
      <c r="R1790">
        <v>0.99222496748393496</v>
      </c>
      <c r="S1790" t="s">
        <v>8358</v>
      </c>
      <c r="T1790" t="s">
        <v>13134</v>
      </c>
      <c r="U1790" t="s">
        <v>13134</v>
      </c>
      <c r="V1790" t="s">
        <v>13134</v>
      </c>
      <c r="W1790" t="s">
        <v>14883</v>
      </c>
      <c r="X1790">
        <v>12</v>
      </c>
      <c r="Y1790" t="s">
        <v>21362</v>
      </c>
      <c r="Z1790" t="s">
        <v>27758</v>
      </c>
      <c r="AA1790">
        <v>0.45959729626524759</v>
      </c>
      <c r="AB1790" t="str">
        <f>HYPERLINK("Melting_Curves/meltCurve_O75489_NDUFS3.pdf", "Melting_Curves/meltCurve_O75489_NDUFS3.pdf")</f>
        <v>Melting_Curves/meltCurve_O75489_NDUFS3.pdf</v>
      </c>
    </row>
    <row r="1791" spans="1:28" x14ac:dyDescent="0.25">
      <c r="A1791" t="s">
        <v>1795</v>
      </c>
      <c r="B1791">
        <v>0.99472303558308395</v>
      </c>
      <c r="C1791">
        <v>0.969887662400856</v>
      </c>
      <c r="D1791">
        <v>0.92444184435508003</v>
      </c>
      <c r="E1791">
        <v>0.86267270603512702</v>
      </c>
      <c r="F1791">
        <v>0.73870903858581205</v>
      </c>
      <c r="G1791">
        <v>0.44005430779877702</v>
      </c>
      <c r="H1791">
        <v>0.20696492066684999</v>
      </c>
      <c r="I1791">
        <v>9.8541647157294202E-2</v>
      </c>
      <c r="J1791">
        <v>0.13483962184842299</v>
      </c>
      <c r="K1791">
        <v>0.133721778563657</v>
      </c>
      <c r="L1791">
        <v>937.43406816228799</v>
      </c>
      <c r="M1791">
        <v>17.935308486650001</v>
      </c>
      <c r="N1791">
        <v>52.791994033115003</v>
      </c>
      <c r="O1791">
        <v>51.630722827550898</v>
      </c>
      <c r="P1791">
        <v>-7.9761201666322598E-2</v>
      </c>
      <c r="Q1791">
        <v>8.1605256600287293E-2</v>
      </c>
      <c r="R1791">
        <v>0.99083410935105298</v>
      </c>
      <c r="S1791" t="s">
        <v>8359</v>
      </c>
      <c r="T1791" t="s">
        <v>13134</v>
      </c>
      <c r="U1791" t="s">
        <v>13134</v>
      </c>
      <c r="V1791" t="s">
        <v>13134</v>
      </c>
      <c r="W1791" t="s">
        <v>14884</v>
      </c>
      <c r="X1791">
        <v>4</v>
      </c>
      <c r="Y1791" t="s">
        <v>21363</v>
      </c>
      <c r="Z1791" t="s">
        <v>27759</v>
      </c>
      <c r="AA1791">
        <v>0.56282456444092988</v>
      </c>
      <c r="AB1791" t="str">
        <f>HYPERLINK("Melting_Curves/meltCurve_O75503_CLN5.pdf", "Melting_Curves/meltCurve_O75503_CLN5.pdf")</f>
        <v>Melting_Curves/meltCurve_O75503_CLN5.pdf</v>
      </c>
    </row>
    <row r="1792" spans="1:28" x14ac:dyDescent="0.25">
      <c r="A1792" t="s">
        <v>1796</v>
      </c>
      <c r="B1792">
        <v>0.99472303558308395</v>
      </c>
      <c r="C1792">
        <v>1.07168902904039</v>
      </c>
      <c r="D1792">
        <v>0.96136235205873199</v>
      </c>
      <c r="E1792">
        <v>0.902327464116085</v>
      </c>
      <c r="F1792">
        <v>0.85894194571384697</v>
      </c>
      <c r="G1792">
        <v>0.65517695857923197</v>
      </c>
      <c r="H1792">
        <v>0.60023657413565101</v>
      </c>
      <c r="I1792">
        <v>0.579759906523163</v>
      </c>
      <c r="J1792">
        <v>0.71737029850437395</v>
      </c>
      <c r="K1792">
        <v>0.67994119509188</v>
      </c>
      <c r="L1792">
        <v>1309.36858727197</v>
      </c>
      <c r="M1792">
        <v>26.1669651618564</v>
      </c>
      <c r="O1792">
        <v>49.749485558158703</v>
      </c>
      <c r="P1792">
        <v>-4.76111663986779E-2</v>
      </c>
      <c r="Q1792">
        <v>0.63792446806330505</v>
      </c>
      <c r="R1792">
        <v>0.90608022289631296</v>
      </c>
      <c r="S1792" t="s">
        <v>8360</v>
      </c>
      <c r="T1792" t="s">
        <v>13134</v>
      </c>
      <c r="U1792" t="s">
        <v>13134</v>
      </c>
      <c r="V1792" t="s">
        <v>13134</v>
      </c>
      <c r="W1792" t="s">
        <v>14885</v>
      </c>
      <c r="X1792">
        <v>5</v>
      </c>
      <c r="Y1792" t="s">
        <v>21364</v>
      </c>
      <c r="Z1792" t="s">
        <v>27760</v>
      </c>
      <c r="AA1792">
        <v>0.79819724704292816</v>
      </c>
      <c r="AB1792" t="str">
        <f>HYPERLINK("Melting_Curves/meltCurve_O75506_HSBP1.pdf", "Melting_Curves/meltCurve_O75506_HSBP1.pdf")</f>
        <v>Melting_Curves/meltCurve_O75506_HSBP1.pdf</v>
      </c>
    </row>
    <row r="1793" spans="1:28" x14ac:dyDescent="0.25">
      <c r="A1793" t="s">
        <v>1797</v>
      </c>
      <c r="B1793">
        <v>0.99472303558308395</v>
      </c>
      <c r="C1793">
        <v>1.0081202081204299</v>
      </c>
      <c r="D1793">
        <v>0.93891112235209295</v>
      </c>
      <c r="E1793">
        <v>0.87125298251617</v>
      </c>
      <c r="F1793">
        <v>0.70161710683977896</v>
      </c>
      <c r="G1793">
        <v>0.41152972640879698</v>
      </c>
      <c r="H1793">
        <v>0.244567733758493</v>
      </c>
      <c r="I1793">
        <v>0.12215131409107501</v>
      </c>
      <c r="J1793">
        <v>5.9987478781820501E-2</v>
      </c>
      <c r="K1793">
        <v>6.5580506912799097E-2</v>
      </c>
      <c r="L1793">
        <v>791.687624723525</v>
      </c>
      <c r="M1793">
        <v>15.032568319473899</v>
      </c>
      <c r="N1793">
        <v>52.755271552949999</v>
      </c>
      <c r="O1793">
        <v>51.759216448913499</v>
      </c>
      <c r="P1793">
        <v>-7.1691805792892097E-2</v>
      </c>
      <c r="Q1793">
        <v>1.27196006318946E-2</v>
      </c>
      <c r="R1793">
        <v>0.99831608222346802</v>
      </c>
      <c r="S1793" t="s">
        <v>8361</v>
      </c>
      <c r="T1793" t="s">
        <v>13134</v>
      </c>
      <c r="U1793" t="s">
        <v>13134</v>
      </c>
      <c r="V1793" t="s">
        <v>13134</v>
      </c>
      <c r="W1793" t="s">
        <v>14886</v>
      </c>
      <c r="X1793">
        <v>18</v>
      </c>
      <c r="Y1793" t="s">
        <v>21365</v>
      </c>
      <c r="Z1793" t="s">
        <v>27761</v>
      </c>
      <c r="AA1793">
        <v>0.54628184628753862</v>
      </c>
      <c r="AB1793" t="str">
        <f>HYPERLINK("Melting_Curves/meltCurve_O75521_2_ECI2.pdf", "Melting_Curves/meltCurve_O75521_2_ECI2.pdf")</f>
        <v>Melting_Curves/meltCurve_O75521_2_ECI2.pdf</v>
      </c>
    </row>
    <row r="1794" spans="1:28" x14ac:dyDescent="0.25">
      <c r="A1794" t="s">
        <v>1798</v>
      </c>
      <c r="B1794">
        <v>0.99472303558308395</v>
      </c>
      <c r="C1794">
        <v>0.96789578759746198</v>
      </c>
      <c r="D1794">
        <v>0.880288581494582</v>
      </c>
      <c r="E1794">
        <v>0.78381562407109395</v>
      </c>
      <c r="F1794">
        <v>0.59030100590027501</v>
      </c>
      <c r="G1794">
        <v>0.299217045868794</v>
      </c>
      <c r="H1794">
        <v>0.17226571787869799</v>
      </c>
      <c r="I1794">
        <v>9.5278016198506399E-2</v>
      </c>
      <c r="J1794">
        <v>0.16213519973451801</v>
      </c>
      <c r="K1794">
        <v>0.11481099458813999</v>
      </c>
      <c r="L1794">
        <v>771.45725867339002</v>
      </c>
      <c r="M1794">
        <v>15.3674730832387</v>
      </c>
      <c r="N1794">
        <v>50.7899152989445</v>
      </c>
      <c r="O1794">
        <v>49.373625349426398</v>
      </c>
      <c r="P1794">
        <v>-7.14653152439228E-2</v>
      </c>
      <c r="Q1794">
        <v>8.1650643629949601E-2</v>
      </c>
      <c r="R1794">
        <v>0.99105224472567199</v>
      </c>
      <c r="S1794" t="s">
        <v>8362</v>
      </c>
      <c r="T1794" t="s">
        <v>13134</v>
      </c>
      <c r="U1794" t="s">
        <v>13134</v>
      </c>
      <c r="V1794" t="s">
        <v>13134</v>
      </c>
      <c r="W1794" t="s">
        <v>14887</v>
      </c>
      <c r="X1794">
        <v>12</v>
      </c>
      <c r="Y1794" t="s">
        <v>21366</v>
      </c>
      <c r="Z1794" t="s">
        <v>27762</v>
      </c>
      <c r="AA1794">
        <v>0.50416148672137806</v>
      </c>
      <c r="AB1794" t="str">
        <f>HYPERLINK("Melting_Curves/meltCurve_O75528_TADA3.pdf", "Melting_Curves/meltCurve_O75528_TADA3.pdf")</f>
        <v>Melting_Curves/meltCurve_O75528_TADA3.pdf</v>
      </c>
    </row>
    <row r="1795" spans="1:28" x14ac:dyDescent="0.25">
      <c r="A1795" t="s">
        <v>1799</v>
      </c>
      <c r="B1795">
        <v>0.99472303558308395</v>
      </c>
      <c r="C1795">
        <v>0.97861173300053195</v>
      </c>
      <c r="D1795">
        <v>0.79974531022662398</v>
      </c>
      <c r="E1795">
        <v>0.71903723553154897</v>
      </c>
      <c r="F1795">
        <v>0.50155011227314195</v>
      </c>
      <c r="G1795">
        <v>0.132386276440216</v>
      </c>
      <c r="H1795">
        <v>7.5532812877969299E-2</v>
      </c>
      <c r="I1795">
        <v>4.8640259115001402E-2</v>
      </c>
      <c r="J1795">
        <v>5.4218355167883397E-2</v>
      </c>
      <c r="K1795">
        <v>4.8655473207307599E-2</v>
      </c>
      <c r="L1795">
        <v>737.73279489077197</v>
      </c>
      <c r="M1795">
        <v>15.010912318991201</v>
      </c>
      <c r="N1795">
        <v>49.155046735250401</v>
      </c>
      <c r="O1795">
        <v>48.298955849156499</v>
      </c>
      <c r="P1795">
        <v>-7.7603868688391101E-2</v>
      </c>
      <c r="Q1795">
        <v>1.3110731929792999E-3</v>
      </c>
      <c r="R1795">
        <v>0.98307607798945995</v>
      </c>
      <c r="S1795" t="s">
        <v>8363</v>
      </c>
      <c r="T1795" t="s">
        <v>13134</v>
      </c>
      <c r="U1795" t="s">
        <v>13134</v>
      </c>
      <c r="V1795" t="s">
        <v>13134</v>
      </c>
      <c r="W1795" t="s">
        <v>14888</v>
      </c>
      <c r="X1795">
        <v>6</v>
      </c>
      <c r="Y1795" t="s">
        <v>21367</v>
      </c>
      <c r="Z1795" t="s">
        <v>27763</v>
      </c>
      <c r="AA1795">
        <v>0.42703985523813598</v>
      </c>
      <c r="AB1795" t="str">
        <f>HYPERLINK("Melting_Curves/meltCurve_O75530_3_EED.pdf", "Melting_Curves/meltCurve_O75530_3_EED.pdf")</f>
        <v>Melting_Curves/meltCurve_O75530_3_EED.pdf</v>
      </c>
    </row>
    <row r="1796" spans="1:28" x14ac:dyDescent="0.25">
      <c r="A1796" t="s">
        <v>1800</v>
      </c>
      <c r="B1796">
        <v>0.99472303558308395</v>
      </c>
      <c r="C1796">
        <v>0.998056493071521</v>
      </c>
      <c r="D1796">
        <v>1.3133927943928301</v>
      </c>
      <c r="E1796">
        <v>3.9597991203032299</v>
      </c>
      <c r="F1796">
        <v>3.1343187522561</v>
      </c>
      <c r="G1796">
        <v>2.13192012921093</v>
      </c>
      <c r="H1796">
        <v>0.76896091893118601</v>
      </c>
      <c r="I1796">
        <v>0.36879437383477598</v>
      </c>
      <c r="J1796">
        <v>0.42269566340978698</v>
      </c>
      <c r="K1796">
        <v>0.32160129847171298</v>
      </c>
      <c r="L1796">
        <v>14381.2079121878</v>
      </c>
      <c r="M1796">
        <v>250</v>
      </c>
      <c r="N1796">
        <v>57.8383206296309</v>
      </c>
      <c r="O1796">
        <v>57.521149186703497</v>
      </c>
      <c r="P1796">
        <v>-0.683411346015385</v>
      </c>
      <c r="Q1796">
        <v>0.37103029117581698</v>
      </c>
      <c r="R1796">
        <v>-5.0627987703782101E-2</v>
      </c>
      <c r="S1796" t="s">
        <v>8364</v>
      </c>
      <c r="T1796" t="s">
        <v>13134</v>
      </c>
      <c r="U1796" t="s">
        <v>13134</v>
      </c>
      <c r="V1796" t="s">
        <v>13134</v>
      </c>
      <c r="W1796" t="s">
        <v>14889</v>
      </c>
      <c r="X1796">
        <v>9</v>
      </c>
      <c r="Y1796" t="s">
        <v>21368</v>
      </c>
      <c r="Z1796" t="s">
        <v>27764</v>
      </c>
      <c r="AA1796">
        <v>0.80141036845467883</v>
      </c>
      <c r="AB1796" t="str">
        <f>HYPERLINK("Melting_Curves/meltCurve_O75531_BANF1.pdf", "Melting_Curves/meltCurve_O75531_BANF1.pdf")</f>
        <v>Melting_Curves/meltCurve_O75531_BANF1.pdf</v>
      </c>
    </row>
    <row r="1797" spans="1:28" x14ac:dyDescent="0.25">
      <c r="A1797" t="s">
        <v>1801</v>
      </c>
      <c r="B1797">
        <v>0.99472303558308395</v>
      </c>
      <c r="C1797">
        <v>0.85928423108640495</v>
      </c>
      <c r="D1797">
        <v>0.65393268004310101</v>
      </c>
      <c r="E1797">
        <v>0.43691030038888901</v>
      </c>
      <c r="F1797">
        <v>0.21627865207378599</v>
      </c>
      <c r="G1797">
        <v>8.7622914972970506E-2</v>
      </c>
      <c r="H1797">
        <v>5.2113899761508799E-2</v>
      </c>
      <c r="I1797">
        <v>4.1291668178266197E-2</v>
      </c>
      <c r="J1797">
        <v>4.9325703691288997E-2</v>
      </c>
      <c r="K1797">
        <v>4.0404144537887599E-2</v>
      </c>
      <c r="L1797">
        <v>637.67810963257205</v>
      </c>
      <c r="M1797">
        <v>14.1093759961143</v>
      </c>
      <c r="N1797">
        <v>45.323226531843602</v>
      </c>
      <c r="O1797">
        <v>44.316521621363997</v>
      </c>
      <c r="P1797">
        <v>-7.8051142905666102E-2</v>
      </c>
      <c r="Q1797">
        <v>1.9514104812337799E-2</v>
      </c>
      <c r="R1797">
        <v>0.99667705005221996</v>
      </c>
      <c r="S1797" t="s">
        <v>8365</v>
      </c>
      <c r="T1797" t="s">
        <v>13134</v>
      </c>
      <c r="U1797" t="s">
        <v>13134</v>
      </c>
      <c r="V1797" t="s">
        <v>13134</v>
      </c>
      <c r="W1797" t="s">
        <v>14890</v>
      </c>
      <c r="X1797">
        <v>43</v>
      </c>
      <c r="Y1797" t="s">
        <v>21369</v>
      </c>
      <c r="Z1797" t="s">
        <v>27765</v>
      </c>
      <c r="AA1797">
        <v>0.31346578688892413</v>
      </c>
      <c r="AB1797" t="str">
        <f>HYPERLINK("Melting_Curves/meltCurve_O75533_SF3B1.pdf", "Melting_Curves/meltCurve_O75533_SF3B1.pdf")</f>
        <v>Melting_Curves/meltCurve_O75533_SF3B1.pdf</v>
      </c>
    </row>
    <row r="1798" spans="1:28" x14ac:dyDescent="0.25">
      <c r="A1798" t="s">
        <v>1802</v>
      </c>
      <c r="B1798">
        <v>0.99472303558308395</v>
      </c>
      <c r="C1798">
        <v>0.91228154474210899</v>
      </c>
      <c r="D1798">
        <v>0.85340396360315696</v>
      </c>
      <c r="E1798">
        <v>0.32999667285004602</v>
      </c>
      <c r="F1798">
        <v>0.113181952471548</v>
      </c>
      <c r="G1798">
        <v>6.6926950649545902E-2</v>
      </c>
      <c r="H1798">
        <v>4.7226447607705301E-2</v>
      </c>
      <c r="I1798">
        <v>3.9614982202676903E-2</v>
      </c>
      <c r="J1798">
        <v>4.9606510965223997E-2</v>
      </c>
      <c r="K1798">
        <v>3.48384740424134E-2</v>
      </c>
      <c r="L1798">
        <v>1290.0524343460399</v>
      </c>
      <c r="M1798">
        <v>28.475230602981199</v>
      </c>
      <c r="N1798">
        <v>45.457603616143302</v>
      </c>
      <c r="O1798">
        <v>45.082699611960798</v>
      </c>
      <c r="P1798">
        <v>-0.150680697939371</v>
      </c>
      <c r="Q1798">
        <v>4.5761830939608901E-2</v>
      </c>
      <c r="R1798">
        <v>0.99612794174396102</v>
      </c>
      <c r="S1798" t="s">
        <v>8366</v>
      </c>
      <c r="T1798" t="s">
        <v>13134</v>
      </c>
      <c r="U1798" t="s">
        <v>13134</v>
      </c>
      <c r="V1798" t="s">
        <v>13134</v>
      </c>
      <c r="W1798" t="s">
        <v>14891</v>
      </c>
      <c r="X1798">
        <v>42</v>
      </c>
      <c r="Y1798" t="s">
        <v>21370</v>
      </c>
      <c r="Z1798" t="s">
        <v>27766</v>
      </c>
      <c r="AA1798">
        <v>0.31589860513175222</v>
      </c>
      <c r="AB1798" t="str">
        <f>HYPERLINK("Melting_Curves/meltCurve_O75534_CSDE1.pdf", "Melting_Curves/meltCurve_O75534_CSDE1.pdf")</f>
        <v>Melting_Curves/meltCurve_O75534_CSDE1.pdf</v>
      </c>
    </row>
    <row r="1799" spans="1:28" x14ac:dyDescent="0.25">
      <c r="A1799" t="s">
        <v>1803</v>
      </c>
      <c r="B1799">
        <v>0.99472303558308395</v>
      </c>
      <c r="C1799">
        <v>0.93140739426625996</v>
      </c>
      <c r="D1799">
        <v>0.72490826963840704</v>
      </c>
      <c r="E1799">
        <v>0.61791552064461996</v>
      </c>
      <c r="F1799">
        <v>0.52316502560531497</v>
      </c>
      <c r="G1799">
        <v>0.35598026376776198</v>
      </c>
      <c r="H1799">
        <v>0.27735717025131901</v>
      </c>
      <c r="I1799">
        <v>0.22551774390527499</v>
      </c>
      <c r="J1799">
        <v>0.27568032421346</v>
      </c>
      <c r="K1799">
        <v>0.22931956038274801</v>
      </c>
      <c r="L1799">
        <v>500.16153792899502</v>
      </c>
      <c r="M1799">
        <v>10.6129323001892</v>
      </c>
      <c r="N1799">
        <v>49.419480364943098</v>
      </c>
      <c r="O1799">
        <v>45.546672441290902</v>
      </c>
      <c r="P1799">
        <v>-4.6949278824244101E-2</v>
      </c>
      <c r="Q1799">
        <v>0.19435815626410699</v>
      </c>
      <c r="R1799">
        <v>0.98416176801267796</v>
      </c>
      <c r="S1799" t="s">
        <v>8367</v>
      </c>
      <c r="T1799" t="s">
        <v>13134</v>
      </c>
      <c r="U1799" t="s">
        <v>13134</v>
      </c>
      <c r="V1799" t="s">
        <v>13134</v>
      </c>
      <c r="W1799" t="s">
        <v>14892</v>
      </c>
      <c r="X1799">
        <v>5</v>
      </c>
      <c r="Y1799" t="s">
        <v>21371</v>
      </c>
      <c r="Z1799" t="s">
        <v>27767</v>
      </c>
      <c r="AA1799">
        <v>0.49800872924754819</v>
      </c>
      <c r="AB1799" t="str">
        <f>HYPERLINK("Melting_Curves/meltCurve_O75554_WBP4.pdf", "Melting_Curves/meltCurve_O75554_WBP4.pdf")</f>
        <v>Melting_Curves/meltCurve_O75554_WBP4.pdf</v>
      </c>
    </row>
    <row r="1800" spans="1:28" x14ac:dyDescent="0.25">
      <c r="A1800" t="s">
        <v>1804</v>
      </c>
      <c r="B1800">
        <v>0.99472303558308395</v>
      </c>
      <c r="C1800">
        <v>0.93364872485989403</v>
      </c>
      <c r="D1800">
        <v>0.86847909480461705</v>
      </c>
      <c r="E1800">
        <v>0.60994173618467495</v>
      </c>
      <c r="F1800">
        <v>0.24639714458027401</v>
      </c>
      <c r="G1800">
        <v>0.103955563055644</v>
      </c>
      <c r="H1800">
        <v>8.0736089614541096E-2</v>
      </c>
      <c r="I1800">
        <v>5.4389451658747097E-2</v>
      </c>
      <c r="J1800">
        <v>5.6468976179493202E-2</v>
      </c>
      <c r="K1800">
        <v>7.1229605538459695E-2</v>
      </c>
      <c r="L1800">
        <v>970.12461488179702</v>
      </c>
      <c r="M1800">
        <v>20.574564065863701</v>
      </c>
      <c r="N1800">
        <v>47.4007393263945</v>
      </c>
      <c r="O1800">
        <v>46.712990965420701</v>
      </c>
      <c r="P1800">
        <v>-0.10447252907992299</v>
      </c>
      <c r="Q1800">
        <v>5.1239710888643798E-2</v>
      </c>
      <c r="R1800">
        <v>0.99732793279110299</v>
      </c>
      <c r="S1800" t="s">
        <v>8368</v>
      </c>
      <c r="T1800" t="s">
        <v>13134</v>
      </c>
      <c r="U1800" t="s">
        <v>13134</v>
      </c>
      <c r="V1800" t="s">
        <v>13134</v>
      </c>
      <c r="W1800" t="s">
        <v>14893</v>
      </c>
      <c r="X1800">
        <v>3</v>
      </c>
      <c r="Y1800" t="s">
        <v>21372</v>
      </c>
      <c r="Z1800" t="s">
        <v>27768</v>
      </c>
      <c r="AA1800">
        <v>0.38404723014158237</v>
      </c>
      <c r="AB1800" t="str">
        <f>HYPERLINK("Melting_Curves/meltCurve_O75570_MTRF1.pdf", "Melting_Curves/meltCurve_O75570_MTRF1.pdf")</f>
        <v>Melting_Curves/meltCurve_O75570_MTRF1.pdf</v>
      </c>
    </row>
    <row r="1801" spans="1:28" x14ac:dyDescent="0.25">
      <c r="A1801" t="s">
        <v>1805</v>
      </c>
      <c r="B1801">
        <v>0.99472303558308395</v>
      </c>
      <c r="C1801">
        <v>0.91228390297131701</v>
      </c>
      <c r="D1801">
        <v>0.83373610374111595</v>
      </c>
      <c r="E1801">
        <v>0.68260067299196203</v>
      </c>
      <c r="F1801">
        <v>0.429399061786222</v>
      </c>
      <c r="G1801">
        <v>0.28969681772511502</v>
      </c>
      <c r="H1801">
        <v>0.145477212074231</v>
      </c>
      <c r="I1801">
        <v>7.5712442261112997E-2</v>
      </c>
      <c r="J1801">
        <v>0.132486740027006</v>
      </c>
      <c r="K1801">
        <v>6.5407315786672304E-2</v>
      </c>
      <c r="L1801">
        <v>595.36044224861598</v>
      </c>
      <c r="M1801">
        <v>12.180461112479</v>
      </c>
      <c r="N1801">
        <v>49.161076373648598</v>
      </c>
      <c r="O1801">
        <v>47.616829345869299</v>
      </c>
      <c r="P1801">
        <v>-6.1801001934871799E-2</v>
      </c>
      <c r="Q1801">
        <v>3.3830211464263897E-2</v>
      </c>
      <c r="R1801">
        <v>0.99462983185159803</v>
      </c>
      <c r="S1801" t="s">
        <v>8369</v>
      </c>
      <c r="T1801" t="s">
        <v>13134</v>
      </c>
      <c r="U1801" t="s">
        <v>13134</v>
      </c>
      <c r="V1801" t="s">
        <v>13134</v>
      </c>
      <c r="W1801" t="s">
        <v>14894</v>
      </c>
      <c r="X1801">
        <v>4</v>
      </c>
      <c r="Y1801" t="s">
        <v>21373</v>
      </c>
      <c r="Z1801" t="s">
        <v>27769</v>
      </c>
      <c r="AA1801">
        <v>0.44470876471585741</v>
      </c>
      <c r="AB1801" t="str">
        <f>HYPERLINK("Melting_Curves/meltCurve_O75600_GCAT.pdf", "Melting_Curves/meltCurve_O75600_GCAT.pdf")</f>
        <v>Melting_Curves/meltCurve_O75600_GCAT.pdf</v>
      </c>
    </row>
    <row r="1802" spans="1:28" x14ac:dyDescent="0.25">
      <c r="A1802" t="s">
        <v>1806</v>
      </c>
      <c r="B1802">
        <v>0.99472303558308395</v>
      </c>
      <c r="C1802">
        <v>1.1674346081598601</v>
      </c>
      <c r="D1802">
        <v>1.00538183829043</v>
      </c>
      <c r="E1802">
        <v>1.01020693276225</v>
      </c>
      <c r="F1802">
        <v>0.73667332286826603</v>
      </c>
      <c r="G1802">
        <v>0.51703457717972801</v>
      </c>
      <c r="H1802">
        <v>0.27885228138394802</v>
      </c>
      <c r="I1802">
        <v>0.35613946431117999</v>
      </c>
      <c r="J1802">
        <v>0.54768606003576203</v>
      </c>
      <c r="K1802">
        <v>0.25588573021911898</v>
      </c>
      <c r="L1802">
        <v>1625.69751618749</v>
      </c>
      <c r="M1802">
        <v>31.864924549303801</v>
      </c>
      <c r="N1802">
        <v>53.183930170468301</v>
      </c>
      <c r="O1802">
        <v>50.818731258846498</v>
      </c>
      <c r="P1802">
        <v>-9.97943249477551E-2</v>
      </c>
      <c r="Q1802">
        <v>0.36338846745907499</v>
      </c>
      <c r="R1802">
        <v>0.91491385910353396</v>
      </c>
      <c r="S1802" t="s">
        <v>8370</v>
      </c>
      <c r="T1802" t="s">
        <v>13134</v>
      </c>
      <c r="U1802" t="s">
        <v>13134</v>
      </c>
      <c r="V1802" t="s">
        <v>13134</v>
      </c>
      <c r="W1802" t="s">
        <v>14895</v>
      </c>
      <c r="X1802">
        <v>3</v>
      </c>
      <c r="Y1802" t="s">
        <v>21374</v>
      </c>
      <c r="Z1802" t="s">
        <v>27770</v>
      </c>
      <c r="AA1802">
        <v>0.66438944116726928</v>
      </c>
      <c r="AB1802" t="str">
        <f>HYPERLINK("Melting_Curves/meltCurve_O75607_NPM3.pdf", "Melting_Curves/meltCurve_O75607_NPM3.pdf")</f>
        <v>Melting_Curves/meltCurve_O75607_NPM3.pdf</v>
      </c>
    </row>
    <row r="1803" spans="1:28" x14ac:dyDescent="0.25">
      <c r="A1803" t="s">
        <v>1807</v>
      </c>
      <c r="B1803">
        <v>0.99472303558308395</v>
      </c>
      <c r="C1803">
        <v>1.0147344266770699</v>
      </c>
      <c r="D1803">
        <v>1.0522818427998</v>
      </c>
      <c r="E1803">
        <v>0.99111293735421802</v>
      </c>
      <c r="F1803">
        <v>0.81190807636627804</v>
      </c>
      <c r="G1803">
        <v>0.62826191215323302</v>
      </c>
      <c r="H1803">
        <v>0.22350837256020401</v>
      </c>
      <c r="I1803">
        <v>7.8105672401851095E-2</v>
      </c>
      <c r="J1803">
        <v>8.0884681933873395E-2</v>
      </c>
      <c r="K1803">
        <v>7.8460257095082503E-2</v>
      </c>
      <c r="L1803">
        <v>1273.07697439962</v>
      </c>
      <c r="M1803">
        <v>23.444676348934799</v>
      </c>
      <c r="N1803">
        <v>54.508047634273602</v>
      </c>
      <c r="O1803">
        <v>53.910894089541799</v>
      </c>
      <c r="P1803">
        <v>-0.104096609724054</v>
      </c>
      <c r="Q1803">
        <v>4.2538661624893101E-2</v>
      </c>
      <c r="R1803">
        <v>0.99213528255307604</v>
      </c>
      <c r="S1803" t="s">
        <v>8371</v>
      </c>
      <c r="T1803" t="s">
        <v>13134</v>
      </c>
      <c r="U1803" t="s">
        <v>13134</v>
      </c>
      <c r="V1803" t="s">
        <v>13134</v>
      </c>
      <c r="W1803" t="s">
        <v>14896</v>
      </c>
      <c r="X1803">
        <v>8</v>
      </c>
      <c r="Y1803" t="s">
        <v>21375</v>
      </c>
      <c r="Z1803" t="s">
        <v>27771</v>
      </c>
      <c r="AA1803">
        <v>0.6038855153271484</v>
      </c>
      <c r="AB1803" t="str">
        <f>HYPERLINK("Melting_Curves/meltCurve_O75608_2_LYPLA1.pdf", "Melting_Curves/meltCurve_O75608_2_LYPLA1.pdf")</f>
        <v>Melting_Curves/meltCurve_O75608_2_LYPLA1.pdf</v>
      </c>
    </row>
    <row r="1804" spans="1:28" x14ac:dyDescent="0.25">
      <c r="A1804" t="s">
        <v>1808</v>
      </c>
      <c r="B1804">
        <v>0.99472303558308395</v>
      </c>
      <c r="C1804">
        <v>0.89555903432513195</v>
      </c>
      <c r="D1804">
        <v>0.88859637676762004</v>
      </c>
      <c r="E1804">
        <v>0.57876925834546</v>
      </c>
      <c r="F1804">
        <v>0.196418767087989</v>
      </c>
      <c r="G1804">
        <v>0.104354802882377</v>
      </c>
      <c r="H1804">
        <v>7.69018600374404E-2</v>
      </c>
      <c r="I1804">
        <v>4.4080427881246297E-2</v>
      </c>
      <c r="J1804">
        <v>3.8644965803259899E-2</v>
      </c>
      <c r="K1804">
        <v>3.66320433249928E-2</v>
      </c>
      <c r="L1804">
        <v>1012.40188017133</v>
      </c>
      <c r="M1804">
        <v>21.5710143382788</v>
      </c>
      <c r="N1804">
        <v>47.111701323274097</v>
      </c>
      <c r="O1804">
        <v>46.535669405092101</v>
      </c>
      <c r="P1804">
        <v>-0.111345563632649</v>
      </c>
      <c r="Q1804">
        <v>3.9189404963424997E-2</v>
      </c>
      <c r="R1804">
        <v>0.99396068175713403</v>
      </c>
      <c r="S1804" t="s">
        <v>8372</v>
      </c>
      <c r="T1804" t="s">
        <v>13134</v>
      </c>
      <c r="U1804" t="s">
        <v>13134</v>
      </c>
      <c r="V1804" t="s">
        <v>13134</v>
      </c>
      <c r="W1804" t="s">
        <v>14897</v>
      </c>
      <c r="X1804">
        <v>6</v>
      </c>
      <c r="Y1804" t="s">
        <v>21376</v>
      </c>
      <c r="Z1804" t="s">
        <v>27772</v>
      </c>
      <c r="AA1804">
        <v>0.36815927568590728</v>
      </c>
      <c r="AB1804" t="str">
        <f>HYPERLINK("Melting_Curves/meltCurve_O75616_ERAL1.pdf", "Melting_Curves/meltCurve_O75616_ERAL1.pdf")</f>
        <v>Melting_Curves/meltCurve_O75616_ERAL1.pdf</v>
      </c>
    </row>
    <row r="1805" spans="1:28" x14ac:dyDescent="0.25">
      <c r="A1805" t="s">
        <v>1809</v>
      </c>
      <c r="B1805">
        <v>0.99472303558308395</v>
      </c>
      <c r="C1805">
        <v>1.46899388501187</v>
      </c>
      <c r="D1805">
        <v>0.83591095909065805</v>
      </c>
      <c r="E1805">
        <v>0.96034430650302105</v>
      </c>
      <c r="F1805">
        <v>0.88190605209848505</v>
      </c>
      <c r="G1805">
        <v>0.69726690945157999</v>
      </c>
      <c r="H1805">
        <v>0.36596760276471302</v>
      </c>
      <c r="I1805">
        <v>0.30647208683487098</v>
      </c>
      <c r="J1805">
        <v>0.36597399001321101</v>
      </c>
      <c r="K1805">
        <v>0.24510598813604101</v>
      </c>
      <c r="L1805">
        <v>1378.6934745439401</v>
      </c>
      <c r="M1805">
        <v>25.527016075783902</v>
      </c>
      <c r="N1805">
        <v>55.806099671269102</v>
      </c>
      <c r="O1805">
        <v>53.681009472347903</v>
      </c>
      <c r="P1805">
        <v>-8.5571498835662299E-2</v>
      </c>
      <c r="Q1805">
        <v>0.28021237545201899</v>
      </c>
      <c r="R1805">
        <v>0.81263298545614404</v>
      </c>
      <c r="S1805" t="s">
        <v>8373</v>
      </c>
      <c r="T1805" t="s">
        <v>13134</v>
      </c>
      <c r="U1805" t="s">
        <v>13134</v>
      </c>
      <c r="V1805" t="s">
        <v>13134</v>
      </c>
      <c r="W1805" t="s">
        <v>14898</v>
      </c>
      <c r="X1805">
        <v>2</v>
      </c>
      <c r="Y1805" t="s">
        <v>21377</v>
      </c>
      <c r="Z1805" t="s">
        <v>27773</v>
      </c>
      <c r="AA1805">
        <v>0.69438574923614071</v>
      </c>
      <c r="AB1805" t="str">
        <f>HYPERLINK("Melting_Curves/meltCurve_O75629_CREG1.pdf", "Melting_Curves/meltCurve_O75629_CREG1.pdf")</f>
        <v>Melting_Curves/meltCurve_O75629_CREG1.pdf</v>
      </c>
    </row>
    <row r="1806" spans="1:28" x14ac:dyDescent="0.25">
      <c r="A1806" t="s">
        <v>1810</v>
      </c>
      <c r="B1806">
        <v>0.99472303558308395</v>
      </c>
      <c r="C1806">
        <v>1.0730001501662201</v>
      </c>
      <c r="D1806">
        <v>0.92986966591772002</v>
      </c>
      <c r="E1806">
        <v>0.87250131232321004</v>
      </c>
      <c r="F1806">
        <v>0.84310996387079395</v>
      </c>
      <c r="G1806">
        <v>0.36093936438783802</v>
      </c>
      <c r="H1806">
        <v>0.126045563236797</v>
      </c>
      <c r="I1806">
        <v>4.2568687051165399E-2</v>
      </c>
      <c r="J1806">
        <v>8.6840086325369298E-2</v>
      </c>
      <c r="K1806">
        <v>8.8758293205547095E-2</v>
      </c>
      <c r="L1806">
        <v>1616.62555425288</v>
      </c>
      <c r="M1806">
        <v>30.7908198134561</v>
      </c>
      <c r="N1806">
        <v>52.745074988583802</v>
      </c>
      <c r="O1806">
        <v>52.283520978454703</v>
      </c>
      <c r="P1806">
        <v>-0.13754788251050401</v>
      </c>
      <c r="Q1806">
        <v>6.5767608505455197E-2</v>
      </c>
      <c r="R1806">
        <v>0.98545256735437703</v>
      </c>
      <c r="S1806" t="s">
        <v>8374</v>
      </c>
      <c r="T1806" t="s">
        <v>13134</v>
      </c>
      <c r="U1806" t="s">
        <v>13134</v>
      </c>
      <c r="V1806" t="s">
        <v>13134</v>
      </c>
      <c r="W1806" t="s">
        <v>14899</v>
      </c>
      <c r="X1806">
        <v>1</v>
      </c>
      <c r="Y1806" t="s">
        <v>21378</v>
      </c>
      <c r="Z1806" t="s">
        <v>27774</v>
      </c>
      <c r="AA1806">
        <v>0.554201300571735</v>
      </c>
      <c r="AB1806" t="str">
        <f>HYPERLINK("Melting_Curves/meltCurve_O75635_2_SERPINB7.pdf", "Melting_Curves/meltCurve_O75635_2_SERPINB7.pdf")</f>
        <v>Melting_Curves/meltCurve_O75635_2_SERPINB7.pdf</v>
      </c>
    </row>
    <row r="1807" spans="1:28" x14ac:dyDescent="0.25">
      <c r="A1807" t="s">
        <v>1811</v>
      </c>
      <c r="B1807">
        <v>0.99472303558308395</v>
      </c>
      <c r="C1807">
        <v>0.87673865470049395</v>
      </c>
      <c r="D1807">
        <v>0.78539967477832795</v>
      </c>
      <c r="E1807">
        <v>0.66610224000722196</v>
      </c>
      <c r="F1807">
        <v>0.76303368876792899</v>
      </c>
      <c r="G1807">
        <v>0.418607896904027</v>
      </c>
      <c r="H1807">
        <v>8.3973948208865098E-2</v>
      </c>
      <c r="I1807">
        <v>6.4196139844129294E-2</v>
      </c>
      <c r="J1807">
        <v>6.4310623384020299E-2</v>
      </c>
      <c r="K1807">
        <v>5.1705301470989999E-2</v>
      </c>
      <c r="L1807">
        <v>604.24364168490501</v>
      </c>
      <c r="M1807">
        <v>11.7986283193086</v>
      </c>
      <c r="N1807">
        <v>51.213041274085903</v>
      </c>
      <c r="O1807">
        <v>49.808285205624202</v>
      </c>
      <c r="P1807">
        <v>-5.9235453510669403E-2</v>
      </c>
      <c r="Q1807">
        <v>0</v>
      </c>
      <c r="R1807">
        <v>0.92459263138456305</v>
      </c>
      <c r="S1807" t="s">
        <v>8375</v>
      </c>
      <c r="T1807" t="s">
        <v>13134</v>
      </c>
      <c r="U1807" t="s">
        <v>13134</v>
      </c>
      <c r="V1807" t="s">
        <v>13134</v>
      </c>
      <c r="W1807" t="s">
        <v>14900</v>
      </c>
      <c r="X1807">
        <v>55</v>
      </c>
      <c r="Y1807" t="s">
        <v>21379</v>
      </c>
      <c r="Z1807" t="s">
        <v>27775</v>
      </c>
      <c r="AA1807">
        <v>0.49975522005143541</v>
      </c>
      <c r="AB1807" t="str">
        <f>HYPERLINK("Melting_Curves/meltCurve_O75643_SNRNP200.pdf", "Melting_Curves/meltCurve_O75643_SNRNP200.pdf")</f>
        <v>Melting_Curves/meltCurve_O75643_SNRNP200.pdf</v>
      </c>
    </row>
    <row r="1808" spans="1:28" x14ac:dyDescent="0.25">
      <c r="A1808" t="s">
        <v>1812</v>
      </c>
      <c r="B1808">
        <v>0.99472303558308395</v>
      </c>
      <c r="C1808">
        <v>0.88679125134857195</v>
      </c>
      <c r="D1808">
        <v>0.90306437404974904</v>
      </c>
      <c r="E1808">
        <v>0.79262301630785204</v>
      </c>
      <c r="F1808">
        <v>0.45358008219290302</v>
      </c>
      <c r="G1808">
        <v>0.15948988061497399</v>
      </c>
      <c r="H1808">
        <v>7.4702266134400702E-2</v>
      </c>
      <c r="I1808">
        <v>4.1549148737062898E-2</v>
      </c>
      <c r="J1808">
        <v>3.7595404784373898E-2</v>
      </c>
      <c r="K1808">
        <v>3.1407887107812303E-2</v>
      </c>
      <c r="L1808">
        <v>943.10156546551104</v>
      </c>
      <c r="M1808">
        <v>19.063056231577399</v>
      </c>
      <c r="N1808">
        <v>49.551173600751099</v>
      </c>
      <c r="O1808">
        <v>48.937966613675201</v>
      </c>
      <c r="P1808">
        <v>-9.5940431561356607E-2</v>
      </c>
      <c r="Q1808">
        <v>1.48599786846566E-2</v>
      </c>
      <c r="R1808">
        <v>0.99057977956896404</v>
      </c>
      <c r="S1808" t="s">
        <v>8376</v>
      </c>
      <c r="T1808" t="s">
        <v>13134</v>
      </c>
      <c r="U1808" t="s">
        <v>13134</v>
      </c>
      <c r="V1808" t="s">
        <v>13134</v>
      </c>
      <c r="W1808" t="s">
        <v>14901</v>
      </c>
      <c r="X1808">
        <v>4</v>
      </c>
      <c r="Y1808" t="s">
        <v>21380</v>
      </c>
      <c r="Z1808" t="s">
        <v>27776</v>
      </c>
      <c r="AA1808">
        <v>0.43857401394813428</v>
      </c>
      <c r="AB1808" t="str">
        <f>HYPERLINK("Melting_Curves/meltCurve_O75648_TRMU.pdf", "Melting_Curves/meltCurve_O75648_TRMU.pdf")</f>
        <v>Melting_Curves/meltCurve_O75648_TRMU.pdf</v>
      </c>
    </row>
    <row r="1809" spans="1:28" x14ac:dyDescent="0.25">
      <c r="A1809" t="s">
        <v>1813</v>
      </c>
      <c r="B1809">
        <v>0.99472303558308395</v>
      </c>
      <c r="C1809">
        <v>0.93139247602153696</v>
      </c>
      <c r="D1809">
        <v>0.97740483417449697</v>
      </c>
      <c r="E1809">
        <v>0.77489091141491895</v>
      </c>
      <c r="F1809">
        <v>0.30301737902017301</v>
      </c>
      <c r="G1809">
        <v>0.10456439196719999</v>
      </c>
      <c r="H1809">
        <v>5.0728569377455297E-2</v>
      </c>
      <c r="I1809">
        <v>3.5734469103661202E-2</v>
      </c>
      <c r="J1809">
        <v>3.6552199144685202E-2</v>
      </c>
      <c r="K1809">
        <v>3.2448177347403302E-2</v>
      </c>
      <c r="L1809">
        <v>1355.91629427005</v>
      </c>
      <c r="M1809">
        <v>27.935114074611398</v>
      </c>
      <c r="N1809">
        <v>48.6677421738557</v>
      </c>
      <c r="O1809">
        <v>48.291373975643602</v>
      </c>
      <c r="P1809">
        <v>-0.139431909125242</v>
      </c>
      <c r="Q1809">
        <v>3.5865774804507498E-2</v>
      </c>
      <c r="R1809">
        <v>0.99731328943943598</v>
      </c>
      <c r="S1809" t="s">
        <v>8377</v>
      </c>
      <c r="T1809" t="s">
        <v>13134</v>
      </c>
      <c r="U1809" t="s">
        <v>13134</v>
      </c>
      <c r="V1809" t="s">
        <v>13134</v>
      </c>
      <c r="W1809" t="s">
        <v>14902</v>
      </c>
      <c r="X1809">
        <v>13</v>
      </c>
      <c r="Y1809" t="s">
        <v>21381</v>
      </c>
      <c r="Z1809" t="s">
        <v>27777</v>
      </c>
      <c r="AA1809">
        <v>0.41332260515523322</v>
      </c>
      <c r="AB1809" t="str">
        <f>HYPERLINK("Melting_Curves/meltCurve_O75663_TIPRL.pdf", "Melting_Curves/meltCurve_O75663_TIPRL.pdf")</f>
        <v>Melting_Curves/meltCurve_O75663_TIPRL.pdf</v>
      </c>
    </row>
    <row r="1810" spans="1:28" x14ac:dyDescent="0.25">
      <c r="A1810" t="s">
        <v>1814</v>
      </c>
      <c r="B1810">
        <v>0.99472303558308395</v>
      </c>
      <c r="C1810">
        <v>0.96893045785503096</v>
      </c>
      <c r="D1810">
        <v>0.98490592704791802</v>
      </c>
      <c r="E1810">
        <v>0.84759384260535398</v>
      </c>
      <c r="F1810">
        <v>0.59267680006761103</v>
      </c>
      <c r="G1810">
        <v>0.15903879754215799</v>
      </c>
      <c r="H1810">
        <v>9.5125936281783799E-2</v>
      </c>
      <c r="I1810">
        <v>6.1759914031657197E-2</v>
      </c>
      <c r="J1810">
        <v>0.10003163422420901</v>
      </c>
      <c r="K1810">
        <v>6.6181094316473302E-2</v>
      </c>
      <c r="L1810">
        <v>1339.7732861937</v>
      </c>
      <c r="M1810">
        <v>26.619154518871198</v>
      </c>
      <c r="N1810">
        <v>50.587409767016197</v>
      </c>
      <c r="O1810">
        <v>50.049675349045302</v>
      </c>
      <c r="P1810">
        <v>-0.124579094277857</v>
      </c>
      <c r="Q1810">
        <v>6.3068639416630295E-2</v>
      </c>
      <c r="R1810">
        <v>0.99439706786187798</v>
      </c>
      <c r="S1810" t="s">
        <v>8378</v>
      </c>
      <c r="T1810" t="s">
        <v>13134</v>
      </c>
      <c r="U1810" t="s">
        <v>13134</v>
      </c>
      <c r="V1810" t="s">
        <v>13134</v>
      </c>
      <c r="W1810" t="s">
        <v>14903</v>
      </c>
      <c r="X1810">
        <v>14</v>
      </c>
      <c r="Y1810" t="s">
        <v>21382</v>
      </c>
      <c r="Z1810" t="s">
        <v>27778</v>
      </c>
      <c r="AA1810">
        <v>0.4867088625491619</v>
      </c>
      <c r="AB1810" t="str">
        <f>HYPERLINK("Melting_Curves/meltCurve_O75688_PPM1B.pdf", "Melting_Curves/meltCurve_O75688_PPM1B.pdf")</f>
        <v>Melting_Curves/meltCurve_O75688_PPM1B.pdf</v>
      </c>
    </row>
    <row r="1811" spans="1:28" x14ac:dyDescent="0.25">
      <c r="A1811" t="s">
        <v>1815</v>
      </c>
      <c r="B1811">
        <v>0.99472303558308395</v>
      </c>
      <c r="C1811">
        <v>0.95242090093230403</v>
      </c>
      <c r="D1811">
        <v>0.94847707921581803</v>
      </c>
      <c r="E1811">
        <v>0.44940229982198698</v>
      </c>
      <c r="F1811">
        <v>0.19308846382658401</v>
      </c>
      <c r="G1811">
        <v>0.100954500607686</v>
      </c>
      <c r="H1811">
        <v>6.4796465403656398E-2</v>
      </c>
      <c r="I1811">
        <v>5.0269538300804398E-2</v>
      </c>
      <c r="J1811">
        <v>6.3390907666937196E-2</v>
      </c>
      <c r="K1811">
        <v>4.8606581823175198E-2</v>
      </c>
      <c r="L1811">
        <v>1334.98917632753</v>
      </c>
      <c r="M1811">
        <v>28.879437646536001</v>
      </c>
      <c r="N1811">
        <v>46.455254062526002</v>
      </c>
      <c r="O1811">
        <v>46.0063403131672</v>
      </c>
      <c r="P1811">
        <v>-0.14652299859020099</v>
      </c>
      <c r="Q1811">
        <v>6.63341999990507E-2</v>
      </c>
      <c r="R1811">
        <v>0.99553347337818299</v>
      </c>
      <c r="S1811" t="s">
        <v>8379</v>
      </c>
      <c r="T1811" t="s">
        <v>13134</v>
      </c>
      <c r="U1811" t="s">
        <v>13134</v>
      </c>
      <c r="V1811" t="s">
        <v>13134</v>
      </c>
      <c r="W1811" t="s">
        <v>14904</v>
      </c>
      <c r="X1811">
        <v>20</v>
      </c>
      <c r="Y1811" t="s">
        <v>21383</v>
      </c>
      <c r="Z1811" t="s">
        <v>27779</v>
      </c>
      <c r="AA1811">
        <v>0.35925665500771431</v>
      </c>
      <c r="AB1811" t="str">
        <f>HYPERLINK("Melting_Curves/meltCurve_O75691_UTP20.pdf", "Melting_Curves/meltCurve_O75691_UTP20.pdf")</f>
        <v>Melting_Curves/meltCurve_O75691_UTP20.pdf</v>
      </c>
    </row>
    <row r="1812" spans="1:28" x14ac:dyDescent="0.25">
      <c r="A1812" t="s">
        <v>1816</v>
      </c>
      <c r="B1812">
        <v>0.99472303558308395</v>
      </c>
      <c r="C1812">
        <v>1.0316663848904599</v>
      </c>
      <c r="D1812">
        <v>1.11318591592847</v>
      </c>
      <c r="E1812">
        <v>0.97480654678672796</v>
      </c>
      <c r="F1812">
        <v>0.66352562303150397</v>
      </c>
      <c r="G1812">
        <v>0.1724959784391</v>
      </c>
      <c r="H1812">
        <v>0.107682302549088</v>
      </c>
      <c r="I1812">
        <v>5.0861057980667798E-2</v>
      </c>
      <c r="J1812">
        <v>7.3319672865722704E-2</v>
      </c>
      <c r="K1812">
        <v>7.7535955736307102E-2</v>
      </c>
      <c r="L1812">
        <v>1994.78082943868</v>
      </c>
      <c r="M1812">
        <v>39.174135118407101</v>
      </c>
      <c r="N1812">
        <v>51.1284900450826</v>
      </c>
      <c r="O1812">
        <v>50.7887136313756</v>
      </c>
      <c r="P1812">
        <v>-0.17864841112295601</v>
      </c>
      <c r="Q1812">
        <v>7.3541533697052505E-2</v>
      </c>
      <c r="R1812">
        <v>0.99232485297903195</v>
      </c>
      <c r="S1812" t="s">
        <v>8380</v>
      </c>
      <c r="T1812" t="s">
        <v>13134</v>
      </c>
      <c r="U1812" t="s">
        <v>13134</v>
      </c>
      <c r="V1812" t="s">
        <v>13134</v>
      </c>
      <c r="W1812" t="s">
        <v>14905</v>
      </c>
      <c r="X1812">
        <v>4</v>
      </c>
      <c r="Y1812" t="s">
        <v>21384</v>
      </c>
      <c r="Z1812" t="s">
        <v>27780</v>
      </c>
      <c r="AA1812">
        <v>0.50684095907701388</v>
      </c>
      <c r="AB1812" t="str">
        <f>HYPERLINK("Melting_Curves/meltCurve_O75695_RP2.pdf", "Melting_Curves/meltCurve_O75695_RP2.pdf")</f>
        <v>Melting_Curves/meltCurve_O75695_RP2.pdf</v>
      </c>
    </row>
    <row r="1813" spans="1:28" x14ac:dyDescent="0.25">
      <c r="A1813" t="s">
        <v>1817</v>
      </c>
      <c r="B1813">
        <v>0.99472303558308395</v>
      </c>
      <c r="C1813">
        <v>0.98589543645639599</v>
      </c>
      <c r="D1813">
        <v>0.82120657324605895</v>
      </c>
      <c r="E1813">
        <v>0.59103209633074905</v>
      </c>
      <c r="F1813">
        <v>0.214431181506195</v>
      </c>
      <c r="G1813">
        <v>9.6143641256994594E-2</v>
      </c>
      <c r="H1813">
        <v>6.0070323688306101E-2</v>
      </c>
      <c r="I1813">
        <v>4.3185992128745E-2</v>
      </c>
      <c r="J1813">
        <v>5.2021207973920201E-2</v>
      </c>
      <c r="K1813">
        <v>4.8111574243897497E-2</v>
      </c>
      <c r="L1813">
        <v>940.51840330643097</v>
      </c>
      <c r="M1813">
        <v>20.0479323844602</v>
      </c>
      <c r="N1813">
        <v>47.092295096869101</v>
      </c>
      <c r="O1813">
        <v>46.454181291934397</v>
      </c>
      <c r="P1813">
        <v>-0.10394020637382601</v>
      </c>
      <c r="Q1813">
        <v>3.6648273376952097E-2</v>
      </c>
      <c r="R1813">
        <v>0.996832874783802</v>
      </c>
      <c r="S1813" t="s">
        <v>8381</v>
      </c>
      <c r="T1813" t="s">
        <v>13134</v>
      </c>
      <c r="U1813" t="s">
        <v>13134</v>
      </c>
      <c r="V1813" t="s">
        <v>13134</v>
      </c>
      <c r="W1813" t="s">
        <v>14906</v>
      </c>
      <c r="X1813">
        <v>29</v>
      </c>
      <c r="Y1813" t="s">
        <v>21385</v>
      </c>
      <c r="Z1813" t="s">
        <v>27781</v>
      </c>
      <c r="AA1813">
        <v>0.3675369682798913</v>
      </c>
      <c r="AB1813" t="str">
        <f>HYPERLINK("Melting_Curves/meltCurve_O75717_WDHD1.pdf", "Melting_Curves/meltCurve_O75717_WDHD1.pdf")</f>
        <v>Melting_Curves/meltCurve_O75717_WDHD1.pdf</v>
      </c>
    </row>
    <row r="1814" spans="1:28" x14ac:dyDescent="0.25">
      <c r="A1814" t="s">
        <v>1818</v>
      </c>
      <c r="B1814">
        <v>0.99472303558308395</v>
      </c>
      <c r="C1814">
        <v>0.78912152799617397</v>
      </c>
      <c r="D1814">
        <v>0.75850194171116003</v>
      </c>
      <c r="E1814">
        <v>0.61663975642005597</v>
      </c>
      <c r="F1814">
        <v>0.55945138483870505</v>
      </c>
      <c r="G1814">
        <v>0.33919357141240603</v>
      </c>
      <c r="H1814">
        <v>0.25069023292974202</v>
      </c>
      <c r="I1814">
        <v>0.12631010547888399</v>
      </c>
      <c r="J1814">
        <v>0.11608089043198699</v>
      </c>
      <c r="K1814">
        <v>0.16682047654481599</v>
      </c>
      <c r="L1814">
        <v>388.11348012961798</v>
      </c>
      <c r="M1814">
        <v>7.8253868784528304</v>
      </c>
      <c r="N1814">
        <v>49.596712618224302</v>
      </c>
      <c r="O1814">
        <v>46.6707093936107</v>
      </c>
      <c r="P1814">
        <v>-4.1969559349229101E-2</v>
      </c>
      <c r="Q1814">
        <v>0</v>
      </c>
      <c r="R1814">
        <v>0.97233865238815298</v>
      </c>
      <c r="S1814" t="s">
        <v>8382</v>
      </c>
      <c r="T1814" t="s">
        <v>13134</v>
      </c>
      <c r="U1814" t="s">
        <v>13134</v>
      </c>
      <c r="V1814" t="s">
        <v>13134</v>
      </c>
      <c r="W1814" t="s">
        <v>14907</v>
      </c>
      <c r="X1814">
        <v>16</v>
      </c>
      <c r="Y1814" t="s">
        <v>21386</v>
      </c>
      <c r="Z1814" t="s">
        <v>27782</v>
      </c>
      <c r="AA1814">
        <v>0.4636802701289332</v>
      </c>
      <c r="AB1814" t="str">
        <f>HYPERLINK("Melting_Curves/meltCurve_O75746_SLC25A12.pdf", "Melting_Curves/meltCurve_O75746_SLC25A12.pdf")</f>
        <v>Melting_Curves/meltCurve_O75746_SLC25A12.pdf</v>
      </c>
    </row>
    <row r="1815" spans="1:28" x14ac:dyDescent="0.25">
      <c r="A1815" t="s">
        <v>1819</v>
      </c>
      <c r="B1815">
        <v>0.99472303558308395</v>
      </c>
      <c r="C1815">
        <v>1.22528061553221</v>
      </c>
      <c r="D1815">
        <v>0.96682090295981504</v>
      </c>
      <c r="E1815">
        <v>0.98476438995545001</v>
      </c>
      <c r="F1815">
        <v>0.62464029079287997</v>
      </c>
      <c r="G1815">
        <v>0.49085289212475702</v>
      </c>
      <c r="H1815">
        <v>0.31155984070412401</v>
      </c>
      <c r="I1815">
        <v>0.38513386774000002</v>
      </c>
      <c r="J1815">
        <v>0.61079203506127699</v>
      </c>
      <c r="K1815">
        <v>0.59742903273415404</v>
      </c>
      <c r="L1815">
        <v>2901.90663767981</v>
      </c>
      <c r="M1815">
        <v>58.748334693733099</v>
      </c>
      <c r="N1815">
        <v>52.180820045622902</v>
      </c>
      <c r="O1815">
        <v>49.3383973145311</v>
      </c>
      <c r="P1815">
        <v>-0.15530951336156501</v>
      </c>
      <c r="Q1815">
        <v>0.478267945103304</v>
      </c>
      <c r="R1815">
        <v>0.85503347592008905</v>
      </c>
      <c r="S1815" t="s">
        <v>8383</v>
      </c>
      <c r="T1815" t="s">
        <v>13134</v>
      </c>
      <c r="U1815" t="s">
        <v>13134</v>
      </c>
      <c r="V1815" t="s">
        <v>13134</v>
      </c>
      <c r="W1815" t="s">
        <v>14908</v>
      </c>
      <c r="X1815">
        <v>3</v>
      </c>
      <c r="Y1815" t="s">
        <v>21387</v>
      </c>
      <c r="Z1815" t="s">
        <v>27783</v>
      </c>
      <c r="AA1815">
        <v>0.69466205050191554</v>
      </c>
      <c r="AB1815" t="str">
        <f>HYPERLINK("Melting_Curves/meltCurve_O75781_PALM.pdf", "Melting_Curves/meltCurve_O75781_PALM.pdf")</f>
        <v>Melting_Curves/meltCurve_O75781_PALM.pdf</v>
      </c>
    </row>
    <row r="1816" spans="1:28" x14ac:dyDescent="0.25">
      <c r="A1816" t="s">
        <v>1820</v>
      </c>
      <c r="B1816">
        <v>0.99472303558308395</v>
      </c>
      <c r="C1816">
        <v>0.90063311356047404</v>
      </c>
      <c r="D1816">
        <v>0.94460457223033201</v>
      </c>
      <c r="E1816">
        <v>0.57450808904552497</v>
      </c>
      <c r="F1816">
        <v>0.20246653225056199</v>
      </c>
      <c r="G1816">
        <v>9.49176913234899E-2</v>
      </c>
      <c r="H1816">
        <v>5.3894270553719703E-2</v>
      </c>
      <c r="I1816">
        <v>4.2228004293777599E-2</v>
      </c>
      <c r="J1816">
        <v>4.4753687018859303E-2</v>
      </c>
      <c r="K1816">
        <v>4.08859282897963E-2</v>
      </c>
      <c r="L1816">
        <v>1181.32602605488</v>
      </c>
      <c r="M1816">
        <v>25.112075528058298</v>
      </c>
      <c r="N1816">
        <v>47.213638514130103</v>
      </c>
      <c r="O1816">
        <v>46.746876875824903</v>
      </c>
      <c r="P1816">
        <v>-0.128446089926326</v>
      </c>
      <c r="Q1816">
        <v>4.3587711325162301E-2</v>
      </c>
      <c r="R1816">
        <v>0.99434453644602905</v>
      </c>
      <c r="S1816" t="s">
        <v>8384</v>
      </c>
      <c r="T1816" t="s">
        <v>13134</v>
      </c>
      <c r="U1816" t="s">
        <v>13134</v>
      </c>
      <c r="V1816" t="s">
        <v>13134</v>
      </c>
      <c r="W1816" t="s">
        <v>14909</v>
      </c>
      <c r="X1816">
        <v>10</v>
      </c>
      <c r="Y1816" t="s">
        <v>21388</v>
      </c>
      <c r="Z1816" t="s">
        <v>27784</v>
      </c>
      <c r="AA1816">
        <v>0.37170065433429611</v>
      </c>
      <c r="AB1816" t="str">
        <f>HYPERLINK("Melting_Curves/meltCurve_O75791_GRAP2.pdf", "Melting_Curves/meltCurve_O75791_GRAP2.pdf")</f>
        <v>Melting_Curves/meltCurve_O75791_GRAP2.pdf</v>
      </c>
    </row>
    <row r="1817" spans="1:28" x14ac:dyDescent="0.25">
      <c r="A1817" t="s">
        <v>1821</v>
      </c>
      <c r="B1817">
        <v>0.99472303558308395</v>
      </c>
      <c r="C1817">
        <v>0.94469229618283002</v>
      </c>
      <c r="D1817">
        <v>0.97648469566190099</v>
      </c>
      <c r="E1817">
        <v>0.75449606608791098</v>
      </c>
      <c r="F1817">
        <v>0.33024915474281202</v>
      </c>
      <c r="G1817">
        <v>0.14290083614783</v>
      </c>
      <c r="H1817">
        <v>8.2434854371906494E-2</v>
      </c>
      <c r="I1817">
        <v>4.1184517331645597E-2</v>
      </c>
      <c r="J1817">
        <v>4.8186611400232303E-2</v>
      </c>
      <c r="K1817">
        <v>5.1613185678683997E-2</v>
      </c>
      <c r="L1817">
        <v>1201.4381783592401</v>
      </c>
      <c r="M1817">
        <v>24.7500249134734</v>
      </c>
      <c r="N1817">
        <v>48.751523033052102</v>
      </c>
      <c r="O1817">
        <v>48.229339069093903</v>
      </c>
      <c r="P1817">
        <v>-0.121849009339435</v>
      </c>
      <c r="Q1817">
        <v>5.0245123635348103E-2</v>
      </c>
      <c r="R1817">
        <v>0.99783268080992005</v>
      </c>
      <c r="S1817" t="s">
        <v>8385</v>
      </c>
      <c r="T1817" t="s">
        <v>13134</v>
      </c>
      <c r="U1817" t="s">
        <v>13134</v>
      </c>
      <c r="V1817" t="s">
        <v>13134</v>
      </c>
      <c r="W1817" t="s">
        <v>14910</v>
      </c>
      <c r="X1817">
        <v>10</v>
      </c>
      <c r="Y1817" t="s">
        <v>21389</v>
      </c>
      <c r="Z1817" t="s">
        <v>27785</v>
      </c>
      <c r="AA1817">
        <v>0.42399468805338758</v>
      </c>
      <c r="AB1817" t="str">
        <f>HYPERLINK("Melting_Curves/meltCurve_O75792_RNASEH2A.pdf", "Melting_Curves/meltCurve_O75792_RNASEH2A.pdf")</f>
        <v>Melting_Curves/meltCurve_O75792_RNASEH2A.pdf</v>
      </c>
    </row>
    <row r="1818" spans="1:28" x14ac:dyDescent="0.25">
      <c r="A1818" t="s">
        <v>1822</v>
      </c>
      <c r="B1818">
        <v>0.99472303558308395</v>
      </c>
      <c r="C1818">
        <v>0.89330514264710703</v>
      </c>
      <c r="D1818">
        <v>0.91683022315200702</v>
      </c>
      <c r="E1818">
        <v>0.78727094516932805</v>
      </c>
      <c r="F1818">
        <v>0.55650187857952804</v>
      </c>
      <c r="G1818">
        <v>0.227245446699747</v>
      </c>
      <c r="H1818">
        <v>6.9794243149656293E-2</v>
      </c>
      <c r="I1818">
        <v>5.50451981211676E-2</v>
      </c>
      <c r="J1818">
        <v>5.7256543091318099E-2</v>
      </c>
      <c r="K1818">
        <v>4.9324645119593502E-2</v>
      </c>
      <c r="L1818">
        <v>871.62754789287305</v>
      </c>
      <c r="M1818">
        <v>17.356921523014101</v>
      </c>
      <c r="N1818">
        <v>50.302148845672598</v>
      </c>
      <c r="O1818">
        <v>49.565488358451603</v>
      </c>
      <c r="P1818">
        <v>-8.6295666419943795E-2</v>
      </c>
      <c r="Q1818">
        <v>1.4331351215061501E-2</v>
      </c>
      <c r="R1818">
        <v>0.98924906190403805</v>
      </c>
      <c r="S1818" t="s">
        <v>8386</v>
      </c>
      <c r="T1818" t="s">
        <v>13134</v>
      </c>
      <c r="U1818" t="s">
        <v>13134</v>
      </c>
      <c r="V1818" t="s">
        <v>13134</v>
      </c>
      <c r="W1818" t="s">
        <v>14911</v>
      </c>
      <c r="X1818">
        <v>18</v>
      </c>
      <c r="Y1818" t="s">
        <v>21390</v>
      </c>
      <c r="Z1818" t="s">
        <v>27786</v>
      </c>
      <c r="AA1818">
        <v>0.46503214827226752</v>
      </c>
      <c r="AB1818" t="str">
        <f>HYPERLINK("Melting_Curves/meltCurve_O75794_CDC123.pdf", "Melting_Curves/meltCurve_O75794_CDC123.pdf")</f>
        <v>Melting_Curves/meltCurve_O75794_CDC123.pdf</v>
      </c>
    </row>
    <row r="1819" spans="1:28" x14ac:dyDescent="0.25">
      <c r="A1819" t="s">
        <v>1823</v>
      </c>
      <c r="B1819">
        <v>0.99472303558308395</v>
      </c>
      <c r="C1819">
        <v>0.92396969151385699</v>
      </c>
      <c r="D1819">
        <v>0.79926020563139499</v>
      </c>
      <c r="E1819">
        <v>0.73562471628946402</v>
      </c>
      <c r="F1819">
        <v>0.74055797011902902</v>
      </c>
      <c r="G1819">
        <v>0.60150693201543404</v>
      </c>
      <c r="H1819">
        <v>0.505460253519603</v>
      </c>
      <c r="I1819">
        <v>0.30327936636957797</v>
      </c>
      <c r="J1819">
        <v>0.26630412670435299</v>
      </c>
      <c r="K1819">
        <v>0.12791740373528199</v>
      </c>
      <c r="L1819">
        <v>404.49218440016301</v>
      </c>
      <c r="M1819">
        <v>7.3091420966532796</v>
      </c>
      <c r="N1819">
        <v>55.340587314675297</v>
      </c>
      <c r="O1819">
        <v>51.649638989712898</v>
      </c>
      <c r="P1819">
        <v>-3.5434428263403102E-2</v>
      </c>
      <c r="Q1819">
        <v>0</v>
      </c>
      <c r="R1819">
        <v>0.95626052796486505</v>
      </c>
      <c r="S1819" t="s">
        <v>8387</v>
      </c>
      <c r="T1819" t="s">
        <v>13134</v>
      </c>
      <c r="U1819" t="s">
        <v>13134</v>
      </c>
      <c r="V1819" t="s">
        <v>13134</v>
      </c>
      <c r="W1819" t="s">
        <v>14912</v>
      </c>
      <c r="X1819">
        <v>4</v>
      </c>
      <c r="Y1819" t="s">
        <v>21391</v>
      </c>
      <c r="Z1819" t="s">
        <v>27787</v>
      </c>
      <c r="AA1819">
        <v>0.61188203989401269</v>
      </c>
      <c r="AB1819" t="str">
        <f>HYPERLINK("Melting_Curves/meltCurve_O75818_2_RPP40.pdf", "Melting_Curves/meltCurve_O75818_2_RPP40.pdf")</f>
        <v>Melting_Curves/meltCurve_O75818_2_RPP40.pdf</v>
      </c>
    </row>
    <row r="1820" spans="1:28" x14ac:dyDescent="0.25">
      <c r="A1820" t="s">
        <v>1824</v>
      </c>
      <c r="B1820">
        <v>0.99472303558308395</v>
      </c>
      <c r="C1820">
        <v>0.97894437032507498</v>
      </c>
      <c r="D1820">
        <v>0.76556928844997696</v>
      </c>
      <c r="E1820">
        <v>0.56650754729059405</v>
      </c>
      <c r="F1820">
        <v>0.27926133706516898</v>
      </c>
      <c r="G1820">
        <v>0.15540486134376699</v>
      </c>
      <c r="H1820">
        <v>8.8154436556238502E-2</v>
      </c>
      <c r="I1820">
        <v>7.1065053814762302E-2</v>
      </c>
      <c r="J1820">
        <v>7.7226147103297005E-2</v>
      </c>
      <c r="K1820">
        <v>6.6949719139024505E-2</v>
      </c>
      <c r="L1820">
        <v>747.55900907429805</v>
      </c>
      <c r="M1820">
        <v>15.9997904647264</v>
      </c>
      <c r="N1820">
        <v>47.059088645014</v>
      </c>
      <c r="O1820">
        <v>46.011464461691801</v>
      </c>
      <c r="P1820">
        <v>-8.2247266091990096E-2</v>
      </c>
      <c r="Q1820">
        <v>5.3982960716121603E-2</v>
      </c>
      <c r="R1820">
        <v>0.99649136341506594</v>
      </c>
      <c r="S1820" t="s">
        <v>8388</v>
      </c>
      <c r="T1820" t="s">
        <v>13134</v>
      </c>
      <c r="U1820" t="s">
        <v>13134</v>
      </c>
      <c r="V1820" t="s">
        <v>13134</v>
      </c>
      <c r="W1820" t="s">
        <v>14913</v>
      </c>
      <c r="X1820">
        <v>17</v>
      </c>
      <c r="Y1820" t="s">
        <v>21392</v>
      </c>
      <c r="Z1820" t="s">
        <v>27788</v>
      </c>
      <c r="AA1820">
        <v>0.37961593122367138</v>
      </c>
      <c r="AB1820" t="str">
        <f>HYPERLINK("Melting_Curves/meltCurve_O75821_EIF3G.pdf", "Melting_Curves/meltCurve_O75821_EIF3G.pdf")</f>
        <v>Melting_Curves/meltCurve_O75821_EIF3G.pdf</v>
      </c>
    </row>
    <row r="1821" spans="1:28" x14ac:dyDescent="0.25">
      <c r="A1821" t="s">
        <v>1825</v>
      </c>
      <c r="B1821">
        <v>0.99472303558308395</v>
      </c>
      <c r="C1821">
        <v>0.91199970306686295</v>
      </c>
      <c r="D1821">
        <v>0.97431731026593404</v>
      </c>
      <c r="E1821">
        <v>0.89934958500829998</v>
      </c>
      <c r="F1821">
        <v>0.74459066827550802</v>
      </c>
      <c r="G1821">
        <v>0.34008930679244698</v>
      </c>
      <c r="H1821">
        <v>9.7506169870770806E-2</v>
      </c>
      <c r="I1821">
        <v>7.0723162186442701E-2</v>
      </c>
      <c r="J1821">
        <v>7.5544645407317798E-2</v>
      </c>
      <c r="K1821">
        <v>6.0205740951103801E-2</v>
      </c>
      <c r="L1821">
        <v>1306.04073143244</v>
      </c>
      <c r="M1821">
        <v>25.119723636048199</v>
      </c>
      <c r="N1821">
        <v>52.208387060023</v>
      </c>
      <c r="O1821">
        <v>51.666491197035697</v>
      </c>
      <c r="P1821">
        <v>-0.11555673090341601</v>
      </c>
      <c r="Q1821">
        <v>4.92997256431877E-2</v>
      </c>
      <c r="R1821">
        <v>0.992082964773908</v>
      </c>
      <c r="S1821" t="s">
        <v>8389</v>
      </c>
      <c r="T1821" t="s">
        <v>13134</v>
      </c>
      <c r="U1821" t="s">
        <v>13134</v>
      </c>
      <c r="V1821" t="s">
        <v>13134</v>
      </c>
      <c r="W1821" t="s">
        <v>14914</v>
      </c>
      <c r="X1821">
        <v>18</v>
      </c>
      <c r="Y1821" t="s">
        <v>21393</v>
      </c>
      <c r="Z1821" t="s">
        <v>27789</v>
      </c>
      <c r="AA1821">
        <v>0.5327669313371417</v>
      </c>
      <c r="AB1821" t="str">
        <f>HYPERLINK("Melting_Curves/meltCurve_O75822_EIF3J.pdf", "Melting_Curves/meltCurve_O75822_EIF3J.pdf")</f>
        <v>Melting_Curves/meltCurve_O75822_EIF3J.pdf</v>
      </c>
    </row>
    <row r="1822" spans="1:28" x14ac:dyDescent="0.25">
      <c r="A1822" t="s">
        <v>1826</v>
      </c>
      <c r="B1822">
        <v>0.99472303558308395</v>
      </c>
      <c r="C1822">
        <v>0.94992505158867002</v>
      </c>
      <c r="D1822">
        <v>1.04125074558241</v>
      </c>
      <c r="E1822">
        <v>0.91915472936204201</v>
      </c>
      <c r="F1822">
        <v>0.65512007298840702</v>
      </c>
      <c r="G1822">
        <v>0.51239103491523696</v>
      </c>
      <c r="H1822">
        <v>0.185389908216815</v>
      </c>
      <c r="I1822">
        <v>8.3228568517988502E-2</v>
      </c>
      <c r="J1822">
        <v>8.5778760368129398E-2</v>
      </c>
      <c r="K1822">
        <v>7.7781603829266105E-2</v>
      </c>
      <c r="L1822">
        <v>904.30609508786404</v>
      </c>
      <c r="M1822">
        <v>17.1361015962968</v>
      </c>
      <c r="N1822">
        <v>52.961109853857103</v>
      </c>
      <c r="O1822">
        <v>52.069039095459303</v>
      </c>
      <c r="P1822">
        <v>-7.9838773365169105E-2</v>
      </c>
      <c r="Q1822">
        <v>2.9679148849659699E-2</v>
      </c>
      <c r="R1822">
        <v>0.98783401260409598</v>
      </c>
      <c r="S1822" t="s">
        <v>8390</v>
      </c>
      <c r="T1822" t="s">
        <v>13134</v>
      </c>
      <c r="U1822" t="s">
        <v>13134</v>
      </c>
      <c r="V1822" t="s">
        <v>13134</v>
      </c>
      <c r="W1822" t="s">
        <v>14915</v>
      </c>
      <c r="X1822">
        <v>4</v>
      </c>
      <c r="Y1822" t="s">
        <v>21394</v>
      </c>
      <c r="Z1822" t="s">
        <v>27790</v>
      </c>
      <c r="AA1822">
        <v>0.55498932570750081</v>
      </c>
      <c r="AB1822" t="str">
        <f>HYPERLINK("Melting_Curves/meltCurve_O75828_CBR3.pdf", "Melting_Curves/meltCurve_O75828_CBR3.pdf")</f>
        <v>Melting_Curves/meltCurve_O75828_CBR3.pdf</v>
      </c>
    </row>
    <row r="1823" spans="1:28" x14ac:dyDescent="0.25">
      <c r="A1823" t="s">
        <v>1827</v>
      </c>
      <c r="B1823">
        <v>0.99472303558308395</v>
      </c>
      <c r="C1823">
        <v>0.98495072717051402</v>
      </c>
      <c r="D1823">
        <v>0.87329797294579103</v>
      </c>
      <c r="E1823">
        <v>0.75907387275008797</v>
      </c>
      <c r="F1823">
        <v>0.66476933113895997</v>
      </c>
      <c r="G1823">
        <v>0.37958598669681898</v>
      </c>
      <c r="H1823">
        <v>0.21523368913072799</v>
      </c>
      <c r="I1823">
        <v>0.13147638765819</v>
      </c>
      <c r="J1823">
        <v>9.1191488462412804E-2</v>
      </c>
      <c r="K1823">
        <v>9.7442515122412796E-2</v>
      </c>
      <c r="L1823">
        <v>609.67133490545496</v>
      </c>
      <c r="M1823">
        <v>11.7661589028622</v>
      </c>
      <c r="N1823">
        <v>51.831539927129803</v>
      </c>
      <c r="O1823">
        <v>50.386882254434198</v>
      </c>
      <c r="P1823">
        <v>-5.8289233817478601E-2</v>
      </c>
      <c r="Q1823">
        <v>1.79875200475083E-3</v>
      </c>
      <c r="R1823">
        <v>0.99193145796778603</v>
      </c>
      <c r="S1823" t="s">
        <v>8391</v>
      </c>
      <c r="T1823" t="s">
        <v>13134</v>
      </c>
      <c r="U1823" t="s">
        <v>13134</v>
      </c>
      <c r="V1823" t="s">
        <v>13134</v>
      </c>
      <c r="W1823" t="s">
        <v>14916</v>
      </c>
      <c r="X1823">
        <v>12</v>
      </c>
      <c r="Y1823" t="s">
        <v>21395</v>
      </c>
      <c r="Z1823" t="s">
        <v>27791</v>
      </c>
      <c r="AA1823">
        <v>0.51931399697747738</v>
      </c>
      <c r="AB1823" t="str">
        <f>HYPERLINK("Melting_Curves/meltCurve_O75844_ZMPSTE24.pdf", "Melting_Curves/meltCurve_O75844_ZMPSTE24.pdf")</f>
        <v>Melting_Curves/meltCurve_O75844_ZMPSTE24.pdf</v>
      </c>
    </row>
    <row r="1824" spans="1:28" x14ac:dyDescent="0.25">
      <c r="A1824" t="s">
        <v>1828</v>
      </c>
      <c r="B1824">
        <v>0.99472303558308395</v>
      </c>
      <c r="C1824">
        <v>1.0028766955742201</v>
      </c>
      <c r="D1824">
        <v>1.0069698781037599</v>
      </c>
      <c r="E1824">
        <v>0.93152490288951195</v>
      </c>
      <c r="F1824">
        <v>0.83692613721229703</v>
      </c>
      <c r="G1824">
        <v>0.67636172198176303</v>
      </c>
      <c r="H1824">
        <v>0.43014201827453902</v>
      </c>
      <c r="I1824">
        <v>0.102156991160163</v>
      </c>
      <c r="J1824">
        <v>7.0835922989904099E-2</v>
      </c>
      <c r="K1824">
        <v>7.9529533737200703E-2</v>
      </c>
      <c r="L1824">
        <v>996.16275719776797</v>
      </c>
      <c r="M1824">
        <v>17.860278233664701</v>
      </c>
      <c r="N1824">
        <v>55.775322603766902</v>
      </c>
      <c r="O1824">
        <v>55.090198111658196</v>
      </c>
      <c r="P1824">
        <v>-8.1054291509244494E-2</v>
      </c>
      <c r="Q1824">
        <v>0</v>
      </c>
      <c r="R1824">
        <v>0.99063535802229097</v>
      </c>
      <c r="S1824" t="s">
        <v>8392</v>
      </c>
      <c r="T1824" t="s">
        <v>13134</v>
      </c>
      <c r="U1824" t="s">
        <v>13134</v>
      </c>
      <c r="V1824" t="s">
        <v>13134</v>
      </c>
      <c r="W1824" t="s">
        <v>14917</v>
      </c>
      <c r="X1824">
        <v>30</v>
      </c>
      <c r="Y1824" t="s">
        <v>21396</v>
      </c>
      <c r="Z1824" t="s">
        <v>27792</v>
      </c>
      <c r="AA1824">
        <v>0.63730845239782263</v>
      </c>
      <c r="AB1824" t="str">
        <f>HYPERLINK("Melting_Curves/meltCurve_O75874_IDH1.pdf", "Melting_Curves/meltCurve_O75874_IDH1.pdf")</f>
        <v>Melting_Curves/meltCurve_O75874_IDH1.pdf</v>
      </c>
    </row>
    <row r="1825" spans="1:28" x14ac:dyDescent="0.25">
      <c r="A1825" t="s">
        <v>1829</v>
      </c>
      <c r="B1825">
        <v>0.99472303558308395</v>
      </c>
      <c r="C1825">
        <v>1.0357141878364799</v>
      </c>
      <c r="D1825">
        <v>0.78315065186147503</v>
      </c>
      <c r="E1825">
        <v>0.79078778429053698</v>
      </c>
      <c r="F1825">
        <v>0.67302945502537603</v>
      </c>
      <c r="G1825">
        <v>0.38662839087863599</v>
      </c>
      <c r="H1825">
        <v>0.22499504387034799</v>
      </c>
      <c r="I1825">
        <v>0.13879899262516901</v>
      </c>
      <c r="J1825">
        <v>0.21538317723021999</v>
      </c>
      <c r="K1825">
        <v>0.24305411838874999</v>
      </c>
      <c r="L1825">
        <v>673.87344667215098</v>
      </c>
      <c r="M1825">
        <v>13.3590286165244</v>
      </c>
      <c r="N1825">
        <v>51.718009638449097</v>
      </c>
      <c r="O1825">
        <v>49.353181890426697</v>
      </c>
      <c r="P1825">
        <v>-5.8187402582391197E-2</v>
      </c>
      <c r="Q1825">
        <v>0.14027363772172</v>
      </c>
      <c r="R1825">
        <v>0.95627727951529695</v>
      </c>
      <c r="S1825" t="s">
        <v>8393</v>
      </c>
      <c r="T1825" t="s">
        <v>13134</v>
      </c>
      <c r="U1825" t="s">
        <v>13134</v>
      </c>
      <c r="V1825" t="s">
        <v>13134</v>
      </c>
      <c r="W1825" t="s">
        <v>14918</v>
      </c>
      <c r="X1825">
        <v>3</v>
      </c>
      <c r="Y1825" t="s">
        <v>21397</v>
      </c>
      <c r="Z1825" t="s">
        <v>27793</v>
      </c>
      <c r="AA1825">
        <v>0.54612952043920504</v>
      </c>
      <c r="AB1825" t="str">
        <f>HYPERLINK("Melting_Curves/meltCurve_O75882_3_ATRN.pdf", "Melting_Curves/meltCurve_O75882_3_ATRN.pdf")</f>
        <v>Melting_Curves/meltCurve_O75882_3_ATRN.pdf</v>
      </c>
    </row>
    <row r="1826" spans="1:28" x14ac:dyDescent="0.25">
      <c r="A1826" t="s">
        <v>1830</v>
      </c>
      <c r="B1826">
        <v>0.99472303558308395</v>
      </c>
      <c r="C1826">
        <v>0.89861919814754498</v>
      </c>
      <c r="D1826">
        <v>0.97431029313477602</v>
      </c>
      <c r="E1826">
        <v>0.79637916414232801</v>
      </c>
      <c r="F1826">
        <v>0.31488925446649801</v>
      </c>
      <c r="G1826">
        <v>0.153429370724671</v>
      </c>
      <c r="H1826">
        <v>0.11421324790559299</v>
      </c>
      <c r="I1826">
        <v>7.83048429682877E-2</v>
      </c>
      <c r="J1826">
        <v>9.1553949518698594E-2</v>
      </c>
      <c r="K1826">
        <v>6.9324913329341598E-2</v>
      </c>
      <c r="L1826">
        <v>1436.7375413361301</v>
      </c>
      <c r="M1826">
        <v>29.647974635479802</v>
      </c>
      <c r="N1826">
        <v>48.778641763211397</v>
      </c>
      <c r="O1826">
        <v>48.241040276356799</v>
      </c>
      <c r="P1826">
        <v>-0.14011537029517199</v>
      </c>
      <c r="Q1826">
        <v>8.8064139276486902E-2</v>
      </c>
      <c r="R1826">
        <v>0.99245569468083805</v>
      </c>
      <c r="S1826" t="s">
        <v>8394</v>
      </c>
      <c r="T1826" t="s">
        <v>13134</v>
      </c>
      <c r="U1826" t="s">
        <v>13134</v>
      </c>
      <c r="V1826" t="s">
        <v>13134</v>
      </c>
      <c r="W1826" t="s">
        <v>14919</v>
      </c>
      <c r="X1826">
        <v>10</v>
      </c>
      <c r="Y1826" t="s">
        <v>21398</v>
      </c>
      <c r="Z1826" t="s">
        <v>27794</v>
      </c>
      <c r="AA1826">
        <v>0.44199755495820481</v>
      </c>
      <c r="AB1826" t="str">
        <f>HYPERLINK("Melting_Curves/meltCurve_O75886_STAM2.pdf", "Melting_Curves/meltCurve_O75886_STAM2.pdf")</f>
        <v>Melting_Curves/meltCurve_O75886_STAM2.pdf</v>
      </c>
    </row>
    <row r="1827" spans="1:28" x14ac:dyDescent="0.25">
      <c r="A1827" t="s">
        <v>1831</v>
      </c>
      <c r="B1827">
        <v>0.99472303558308395</v>
      </c>
      <c r="C1827">
        <v>0.86647993918175603</v>
      </c>
      <c r="D1827">
        <v>0.91267828403599205</v>
      </c>
      <c r="E1827">
        <v>0.80725086554155501</v>
      </c>
      <c r="F1827">
        <v>0.65367585340724399</v>
      </c>
      <c r="G1827">
        <v>0.30668785198444998</v>
      </c>
      <c r="H1827">
        <v>0.13490224966388401</v>
      </c>
      <c r="I1827">
        <v>7.80933912249481E-2</v>
      </c>
      <c r="J1827">
        <v>6.5338710069730493E-2</v>
      </c>
      <c r="K1827">
        <v>6.6611537502336601E-2</v>
      </c>
      <c r="L1827">
        <v>789.79989197391001</v>
      </c>
      <c r="M1827">
        <v>15.4077683351037</v>
      </c>
      <c r="N1827">
        <v>51.340850041808899</v>
      </c>
      <c r="O1827">
        <v>50.419655727582303</v>
      </c>
      <c r="P1827">
        <v>-7.54871266910178E-2</v>
      </c>
      <c r="Q1827">
        <v>1.2007775238063E-2</v>
      </c>
      <c r="R1827">
        <v>0.98250693646373199</v>
      </c>
      <c r="S1827" t="s">
        <v>8395</v>
      </c>
      <c r="T1827" t="s">
        <v>13134</v>
      </c>
      <c r="U1827" t="s">
        <v>13134</v>
      </c>
      <c r="V1827" t="s">
        <v>13134</v>
      </c>
      <c r="W1827" t="s">
        <v>14920</v>
      </c>
      <c r="X1827">
        <v>1</v>
      </c>
      <c r="Y1827" t="s">
        <v>21399</v>
      </c>
      <c r="Z1827" t="s">
        <v>27795</v>
      </c>
      <c r="AA1827">
        <v>0.50061812284572826</v>
      </c>
      <c r="AB1827" t="str">
        <f>HYPERLINK("Melting_Curves/meltCurve_O75896_TUSC2.pdf", "Melting_Curves/meltCurve_O75896_TUSC2.pdf")</f>
        <v>Melting_Curves/meltCurve_O75896_TUSC2.pdf</v>
      </c>
    </row>
    <row r="1828" spans="1:28" x14ac:dyDescent="0.25">
      <c r="A1828" t="s">
        <v>1832</v>
      </c>
      <c r="B1828">
        <v>0.99472303558308395</v>
      </c>
      <c r="C1828">
        <v>0.88686067496415699</v>
      </c>
      <c r="D1828">
        <v>0.82486068129781698</v>
      </c>
      <c r="E1828">
        <v>0.76096499060055101</v>
      </c>
      <c r="F1828">
        <v>0.77591590558100199</v>
      </c>
      <c r="G1828">
        <v>0.44486362264357199</v>
      </c>
      <c r="H1828">
        <v>0.299623053460424</v>
      </c>
      <c r="I1828">
        <v>0.114646226325615</v>
      </c>
      <c r="J1828">
        <v>0.112536349575803</v>
      </c>
      <c r="K1828">
        <v>0.115011478298885</v>
      </c>
      <c r="L1828">
        <v>567.61610166470405</v>
      </c>
      <c r="M1828">
        <v>10.7367561029206</v>
      </c>
      <c r="N1828">
        <v>52.8666062877925</v>
      </c>
      <c r="O1828">
        <v>51.131710195322299</v>
      </c>
      <c r="P1828">
        <v>-5.2515026199227897E-2</v>
      </c>
      <c r="Q1828">
        <v>0</v>
      </c>
      <c r="R1828">
        <v>0.96041642712146802</v>
      </c>
      <c r="S1828" t="s">
        <v>8396</v>
      </c>
      <c r="T1828" t="s">
        <v>13134</v>
      </c>
      <c r="U1828" t="s">
        <v>13134</v>
      </c>
      <c r="V1828" t="s">
        <v>13134</v>
      </c>
      <c r="W1828" t="s">
        <v>14921</v>
      </c>
      <c r="X1828">
        <v>5</v>
      </c>
      <c r="Y1828" t="s">
        <v>21400</v>
      </c>
      <c r="Z1828" t="s">
        <v>27796</v>
      </c>
      <c r="AA1828">
        <v>0.55145104681357404</v>
      </c>
      <c r="AB1828" t="str">
        <f>HYPERLINK("Melting_Curves/meltCurve_O75909_CCNK.pdf", "Melting_Curves/meltCurve_O75909_CCNK.pdf")</f>
        <v>Melting_Curves/meltCurve_O75909_CCNK.pdf</v>
      </c>
    </row>
    <row r="1829" spans="1:28" x14ac:dyDescent="0.25">
      <c r="A1829" t="s">
        <v>1833</v>
      </c>
      <c r="B1829">
        <v>0.99472303558308395</v>
      </c>
      <c r="C1829">
        <v>0.94088932970530803</v>
      </c>
      <c r="D1829">
        <v>1.0429975380343099</v>
      </c>
      <c r="E1829">
        <v>0.78265004962560503</v>
      </c>
      <c r="F1829">
        <v>0.53061249870766303</v>
      </c>
      <c r="G1829">
        <v>0.45645298178079902</v>
      </c>
      <c r="H1829">
        <v>0.25190060268710401</v>
      </c>
      <c r="I1829">
        <v>0.115785120202665</v>
      </c>
      <c r="J1829">
        <v>0.12176770021493601</v>
      </c>
      <c r="K1829">
        <v>8.9717437154810301E-2</v>
      </c>
      <c r="L1829">
        <v>675.71014295960299</v>
      </c>
      <c r="M1829">
        <v>13.1378493426355</v>
      </c>
      <c r="N1829">
        <v>51.817981003740499</v>
      </c>
      <c r="O1829">
        <v>50.284486298063101</v>
      </c>
      <c r="P1829">
        <v>-6.2286003388380397E-2</v>
      </c>
      <c r="Q1829">
        <v>4.6574949528268197E-2</v>
      </c>
      <c r="R1829">
        <v>0.98104930170030102</v>
      </c>
      <c r="S1829" t="s">
        <v>8397</v>
      </c>
      <c r="T1829" t="s">
        <v>13134</v>
      </c>
      <c r="U1829" t="s">
        <v>13134</v>
      </c>
      <c r="V1829" t="s">
        <v>13134</v>
      </c>
      <c r="W1829" t="s">
        <v>14922</v>
      </c>
      <c r="X1829">
        <v>6</v>
      </c>
      <c r="Y1829" t="s">
        <v>21401</v>
      </c>
      <c r="Z1829" t="s">
        <v>27797</v>
      </c>
      <c r="AA1829">
        <v>0.52714459713107276</v>
      </c>
      <c r="AB1829" t="str">
        <f>HYPERLINK("Melting_Curves/meltCurve_O75911_DHRS3.pdf", "Melting_Curves/meltCurve_O75911_DHRS3.pdf")</f>
        <v>Melting_Curves/meltCurve_O75911_DHRS3.pdf</v>
      </c>
    </row>
    <row r="1830" spans="1:28" x14ac:dyDescent="0.25">
      <c r="A1830" t="s">
        <v>1834</v>
      </c>
      <c r="B1830">
        <v>0.99472303558308395</v>
      </c>
      <c r="C1830">
        <v>0.97981010139180502</v>
      </c>
      <c r="D1830">
        <v>1.0426847753216599</v>
      </c>
      <c r="E1830">
        <v>0.954138638795198</v>
      </c>
      <c r="F1830">
        <v>0.83806257671989004</v>
      </c>
      <c r="G1830">
        <v>0.70555328903847203</v>
      </c>
      <c r="H1830">
        <v>0.61978368787925997</v>
      </c>
      <c r="I1830">
        <v>0.583127904291459</v>
      </c>
      <c r="J1830">
        <v>0.61299088878270003</v>
      </c>
      <c r="K1830">
        <v>0.502595351401249</v>
      </c>
      <c r="L1830">
        <v>956.37159757125801</v>
      </c>
      <c r="M1830">
        <v>18.3883344853</v>
      </c>
      <c r="O1830">
        <v>51.406292618721501</v>
      </c>
      <c r="P1830">
        <v>-4.03128404694841E-2</v>
      </c>
      <c r="Q1830">
        <v>0.54922733327419604</v>
      </c>
      <c r="R1830">
        <v>0.97629364064593804</v>
      </c>
      <c r="S1830" t="s">
        <v>8398</v>
      </c>
      <c r="T1830" t="s">
        <v>13134</v>
      </c>
      <c r="U1830" t="s">
        <v>13134</v>
      </c>
      <c r="V1830" t="s">
        <v>13134</v>
      </c>
      <c r="W1830" t="s">
        <v>14923</v>
      </c>
      <c r="X1830">
        <v>8</v>
      </c>
      <c r="Y1830" t="s">
        <v>21402</v>
      </c>
      <c r="Z1830" t="s">
        <v>27798</v>
      </c>
      <c r="AA1830">
        <v>0.78136696559604646</v>
      </c>
      <c r="AB1830" t="str">
        <f>HYPERLINK("Melting_Curves/meltCurve_O75915_ARL6IP5.pdf", "Melting_Curves/meltCurve_O75915_ARL6IP5.pdf")</f>
        <v>Melting_Curves/meltCurve_O75915_ARL6IP5.pdf</v>
      </c>
    </row>
    <row r="1831" spans="1:28" x14ac:dyDescent="0.25">
      <c r="A1831" t="s">
        <v>1835</v>
      </c>
      <c r="B1831">
        <v>0.99472303558308395</v>
      </c>
      <c r="C1831">
        <v>0.980274423330594</v>
      </c>
      <c r="D1831">
        <v>0.97478784193838697</v>
      </c>
      <c r="E1831">
        <v>0.78254639194189302</v>
      </c>
      <c r="F1831">
        <v>0.493412633136317</v>
      </c>
      <c r="G1831">
        <v>0.12945903019608401</v>
      </c>
      <c r="H1831">
        <v>0.15926540157289201</v>
      </c>
      <c r="I1831">
        <v>8.6020986601726301E-2</v>
      </c>
      <c r="J1831">
        <v>0.18351986127499501</v>
      </c>
      <c r="K1831">
        <v>0.12742916386255401</v>
      </c>
      <c r="L1831">
        <v>1225.2582364517</v>
      </c>
      <c r="M1831">
        <v>24.965583022523901</v>
      </c>
      <c r="N1831">
        <v>49.621769853732403</v>
      </c>
      <c r="O1831">
        <v>48.766276617901802</v>
      </c>
      <c r="P1831">
        <v>-0.11266824601162299</v>
      </c>
      <c r="Q1831">
        <v>0.119694609432401</v>
      </c>
      <c r="R1831">
        <v>0.98882025742287405</v>
      </c>
      <c r="S1831" t="s">
        <v>8399</v>
      </c>
      <c r="T1831" t="s">
        <v>13134</v>
      </c>
      <c r="U1831" t="s">
        <v>13134</v>
      </c>
      <c r="V1831" t="s">
        <v>13134</v>
      </c>
      <c r="W1831" t="s">
        <v>14924</v>
      </c>
      <c r="X1831">
        <v>2</v>
      </c>
      <c r="Y1831" t="s">
        <v>21403</v>
      </c>
      <c r="Z1831" t="s">
        <v>27799</v>
      </c>
      <c r="AA1831">
        <v>0.48173750987661779</v>
      </c>
      <c r="AB1831" t="str">
        <f>HYPERLINK("Melting_Curves/meltCurve_O75923_15_DYSF.pdf", "Melting_Curves/meltCurve_O75923_15_DYSF.pdf")</f>
        <v>Melting_Curves/meltCurve_O75923_15_DYSF.pdf</v>
      </c>
    </row>
    <row r="1832" spans="1:28" x14ac:dyDescent="0.25">
      <c r="A1832" t="s">
        <v>1836</v>
      </c>
      <c r="B1832">
        <v>0.99472303558308395</v>
      </c>
      <c r="C1832">
        <v>0.85268101369878102</v>
      </c>
      <c r="D1832">
        <v>0.64641968034474595</v>
      </c>
      <c r="E1832">
        <v>0.36336987661890602</v>
      </c>
      <c r="F1832">
        <v>0.124817321944522</v>
      </c>
      <c r="G1832">
        <v>4.5451878658226197E-2</v>
      </c>
      <c r="H1832">
        <v>2.6104784899761001E-2</v>
      </c>
      <c r="I1832">
        <v>1.9053026745768201E-2</v>
      </c>
      <c r="J1832">
        <v>2.0058053007860201E-2</v>
      </c>
      <c r="K1832">
        <v>1.25211820214647E-2</v>
      </c>
      <c r="L1832">
        <v>725.98675291751101</v>
      </c>
      <c r="M1832">
        <v>16.2606866853958</v>
      </c>
      <c r="N1832">
        <v>44.659793949755297</v>
      </c>
      <c r="O1832">
        <v>43.9878898626121</v>
      </c>
      <c r="P1832">
        <v>-9.2203538920879999E-2</v>
      </c>
      <c r="Q1832">
        <v>2.3694146960391801E-3</v>
      </c>
      <c r="R1832">
        <v>0.99792669829354197</v>
      </c>
      <c r="S1832" t="s">
        <v>8400</v>
      </c>
      <c r="T1832" t="s">
        <v>13134</v>
      </c>
      <c r="U1832" t="s">
        <v>13134</v>
      </c>
      <c r="V1832" t="s">
        <v>13134</v>
      </c>
      <c r="W1832" t="s">
        <v>14925</v>
      </c>
      <c r="X1832">
        <v>4</v>
      </c>
      <c r="Y1832" t="s">
        <v>21404</v>
      </c>
      <c r="Z1832" t="s">
        <v>27800</v>
      </c>
      <c r="AA1832">
        <v>0.27704421735872298</v>
      </c>
      <c r="AB1832" t="str">
        <f>HYPERLINK("Melting_Curves/meltCurve_O75928_2_PIAS2.pdf", "Melting_Curves/meltCurve_O75928_2_PIAS2.pdf")</f>
        <v>Melting_Curves/meltCurve_O75928_2_PIAS2.pdf</v>
      </c>
    </row>
    <row r="1833" spans="1:28" x14ac:dyDescent="0.25">
      <c r="A1833" t="s">
        <v>1837</v>
      </c>
      <c r="B1833">
        <v>0.99472303558308395</v>
      </c>
      <c r="C1833">
        <v>0.875843360584873</v>
      </c>
      <c r="D1833">
        <v>0.70405117232931402</v>
      </c>
      <c r="E1833">
        <v>0.45737676750897399</v>
      </c>
      <c r="F1833">
        <v>0.393307829288842</v>
      </c>
      <c r="G1833">
        <v>0.19992002001289999</v>
      </c>
      <c r="H1833">
        <v>0.120795037447538</v>
      </c>
      <c r="I1833">
        <v>4.8650343806983798E-2</v>
      </c>
      <c r="J1833">
        <v>5.4013763696322298E-2</v>
      </c>
      <c r="K1833">
        <v>5.7748087858087001E-2</v>
      </c>
      <c r="L1833">
        <v>504.14918151071498</v>
      </c>
      <c r="M1833">
        <v>10.787380260829501</v>
      </c>
      <c r="N1833">
        <v>46.785927157920199</v>
      </c>
      <c r="O1833">
        <v>45.214987356268701</v>
      </c>
      <c r="P1833">
        <v>-5.9318981593934499E-2</v>
      </c>
      <c r="Q1833">
        <v>5.8265815595160003E-3</v>
      </c>
      <c r="R1833">
        <v>0.99007833651282795</v>
      </c>
      <c r="S1833" t="s">
        <v>8401</v>
      </c>
      <c r="T1833" t="s">
        <v>13134</v>
      </c>
      <c r="U1833" t="s">
        <v>13134</v>
      </c>
      <c r="V1833" t="s">
        <v>13134</v>
      </c>
      <c r="W1833" t="s">
        <v>14926</v>
      </c>
      <c r="X1833">
        <v>13</v>
      </c>
      <c r="Y1833" t="s">
        <v>21405</v>
      </c>
      <c r="Z1833" t="s">
        <v>27801</v>
      </c>
      <c r="AA1833">
        <v>0.36753347750007909</v>
      </c>
      <c r="AB1833" t="str">
        <f>HYPERLINK("Melting_Curves/meltCurve_O75934_BCAS2.pdf", "Melting_Curves/meltCurve_O75934_BCAS2.pdf")</f>
        <v>Melting_Curves/meltCurve_O75934_BCAS2.pdf</v>
      </c>
    </row>
    <row r="1834" spans="1:28" x14ac:dyDescent="0.25">
      <c r="A1834" t="s">
        <v>1838</v>
      </c>
      <c r="B1834">
        <v>0.99472303558308395</v>
      </c>
      <c r="C1834">
        <v>1.0192738980748199</v>
      </c>
      <c r="D1834">
        <v>0.92352678816260503</v>
      </c>
      <c r="E1834">
        <v>0.76232108862504999</v>
      </c>
      <c r="F1834">
        <v>0.43132392561564598</v>
      </c>
      <c r="G1834">
        <v>0.13578718921351399</v>
      </c>
      <c r="H1834">
        <v>7.6162140650407398E-2</v>
      </c>
      <c r="I1834">
        <v>6.6359054662538802E-2</v>
      </c>
      <c r="J1834">
        <v>7.4771922645711905E-2</v>
      </c>
      <c r="K1834">
        <v>6.3855085498997904E-2</v>
      </c>
      <c r="L1834">
        <v>1072.21046562529</v>
      </c>
      <c r="M1834">
        <v>21.884015766686598</v>
      </c>
      <c r="N1834">
        <v>49.242785806228</v>
      </c>
      <c r="O1834">
        <v>48.591527005047602</v>
      </c>
      <c r="P1834">
        <v>-0.10672727395588801</v>
      </c>
      <c r="Q1834">
        <v>5.2107611012337698E-2</v>
      </c>
      <c r="R1834">
        <v>0.99736241531880898</v>
      </c>
      <c r="S1834" t="s">
        <v>8402</v>
      </c>
      <c r="T1834" t="s">
        <v>13134</v>
      </c>
      <c r="U1834" t="s">
        <v>13134</v>
      </c>
      <c r="V1834" t="s">
        <v>13134</v>
      </c>
      <c r="W1834" t="s">
        <v>14927</v>
      </c>
      <c r="X1834">
        <v>8</v>
      </c>
      <c r="Y1834" t="s">
        <v>21406</v>
      </c>
      <c r="Z1834" t="s">
        <v>27802</v>
      </c>
      <c r="AA1834">
        <v>0.44167974156071532</v>
      </c>
      <c r="AB1834" t="str">
        <f>HYPERLINK("Melting_Curves/meltCurve_O75935_3_DCTN3.pdf", "Melting_Curves/meltCurve_O75935_3_DCTN3.pdf")</f>
        <v>Melting_Curves/meltCurve_O75935_3_DCTN3.pdf</v>
      </c>
    </row>
    <row r="1835" spans="1:28" x14ac:dyDescent="0.25">
      <c r="A1835" t="s">
        <v>1839</v>
      </c>
      <c r="B1835">
        <v>0.99472303558308395</v>
      </c>
      <c r="C1835">
        <v>0.935467474243452</v>
      </c>
      <c r="D1835">
        <v>1.0485029879718899</v>
      </c>
      <c r="E1835">
        <v>0.86958014553224094</v>
      </c>
      <c r="F1835">
        <v>0.50555461942219404</v>
      </c>
      <c r="G1835">
        <v>0.23002406011920801</v>
      </c>
      <c r="H1835">
        <v>0.12572675115152099</v>
      </c>
      <c r="I1835">
        <v>0.100395447503906</v>
      </c>
      <c r="J1835">
        <v>0.14846824811777101</v>
      </c>
      <c r="K1835">
        <v>0.121216849288995</v>
      </c>
      <c r="L1835">
        <v>1361.27184869539</v>
      </c>
      <c r="M1835">
        <v>27.359790571314399</v>
      </c>
      <c r="N1835">
        <v>50.252052410684399</v>
      </c>
      <c r="O1835">
        <v>49.490944344982303</v>
      </c>
      <c r="P1835">
        <v>-0.121807455361165</v>
      </c>
      <c r="Q1835">
        <v>0.118661477625896</v>
      </c>
      <c r="R1835">
        <v>0.99368603856835802</v>
      </c>
      <c r="S1835" t="s">
        <v>8403</v>
      </c>
      <c r="T1835" t="s">
        <v>13134</v>
      </c>
      <c r="U1835" t="s">
        <v>13134</v>
      </c>
      <c r="V1835" t="s">
        <v>13134</v>
      </c>
      <c r="W1835" t="s">
        <v>14928</v>
      </c>
      <c r="X1835">
        <v>22</v>
      </c>
      <c r="Y1835" t="s">
        <v>21407</v>
      </c>
      <c r="Z1835" t="s">
        <v>27803</v>
      </c>
      <c r="AA1835">
        <v>0.49981731482247033</v>
      </c>
      <c r="AB1835" t="str">
        <f>HYPERLINK("Melting_Curves/meltCurve_O75937_DNAJC8.pdf", "Melting_Curves/meltCurve_O75937_DNAJC8.pdf")</f>
        <v>Melting_Curves/meltCurve_O75937_DNAJC8.pdf</v>
      </c>
    </row>
    <row r="1836" spans="1:28" x14ac:dyDescent="0.25">
      <c r="A1836" t="s">
        <v>1840</v>
      </c>
      <c r="B1836">
        <v>0.99472303558308395</v>
      </c>
      <c r="C1836">
        <v>0.94852412770067396</v>
      </c>
      <c r="D1836">
        <v>0.91268215793293594</v>
      </c>
      <c r="E1836">
        <v>0.84606286670569297</v>
      </c>
      <c r="F1836">
        <v>0.79114633041524496</v>
      </c>
      <c r="G1836">
        <v>0.87279158220783104</v>
      </c>
      <c r="H1836">
        <v>0.80947325168694495</v>
      </c>
      <c r="I1836">
        <v>0.85225056513814801</v>
      </c>
      <c r="J1836">
        <v>1.2521810356073799</v>
      </c>
      <c r="K1836">
        <v>0.86782074489601502</v>
      </c>
      <c r="L1836">
        <v>1593.45059311208</v>
      </c>
      <c r="M1836">
        <v>39.968406510899598</v>
      </c>
      <c r="O1836">
        <v>39.768347638121902</v>
      </c>
      <c r="P1836">
        <v>-2.5177031279446999E-2</v>
      </c>
      <c r="Q1836">
        <v>0.89979618561573904</v>
      </c>
      <c r="R1836">
        <v>5.7440294634351401E-2</v>
      </c>
      <c r="S1836" t="s">
        <v>8404</v>
      </c>
      <c r="T1836" t="s">
        <v>13134</v>
      </c>
      <c r="U1836" t="s">
        <v>13134</v>
      </c>
      <c r="V1836" t="s">
        <v>13134</v>
      </c>
      <c r="W1836" t="s">
        <v>14929</v>
      </c>
      <c r="X1836">
        <v>11</v>
      </c>
      <c r="Y1836" t="s">
        <v>21408</v>
      </c>
      <c r="Z1836" t="s">
        <v>27804</v>
      </c>
      <c r="AA1836">
        <v>0.90977265555785702</v>
      </c>
      <c r="AB1836" t="str">
        <f>HYPERLINK("Melting_Curves/meltCurve_O75940_SMNDC1.pdf", "Melting_Curves/meltCurve_O75940_SMNDC1.pdf")</f>
        <v>Melting_Curves/meltCurve_O75940_SMNDC1.pdf</v>
      </c>
    </row>
    <row r="1837" spans="1:28" x14ac:dyDescent="0.25">
      <c r="A1837" t="s">
        <v>1841</v>
      </c>
      <c r="B1837">
        <v>0.99472303558308395</v>
      </c>
      <c r="C1837">
        <v>1.0237799525584199</v>
      </c>
      <c r="D1837">
        <v>0.63539036850983199</v>
      </c>
      <c r="E1837">
        <v>0.403109974140126</v>
      </c>
      <c r="F1837">
        <v>0.237141331026819</v>
      </c>
      <c r="G1837">
        <v>0.15150021772438799</v>
      </c>
      <c r="H1837">
        <v>0.114888910044998</v>
      </c>
      <c r="I1837">
        <v>6.7688002339037698E-2</v>
      </c>
      <c r="J1837">
        <v>1.9851701953726299E-2</v>
      </c>
      <c r="K1837">
        <v>4.9556992833726402E-2</v>
      </c>
      <c r="L1837">
        <v>756.31671820896202</v>
      </c>
      <c r="M1837">
        <v>16.7701720142285</v>
      </c>
      <c r="N1837">
        <v>45.455492060547002</v>
      </c>
      <c r="O1837">
        <v>44.472293052570301</v>
      </c>
      <c r="P1837">
        <v>-8.8468284081590201E-2</v>
      </c>
      <c r="Q1837">
        <v>6.16361125586165E-2</v>
      </c>
      <c r="R1837">
        <v>0.98071699545079705</v>
      </c>
      <c r="S1837" t="s">
        <v>8405</v>
      </c>
      <c r="T1837" t="s">
        <v>13134</v>
      </c>
      <c r="U1837" t="s">
        <v>13134</v>
      </c>
      <c r="V1837" t="s">
        <v>13134</v>
      </c>
      <c r="W1837" t="s">
        <v>14930</v>
      </c>
      <c r="X1837">
        <v>2</v>
      </c>
      <c r="Y1837" t="s">
        <v>21409</v>
      </c>
      <c r="Z1837" t="s">
        <v>27805</v>
      </c>
      <c r="AA1837">
        <v>0.3327214461513136</v>
      </c>
      <c r="AB1837" t="str">
        <f>HYPERLINK("Melting_Curves/meltCurve_O75943_4_RAD17.pdf", "Melting_Curves/meltCurve_O75943_4_RAD17.pdf")</f>
        <v>Melting_Curves/meltCurve_O75943_4_RAD17.pdf</v>
      </c>
    </row>
    <row r="1838" spans="1:28" x14ac:dyDescent="0.25">
      <c r="A1838" t="s">
        <v>1842</v>
      </c>
      <c r="B1838">
        <v>0.99472303558308395</v>
      </c>
      <c r="C1838">
        <v>0.86820424757273196</v>
      </c>
      <c r="D1838">
        <v>0.69015343157931897</v>
      </c>
      <c r="E1838">
        <v>0.60154979565628597</v>
      </c>
      <c r="F1838">
        <v>0.54542759530678797</v>
      </c>
      <c r="G1838">
        <v>0.25644354220375598</v>
      </c>
      <c r="H1838">
        <v>0.18861928480189899</v>
      </c>
      <c r="I1838">
        <v>0.14596674926786099</v>
      </c>
      <c r="J1838">
        <v>0.23759853455911301</v>
      </c>
      <c r="K1838">
        <v>0.19477868289147199</v>
      </c>
      <c r="L1838">
        <v>470.76905865715099</v>
      </c>
      <c r="M1838">
        <v>9.9768018776545393</v>
      </c>
      <c r="N1838">
        <v>48.508973437281298</v>
      </c>
      <c r="O1838">
        <v>45.408078826209298</v>
      </c>
      <c r="P1838">
        <v>-4.84114141636817E-2</v>
      </c>
      <c r="Q1838">
        <v>0.119080025684024</v>
      </c>
      <c r="R1838">
        <v>0.95931125779658999</v>
      </c>
      <c r="S1838" t="s">
        <v>8406</v>
      </c>
      <c r="T1838" t="s">
        <v>13134</v>
      </c>
      <c r="U1838" t="s">
        <v>13134</v>
      </c>
      <c r="V1838" t="s">
        <v>13134</v>
      </c>
      <c r="W1838" t="s">
        <v>14931</v>
      </c>
      <c r="X1838">
        <v>11</v>
      </c>
      <c r="Y1838" t="s">
        <v>21410</v>
      </c>
      <c r="Z1838" t="s">
        <v>27806</v>
      </c>
      <c r="AA1838">
        <v>0.45583477919609527</v>
      </c>
      <c r="AB1838" t="str">
        <f>HYPERLINK("Melting_Curves/meltCurve_O75947_ATP5H.pdf", "Melting_Curves/meltCurve_O75947_ATP5H.pdf")</f>
        <v>Melting_Curves/meltCurve_O75947_ATP5H.pdf</v>
      </c>
    </row>
    <row r="1839" spans="1:28" x14ac:dyDescent="0.25">
      <c r="A1839" t="s">
        <v>1843</v>
      </c>
      <c r="B1839">
        <v>0.99472303558308395</v>
      </c>
      <c r="C1839">
        <v>0.97599087168305898</v>
      </c>
      <c r="D1839">
        <v>0.69745267189118698</v>
      </c>
      <c r="E1839">
        <v>0.61003565979233298</v>
      </c>
      <c r="F1839">
        <v>0.50317910036556401</v>
      </c>
      <c r="G1839">
        <v>0.188501254979244</v>
      </c>
      <c r="H1839">
        <v>6.9164508262491001E-2</v>
      </c>
      <c r="I1839">
        <v>3.5090338972802997E-2</v>
      </c>
      <c r="J1839">
        <v>3.32872062167065E-2</v>
      </c>
      <c r="K1839">
        <v>3.5110057160046497E-2</v>
      </c>
      <c r="L1839">
        <v>582.99545537002302</v>
      </c>
      <c r="M1839">
        <v>12.084705908245301</v>
      </c>
      <c r="N1839">
        <v>48.242419838976801</v>
      </c>
      <c r="O1839">
        <v>46.978368115924901</v>
      </c>
      <c r="P1839">
        <v>-6.4325008365461706E-2</v>
      </c>
      <c r="Q1839">
        <v>0</v>
      </c>
      <c r="R1839">
        <v>0.97338186049526398</v>
      </c>
      <c r="S1839" t="s">
        <v>8407</v>
      </c>
      <c r="T1839" t="s">
        <v>13134</v>
      </c>
      <c r="U1839" t="s">
        <v>13134</v>
      </c>
      <c r="V1839" t="s">
        <v>13134</v>
      </c>
      <c r="W1839" t="s">
        <v>14932</v>
      </c>
      <c r="X1839">
        <v>30</v>
      </c>
      <c r="Y1839" t="s">
        <v>21411</v>
      </c>
      <c r="Z1839" t="s">
        <v>27807</v>
      </c>
      <c r="AA1839">
        <v>0.40536676300526348</v>
      </c>
      <c r="AB1839" t="str">
        <f>HYPERLINK("Melting_Curves/meltCurve_O75955_FLOT1.pdf", "Melting_Curves/meltCurve_O75955_FLOT1.pdf")</f>
        <v>Melting_Curves/meltCurve_O75955_FLOT1.pdf</v>
      </c>
    </row>
    <row r="1840" spans="1:28" x14ac:dyDescent="0.25">
      <c r="A1840" t="s">
        <v>1844</v>
      </c>
      <c r="B1840">
        <v>0.99472303558308395</v>
      </c>
      <c r="C1840">
        <v>0.95208961198767295</v>
      </c>
      <c r="D1840">
        <v>0.80375534724158404</v>
      </c>
      <c r="E1840">
        <v>0.654171334450527</v>
      </c>
      <c r="F1840">
        <v>0.465680989366758</v>
      </c>
      <c r="G1840">
        <v>0.28720553085431799</v>
      </c>
      <c r="H1840">
        <v>0.18296500569607799</v>
      </c>
      <c r="I1840">
        <v>0.18526944203783299</v>
      </c>
      <c r="J1840">
        <v>0.19230808843590599</v>
      </c>
      <c r="K1840">
        <v>0.10437313005774</v>
      </c>
      <c r="L1840">
        <v>595.10365516034506</v>
      </c>
      <c r="M1840">
        <v>12.3554618531382</v>
      </c>
      <c r="N1840">
        <v>49.136432899181898</v>
      </c>
      <c r="O1840">
        <v>46.955685899704598</v>
      </c>
      <c r="P1840">
        <v>-5.8668437321613302E-2</v>
      </c>
      <c r="Q1840">
        <v>0.108338440219136</v>
      </c>
      <c r="R1840">
        <v>0.99394755880969299</v>
      </c>
      <c r="S1840" t="s">
        <v>8408</v>
      </c>
      <c r="T1840" t="s">
        <v>13134</v>
      </c>
      <c r="U1840" t="s">
        <v>13134</v>
      </c>
      <c r="V1840" t="s">
        <v>13134</v>
      </c>
      <c r="W1840" t="s">
        <v>14933</v>
      </c>
      <c r="X1840">
        <v>5</v>
      </c>
      <c r="Y1840" t="s">
        <v>21412</v>
      </c>
      <c r="Z1840" t="s">
        <v>27808</v>
      </c>
      <c r="AA1840">
        <v>0.46672582940522078</v>
      </c>
      <c r="AB1840" t="str">
        <f>HYPERLINK("Melting_Curves/meltCurve_O75964_ATP5L.pdf", "Melting_Curves/meltCurve_O75964_ATP5L.pdf")</f>
        <v>Melting_Curves/meltCurve_O75964_ATP5L.pdf</v>
      </c>
    </row>
    <row r="1841" spans="1:28" x14ac:dyDescent="0.25">
      <c r="A1841" t="s">
        <v>1845</v>
      </c>
      <c r="B1841">
        <v>0.99472303558308395</v>
      </c>
      <c r="C1841">
        <v>0.96579235330896596</v>
      </c>
      <c r="D1841">
        <v>0.90750392880480202</v>
      </c>
      <c r="E1841">
        <v>0.78682625828077601</v>
      </c>
      <c r="F1841">
        <v>0.58890797754444901</v>
      </c>
      <c r="G1841">
        <v>0.216818120457104</v>
      </c>
      <c r="H1841">
        <v>0.124285617457849</v>
      </c>
      <c r="I1841">
        <v>8.2552516537685097E-2</v>
      </c>
      <c r="J1841">
        <v>8.2352961222135701E-2</v>
      </c>
      <c r="K1841">
        <v>8.2758879972895397E-2</v>
      </c>
      <c r="L1841">
        <v>903.93857338456803</v>
      </c>
      <c r="M1841">
        <v>18.013992629091302</v>
      </c>
      <c r="N1841">
        <v>50.480626348511798</v>
      </c>
      <c r="O1841">
        <v>49.5736780779567</v>
      </c>
      <c r="P1841">
        <v>-8.6225509752128796E-2</v>
      </c>
      <c r="Q1841">
        <v>5.0892240293986001E-2</v>
      </c>
      <c r="R1841">
        <v>0.99225570862265999</v>
      </c>
      <c r="S1841" t="s">
        <v>8409</v>
      </c>
      <c r="T1841" t="s">
        <v>13134</v>
      </c>
      <c r="U1841" t="s">
        <v>13134</v>
      </c>
      <c r="V1841" t="s">
        <v>13134</v>
      </c>
      <c r="W1841" t="s">
        <v>14934</v>
      </c>
      <c r="X1841">
        <v>16</v>
      </c>
      <c r="Y1841" t="s">
        <v>21413</v>
      </c>
      <c r="Z1841" t="s">
        <v>27809</v>
      </c>
      <c r="AA1841">
        <v>0.4827607868113295</v>
      </c>
      <c r="AB1841" t="str">
        <f>HYPERLINK("Melting_Curves/meltCurve_O75976_CPD.pdf", "Melting_Curves/meltCurve_O75976_CPD.pdf")</f>
        <v>Melting_Curves/meltCurve_O75976_CPD.pdf</v>
      </c>
    </row>
    <row r="1842" spans="1:28" x14ac:dyDescent="0.25">
      <c r="A1842" t="s">
        <v>1846</v>
      </c>
      <c r="B1842">
        <v>0.99472303558308395</v>
      </c>
      <c r="C1842">
        <v>0.999647659355695</v>
      </c>
      <c r="D1842">
        <v>1.01021746879929</v>
      </c>
      <c r="E1842">
        <v>0.86122732517192302</v>
      </c>
      <c r="F1842">
        <v>0.358590541097069</v>
      </c>
      <c r="G1842">
        <v>0.13525072004144501</v>
      </c>
      <c r="H1842">
        <v>7.2295216740142207E-2</v>
      </c>
      <c r="I1842">
        <v>4.4715122702816898E-2</v>
      </c>
      <c r="J1842">
        <v>4.95175507601101E-2</v>
      </c>
      <c r="K1842">
        <v>4.3015824340193201E-2</v>
      </c>
      <c r="L1842">
        <v>1557.73806128469</v>
      </c>
      <c r="M1842">
        <v>31.719712542476</v>
      </c>
      <c r="N1842">
        <v>49.285993849968399</v>
      </c>
      <c r="O1842">
        <v>48.915509750113998</v>
      </c>
      <c r="P1842">
        <v>-0.15341036953401199</v>
      </c>
      <c r="Q1842">
        <v>5.3697978647429603E-2</v>
      </c>
      <c r="R1842">
        <v>0.99911453084922797</v>
      </c>
      <c r="S1842" t="s">
        <v>8410</v>
      </c>
      <c r="T1842" t="s">
        <v>13134</v>
      </c>
      <c r="U1842" t="s">
        <v>13134</v>
      </c>
      <c r="V1842" t="s">
        <v>13134</v>
      </c>
      <c r="W1842" t="s">
        <v>14935</v>
      </c>
      <c r="X1842">
        <v>16</v>
      </c>
      <c r="Y1842" t="s">
        <v>21414</v>
      </c>
      <c r="Z1842" t="s">
        <v>27810</v>
      </c>
      <c r="AA1842">
        <v>0.44078851799775159</v>
      </c>
      <c r="AB1842" t="str">
        <f>HYPERLINK("Melting_Curves/meltCurve_O76003_GLRX3.pdf", "Melting_Curves/meltCurve_O76003_GLRX3.pdf")</f>
        <v>Melting_Curves/meltCurve_O76003_GLRX3.pdf</v>
      </c>
    </row>
    <row r="1843" spans="1:28" x14ac:dyDescent="0.25">
      <c r="A1843" t="s">
        <v>1847</v>
      </c>
      <c r="B1843">
        <v>0.99472303558308395</v>
      </c>
      <c r="C1843">
        <v>0.91656819433252901</v>
      </c>
      <c r="D1843">
        <v>0.88729445560055298</v>
      </c>
      <c r="E1843">
        <v>0.73975829653689495</v>
      </c>
      <c r="F1843">
        <v>0.50124254992987105</v>
      </c>
      <c r="G1843">
        <v>0.37611058370819</v>
      </c>
      <c r="H1843">
        <v>0.18817839053216201</v>
      </c>
      <c r="I1843">
        <v>6.4943412702018199E-2</v>
      </c>
      <c r="J1843">
        <v>5.7231793859733399E-2</v>
      </c>
      <c r="K1843">
        <v>4.5014505830464499E-2</v>
      </c>
      <c r="L1843">
        <v>608.75995387303794</v>
      </c>
      <c r="M1843">
        <v>12.0509988915167</v>
      </c>
      <c r="N1843">
        <v>50.515313476523097</v>
      </c>
      <c r="O1843">
        <v>49.1846321557639</v>
      </c>
      <c r="P1843">
        <v>-6.1268409140259897E-2</v>
      </c>
      <c r="Q1843">
        <v>0</v>
      </c>
      <c r="R1843">
        <v>0.99428874569160997</v>
      </c>
      <c r="S1843" t="s">
        <v>8411</v>
      </c>
      <c r="T1843" t="s">
        <v>13134</v>
      </c>
      <c r="U1843" t="s">
        <v>13134</v>
      </c>
      <c r="V1843" t="s">
        <v>13134</v>
      </c>
      <c r="W1843" t="s">
        <v>14936</v>
      </c>
      <c r="X1843">
        <v>18</v>
      </c>
      <c r="Y1843" t="s">
        <v>21415</v>
      </c>
      <c r="Z1843" t="s">
        <v>27811</v>
      </c>
      <c r="AA1843">
        <v>0.47740348925521647</v>
      </c>
      <c r="AB1843" t="str">
        <f>HYPERLINK("Melting_Curves/meltCurve_O76031_CLPX.pdf", "Melting_Curves/meltCurve_O76031_CLPX.pdf")</f>
        <v>Melting_Curves/meltCurve_O76031_CLPX.pdf</v>
      </c>
    </row>
    <row r="1844" spans="1:28" x14ac:dyDescent="0.25">
      <c r="A1844" t="s">
        <v>1848</v>
      </c>
      <c r="B1844">
        <v>0.99472303558308395</v>
      </c>
      <c r="C1844">
        <v>0.88704788717002803</v>
      </c>
      <c r="D1844">
        <v>0.88950028199514297</v>
      </c>
      <c r="E1844">
        <v>0.77798110006962895</v>
      </c>
      <c r="F1844">
        <v>0.64123225132787698</v>
      </c>
      <c r="G1844">
        <v>0.36340341850748398</v>
      </c>
      <c r="H1844">
        <v>0.305337985780823</v>
      </c>
      <c r="I1844">
        <v>0.24725169674300301</v>
      </c>
      <c r="J1844">
        <v>0.30889506852384602</v>
      </c>
      <c r="K1844">
        <v>0.320250737264689</v>
      </c>
      <c r="L1844">
        <v>711.87403389142298</v>
      </c>
      <c r="M1844">
        <v>14.476280762016</v>
      </c>
      <c r="N1844">
        <v>51.694711053321903</v>
      </c>
      <c r="O1844">
        <v>48.265389428659901</v>
      </c>
      <c r="P1844">
        <v>-5.6012515689187803E-2</v>
      </c>
      <c r="Q1844">
        <v>0.25308116000014902</v>
      </c>
      <c r="R1844">
        <v>0.96972385897126101</v>
      </c>
      <c r="S1844" t="s">
        <v>8412</v>
      </c>
      <c r="T1844" t="s">
        <v>13134</v>
      </c>
      <c r="U1844" t="s">
        <v>13134</v>
      </c>
      <c r="V1844" t="s">
        <v>13134</v>
      </c>
      <c r="W1844" t="s">
        <v>14937</v>
      </c>
      <c r="X1844">
        <v>5</v>
      </c>
      <c r="Y1844" t="s">
        <v>21416</v>
      </c>
      <c r="Z1844" t="s">
        <v>27812</v>
      </c>
      <c r="AA1844">
        <v>0.57309893538941603</v>
      </c>
      <c r="AB1844" t="str">
        <f>HYPERLINK("Melting_Curves/meltCurve_O76041_2_NEBL.pdf", "Melting_Curves/meltCurve_O76041_2_NEBL.pdf")</f>
        <v>Melting_Curves/meltCurve_O76041_2_NEBL.pdf</v>
      </c>
    </row>
    <row r="1845" spans="1:28" x14ac:dyDescent="0.25">
      <c r="A1845" t="s">
        <v>1849</v>
      </c>
      <c r="B1845">
        <v>0.99472303558308395</v>
      </c>
      <c r="C1845">
        <v>0.96802394244354695</v>
      </c>
      <c r="D1845">
        <v>1.0418922604013301</v>
      </c>
      <c r="E1845">
        <v>0.89232575910871603</v>
      </c>
      <c r="F1845">
        <v>0.65330089728462803</v>
      </c>
      <c r="G1845">
        <v>0.61708821126648195</v>
      </c>
      <c r="H1845">
        <v>0.61020318905599702</v>
      </c>
      <c r="I1845">
        <v>0.67207919181977704</v>
      </c>
      <c r="J1845">
        <v>1.0118352392947501</v>
      </c>
      <c r="K1845">
        <v>0.77686510782022</v>
      </c>
      <c r="L1845">
        <v>11670.9415526882</v>
      </c>
      <c r="M1845">
        <v>250</v>
      </c>
      <c r="O1845">
        <v>46.680778925723601</v>
      </c>
      <c r="P1845">
        <v>-0.37011757738129503</v>
      </c>
      <c r="Q1845">
        <v>0.72356197240897902</v>
      </c>
      <c r="R1845">
        <v>0.56999121631552097</v>
      </c>
      <c r="S1845" t="s">
        <v>8413</v>
      </c>
      <c r="T1845" t="s">
        <v>13134</v>
      </c>
      <c r="U1845" t="s">
        <v>13134</v>
      </c>
      <c r="V1845" t="s">
        <v>13134</v>
      </c>
      <c r="W1845" t="s">
        <v>14938</v>
      </c>
      <c r="X1845">
        <v>16</v>
      </c>
      <c r="Y1845" t="s">
        <v>21417</v>
      </c>
      <c r="Z1845" t="s">
        <v>27813</v>
      </c>
      <c r="AA1845">
        <v>0.81281666181018153</v>
      </c>
      <c r="AB1845" t="str">
        <f>HYPERLINK("Melting_Curves/meltCurve_O76070_SNCG.pdf", "Melting_Curves/meltCurve_O76070_SNCG.pdf")</f>
        <v>Melting_Curves/meltCurve_O76070_SNCG.pdf</v>
      </c>
    </row>
    <row r="1846" spans="1:28" x14ac:dyDescent="0.25">
      <c r="A1846" t="s">
        <v>1850</v>
      </c>
      <c r="B1846">
        <v>0.99472303558308395</v>
      </c>
      <c r="C1846">
        <v>1.0167865718456499</v>
      </c>
      <c r="D1846">
        <v>1.0074256904779499</v>
      </c>
      <c r="E1846">
        <v>0.98450779297114699</v>
      </c>
      <c r="F1846">
        <v>0.73860463644924401</v>
      </c>
      <c r="G1846">
        <v>0.64525945134345597</v>
      </c>
      <c r="H1846">
        <v>0.38103973099709498</v>
      </c>
      <c r="I1846">
        <v>0.27650896385798501</v>
      </c>
      <c r="J1846">
        <v>0.18185796188011399</v>
      </c>
      <c r="K1846">
        <v>9.8679345632514501E-2</v>
      </c>
      <c r="L1846">
        <v>735.66481281469805</v>
      </c>
      <c r="M1846">
        <v>13.2721625005109</v>
      </c>
      <c r="N1846">
        <v>55.693915850863597</v>
      </c>
      <c r="O1846">
        <v>54.216132641197198</v>
      </c>
      <c r="P1846">
        <v>-5.9338910317940197E-2</v>
      </c>
      <c r="Q1846">
        <v>3.0571839205219799E-2</v>
      </c>
      <c r="R1846">
        <v>0.99026689158352199</v>
      </c>
      <c r="S1846" t="s">
        <v>8414</v>
      </c>
      <c r="T1846" t="s">
        <v>13134</v>
      </c>
      <c r="U1846" t="s">
        <v>13134</v>
      </c>
      <c r="V1846" t="s">
        <v>13134</v>
      </c>
      <c r="W1846" t="s">
        <v>14939</v>
      </c>
      <c r="X1846">
        <v>9</v>
      </c>
      <c r="Y1846" t="s">
        <v>21418</v>
      </c>
      <c r="Z1846" t="s">
        <v>27814</v>
      </c>
      <c r="AA1846">
        <v>0.63871005278000659</v>
      </c>
      <c r="AB1846" t="str">
        <f>HYPERLINK("Melting_Curves/meltCurve_O76071_CIAO1.pdf", "Melting_Curves/meltCurve_O76071_CIAO1.pdf")</f>
        <v>Melting_Curves/meltCurve_O76071_CIAO1.pdf</v>
      </c>
    </row>
    <row r="1847" spans="1:28" x14ac:dyDescent="0.25">
      <c r="A1847" t="s">
        <v>1851</v>
      </c>
      <c r="B1847">
        <v>0.99472303558308395</v>
      </c>
      <c r="C1847">
        <v>1.0190472939572801</v>
      </c>
      <c r="D1847">
        <v>1.0474217354389801</v>
      </c>
      <c r="E1847">
        <v>0.85754361196462903</v>
      </c>
      <c r="F1847">
        <v>0.82541648517442001</v>
      </c>
      <c r="G1847">
        <v>0.42275641316009299</v>
      </c>
      <c r="H1847">
        <v>0.23201098359005701</v>
      </c>
      <c r="I1847">
        <v>0.13647891499196399</v>
      </c>
      <c r="J1847">
        <v>6.3689491877197593E-2</v>
      </c>
      <c r="K1847">
        <v>0.1674851309323</v>
      </c>
      <c r="L1847">
        <v>1208.177829337</v>
      </c>
      <c r="M1847">
        <v>22.951678651307599</v>
      </c>
      <c r="N1847">
        <v>53.184345755911302</v>
      </c>
      <c r="O1847">
        <v>52.245357211593202</v>
      </c>
      <c r="P1847">
        <v>-9.8332895889715194E-2</v>
      </c>
      <c r="Q1847">
        <v>0.104668822916751</v>
      </c>
      <c r="R1847">
        <v>0.98534502969828397</v>
      </c>
      <c r="S1847" t="s">
        <v>8415</v>
      </c>
      <c r="T1847" t="s">
        <v>13134</v>
      </c>
      <c r="U1847" t="s">
        <v>13134</v>
      </c>
      <c r="V1847" t="s">
        <v>13134</v>
      </c>
      <c r="W1847" t="s">
        <v>14940</v>
      </c>
      <c r="X1847">
        <v>2</v>
      </c>
      <c r="Y1847" t="s">
        <v>21419</v>
      </c>
      <c r="Z1847" t="s">
        <v>27815</v>
      </c>
      <c r="AA1847">
        <v>0.58060815538590249</v>
      </c>
      <c r="AB1847" t="str">
        <f>HYPERLINK("Melting_Curves/meltCurve_O76075_2_DFFB.pdf", "Melting_Curves/meltCurve_O76075_2_DFFB.pdf")</f>
        <v>Melting_Curves/meltCurve_O76075_2_DFFB.pdf</v>
      </c>
    </row>
    <row r="1848" spans="1:28" x14ac:dyDescent="0.25">
      <c r="A1848" t="s">
        <v>1852</v>
      </c>
      <c r="B1848">
        <v>0.99472303558308395</v>
      </c>
      <c r="C1848">
        <v>0.95009412314924702</v>
      </c>
      <c r="D1848">
        <v>0.967054847264461</v>
      </c>
      <c r="E1848">
        <v>0.82730439694887303</v>
      </c>
      <c r="F1848">
        <v>0.56682587126881101</v>
      </c>
      <c r="G1848">
        <v>0.47304433297611997</v>
      </c>
      <c r="H1848">
        <v>0.428974913094194</v>
      </c>
      <c r="I1848">
        <v>0.47759806034281299</v>
      </c>
      <c r="J1848">
        <v>0.67099605590242595</v>
      </c>
      <c r="K1848">
        <v>0.45440232887069998</v>
      </c>
      <c r="L1848">
        <v>1678.6817507911901</v>
      </c>
      <c r="M1848">
        <v>35.410154626761702</v>
      </c>
      <c r="O1848">
        <v>47.256365375949102</v>
      </c>
      <c r="P1848">
        <v>-9.3586886703133407E-2</v>
      </c>
      <c r="Q1848">
        <v>0.50041896968919997</v>
      </c>
      <c r="R1848">
        <v>0.91559380664297796</v>
      </c>
      <c r="S1848" t="s">
        <v>8416</v>
      </c>
      <c r="T1848" t="s">
        <v>13134</v>
      </c>
      <c r="U1848" t="s">
        <v>13134</v>
      </c>
      <c r="V1848" t="s">
        <v>13134</v>
      </c>
      <c r="W1848" t="s">
        <v>14941</v>
      </c>
      <c r="X1848">
        <v>7</v>
      </c>
      <c r="Y1848" t="s">
        <v>21420</v>
      </c>
      <c r="Z1848" t="s">
        <v>27816</v>
      </c>
      <c r="AA1848">
        <v>0.67581394012613805</v>
      </c>
      <c r="AB1848" t="str">
        <f>HYPERLINK("Melting_Curves/meltCurve_O76080_ZFAND5.pdf", "Melting_Curves/meltCurve_O76080_ZFAND5.pdf")</f>
        <v>Melting_Curves/meltCurve_O76080_ZFAND5.pdf</v>
      </c>
    </row>
    <row r="1849" spans="1:28" x14ac:dyDescent="0.25">
      <c r="A1849" t="s">
        <v>1853</v>
      </c>
      <c r="B1849">
        <v>0.99472303558308395</v>
      </c>
      <c r="C1849">
        <v>0.89131876144673305</v>
      </c>
      <c r="D1849">
        <v>0.77635410960278795</v>
      </c>
      <c r="E1849">
        <v>0.59672317182029599</v>
      </c>
      <c r="F1849">
        <v>0.171731127098599</v>
      </c>
      <c r="G1849">
        <v>0.100476043007775</v>
      </c>
      <c r="H1849">
        <v>6.6798685715195899E-2</v>
      </c>
      <c r="I1849">
        <v>4.9699763181123298E-2</v>
      </c>
      <c r="J1849">
        <v>5.2648605154807702E-2</v>
      </c>
      <c r="K1849">
        <v>4.13980773622886E-2</v>
      </c>
      <c r="L1849">
        <v>805.31940826125901</v>
      </c>
      <c r="M1849">
        <v>17.295146141745601</v>
      </c>
      <c r="N1849">
        <v>46.716322325267399</v>
      </c>
      <c r="O1849">
        <v>45.954187478009302</v>
      </c>
      <c r="P1849">
        <v>-9.1503621163255E-2</v>
      </c>
      <c r="Q1849">
        <v>2.7534931172603399E-2</v>
      </c>
      <c r="R1849">
        <v>0.98719290986521302</v>
      </c>
      <c r="S1849" t="s">
        <v>8417</v>
      </c>
      <c r="T1849" t="s">
        <v>13134</v>
      </c>
      <c r="U1849" t="s">
        <v>13134</v>
      </c>
      <c r="V1849" t="s">
        <v>13134</v>
      </c>
      <c r="W1849" t="s">
        <v>14942</v>
      </c>
      <c r="X1849">
        <v>24</v>
      </c>
      <c r="Y1849" t="s">
        <v>21421</v>
      </c>
      <c r="Z1849" t="s">
        <v>27817</v>
      </c>
      <c r="AA1849">
        <v>0.35444297353409382</v>
      </c>
      <c r="AB1849" t="str">
        <f>HYPERLINK("Melting_Curves/meltCurve_O76094_SRP72.pdf", "Melting_Curves/meltCurve_O76094_SRP72.pdf")</f>
        <v>Melting_Curves/meltCurve_O76094_SRP72.pdf</v>
      </c>
    </row>
    <row r="1850" spans="1:28" x14ac:dyDescent="0.25">
      <c r="A1850" t="s">
        <v>1854</v>
      </c>
      <c r="B1850">
        <v>0.99472303558308395</v>
      </c>
      <c r="C1850">
        <v>1.0443652988551799</v>
      </c>
      <c r="D1850">
        <v>0.83720197943977004</v>
      </c>
      <c r="E1850">
        <v>0.80573842279865204</v>
      </c>
      <c r="F1850">
        <v>0.57934601474960501</v>
      </c>
      <c r="G1850">
        <v>0.42335929068381301</v>
      </c>
      <c r="H1850">
        <v>0.32815961334532001</v>
      </c>
      <c r="I1850">
        <v>0.33012435408088198</v>
      </c>
      <c r="J1850">
        <v>0.34666909226801301</v>
      </c>
      <c r="K1850">
        <v>0.35150287192584301</v>
      </c>
      <c r="L1850">
        <v>789.02656502602099</v>
      </c>
      <c r="M1850">
        <v>16.256249018278702</v>
      </c>
      <c r="N1850">
        <v>51.731361708879398</v>
      </c>
      <c r="O1850">
        <v>47.820159882063699</v>
      </c>
      <c r="P1850">
        <v>-5.8069488595138399E-2</v>
      </c>
      <c r="Q1850">
        <v>0.31677040075313201</v>
      </c>
      <c r="R1850">
        <v>0.97877845009772002</v>
      </c>
      <c r="S1850" t="s">
        <v>8418</v>
      </c>
      <c r="T1850" t="s">
        <v>13134</v>
      </c>
      <c r="U1850" t="s">
        <v>13134</v>
      </c>
      <c r="V1850" t="s">
        <v>13134</v>
      </c>
      <c r="W1850" t="s">
        <v>14943</v>
      </c>
      <c r="X1850">
        <v>2</v>
      </c>
      <c r="Y1850" t="s">
        <v>21422</v>
      </c>
      <c r="Z1850" t="s">
        <v>27818</v>
      </c>
      <c r="AA1850">
        <v>0.59252051722196952</v>
      </c>
      <c r="AB1850" t="str">
        <f>HYPERLINK("Melting_Curves/meltCurve_O76095_2_JTB.pdf", "Melting_Curves/meltCurve_O76095_2_JTB.pdf")</f>
        <v>Melting_Curves/meltCurve_O76095_2_JTB.pdf</v>
      </c>
    </row>
    <row r="1851" spans="1:28" x14ac:dyDescent="0.25">
      <c r="A1851" t="s">
        <v>1855</v>
      </c>
      <c r="B1851">
        <v>0.99472303558308395</v>
      </c>
      <c r="C1851">
        <v>0.932864256638261</v>
      </c>
      <c r="D1851">
        <v>0.83423665691097304</v>
      </c>
      <c r="E1851">
        <v>0.44689188207878699</v>
      </c>
      <c r="F1851">
        <v>0.18396351795208099</v>
      </c>
      <c r="G1851">
        <v>0.16351292415976301</v>
      </c>
      <c r="H1851">
        <v>0.123752018503515</v>
      </c>
      <c r="I1851">
        <v>0.103495011916477</v>
      </c>
      <c r="J1851">
        <v>0.129723560583104</v>
      </c>
      <c r="K1851">
        <v>0.11789850963005601</v>
      </c>
      <c r="L1851">
        <v>1075.34771755459</v>
      </c>
      <c r="M1851">
        <v>23.617328312787102</v>
      </c>
      <c r="N1851">
        <v>46.055606874265102</v>
      </c>
      <c r="O1851">
        <v>45.209461546064603</v>
      </c>
      <c r="P1851">
        <v>-0.11522848869494499</v>
      </c>
      <c r="Q1851">
        <v>0.11771026956243</v>
      </c>
      <c r="R1851">
        <v>0.99768846209635298</v>
      </c>
      <c r="S1851" t="s">
        <v>8419</v>
      </c>
      <c r="T1851" t="s">
        <v>13134</v>
      </c>
      <c r="U1851" t="s">
        <v>13134</v>
      </c>
      <c r="V1851" t="s">
        <v>13134</v>
      </c>
      <c r="W1851" t="s">
        <v>14944</v>
      </c>
      <c r="X1851">
        <v>4</v>
      </c>
      <c r="Y1851" t="s">
        <v>21423</v>
      </c>
      <c r="Z1851" t="s">
        <v>27819</v>
      </c>
      <c r="AA1851">
        <v>0.3768215956932362</v>
      </c>
      <c r="AB1851" t="str">
        <f>HYPERLINK("Melting_Curves/meltCurve_O94761_RECQL4.pdf", "Melting_Curves/meltCurve_O94761_RECQL4.pdf")</f>
        <v>Melting_Curves/meltCurve_O94761_RECQL4.pdf</v>
      </c>
    </row>
    <row r="1852" spans="1:28" x14ac:dyDescent="0.25">
      <c r="A1852" t="s">
        <v>1856</v>
      </c>
      <c r="B1852">
        <v>0.99472303558308395</v>
      </c>
      <c r="C1852">
        <v>0.94406515102912802</v>
      </c>
      <c r="D1852">
        <v>0.86398009671093001</v>
      </c>
      <c r="E1852">
        <v>0.54386564583161101</v>
      </c>
      <c r="F1852">
        <v>0.25183442916457999</v>
      </c>
      <c r="G1852">
        <v>0.12440819872808</v>
      </c>
      <c r="H1852">
        <v>7.9551319121899305E-2</v>
      </c>
      <c r="I1852">
        <v>6.7710199891127698E-2</v>
      </c>
      <c r="J1852">
        <v>9.31056554237224E-2</v>
      </c>
      <c r="K1852">
        <v>6.2987955113783703E-2</v>
      </c>
      <c r="L1852">
        <v>930.66561738811095</v>
      </c>
      <c r="M1852">
        <v>19.930778059245799</v>
      </c>
      <c r="N1852">
        <v>47.028095011753798</v>
      </c>
      <c r="O1852">
        <v>46.232463845126098</v>
      </c>
      <c r="P1852">
        <v>-0.100681527113931</v>
      </c>
      <c r="Q1852">
        <v>6.5846994237305806E-2</v>
      </c>
      <c r="R1852">
        <v>0.99900523808610597</v>
      </c>
      <c r="S1852" t="s">
        <v>8420</v>
      </c>
      <c r="T1852" t="s">
        <v>13134</v>
      </c>
      <c r="U1852" t="s">
        <v>13134</v>
      </c>
      <c r="V1852" t="s">
        <v>13134</v>
      </c>
      <c r="W1852" t="s">
        <v>14945</v>
      </c>
      <c r="X1852">
        <v>15</v>
      </c>
      <c r="Y1852" t="s">
        <v>21424</v>
      </c>
      <c r="Z1852" t="s">
        <v>27820</v>
      </c>
      <c r="AA1852">
        <v>0.38003460341160139</v>
      </c>
      <c r="AB1852" t="str">
        <f>HYPERLINK("Melting_Curves/meltCurve_O94762_RECQL5.pdf", "Melting_Curves/meltCurve_O94762_RECQL5.pdf")</f>
        <v>Melting_Curves/meltCurve_O94762_RECQL5.pdf</v>
      </c>
    </row>
    <row r="1853" spans="1:28" x14ac:dyDescent="0.25">
      <c r="A1853" t="s">
        <v>1857</v>
      </c>
      <c r="B1853">
        <v>0.99472303558308395</v>
      </c>
      <c r="C1853">
        <v>1.0411798966614001</v>
      </c>
      <c r="D1853">
        <v>0.75945535629222805</v>
      </c>
      <c r="E1853">
        <v>0.76519366653259802</v>
      </c>
      <c r="F1853">
        <v>0.81283126587418597</v>
      </c>
      <c r="G1853">
        <v>0.62533320792003599</v>
      </c>
      <c r="H1853">
        <v>0.29535664740886503</v>
      </c>
      <c r="I1853">
        <v>0.29405103994772303</v>
      </c>
      <c r="J1853">
        <v>0.20909895097192399</v>
      </c>
      <c r="K1853">
        <v>0.230558526473432</v>
      </c>
      <c r="L1853">
        <v>463.03163096237802</v>
      </c>
      <c r="M1853">
        <v>8.4154723576492696</v>
      </c>
      <c r="N1853">
        <v>55.021458472239203</v>
      </c>
      <c r="O1853">
        <v>52.177899555007798</v>
      </c>
      <c r="P1853">
        <v>-4.0358783883908601E-2</v>
      </c>
      <c r="Q1853">
        <v>0</v>
      </c>
      <c r="R1853">
        <v>0.92310049645967696</v>
      </c>
      <c r="S1853" t="s">
        <v>8421</v>
      </c>
      <c r="T1853" t="s">
        <v>13134</v>
      </c>
      <c r="U1853" t="s">
        <v>13134</v>
      </c>
      <c r="V1853" t="s">
        <v>13134</v>
      </c>
      <c r="W1853" t="s">
        <v>14946</v>
      </c>
      <c r="X1853">
        <v>10</v>
      </c>
      <c r="Y1853" t="s">
        <v>21425</v>
      </c>
      <c r="Z1853" t="s">
        <v>27821</v>
      </c>
      <c r="AA1853">
        <v>0.60883176249686799</v>
      </c>
      <c r="AB1853" t="str">
        <f>HYPERLINK("Melting_Curves/meltCurve_O94763_URI1.pdf", "Melting_Curves/meltCurve_O94763_URI1.pdf")</f>
        <v>Melting_Curves/meltCurve_O94763_URI1.pdf</v>
      </c>
    </row>
    <row r="1854" spans="1:28" x14ac:dyDescent="0.25">
      <c r="A1854" t="s">
        <v>1858</v>
      </c>
      <c r="B1854">
        <v>0.99472303558308395</v>
      </c>
      <c r="C1854">
        <v>0.95591642301570401</v>
      </c>
      <c r="D1854">
        <v>0.81702455629886095</v>
      </c>
      <c r="E1854">
        <v>0.77420415649299501</v>
      </c>
      <c r="F1854">
        <v>0.68349969921338005</v>
      </c>
      <c r="G1854">
        <v>0.21437785967009401</v>
      </c>
      <c r="H1854">
        <v>9.6245348213971696E-2</v>
      </c>
      <c r="I1854">
        <v>6.9191217470342695E-2</v>
      </c>
      <c r="J1854">
        <v>9.4403441950313596E-2</v>
      </c>
      <c r="K1854">
        <v>8.0583093858118807E-2</v>
      </c>
      <c r="L1854">
        <v>818.16824129404802</v>
      </c>
      <c r="M1854">
        <v>16.159259417590398</v>
      </c>
      <c r="N1854">
        <v>50.795888909355398</v>
      </c>
      <c r="O1854">
        <v>49.875182783768203</v>
      </c>
      <c r="P1854">
        <v>-7.8941553261547698E-2</v>
      </c>
      <c r="Q1854">
        <v>2.5468423595983999E-2</v>
      </c>
      <c r="R1854">
        <v>0.96446271180356302</v>
      </c>
      <c r="S1854" t="s">
        <v>8422</v>
      </c>
      <c r="T1854" t="s">
        <v>13134</v>
      </c>
      <c r="U1854" t="s">
        <v>13134</v>
      </c>
      <c r="V1854" t="s">
        <v>13134</v>
      </c>
      <c r="W1854" t="s">
        <v>14947</v>
      </c>
      <c r="X1854">
        <v>4</v>
      </c>
      <c r="Y1854" t="s">
        <v>21426</v>
      </c>
      <c r="Z1854" t="s">
        <v>27822</v>
      </c>
      <c r="AA1854">
        <v>0.48621415174020449</v>
      </c>
      <c r="AB1854" t="str">
        <f>HYPERLINK("Melting_Curves/meltCurve_O94766_B3GAT3.pdf", "Melting_Curves/meltCurve_O94766_B3GAT3.pdf")</f>
        <v>Melting_Curves/meltCurve_O94766_B3GAT3.pdf</v>
      </c>
    </row>
    <row r="1855" spans="1:28" x14ac:dyDescent="0.25">
      <c r="A1855" t="s">
        <v>1859</v>
      </c>
      <c r="B1855">
        <v>0.99472303558308395</v>
      </c>
      <c r="C1855">
        <v>0.82953996039143996</v>
      </c>
      <c r="D1855">
        <v>0.68376880959350805</v>
      </c>
      <c r="E1855">
        <v>0.34199664960412701</v>
      </c>
      <c r="F1855">
        <v>0.17409240001301801</v>
      </c>
      <c r="G1855">
        <v>6.8518253151483605E-2</v>
      </c>
      <c r="H1855">
        <v>3.5756427371349903E-2</v>
      </c>
      <c r="I1855">
        <v>2.7888185580550801E-2</v>
      </c>
      <c r="J1855">
        <v>3.0714670840769401E-2</v>
      </c>
      <c r="K1855">
        <v>2.2736620879633102E-2</v>
      </c>
      <c r="L1855">
        <v>702.83826743937198</v>
      </c>
      <c r="M1855">
        <v>15.7173991159157</v>
      </c>
      <c r="N1855">
        <v>44.796394683340999</v>
      </c>
      <c r="O1855">
        <v>44.012106643111501</v>
      </c>
      <c r="P1855">
        <v>-8.8063189719928103E-2</v>
      </c>
      <c r="Q1855">
        <v>1.36993018609275E-2</v>
      </c>
      <c r="R1855">
        <v>0.99689423388779697</v>
      </c>
      <c r="S1855" t="s">
        <v>8423</v>
      </c>
      <c r="T1855" t="s">
        <v>13134</v>
      </c>
      <c r="U1855" t="s">
        <v>13134</v>
      </c>
      <c r="V1855" t="s">
        <v>13134</v>
      </c>
      <c r="W1855" t="s">
        <v>14948</v>
      </c>
      <c r="X1855">
        <v>29</v>
      </c>
      <c r="Y1855" t="s">
        <v>21427</v>
      </c>
      <c r="Z1855" t="s">
        <v>27823</v>
      </c>
      <c r="AA1855">
        <v>0.28898048733722709</v>
      </c>
      <c r="AB1855" t="str">
        <f>HYPERLINK("Melting_Curves/meltCurve_O94776_MTA2.pdf", "Melting_Curves/meltCurve_O94776_MTA2.pdf")</f>
        <v>Melting_Curves/meltCurve_O94776_MTA2.pdf</v>
      </c>
    </row>
    <row r="1856" spans="1:28" x14ac:dyDescent="0.25">
      <c r="A1856" t="s">
        <v>1860</v>
      </c>
      <c r="B1856">
        <v>0.99472303558308395</v>
      </c>
      <c r="C1856">
        <v>0.90276850922587104</v>
      </c>
      <c r="D1856">
        <v>0.81623688243035997</v>
      </c>
      <c r="E1856">
        <v>0.58204675779554105</v>
      </c>
      <c r="F1856">
        <v>0.19576291646862101</v>
      </c>
      <c r="G1856">
        <v>9.6719925777117202E-2</v>
      </c>
      <c r="H1856">
        <v>6.4344635103950096E-2</v>
      </c>
      <c r="I1856">
        <v>5.4027613378750602E-2</v>
      </c>
      <c r="J1856">
        <v>7.6867055341989204E-2</v>
      </c>
      <c r="K1856">
        <v>5.7896065914647597E-2</v>
      </c>
      <c r="L1856">
        <v>890.20829290005804</v>
      </c>
      <c r="M1856">
        <v>19.089672254884398</v>
      </c>
      <c r="N1856">
        <v>46.862487723815697</v>
      </c>
      <c r="O1856">
        <v>46.130267248079598</v>
      </c>
      <c r="P1856">
        <v>-9.8842174507053807E-2</v>
      </c>
      <c r="Q1856">
        <v>4.4627026238346301E-2</v>
      </c>
      <c r="R1856">
        <v>0.99237621241844798</v>
      </c>
      <c r="S1856" t="s">
        <v>8424</v>
      </c>
      <c r="T1856" t="s">
        <v>13134</v>
      </c>
      <c r="U1856" t="s">
        <v>13134</v>
      </c>
      <c r="V1856" t="s">
        <v>13134</v>
      </c>
      <c r="W1856" t="s">
        <v>14949</v>
      </c>
      <c r="X1856">
        <v>6</v>
      </c>
      <c r="Y1856" t="s">
        <v>21428</v>
      </c>
      <c r="Z1856" t="s">
        <v>27824</v>
      </c>
      <c r="AA1856">
        <v>0.36509639897642371</v>
      </c>
      <c r="AB1856" t="str">
        <f>HYPERLINK("Melting_Curves/meltCurve_O94782_USP1.pdf", "Melting_Curves/meltCurve_O94782_USP1.pdf")</f>
        <v>Melting_Curves/meltCurve_O94782_USP1.pdf</v>
      </c>
    </row>
    <row r="1857" spans="1:28" x14ac:dyDescent="0.25">
      <c r="A1857" t="s">
        <v>1861</v>
      </c>
      <c r="B1857">
        <v>0.99472303558308395</v>
      </c>
      <c r="C1857">
        <v>0.96022736889197602</v>
      </c>
      <c r="D1857">
        <v>0.82753861818128405</v>
      </c>
      <c r="E1857">
        <v>0.79070200917254696</v>
      </c>
      <c r="F1857">
        <v>0.85263251860502098</v>
      </c>
      <c r="G1857">
        <v>0.525506792481089</v>
      </c>
      <c r="H1857">
        <v>0.39017822832653098</v>
      </c>
      <c r="I1857">
        <v>0.27533105285436299</v>
      </c>
      <c r="J1857">
        <v>0.31612722006399502</v>
      </c>
      <c r="K1857">
        <v>0.16314020338590601</v>
      </c>
      <c r="L1857">
        <v>464.27285703255598</v>
      </c>
      <c r="M1857">
        <v>8.3771832177860102</v>
      </c>
      <c r="N1857">
        <v>55.421117689925701</v>
      </c>
      <c r="O1857">
        <v>52.532869275753001</v>
      </c>
      <c r="P1857">
        <v>-3.9904331000880998E-2</v>
      </c>
      <c r="Q1857">
        <v>0</v>
      </c>
      <c r="R1857">
        <v>0.95095930180253296</v>
      </c>
      <c r="S1857" t="s">
        <v>8425</v>
      </c>
      <c r="T1857" t="s">
        <v>13134</v>
      </c>
      <c r="U1857" t="s">
        <v>13134</v>
      </c>
      <c r="V1857" t="s">
        <v>13134</v>
      </c>
      <c r="W1857" t="s">
        <v>14950</v>
      </c>
      <c r="X1857">
        <v>30</v>
      </c>
      <c r="Y1857" t="s">
        <v>21429</v>
      </c>
      <c r="Z1857" t="s">
        <v>27825</v>
      </c>
      <c r="AA1857">
        <v>0.61891285856000799</v>
      </c>
      <c r="AB1857" t="str">
        <f>HYPERLINK("Melting_Curves/meltCurve_O94788_ALDH1A2.pdf", "Melting_Curves/meltCurve_O94788_ALDH1A2.pdf")</f>
        <v>Melting_Curves/meltCurve_O94788_ALDH1A2.pdf</v>
      </c>
    </row>
    <row r="1858" spans="1:28" x14ac:dyDescent="0.25">
      <c r="A1858" t="s">
        <v>1862</v>
      </c>
      <c r="B1858">
        <v>0.99472303558308395</v>
      </c>
      <c r="C1858">
        <v>1.1037102305484801</v>
      </c>
      <c r="D1858">
        <v>1.0148550259784801</v>
      </c>
      <c r="E1858">
        <v>0.45618644582811901</v>
      </c>
      <c r="F1858">
        <v>0.25555232158176699</v>
      </c>
      <c r="G1858">
        <v>0.111040523739401</v>
      </c>
      <c r="H1858">
        <v>7.16281091283206E-2</v>
      </c>
      <c r="I1858">
        <v>6.29701714690582E-2</v>
      </c>
      <c r="J1858">
        <v>9.4132731046944099E-2</v>
      </c>
      <c r="K1858">
        <v>7.7558808715301797E-2</v>
      </c>
      <c r="L1858">
        <v>1615.3327748203801</v>
      </c>
      <c r="M1858">
        <v>34.881314241106097</v>
      </c>
      <c r="N1858">
        <v>46.597744524280799</v>
      </c>
      <c r="O1858">
        <v>46.158002874422401</v>
      </c>
      <c r="P1858">
        <v>-0.17058478476156599</v>
      </c>
      <c r="Q1858">
        <v>9.7072806920980997E-2</v>
      </c>
      <c r="R1858">
        <v>0.982081712367599</v>
      </c>
      <c r="S1858" t="s">
        <v>8426</v>
      </c>
      <c r="T1858" t="s">
        <v>13134</v>
      </c>
      <c r="U1858" t="s">
        <v>13134</v>
      </c>
      <c r="V1858" t="s">
        <v>13134</v>
      </c>
      <c r="W1858" t="s">
        <v>14951</v>
      </c>
      <c r="X1858">
        <v>6</v>
      </c>
      <c r="Y1858" t="s">
        <v>21430</v>
      </c>
      <c r="Z1858" t="s">
        <v>27826</v>
      </c>
      <c r="AA1858">
        <v>0.38107770382301348</v>
      </c>
      <c r="AB1858" t="str">
        <f>HYPERLINK("Melting_Curves/meltCurve_O94804_STK10.pdf", "Melting_Curves/meltCurve_O94804_STK10.pdf")</f>
        <v>Melting_Curves/meltCurve_O94804_STK10.pdf</v>
      </c>
    </row>
    <row r="1859" spans="1:28" x14ac:dyDescent="0.25">
      <c r="A1859" t="s">
        <v>1863</v>
      </c>
      <c r="B1859">
        <v>0.99472303558308395</v>
      </c>
      <c r="C1859">
        <v>0.84736432215868496</v>
      </c>
      <c r="D1859">
        <v>0.73265589943592901</v>
      </c>
      <c r="E1859">
        <v>0.48530821903608001</v>
      </c>
      <c r="F1859">
        <v>0.19271298850237101</v>
      </c>
      <c r="G1859">
        <v>8.6260493433792398E-2</v>
      </c>
      <c r="H1859">
        <v>5.1950271306846603E-2</v>
      </c>
      <c r="I1859">
        <v>3.4863658662043502E-2</v>
      </c>
      <c r="J1859">
        <v>4.5837145184823097E-2</v>
      </c>
      <c r="K1859">
        <v>3.9400077861987098E-2</v>
      </c>
      <c r="L1859">
        <v>685.42423366122</v>
      </c>
      <c r="M1859">
        <v>14.9725908481948</v>
      </c>
      <c r="N1859">
        <v>45.868021261508297</v>
      </c>
      <c r="O1859">
        <v>44.985263033008103</v>
      </c>
      <c r="P1859">
        <v>-8.2019787351126305E-2</v>
      </c>
      <c r="Q1859">
        <v>1.43839935353647E-2</v>
      </c>
      <c r="R1859">
        <v>0.99426839558355196</v>
      </c>
      <c r="S1859" t="s">
        <v>8427</v>
      </c>
      <c r="T1859" t="s">
        <v>13134</v>
      </c>
      <c r="U1859" t="s">
        <v>13134</v>
      </c>
      <c r="V1859" t="s">
        <v>13134</v>
      </c>
      <c r="W1859" t="s">
        <v>14952</v>
      </c>
      <c r="X1859">
        <v>12</v>
      </c>
      <c r="Y1859" t="s">
        <v>21431</v>
      </c>
      <c r="Z1859" t="s">
        <v>27827</v>
      </c>
      <c r="AA1859">
        <v>0.32574418246325398</v>
      </c>
      <c r="AB1859" t="str">
        <f>HYPERLINK("Melting_Curves/meltCurve_O94822_LTN1.pdf", "Melting_Curves/meltCurve_O94822_LTN1.pdf")</f>
        <v>Melting_Curves/meltCurve_O94822_LTN1.pdf</v>
      </c>
    </row>
    <row r="1860" spans="1:28" x14ac:dyDescent="0.25">
      <c r="A1860" t="s">
        <v>1864</v>
      </c>
      <c r="B1860">
        <v>0.99472303558308395</v>
      </c>
      <c r="C1860">
        <v>1.0024232880310899</v>
      </c>
      <c r="D1860">
        <v>0.95066504639948002</v>
      </c>
      <c r="E1860">
        <v>0.88669098131484703</v>
      </c>
      <c r="F1860">
        <v>0.318531130804944</v>
      </c>
      <c r="G1860">
        <v>8.3758071130405301E-2</v>
      </c>
      <c r="H1860">
        <v>5.0993137280241199E-2</v>
      </c>
      <c r="I1860">
        <v>3.4039474154516899E-2</v>
      </c>
      <c r="J1860">
        <v>3.8756156813847399E-2</v>
      </c>
      <c r="K1860">
        <v>3.3917392626369502E-2</v>
      </c>
      <c r="L1860">
        <v>1824.7069912111699</v>
      </c>
      <c r="M1860">
        <v>37.219739817472103</v>
      </c>
      <c r="N1860">
        <v>49.135017776465197</v>
      </c>
      <c r="O1860">
        <v>48.884349780778102</v>
      </c>
      <c r="P1860">
        <v>-0.182752631498001</v>
      </c>
      <c r="Q1860">
        <v>3.9894170213674501E-2</v>
      </c>
      <c r="R1860">
        <v>0.99877531537362396</v>
      </c>
      <c r="S1860" t="s">
        <v>8428</v>
      </c>
      <c r="T1860" t="s">
        <v>13134</v>
      </c>
      <c r="U1860" t="s">
        <v>13134</v>
      </c>
      <c r="V1860" t="s">
        <v>13134</v>
      </c>
      <c r="W1860" t="s">
        <v>14953</v>
      </c>
      <c r="X1860">
        <v>34</v>
      </c>
      <c r="Y1860" t="s">
        <v>21432</v>
      </c>
      <c r="Z1860" t="s">
        <v>27828</v>
      </c>
      <c r="AA1860">
        <v>0.42850483740862289</v>
      </c>
      <c r="AB1860" t="str">
        <f>HYPERLINK("Melting_Curves/meltCurve_O94826_TOMM70A.pdf", "Melting_Curves/meltCurve_O94826_TOMM70A.pdf")</f>
        <v>Melting_Curves/meltCurve_O94826_TOMM70A.pdf</v>
      </c>
    </row>
    <row r="1861" spans="1:28" x14ac:dyDescent="0.25">
      <c r="A1861" t="s">
        <v>1865</v>
      </c>
      <c r="B1861">
        <v>0.99472303558308395</v>
      </c>
      <c r="C1861">
        <v>0.85838854556565702</v>
      </c>
      <c r="D1861">
        <v>0.86903546560650402</v>
      </c>
      <c r="E1861">
        <v>0.58338637669636595</v>
      </c>
      <c r="F1861">
        <v>0.235682405852148</v>
      </c>
      <c r="G1861">
        <v>0.13787097200908499</v>
      </c>
      <c r="H1861">
        <v>0.110422804920829</v>
      </c>
      <c r="I1861">
        <v>8.7766336907641199E-2</v>
      </c>
      <c r="J1861">
        <v>7.0734829054730705E-2</v>
      </c>
      <c r="K1861">
        <v>7.1734194068751103E-2</v>
      </c>
      <c r="L1861">
        <v>869.07097220677599</v>
      </c>
      <c r="M1861">
        <v>18.5673644282498</v>
      </c>
      <c r="N1861">
        <v>47.171606479629801</v>
      </c>
      <c r="O1861">
        <v>46.273559285766503</v>
      </c>
      <c r="P1861">
        <v>-9.3600899100729704E-2</v>
      </c>
      <c r="Q1861">
        <v>6.69525066790186E-2</v>
      </c>
      <c r="R1861">
        <v>0.98911306225401896</v>
      </c>
      <c r="S1861" t="s">
        <v>8429</v>
      </c>
      <c r="T1861" t="s">
        <v>13134</v>
      </c>
      <c r="U1861" t="s">
        <v>13134</v>
      </c>
      <c r="V1861" t="s">
        <v>13134</v>
      </c>
      <c r="W1861" t="s">
        <v>14954</v>
      </c>
      <c r="X1861">
        <v>4</v>
      </c>
      <c r="Y1861" t="s">
        <v>21433</v>
      </c>
      <c r="Z1861" t="s">
        <v>27829</v>
      </c>
      <c r="AA1861">
        <v>0.38606607994232989</v>
      </c>
      <c r="AB1861" t="str">
        <f>HYPERLINK("Melting_Curves/meltCurve_O94829_IPO13.pdf", "Melting_Curves/meltCurve_O94829_IPO13.pdf")</f>
        <v>Melting_Curves/meltCurve_O94829_IPO13.pdf</v>
      </c>
    </row>
    <row r="1862" spans="1:28" x14ac:dyDescent="0.25">
      <c r="A1862" t="s">
        <v>1866</v>
      </c>
      <c r="B1862">
        <v>0.99472303558308395</v>
      </c>
      <c r="C1862">
        <v>0.94245386141899101</v>
      </c>
      <c r="D1862">
        <v>0.95251040893271599</v>
      </c>
      <c r="E1862">
        <v>0.80649215153234399</v>
      </c>
      <c r="F1862">
        <v>0.65945279653008004</v>
      </c>
      <c r="G1862">
        <v>0.39995833558397997</v>
      </c>
      <c r="H1862">
        <v>0.14774477891269699</v>
      </c>
      <c r="I1862">
        <v>8.6205566210006801E-2</v>
      </c>
      <c r="J1862">
        <v>8.7892186992805099E-2</v>
      </c>
      <c r="K1862">
        <v>8.1025322466577801E-2</v>
      </c>
      <c r="L1862">
        <v>787.80760165116203</v>
      </c>
      <c r="M1862">
        <v>15.2235850850318</v>
      </c>
      <c r="N1862">
        <v>51.907834539095397</v>
      </c>
      <c r="O1862">
        <v>50.880854324498401</v>
      </c>
      <c r="P1862">
        <v>-7.3106446786158394E-2</v>
      </c>
      <c r="Q1862">
        <v>2.2736279883140299E-2</v>
      </c>
      <c r="R1862">
        <v>0.99265923170812298</v>
      </c>
      <c r="S1862" t="s">
        <v>8430</v>
      </c>
      <c r="T1862" t="s">
        <v>13134</v>
      </c>
      <c r="U1862" t="s">
        <v>13134</v>
      </c>
      <c r="V1862" t="s">
        <v>13134</v>
      </c>
      <c r="W1862" t="s">
        <v>14955</v>
      </c>
      <c r="X1862">
        <v>8</v>
      </c>
      <c r="Y1862" t="s">
        <v>21434</v>
      </c>
      <c r="Z1862" t="s">
        <v>27830</v>
      </c>
      <c r="AA1862">
        <v>0.52183020035291583</v>
      </c>
      <c r="AB1862" t="str">
        <f>HYPERLINK("Melting_Curves/meltCurve_O94830_DDHD2.pdf", "Melting_Curves/meltCurve_O94830_DDHD2.pdf")</f>
        <v>Melting_Curves/meltCurve_O94830_DDHD2.pdf</v>
      </c>
    </row>
    <row r="1863" spans="1:28" x14ac:dyDescent="0.25">
      <c r="A1863" t="s">
        <v>1867</v>
      </c>
      <c r="B1863">
        <v>0.99472303558308395</v>
      </c>
      <c r="C1863">
        <v>0.90282553891069095</v>
      </c>
      <c r="D1863">
        <v>0.82017864405725005</v>
      </c>
      <c r="E1863">
        <v>0.60395798723517702</v>
      </c>
      <c r="F1863">
        <v>0.32707413467051999</v>
      </c>
      <c r="G1863">
        <v>0.11579364678918801</v>
      </c>
      <c r="H1863">
        <v>7.8901253641705096E-2</v>
      </c>
      <c r="I1863">
        <v>5.0495513787441902E-2</v>
      </c>
      <c r="J1863">
        <v>7.3972504857472199E-2</v>
      </c>
      <c r="K1863">
        <v>7.8075053067598099E-2</v>
      </c>
      <c r="L1863">
        <v>748.62475257286201</v>
      </c>
      <c r="M1863">
        <v>15.8331112524139</v>
      </c>
      <c r="N1863">
        <v>47.523373787328801</v>
      </c>
      <c r="O1863">
        <v>46.547251688881801</v>
      </c>
      <c r="P1863">
        <v>-8.1762098946251305E-2</v>
      </c>
      <c r="Q1863">
        <v>3.85995377792379E-2</v>
      </c>
      <c r="R1863">
        <v>0.994362654380754</v>
      </c>
      <c r="S1863" t="s">
        <v>8431</v>
      </c>
      <c r="T1863" t="s">
        <v>13134</v>
      </c>
      <c r="U1863" t="s">
        <v>13134</v>
      </c>
      <c r="V1863" t="s">
        <v>13134</v>
      </c>
      <c r="W1863" t="s">
        <v>14956</v>
      </c>
      <c r="X1863">
        <v>16</v>
      </c>
      <c r="Y1863" t="s">
        <v>21435</v>
      </c>
      <c r="Z1863" t="s">
        <v>27831</v>
      </c>
      <c r="AA1863">
        <v>0.38764419050129761</v>
      </c>
      <c r="AB1863" t="str">
        <f>HYPERLINK("Melting_Curves/meltCurve_O94832_MYO1D.pdf", "Melting_Curves/meltCurve_O94832_MYO1D.pdf")</f>
        <v>Melting_Curves/meltCurve_O94832_MYO1D.pdf</v>
      </c>
    </row>
    <row r="1864" spans="1:28" x14ac:dyDescent="0.25">
      <c r="A1864" t="s">
        <v>1868</v>
      </c>
      <c r="B1864">
        <v>0.99472303558308395</v>
      </c>
      <c r="C1864">
        <v>0.91964887170001697</v>
      </c>
      <c r="D1864">
        <v>0.89113451117450404</v>
      </c>
      <c r="E1864">
        <v>0.65489786811568096</v>
      </c>
      <c r="F1864">
        <v>0.21707890160150201</v>
      </c>
      <c r="G1864">
        <v>9.9551055493868695E-2</v>
      </c>
      <c r="H1864">
        <v>5.0969795274732999E-2</v>
      </c>
      <c r="I1864">
        <v>4.1593756416489498E-2</v>
      </c>
      <c r="J1864">
        <v>4.5692817743021599E-2</v>
      </c>
      <c r="K1864">
        <v>3.6614506943934103E-2</v>
      </c>
      <c r="L1864">
        <v>1106.3257406269599</v>
      </c>
      <c r="M1864">
        <v>23.303460406529702</v>
      </c>
      <c r="N1864">
        <v>47.623848638156403</v>
      </c>
      <c r="O1864">
        <v>47.129284986210301</v>
      </c>
      <c r="P1864">
        <v>-0.119267684899749</v>
      </c>
      <c r="Q1864">
        <v>3.5181775587834099E-2</v>
      </c>
      <c r="R1864">
        <v>0.99497645861093398</v>
      </c>
      <c r="S1864" t="s">
        <v>8432</v>
      </c>
      <c r="T1864" t="s">
        <v>13134</v>
      </c>
      <c r="U1864" t="s">
        <v>13134</v>
      </c>
      <c r="V1864" t="s">
        <v>13134</v>
      </c>
      <c r="W1864" t="s">
        <v>14957</v>
      </c>
      <c r="X1864">
        <v>11</v>
      </c>
      <c r="Y1864" t="s">
        <v>21436</v>
      </c>
      <c r="Z1864" t="s">
        <v>27832</v>
      </c>
      <c r="AA1864">
        <v>0.38143827322059498</v>
      </c>
      <c r="AB1864" t="str">
        <f>HYPERLINK("Melting_Curves/meltCurve_O94851_5_MICAL2.pdf", "Melting_Curves/meltCurve_O94851_5_MICAL2.pdf")</f>
        <v>Melting_Curves/meltCurve_O94851_5_MICAL2.pdf</v>
      </c>
    </row>
    <row r="1865" spans="1:28" x14ac:dyDescent="0.25">
      <c r="A1865" t="s">
        <v>1869</v>
      </c>
      <c r="B1865">
        <v>0.99472303558308395</v>
      </c>
      <c r="C1865">
        <v>0.89561055128915801</v>
      </c>
      <c r="D1865">
        <v>0.80174435402792499</v>
      </c>
      <c r="E1865">
        <v>0.42971388135080402</v>
      </c>
      <c r="F1865">
        <v>0.228924787166984</v>
      </c>
      <c r="G1865">
        <v>0.12999323951161401</v>
      </c>
      <c r="H1865">
        <v>7.2698755032200399E-2</v>
      </c>
      <c r="I1865">
        <v>8.2477885969368697E-2</v>
      </c>
      <c r="J1865">
        <v>0.10681835244530601</v>
      </c>
      <c r="K1865">
        <v>5.8563910491922097E-2</v>
      </c>
      <c r="L1865">
        <v>835.60950713796603</v>
      </c>
      <c r="M1865">
        <v>18.3172681111926</v>
      </c>
      <c r="N1865">
        <v>46.0111450968081</v>
      </c>
      <c r="O1865">
        <v>45.085382342379098</v>
      </c>
      <c r="P1865">
        <v>-9.4228188650906305E-2</v>
      </c>
      <c r="Q1865">
        <v>7.2324823497754501E-2</v>
      </c>
      <c r="R1865">
        <v>0.99624333034647095</v>
      </c>
      <c r="S1865" t="s">
        <v>8433</v>
      </c>
      <c r="T1865" t="s">
        <v>13134</v>
      </c>
      <c r="U1865" t="s">
        <v>13134</v>
      </c>
      <c r="V1865" t="s">
        <v>13134</v>
      </c>
      <c r="W1865" t="s">
        <v>14958</v>
      </c>
      <c r="X1865">
        <v>3</v>
      </c>
      <c r="Y1865" t="s">
        <v>21437</v>
      </c>
      <c r="Z1865" t="s">
        <v>27833</v>
      </c>
      <c r="AA1865">
        <v>0.35336677254027937</v>
      </c>
      <c r="AB1865" t="str">
        <f>HYPERLINK("Melting_Curves/meltCurve_O94854_2_KIAA0754.pdf", "Melting_Curves/meltCurve_O94854_2_KIAA0754.pdf")</f>
        <v>Melting_Curves/meltCurve_O94854_2_KIAA0754.pdf</v>
      </c>
    </row>
    <row r="1866" spans="1:28" x14ac:dyDescent="0.25">
      <c r="A1866" t="s">
        <v>1870</v>
      </c>
      <c r="B1866">
        <v>0.99472303558308395</v>
      </c>
      <c r="C1866">
        <v>0.92582304448281505</v>
      </c>
      <c r="D1866">
        <v>0.93817064653482696</v>
      </c>
      <c r="E1866">
        <v>0.83140228843499997</v>
      </c>
      <c r="F1866">
        <v>0.39589276954121699</v>
      </c>
      <c r="G1866">
        <v>8.8488135285282807E-2</v>
      </c>
      <c r="H1866">
        <v>6.04576372675956E-2</v>
      </c>
      <c r="I1866">
        <v>4.7244296098916998E-2</v>
      </c>
      <c r="J1866">
        <v>5.1423592772748598E-2</v>
      </c>
      <c r="K1866">
        <v>4.8747693108856398E-2</v>
      </c>
      <c r="L1866">
        <v>1378.7531398203701</v>
      </c>
      <c r="M1866">
        <v>28.053646641848001</v>
      </c>
      <c r="N1866">
        <v>49.2978268100794</v>
      </c>
      <c r="O1866">
        <v>48.899326485159598</v>
      </c>
      <c r="P1866">
        <v>-0.137529100279177</v>
      </c>
      <c r="Q1866">
        <v>4.1119626199286601E-2</v>
      </c>
      <c r="R1866">
        <v>0.99488970413246802</v>
      </c>
      <c r="S1866" t="s">
        <v>8434</v>
      </c>
      <c r="T1866" t="s">
        <v>13134</v>
      </c>
      <c r="U1866" t="s">
        <v>13134</v>
      </c>
      <c r="V1866" t="s">
        <v>13134</v>
      </c>
      <c r="W1866" t="s">
        <v>14959</v>
      </c>
      <c r="X1866">
        <v>12</v>
      </c>
      <c r="Y1866" t="s">
        <v>21438</v>
      </c>
      <c r="Z1866" t="s">
        <v>27834</v>
      </c>
      <c r="AA1866">
        <v>0.43599501404764818</v>
      </c>
      <c r="AB1866" t="str">
        <f>HYPERLINK("Melting_Curves/meltCurve_O94855_SEC24D.pdf", "Melting_Curves/meltCurve_O94855_SEC24D.pdf")</f>
        <v>Melting_Curves/meltCurve_O94855_SEC24D.pdf</v>
      </c>
    </row>
    <row r="1867" spans="1:28" x14ac:dyDescent="0.25">
      <c r="A1867" t="s">
        <v>1871</v>
      </c>
      <c r="B1867">
        <v>0.99472303558308395</v>
      </c>
      <c r="C1867">
        <v>0.83001981952252102</v>
      </c>
      <c r="D1867">
        <v>0.80692938300246697</v>
      </c>
      <c r="E1867">
        <v>0.48526963995866801</v>
      </c>
      <c r="F1867">
        <v>0.36595242716538101</v>
      </c>
      <c r="G1867">
        <v>0.20519943510453401</v>
      </c>
      <c r="H1867">
        <v>0.125637655670091</v>
      </c>
      <c r="I1867">
        <v>8.1795623614451002E-2</v>
      </c>
      <c r="J1867">
        <v>0.114310858766829</v>
      </c>
      <c r="K1867">
        <v>8.0843735154615501E-2</v>
      </c>
      <c r="L1867">
        <v>571.573628957182</v>
      </c>
      <c r="M1867">
        <v>12.265920635579601</v>
      </c>
      <c r="N1867">
        <v>47.0527990477147</v>
      </c>
      <c r="O1867">
        <v>45.411861680309499</v>
      </c>
      <c r="P1867">
        <v>-6.3769361550333498E-2</v>
      </c>
      <c r="Q1867">
        <v>5.5841167680835503E-2</v>
      </c>
      <c r="R1867">
        <v>0.98864027937135601</v>
      </c>
      <c r="S1867" t="s">
        <v>8435</v>
      </c>
      <c r="T1867" t="s">
        <v>13134</v>
      </c>
      <c r="U1867" t="s">
        <v>13134</v>
      </c>
      <c r="V1867" t="s">
        <v>13134</v>
      </c>
      <c r="W1867" t="s">
        <v>14960</v>
      </c>
      <c r="X1867">
        <v>3</v>
      </c>
      <c r="Y1867" t="s">
        <v>21439</v>
      </c>
      <c r="Z1867" t="s">
        <v>27835</v>
      </c>
      <c r="AA1867">
        <v>0.38843157301361952</v>
      </c>
      <c r="AB1867" t="str">
        <f>HYPERLINK("Melting_Curves/meltCurve_O94864_2_SUPT7L.pdf", "Melting_Curves/meltCurve_O94864_2_SUPT7L.pdf")</f>
        <v>Melting_Curves/meltCurve_O94864_2_SUPT7L.pdf</v>
      </c>
    </row>
    <row r="1868" spans="1:28" x14ac:dyDescent="0.25">
      <c r="A1868" t="s">
        <v>1872</v>
      </c>
      <c r="B1868">
        <v>0.99472303558308395</v>
      </c>
      <c r="C1868">
        <v>0.98327571664923397</v>
      </c>
      <c r="D1868">
        <v>0.95539190536818897</v>
      </c>
      <c r="E1868">
        <v>0.74269466791855698</v>
      </c>
      <c r="F1868">
        <v>0.166212874720989</v>
      </c>
      <c r="G1868">
        <v>8.0990880308172294E-2</v>
      </c>
      <c r="H1868">
        <v>4.6043366528547E-2</v>
      </c>
      <c r="I1868">
        <v>3.4769629804546801E-2</v>
      </c>
      <c r="J1868">
        <v>3.5630893662980001E-2</v>
      </c>
      <c r="K1868">
        <v>3.14497645726661E-2</v>
      </c>
      <c r="L1868">
        <v>1801.9515067843299</v>
      </c>
      <c r="M1868">
        <v>37.700025560758597</v>
      </c>
      <c r="N1868">
        <v>47.9057296530736</v>
      </c>
      <c r="O1868">
        <v>47.663215230663397</v>
      </c>
      <c r="P1868">
        <v>-0.18964029740744501</v>
      </c>
      <c r="Q1868">
        <v>4.0972562089522199E-2</v>
      </c>
      <c r="R1868">
        <v>0.99877094720398496</v>
      </c>
      <c r="S1868" t="s">
        <v>8436</v>
      </c>
      <c r="T1868" t="s">
        <v>13134</v>
      </c>
      <c r="U1868" t="s">
        <v>13134</v>
      </c>
      <c r="V1868" t="s">
        <v>13134</v>
      </c>
      <c r="W1868" t="s">
        <v>14961</v>
      </c>
      <c r="X1868">
        <v>27</v>
      </c>
      <c r="Y1868" t="s">
        <v>21440</v>
      </c>
      <c r="Z1868" t="s">
        <v>27836</v>
      </c>
      <c r="AA1868">
        <v>0.38969998249324961</v>
      </c>
      <c r="AB1868" t="str">
        <f>HYPERLINK("Melting_Curves/meltCurve_O94874_UFL1.pdf", "Melting_Curves/meltCurve_O94874_UFL1.pdf")</f>
        <v>Melting_Curves/meltCurve_O94874_UFL1.pdf</v>
      </c>
    </row>
    <row r="1869" spans="1:28" x14ac:dyDescent="0.25">
      <c r="A1869" t="s">
        <v>1873</v>
      </c>
      <c r="B1869">
        <v>0.99472303558308395</v>
      </c>
      <c r="C1869">
        <v>0.94058649644342096</v>
      </c>
      <c r="D1869">
        <v>0.80146235586857295</v>
      </c>
      <c r="E1869">
        <v>0.59042334605941105</v>
      </c>
      <c r="F1869">
        <v>0.43596635702460701</v>
      </c>
      <c r="G1869">
        <v>0.25941130844577298</v>
      </c>
      <c r="H1869">
        <v>0.19562486630953699</v>
      </c>
      <c r="I1869">
        <v>0.172541264048656</v>
      </c>
      <c r="J1869">
        <v>0.21171775620567199</v>
      </c>
      <c r="K1869">
        <v>0.18542290668058301</v>
      </c>
      <c r="L1869">
        <v>660.31864988011205</v>
      </c>
      <c r="M1869">
        <v>14.0905925012609</v>
      </c>
      <c r="N1869">
        <v>48.209016558407797</v>
      </c>
      <c r="O1869">
        <v>45.948783106421203</v>
      </c>
      <c r="P1869">
        <v>-6.4200636443600995E-2</v>
      </c>
      <c r="Q1869">
        <v>0.16268659075288799</v>
      </c>
      <c r="R1869">
        <v>0.99543264576954305</v>
      </c>
      <c r="S1869" t="s">
        <v>8437</v>
      </c>
      <c r="T1869" t="s">
        <v>13134</v>
      </c>
      <c r="U1869" t="s">
        <v>13134</v>
      </c>
      <c r="V1869" t="s">
        <v>13134</v>
      </c>
      <c r="W1869" t="s">
        <v>14962</v>
      </c>
      <c r="X1869">
        <v>7</v>
      </c>
      <c r="Y1869" t="s">
        <v>21441</v>
      </c>
      <c r="Z1869" t="s">
        <v>27837</v>
      </c>
      <c r="AA1869">
        <v>0.45908602676058857</v>
      </c>
      <c r="AB1869" t="str">
        <f>HYPERLINK("Melting_Curves/meltCurve_O94880_PHF14.pdf", "Melting_Curves/meltCurve_O94880_PHF14.pdf")</f>
        <v>Melting_Curves/meltCurve_O94880_PHF14.pdf</v>
      </c>
    </row>
    <row r="1870" spans="1:28" x14ac:dyDescent="0.25">
      <c r="A1870" t="s">
        <v>1874</v>
      </c>
      <c r="B1870">
        <v>0.99472303558308395</v>
      </c>
      <c r="C1870">
        <v>0.95370712160529003</v>
      </c>
      <c r="D1870">
        <v>0.765908440487856</v>
      </c>
      <c r="E1870">
        <v>0.84241065043390595</v>
      </c>
      <c r="F1870">
        <v>0.36999606708161697</v>
      </c>
      <c r="G1870">
        <v>0.23505858837625701</v>
      </c>
      <c r="H1870">
        <v>0.133183989390985</v>
      </c>
      <c r="I1870">
        <v>8.9215630468998094E-2</v>
      </c>
      <c r="J1870">
        <v>0.13280702537454001</v>
      </c>
      <c r="K1870">
        <v>0.12385095478670601</v>
      </c>
      <c r="L1870">
        <v>858.991590610152</v>
      </c>
      <c r="M1870">
        <v>17.6481480188224</v>
      </c>
      <c r="N1870">
        <v>49.239610327365</v>
      </c>
      <c r="O1870">
        <v>48.061141673116097</v>
      </c>
      <c r="P1870">
        <v>-8.3371701551935101E-2</v>
      </c>
      <c r="Q1870">
        <v>9.1864941848447207E-2</v>
      </c>
      <c r="R1870">
        <v>0.964321049364671</v>
      </c>
      <c r="S1870" t="s">
        <v>8438</v>
      </c>
      <c r="T1870" t="s">
        <v>13134</v>
      </c>
      <c r="U1870" t="s">
        <v>13134</v>
      </c>
      <c r="V1870" t="s">
        <v>13134</v>
      </c>
      <c r="W1870" t="s">
        <v>14963</v>
      </c>
      <c r="X1870">
        <v>2</v>
      </c>
      <c r="Y1870" t="s">
        <v>21442</v>
      </c>
      <c r="Z1870" t="s">
        <v>27838</v>
      </c>
      <c r="AA1870">
        <v>0.46020603095355572</v>
      </c>
      <c r="AB1870" t="str">
        <f>HYPERLINK("Melting_Curves/meltCurve_O94885_SASH1.pdf", "Melting_Curves/meltCurve_O94885_SASH1.pdf")</f>
        <v>Melting_Curves/meltCurve_O94885_SASH1.pdf</v>
      </c>
    </row>
    <row r="1871" spans="1:28" x14ac:dyDescent="0.25">
      <c r="A1871" t="s">
        <v>1875</v>
      </c>
      <c r="B1871">
        <v>0.99472303558308395</v>
      </c>
      <c r="C1871">
        <v>0.93360195864044804</v>
      </c>
      <c r="D1871">
        <v>0.81158891916673703</v>
      </c>
      <c r="E1871">
        <v>0.68394833655089105</v>
      </c>
      <c r="F1871">
        <v>0.48013659222382399</v>
      </c>
      <c r="G1871">
        <v>0.27559708418879902</v>
      </c>
      <c r="H1871">
        <v>0.13223892339237101</v>
      </c>
      <c r="I1871">
        <v>6.3546510617541296E-2</v>
      </c>
      <c r="J1871">
        <v>6.1652958395160003E-2</v>
      </c>
      <c r="K1871">
        <v>7.0362972496643805E-2</v>
      </c>
      <c r="L1871">
        <v>584.28965821989595</v>
      </c>
      <c r="M1871">
        <v>11.834616131451501</v>
      </c>
      <c r="N1871">
        <v>49.3712171460582</v>
      </c>
      <c r="O1871">
        <v>48.024856550178001</v>
      </c>
      <c r="P1871">
        <v>-6.1622394368030103E-2</v>
      </c>
      <c r="Q1871">
        <v>0</v>
      </c>
      <c r="R1871">
        <v>0.99571457997058199</v>
      </c>
      <c r="S1871" t="s">
        <v>8439</v>
      </c>
      <c r="T1871" t="s">
        <v>13134</v>
      </c>
      <c r="U1871" t="s">
        <v>13134</v>
      </c>
      <c r="V1871" t="s">
        <v>13134</v>
      </c>
      <c r="W1871" t="s">
        <v>14964</v>
      </c>
      <c r="X1871">
        <v>3</v>
      </c>
      <c r="Y1871" t="s">
        <v>21443</v>
      </c>
      <c r="Z1871" t="s">
        <v>27839</v>
      </c>
      <c r="AA1871">
        <v>0.44198785362188991</v>
      </c>
      <c r="AB1871" t="str">
        <f>HYPERLINK("Melting_Curves/meltCurve_O94886_TMEM63A.pdf", "Melting_Curves/meltCurve_O94886_TMEM63A.pdf")</f>
        <v>Melting_Curves/meltCurve_O94886_TMEM63A.pdf</v>
      </c>
    </row>
    <row r="1872" spans="1:28" x14ac:dyDescent="0.25">
      <c r="A1872" t="s">
        <v>1876</v>
      </c>
      <c r="B1872">
        <v>0.99472303558308395</v>
      </c>
      <c r="C1872">
        <v>1.0409516398178</v>
      </c>
      <c r="D1872">
        <v>0.96733588398437598</v>
      </c>
      <c r="E1872">
        <v>0.86743297162539901</v>
      </c>
      <c r="F1872">
        <v>0.60359649473775401</v>
      </c>
      <c r="G1872">
        <v>0.26366485523977501</v>
      </c>
      <c r="H1872">
        <v>0.11662329355501599</v>
      </c>
      <c r="I1872">
        <v>7.9730440505613398E-2</v>
      </c>
      <c r="J1872">
        <v>9.0740344318106306E-2</v>
      </c>
      <c r="K1872">
        <v>7.5811898675353401E-2</v>
      </c>
      <c r="L1872">
        <v>1133.1824116108901</v>
      </c>
      <c r="M1872">
        <v>22.342510399443199</v>
      </c>
      <c r="N1872">
        <v>51.044423612007797</v>
      </c>
      <c r="O1872">
        <v>50.317601712435</v>
      </c>
      <c r="P1872">
        <v>-0.103633934818601</v>
      </c>
      <c r="Q1872">
        <v>6.6442955828838302E-2</v>
      </c>
      <c r="R1872">
        <v>0.99794246270653197</v>
      </c>
      <c r="S1872" t="s">
        <v>8440</v>
      </c>
      <c r="T1872" t="s">
        <v>13134</v>
      </c>
      <c r="U1872" t="s">
        <v>13134</v>
      </c>
      <c r="V1872" t="s">
        <v>13134</v>
      </c>
      <c r="W1872" t="s">
        <v>14965</v>
      </c>
      <c r="X1872">
        <v>17</v>
      </c>
      <c r="Y1872" t="s">
        <v>21444</v>
      </c>
      <c r="Z1872" t="s">
        <v>27840</v>
      </c>
      <c r="AA1872">
        <v>0.50344869347126531</v>
      </c>
      <c r="AB1872" t="str">
        <f>HYPERLINK("Melting_Curves/meltCurve_O94888_UBXN7.pdf", "Melting_Curves/meltCurve_O94888_UBXN7.pdf")</f>
        <v>Melting_Curves/meltCurve_O94888_UBXN7.pdf</v>
      </c>
    </row>
    <row r="1873" spans="1:28" x14ac:dyDescent="0.25">
      <c r="A1873" t="s">
        <v>1877</v>
      </c>
      <c r="B1873">
        <v>0.99472303558308395</v>
      </c>
      <c r="C1873">
        <v>0.86115433010290499</v>
      </c>
      <c r="D1873">
        <v>0.83549720637436897</v>
      </c>
      <c r="E1873">
        <v>0.55601135739415097</v>
      </c>
      <c r="F1873">
        <v>0.38211279338035498</v>
      </c>
      <c r="G1873">
        <v>8.8972668540329203E-2</v>
      </c>
      <c r="H1873">
        <v>5.5496912120147901E-2</v>
      </c>
      <c r="I1873">
        <v>2.3433253003015901E-2</v>
      </c>
      <c r="J1873">
        <v>3.2491654151139103E-2</v>
      </c>
      <c r="K1873">
        <v>3.0507224583845801E-2</v>
      </c>
      <c r="L1873">
        <v>680.57264296992798</v>
      </c>
      <c r="M1873">
        <v>14.336630430499801</v>
      </c>
      <c r="N1873">
        <v>47.470888901622097</v>
      </c>
      <c r="O1873">
        <v>46.575948079394799</v>
      </c>
      <c r="P1873">
        <v>-7.6962251928549399E-2</v>
      </c>
      <c r="Q1873">
        <v>0</v>
      </c>
      <c r="R1873">
        <v>0.98811766741537599</v>
      </c>
      <c r="S1873" t="s">
        <v>8441</v>
      </c>
      <c r="T1873" t="s">
        <v>13134</v>
      </c>
      <c r="U1873" t="s">
        <v>13134</v>
      </c>
      <c r="V1873" t="s">
        <v>13134</v>
      </c>
      <c r="W1873" t="s">
        <v>14966</v>
      </c>
      <c r="X1873">
        <v>5</v>
      </c>
      <c r="Y1873" t="s">
        <v>21445</v>
      </c>
      <c r="Z1873" t="s">
        <v>27841</v>
      </c>
      <c r="AA1873">
        <v>0.37311484876685508</v>
      </c>
      <c r="AB1873" t="str">
        <f>HYPERLINK("Melting_Curves/meltCurve_O94889_KLHL18.pdf", "Melting_Curves/meltCurve_O94889_KLHL18.pdf")</f>
        <v>Melting_Curves/meltCurve_O94889_KLHL18.pdf</v>
      </c>
    </row>
    <row r="1874" spans="1:28" x14ac:dyDescent="0.25">
      <c r="A1874" t="s">
        <v>1878</v>
      </c>
      <c r="B1874">
        <v>0.99472303558308395</v>
      </c>
      <c r="C1874">
        <v>0.838820412108914</v>
      </c>
      <c r="D1874">
        <v>0.82427569983969295</v>
      </c>
      <c r="E1874">
        <v>0.70451178848093499</v>
      </c>
      <c r="F1874">
        <v>0.60292637259133297</v>
      </c>
      <c r="G1874">
        <v>0.242849048868405</v>
      </c>
      <c r="H1874">
        <v>0.140201799820978</v>
      </c>
      <c r="I1874">
        <v>9.4075360935615596E-2</v>
      </c>
      <c r="J1874">
        <v>0.10626085263017</v>
      </c>
      <c r="K1874">
        <v>0.102417366699985</v>
      </c>
      <c r="L1874">
        <v>544.92488376938104</v>
      </c>
      <c r="M1874">
        <v>10.9042293728932</v>
      </c>
      <c r="N1874">
        <v>49.973714444418597</v>
      </c>
      <c r="O1874">
        <v>48.381112332361099</v>
      </c>
      <c r="P1874">
        <v>-5.6365148173103598E-2</v>
      </c>
      <c r="Q1874">
        <v>0</v>
      </c>
      <c r="R1874">
        <v>0.96896248749688896</v>
      </c>
      <c r="S1874" t="s">
        <v>8442</v>
      </c>
      <c r="T1874" t="s">
        <v>13134</v>
      </c>
      <c r="U1874" t="s">
        <v>13134</v>
      </c>
      <c r="V1874" t="s">
        <v>13134</v>
      </c>
      <c r="W1874" t="s">
        <v>14967</v>
      </c>
      <c r="X1874">
        <v>4</v>
      </c>
      <c r="Y1874" t="s">
        <v>21446</v>
      </c>
      <c r="Z1874" t="s">
        <v>27842</v>
      </c>
      <c r="AA1874">
        <v>0.46365335796910773</v>
      </c>
      <c r="AB1874" t="str">
        <f>HYPERLINK("Melting_Curves/meltCurve_O94898_LRIG2.pdf", "Melting_Curves/meltCurve_O94898_LRIG2.pdf")</f>
        <v>Melting_Curves/meltCurve_O94898_LRIG2.pdf</v>
      </c>
    </row>
    <row r="1875" spans="1:28" x14ac:dyDescent="0.25">
      <c r="A1875" t="s">
        <v>1879</v>
      </c>
      <c r="B1875">
        <v>0.99472303558308395</v>
      </c>
      <c r="C1875">
        <v>0.95237831723093702</v>
      </c>
      <c r="D1875">
        <v>1.02162902959039</v>
      </c>
      <c r="E1875">
        <v>0.81592853245058905</v>
      </c>
      <c r="F1875">
        <v>0.451370222692066</v>
      </c>
      <c r="G1875">
        <v>0.23790916079132299</v>
      </c>
      <c r="H1875">
        <v>0.104065835828137</v>
      </c>
      <c r="I1875">
        <v>8.7300829191088794E-2</v>
      </c>
      <c r="J1875">
        <v>7.1375133765880602E-2</v>
      </c>
      <c r="K1875">
        <v>7.2446043262739401E-2</v>
      </c>
      <c r="L1875">
        <v>1105.55941909699</v>
      </c>
      <c r="M1875">
        <v>22.3125879914965</v>
      </c>
      <c r="N1875">
        <v>49.896125985040499</v>
      </c>
      <c r="O1875">
        <v>49.155859901430098</v>
      </c>
      <c r="P1875">
        <v>-0.105316243651742</v>
      </c>
      <c r="Q1875">
        <v>7.1950106913800105E-2</v>
      </c>
      <c r="R1875">
        <v>0.99623800848657895</v>
      </c>
      <c r="S1875" t="s">
        <v>8443</v>
      </c>
      <c r="T1875" t="s">
        <v>13134</v>
      </c>
      <c r="U1875" t="s">
        <v>13134</v>
      </c>
      <c r="V1875" t="s">
        <v>13134</v>
      </c>
      <c r="W1875" t="s">
        <v>14968</v>
      </c>
      <c r="X1875">
        <v>12</v>
      </c>
      <c r="Y1875" t="s">
        <v>21447</v>
      </c>
      <c r="Z1875" t="s">
        <v>27843</v>
      </c>
      <c r="AA1875">
        <v>0.47016025829728553</v>
      </c>
      <c r="AB1875" t="str">
        <f>HYPERLINK("Melting_Curves/meltCurve_O94903_PROSC.pdf", "Melting_Curves/meltCurve_O94903_PROSC.pdf")</f>
        <v>Melting_Curves/meltCurve_O94903_PROSC.pdf</v>
      </c>
    </row>
    <row r="1876" spans="1:28" x14ac:dyDescent="0.25">
      <c r="A1876" t="s">
        <v>1880</v>
      </c>
      <c r="B1876">
        <v>0.99472303558308395</v>
      </c>
      <c r="C1876">
        <v>0.969316929418227</v>
      </c>
      <c r="D1876">
        <v>0.65250489664162503</v>
      </c>
      <c r="E1876">
        <v>0.54909929549611702</v>
      </c>
      <c r="F1876">
        <v>0.27280526935343702</v>
      </c>
      <c r="G1876">
        <v>8.2440569045754697E-2</v>
      </c>
      <c r="H1876">
        <v>4.8675705360593E-2</v>
      </c>
      <c r="I1876">
        <v>3.8086583302053098E-2</v>
      </c>
      <c r="J1876">
        <v>4.3539334688547301E-2</v>
      </c>
      <c r="K1876">
        <v>4.0174709969085502E-2</v>
      </c>
      <c r="L1876">
        <v>655.41187290730204</v>
      </c>
      <c r="M1876">
        <v>14.140742946763201</v>
      </c>
      <c r="N1876">
        <v>46.398225823378297</v>
      </c>
      <c r="O1876">
        <v>45.451785452721701</v>
      </c>
      <c r="P1876">
        <v>-7.7211668845960604E-2</v>
      </c>
      <c r="Q1876">
        <v>7.4179814240993196E-3</v>
      </c>
      <c r="R1876">
        <v>0.98417485788838599</v>
      </c>
      <c r="S1876" t="s">
        <v>8444</v>
      </c>
      <c r="T1876" t="s">
        <v>13134</v>
      </c>
      <c r="U1876" t="s">
        <v>13134</v>
      </c>
      <c r="V1876" t="s">
        <v>13134</v>
      </c>
      <c r="W1876" t="s">
        <v>14969</v>
      </c>
      <c r="X1876">
        <v>16</v>
      </c>
      <c r="Y1876" t="s">
        <v>21448</v>
      </c>
      <c r="Z1876" t="s">
        <v>27844</v>
      </c>
      <c r="AA1876">
        <v>0.34202955649845668</v>
      </c>
      <c r="AB1876" t="str">
        <f>HYPERLINK("Melting_Curves/meltCurve_O94905_ERLIN2.pdf", "Melting_Curves/meltCurve_O94905_ERLIN2.pdf")</f>
        <v>Melting_Curves/meltCurve_O94905_ERLIN2.pdf</v>
      </c>
    </row>
    <row r="1877" spans="1:28" x14ac:dyDescent="0.25">
      <c r="A1877" t="s">
        <v>1881</v>
      </c>
      <c r="B1877">
        <v>0.99472303558308395</v>
      </c>
      <c r="C1877">
        <v>0.83645388585309099</v>
      </c>
      <c r="D1877">
        <v>0.45360565948366</v>
      </c>
      <c r="E1877">
        <v>0.27503961842246799</v>
      </c>
      <c r="F1877">
        <v>0.188874425153753</v>
      </c>
      <c r="G1877">
        <v>0.13109837708289401</v>
      </c>
      <c r="H1877">
        <v>9.0874613341164701E-2</v>
      </c>
      <c r="I1877">
        <v>6.0676469832878402E-2</v>
      </c>
      <c r="J1877">
        <v>6.9094555730644797E-2</v>
      </c>
      <c r="K1877">
        <v>4.2776415503200403E-2</v>
      </c>
      <c r="L1877">
        <v>780.12401145818899</v>
      </c>
      <c r="M1877">
        <v>18.249705411025701</v>
      </c>
      <c r="N1877">
        <v>43.1642236389009</v>
      </c>
      <c r="O1877">
        <v>42.243859259531597</v>
      </c>
      <c r="P1877">
        <v>-9.9278185038415595E-2</v>
      </c>
      <c r="Q1877">
        <v>8.0818607142095003E-2</v>
      </c>
      <c r="R1877">
        <v>0.98715004894775205</v>
      </c>
      <c r="S1877" t="s">
        <v>8445</v>
      </c>
      <c r="T1877" t="s">
        <v>13134</v>
      </c>
      <c r="U1877" t="s">
        <v>13134</v>
      </c>
      <c r="V1877" t="s">
        <v>13134</v>
      </c>
      <c r="W1877" t="s">
        <v>14970</v>
      </c>
      <c r="X1877">
        <v>11</v>
      </c>
      <c r="Y1877" t="s">
        <v>21449</v>
      </c>
      <c r="Z1877" t="s">
        <v>27845</v>
      </c>
      <c r="AA1877">
        <v>0.27295918756321191</v>
      </c>
      <c r="AB1877" t="str">
        <f>HYPERLINK("Melting_Curves/meltCurve_O94906_2_PRPF6.pdf", "Melting_Curves/meltCurve_O94906_2_PRPF6.pdf")</f>
        <v>Melting_Curves/meltCurve_O94906_2_PRPF6.pdf</v>
      </c>
    </row>
    <row r="1878" spans="1:28" x14ac:dyDescent="0.25">
      <c r="A1878" t="s">
        <v>1882</v>
      </c>
      <c r="B1878">
        <v>0.99472303558308395</v>
      </c>
      <c r="C1878">
        <v>1.00777191453655</v>
      </c>
      <c r="D1878">
        <v>0.67841064441783905</v>
      </c>
      <c r="E1878">
        <v>0.27926952577274</v>
      </c>
      <c r="F1878">
        <v>0.14162232006709799</v>
      </c>
      <c r="G1878">
        <v>9.3389016933126207E-2</v>
      </c>
      <c r="H1878">
        <v>6.36129167481429E-2</v>
      </c>
      <c r="I1878">
        <v>5.1904004966520201E-2</v>
      </c>
      <c r="J1878">
        <v>7.1029363041988799E-2</v>
      </c>
      <c r="K1878">
        <v>5.6953773231629097E-2</v>
      </c>
      <c r="L1878">
        <v>1126.6090491493301</v>
      </c>
      <c r="M1878">
        <v>25.439486764576198</v>
      </c>
      <c r="N1878">
        <v>44.548268712145898</v>
      </c>
      <c r="O1878">
        <v>44.014885789326399</v>
      </c>
      <c r="P1878">
        <v>-0.13444052580148799</v>
      </c>
      <c r="Q1878">
        <v>6.9586127602258796E-2</v>
      </c>
      <c r="R1878">
        <v>0.99575762894124797</v>
      </c>
      <c r="S1878" t="s">
        <v>8446</v>
      </c>
      <c r="T1878" t="s">
        <v>13134</v>
      </c>
      <c r="U1878" t="s">
        <v>13134</v>
      </c>
      <c r="V1878" t="s">
        <v>13134</v>
      </c>
      <c r="W1878" t="s">
        <v>14971</v>
      </c>
      <c r="X1878">
        <v>15</v>
      </c>
      <c r="Y1878" t="s">
        <v>21450</v>
      </c>
      <c r="Z1878" t="s">
        <v>27846</v>
      </c>
      <c r="AA1878">
        <v>0.3028969089422906</v>
      </c>
      <c r="AB1878" t="str">
        <f>HYPERLINK("Melting_Curves/meltCurve_O94913_PCF11.pdf", "Melting_Curves/meltCurve_O94913_PCF11.pdf")</f>
        <v>Melting_Curves/meltCurve_O94913_PCF11.pdf</v>
      </c>
    </row>
    <row r="1879" spans="1:28" x14ac:dyDescent="0.25">
      <c r="A1879" t="s">
        <v>1883</v>
      </c>
      <c r="B1879">
        <v>0.99472303558308395</v>
      </c>
      <c r="C1879">
        <v>1.01696359944266</v>
      </c>
      <c r="D1879">
        <v>0.74993632018675804</v>
      </c>
      <c r="E1879">
        <v>0.41129657284367699</v>
      </c>
      <c r="F1879">
        <v>0.29852789070300001</v>
      </c>
      <c r="G1879">
        <v>0.16291818929304799</v>
      </c>
      <c r="H1879">
        <v>0.20281028960952699</v>
      </c>
      <c r="I1879">
        <v>7.9696797876680797E-2</v>
      </c>
      <c r="J1879">
        <v>4.5045152830587798E-2</v>
      </c>
      <c r="K1879">
        <v>0.10517187338472</v>
      </c>
      <c r="L1879">
        <v>821.82685438014698</v>
      </c>
      <c r="M1879">
        <v>18.0672023031347</v>
      </c>
      <c r="N1879">
        <v>46.089326062051001</v>
      </c>
      <c r="O1879">
        <v>44.9409444151527</v>
      </c>
      <c r="P1879">
        <v>-8.9944476044436505E-2</v>
      </c>
      <c r="Q1879">
        <v>0.105120290526288</v>
      </c>
      <c r="R1879">
        <v>0.981399990337114</v>
      </c>
      <c r="S1879" t="s">
        <v>8447</v>
      </c>
      <c r="T1879" t="s">
        <v>13134</v>
      </c>
      <c r="U1879" t="s">
        <v>13134</v>
      </c>
      <c r="V1879" t="s">
        <v>13134</v>
      </c>
      <c r="W1879" t="s">
        <v>14972</v>
      </c>
      <c r="X1879">
        <v>4</v>
      </c>
      <c r="Y1879" t="s">
        <v>21451</v>
      </c>
      <c r="Z1879" t="s">
        <v>27847</v>
      </c>
      <c r="AA1879">
        <v>0.37272691898831078</v>
      </c>
      <c r="AB1879" t="str">
        <f>HYPERLINK("Melting_Curves/meltCurve_O94916_NFAT5.pdf", "Melting_Curves/meltCurve_O94916_NFAT5.pdf")</f>
        <v>Melting_Curves/meltCurve_O94916_NFAT5.pdf</v>
      </c>
    </row>
    <row r="1880" spans="1:28" x14ac:dyDescent="0.25">
      <c r="A1880" t="s">
        <v>1884</v>
      </c>
      <c r="B1880">
        <v>0.99472303558308395</v>
      </c>
      <c r="C1880">
        <v>0.77220502159440896</v>
      </c>
      <c r="D1880">
        <v>0.78721580705979</v>
      </c>
      <c r="E1880">
        <v>0.71641108522498598</v>
      </c>
      <c r="F1880">
        <v>0.644710838703345</v>
      </c>
      <c r="G1880">
        <v>0.46751538451091801</v>
      </c>
      <c r="H1880">
        <v>0.28157873403678002</v>
      </c>
      <c r="I1880">
        <v>0.23806583594264999</v>
      </c>
      <c r="J1880">
        <v>0.14287271311104799</v>
      </c>
      <c r="K1880">
        <v>0.13566905749116301</v>
      </c>
      <c r="L1880">
        <v>389.64547086016199</v>
      </c>
      <c r="M1880">
        <v>7.5255654024795202</v>
      </c>
      <c r="N1880">
        <v>51.776238666302802</v>
      </c>
      <c r="O1880">
        <v>48.498798390139498</v>
      </c>
      <c r="P1880">
        <v>-3.8847612178708399E-2</v>
      </c>
      <c r="Q1880">
        <v>0</v>
      </c>
      <c r="R1880">
        <v>0.95985161044174305</v>
      </c>
      <c r="S1880" t="s">
        <v>8448</v>
      </c>
      <c r="T1880" t="s">
        <v>13134</v>
      </c>
      <c r="U1880" t="s">
        <v>13134</v>
      </c>
      <c r="V1880" t="s">
        <v>13134</v>
      </c>
      <c r="W1880" t="s">
        <v>14973</v>
      </c>
      <c r="X1880">
        <v>3</v>
      </c>
      <c r="Y1880" t="s">
        <v>21452</v>
      </c>
      <c r="Z1880" t="s">
        <v>27848</v>
      </c>
      <c r="AA1880">
        <v>0.52287002109120384</v>
      </c>
      <c r="AB1880" t="str">
        <f>HYPERLINK("Melting_Curves/meltCurve_O94919_ENDOD1.pdf", "Melting_Curves/meltCurve_O94919_ENDOD1.pdf")</f>
        <v>Melting_Curves/meltCurve_O94919_ENDOD1.pdf</v>
      </c>
    </row>
    <row r="1881" spans="1:28" x14ac:dyDescent="0.25">
      <c r="A1881" t="s">
        <v>1885</v>
      </c>
      <c r="B1881">
        <v>0.99472303558308395</v>
      </c>
      <c r="C1881">
        <v>0.89652392945613302</v>
      </c>
      <c r="D1881">
        <v>0.94911798479508702</v>
      </c>
      <c r="E1881">
        <v>0.75015609966617203</v>
      </c>
      <c r="F1881">
        <v>0.18881120122794201</v>
      </c>
      <c r="G1881">
        <v>0.106481126080275</v>
      </c>
      <c r="H1881">
        <v>6.6900196885771396E-2</v>
      </c>
      <c r="I1881">
        <v>5.2699759110687402E-2</v>
      </c>
      <c r="J1881">
        <v>5.7114151074109297E-2</v>
      </c>
      <c r="K1881">
        <v>4.98049258068856E-2</v>
      </c>
      <c r="L1881">
        <v>1748.36735725981</v>
      </c>
      <c r="M1881">
        <v>36.555210197703197</v>
      </c>
      <c r="N1881">
        <v>47.998504660972401</v>
      </c>
      <c r="O1881">
        <v>47.685680895829002</v>
      </c>
      <c r="P1881">
        <v>-0.17998649467626199</v>
      </c>
      <c r="Q1881">
        <v>6.0845049603334297E-2</v>
      </c>
      <c r="R1881">
        <v>0.99184546143082597</v>
      </c>
      <c r="S1881" t="s">
        <v>8449</v>
      </c>
      <c r="T1881" t="s">
        <v>13134</v>
      </c>
      <c r="U1881" t="s">
        <v>13134</v>
      </c>
      <c r="V1881" t="s">
        <v>13134</v>
      </c>
      <c r="W1881" t="s">
        <v>14974</v>
      </c>
      <c r="X1881">
        <v>19</v>
      </c>
      <c r="Y1881" t="s">
        <v>21453</v>
      </c>
      <c r="Z1881" t="s">
        <v>27849</v>
      </c>
      <c r="AA1881">
        <v>0.40354473468905172</v>
      </c>
      <c r="AB1881" t="str">
        <f>HYPERLINK("Melting_Curves/meltCurve_O94925_3_GLS.pdf", "Melting_Curves/meltCurve_O94925_3_GLS.pdf")</f>
        <v>Melting_Curves/meltCurve_O94925_3_GLS.pdf</v>
      </c>
    </row>
    <row r="1882" spans="1:28" x14ac:dyDescent="0.25">
      <c r="A1882" t="s">
        <v>1886</v>
      </c>
      <c r="B1882">
        <v>0.99472303558308395</v>
      </c>
      <c r="C1882">
        <v>0.95291626841004695</v>
      </c>
      <c r="D1882">
        <v>0.68986474474516002</v>
      </c>
      <c r="E1882">
        <v>0.32226531730024499</v>
      </c>
      <c r="F1882">
        <v>0.116495425712741</v>
      </c>
      <c r="G1882">
        <v>6.8993775514907596E-2</v>
      </c>
      <c r="H1882">
        <v>5.9978048634652698E-2</v>
      </c>
      <c r="I1882">
        <v>4.7539770419750702E-2</v>
      </c>
      <c r="J1882">
        <v>7.48487759029869E-2</v>
      </c>
      <c r="K1882">
        <v>5.6282594668377102E-2</v>
      </c>
      <c r="L1882">
        <v>998.45941251744796</v>
      </c>
      <c r="M1882">
        <v>22.431003331849499</v>
      </c>
      <c r="N1882">
        <v>44.747513983018202</v>
      </c>
      <c r="O1882">
        <v>44.163220565851503</v>
      </c>
      <c r="P1882">
        <v>-0.119923824886769</v>
      </c>
      <c r="Q1882">
        <v>5.5572733951842597E-2</v>
      </c>
      <c r="R1882">
        <v>0.99903214515196703</v>
      </c>
      <c r="S1882" t="s">
        <v>8450</v>
      </c>
      <c r="T1882" t="s">
        <v>13134</v>
      </c>
      <c r="U1882" t="s">
        <v>13134</v>
      </c>
      <c r="V1882" t="s">
        <v>13134</v>
      </c>
      <c r="W1882" t="s">
        <v>14975</v>
      </c>
      <c r="X1882">
        <v>5</v>
      </c>
      <c r="Y1882" t="s">
        <v>21454</v>
      </c>
      <c r="Z1882" t="s">
        <v>27850</v>
      </c>
      <c r="AA1882">
        <v>0.30183628548536168</v>
      </c>
      <c r="AB1882" t="str">
        <f>HYPERLINK("Melting_Curves/meltCurve_O94927_HAUS5.pdf", "Melting_Curves/meltCurve_O94927_HAUS5.pdf")</f>
        <v>Melting_Curves/meltCurve_O94927_HAUS5.pdf</v>
      </c>
    </row>
    <row r="1883" spans="1:28" x14ac:dyDescent="0.25">
      <c r="A1883" t="s">
        <v>1887</v>
      </c>
      <c r="B1883">
        <v>0.99472303558308395</v>
      </c>
      <c r="C1883">
        <v>0.94563515013108201</v>
      </c>
      <c r="D1883">
        <v>0.89303918123338699</v>
      </c>
      <c r="E1883">
        <v>0.42664690300463698</v>
      </c>
      <c r="F1883">
        <v>0.14406046520632901</v>
      </c>
      <c r="G1883">
        <v>8.4386278021206101E-2</v>
      </c>
      <c r="H1883">
        <v>0.14183573646780001</v>
      </c>
      <c r="I1883">
        <v>5.93637565515047E-2</v>
      </c>
      <c r="J1883">
        <v>0.103793090581266</v>
      </c>
      <c r="K1883">
        <v>6.5826880403776294E-2</v>
      </c>
      <c r="L1883">
        <v>1375.5405547211201</v>
      </c>
      <c r="M1883">
        <v>30.0445238433276</v>
      </c>
      <c r="N1883">
        <v>46.079321055967498</v>
      </c>
      <c r="O1883">
        <v>45.581997119112302</v>
      </c>
      <c r="P1883">
        <v>-0.15032633256115999</v>
      </c>
      <c r="Q1883">
        <v>8.7736314722439201E-2</v>
      </c>
      <c r="R1883">
        <v>0.99551949597432499</v>
      </c>
      <c r="S1883" t="s">
        <v>8451</v>
      </c>
      <c r="T1883" t="s">
        <v>13134</v>
      </c>
      <c r="U1883" t="s">
        <v>13134</v>
      </c>
      <c r="V1883" t="s">
        <v>13134</v>
      </c>
      <c r="W1883" t="s">
        <v>14976</v>
      </c>
      <c r="X1883">
        <v>1</v>
      </c>
      <c r="Y1883" t="s">
        <v>21455</v>
      </c>
      <c r="Z1883" t="s">
        <v>27851</v>
      </c>
      <c r="AA1883">
        <v>0.35999837181633682</v>
      </c>
      <c r="AB1883" t="str">
        <f>HYPERLINK("Melting_Curves/meltCurve_O94941_2_UBOX5.pdf", "Melting_Curves/meltCurve_O94941_2_UBOX5.pdf")</f>
        <v>Melting_Curves/meltCurve_O94941_2_UBOX5.pdf</v>
      </c>
    </row>
    <row r="1884" spans="1:28" x14ac:dyDescent="0.25">
      <c r="A1884" t="s">
        <v>1888</v>
      </c>
      <c r="B1884">
        <v>0.99472303558308395</v>
      </c>
      <c r="C1884">
        <v>1.0357015292835601</v>
      </c>
      <c r="D1884">
        <v>0.89984115493655403</v>
      </c>
      <c r="E1884">
        <v>0.82395942523294496</v>
      </c>
      <c r="F1884">
        <v>0.51044930439511804</v>
      </c>
      <c r="G1884">
        <v>0.141079481429354</v>
      </c>
      <c r="H1884">
        <v>6.8676569144781305E-2</v>
      </c>
      <c r="I1884">
        <v>5.8587678900272798E-2</v>
      </c>
      <c r="J1884">
        <v>4.9972634379099899E-2</v>
      </c>
      <c r="K1884">
        <v>4.5318462332794199E-2</v>
      </c>
      <c r="L1884">
        <v>1133.58790986794</v>
      </c>
      <c r="M1884">
        <v>22.758176843608201</v>
      </c>
      <c r="N1884">
        <v>49.962087966372302</v>
      </c>
      <c r="O1884">
        <v>49.430334403632997</v>
      </c>
      <c r="P1884">
        <v>-0.111255783137646</v>
      </c>
      <c r="Q1884">
        <v>3.3436963772252297E-2</v>
      </c>
      <c r="R1884">
        <v>0.99365923360261099</v>
      </c>
      <c r="S1884" t="s">
        <v>8452</v>
      </c>
      <c r="T1884" t="s">
        <v>13134</v>
      </c>
      <c r="U1884" t="s">
        <v>13134</v>
      </c>
      <c r="V1884" t="s">
        <v>13134</v>
      </c>
      <c r="W1884" t="s">
        <v>14977</v>
      </c>
      <c r="X1884">
        <v>25</v>
      </c>
      <c r="Y1884" t="s">
        <v>21456</v>
      </c>
      <c r="Z1884" t="s">
        <v>27852</v>
      </c>
      <c r="AA1884">
        <v>0.45623648800471778</v>
      </c>
      <c r="AB1884" t="str">
        <f>HYPERLINK("Melting_Curves/meltCurve_O94966_7_USP19.pdf", "Melting_Curves/meltCurve_O94966_7_USP19.pdf")</f>
        <v>Melting_Curves/meltCurve_O94966_7_USP19.pdf</v>
      </c>
    </row>
    <row r="1885" spans="1:28" x14ac:dyDescent="0.25">
      <c r="A1885" t="s">
        <v>1889</v>
      </c>
      <c r="B1885">
        <v>0.99472303558308395</v>
      </c>
      <c r="C1885">
        <v>1.0047145225604801</v>
      </c>
      <c r="D1885">
        <v>0.84298301029446898</v>
      </c>
      <c r="E1885">
        <v>0.74043468296550097</v>
      </c>
      <c r="F1885">
        <v>0.732607759379582</v>
      </c>
      <c r="G1885">
        <v>0.33472611942698899</v>
      </c>
      <c r="H1885">
        <v>0.14789610248278001</v>
      </c>
      <c r="I1885">
        <v>0.107666522408156</v>
      </c>
      <c r="J1885">
        <v>0.11889298144169901</v>
      </c>
      <c r="K1885">
        <v>0.11729265435538801</v>
      </c>
      <c r="L1885">
        <v>699.606440553825</v>
      </c>
      <c r="M1885">
        <v>13.630826707201299</v>
      </c>
      <c r="N1885">
        <v>51.601074524540699</v>
      </c>
      <c r="O1885">
        <v>50.258422801411299</v>
      </c>
      <c r="P1885">
        <v>-6.54315389152893E-2</v>
      </c>
      <c r="Q1885">
        <v>3.5127233850004401E-2</v>
      </c>
      <c r="R1885">
        <v>0.96726197092631405</v>
      </c>
      <c r="S1885" t="s">
        <v>8453</v>
      </c>
      <c r="T1885" t="s">
        <v>13134</v>
      </c>
      <c r="U1885" t="s">
        <v>13134</v>
      </c>
      <c r="V1885" t="s">
        <v>13134</v>
      </c>
      <c r="W1885" t="s">
        <v>14978</v>
      </c>
      <c r="X1885">
        <v>18</v>
      </c>
      <c r="Y1885" t="s">
        <v>21457</v>
      </c>
      <c r="Z1885" t="s">
        <v>27853</v>
      </c>
      <c r="AA1885">
        <v>0.51731336171706643</v>
      </c>
      <c r="AB1885" t="str">
        <f>HYPERLINK("Melting_Curves/meltCurve_O94973_AP2A2.pdf", "Melting_Curves/meltCurve_O94973_AP2A2.pdf")</f>
        <v>Melting_Curves/meltCurve_O94973_AP2A2.pdf</v>
      </c>
    </row>
    <row r="1886" spans="1:28" x14ac:dyDescent="0.25">
      <c r="A1886" t="s">
        <v>1890</v>
      </c>
      <c r="B1886">
        <v>0.99472303558308395</v>
      </c>
      <c r="C1886">
        <v>1.0004874090640401</v>
      </c>
      <c r="D1886">
        <v>0.88610055046901204</v>
      </c>
      <c r="E1886">
        <v>0.81326741531514501</v>
      </c>
      <c r="F1886">
        <v>0.70214955769823695</v>
      </c>
      <c r="G1886">
        <v>0.51763533677210105</v>
      </c>
      <c r="H1886">
        <v>0.46963738262827898</v>
      </c>
      <c r="I1886">
        <v>0.47874728075258099</v>
      </c>
      <c r="J1886">
        <v>0.65571923544461297</v>
      </c>
      <c r="K1886">
        <v>0.56224520831762104</v>
      </c>
      <c r="L1886">
        <v>873.06395660535497</v>
      </c>
      <c r="M1886">
        <v>18.459059564800199</v>
      </c>
      <c r="O1886">
        <v>46.752703529744799</v>
      </c>
      <c r="P1886">
        <v>-4.63047603690806E-2</v>
      </c>
      <c r="Q1886">
        <v>0.53090220568672497</v>
      </c>
      <c r="R1886">
        <v>0.90972165046800602</v>
      </c>
      <c r="S1886" t="s">
        <v>8454</v>
      </c>
      <c r="T1886" t="s">
        <v>13134</v>
      </c>
      <c r="U1886" t="s">
        <v>13134</v>
      </c>
      <c r="V1886" t="s">
        <v>13134</v>
      </c>
      <c r="W1886" t="s">
        <v>14979</v>
      </c>
      <c r="X1886">
        <v>14</v>
      </c>
      <c r="Y1886" t="s">
        <v>21458</v>
      </c>
      <c r="Z1886" t="s">
        <v>27854</v>
      </c>
      <c r="AA1886">
        <v>0.69908729033226669</v>
      </c>
      <c r="AB1886" t="str">
        <f>HYPERLINK("Melting_Curves/meltCurve_O94992_HEXIM1.pdf", "Melting_Curves/meltCurve_O94992_HEXIM1.pdf")</f>
        <v>Melting_Curves/meltCurve_O94992_HEXIM1.pdf</v>
      </c>
    </row>
    <row r="1887" spans="1:28" x14ac:dyDescent="0.25">
      <c r="A1887" t="s">
        <v>1891</v>
      </c>
      <c r="B1887">
        <v>0.99472303558308395</v>
      </c>
      <c r="C1887">
        <v>0.72289701930091799</v>
      </c>
      <c r="D1887">
        <v>0.81878104676270702</v>
      </c>
      <c r="E1887">
        <v>0.61614851098305801</v>
      </c>
      <c r="F1887">
        <v>0.393318107792194</v>
      </c>
      <c r="G1887">
        <v>0.446920448022116</v>
      </c>
      <c r="H1887">
        <v>0.21446858299322299</v>
      </c>
      <c r="I1887">
        <v>0.27794921581202497</v>
      </c>
      <c r="J1887">
        <v>0.24803541403158899</v>
      </c>
      <c r="K1887">
        <v>0.132066248313539</v>
      </c>
      <c r="L1887">
        <v>376.21925087852497</v>
      </c>
      <c r="M1887">
        <v>7.8249943386068797</v>
      </c>
      <c r="N1887">
        <v>49.326826543150297</v>
      </c>
      <c r="O1887">
        <v>45.242438917771601</v>
      </c>
      <c r="P1887">
        <v>-3.9405418259493299E-2</v>
      </c>
      <c r="Q1887">
        <v>8.9783256224532995E-2</v>
      </c>
      <c r="R1887">
        <v>0.931393963604224</v>
      </c>
      <c r="S1887" t="s">
        <v>8455</v>
      </c>
      <c r="T1887" t="s">
        <v>13134</v>
      </c>
      <c r="U1887" t="s">
        <v>13134</v>
      </c>
      <c r="V1887" t="s">
        <v>13134</v>
      </c>
      <c r="W1887" t="s">
        <v>14980</v>
      </c>
      <c r="X1887">
        <v>1</v>
      </c>
      <c r="Y1887" t="s">
        <v>21459</v>
      </c>
      <c r="Z1887" t="s">
        <v>27855</v>
      </c>
      <c r="AA1887">
        <v>0.47384097131248909</v>
      </c>
      <c r="AB1887" t="str">
        <f>HYPERLINK("Melting_Curves/meltCurve_O95059_RPP14.pdf", "Melting_Curves/meltCurve_O95059_RPP14.pdf")</f>
        <v>Melting_Curves/meltCurve_O95059_RPP14.pdf</v>
      </c>
    </row>
    <row r="1888" spans="1:28" x14ac:dyDescent="0.25">
      <c r="A1888" t="s">
        <v>1892</v>
      </c>
      <c r="B1888">
        <v>0.99472303558308395</v>
      </c>
      <c r="C1888">
        <v>0.96242115182055099</v>
      </c>
      <c r="D1888">
        <v>0.91470135998843005</v>
      </c>
      <c r="E1888">
        <v>0.76165538145018097</v>
      </c>
      <c r="F1888">
        <v>0.52926078913575003</v>
      </c>
      <c r="G1888">
        <v>0.29796190882675899</v>
      </c>
      <c r="H1888">
        <v>0.16527588340469301</v>
      </c>
      <c r="I1888">
        <v>7.9406388837435393E-2</v>
      </c>
      <c r="J1888">
        <v>6.8949635143194896E-2</v>
      </c>
      <c r="K1888">
        <v>6.2379918888857203E-2</v>
      </c>
      <c r="L1888">
        <v>714.94819172015502</v>
      </c>
      <c r="M1888">
        <v>14.205777331687599</v>
      </c>
      <c r="N1888">
        <v>50.485390987604298</v>
      </c>
      <c r="O1888">
        <v>49.362189315511102</v>
      </c>
      <c r="P1888">
        <v>-7.0397071193697106E-2</v>
      </c>
      <c r="Q1888">
        <v>2.1660480845328699E-2</v>
      </c>
      <c r="R1888">
        <v>0.99941500175268705</v>
      </c>
      <c r="S1888" t="s">
        <v>8456</v>
      </c>
      <c r="T1888" t="s">
        <v>13134</v>
      </c>
      <c r="U1888" t="s">
        <v>13134</v>
      </c>
      <c r="V1888" t="s">
        <v>13134</v>
      </c>
      <c r="W1888" t="s">
        <v>14981</v>
      </c>
      <c r="X1888">
        <v>10</v>
      </c>
      <c r="Y1888" t="s">
        <v>21460</v>
      </c>
      <c r="Z1888" t="s">
        <v>27856</v>
      </c>
      <c r="AA1888">
        <v>0.4780902279406532</v>
      </c>
      <c r="AB1888" t="str">
        <f>HYPERLINK("Melting_Curves/meltCurve_O95067_CCNB2.pdf", "Melting_Curves/meltCurve_O95067_CCNB2.pdf")</f>
        <v>Melting_Curves/meltCurve_O95067_CCNB2.pdf</v>
      </c>
    </row>
    <row r="1889" spans="1:28" x14ac:dyDescent="0.25">
      <c r="A1889" t="s">
        <v>1893</v>
      </c>
      <c r="B1889">
        <v>0.99472303558308395</v>
      </c>
      <c r="C1889">
        <v>1.03393244635744</v>
      </c>
      <c r="D1889">
        <v>0.76000560872853995</v>
      </c>
      <c r="E1889">
        <v>0.317735031612293</v>
      </c>
      <c r="F1889">
        <v>0.110803720816976</v>
      </c>
      <c r="G1889">
        <v>6.58697122014896E-2</v>
      </c>
      <c r="H1889">
        <v>3.0083557676042701E-2</v>
      </c>
      <c r="I1889">
        <v>2.81040821851548E-2</v>
      </c>
      <c r="J1889">
        <v>2.60596464740965E-2</v>
      </c>
      <c r="K1889">
        <v>1.3499888670685E-2</v>
      </c>
      <c r="L1889">
        <v>1159.4608385889101</v>
      </c>
      <c r="M1889">
        <v>25.744409009747201</v>
      </c>
      <c r="N1889">
        <v>45.149946307957897</v>
      </c>
      <c r="O1889">
        <v>44.768278580339803</v>
      </c>
      <c r="P1889">
        <v>-0.13929780000414799</v>
      </c>
      <c r="Q1889">
        <v>3.10831853633293E-2</v>
      </c>
      <c r="R1889">
        <v>0.99626433626400601</v>
      </c>
      <c r="S1889" t="s">
        <v>8457</v>
      </c>
      <c r="T1889" t="s">
        <v>13134</v>
      </c>
      <c r="U1889" t="s">
        <v>13134</v>
      </c>
      <c r="V1889" t="s">
        <v>13134</v>
      </c>
      <c r="W1889" t="s">
        <v>14982</v>
      </c>
      <c r="X1889">
        <v>3</v>
      </c>
      <c r="Y1889" t="s">
        <v>21461</v>
      </c>
      <c r="Z1889" t="s">
        <v>27857</v>
      </c>
      <c r="AA1889">
        <v>0.29814961802154127</v>
      </c>
      <c r="AB1889" t="str">
        <f>HYPERLINK("Melting_Curves/meltCurve_O95081_AGFG2.pdf", "Melting_Curves/meltCurve_O95081_AGFG2.pdf")</f>
        <v>Melting_Curves/meltCurve_O95081_AGFG2.pdf</v>
      </c>
    </row>
    <row r="1890" spans="1:28" x14ac:dyDescent="0.25">
      <c r="A1890" t="s">
        <v>1894</v>
      </c>
      <c r="B1890">
        <v>0.99472303558308395</v>
      </c>
      <c r="C1890">
        <v>1.10282276103509</v>
      </c>
      <c r="D1890">
        <v>0.99601789062984303</v>
      </c>
      <c r="E1890">
        <v>0.58478229262541004</v>
      </c>
      <c r="F1890">
        <v>0.118909454369728</v>
      </c>
      <c r="G1890">
        <v>7.0190050456936104E-2</v>
      </c>
      <c r="H1890">
        <v>5.2910203179856598E-2</v>
      </c>
      <c r="I1890">
        <v>4.1165510246191403E-2</v>
      </c>
      <c r="J1890">
        <v>4.1335462482432597E-2</v>
      </c>
      <c r="K1890">
        <v>3.8489846688530401E-2</v>
      </c>
      <c r="L1890">
        <v>1917.2831704477301</v>
      </c>
      <c r="M1890">
        <v>40.869010951362398</v>
      </c>
      <c r="N1890">
        <v>47.0315647675748</v>
      </c>
      <c r="O1890">
        <v>46.800987350490601</v>
      </c>
      <c r="P1890">
        <v>-0.20761691150248299</v>
      </c>
      <c r="Q1890">
        <v>4.8995138283763597E-2</v>
      </c>
      <c r="R1890">
        <v>0.99395177916826005</v>
      </c>
      <c r="S1890" t="s">
        <v>8458</v>
      </c>
      <c r="T1890" t="s">
        <v>13134</v>
      </c>
      <c r="U1890" t="s">
        <v>13134</v>
      </c>
      <c r="V1890" t="s">
        <v>13134</v>
      </c>
      <c r="W1890" t="s">
        <v>14983</v>
      </c>
      <c r="X1890">
        <v>9</v>
      </c>
      <c r="Y1890" t="s">
        <v>21462</v>
      </c>
      <c r="Z1890" t="s">
        <v>27858</v>
      </c>
      <c r="AA1890">
        <v>0.36618903504878758</v>
      </c>
      <c r="AB1890" t="str">
        <f>HYPERLINK("Melting_Curves/meltCurve_O95104_3_SCAF4.pdf", "Melting_Curves/meltCurve_O95104_3_SCAF4.pdf")</f>
        <v>Melting_Curves/meltCurve_O95104_3_SCAF4.pdf</v>
      </c>
    </row>
    <row r="1891" spans="1:28" x14ac:dyDescent="0.25">
      <c r="A1891" t="s">
        <v>1895</v>
      </c>
      <c r="B1891">
        <v>0.99472303558308395</v>
      </c>
      <c r="C1891">
        <v>0.99130168038955402</v>
      </c>
      <c r="D1891">
        <v>0.93748198088620205</v>
      </c>
      <c r="E1891">
        <v>0.790334355764301</v>
      </c>
      <c r="F1891">
        <v>0.54390126627009905</v>
      </c>
      <c r="G1891">
        <v>0.38954044984234798</v>
      </c>
      <c r="H1891">
        <v>0.34094476684337899</v>
      </c>
      <c r="I1891">
        <v>0.35022293006542499</v>
      </c>
      <c r="J1891">
        <v>0.44288718865117699</v>
      </c>
      <c r="K1891">
        <v>0.41045706820467398</v>
      </c>
      <c r="L1891">
        <v>1180.7020987613701</v>
      </c>
      <c r="M1891">
        <v>24.686424907583099</v>
      </c>
      <c r="N1891">
        <v>50.750960445990202</v>
      </c>
      <c r="O1891">
        <v>47.517463077650198</v>
      </c>
      <c r="P1891">
        <v>-8.0610327257979703E-2</v>
      </c>
      <c r="Q1891">
        <v>0.37936033482215298</v>
      </c>
      <c r="R1891">
        <v>0.98561669175481303</v>
      </c>
      <c r="S1891" t="s">
        <v>8459</v>
      </c>
      <c r="T1891" t="s">
        <v>13134</v>
      </c>
      <c r="U1891" t="s">
        <v>13134</v>
      </c>
      <c r="V1891" t="s">
        <v>13134</v>
      </c>
      <c r="W1891" t="s">
        <v>14984</v>
      </c>
      <c r="X1891">
        <v>8</v>
      </c>
      <c r="Y1891" t="s">
        <v>21463</v>
      </c>
      <c r="Z1891" t="s">
        <v>27859</v>
      </c>
      <c r="AA1891">
        <v>0.60877903114987397</v>
      </c>
      <c r="AB1891" t="str">
        <f>HYPERLINK("Melting_Curves/meltCurve_O95139_NDUFB6.pdf", "Melting_Curves/meltCurve_O95139_NDUFB6.pdf")</f>
        <v>Melting_Curves/meltCurve_O95139_NDUFB6.pdf</v>
      </c>
    </row>
    <row r="1892" spans="1:28" x14ac:dyDescent="0.25">
      <c r="A1892" t="s">
        <v>1896</v>
      </c>
      <c r="B1892">
        <v>0.99472303558308395</v>
      </c>
      <c r="C1892">
        <v>1.0126924430814701</v>
      </c>
      <c r="D1892">
        <v>0.90637478695014895</v>
      </c>
      <c r="E1892">
        <v>0.79605679490957404</v>
      </c>
      <c r="F1892">
        <v>0.42425363901962698</v>
      </c>
      <c r="G1892">
        <v>0.17617810881773199</v>
      </c>
      <c r="H1892">
        <v>9.1391934125195806E-2</v>
      </c>
      <c r="I1892">
        <v>6.5012234396304699E-2</v>
      </c>
      <c r="J1892">
        <v>8.07741460358056E-2</v>
      </c>
      <c r="K1892">
        <v>7.2179129298957104E-2</v>
      </c>
      <c r="L1892">
        <v>1069.6434441269</v>
      </c>
      <c r="M1892">
        <v>21.7745176368879</v>
      </c>
      <c r="N1892">
        <v>49.419708733966097</v>
      </c>
      <c r="O1892">
        <v>48.714937811912698</v>
      </c>
      <c r="P1892">
        <v>-0.104913791547788</v>
      </c>
      <c r="Q1892">
        <v>6.1150291974121002E-2</v>
      </c>
      <c r="R1892">
        <v>0.99746959024455895</v>
      </c>
      <c r="S1892" t="s">
        <v>8460</v>
      </c>
      <c r="T1892" t="s">
        <v>13134</v>
      </c>
      <c r="U1892" t="s">
        <v>13134</v>
      </c>
      <c r="V1892" t="s">
        <v>13134</v>
      </c>
      <c r="W1892" t="s">
        <v>14985</v>
      </c>
      <c r="X1892">
        <v>22</v>
      </c>
      <c r="Y1892" t="s">
        <v>21464</v>
      </c>
      <c r="Z1892" t="s">
        <v>27860</v>
      </c>
      <c r="AA1892">
        <v>0.45113543156645047</v>
      </c>
      <c r="AB1892" t="str">
        <f>HYPERLINK("Melting_Curves/meltCurve_O95140_MFN2.pdf", "Melting_Curves/meltCurve_O95140_MFN2.pdf")</f>
        <v>Melting_Curves/meltCurve_O95140_MFN2.pdf</v>
      </c>
    </row>
    <row r="1893" spans="1:28" x14ac:dyDescent="0.25">
      <c r="A1893" t="s">
        <v>1897</v>
      </c>
      <c r="B1893">
        <v>0.99472303558308395</v>
      </c>
      <c r="C1893">
        <v>0.88943024852972297</v>
      </c>
      <c r="D1893">
        <v>0.91371518597422197</v>
      </c>
      <c r="E1893">
        <v>0.73600365896523501</v>
      </c>
      <c r="F1893">
        <v>0.31479228639940099</v>
      </c>
      <c r="G1893">
        <v>0.11562894702803</v>
      </c>
      <c r="H1893">
        <v>7.6052751283547895E-2</v>
      </c>
      <c r="I1893">
        <v>4.8946763524247303E-2</v>
      </c>
      <c r="J1893">
        <v>5.3197692237615203E-2</v>
      </c>
      <c r="K1893">
        <v>5.4564893209158902E-2</v>
      </c>
      <c r="L1893">
        <v>1101.28758957011</v>
      </c>
      <c r="M1893">
        <v>22.811091757993498</v>
      </c>
      <c r="N1893">
        <v>48.479246556037303</v>
      </c>
      <c r="O1893">
        <v>47.912159488735099</v>
      </c>
      <c r="P1893">
        <v>-0.113666435061263</v>
      </c>
      <c r="Q1893">
        <v>4.5043684096768802E-2</v>
      </c>
      <c r="R1893">
        <v>0.99160521942134705</v>
      </c>
      <c r="S1893" t="s">
        <v>8461</v>
      </c>
      <c r="T1893" t="s">
        <v>13134</v>
      </c>
      <c r="U1893" t="s">
        <v>13134</v>
      </c>
      <c r="V1893" t="s">
        <v>13134</v>
      </c>
      <c r="W1893" t="s">
        <v>14986</v>
      </c>
      <c r="X1893">
        <v>27</v>
      </c>
      <c r="Y1893" t="s">
        <v>19751</v>
      </c>
      <c r="Z1893" t="s">
        <v>27861</v>
      </c>
      <c r="AA1893">
        <v>0.41383540074018532</v>
      </c>
      <c r="AB1893" t="str">
        <f>HYPERLINK("Melting_Curves/meltCurve_O95155_2_UBE4B.pdf", "Melting_Curves/meltCurve_O95155_2_UBE4B.pdf")</f>
        <v>Melting_Curves/meltCurve_O95155_2_UBE4B.pdf</v>
      </c>
    </row>
    <row r="1894" spans="1:28" x14ac:dyDescent="0.25">
      <c r="A1894" t="s">
        <v>1898</v>
      </c>
      <c r="B1894">
        <v>0.99472303558308395</v>
      </c>
      <c r="C1894">
        <v>0.96405472518490798</v>
      </c>
      <c r="D1894">
        <v>0.976207437453953</v>
      </c>
      <c r="E1894">
        <v>0.80242725590604302</v>
      </c>
      <c r="F1894">
        <v>0.51328305671554897</v>
      </c>
      <c r="G1894">
        <v>0.24153786439340399</v>
      </c>
      <c r="H1894">
        <v>0.121176832257754</v>
      </c>
      <c r="I1894">
        <v>9.6308015089419205E-2</v>
      </c>
      <c r="J1894">
        <v>0.113642411611445</v>
      </c>
      <c r="K1894">
        <v>7.4762360083573801E-2</v>
      </c>
      <c r="L1894">
        <v>1005.40815765795</v>
      </c>
      <c r="M1894">
        <v>20.193931358932399</v>
      </c>
      <c r="N1894">
        <v>50.209041509141798</v>
      </c>
      <c r="O1894">
        <v>49.307113636284498</v>
      </c>
      <c r="P1894">
        <v>-9.4410183097494202E-2</v>
      </c>
      <c r="Q1894">
        <v>7.7951121868715903E-2</v>
      </c>
      <c r="R1894">
        <v>0.99838486412923999</v>
      </c>
      <c r="S1894" t="s">
        <v>8462</v>
      </c>
      <c r="T1894" t="s">
        <v>13134</v>
      </c>
      <c r="U1894" t="s">
        <v>13134</v>
      </c>
      <c r="V1894" t="s">
        <v>13134</v>
      </c>
      <c r="W1894" t="s">
        <v>14987</v>
      </c>
      <c r="X1894">
        <v>4</v>
      </c>
      <c r="Y1894" t="s">
        <v>21465</v>
      </c>
      <c r="Z1894" t="s">
        <v>27862</v>
      </c>
      <c r="AA1894">
        <v>0.48292105217834869</v>
      </c>
      <c r="AB1894" t="str">
        <f>HYPERLINK("Melting_Curves/meltCurve_O95159_ZFPL1.pdf", "Melting_Curves/meltCurve_O95159_ZFPL1.pdf")</f>
        <v>Melting_Curves/meltCurve_O95159_ZFPL1.pdf</v>
      </c>
    </row>
    <row r="1895" spans="1:28" x14ac:dyDescent="0.25">
      <c r="A1895" t="s">
        <v>1899</v>
      </c>
      <c r="B1895">
        <v>0.99472303558308395</v>
      </c>
      <c r="C1895">
        <v>0.93568827775946295</v>
      </c>
      <c r="D1895">
        <v>0.66752905354187797</v>
      </c>
      <c r="E1895">
        <v>0.54748580994542595</v>
      </c>
      <c r="F1895">
        <v>0.74580676885583197</v>
      </c>
      <c r="G1895">
        <v>0.31893056456600799</v>
      </c>
      <c r="H1895">
        <v>0.13156072649015499</v>
      </c>
      <c r="I1895">
        <v>5.4553523455974397E-2</v>
      </c>
      <c r="J1895">
        <v>5.7046796323440702E-2</v>
      </c>
      <c r="K1895">
        <v>5.13954594419571E-2</v>
      </c>
      <c r="L1895">
        <v>479.56081998232401</v>
      </c>
      <c r="M1895">
        <v>9.6854501632633294</v>
      </c>
      <c r="N1895">
        <v>49.513523589848099</v>
      </c>
      <c r="O1895">
        <v>47.5410138907516</v>
      </c>
      <c r="P1895">
        <v>-5.0960077247160097E-2</v>
      </c>
      <c r="Q1895">
        <v>0</v>
      </c>
      <c r="R1895">
        <v>0.90065080281827303</v>
      </c>
      <c r="S1895" t="s">
        <v>8463</v>
      </c>
      <c r="T1895" t="s">
        <v>13134</v>
      </c>
      <c r="U1895" t="s">
        <v>13134</v>
      </c>
      <c r="V1895" t="s">
        <v>13134</v>
      </c>
      <c r="W1895" t="s">
        <v>14988</v>
      </c>
      <c r="X1895">
        <v>27</v>
      </c>
      <c r="Y1895" t="s">
        <v>21466</v>
      </c>
      <c r="Z1895" t="s">
        <v>27863</v>
      </c>
      <c r="AA1895">
        <v>0.45380465184526952</v>
      </c>
      <c r="AB1895" t="str">
        <f>HYPERLINK("Melting_Curves/meltCurve_O95163_IKBKAP.pdf", "Melting_Curves/meltCurve_O95163_IKBKAP.pdf")</f>
        <v>Melting_Curves/meltCurve_O95163_IKBKAP.pdf</v>
      </c>
    </row>
    <row r="1896" spans="1:28" x14ac:dyDescent="0.25">
      <c r="A1896" t="s">
        <v>1900</v>
      </c>
      <c r="B1896">
        <v>0.99472303558308395</v>
      </c>
      <c r="C1896">
        <v>1.0096353266356599</v>
      </c>
      <c r="D1896">
        <v>0.82720214891309596</v>
      </c>
      <c r="E1896">
        <v>0.73812992443456305</v>
      </c>
      <c r="F1896">
        <v>0.49932971976660401</v>
      </c>
      <c r="G1896">
        <v>0.26725809090144298</v>
      </c>
      <c r="H1896">
        <v>0.239781993295654</v>
      </c>
      <c r="I1896">
        <v>0.341508553729302</v>
      </c>
      <c r="J1896">
        <v>0.48517446684093302</v>
      </c>
      <c r="K1896">
        <v>0.37635755786639602</v>
      </c>
      <c r="L1896">
        <v>1004.5256784665499</v>
      </c>
      <c r="M1896">
        <v>21.436408106098501</v>
      </c>
      <c r="N1896">
        <v>49.481672942103899</v>
      </c>
      <c r="O1896">
        <v>46.458638026667401</v>
      </c>
      <c r="P1896">
        <v>-7.6208095623010105E-2</v>
      </c>
      <c r="Q1896">
        <v>0.33936008456675698</v>
      </c>
      <c r="R1896">
        <v>0.923616206730416</v>
      </c>
      <c r="S1896" t="s">
        <v>8464</v>
      </c>
      <c r="T1896" t="s">
        <v>13134</v>
      </c>
      <c r="U1896" t="s">
        <v>13134</v>
      </c>
      <c r="V1896" t="s">
        <v>13134</v>
      </c>
      <c r="W1896" t="s">
        <v>14989</v>
      </c>
      <c r="X1896">
        <v>2</v>
      </c>
      <c r="Y1896" t="s">
        <v>21467</v>
      </c>
      <c r="Z1896" t="s">
        <v>27864</v>
      </c>
      <c r="AA1896">
        <v>0.5640431688447638</v>
      </c>
      <c r="AB1896" t="str">
        <f>HYPERLINK("Melting_Curves/meltCurve_O95167_NDUFA3.pdf", "Melting_Curves/meltCurve_O95167_NDUFA3.pdf")</f>
        <v>Melting_Curves/meltCurve_O95167_NDUFA3.pdf</v>
      </c>
    </row>
    <row r="1897" spans="1:28" x14ac:dyDescent="0.25">
      <c r="A1897" t="s">
        <v>1901</v>
      </c>
      <c r="B1897">
        <v>0.99472303558308395</v>
      </c>
      <c r="C1897">
        <v>0.93525159927871004</v>
      </c>
      <c r="D1897">
        <v>0.65315420267434998</v>
      </c>
      <c r="E1897">
        <v>0.499031747039898</v>
      </c>
      <c r="F1897">
        <v>0.38268125402740899</v>
      </c>
      <c r="G1897">
        <v>0.130462807780689</v>
      </c>
      <c r="H1897">
        <v>5.5958387451224598E-2</v>
      </c>
      <c r="I1897">
        <v>3.80792712451304E-2</v>
      </c>
      <c r="J1897">
        <v>3.6264603966465803E-2</v>
      </c>
      <c r="K1897">
        <v>3.4177702157944197E-2</v>
      </c>
      <c r="L1897">
        <v>563.76835899672994</v>
      </c>
      <c r="M1897">
        <v>12.096369933708401</v>
      </c>
      <c r="N1897">
        <v>46.606408480140097</v>
      </c>
      <c r="O1897">
        <v>45.387495727997901</v>
      </c>
      <c r="P1897">
        <v>-6.6643889508512993E-2</v>
      </c>
      <c r="Q1897">
        <v>0</v>
      </c>
      <c r="R1897">
        <v>0.98387170252905598</v>
      </c>
      <c r="S1897" t="s">
        <v>8465</v>
      </c>
      <c r="T1897" t="s">
        <v>13134</v>
      </c>
      <c r="U1897" t="s">
        <v>13134</v>
      </c>
      <c r="V1897" t="s">
        <v>13134</v>
      </c>
      <c r="W1897" t="s">
        <v>14990</v>
      </c>
      <c r="X1897">
        <v>6</v>
      </c>
      <c r="Y1897" t="s">
        <v>21468</v>
      </c>
      <c r="Z1897" t="s">
        <v>27865</v>
      </c>
      <c r="AA1897">
        <v>0.35326351270690082</v>
      </c>
      <c r="AB1897" t="str">
        <f>HYPERLINK("Melting_Curves/meltCurve_O95168_NDUFB4.pdf", "Melting_Curves/meltCurve_O95168_NDUFB4.pdf")</f>
        <v>Melting_Curves/meltCurve_O95168_NDUFB4.pdf</v>
      </c>
    </row>
    <row r="1898" spans="1:28" x14ac:dyDescent="0.25">
      <c r="A1898" t="s">
        <v>1902</v>
      </c>
      <c r="B1898">
        <v>0.99472303558308395</v>
      </c>
      <c r="C1898">
        <v>0.70958864431684798</v>
      </c>
      <c r="D1898">
        <v>0.76280207616191698</v>
      </c>
      <c r="E1898">
        <v>0.641346139368285</v>
      </c>
      <c r="F1898">
        <v>0.30522330589797902</v>
      </c>
      <c r="G1898">
        <v>0.18837333099586201</v>
      </c>
      <c r="H1898">
        <v>9.6581116452216495E-2</v>
      </c>
      <c r="I1898">
        <v>0.199362781151466</v>
      </c>
      <c r="J1898">
        <v>0.21474947631371399</v>
      </c>
      <c r="K1898">
        <v>0.147870160751506</v>
      </c>
      <c r="L1898">
        <v>531.47376154322399</v>
      </c>
      <c r="M1898">
        <v>11.5658415961715</v>
      </c>
      <c r="N1898">
        <v>46.978918288238503</v>
      </c>
      <c r="O1898">
        <v>44.6427192068859</v>
      </c>
      <c r="P1898">
        <v>-5.7550600881513703E-2</v>
      </c>
      <c r="Q1898">
        <v>0.111694130291511</v>
      </c>
      <c r="R1898">
        <v>0.92819226465475801</v>
      </c>
      <c r="S1898" t="s">
        <v>8466</v>
      </c>
      <c r="T1898" t="s">
        <v>13134</v>
      </c>
      <c r="U1898" t="s">
        <v>13134</v>
      </c>
      <c r="V1898" t="s">
        <v>13134</v>
      </c>
      <c r="W1898" t="s">
        <v>14991</v>
      </c>
      <c r="X1898">
        <v>5</v>
      </c>
      <c r="Y1898" t="s">
        <v>21469</v>
      </c>
      <c r="Z1898" t="s">
        <v>27866</v>
      </c>
      <c r="AA1898">
        <v>0.40945617927996442</v>
      </c>
      <c r="AB1898" t="str">
        <f>HYPERLINK("Melting_Curves/meltCurve_O95182_NDUFA7.pdf", "Melting_Curves/meltCurve_O95182_NDUFA7.pdf")</f>
        <v>Melting_Curves/meltCurve_O95182_NDUFA7.pdf</v>
      </c>
    </row>
    <row r="1899" spans="1:28" x14ac:dyDescent="0.25">
      <c r="A1899" t="s">
        <v>1903</v>
      </c>
      <c r="B1899">
        <v>0.99472303558308395</v>
      </c>
      <c r="C1899">
        <v>0.95919532853904699</v>
      </c>
      <c r="D1899">
        <v>0.940947306924515</v>
      </c>
      <c r="E1899">
        <v>0.80835917277951297</v>
      </c>
      <c r="F1899">
        <v>0.63607482738541898</v>
      </c>
      <c r="G1899">
        <v>0.47451672138012502</v>
      </c>
      <c r="H1899">
        <v>0.39472590859893603</v>
      </c>
      <c r="I1899">
        <v>0.34419987699789401</v>
      </c>
      <c r="J1899">
        <v>0.37160111152034297</v>
      </c>
      <c r="K1899">
        <v>0.31366503831095499</v>
      </c>
      <c r="L1899">
        <v>728.61111792901602</v>
      </c>
      <c r="M1899">
        <v>14.681907927424399</v>
      </c>
      <c r="N1899">
        <v>53.231148855507399</v>
      </c>
      <c r="O1899">
        <v>48.733072546822498</v>
      </c>
      <c r="P1899">
        <v>-5.1598879816653502E-2</v>
      </c>
      <c r="Q1899">
        <v>0.31499483847979598</v>
      </c>
      <c r="R1899">
        <v>0.99697656492754105</v>
      </c>
      <c r="S1899" t="s">
        <v>8467</v>
      </c>
      <c r="T1899" t="s">
        <v>13134</v>
      </c>
      <c r="U1899" t="s">
        <v>13134</v>
      </c>
      <c r="V1899" t="s">
        <v>13134</v>
      </c>
      <c r="W1899" t="s">
        <v>14992</v>
      </c>
      <c r="X1899">
        <v>13</v>
      </c>
      <c r="Y1899" t="s">
        <v>21470</v>
      </c>
      <c r="Z1899" t="s">
        <v>27867</v>
      </c>
      <c r="AA1899">
        <v>0.61825363130867617</v>
      </c>
      <c r="AB1899" t="str">
        <f>HYPERLINK("Melting_Curves/meltCurve_O95197_2_RTN3.pdf", "Melting_Curves/meltCurve_O95197_2_RTN3.pdf")</f>
        <v>Melting_Curves/meltCurve_O95197_2_RTN3.pdf</v>
      </c>
    </row>
    <row r="1900" spans="1:28" x14ac:dyDescent="0.25">
      <c r="A1900" t="s">
        <v>1904</v>
      </c>
      <c r="B1900">
        <v>0.99472303558308395</v>
      </c>
      <c r="C1900">
        <v>1.0139149157412699</v>
      </c>
      <c r="D1900">
        <v>1.0423831759592099</v>
      </c>
      <c r="E1900">
        <v>0.97127203593848999</v>
      </c>
      <c r="F1900">
        <v>0.63291560672271996</v>
      </c>
      <c r="G1900">
        <v>0.356268131481906</v>
      </c>
      <c r="H1900">
        <v>0.11521239317502301</v>
      </c>
      <c r="I1900">
        <v>6.4741594389146603E-2</v>
      </c>
      <c r="J1900">
        <v>5.3264455157446398E-2</v>
      </c>
      <c r="K1900">
        <v>4.6477884586685302E-2</v>
      </c>
      <c r="L1900">
        <v>1178.7058423067699</v>
      </c>
      <c r="M1900">
        <v>22.800406249723999</v>
      </c>
      <c r="N1900">
        <v>51.887349749099101</v>
      </c>
      <c r="O1900">
        <v>51.303951346305098</v>
      </c>
      <c r="P1900">
        <v>-0.10664236334150801</v>
      </c>
      <c r="Q1900">
        <v>4.0180430794930201E-2</v>
      </c>
      <c r="R1900">
        <v>0.99527215913955502</v>
      </c>
      <c r="S1900" t="s">
        <v>8468</v>
      </c>
      <c r="T1900" t="s">
        <v>13134</v>
      </c>
      <c r="U1900" t="s">
        <v>13134</v>
      </c>
      <c r="V1900" t="s">
        <v>13134</v>
      </c>
      <c r="W1900" t="s">
        <v>14993</v>
      </c>
      <c r="X1900">
        <v>27</v>
      </c>
      <c r="Y1900" t="s">
        <v>21471</v>
      </c>
      <c r="Z1900" t="s">
        <v>27868</v>
      </c>
      <c r="AA1900">
        <v>0.52039679733810607</v>
      </c>
      <c r="AB1900" t="str">
        <f>HYPERLINK("Melting_Curves/meltCurve_O95202_LETM1.pdf", "Melting_Curves/meltCurve_O95202_LETM1.pdf")</f>
        <v>Melting_Curves/meltCurve_O95202_LETM1.pdf</v>
      </c>
    </row>
    <row r="1901" spans="1:28" x14ac:dyDescent="0.25">
      <c r="A1901" t="s">
        <v>1905</v>
      </c>
      <c r="B1901">
        <v>0.99472303558308395</v>
      </c>
      <c r="C1901">
        <v>0.92354325577631402</v>
      </c>
      <c r="D1901">
        <v>1.0196788335123701</v>
      </c>
      <c r="E1901">
        <v>0.90883766162058299</v>
      </c>
      <c r="F1901">
        <v>0.70443525765665405</v>
      </c>
      <c r="G1901">
        <v>0.62167979157279896</v>
      </c>
      <c r="H1901">
        <v>0.60830403872044003</v>
      </c>
      <c r="I1901">
        <v>0.632117474052315</v>
      </c>
      <c r="J1901">
        <v>0.91262581873203696</v>
      </c>
      <c r="K1901">
        <v>0.74454509727922402</v>
      </c>
      <c r="L1901">
        <v>10180.814484324599</v>
      </c>
      <c r="M1901">
        <v>217.66260116491401</v>
      </c>
      <c r="O1901">
        <v>46.769426610689401</v>
      </c>
      <c r="P1901">
        <v>-0.34444915576298502</v>
      </c>
      <c r="Q1901">
        <v>0.70395117246624594</v>
      </c>
      <c r="R1901">
        <v>0.69058063521072299</v>
      </c>
      <c r="S1901" t="s">
        <v>8469</v>
      </c>
      <c r="T1901" t="s">
        <v>13134</v>
      </c>
      <c r="U1901" t="s">
        <v>13134</v>
      </c>
      <c r="V1901" t="s">
        <v>13134</v>
      </c>
      <c r="W1901" t="s">
        <v>14994</v>
      </c>
      <c r="X1901">
        <v>18</v>
      </c>
      <c r="Y1901" t="s">
        <v>21472</v>
      </c>
      <c r="Z1901" t="s">
        <v>27869</v>
      </c>
      <c r="AA1901">
        <v>0.80042977464140774</v>
      </c>
      <c r="AB1901" t="str">
        <f>HYPERLINK("Melting_Curves/meltCurve_O95218_2_ZRANB2.pdf", "Melting_Curves/meltCurve_O95218_2_ZRANB2.pdf")</f>
        <v>Melting_Curves/meltCurve_O95218_2_ZRANB2.pdf</v>
      </c>
    </row>
    <row r="1902" spans="1:28" x14ac:dyDescent="0.25">
      <c r="A1902" t="s">
        <v>1906</v>
      </c>
      <c r="B1902">
        <v>0.99472303558308395</v>
      </c>
      <c r="C1902">
        <v>0.92735810345769798</v>
      </c>
      <c r="D1902">
        <v>0.81492408750184397</v>
      </c>
      <c r="E1902">
        <v>0.52274304345061195</v>
      </c>
      <c r="F1902">
        <v>0.18945568381514399</v>
      </c>
      <c r="G1902">
        <v>7.4493256727706403E-2</v>
      </c>
      <c r="H1902">
        <v>8.6899566169048606E-2</v>
      </c>
      <c r="I1902">
        <v>6.6493266579693303E-2</v>
      </c>
      <c r="J1902">
        <v>9.1001184118545297E-2</v>
      </c>
      <c r="K1902">
        <v>0.10025233460414899</v>
      </c>
      <c r="L1902">
        <v>963.18463314545897</v>
      </c>
      <c r="M1902">
        <v>20.877602106199301</v>
      </c>
      <c r="N1902">
        <v>46.465834764974701</v>
      </c>
      <c r="O1902">
        <v>45.717816890011903</v>
      </c>
      <c r="P1902">
        <v>-0.10628007476025</v>
      </c>
      <c r="Q1902">
        <v>6.9096252642690106E-2</v>
      </c>
      <c r="R1902">
        <v>0.99511225543285597</v>
      </c>
      <c r="S1902" t="s">
        <v>8470</v>
      </c>
      <c r="T1902" t="s">
        <v>13134</v>
      </c>
      <c r="U1902" t="s">
        <v>13134</v>
      </c>
      <c r="V1902" t="s">
        <v>13134</v>
      </c>
      <c r="W1902" t="s">
        <v>14995</v>
      </c>
      <c r="X1902">
        <v>1</v>
      </c>
      <c r="Y1902" t="s">
        <v>21473</v>
      </c>
      <c r="Z1902" t="s">
        <v>27870</v>
      </c>
      <c r="AA1902">
        <v>0.36370761219896452</v>
      </c>
      <c r="AB1902" t="str">
        <f>HYPERLINK("Melting_Curves/meltCurve_O95219_SNX4.pdf", "Melting_Curves/meltCurve_O95219_SNX4.pdf")</f>
        <v>Melting_Curves/meltCurve_O95219_SNX4.pdf</v>
      </c>
    </row>
    <row r="1903" spans="1:28" x14ac:dyDescent="0.25">
      <c r="A1903" t="s">
        <v>1907</v>
      </c>
      <c r="B1903">
        <v>0.99472303558308395</v>
      </c>
      <c r="C1903">
        <v>0.92658064812623897</v>
      </c>
      <c r="D1903">
        <v>0.87440203160858598</v>
      </c>
      <c r="E1903">
        <v>0.56504691060793</v>
      </c>
      <c r="F1903">
        <v>0.25010035324896401</v>
      </c>
      <c r="G1903">
        <v>0.147428957010383</v>
      </c>
      <c r="H1903">
        <v>8.6514061702293296E-2</v>
      </c>
      <c r="I1903">
        <v>7.6818273208758198E-2</v>
      </c>
      <c r="J1903">
        <v>0.105537385943563</v>
      </c>
      <c r="K1903">
        <v>8.7737477556443899E-2</v>
      </c>
      <c r="L1903">
        <v>952.25214201215897</v>
      </c>
      <c r="M1903">
        <v>20.368323438512501</v>
      </c>
      <c r="N1903">
        <v>47.160116009116003</v>
      </c>
      <c r="O1903">
        <v>46.307972404151997</v>
      </c>
      <c r="P1903">
        <v>-0.101071719444897</v>
      </c>
      <c r="Q1903">
        <v>8.0869927384725204E-2</v>
      </c>
      <c r="R1903">
        <v>0.99753928198424802</v>
      </c>
      <c r="S1903" t="s">
        <v>8471</v>
      </c>
      <c r="T1903" t="s">
        <v>13134</v>
      </c>
      <c r="U1903" t="s">
        <v>13134</v>
      </c>
      <c r="V1903" t="s">
        <v>13134</v>
      </c>
      <c r="W1903" t="s">
        <v>14996</v>
      </c>
      <c r="X1903">
        <v>7</v>
      </c>
      <c r="Y1903" t="s">
        <v>21474</v>
      </c>
      <c r="Z1903" t="s">
        <v>27871</v>
      </c>
      <c r="AA1903">
        <v>0.39123530598452871</v>
      </c>
      <c r="AB1903" t="str">
        <f>HYPERLINK("Melting_Curves/meltCurve_O95229_ZWINT.pdf", "Melting_Curves/meltCurve_O95229_ZWINT.pdf")</f>
        <v>Melting_Curves/meltCurve_O95229_ZWINT.pdf</v>
      </c>
    </row>
    <row r="1904" spans="1:28" x14ac:dyDescent="0.25">
      <c r="A1904" t="s">
        <v>1908</v>
      </c>
      <c r="B1904">
        <v>0.99472303558308395</v>
      </c>
      <c r="C1904">
        <v>1.13763161262847</v>
      </c>
      <c r="D1904">
        <v>1.13862118184254</v>
      </c>
      <c r="E1904">
        <v>1.13178534487078</v>
      </c>
      <c r="F1904">
        <v>0.86289578431194303</v>
      </c>
      <c r="G1904">
        <v>0.50681873887872098</v>
      </c>
      <c r="H1904">
        <v>5.8192968784571697E-2</v>
      </c>
      <c r="I1904">
        <v>2.6940847393833799E-2</v>
      </c>
      <c r="J1904">
        <v>1.0333343289813401E-2</v>
      </c>
      <c r="K1904">
        <v>1.8522774435591301E-2</v>
      </c>
      <c r="L1904">
        <v>1874.17852262614</v>
      </c>
      <c r="M1904">
        <v>34.922546743905997</v>
      </c>
      <c r="N1904">
        <v>53.678443045785798</v>
      </c>
      <c r="O1904">
        <v>53.491640215673399</v>
      </c>
      <c r="P1904">
        <v>-0.162595431445788</v>
      </c>
      <c r="Q1904">
        <v>3.7990596739020002E-3</v>
      </c>
      <c r="R1904">
        <v>0.97400140880685604</v>
      </c>
      <c r="S1904" t="s">
        <v>8472</v>
      </c>
      <c r="T1904" t="s">
        <v>13134</v>
      </c>
      <c r="U1904" t="s">
        <v>13134</v>
      </c>
      <c r="V1904" t="s">
        <v>13134</v>
      </c>
      <c r="W1904" t="s">
        <v>14997</v>
      </c>
      <c r="X1904">
        <v>1</v>
      </c>
      <c r="Y1904" t="s">
        <v>21475</v>
      </c>
      <c r="Z1904" t="s">
        <v>27872</v>
      </c>
      <c r="AA1904">
        <v>0.56202660407782445</v>
      </c>
      <c r="AB1904" t="str">
        <f>HYPERLINK("Melting_Curves/meltCurve_O95231_VENTX.pdf", "Melting_Curves/meltCurve_O95231_VENTX.pdf")</f>
        <v>Melting_Curves/meltCurve_O95231_VENTX.pdf</v>
      </c>
    </row>
    <row r="1905" spans="1:28" x14ac:dyDescent="0.25">
      <c r="A1905" t="s">
        <v>1909</v>
      </c>
      <c r="B1905">
        <v>0.99472303558308395</v>
      </c>
      <c r="C1905">
        <v>0.88639153298419104</v>
      </c>
      <c r="D1905">
        <v>1.0565747137808501</v>
      </c>
      <c r="E1905">
        <v>0.87319191894237302</v>
      </c>
      <c r="F1905">
        <v>0.58415823905970599</v>
      </c>
      <c r="G1905">
        <v>0.36598656598282298</v>
      </c>
      <c r="H1905">
        <v>0.13228468907287999</v>
      </c>
      <c r="I1905">
        <v>6.0209283770376799E-2</v>
      </c>
      <c r="J1905">
        <v>6.1498343790449099E-2</v>
      </c>
      <c r="K1905">
        <v>5.0201078885896901E-2</v>
      </c>
      <c r="L1905">
        <v>944.46187107873004</v>
      </c>
      <c r="M1905">
        <v>18.382609826399399</v>
      </c>
      <c r="N1905">
        <v>51.541867086417099</v>
      </c>
      <c r="O1905">
        <v>50.781582124111999</v>
      </c>
      <c r="P1905">
        <v>-8.7933804686266104E-2</v>
      </c>
      <c r="Q1905">
        <v>2.83829861006888E-2</v>
      </c>
      <c r="R1905">
        <v>0.98587932941459999</v>
      </c>
      <c r="S1905" t="s">
        <v>8473</v>
      </c>
      <c r="T1905" t="s">
        <v>13134</v>
      </c>
      <c r="U1905" t="s">
        <v>13134</v>
      </c>
      <c r="V1905" t="s">
        <v>13134</v>
      </c>
      <c r="W1905" t="s">
        <v>14998</v>
      </c>
      <c r="X1905">
        <v>21</v>
      </c>
      <c r="Y1905" t="s">
        <v>21476</v>
      </c>
      <c r="Z1905" t="s">
        <v>27873</v>
      </c>
      <c r="AA1905">
        <v>0.50852254864212598</v>
      </c>
      <c r="AB1905" t="str">
        <f>HYPERLINK("Melting_Curves/meltCurve_O95232_LUC7L3.pdf", "Melting_Curves/meltCurve_O95232_LUC7L3.pdf")</f>
        <v>Melting_Curves/meltCurve_O95232_LUC7L3.pdf</v>
      </c>
    </row>
    <row r="1906" spans="1:28" x14ac:dyDescent="0.25">
      <c r="A1906" t="s">
        <v>1910</v>
      </c>
      <c r="B1906">
        <v>0.99472303558308395</v>
      </c>
      <c r="C1906">
        <v>1.0031685504196499</v>
      </c>
      <c r="D1906">
        <v>0.81519695746250698</v>
      </c>
      <c r="E1906">
        <v>0.20842727179332399</v>
      </c>
      <c r="F1906">
        <v>9.1766208772132304E-2</v>
      </c>
      <c r="G1906">
        <v>5.4952573680185003E-2</v>
      </c>
      <c r="H1906">
        <v>4.0072026455519799E-2</v>
      </c>
      <c r="I1906">
        <v>2.5061622260531699E-2</v>
      </c>
      <c r="J1906">
        <v>3.2132982389063799E-2</v>
      </c>
      <c r="K1906">
        <v>2.8204768213896801E-2</v>
      </c>
      <c r="L1906">
        <v>1633.1120176154</v>
      </c>
      <c r="M1906">
        <v>36.554348829412</v>
      </c>
      <c r="N1906">
        <v>44.781761718492497</v>
      </c>
      <c r="O1906">
        <v>44.543195957501098</v>
      </c>
      <c r="P1906">
        <v>-0.19669938367460399</v>
      </c>
      <c r="Q1906">
        <v>4.1252987360951801E-2</v>
      </c>
      <c r="R1906">
        <v>0.99872570977868202</v>
      </c>
      <c r="S1906" t="s">
        <v>8474</v>
      </c>
      <c r="T1906" t="s">
        <v>13134</v>
      </c>
      <c r="U1906" t="s">
        <v>13134</v>
      </c>
      <c r="V1906" t="s">
        <v>13134</v>
      </c>
      <c r="W1906" t="s">
        <v>14999</v>
      </c>
      <c r="X1906">
        <v>38</v>
      </c>
      <c r="Y1906" t="s">
        <v>21477</v>
      </c>
      <c r="Z1906" t="s">
        <v>27874</v>
      </c>
      <c r="AA1906">
        <v>0.29013814021210721</v>
      </c>
      <c r="AB1906" t="str">
        <f>HYPERLINK("Melting_Curves/meltCurve_O95239_KIF4A.pdf", "Melting_Curves/meltCurve_O95239_KIF4A.pdf")</f>
        <v>Melting_Curves/meltCurve_O95239_KIF4A.pdf</v>
      </c>
    </row>
    <row r="1907" spans="1:28" x14ac:dyDescent="0.25">
      <c r="A1907" t="s">
        <v>1911</v>
      </c>
      <c r="B1907">
        <v>0.99472303558308395</v>
      </c>
      <c r="C1907">
        <v>0.90575381078421602</v>
      </c>
      <c r="D1907">
        <v>0.68274185647281105</v>
      </c>
      <c r="E1907">
        <v>0.29890530773816198</v>
      </c>
      <c r="F1907">
        <v>0.19044962611403499</v>
      </c>
      <c r="G1907">
        <v>6.4894661287542996E-2</v>
      </c>
      <c r="H1907">
        <v>4.9126040114852297E-2</v>
      </c>
      <c r="I1907">
        <v>2.3211439996287601E-2</v>
      </c>
      <c r="J1907">
        <v>3.8720788530566298E-2</v>
      </c>
      <c r="K1907">
        <v>2.8230650401243201E-2</v>
      </c>
      <c r="L1907">
        <v>826.87462600751599</v>
      </c>
      <c r="M1907">
        <v>18.5479132857105</v>
      </c>
      <c r="N1907">
        <v>44.743966423878099</v>
      </c>
      <c r="O1907">
        <v>44.071975618190997</v>
      </c>
      <c r="P1907">
        <v>-0.101770915485195</v>
      </c>
      <c r="Q1907">
        <v>3.2765302750768499E-2</v>
      </c>
      <c r="R1907">
        <v>0.99681692519846898</v>
      </c>
      <c r="S1907" t="s">
        <v>8475</v>
      </c>
      <c r="T1907" t="s">
        <v>13134</v>
      </c>
      <c r="U1907" t="s">
        <v>13134</v>
      </c>
      <c r="V1907" t="s">
        <v>13134</v>
      </c>
      <c r="W1907" t="s">
        <v>15000</v>
      </c>
      <c r="X1907">
        <v>1</v>
      </c>
      <c r="Y1907" t="s">
        <v>21478</v>
      </c>
      <c r="Z1907" t="s">
        <v>27875</v>
      </c>
      <c r="AA1907">
        <v>0.29218207714947469</v>
      </c>
      <c r="AB1907" t="str">
        <f>HYPERLINK("Melting_Curves/meltCurve_O95251_2_KAT7.pdf", "Melting_Curves/meltCurve_O95251_2_KAT7.pdf")</f>
        <v>Melting_Curves/meltCurve_O95251_2_KAT7.pdf</v>
      </c>
    </row>
    <row r="1908" spans="1:28" x14ac:dyDescent="0.25">
      <c r="A1908" t="s">
        <v>1912</v>
      </c>
      <c r="B1908">
        <v>0.99472303558308395</v>
      </c>
      <c r="C1908">
        <v>0.97104071105734202</v>
      </c>
      <c r="D1908">
        <v>0.86637658829710296</v>
      </c>
      <c r="E1908">
        <v>0.57429609842179496</v>
      </c>
      <c r="F1908">
        <v>0.29989751122074598</v>
      </c>
      <c r="G1908">
        <v>0.14216810731049601</v>
      </c>
      <c r="H1908">
        <v>9.2786668954225104E-2</v>
      </c>
      <c r="I1908">
        <v>5.6316147017017197E-2</v>
      </c>
      <c r="J1908">
        <v>7.0389388292463398E-2</v>
      </c>
      <c r="K1908">
        <v>5.9033870146254698E-2</v>
      </c>
      <c r="L1908">
        <v>858.60687888869802</v>
      </c>
      <c r="M1908">
        <v>18.1937867603678</v>
      </c>
      <c r="N1908">
        <v>47.490562474697903</v>
      </c>
      <c r="O1908">
        <v>46.633274524211302</v>
      </c>
      <c r="P1908">
        <v>-9.2275179315563102E-2</v>
      </c>
      <c r="Q1908">
        <v>5.3987126824206498E-2</v>
      </c>
      <c r="R1908">
        <v>0.99972069179376</v>
      </c>
      <c r="S1908" t="s">
        <v>8476</v>
      </c>
      <c r="T1908" t="s">
        <v>13134</v>
      </c>
      <c r="U1908" t="s">
        <v>13134</v>
      </c>
      <c r="V1908" t="s">
        <v>13134</v>
      </c>
      <c r="W1908" t="s">
        <v>15001</v>
      </c>
      <c r="X1908">
        <v>4</v>
      </c>
      <c r="Y1908" t="s">
        <v>21479</v>
      </c>
      <c r="Z1908" t="s">
        <v>27876</v>
      </c>
      <c r="AA1908">
        <v>0.39025673828779861</v>
      </c>
      <c r="AB1908" t="str">
        <f>HYPERLINK("Melting_Curves/meltCurve_O95273_CCNDBP1.pdf", "Melting_Curves/meltCurve_O95273_CCNDBP1.pdf")</f>
        <v>Melting_Curves/meltCurve_O95273_CCNDBP1.pdf</v>
      </c>
    </row>
    <row r="1909" spans="1:28" x14ac:dyDescent="0.25">
      <c r="A1909" t="s">
        <v>1913</v>
      </c>
      <c r="B1909">
        <v>0.99472303558308395</v>
      </c>
      <c r="C1909">
        <v>0.97551798876353801</v>
      </c>
      <c r="D1909">
        <v>0.89362776991400195</v>
      </c>
      <c r="E1909">
        <v>0.79969742510937203</v>
      </c>
      <c r="F1909">
        <v>0.51643773241545099</v>
      </c>
      <c r="G1909">
        <v>0.32419482722721898</v>
      </c>
      <c r="H1909">
        <v>0.13578221095148599</v>
      </c>
      <c r="I1909">
        <v>6.3933582399129094E-2</v>
      </c>
      <c r="J1909">
        <v>6.2029205451387799E-2</v>
      </c>
      <c r="K1909">
        <v>6.2133072967547297E-2</v>
      </c>
      <c r="L1909">
        <v>740.75042393052104</v>
      </c>
      <c r="M1909">
        <v>14.668844169505901</v>
      </c>
      <c r="N1909">
        <v>50.598907967995402</v>
      </c>
      <c r="O1909">
        <v>49.587560367625898</v>
      </c>
      <c r="P1909">
        <v>-7.2898524272854301E-2</v>
      </c>
      <c r="Q1909">
        <v>1.43841178655518E-2</v>
      </c>
      <c r="R1909">
        <v>0.99712157162292203</v>
      </c>
      <c r="S1909" t="s">
        <v>8477</v>
      </c>
      <c r="T1909" t="s">
        <v>13134</v>
      </c>
      <c r="U1909" t="s">
        <v>13134</v>
      </c>
      <c r="V1909" t="s">
        <v>13134</v>
      </c>
      <c r="W1909" t="s">
        <v>15002</v>
      </c>
      <c r="X1909">
        <v>14</v>
      </c>
      <c r="Y1909" t="s">
        <v>21480</v>
      </c>
      <c r="Z1909" t="s">
        <v>27877</v>
      </c>
      <c r="AA1909">
        <v>0.47872680147485708</v>
      </c>
      <c r="AB1909" t="str">
        <f>HYPERLINK("Melting_Curves/meltCurve_O95292_VAPB.pdf", "Melting_Curves/meltCurve_O95292_VAPB.pdf")</f>
        <v>Melting_Curves/meltCurve_O95292_VAPB.pdf</v>
      </c>
    </row>
    <row r="1910" spans="1:28" x14ac:dyDescent="0.25">
      <c r="A1910" t="s">
        <v>1914</v>
      </c>
      <c r="B1910">
        <v>0.99472303558308395</v>
      </c>
      <c r="C1910">
        <v>0.96531067676688798</v>
      </c>
      <c r="D1910">
        <v>0.90593887341094403</v>
      </c>
      <c r="E1910">
        <v>0.86751866853036896</v>
      </c>
      <c r="F1910">
        <v>0.70414467386250201</v>
      </c>
      <c r="G1910">
        <v>0.463460589484328</v>
      </c>
      <c r="H1910">
        <v>0.28447566022704501</v>
      </c>
      <c r="I1910">
        <v>0.17852187516908499</v>
      </c>
      <c r="J1910">
        <v>0.177009263499048</v>
      </c>
      <c r="K1910">
        <v>0.117274640827933</v>
      </c>
      <c r="L1910">
        <v>705.26696143389404</v>
      </c>
      <c r="M1910">
        <v>13.4071323269501</v>
      </c>
      <c r="N1910">
        <v>53.213950374058903</v>
      </c>
      <c r="O1910">
        <v>51.474912120801001</v>
      </c>
      <c r="P1910">
        <v>-6.0485600972406198E-2</v>
      </c>
      <c r="Q1910">
        <v>7.1239635718785499E-2</v>
      </c>
      <c r="R1910">
        <v>0.99562899458838106</v>
      </c>
      <c r="S1910" t="s">
        <v>8478</v>
      </c>
      <c r="T1910" t="s">
        <v>13134</v>
      </c>
      <c r="U1910" t="s">
        <v>13134</v>
      </c>
      <c r="V1910" t="s">
        <v>13134</v>
      </c>
      <c r="W1910" t="s">
        <v>15003</v>
      </c>
      <c r="X1910">
        <v>8</v>
      </c>
      <c r="Y1910" t="s">
        <v>21481</v>
      </c>
      <c r="Z1910" t="s">
        <v>27878</v>
      </c>
      <c r="AA1910">
        <v>0.57330653946071963</v>
      </c>
      <c r="AB1910" t="str">
        <f>HYPERLINK("Melting_Curves/meltCurve_O95295_SNAPIN.pdf", "Melting_Curves/meltCurve_O95295_SNAPIN.pdf")</f>
        <v>Melting_Curves/meltCurve_O95295_SNAPIN.pdf</v>
      </c>
    </row>
    <row r="1911" spans="1:28" x14ac:dyDescent="0.25">
      <c r="A1911" t="s">
        <v>1915</v>
      </c>
      <c r="B1911">
        <v>0.99472303558308395</v>
      </c>
      <c r="C1911">
        <v>0.98774399984712302</v>
      </c>
      <c r="D1911">
        <v>0.96771575010599997</v>
      </c>
      <c r="E1911">
        <v>0.90183680422758605</v>
      </c>
      <c r="F1911">
        <v>0.71194245725987404</v>
      </c>
      <c r="G1911">
        <v>0.60323492615958196</v>
      </c>
      <c r="H1911">
        <v>0.51090563640408604</v>
      </c>
      <c r="I1911">
        <v>0.44122945123532697</v>
      </c>
      <c r="J1911">
        <v>0.48824964444688201</v>
      </c>
      <c r="K1911">
        <v>0.45575841378520998</v>
      </c>
      <c r="L1911">
        <v>867.254999746321</v>
      </c>
      <c r="M1911">
        <v>17.239784971840301</v>
      </c>
      <c r="N1911">
        <v>58.050909376564597</v>
      </c>
      <c r="O1911">
        <v>49.6432127810955</v>
      </c>
      <c r="P1911">
        <v>-4.7763190219753802E-2</v>
      </c>
      <c r="Q1911">
        <v>0.44988189221358499</v>
      </c>
      <c r="R1911">
        <v>0.99455995921755402</v>
      </c>
      <c r="S1911" t="s">
        <v>8479</v>
      </c>
      <c r="T1911" t="s">
        <v>13134</v>
      </c>
      <c r="U1911" t="s">
        <v>13134</v>
      </c>
      <c r="V1911" t="s">
        <v>13134</v>
      </c>
      <c r="W1911" t="s">
        <v>15004</v>
      </c>
      <c r="X1911">
        <v>7</v>
      </c>
      <c r="Y1911" t="s">
        <v>21482</v>
      </c>
      <c r="Z1911" t="s">
        <v>27879</v>
      </c>
      <c r="AA1911">
        <v>0.70311558505662031</v>
      </c>
      <c r="AB1911" t="str">
        <f>HYPERLINK("Melting_Curves/meltCurve_O95297_2_MPZL1.pdf", "Melting_Curves/meltCurve_O95297_2_MPZL1.pdf")</f>
        <v>Melting_Curves/meltCurve_O95297_2_MPZL1.pdf</v>
      </c>
    </row>
    <row r="1912" spans="1:28" x14ac:dyDescent="0.25">
      <c r="A1912" t="s">
        <v>1916</v>
      </c>
      <c r="B1912">
        <v>0.99472303558308395</v>
      </c>
      <c r="C1912">
        <v>0.90652311827510201</v>
      </c>
      <c r="D1912">
        <v>0.79514689740155597</v>
      </c>
      <c r="E1912">
        <v>0.634505283240267</v>
      </c>
      <c r="F1912">
        <v>0.62040967320345697</v>
      </c>
      <c r="G1912">
        <v>0.30662328670715</v>
      </c>
      <c r="H1912">
        <v>0.24203070600859999</v>
      </c>
      <c r="I1912">
        <v>0.223017526045659</v>
      </c>
      <c r="J1912">
        <v>0.25130249712878</v>
      </c>
      <c r="K1912">
        <v>0.17137540405151899</v>
      </c>
      <c r="L1912">
        <v>488.67258358660501</v>
      </c>
      <c r="M1912">
        <v>10.005466237981601</v>
      </c>
      <c r="N1912">
        <v>50.2856328280727</v>
      </c>
      <c r="O1912">
        <v>47.009813510912501</v>
      </c>
      <c r="P1912">
        <v>-4.6583918298655297E-2</v>
      </c>
      <c r="Q1912">
        <v>0.12494276034360401</v>
      </c>
      <c r="R1912">
        <v>0.97095197254110899</v>
      </c>
      <c r="S1912" t="s">
        <v>8480</v>
      </c>
      <c r="T1912" t="s">
        <v>13134</v>
      </c>
      <c r="U1912" t="s">
        <v>13134</v>
      </c>
      <c r="V1912" t="s">
        <v>13134</v>
      </c>
      <c r="W1912" t="s">
        <v>15005</v>
      </c>
      <c r="X1912">
        <v>6</v>
      </c>
      <c r="Y1912" t="s">
        <v>21483</v>
      </c>
      <c r="Z1912" t="s">
        <v>27880</v>
      </c>
      <c r="AA1912">
        <v>0.50321432306008607</v>
      </c>
      <c r="AB1912" t="str">
        <f>HYPERLINK("Melting_Curves/meltCurve_O95298_2_NDUFC2.pdf", "Melting_Curves/meltCurve_O95298_2_NDUFC2.pdf")</f>
        <v>Melting_Curves/meltCurve_O95298_2_NDUFC2.pdf</v>
      </c>
    </row>
    <row r="1913" spans="1:28" x14ac:dyDescent="0.25">
      <c r="A1913" t="s">
        <v>1917</v>
      </c>
      <c r="B1913">
        <v>0.99472303558308395</v>
      </c>
      <c r="C1913">
        <v>0.94567265576357695</v>
      </c>
      <c r="D1913">
        <v>0.91842788463518799</v>
      </c>
      <c r="E1913">
        <v>0.64318206491808105</v>
      </c>
      <c r="F1913">
        <v>0.37914482878307099</v>
      </c>
      <c r="G1913">
        <v>0.162020589671827</v>
      </c>
      <c r="H1913">
        <v>0.14285932058432099</v>
      </c>
      <c r="I1913">
        <v>9.2794342428542398E-2</v>
      </c>
      <c r="J1913">
        <v>0.205385182116887</v>
      </c>
      <c r="K1913">
        <v>0.119928893422531</v>
      </c>
      <c r="L1913">
        <v>968.39151093760302</v>
      </c>
      <c r="M1913">
        <v>20.360233104985799</v>
      </c>
      <c r="N1913">
        <v>48.247585115864702</v>
      </c>
      <c r="O1913">
        <v>47.111189065740099</v>
      </c>
      <c r="P1913">
        <v>-9.4490337396783794E-2</v>
      </c>
      <c r="Q1913">
        <v>0.125468343671744</v>
      </c>
      <c r="R1913">
        <v>0.99090698714750103</v>
      </c>
      <c r="S1913" t="s">
        <v>8481</v>
      </c>
      <c r="T1913" t="s">
        <v>13134</v>
      </c>
      <c r="U1913" t="s">
        <v>13134</v>
      </c>
      <c r="V1913" t="s">
        <v>13134</v>
      </c>
      <c r="W1913" t="s">
        <v>15006</v>
      </c>
      <c r="X1913">
        <v>6</v>
      </c>
      <c r="Y1913" t="s">
        <v>21484</v>
      </c>
      <c r="Z1913" t="s">
        <v>27881</v>
      </c>
      <c r="AA1913">
        <v>0.44447185231213271</v>
      </c>
      <c r="AB1913" t="str">
        <f>HYPERLINK("Melting_Curves/meltCurve_O95302_FKBP9.pdf", "Melting_Curves/meltCurve_O95302_FKBP9.pdf")</f>
        <v>Melting_Curves/meltCurve_O95302_FKBP9.pdf</v>
      </c>
    </row>
    <row r="1914" spans="1:28" x14ac:dyDescent="0.25">
      <c r="A1914" t="s">
        <v>1918</v>
      </c>
      <c r="B1914">
        <v>0.99472303558308395</v>
      </c>
      <c r="C1914">
        <v>0.98336668200993405</v>
      </c>
      <c r="D1914">
        <v>0.98582078309429799</v>
      </c>
      <c r="E1914">
        <v>0.91013161123332398</v>
      </c>
      <c r="F1914">
        <v>0.83268575196399397</v>
      </c>
      <c r="G1914">
        <v>0.65305337882493297</v>
      </c>
      <c r="H1914">
        <v>0.46368288388511403</v>
      </c>
      <c r="I1914">
        <v>0.41338180856211398</v>
      </c>
      <c r="J1914">
        <v>0.33974202913821799</v>
      </c>
      <c r="K1914">
        <v>0.158706416868826</v>
      </c>
      <c r="L1914">
        <v>554.15184063066499</v>
      </c>
      <c r="M1914">
        <v>9.5955735373101501</v>
      </c>
      <c r="N1914">
        <v>57.76805273686</v>
      </c>
      <c r="O1914">
        <v>55.4096585195107</v>
      </c>
      <c r="P1914">
        <v>-4.3256433285992602E-2</v>
      </c>
      <c r="Q1914">
        <v>1.43110448200895E-3</v>
      </c>
      <c r="R1914">
        <v>0.986464178393061</v>
      </c>
      <c r="S1914" t="s">
        <v>8482</v>
      </c>
      <c r="T1914" t="s">
        <v>13134</v>
      </c>
      <c r="U1914" t="s">
        <v>13134</v>
      </c>
      <c r="V1914" t="s">
        <v>13134</v>
      </c>
      <c r="W1914" t="s">
        <v>15007</v>
      </c>
      <c r="X1914">
        <v>12</v>
      </c>
      <c r="Y1914" t="s">
        <v>21485</v>
      </c>
      <c r="Z1914" t="s">
        <v>27882</v>
      </c>
      <c r="AA1914">
        <v>0.68368648282968369</v>
      </c>
      <c r="AB1914" t="str">
        <f>HYPERLINK("Melting_Curves/meltCurve_O95336_PGLS.pdf", "Melting_Curves/meltCurve_O95336_PGLS.pdf")</f>
        <v>Melting_Curves/meltCurve_O95336_PGLS.pdf</v>
      </c>
    </row>
    <row r="1915" spans="1:28" x14ac:dyDescent="0.25">
      <c r="A1915" t="s">
        <v>1919</v>
      </c>
      <c r="B1915">
        <v>0.99472303558308395</v>
      </c>
      <c r="C1915">
        <v>0.95479402480947895</v>
      </c>
      <c r="D1915">
        <v>0.77779401035026496</v>
      </c>
      <c r="E1915">
        <v>0.62309613373276695</v>
      </c>
      <c r="F1915">
        <v>0.23119153946270901</v>
      </c>
      <c r="G1915">
        <v>0.10068888236555899</v>
      </c>
      <c r="H1915">
        <v>6.7659580934695998E-2</v>
      </c>
      <c r="I1915">
        <v>5.04488257718851E-2</v>
      </c>
      <c r="J1915">
        <v>6.11112050888762E-2</v>
      </c>
      <c r="K1915">
        <v>5.2395809504077101E-2</v>
      </c>
      <c r="L1915">
        <v>828.95263772242697</v>
      </c>
      <c r="M1915">
        <v>17.648151273465</v>
      </c>
      <c r="N1915">
        <v>47.157884831282999</v>
      </c>
      <c r="O1915">
        <v>46.380436556249599</v>
      </c>
      <c r="P1915">
        <v>-9.1920400186459694E-2</v>
      </c>
      <c r="Q1915">
        <v>3.3761516952938102E-2</v>
      </c>
      <c r="R1915">
        <v>0.991674432027289</v>
      </c>
      <c r="S1915" t="s">
        <v>8483</v>
      </c>
      <c r="T1915" t="s">
        <v>13134</v>
      </c>
      <c r="U1915" t="s">
        <v>13134</v>
      </c>
      <c r="V1915" t="s">
        <v>13134</v>
      </c>
      <c r="W1915" t="s">
        <v>15008</v>
      </c>
      <c r="X1915">
        <v>49</v>
      </c>
      <c r="Y1915" t="s">
        <v>21486</v>
      </c>
      <c r="Z1915" t="s">
        <v>27883</v>
      </c>
      <c r="AA1915">
        <v>0.3710181754365468</v>
      </c>
      <c r="AB1915" t="str">
        <f>HYPERLINK("Melting_Curves/meltCurve_O95347_SMC2.pdf", "Melting_Curves/meltCurve_O95347_SMC2.pdf")</f>
        <v>Melting_Curves/meltCurve_O95347_SMC2.pdf</v>
      </c>
    </row>
    <row r="1916" spans="1:28" x14ac:dyDescent="0.25">
      <c r="A1916" t="s">
        <v>1920</v>
      </c>
      <c r="B1916">
        <v>0.99472303558308395</v>
      </c>
      <c r="C1916">
        <v>0.98243585373051601</v>
      </c>
      <c r="D1916">
        <v>0.89282447873712101</v>
      </c>
      <c r="E1916">
        <v>0.80604705862930703</v>
      </c>
      <c r="F1916">
        <v>0.49511688615320998</v>
      </c>
      <c r="G1916">
        <v>0.152244124492349</v>
      </c>
      <c r="H1916">
        <v>9.3672085987855799E-2</v>
      </c>
      <c r="I1916">
        <v>8.2219312493969299E-2</v>
      </c>
      <c r="J1916">
        <v>9.4459141734556301E-2</v>
      </c>
      <c r="K1916">
        <v>7.1919088702445802E-2</v>
      </c>
      <c r="L1916">
        <v>1074.1025945746101</v>
      </c>
      <c r="M1916">
        <v>21.711805074583499</v>
      </c>
      <c r="N1916">
        <v>49.7770811191698</v>
      </c>
      <c r="O1916">
        <v>49.056967362463801</v>
      </c>
      <c r="P1916">
        <v>-0.103732091611464</v>
      </c>
      <c r="Q1916">
        <v>6.2507761292490693E-2</v>
      </c>
      <c r="R1916">
        <v>0.99331736947346105</v>
      </c>
      <c r="S1916" t="s">
        <v>8484</v>
      </c>
      <c r="T1916" t="s">
        <v>13134</v>
      </c>
      <c r="U1916" t="s">
        <v>13134</v>
      </c>
      <c r="V1916" t="s">
        <v>13134</v>
      </c>
      <c r="W1916" t="s">
        <v>15009</v>
      </c>
      <c r="X1916">
        <v>17</v>
      </c>
      <c r="Y1916" t="s">
        <v>21487</v>
      </c>
      <c r="Z1916" t="s">
        <v>27884</v>
      </c>
      <c r="AA1916">
        <v>0.46285963835075772</v>
      </c>
      <c r="AB1916" t="str">
        <f>HYPERLINK("Melting_Curves/meltCurve_O95352_ATG7.pdf", "Melting_Curves/meltCurve_O95352_ATG7.pdf")</f>
        <v>Melting_Curves/meltCurve_O95352_ATG7.pdf</v>
      </c>
    </row>
    <row r="1917" spans="1:28" x14ac:dyDescent="0.25">
      <c r="A1917" t="s">
        <v>1921</v>
      </c>
      <c r="B1917">
        <v>0.99472303558308395</v>
      </c>
      <c r="C1917">
        <v>0.82496431012022198</v>
      </c>
      <c r="D1917">
        <v>0.86931461476790695</v>
      </c>
      <c r="E1917">
        <v>0.67490104350183899</v>
      </c>
      <c r="F1917">
        <v>0.20767347213197301</v>
      </c>
      <c r="G1917">
        <v>4.4894806135701702E-2</v>
      </c>
      <c r="H1917">
        <v>4.7564430289361102E-2</v>
      </c>
      <c r="I1917">
        <v>2.60855422796459E-2</v>
      </c>
      <c r="J1917">
        <v>3.70371761307004E-2</v>
      </c>
      <c r="K1917">
        <v>2.3557530884651501E-2</v>
      </c>
      <c r="L1917">
        <v>1079.0263895892299</v>
      </c>
      <c r="M1917">
        <v>22.701649886534401</v>
      </c>
      <c r="N1917">
        <v>47.595200566002902</v>
      </c>
      <c r="O1917">
        <v>47.166540368964803</v>
      </c>
      <c r="P1917">
        <v>-0.118508009922754</v>
      </c>
      <c r="Q1917">
        <v>1.5137197264496799E-2</v>
      </c>
      <c r="R1917">
        <v>0.97700868063428703</v>
      </c>
      <c r="S1917" t="s">
        <v>8485</v>
      </c>
      <c r="T1917" t="s">
        <v>13134</v>
      </c>
      <c r="U1917" t="s">
        <v>13134</v>
      </c>
      <c r="V1917" t="s">
        <v>13134</v>
      </c>
      <c r="W1917" t="s">
        <v>15010</v>
      </c>
      <c r="X1917">
        <v>2</v>
      </c>
      <c r="Y1917" t="s">
        <v>21488</v>
      </c>
      <c r="Z1917" t="s">
        <v>27885</v>
      </c>
      <c r="AA1917">
        <v>0.37094042909444708</v>
      </c>
      <c r="AB1917" t="str">
        <f>HYPERLINK("Melting_Curves/meltCurve_O95363_FARS2.pdf", "Melting_Curves/meltCurve_O95363_FARS2.pdf")</f>
        <v>Melting_Curves/meltCurve_O95363_FARS2.pdf</v>
      </c>
    </row>
    <row r="1918" spans="1:28" x14ac:dyDescent="0.25">
      <c r="A1918" t="s">
        <v>1922</v>
      </c>
      <c r="B1918">
        <v>0.99472303558308395</v>
      </c>
      <c r="C1918">
        <v>0.96919672897772402</v>
      </c>
      <c r="D1918">
        <v>0.85844916331822696</v>
      </c>
      <c r="E1918">
        <v>0.646688379519056</v>
      </c>
      <c r="F1918">
        <v>0.39911217605154198</v>
      </c>
      <c r="G1918">
        <v>0.28577794018896802</v>
      </c>
      <c r="H1918">
        <v>0.124713083697176</v>
      </c>
      <c r="I1918">
        <v>0.146952117373956</v>
      </c>
      <c r="J1918">
        <v>0.11494365510186801</v>
      </c>
      <c r="K1918">
        <v>0.109070872076723</v>
      </c>
      <c r="L1918">
        <v>705.24791411728904</v>
      </c>
      <c r="M1918">
        <v>14.676158033313699</v>
      </c>
      <c r="N1918">
        <v>48.734895650854298</v>
      </c>
      <c r="O1918">
        <v>47.188249856038603</v>
      </c>
      <c r="P1918">
        <v>-7.0553526434873795E-2</v>
      </c>
      <c r="Q1918">
        <v>9.2696850215757395E-2</v>
      </c>
      <c r="R1918">
        <v>0.99687398528878002</v>
      </c>
      <c r="S1918" t="s">
        <v>8486</v>
      </c>
      <c r="T1918" t="s">
        <v>13134</v>
      </c>
      <c r="U1918" t="s">
        <v>13134</v>
      </c>
      <c r="V1918" t="s">
        <v>13134</v>
      </c>
      <c r="W1918" t="s">
        <v>15011</v>
      </c>
      <c r="X1918">
        <v>3</v>
      </c>
      <c r="Y1918" t="s">
        <v>21489</v>
      </c>
      <c r="Z1918" t="s">
        <v>27886</v>
      </c>
      <c r="AA1918">
        <v>0.44770621043252912</v>
      </c>
      <c r="AB1918" t="str">
        <f>HYPERLINK("Melting_Curves/meltCurve_O95365_ZBTB7A.pdf", "Melting_Curves/meltCurve_O95365_ZBTB7A.pdf")</f>
        <v>Melting_Curves/meltCurve_O95365_ZBTB7A.pdf</v>
      </c>
    </row>
    <row r="1919" spans="1:28" x14ac:dyDescent="0.25">
      <c r="A1919" t="s">
        <v>1923</v>
      </c>
      <c r="B1919">
        <v>0.99472303558308395</v>
      </c>
      <c r="C1919">
        <v>0.99772999629563697</v>
      </c>
      <c r="D1919">
        <v>1.1017561764397801</v>
      </c>
      <c r="E1919">
        <v>0.93246480023553802</v>
      </c>
      <c r="F1919">
        <v>0.64695122709937702</v>
      </c>
      <c r="G1919">
        <v>0.47500970480853599</v>
      </c>
      <c r="H1919">
        <v>0.124293240925079</v>
      </c>
      <c r="I1919">
        <v>6.8849149489176004E-2</v>
      </c>
      <c r="J1919">
        <v>5.9702565458863502E-2</v>
      </c>
      <c r="K1919">
        <v>6.0888078940976399E-2</v>
      </c>
      <c r="L1919">
        <v>1021.74742342769</v>
      </c>
      <c r="M1919">
        <v>19.483959201379999</v>
      </c>
      <c r="N1919">
        <v>52.581666663433303</v>
      </c>
      <c r="O1919">
        <v>51.897402671262398</v>
      </c>
      <c r="P1919">
        <v>-9.1468488746812293E-2</v>
      </c>
      <c r="Q1919">
        <v>2.5494645757819599E-2</v>
      </c>
      <c r="R1919">
        <v>0.98423967245109001</v>
      </c>
      <c r="S1919" t="s">
        <v>8487</v>
      </c>
      <c r="T1919" t="s">
        <v>13134</v>
      </c>
      <c r="U1919" t="s">
        <v>13134</v>
      </c>
      <c r="V1919" t="s">
        <v>13134</v>
      </c>
      <c r="W1919" t="s">
        <v>15012</v>
      </c>
      <c r="X1919">
        <v>13</v>
      </c>
      <c r="Y1919" t="s">
        <v>21490</v>
      </c>
      <c r="Z1919" t="s">
        <v>27887</v>
      </c>
      <c r="AA1919">
        <v>0.54001967278294571</v>
      </c>
      <c r="AB1919" t="str">
        <f>HYPERLINK("Melting_Curves/meltCurve_O95372_LYPLA2.pdf", "Melting_Curves/meltCurve_O95372_LYPLA2.pdf")</f>
        <v>Melting_Curves/meltCurve_O95372_LYPLA2.pdf</v>
      </c>
    </row>
    <row r="1920" spans="1:28" x14ac:dyDescent="0.25">
      <c r="A1920" t="s">
        <v>1924</v>
      </c>
      <c r="B1920">
        <v>0.99472303558308395</v>
      </c>
      <c r="C1920">
        <v>0.89095863886753801</v>
      </c>
      <c r="D1920">
        <v>0.897397924988244</v>
      </c>
      <c r="E1920">
        <v>0.60951167793615102</v>
      </c>
      <c r="F1920">
        <v>0.25453922715086702</v>
      </c>
      <c r="G1920">
        <v>8.9451989518614106E-2</v>
      </c>
      <c r="H1920">
        <v>4.8091088497657399E-2</v>
      </c>
      <c r="I1920">
        <v>2.8308365340119698E-2</v>
      </c>
      <c r="J1920">
        <v>2.9822860068853801E-2</v>
      </c>
      <c r="K1920">
        <v>2.89322005728389E-2</v>
      </c>
      <c r="L1920">
        <v>943.19455036752095</v>
      </c>
      <c r="M1920">
        <v>19.8877332911735</v>
      </c>
      <c r="N1920">
        <v>47.5127944250303</v>
      </c>
      <c r="O1920">
        <v>46.954246932793403</v>
      </c>
      <c r="P1920">
        <v>-0.104002232952899</v>
      </c>
      <c r="Q1920">
        <v>1.78500656784914E-2</v>
      </c>
      <c r="R1920">
        <v>0.99469120855665705</v>
      </c>
      <c r="S1920" t="s">
        <v>8488</v>
      </c>
      <c r="T1920" t="s">
        <v>13134</v>
      </c>
      <c r="U1920" t="s">
        <v>13134</v>
      </c>
      <c r="V1920" t="s">
        <v>13134</v>
      </c>
      <c r="W1920" t="s">
        <v>15013</v>
      </c>
      <c r="X1920">
        <v>26</v>
      </c>
      <c r="Y1920" t="s">
        <v>21491</v>
      </c>
      <c r="Z1920" t="s">
        <v>27888</v>
      </c>
      <c r="AA1920">
        <v>0.37219534453238901</v>
      </c>
      <c r="AB1920" t="str">
        <f>HYPERLINK("Melting_Curves/meltCurve_O95373_IPO7.pdf", "Melting_Curves/meltCurve_O95373_IPO7.pdf")</f>
        <v>Melting_Curves/meltCurve_O95373_IPO7.pdf</v>
      </c>
    </row>
    <row r="1921" spans="1:28" x14ac:dyDescent="0.25">
      <c r="A1921" t="s">
        <v>1925</v>
      </c>
      <c r="B1921">
        <v>0.99472303558308395</v>
      </c>
      <c r="C1921">
        <v>1.0287712704145899</v>
      </c>
      <c r="D1921">
        <v>1.0283000688536901</v>
      </c>
      <c r="E1921">
        <v>0.91794988602544603</v>
      </c>
      <c r="F1921">
        <v>0.61715655151480897</v>
      </c>
      <c r="G1921">
        <v>0.35347348552283198</v>
      </c>
      <c r="H1921">
        <v>8.2046418554644104E-2</v>
      </c>
      <c r="I1921">
        <v>5.9902150587294999E-2</v>
      </c>
      <c r="J1921">
        <v>6.1324208628637099E-2</v>
      </c>
      <c r="K1921">
        <v>5.3468453042733503E-2</v>
      </c>
      <c r="L1921">
        <v>1119.6542019092001</v>
      </c>
      <c r="M1921">
        <v>21.7548262728459</v>
      </c>
      <c r="N1921">
        <v>51.643393667614099</v>
      </c>
      <c r="O1921">
        <v>51.037975602681598</v>
      </c>
      <c r="P1921">
        <v>-0.102747399815025</v>
      </c>
      <c r="Q1921">
        <v>3.58191159724933E-2</v>
      </c>
      <c r="R1921">
        <v>0.995298444384068</v>
      </c>
      <c r="S1921" t="s">
        <v>8489</v>
      </c>
      <c r="T1921" t="s">
        <v>13134</v>
      </c>
      <c r="U1921" t="s">
        <v>13134</v>
      </c>
      <c r="V1921" t="s">
        <v>13134</v>
      </c>
      <c r="W1921" t="s">
        <v>15014</v>
      </c>
      <c r="X1921">
        <v>17</v>
      </c>
      <c r="Y1921" t="s">
        <v>21492</v>
      </c>
      <c r="Z1921" t="s">
        <v>27889</v>
      </c>
      <c r="AA1921">
        <v>0.51169200607576582</v>
      </c>
      <c r="AB1921" t="str">
        <f>HYPERLINK("Melting_Curves/meltCurve_O95376_ARIH2.pdf", "Melting_Curves/meltCurve_O95376_ARIH2.pdf")</f>
        <v>Melting_Curves/meltCurve_O95376_ARIH2.pdf</v>
      </c>
    </row>
    <row r="1922" spans="1:28" x14ac:dyDescent="0.25">
      <c r="A1922" t="s">
        <v>1926</v>
      </c>
      <c r="B1922">
        <v>0.99472303558308395</v>
      </c>
      <c r="C1922">
        <v>0.83188446553659401</v>
      </c>
      <c r="D1922">
        <v>0.65630990695270897</v>
      </c>
      <c r="E1922">
        <v>0.44168330496786001</v>
      </c>
      <c r="F1922">
        <v>0.40000212463794799</v>
      </c>
      <c r="G1922">
        <v>0.193891750899713</v>
      </c>
      <c r="H1922">
        <v>0.19238419479380101</v>
      </c>
      <c r="I1922">
        <v>0.162893303314604</v>
      </c>
      <c r="J1922">
        <v>9.83533182265659E-2</v>
      </c>
      <c r="K1922">
        <v>8.4130056986769799E-2</v>
      </c>
      <c r="L1922">
        <v>487.96727641960001</v>
      </c>
      <c r="M1922">
        <v>10.7128709372074</v>
      </c>
      <c r="N1922">
        <v>46.290293379927</v>
      </c>
      <c r="O1922">
        <v>44.048517249584101</v>
      </c>
      <c r="P1922">
        <v>-5.6033591765693398E-2</v>
      </c>
      <c r="Q1922">
        <v>7.8762344743937104E-2</v>
      </c>
      <c r="R1922">
        <v>0.98366712449725902</v>
      </c>
      <c r="S1922" t="s">
        <v>8490</v>
      </c>
      <c r="T1922" t="s">
        <v>13134</v>
      </c>
      <c r="U1922" t="s">
        <v>13134</v>
      </c>
      <c r="V1922" t="s">
        <v>13134</v>
      </c>
      <c r="W1922" t="s">
        <v>15015</v>
      </c>
      <c r="X1922">
        <v>4</v>
      </c>
      <c r="Y1922" t="s">
        <v>21493</v>
      </c>
      <c r="Z1922" t="s">
        <v>27890</v>
      </c>
      <c r="AA1922">
        <v>0.38069500214204849</v>
      </c>
      <c r="AB1922" t="str">
        <f>HYPERLINK("Melting_Curves/meltCurve_O95391_SLU7.pdf", "Melting_Curves/meltCurve_O95391_SLU7.pdf")</f>
        <v>Melting_Curves/meltCurve_O95391_SLU7.pdf</v>
      </c>
    </row>
    <row r="1923" spans="1:28" x14ac:dyDescent="0.25">
      <c r="A1923" t="s">
        <v>1927</v>
      </c>
      <c r="B1923">
        <v>0.99472303558308395</v>
      </c>
      <c r="C1923">
        <v>0.97524980589377397</v>
      </c>
      <c r="D1923">
        <v>1.0019714590664901</v>
      </c>
      <c r="E1923">
        <v>0.838408800316645</v>
      </c>
      <c r="F1923">
        <v>0.42603370347411601</v>
      </c>
      <c r="G1923">
        <v>0.107672028331667</v>
      </c>
      <c r="H1923">
        <v>6.9409369127680698E-2</v>
      </c>
      <c r="I1923">
        <v>4.1339473914086503E-2</v>
      </c>
      <c r="J1923">
        <v>3.8675925458328902E-2</v>
      </c>
      <c r="K1923">
        <v>4.6039134937672199E-2</v>
      </c>
      <c r="L1923">
        <v>1385.82349859432</v>
      </c>
      <c r="M1923">
        <v>28.051190683500501</v>
      </c>
      <c r="N1923">
        <v>49.547868722814002</v>
      </c>
      <c r="O1923">
        <v>49.154355211927601</v>
      </c>
      <c r="P1923">
        <v>-0.13706695472139899</v>
      </c>
      <c r="Q1923">
        <v>3.9273745442914801E-2</v>
      </c>
      <c r="R1923">
        <v>0.99905721549851501</v>
      </c>
      <c r="S1923" t="s">
        <v>8491</v>
      </c>
      <c r="T1923" t="s">
        <v>13134</v>
      </c>
      <c r="U1923" t="s">
        <v>13134</v>
      </c>
      <c r="V1923" t="s">
        <v>13134</v>
      </c>
      <c r="W1923" t="s">
        <v>15016</v>
      </c>
      <c r="X1923">
        <v>19</v>
      </c>
      <c r="Y1923" t="s">
        <v>20022</v>
      </c>
      <c r="Z1923" t="s">
        <v>27891</v>
      </c>
      <c r="AA1923">
        <v>0.44314736010399958</v>
      </c>
      <c r="AB1923" t="str">
        <f>HYPERLINK("Melting_Curves/meltCurve_O95394_PGM3.pdf", "Melting_Curves/meltCurve_O95394_PGM3.pdf")</f>
        <v>Melting_Curves/meltCurve_O95394_PGM3.pdf</v>
      </c>
    </row>
    <row r="1924" spans="1:28" x14ac:dyDescent="0.25">
      <c r="A1924" t="s">
        <v>1928</v>
      </c>
      <c r="B1924">
        <v>0.99472303558308395</v>
      </c>
      <c r="C1924">
        <v>1.0293220206544</v>
      </c>
      <c r="D1924">
        <v>0.96257705453460796</v>
      </c>
      <c r="E1924">
        <v>0.72840871602792201</v>
      </c>
      <c r="F1924">
        <v>0.36017053413844502</v>
      </c>
      <c r="G1924">
        <v>0.18984500672112301</v>
      </c>
      <c r="H1924">
        <v>0.12373368920324999</v>
      </c>
      <c r="I1924">
        <v>0.10044766251605899</v>
      </c>
      <c r="J1924">
        <v>0.12240754155556099</v>
      </c>
      <c r="K1924">
        <v>8.6774044866020597E-2</v>
      </c>
      <c r="L1924">
        <v>1139.0613417140901</v>
      </c>
      <c r="M1924">
        <v>23.583822686177101</v>
      </c>
      <c r="N1924">
        <v>48.774506544927803</v>
      </c>
      <c r="O1924">
        <v>47.955177649817102</v>
      </c>
      <c r="P1924">
        <v>-0.110308477023687</v>
      </c>
      <c r="Q1924">
        <v>0.102813308764796</v>
      </c>
      <c r="R1924">
        <v>0.99851925242462702</v>
      </c>
      <c r="S1924" t="s">
        <v>8492</v>
      </c>
      <c r="T1924" t="s">
        <v>13134</v>
      </c>
      <c r="U1924" t="s">
        <v>13134</v>
      </c>
      <c r="V1924" t="s">
        <v>13134</v>
      </c>
      <c r="W1924" t="s">
        <v>15017</v>
      </c>
      <c r="X1924">
        <v>10</v>
      </c>
      <c r="Y1924" t="s">
        <v>21494</v>
      </c>
      <c r="Z1924" t="s">
        <v>27892</v>
      </c>
      <c r="AA1924">
        <v>0.44931411236399432</v>
      </c>
      <c r="AB1924" t="str">
        <f>HYPERLINK("Melting_Curves/meltCurve_O95396_MOCS3.pdf", "Melting_Curves/meltCurve_O95396_MOCS3.pdf")</f>
        <v>Melting_Curves/meltCurve_O95396_MOCS3.pdf</v>
      </c>
    </row>
    <row r="1925" spans="1:28" x14ac:dyDescent="0.25">
      <c r="A1925" t="s">
        <v>1929</v>
      </c>
      <c r="B1925">
        <v>0.99472303558308395</v>
      </c>
      <c r="C1925">
        <v>0.84479160670995102</v>
      </c>
      <c r="D1925">
        <v>0.68285559458537703</v>
      </c>
      <c r="E1925">
        <v>0.50638998265672996</v>
      </c>
      <c r="F1925">
        <v>0.27391527520683101</v>
      </c>
      <c r="G1925">
        <v>0.191550476655</v>
      </c>
      <c r="H1925">
        <v>0.17457366487523199</v>
      </c>
      <c r="I1925">
        <v>0.14849243586824701</v>
      </c>
      <c r="J1925">
        <v>0.221897410812957</v>
      </c>
      <c r="K1925">
        <v>0.195848748339048</v>
      </c>
      <c r="L1925">
        <v>664.42330256053594</v>
      </c>
      <c r="M1925">
        <v>14.8911233043361</v>
      </c>
      <c r="N1925">
        <v>45.844059078536901</v>
      </c>
      <c r="O1925">
        <v>43.837290303264801</v>
      </c>
      <c r="P1925">
        <v>-7.0988239085827201E-2</v>
      </c>
      <c r="Q1925">
        <v>0.164171175738825</v>
      </c>
      <c r="R1925">
        <v>0.98746967899946403</v>
      </c>
      <c r="S1925" t="s">
        <v>8493</v>
      </c>
      <c r="T1925" t="s">
        <v>13134</v>
      </c>
      <c r="U1925" t="s">
        <v>13134</v>
      </c>
      <c r="V1925" t="s">
        <v>13134</v>
      </c>
      <c r="W1925" t="s">
        <v>15018</v>
      </c>
      <c r="X1925">
        <v>7</v>
      </c>
      <c r="Y1925" t="s">
        <v>21495</v>
      </c>
      <c r="Z1925" t="s">
        <v>27893</v>
      </c>
      <c r="AA1925">
        <v>0.396912842026313</v>
      </c>
      <c r="AB1925" t="str">
        <f>HYPERLINK("Melting_Curves/meltCurve_O95400_CD2BP2.pdf", "Melting_Curves/meltCurve_O95400_CD2BP2.pdf")</f>
        <v>Melting_Curves/meltCurve_O95400_CD2BP2.pdf</v>
      </c>
    </row>
    <row r="1926" spans="1:28" x14ac:dyDescent="0.25">
      <c r="A1926" t="s">
        <v>1930</v>
      </c>
      <c r="B1926">
        <v>0.99472303558308395</v>
      </c>
      <c r="C1926">
        <v>0.83424877502318595</v>
      </c>
      <c r="D1926">
        <v>1.05348527637807</v>
      </c>
      <c r="E1926">
        <v>0.58112648257993404</v>
      </c>
      <c r="F1926">
        <v>0.44676906791800303</v>
      </c>
      <c r="G1926">
        <v>0.29626119718444799</v>
      </c>
      <c r="H1926">
        <v>0.143929976840561</v>
      </c>
      <c r="I1926">
        <v>0.13355100453902999</v>
      </c>
      <c r="J1926">
        <v>0.182208666430833</v>
      </c>
      <c r="K1926">
        <v>9.45343606421436E-2</v>
      </c>
      <c r="L1926">
        <v>783.44106769610403</v>
      </c>
      <c r="M1926">
        <v>16.262274646179598</v>
      </c>
      <c r="N1926">
        <v>48.995769530560203</v>
      </c>
      <c r="O1926">
        <v>47.464563521305998</v>
      </c>
      <c r="P1926">
        <v>-7.5451419609806794E-2</v>
      </c>
      <c r="Q1926">
        <v>0.119187133600967</v>
      </c>
      <c r="R1926">
        <v>0.95007936252379499</v>
      </c>
      <c r="S1926" t="s">
        <v>8494</v>
      </c>
      <c r="T1926" t="s">
        <v>13134</v>
      </c>
      <c r="U1926" t="s">
        <v>13134</v>
      </c>
      <c r="V1926" t="s">
        <v>13134</v>
      </c>
      <c r="W1926" t="s">
        <v>15019</v>
      </c>
      <c r="X1926">
        <v>2</v>
      </c>
      <c r="Y1926" t="s">
        <v>21496</v>
      </c>
      <c r="Z1926" t="s">
        <v>27894</v>
      </c>
      <c r="AA1926">
        <v>0.4641455594166356</v>
      </c>
      <c r="AB1926" t="str">
        <f>HYPERLINK("Melting_Curves/meltCurve_O95402_MED26.pdf", "Melting_Curves/meltCurve_O95402_MED26.pdf")</f>
        <v>Melting_Curves/meltCurve_O95402_MED26.pdf</v>
      </c>
    </row>
    <row r="1927" spans="1:28" x14ac:dyDescent="0.25">
      <c r="A1927" t="s">
        <v>1931</v>
      </c>
      <c r="B1927">
        <v>0.99472303558308395</v>
      </c>
      <c r="C1927">
        <v>0.97370995920469605</v>
      </c>
      <c r="D1927">
        <v>0.897591751958981</v>
      </c>
      <c r="E1927">
        <v>0.85696942026038903</v>
      </c>
      <c r="F1927">
        <v>0.352902877818562</v>
      </c>
      <c r="G1927">
        <v>0.111122747131374</v>
      </c>
      <c r="H1927">
        <v>6.6174177988641406E-2</v>
      </c>
      <c r="I1927">
        <v>6.9430463292210795E-2</v>
      </c>
      <c r="J1927">
        <v>7.9630108503336697E-2</v>
      </c>
      <c r="K1927">
        <v>8.1352276787936995E-2</v>
      </c>
      <c r="L1927">
        <v>1567.0738856717901</v>
      </c>
      <c r="M1927">
        <v>32.033812435106803</v>
      </c>
      <c r="N1927">
        <v>49.150417972759499</v>
      </c>
      <c r="O1927">
        <v>48.729912145724498</v>
      </c>
      <c r="P1927">
        <v>-0.152858249140951</v>
      </c>
      <c r="Q1927">
        <v>6.9891363068635498E-2</v>
      </c>
      <c r="R1927">
        <v>0.99408943947317696</v>
      </c>
      <c r="S1927" t="s">
        <v>8495</v>
      </c>
      <c r="T1927" t="s">
        <v>13134</v>
      </c>
      <c r="U1927" t="s">
        <v>13134</v>
      </c>
      <c r="V1927" t="s">
        <v>13134</v>
      </c>
      <c r="W1927" t="s">
        <v>15020</v>
      </c>
      <c r="X1927">
        <v>2</v>
      </c>
      <c r="Y1927" t="s">
        <v>21497</v>
      </c>
      <c r="Z1927" t="s">
        <v>27895</v>
      </c>
      <c r="AA1927">
        <v>0.44434866083881019</v>
      </c>
      <c r="AB1927" t="str">
        <f>HYPERLINK("Melting_Curves/meltCurve_O95405_2_ZFYVE9.pdf", "Melting_Curves/meltCurve_O95405_2_ZFYVE9.pdf")</f>
        <v>Melting_Curves/meltCurve_O95405_2_ZFYVE9.pdf</v>
      </c>
    </row>
    <row r="1928" spans="1:28" x14ac:dyDescent="0.25">
      <c r="A1928" t="s">
        <v>1932</v>
      </c>
      <c r="B1928">
        <v>0.99472303558308395</v>
      </c>
      <c r="C1928">
        <v>0.85590642074752898</v>
      </c>
      <c r="D1928">
        <v>0.87266657324824803</v>
      </c>
      <c r="E1928">
        <v>0.74131928973567196</v>
      </c>
      <c r="F1928">
        <v>0.53734846447906803</v>
      </c>
      <c r="G1928">
        <v>0.29540880273589198</v>
      </c>
      <c r="H1928">
        <v>0.109683219231796</v>
      </c>
      <c r="I1928">
        <v>4.7840907296756198E-2</v>
      </c>
      <c r="J1928">
        <v>5.5103226581305502E-2</v>
      </c>
      <c r="K1928">
        <v>5.6211002290901903E-2</v>
      </c>
      <c r="L1928">
        <v>657.58720509778902</v>
      </c>
      <c r="M1928">
        <v>13.1241148335275</v>
      </c>
      <c r="N1928">
        <v>50.105269091529998</v>
      </c>
      <c r="O1928">
        <v>48.984783054201799</v>
      </c>
      <c r="P1928">
        <v>-6.6991974031668303E-2</v>
      </c>
      <c r="Q1928">
        <v>0</v>
      </c>
      <c r="R1928">
        <v>0.98561327956733602</v>
      </c>
      <c r="S1928" t="s">
        <v>8496</v>
      </c>
      <c r="T1928" t="s">
        <v>13134</v>
      </c>
      <c r="U1928" t="s">
        <v>13134</v>
      </c>
      <c r="V1928" t="s">
        <v>13134</v>
      </c>
      <c r="W1928" t="s">
        <v>15021</v>
      </c>
      <c r="X1928">
        <v>5</v>
      </c>
      <c r="Y1928" t="s">
        <v>21498</v>
      </c>
      <c r="Z1928" t="s">
        <v>27896</v>
      </c>
      <c r="AA1928">
        <v>0.46178880632922792</v>
      </c>
      <c r="AB1928" t="str">
        <f>HYPERLINK("Melting_Curves/meltCurve_O95429_2_BAG4.pdf", "Melting_Curves/meltCurve_O95429_2_BAG4.pdf")</f>
        <v>Melting_Curves/meltCurve_O95429_2_BAG4.pdf</v>
      </c>
    </row>
    <row r="1929" spans="1:28" x14ac:dyDescent="0.25">
      <c r="A1929" t="s">
        <v>1933</v>
      </c>
      <c r="B1929">
        <v>0.99472303558308395</v>
      </c>
      <c r="C1929">
        <v>0.93495926073592905</v>
      </c>
      <c r="D1929">
        <v>1.02775571602272</v>
      </c>
      <c r="E1929">
        <v>0.867146798522204</v>
      </c>
      <c r="F1929">
        <v>0.47344284209455001</v>
      </c>
      <c r="G1929">
        <v>0.12972242052913499</v>
      </c>
      <c r="H1929">
        <v>7.2196384560614196E-2</v>
      </c>
      <c r="I1929">
        <v>4.3785012949046603E-2</v>
      </c>
      <c r="J1929">
        <v>5.1230437260405097E-2</v>
      </c>
      <c r="K1929">
        <v>4.3856610864200701E-2</v>
      </c>
      <c r="L1929">
        <v>1430.1138976331099</v>
      </c>
      <c r="M1929">
        <v>28.732124974997799</v>
      </c>
      <c r="N1929">
        <v>49.933143406364998</v>
      </c>
      <c r="O1929">
        <v>49.534803307882001</v>
      </c>
      <c r="P1929">
        <v>-0.13866777104112099</v>
      </c>
      <c r="Q1929">
        <v>4.3742623340923402E-2</v>
      </c>
      <c r="R1929">
        <v>0.99649592354226701</v>
      </c>
      <c r="S1929" t="s">
        <v>8497</v>
      </c>
      <c r="T1929" t="s">
        <v>13134</v>
      </c>
      <c r="U1929" t="s">
        <v>13134</v>
      </c>
      <c r="V1929" t="s">
        <v>13134</v>
      </c>
      <c r="W1929" t="s">
        <v>15022</v>
      </c>
      <c r="X1929">
        <v>24</v>
      </c>
      <c r="Y1929" t="s">
        <v>21499</v>
      </c>
      <c r="Z1929" t="s">
        <v>27897</v>
      </c>
      <c r="AA1929">
        <v>0.45728371249297728</v>
      </c>
      <c r="AB1929" t="str">
        <f>HYPERLINK("Melting_Curves/meltCurve_O95433_AHSA1.pdf", "Melting_Curves/meltCurve_O95433_AHSA1.pdf")</f>
        <v>Melting_Curves/meltCurve_O95433_AHSA1.pdf</v>
      </c>
    </row>
    <row r="1930" spans="1:28" x14ac:dyDescent="0.25">
      <c r="A1930" t="s">
        <v>1934</v>
      </c>
      <c r="B1930">
        <v>0.99472303558308395</v>
      </c>
      <c r="C1930">
        <v>1.09413957167717</v>
      </c>
      <c r="D1930">
        <v>1.15282513706247</v>
      </c>
      <c r="E1930">
        <v>1.0484474369766501</v>
      </c>
      <c r="F1930">
        <v>0.45836103085431901</v>
      </c>
      <c r="G1930">
        <v>0.145611790046764</v>
      </c>
      <c r="H1930">
        <v>7.8999941979108701E-2</v>
      </c>
      <c r="I1930">
        <v>5.9124286727771203E-2</v>
      </c>
      <c r="J1930">
        <v>5.2757300829062499E-2</v>
      </c>
      <c r="K1930">
        <v>4.6967493257323002E-2</v>
      </c>
      <c r="L1930">
        <v>3338.43386220926</v>
      </c>
      <c r="M1930">
        <v>66.829517244886901</v>
      </c>
      <c r="N1930">
        <v>50.075611403715897</v>
      </c>
      <c r="O1930">
        <v>49.909807748027099</v>
      </c>
      <c r="P1930">
        <v>-0.30976800601628002</v>
      </c>
      <c r="Q1930">
        <v>7.4632999554201093E-2</v>
      </c>
      <c r="R1930">
        <v>0.98163717449633503</v>
      </c>
      <c r="S1930" t="s">
        <v>8498</v>
      </c>
      <c r="T1930" t="s">
        <v>13134</v>
      </c>
      <c r="U1930" t="s">
        <v>13134</v>
      </c>
      <c r="V1930" t="s">
        <v>13134</v>
      </c>
      <c r="W1930" t="s">
        <v>15023</v>
      </c>
      <c r="X1930">
        <v>8</v>
      </c>
      <c r="Y1930" t="s">
        <v>21500</v>
      </c>
      <c r="Z1930" t="s">
        <v>27898</v>
      </c>
      <c r="AA1930">
        <v>0.47535988205862417</v>
      </c>
      <c r="AB1930" t="str">
        <f>HYPERLINK("Melting_Curves/meltCurve_O95453_2_PARN.pdf", "Melting_Curves/meltCurve_O95453_2_PARN.pdf")</f>
        <v>Melting_Curves/meltCurve_O95453_2_PARN.pdf</v>
      </c>
    </row>
    <row r="1931" spans="1:28" x14ac:dyDescent="0.25">
      <c r="A1931" t="s">
        <v>1935</v>
      </c>
      <c r="B1931">
        <v>0.99472303558308395</v>
      </c>
      <c r="C1931">
        <v>1.27334487739119</v>
      </c>
      <c r="D1931">
        <v>1.04816561996119</v>
      </c>
      <c r="E1931">
        <v>0.81570177326070303</v>
      </c>
      <c r="F1931">
        <v>0.85103854115571398</v>
      </c>
      <c r="G1931">
        <v>0.43538259401164697</v>
      </c>
      <c r="H1931">
        <v>0.27591252462305599</v>
      </c>
      <c r="I1931">
        <v>0.14272054312353999</v>
      </c>
      <c r="J1931">
        <v>0.28406307361993599</v>
      </c>
      <c r="K1931">
        <v>0.163231270094852</v>
      </c>
      <c r="L1931">
        <v>1301.9445007945601</v>
      </c>
      <c r="M1931">
        <v>24.877906845897702</v>
      </c>
      <c r="N1931">
        <v>53.328672393181698</v>
      </c>
      <c r="O1931">
        <v>51.998731386116397</v>
      </c>
      <c r="P1931">
        <v>-9.7396304296165095E-2</v>
      </c>
      <c r="Q1931">
        <v>0.18571689113255399</v>
      </c>
      <c r="R1931">
        <v>0.92418097221036499</v>
      </c>
      <c r="S1931" t="s">
        <v>8499</v>
      </c>
      <c r="T1931" t="s">
        <v>13134</v>
      </c>
      <c r="U1931" t="s">
        <v>13134</v>
      </c>
      <c r="V1931" t="s">
        <v>13134</v>
      </c>
      <c r="W1931" t="s">
        <v>15024</v>
      </c>
      <c r="X1931">
        <v>1</v>
      </c>
      <c r="Y1931" t="s">
        <v>21501</v>
      </c>
      <c r="Z1931" t="s">
        <v>27899</v>
      </c>
      <c r="AA1931">
        <v>0.60918373733240772</v>
      </c>
      <c r="AB1931" t="str">
        <f>HYPERLINK("Melting_Curves/meltCurve_O95455_TGDS.pdf", "Melting_Curves/meltCurve_O95455_TGDS.pdf")</f>
        <v>Melting_Curves/meltCurve_O95455_TGDS.pdf</v>
      </c>
    </row>
    <row r="1932" spans="1:28" x14ac:dyDescent="0.25">
      <c r="A1932" t="s">
        <v>1936</v>
      </c>
      <c r="B1932">
        <v>0.99472303558308395</v>
      </c>
      <c r="C1932">
        <v>1.0354352169746801</v>
      </c>
      <c r="D1932">
        <v>0.85019627774587603</v>
      </c>
      <c r="E1932">
        <v>0.82706105628194504</v>
      </c>
      <c r="F1932">
        <v>0.92447640410836396</v>
      </c>
      <c r="G1932">
        <v>0.65126633971296199</v>
      </c>
      <c r="H1932">
        <v>0.38733443307255999</v>
      </c>
      <c r="I1932">
        <v>0.13879015902564101</v>
      </c>
      <c r="J1932">
        <v>9.4137168894700501E-2</v>
      </c>
      <c r="K1932">
        <v>0.10084277176902701</v>
      </c>
      <c r="L1932">
        <v>958.93476274179602</v>
      </c>
      <c r="M1932">
        <v>17.255412253687901</v>
      </c>
      <c r="N1932">
        <v>55.660802634088597</v>
      </c>
      <c r="O1932">
        <v>54.842707832552399</v>
      </c>
      <c r="P1932">
        <v>-7.7606922399410097E-2</v>
      </c>
      <c r="Q1932">
        <v>1.3428224759473299E-2</v>
      </c>
      <c r="R1932">
        <v>0.96328831263746095</v>
      </c>
      <c r="S1932" t="s">
        <v>8500</v>
      </c>
      <c r="T1932" t="s">
        <v>13134</v>
      </c>
      <c r="U1932" t="s">
        <v>13134</v>
      </c>
      <c r="V1932" t="s">
        <v>13134</v>
      </c>
      <c r="W1932" t="s">
        <v>15025</v>
      </c>
      <c r="X1932">
        <v>13</v>
      </c>
      <c r="Y1932" t="s">
        <v>21502</v>
      </c>
      <c r="Z1932" t="s">
        <v>27900</v>
      </c>
      <c r="AA1932">
        <v>0.63610446012709398</v>
      </c>
      <c r="AB1932" t="str">
        <f>HYPERLINK("Melting_Curves/meltCurve_O95456_2_PSMG1.pdf", "Melting_Curves/meltCurve_O95456_2_PSMG1.pdf")</f>
        <v>Melting_Curves/meltCurve_O95456_2_PSMG1.pdf</v>
      </c>
    </row>
    <row r="1933" spans="1:28" x14ac:dyDescent="0.25">
      <c r="A1933" t="s">
        <v>1937</v>
      </c>
      <c r="B1933">
        <v>0.99472303558308395</v>
      </c>
      <c r="C1933">
        <v>0.991456371403028</v>
      </c>
      <c r="D1933">
        <v>0.55514290055962201</v>
      </c>
      <c r="E1933">
        <v>0.33195590612245701</v>
      </c>
      <c r="F1933">
        <v>0.23771127553361401</v>
      </c>
      <c r="G1933">
        <v>0.106671603780383</v>
      </c>
      <c r="H1933">
        <v>9.6189280632399898E-2</v>
      </c>
      <c r="I1933">
        <v>6.5361097541195096E-2</v>
      </c>
      <c r="J1933">
        <v>0.15917100438020201</v>
      </c>
      <c r="K1933">
        <v>4.4414191766189402E-2</v>
      </c>
      <c r="L1933">
        <v>882.85503371556501</v>
      </c>
      <c r="M1933">
        <v>20.145456717618099</v>
      </c>
      <c r="N1933">
        <v>44.3184271661721</v>
      </c>
      <c r="O1933">
        <v>43.3990553395424</v>
      </c>
      <c r="P1933">
        <v>-0.10437249032388</v>
      </c>
      <c r="Q1933">
        <v>0.100636075052235</v>
      </c>
      <c r="R1933">
        <v>0.97448206041248597</v>
      </c>
      <c r="S1933" t="s">
        <v>8501</v>
      </c>
      <c r="T1933" t="s">
        <v>13134</v>
      </c>
      <c r="U1933" t="s">
        <v>13134</v>
      </c>
      <c r="V1933" t="s">
        <v>13134</v>
      </c>
      <c r="W1933" t="s">
        <v>15026</v>
      </c>
      <c r="X1933">
        <v>13</v>
      </c>
      <c r="Y1933" t="s">
        <v>21503</v>
      </c>
      <c r="Z1933" t="s">
        <v>27901</v>
      </c>
      <c r="AA1933">
        <v>0.31711922961787881</v>
      </c>
      <c r="AB1933" t="str">
        <f>HYPERLINK("Melting_Curves/meltCurve_O95466_2_FMNL1.pdf", "Melting_Curves/meltCurve_O95466_2_FMNL1.pdf")</f>
        <v>Melting_Curves/meltCurve_O95466_2_FMNL1.pdf</v>
      </c>
    </row>
    <row r="1934" spans="1:28" x14ac:dyDescent="0.25">
      <c r="A1934" t="s">
        <v>1938</v>
      </c>
      <c r="B1934">
        <v>0.99472303558308395</v>
      </c>
      <c r="C1934">
        <v>0.99361664379414405</v>
      </c>
      <c r="D1934">
        <v>0.94822540773904096</v>
      </c>
      <c r="E1934">
        <v>0.876927582964938</v>
      </c>
      <c r="F1934">
        <v>0.63814338387678904</v>
      </c>
      <c r="G1934">
        <v>0.34924576456083301</v>
      </c>
      <c r="H1934">
        <v>0.145355738308586</v>
      </c>
      <c r="I1934">
        <v>0.117319903242425</v>
      </c>
      <c r="J1934">
        <v>0.137302667502156</v>
      </c>
      <c r="K1934">
        <v>0.105851344421977</v>
      </c>
      <c r="L1934">
        <v>1030.35979474243</v>
      </c>
      <c r="M1934">
        <v>20.162899905013401</v>
      </c>
      <c r="N1934">
        <v>51.635959837906498</v>
      </c>
      <c r="O1934">
        <v>50.607078666297298</v>
      </c>
      <c r="P1934">
        <v>-9.0231689224766695E-2</v>
      </c>
      <c r="Q1934">
        <v>9.4134869816256003E-2</v>
      </c>
      <c r="R1934">
        <v>0.99732747871452698</v>
      </c>
      <c r="S1934" t="s">
        <v>8502</v>
      </c>
      <c r="T1934" t="s">
        <v>13134</v>
      </c>
      <c r="U1934" t="s">
        <v>13134</v>
      </c>
      <c r="V1934" t="s">
        <v>13134</v>
      </c>
      <c r="W1934" t="s">
        <v>15027</v>
      </c>
      <c r="X1934">
        <v>8</v>
      </c>
      <c r="Y1934" t="s">
        <v>21504</v>
      </c>
      <c r="Z1934" t="s">
        <v>27902</v>
      </c>
      <c r="AA1934">
        <v>0.53163475150402195</v>
      </c>
      <c r="AB1934" t="str">
        <f>HYPERLINK("Melting_Curves/meltCurve_O95470_SGPL1.pdf", "Melting_Curves/meltCurve_O95470_SGPL1.pdf")</f>
        <v>Melting_Curves/meltCurve_O95470_SGPL1.pdf</v>
      </c>
    </row>
    <row r="1935" spans="1:28" x14ac:dyDescent="0.25">
      <c r="A1935" t="s">
        <v>1939</v>
      </c>
      <c r="B1935">
        <v>0.99472303558308395</v>
      </c>
      <c r="C1935">
        <v>0.95573212123685103</v>
      </c>
      <c r="D1935">
        <v>1.0042509643720601</v>
      </c>
      <c r="E1935">
        <v>0.79213261820533298</v>
      </c>
      <c r="F1935">
        <v>0.31262370088944103</v>
      </c>
      <c r="G1935">
        <v>0.140139048491735</v>
      </c>
      <c r="H1935">
        <v>9.0617116654976806E-2</v>
      </c>
      <c r="I1935">
        <v>7.0531532916216694E-2</v>
      </c>
      <c r="J1935">
        <v>0.11378540608496</v>
      </c>
      <c r="K1935">
        <v>9.7883990532323301E-2</v>
      </c>
      <c r="L1935">
        <v>1536.5738614649099</v>
      </c>
      <c r="M1935">
        <v>31.745787823015199</v>
      </c>
      <c r="N1935">
        <v>48.720187054079503</v>
      </c>
      <c r="O1935">
        <v>48.211579545976498</v>
      </c>
      <c r="P1935">
        <v>-0.149225202418443</v>
      </c>
      <c r="Q1935">
        <v>9.3505190030438307E-2</v>
      </c>
      <c r="R1935">
        <v>0.99779477061473398</v>
      </c>
      <c r="S1935" t="s">
        <v>8503</v>
      </c>
      <c r="T1935" t="s">
        <v>13134</v>
      </c>
      <c r="U1935" t="s">
        <v>13134</v>
      </c>
      <c r="V1935" t="s">
        <v>13134</v>
      </c>
      <c r="W1935" t="s">
        <v>15028</v>
      </c>
      <c r="X1935">
        <v>11</v>
      </c>
      <c r="Y1935" t="s">
        <v>21505</v>
      </c>
      <c r="Z1935" t="s">
        <v>27903</v>
      </c>
      <c r="AA1935">
        <v>0.44287617554896802</v>
      </c>
      <c r="AB1935" t="str">
        <f>HYPERLINK("Melting_Curves/meltCurve_O95486_SEC24A.pdf", "Melting_Curves/meltCurve_O95486_SEC24A.pdf")</f>
        <v>Melting_Curves/meltCurve_O95486_SEC24A.pdf</v>
      </c>
    </row>
    <row r="1936" spans="1:28" x14ac:dyDescent="0.25">
      <c r="A1936" t="s">
        <v>1940</v>
      </c>
      <c r="B1936">
        <v>0.99472303558308395</v>
      </c>
      <c r="C1936">
        <v>0.88654927842701203</v>
      </c>
      <c r="D1936">
        <v>0.86324943885749805</v>
      </c>
      <c r="E1936">
        <v>0.492641848138272</v>
      </c>
      <c r="F1936">
        <v>0.205411690573957</v>
      </c>
      <c r="G1936">
        <v>0.112097159009567</v>
      </c>
      <c r="H1936">
        <v>6.1746453462922901E-2</v>
      </c>
      <c r="I1936">
        <v>5.6543227153062203E-2</v>
      </c>
      <c r="J1936">
        <v>7.6229039315044697E-2</v>
      </c>
      <c r="K1936">
        <v>7.0935033087915794E-2</v>
      </c>
      <c r="L1936">
        <v>945.75005060806996</v>
      </c>
      <c r="M1936">
        <v>20.451388397806198</v>
      </c>
      <c r="N1936">
        <v>46.526967509489303</v>
      </c>
      <c r="O1936">
        <v>45.808478586325201</v>
      </c>
      <c r="P1936">
        <v>-0.105085529679544</v>
      </c>
      <c r="Q1936">
        <v>5.8515795368426403E-2</v>
      </c>
      <c r="R1936">
        <v>0.99441234484236996</v>
      </c>
      <c r="S1936" t="s">
        <v>8504</v>
      </c>
      <c r="T1936" t="s">
        <v>13134</v>
      </c>
      <c r="U1936" t="s">
        <v>13134</v>
      </c>
      <c r="V1936" t="s">
        <v>13134</v>
      </c>
      <c r="W1936" t="s">
        <v>15029</v>
      </c>
      <c r="X1936">
        <v>14</v>
      </c>
      <c r="Y1936" t="s">
        <v>21506</v>
      </c>
      <c r="Z1936" t="s">
        <v>27904</v>
      </c>
      <c r="AA1936">
        <v>0.36037925795736581</v>
      </c>
      <c r="AB1936" t="str">
        <f>HYPERLINK("Melting_Curves/meltCurve_O95487_2_SEC24B.pdf", "Melting_Curves/meltCurve_O95487_2_SEC24B.pdf")</f>
        <v>Melting_Curves/meltCurve_O95487_2_SEC24B.pdf</v>
      </c>
    </row>
    <row r="1937" spans="1:28" x14ac:dyDescent="0.25">
      <c r="A1937" t="s">
        <v>1941</v>
      </c>
      <c r="B1937">
        <v>0.99472303558308395</v>
      </c>
      <c r="C1937">
        <v>0.97737534027383399</v>
      </c>
      <c r="D1937">
        <v>0.91233222334756303</v>
      </c>
      <c r="E1937">
        <v>0.82160941915199304</v>
      </c>
      <c r="F1937">
        <v>0.78559894891165505</v>
      </c>
      <c r="G1937">
        <v>0.51096968023425904</v>
      </c>
      <c r="H1937">
        <v>0.32411140968303898</v>
      </c>
      <c r="I1937">
        <v>0.38093510065677999</v>
      </c>
      <c r="J1937">
        <v>0.52663493524183502</v>
      </c>
      <c r="K1937">
        <v>0.38839775550086503</v>
      </c>
      <c r="L1937">
        <v>903.87484479429099</v>
      </c>
      <c r="M1937">
        <v>18.021932903656602</v>
      </c>
      <c r="N1937">
        <v>54.692073725582198</v>
      </c>
      <c r="O1937">
        <v>49.548862941628002</v>
      </c>
      <c r="P1937">
        <v>-5.5660022862669599E-2</v>
      </c>
      <c r="Q1937">
        <v>0.38791130159917397</v>
      </c>
      <c r="R1937">
        <v>0.923647312072716</v>
      </c>
      <c r="S1937" t="s">
        <v>8505</v>
      </c>
      <c r="T1937" t="s">
        <v>13134</v>
      </c>
      <c r="U1937" t="s">
        <v>13134</v>
      </c>
      <c r="V1937" t="s">
        <v>13134</v>
      </c>
      <c r="W1937" t="s">
        <v>15030</v>
      </c>
      <c r="X1937">
        <v>3</v>
      </c>
      <c r="Y1937" t="s">
        <v>21507</v>
      </c>
      <c r="Z1937" t="s">
        <v>27905</v>
      </c>
      <c r="AA1937">
        <v>0.66590051509335646</v>
      </c>
      <c r="AB1937" t="str">
        <f>HYPERLINK("Melting_Curves/meltCurve_O95544_NADK.pdf", "Melting_Curves/meltCurve_O95544_NADK.pdf")</f>
        <v>Melting_Curves/meltCurve_O95544_NADK.pdf</v>
      </c>
    </row>
    <row r="1938" spans="1:28" x14ac:dyDescent="0.25">
      <c r="A1938" t="s">
        <v>1942</v>
      </c>
      <c r="B1938">
        <v>0.99472303558308395</v>
      </c>
      <c r="C1938">
        <v>0.98284296276095395</v>
      </c>
      <c r="D1938">
        <v>0.93156309047044406</v>
      </c>
      <c r="E1938">
        <v>0.66036711929073899</v>
      </c>
      <c r="F1938">
        <v>0.391094534926271</v>
      </c>
      <c r="G1938">
        <v>0.11281414037271099</v>
      </c>
      <c r="H1938">
        <v>5.9883944850288202E-2</v>
      </c>
      <c r="I1938">
        <v>4.5598932767737098E-2</v>
      </c>
      <c r="J1938">
        <v>5.6077837897588301E-2</v>
      </c>
      <c r="K1938">
        <v>3.87198753737861E-2</v>
      </c>
      <c r="L1938">
        <v>936.18584066341896</v>
      </c>
      <c r="M1938">
        <v>19.353065338715101</v>
      </c>
      <c r="N1938">
        <v>48.521739072503799</v>
      </c>
      <c r="O1938">
        <v>47.866420767367998</v>
      </c>
      <c r="P1938">
        <v>-9.8190761893673803E-2</v>
      </c>
      <c r="Q1938">
        <v>2.8605282732408002E-2</v>
      </c>
      <c r="R1938">
        <v>0.99729596633339401</v>
      </c>
      <c r="S1938" t="s">
        <v>8506</v>
      </c>
      <c r="T1938" t="s">
        <v>13134</v>
      </c>
      <c r="U1938" t="s">
        <v>13134</v>
      </c>
      <c r="V1938" t="s">
        <v>13134</v>
      </c>
      <c r="W1938" t="s">
        <v>15031</v>
      </c>
      <c r="X1938">
        <v>11</v>
      </c>
      <c r="Y1938" t="s">
        <v>21508</v>
      </c>
      <c r="Z1938" t="s">
        <v>27906</v>
      </c>
      <c r="AA1938">
        <v>0.41047756860399232</v>
      </c>
      <c r="AB1938" t="str">
        <f>HYPERLINK("Melting_Curves/meltCurve_O95551_TDP2.pdf", "Melting_Curves/meltCurve_O95551_TDP2.pdf")</f>
        <v>Melting_Curves/meltCurve_O95551_TDP2.pdf</v>
      </c>
    </row>
    <row r="1939" spans="1:28" x14ac:dyDescent="0.25">
      <c r="A1939" t="s">
        <v>1943</v>
      </c>
      <c r="B1939">
        <v>0.99472303558308395</v>
      </c>
      <c r="C1939">
        <v>0.97875711641832497</v>
      </c>
      <c r="D1939">
        <v>0.98541507286565899</v>
      </c>
      <c r="E1939">
        <v>0.94207955232392304</v>
      </c>
      <c r="F1939">
        <v>0.76511259654826203</v>
      </c>
      <c r="G1939">
        <v>0.58740884097532498</v>
      </c>
      <c r="H1939">
        <v>0.45020913165261001</v>
      </c>
      <c r="I1939">
        <v>0.38570023412881099</v>
      </c>
      <c r="J1939">
        <v>0.31405138489239798</v>
      </c>
      <c r="K1939">
        <v>0.11990494540461499</v>
      </c>
      <c r="L1939">
        <v>554.12629567378201</v>
      </c>
      <c r="M1939">
        <v>9.7828166130347292</v>
      </c>
      <c r="N1939">
        <v>56.749753254878399</v>
      </c>
      <c r="O1939">
        <v>54.428132678058603</v>
      </c>
      <c r="P1939">
        <v>-4.4547681753355099E-2</v>
      </c>
      <c r="Q1939">
        <v>9.1342950190351907E-3</v>
      </c>
      <c r="R1939">
        <v>0.98218453385995896</v>
      </c>
      <c r="S1939" t="s">
        <v>8507</v>
      </c>
      <c r="T1939" t="s">
        <v>13134</v>
      </c>
      <c r="U1939" t="s">
        <v>13134</v>
      </c>
      <c r="V1939" t="s">
        <v>13134</v>
      </c>
      <c r="W1939" t="s">
        <v>15032</v>
      </c>
      <c r="X1939">
        <v>7</v>
      </c>
      <c r="Y1939" t="s">
        <v>21509</v>
      </c>
      <c r="Z1939" t="s">
        <v>27907</v>
      </c>
      <c r="AA1939">
        <v>0.65887334450656954</v>
      </c>
      <c r="AB1939" t="str">
        <f>HYPERLINK("Melting_Curves/meltCurve_O95571_ETHE1.pdf", "Melting_Curves/meltCurve_O95571_ETHE1.pdf")</f>
        <v>Melting_Curves/meltCurve_O95571_ETHE1.pdf</v>
      </c>
    </row>
    <row r="1940" spans="1:28" x14ac:dyDescent="0.25">
      <c r="A1940" t="s">
        <v>1944</v>
      </c>
      <c r="B1940">
        <v>0.99472303558308395</v>
      </c>
      <c r="C1940">
        <v>0.956682981152014</v>
      </c>
      <c r="D1940">
        <v>0.93615686111444196</v>
      </c>
      <c r="E1940">
        <v>0.82857331674129897</v>
      </c>
      <c r="F1940">
        <v>0.43392076754963799</v>
      </c>
      <c r="G1940">
        <v>9.2680707966522793E-2</v>
      </c>
      <c r="H1940">
        <v>5.10342832705706E-2</v>
      </c>
      <c r="I1940">
        <v>3.4287864966794798E-2</v>
      </c>
      <c r="J1940">
        <v>3.8963409121972603E-2</v>
      </c>
      <c r="K1940">
        <v>3.0436779108287699E-2</v>
      </c>
      <c r="L1940">
        <v>1288.6394766814999</v>
      </c>
      <c r="M1940">
        <v>26.0790949887785</v>
      </c>
      <c r="N1940">
        <v>49.507738014987197</v>
      </c>
      <c r="O1940">
        <v>49.124960998118397</v>
      </c>
      <c r="P1940">
        <v>-0.12948056892750801</v>
      </c>
      <c r="Q1940">
        <v>2.4405846725167501E-2</v>
      </c>
      <c r="R1940">
        <v>0.99679179967799203</v>
      </c>
      <c r="S1940" t="s">
        <v>8508</v>
      </c>
      <c r="T1940" t="s">
        <v>13134</v>
      </c>
      <c r="U1940" t="s">
        <v>13134</v>
      </c>
      <c r="V1940" t="s">
        <v>13134</v>
      </c>
      <c r="W1940" t="s">
        <v>15033</v>
      </c>
      <c r="X1940">
        <v>29</v>
      </c>
      <c r="Y1940" t="s">
        <v>21510</v>
      </c>
      <c r="Z1940" t="s">
        <v>27908</v>
      </c>
      <c r="AA1940">
        <v>0.43587403353752269</v>
      </c>
      <c r="AB1940" t="str">
        <f>HYPERLINK("Melting_Curves/meltCurve_O95573_ACSL3.pdf", "Melting_Curves/meltCurve_O95573_ACSL3.pdf")</f>
        <v>Melting_Curves/meltCurve_O95573_ACSL3.pdf</v>
      </c>
    </row>
    <row r="1941" spans="1:28" x14ac:dyDescent="0.25">
      <c r="A1941" t="s">
        <v>1945</v>
      </c>
      <c r="B1941">
        <v>0.99472303558308395</v>
      </c>
      <c r="C1941">
        <v>0.89660312025514799</v>
      </c>
      <c r="D1941">
        <v>0.67850794722701202</v>
      </c>
      <c r="E1941">
        <v>0.45457751727218099</v>
      </c>
      <c r="F1941">
        <v>0.54456964182046097</v>
      </c>
      <c r="G1941">
        <v>0.35724599747750901</v>
      </c>
      <c r="H1941">
        <v>0.28406388376248598</v>
      </c>
      <c r="I1941">
        <v>0.176862616894052</v>
      </c>
      <c r="J1941">
        <v>9.4891957216468106E-2</v>
      </c>
      <c r="K1941">
        <v>9.2841249730243103E-2</v>
      </c>
      <c r="L1941">
        <v>369.42037105038497</v>
      </c>
      <c r="M1941">
        <v>7.5752813239352399</v>
      </c>
      <c r="N1941">
        <v>48.766550050089002</v>
      </c>
      <c r="O1941">
        <v>45.715935560403601</v>
      </c>
      <c r="P1941">
        <v>-4.1483222669936003E-2</v>
      </c>
      <c r="Q1941">
        <v>0</v>
      </c>
      <c r="R1941">
        <v>0.95210435718901298</v>
      </c>
      <c r="S1941" t="s">
        <v>8509</v>
      </c>
      <c r="T1941" t="s">
        <v>13134</v>
      </c>
      <c r="U1941" t="s">
        <v>13134</v>
      </c>
      <c r="V1941" t="s">
        <v>13134</v>
      </c>
      <c r="W1941" t="s">
        <v>15034</v>
      </c>
      <c r="X1941">
        <v>25</v>
      </c>
      <c r="Y1941" t="s">
        <v>21511</v>
      </c>
      <c r="Z1941" t="s">
        <v>27909</v>
      </c>
      <c r="AA1941">
        <v>0.442302982474434</v>
      </c>
      <c r="AB1941" t="str">
        <f>HYPERLINK("Melting_Curves/meltCurve_O95602_POLR1A.pdf", "Melting_Curves/meltCurve_O95602_POLR1A.pdf")</f>
        <v>Melting_Curves/meltCurve_O95602_POLR1A.pdf</v>
      </c>
    </row>
    <row r="1942" spans="1:28" x14ac:dyDescent="0.25">
      <c r="A1942" t="s">
        <v>1946</v>
      </c>
      <c r="B1942">
        <v>0.99472303558308395</v>
      </c>
      <c r="C1942">
        <v>0.82453905805695404</v>
      </c>
      <c r="D1942">
        <v>0.76274777474084798</v>
      </c>
      <c r="E1942">
        <v>0.69412260071040299</v>
      </c>
      <c r="F1942">
        <v>0.45923920340454399</v>
      </c>
      <c r="G1942">
        <v>0.37537846754721099</v>
      </c>
      <c r="H1942">
        <v>0.20753553257246499</v>
      </c>
      <c r="I1942">
        <v>0.168377031516703</v>
      </c>
      <c r="J1942">
        <v>0.14602364587949501</v>
      </c>
      <c r="K1942">
        <v>0.14336591552209099</v>
      </c>
      <c r="L1942">
        <v>420.40405283576098</v>
      </c>
      <c r="M1942">
        <v>8.5065582510407296</v>
      </c>
      <c r="N1942">
        <v>49.682028105430398</v>
      </c>
      <c r="O1942">
        <v>46.916955495019103</v>
      </c>
      <c r="P1942">
        <v>-4.4377558195412198E-2</v>
      </c>
      <c r="Q1942">
        <v>2.1841302992134298E-2</v>
      </c>
      <c r="R1942">
        <v>0.98445316857500598</v>
      </c>
      <c r="S1942" t="s">
        <v>8510</v>
      </c>
      <c r="T1942" t="s">
        <v>13134</v>
      </c>
      <c r="U1942" t="s">
        <v>13134</v>
      </c>
      <c r="V1942" t="s">
        <v>13134</v>
      </c>
      <c r="W1942" t="s">
        <v>15035</v>
      </c>
      <c r="X1942">
        <v>4</v>
      </c>
      <c r="Y1942" t="s">
        <v>21512</v>
      </c>
      <c r="Z1942" t="s">
        <v>27910</v>
      </c>
      <c r="AA1942">
        <v>0.4677482181902905</v>
      </c>
      <c r="AB1942" t="str">
        <f>HYPERLINK("Melting_Curves/meltCurve_O95613_2_PCNT.pdf", "Melting_Curves/meltCurve_O95613_2_PCNT.pdf")</f>
        <v>Melting_Curves/meltCurve_O95613_2_PCNT.pdf</v>
      </c>
    </row>
    <row r="1943" spans="1:28" x14ac:dyDescent="0.25">
      <c r="A1943" t="s">
        <v>1947</v>
      </c>
      <c r="B1943">
        <v>0.99472303558308395</v>
      </c>
      <c r="C1943">
        <v>0.93309793856464496</v>
      </c>
      <c r="D1943">
        <v>0.71400916738977005</v>
      </c>
      <c r="E1943">
        <v>0.71580366851409505</v>
      </c>
      <c r="F1943">
        <v>0.59845226357166104</v>
      </c>
      <c r="G1943">
        <v>0.31711680932223102</v>
      </c>
      <c r="H1943">
        <v>0.117802044318243</v>
      </c>
      <c r="I1943">
        <v>0.107441617206327</v>
      </c>
      <c r="J1943">
        <v>0.120074118545885</v>
      </c>
      <c r="K1943">
        <v>8.4030269797885707E-2</v>
      </c>
      <c r="L1943">
        <v>512.71680189315498</v>
      </c>
      <c r="M1943">
        <v>10.248988329840699</v>
      </c>
      <c r="N1943">
        <v>50.026086059371401</v>
      </c>
      <c r="O1943">
        <v>48.233794036387899</v>
      </c>
      <c r="P1943">
        <v>-5.3144924688223898E-2</v>
      </c>
      <c r="Q1943">
        <v>0</v>
      </c>
      <c r="R1943">
        <v>0.96580467238074297</v>
      </c>
      <c r="S1943" t="s">
        <v>8511</v>
      </c>
      <c r="T1943" t="s">
        <v>13134</v>
      </c>
      <c r="U1943" t="s">
        <v>13134</v>
      </c>
      <c r="V1943" t="s">
        <v>13134</v>
      </c>
      <c r="W1943" t="s">
        <v>15036</v>
      </c>
      <c r="X1943">
        <v>3</v>
      </c>
      <c r="Y1943" t="s">
        <v>21513</v>
      </c>
      <c r="Z1943" t="s">
        <v>27911</v>
      </c>
      <c r="AA1943">
        <v>0.46726694758055909</v>
      </c>
      <c r="AB1943" t="str">
        <f>HYPERLINK("Melting_Curves/meltCurve_O95619_YEATS4.pdf", "Melting_Curves/meltCurve_O95619_YEATS4.pdf")</f>
        <v>Melting_Curves/meltCurve_O95619_YEATS4.pdf</v>
      </c>
    </row>
    <row r="1944" spans="1:28" x14ac:dyDescent="0.25">
      <c r="A1944" t="s">
        <v>1948</v>
      </c>
      <c r="B1944">
        <v>0.99472303558308395</v>
      </c>
      <c r="C1944">
        <v>1.0105096555089399</v>
      </c>
      <c r="D1944">
        <v>0.925677087805022</v>
      </c>
      <c r="E1944">
        <v>0.86037469330864302</v>
      </c>
      <c r="F1944">
        <v>0.65583785903272596</v>
      </c>
      <c r="G1944">
        <v>0.53315840291157801</v>
      </c>
      <c r="H1944">
        <v>0.37679532387695103</v>
      </c>
      <c r="I1944">
        <v>0.26295539108951299</v>
      </c>
      <c r="J1944">
        <v>0.18132495493433501</v>
      </c>
      <c r="K1944">
        <v>0.11928077003441701</v>
      </c>
      <c r="L1944">
        <v>541.16663832940606</v>
      </c>
      <c r="M1944">
        <v>9.9609165677605507</v>
      </c>
      <c r="N1944">
        <v>54.329000190123303</v>
      </c>
      <c r="O1944">
        <v>52.275401926580699</v>
      </c>
      <c r="P1944">
        <v>-4.7660254383319597E-2</v>
      </c>
      <c r="Q1944">
        <v>0</v>
      </c>
      <c r="R1944">
        <v>0.99650223755919498</v>
      </c>
      <c r="S1944" t="s">
        <v>8512</v>
      </c>
      <c r="T1944" t="s">
        <v>13134</v>
      </c>
      <c r="U1944" t="s">
        <v>13134</v>
      </c>
      <c r="V1944" t="s">
        <v>13134</v>
      </c>
      <c r="W1944" t="s">
        <v>15037</v>
      </c>
      <c r="X1944">
        <v>5</v>
      </c>
      <c r="Y1944" t="s">
        <v>21514</v>
      </c>
      <c r="Z1944" t="s">
        <v>27912</v>
      </c>
      <c r="AA1944">
        <v>0.59347184158830535</v>
      </c>
      <c r="AB1944" t="str">
        <f>HYPERLINK("Melting_Curves/meltCurve_O95620_DUS4L.pdf", "Melting_Curves/meltCurve_O95620_DUS4L.pdf")</f>
        <v>Melting_Curves/meltCurve_O95620_DUS4L.pdf</v>
      </c>
    </row>
    <row r="1945" spans="1:28" x14ac:dyDescent="0.25">
      <c r="A1945" t="s">
        <v>1949</v>
      </c>
      <c r="B1945">
        <v>0.99472303558308395</v>
      </c>
      <c r="C1945">
        <v>1.07100815156596</v>
      </c>
      <c r="D1945">
        <v>0.92509136788688795</v>
      </c>
      <c r="E1945">
        <v>0.82511622927927497</v>
      </c>
      <c r="F1945">
        <v>0.64034322472016403</v>
      </c>
      <c r="G1945">
        <v>0.44556024047743098</v>
      </c>
      <c r="H1945">
        <v>0.13479633844161801</v>
      </c>
      <c r="I1945">
        <v>7.2969051071436697E-2</v>
      </c>
      <c r="J1945">
        <v>6.34292200931032E-2</v>
      </c>
      <c r="K1945">
        <v>4.5967310498816499E-2</v>
      </c>
      <c r="L1945">
        <v>795.29386472824103</v>
      </c>
      <c r="M1945">
        <v>15.268398461663301</v>
      </c>
      <c r="N1945">
        <v>52.087571080275701</v>
      </c>
      <c r="O1945">
        <v>51.218589577010697</v>
      </c>
      <c r="P1945">
        <v>-7.4532692768172398E-2</v>
      </c>
      <c r="Q1945">
        <v>0</v>
      </c>
      <c r="R1945">
        <v>0.98888415951402797</v>
      </c>
      <c r="S1945" t="s">
        <v>8513</v>
      </c>
      <c r="T1945" t="s">
        <v>13134</v>
      </c>
      <c r="U1945" t="s">
        <v>13134</v>
      </c>
      <c r="V1945" t="s">
        <v>13134</v>
      </c>
      <c r="W1945" t="s">
        <v>15038</v>
      </c>
      <c r="X1945">
        <v>5</v>
      </c>
      <c r="Y1945" t="s">
        <v>21515</v>
      </c>
      <c r="Z1945" t="s">
        <v>27913</v>
      </c>
      <c r="AA1945">
        <v>0.52157010063097964</v>
      </c>
      <c r="AB1945" t="str">
        <f>HYPERLINK("Melting_Curves/meltCurve_O95628_3_CNOT4.pdf", "Melting_Curves/meltCurve_O95628_3_CNOT4.pdf")</f>
        <v>Melting_Curves/meltCurve_O95628_3_CNOT4.pdf</v>
      </c>
    </row>
    <row r="1946" spans="1:28" x14ac:dyDescent="0.25">
      <c r="A1946" t="s">
        <v>1950</v>
      </c>
      <c r="B1946">
        <v>0.99472303558308395</v>
      </c>
      <c r="C1946">
        <v>1.0000095176599599</v>
      </c>
      <c r="D1946">
        <v>0.92838172472668801</v>
      </c>
      <c r="E1946">
        <v>0.62478256464100002</v>
      </c>
      <c r="F1946">
        <v>0.36063189905611998</v>
      </c>
      <c r="G1946">
        <v>0.17352392293961699</v>
      </c>
      <c r="H1946">
        <v>0.116483549398691</v>
      </c>
      <c r="I1946">
        <v>8.2443771378650693E-2</v>
      </c>
      <c r="J1946">
        <v>0.117125628241483</v>
      </c>
      <c r="K1946">
        <v>0.110191740619524</v>
      </c>
      <c r="L1946">
        <v>961.03372047337803</v>
      </c>
      <c r="M1946">
        <v>20.163080110301301</v>
      </c>
      <c r="N1946">
        <v>48.174319390458102</v>
      </c>
      <c r="O1946">
        <v>47.201637291550597</v>
      </c>
      <c r="P1946">
        <v>-9.6508823609983599E-2</v>
      </c>
      <c r="Q1946">
        <v>9.63224128667277E-2</v>
      </c>
      <c r="R1946">
        <v>0.99785380657086098</v>
      </c>
      <c r="S1946" t="s">
        <v>8514</v>
      </c>
      <c r="T1946" t="s">
        <v>13134</v>
      </c>
      <c r="U1946" t="s">
        <v>13134</v>
      </c>
      <c r="V1946" t="s">
        <v>13134</v>
      </c>
      <c r="W1946" t="s">
        <v>15039</v>
      </c>
      <c r="X1946">
        <v>14</v>
      </c>
      <c r="Y1946" t="s">
        <v>21516</v>
      </c>
      <c r="Z1946" t="s">
        <v>27914</v>
      </c>
      <c r="AA1946">
        <v>0.42919602272249407</v>
      </c>
      <c r="AB1946" t="str">
        <f>HYPERLINK("Melting_Curves/meltCurve_O95630_STAMBP.pdf", "Melting_Curves/meltCurve_O95630_STAMBP.pdf")</f>
        <v>Melting_Curves/meltCurve_O95630_STAMBP.pdf</v>
      </c>
    </row>
    <row r="1947" spans="1:28" x14ac:dyDescent="0.25">
      <c r="A1947" t="s">
        <v>1951</v>
      </c>
      <c r="B1947">
        <v>0.99472303558308395</v>
      </c>
      <c r="C1947">
        <v>0.84224074981075103</v>
      </c>
      <c r="D1947">
        <v>0.61480347829231896</v>
      </c>
      <c r="E1947">
        <v>0.38601356563921102</v>
      </c>
      <c r="F1947">
        <v>0.24536452499511699</v>
      </c>
      <c r="G1947">
        <v>0.131864736170826</v>
      </c>
      <c r="H1947">
        <v>7.7077018088359595E-2</v>
      </c>
      <c r="I1947">
        <v>6.9897219589917903E-2</v>
      </c>
      <c r="J1947">
        <v>8.1092980905588793E-2</v>
      </c>
      <c r="K1947">
        <v>5.7364426889376E-2</v>
      </c>
      <c r="L1947">
        <v>619.32890696033496</v>
      </c>
      <c r="M1947">
        <v>13.9142068611</v>
      </c>
      <c r="N1947">
        <v>44.885010798974697</v>
      </c>
      <c r="O1947">
        <v>43.621402180428099</v>
      </c>
      <c r="P1947">
        <v>-7.5384431626082396E-2</v>
      </c>
      <c r="Q1947">
        <v>5.4799736259420397E-2</v>
      </c>
      <c r="R1947">
        <v>0.99606294239642901</v>
      </c>
      <c r="S1947" t="s">
        <v>8515</v>
      </c>
      <c r="T1947" t="s">
        <v>13134</v>
      </c>
      <c r="U1947" t="s">
        <v>13134</v>
      </c>
      <c r="V1947" t="s">
        <v>13134</v>
      </c>
      <c r="W1947" t="s">
        <v>15040</v>
      </c>
      <c r="X1947">
        <v>5</v>
      </c>
      <c r="Y1947" t="s">
        <v>21517</v>
      </c>
      <c r="Z1947" t="s">
        <v>27915</v>
      </c>
      <c r="AA1947">
        <v>0.31808591035335348</v>
      </c>
      <c r="AB1947" t="str">
        <f>HYPERLINK("Melting_Curves/meltCurve_O95639_3_CPSF4.pdf", "Melting_Curves/meltCurve_O95639_3_CPSF4.pdf")</f>
        <v>Melting_Curves/meltCurve_O95639_3_CPSF4.pdf</v>
      </c>
    </row>
    <row r="1948" spans="1:28" x14ac:dyDescent="0.25">
      <c r="A1948" t="s">
        <v>1952</v>
      </c>
      <c r="B1948">
        <v>0.99472303558308395</v>
      </c>
      <c r="C1948">
        <v>1.07304019736406</v>
      </c>
      <c r="D1948">
        <v>1.0005224728778499</v>
      </c>
      <c r="E1948">
        <v>0.79713951998129595</v>
      </c>
      <c r="F1948">
        <v>0.32664850319474598</v>
      </c>
      <c r="G1948">
        <v>0.169549182001212</v>
      </c>
      <c r="H1948">
        <v>0.103582929564736</v>
      </c>
      <c r="I1948">
        <v>9.4747033601839503E-2</v>
      </c>
      <c r="J1948">
        <v>9.3449784218170004E-2</v>
      </c>
      <c r="K1948">
        <v>8.2932559593631494E-2</v>
      </c>
      <c r="L1948">
        <v>1469.69541367429</v>
      </c>
      <c r="M1948">
        <v>30.2975732643492</v>
      </c>
      <c r="N1948">
        <v>48.854141201808297</v>
      </c>
      <c r="O1948">
        <v>48.298826848008702</v>
      </c>
      <c r="P1948">
        <v>-0.141703080498678</v>
      </c>
      <c r="Q1948">
        <v>9.6422727109276199E-2</v>
      </c>
      <c r="R1948">
        <v>0.99585252338035302</v>
      </c>
      <c r="S1948" t="s">
        <v>8516</v>
      </c>
      <c r="T1948" t="s">
        <v>13134</v>
      </c>
      <c r="U1948" t="s">
        <v>13134</v>
      </c>
      <c r="V1948" t="s">
        <v>13134</v>
      </c>
      <c r="W1948" t="s">
        <v>15041</v>
      </c>
      <c r="X1948">
        <v>11</v>
      </c>
      <c r="Y1948" t="s">
        <v>21518</v>
      </c>
      <c r="Z1948" t="s">
        <v>27916</v>
      </c>
      <c r="AA1948">
        <v>0.44835196264912958</v>
      </c>
      <c r="AB1948" t="str">
        <f>HYPERLINK("Melting_Curves/meltCurve_O95671_2_ASMTL.pdf", "Melting_Curves/meltCurve_O95671_2_ASMTL.pdf")</f>
        <v>Melting_Curves/meltCurve_O95671_2_ASMTL.pdf</v>
      </c>
    </row>
    <row r="1949" spans="1:28" x14ac:dyDescent="0.25">
      <c r="A1949" t="s">
        <v>1953</v>
      </c>
      <c r="B1949">
        <v>0.99472303558308395</v>
      </c>
      <c r="C1949">
        <v>1.0058256999108</v>
      </c>
      <c r="D1949">
        <v>0.92602840464271896</v>
      </c>
      <c r="E1949">
        <v>0.80125204011106299</v>
      </c>
      <c r="F1949">
        <v>0.398594453994501</v>
      </c>
      <c r="G1949">
        <v>0.21258913729736001</v>
      </c>
      <c r="H1949">
        <v>0.135151356095666</v>
      </c>
      <c r="I1949">
        <v>0.135089541925381</v>
      </c>
      <c r="J1949">
        <v>0.14361652393115701</v>
      </c>
      <c r="K1949">
        <v>0.10495469797337401</v>
      </c>
      <c r="L1949">
        <v>1183.4058033086901</v>
      </c>
      <c r="M1949">
        <v>24.287228386454998</v>
      </c>
      <c r="N1949">
        <v>49.296199944294003</v>
      </c>
      <c r="O1949">
        <v>48.398709592109</v>
      </c>
      <c r="P1949">
        <v>-0.110079604972219</v>
      </c>
      <c r="Q1949">
        <v>0.12256265792375801</v>
      </c>
      <c r="R1949">
        <v>0.997733756145186</v>
      </c>
      <c r="S1949" t="s">
        <v>8517</v>
      </c>
      <c r="T1949" t="s">
        <v>13134</v>
      </c>
      <c r="U1949" t="s">
        <v>13134</v>
      </c>
      <c r="V1949" t="s">
        <v>13134</v>
      </c>
      <c r="W1949" t="s">
        <v>15042</v>
      </c>
      <c r="X1949">
        <v>9</v>
      </c>
      <c r="Y1949" t="s">
        <v>21519</v>
      </c>
      <c r="Z1949" t="s">
        <v>27917</v>
      </c>
      <c r="AA1949">
        <v>0.47349951084938269</v>
      </c>
      <c r="AB1949" t="str">
        <f>HYPERLINK("Melting_Curves/meltCurve_O95684_FGFR1OP.pdf", "Melting_Curves/meltCurve_O95684_FGFR1OP.pdf")</f>
        <v>Melting_Curves/meltCurve_O95684_FGFR1OP.pdf</v>
      </c>
    </row>
    <row r="1950" spans="1:28" x14ac:dyDescent="0.25">
      <c r="A1950" t="s">
        <v>1954</v>
      </c>
      <c r="B1950">
        <v>0.99472303558308395</v>
      </c>
      <c r="C1950">
        <v>1.1157087926563101</v>
      </c>
      <c r="D1950">
        <v>0.78464447363152001</v>
      </c>
      <c r="E1950">
        <v>0.82009559049893799</v>
      </c>
      <c r="F1950">
        <v>0.57962391873029195</v>
      </c>
      <c r="G1950">
        <v>0.27839132371022901</v>
      </c>
      <c r="H1950">
        <v>0.14424525062879001</v>
      </c>
      <c r="I1950">
        <v>0.160258730434585</v>
      </c>
      <c r="J1950">
        <v>0.14364291984681901</v>
      </c>
      <c r="K1950">
        <v>0.14136103466002001</v>
      </c>
      <c r="L1950">
        <v>841.78381577966297</v>
      </c>
      <c r="M1950">
        <v>16.867015120440101</v>
      </c>
      <c r="N1950">
        <v>50.634370965086497</v>
      </c>
      <c r="O1950">
        <v>49.221422960075998</v>
      </c>
      <c r="P1950">
        <v>-7.6458071358177601E-2</v>
      </c>
      <c r="Q1950">
        <v>0.107575342257301</v>
      </c>
      <c r="R1950">
        <v>0.96340132666134104</v>
      </c>
      <c r="S1950" t="s">
        <v>8518</v>
      </c>
      <c r="T1950" t="s">
        <v>13134</v>
      </c>
      <c r="U1950" t="s">
        <v>13134</v>
      </c>
      <c r="V1950" t="s">
        <v>13134</v>
      </c>
      <c r="W1950" t="s">
        <v>15043</v>
      </c>
      <c r="X1950">
        <v>1</v>
      </c>
      <c r="Y1950" t="s">
        <v>21520</v>
      </c>
      <c r="Z1950" t="s">
        <v>27918</v>
      </c>
      <c r="AA1950">
        <v>0.50717305670268931</v>
      </c>
      <c r="AB1950" t="str">
        <f>HYPERLINK("Melting_Curves/meltCurve_O95685_PPP1R3D.pdf", "Melting_Curves/meltCurve_O95685_PPP1R3D.pdf")</f>
        <v>Melting_Curves/meltCurve_O95685_PPP1R3D.pdf</v>
      </c>
    </row>
    <row r="1951" spans="1:28" x14ac:dyDescent="0.25">
      <c r="A1951" t="s">
        <v>1955</v>
      </c>
      <c r="B1951">
        <v>0.99472303558308395</v>
      </c>
      <c r="C1951">
        <v>1.1085035788456501</v>
      </c>
      <c r="D1951">
        <v>1.0355857849716601</v>
      </c>
      <c r="E1951">
        <v>0.97228636710706196</v>
      </c>
      <c r="F1951">
        <v>0.90907314621113899</v>
      </c>
      <c r="G1951">
        <v>0.65295555722838305</v>
      </c>
      <c r="H1951">
        <v>0.50091606385211396</v>
      </c>
      <c r="I1951">
        <v>0.38186897077805498</v>
      </c>
      <c r="J1951">
        <v>0.49028333055006701</v>
      </c>
      <c r="K1951">
        <v>0.27336317128655002</v>
      </c>
      <c r="L1951">
        <v>1181.68921850369</v>
      </c>
      <c r="M1951">
        <v>21.986467434892202</v>
      </c>
      <c r="N1951">
        <v>57.041826881245697</v>
      </c>
      <c r="O1951">
        <v>53.307514425303701</v>
      </c>
      <c r="P1951">
        <v>-6.6031717256346198E-2</v>
      </c>
      <c r="Q1951">
        <v>0.35962284083162899</v>
      </c>
      <c r="R1951">
        <v>0.95651088391049</v>
      </c>
      <c r="S1951" t="s">
        <v>8519</v>
      </c>
      <c r="T1951" t="s">
        <v>13134</v>
      </c>
      <c r="U1951" t="s">
        <v>13134</v>
      </c>
      <c r="V1951" t="s">
        <v>13134</v>
      </c>
      <c r="W1951" t="s">
        <v>15044</v>
      </c>
      <c r="X1951">
        <v>4</v>
      </c>
      <c r="Y1951" t="s">
        <v>21521</v>
      </c>
      <c r="Z1951" t="s">
        <v>27919</v>
      </c>
      <c r="AA1951">
        <v>0.72394861568460578</v>
      </c>
      <c r="AB1951" t="str">
        <f>HYPERLINK("Melting_Curves/meltCurve_O95716_RAB3D.pdf", "Melting_Curves/meltCurve_O95716_RAB3D.pdf")</f>
        <v>Melting_Curves/meltCurve_O95716_RAB3D.pdf</v>
      </c>
    </row>
    <row r="1952" spans="1:28" x14ac:dyDescent="0.25">
      <c r="A1952" t="s">
        <v>1956</v>
      </c>
      <c r="B1952">
        <v>0.99472303558308395</v>
      </c>
      <c r="C1952">
        <v>1.00885177116005</v>
      </c>
      <c r="D1952">
        <v>0.97901456064213099</v>
      </c>
      <c r="E1952">
        <v>0.83338118603692202</v>
      </c>
      <c r="F1952">
        <v>0.54765223385027395</v>
      </c>
      <c r="G1952">
        <v>0.41462544721588301</v>
      </c>
      <c r="H1952">
        <v>0.384658691464495</v>
      </c>
      <c r="I1952">
        <v>0.42471893132279098</v>
      </c>
      <c r="J1952">
        <v>0.67104152133158201</v>
      </c>
      <c r="K1952">
        <v>0.50480056247942295</v>
      </c>
      <c r="L1952">
        <v>1904.14981471386</v>
      </c>
      <c r="M1952">
        <v>40.101474877173999</v>
      </c>
      <c r="N1952">
        <v>51.722507248908599</v>
      </c>
      <c r="O1952">
        <v>47.365669991424497</v>
      </c>
      <c r="P1952">
        <v>-0.109785108008603</v>
      </c>
      <c r="Q1952">
        <v>0.48131244022360498</v>
      </c>
      <c r="R1952">
        <v>0.90739174748205298</v>
      </c>
      <c r="S1952" t="s">
        <v>8520</v>
      </c>
      <c r="T1952" t="s">
        <v>13134</v>
      </c>
      <c r="U1952" t="s">
        <v>13134</v>
      </c>
      <c r="V1952" t="s">
        <v>13134</v>
      </c>
      <c r="W1952" t="s">
        <v>15045</v>
      </c>
      <c r="X1952">
        <v>23</v>
      </c>
      <c r="Y1952" t="s">
        <v>21522</v>
      </c>
      <c r="Z1952" t="s">
        <v>27920</v>
      </c>
      <c r="AA1952">
        <v>0.6642581152215391</v>
      </c>
      <c r="AB1952" t="str">
        <f>HYPERLINK("Melting_Curves/meltCurve_O95721_SNAP29.pdf", "Melting_Curves/meltCurve_O95721_SNAP29.pdf")</f>
        <v>Melting_Curves/meltCurve_O95721_SNAP29.pdf</v>
      </c>
    </row>
    <row r="1953" spans="1:28" x14ac:dyDescent="0.25">
      <c r="A1953" t="s">
        <v>1957</v>
      </c>
      <c r="B1953">
        <v>0.99472303558308395</v>
      </c>
      <c r="C1953">
        <v>0.87330234136791196</v>
      </c>
      <c r="D1953">
        <v>0.98236015113858599</v>
      </c>
      <c r="E1953">
        <v>0.75657137258825702</v>
      </c>
      <c r="F1953">
        <v>0.17514014510327</v>
      </c>
      <c r="G1953">
        <v>7.9716533526266606E-2</v>
      </c>
      <c r="H1953">
        <v>4.7805965215486197E-2</v>
      </c>
      <c r="I1953">
        <v>3.5209118399582497E-2</v>
      </c>
      <c r="J1953">
        <v>3.9331770635793899E-2</v>
      </c>
      <c r="K1953">
        <v>3.22253231811261E-2</v>
      </c>
      <c r="L1953">
        <v>1837.57306601957</v>
      </c>
      <c r="M1953">
        <v>38.375140207056702</v>
      </c>
      <c r="N1953">
        <v>47.995851975947097</v>
      </c>
      <c r="O1953">
        <v>47.754970197172597</v>
      </c>
      <c r="P1953">
        <v>-0.19233739432712901</v>
      </c>
      <c r="Q1953">
        <v>4.2604414820460401E-2</v>
      </c>
      <c r="R1953">
        <v>0.99023804429798901</v>
      </c>
      <c r="S1953" t="s">
        <v>8521</v>
      </c>
      <c r="T1953" t="s">
        <v>13134</v>
      </c>
      <c r="U1953" t="s">
        <v>13134</v>
      </c>
      <c r="V1953" t="s">
        <v>13134</v>
      </c>
      <c r="W1953" t="s">
        <v>15046</v>
      </c>
      <c r="X1953">
        <v>15</v>
      </c>
      <c r="Y1953" t="s">
        <v>21523</v>
      </c>
      <c r="Z1953" t="s">
        <v>27921</v>
      </c>
      <c r="AA1953">
        <v>0.39340776138339728</v>
      </c>
      <c r="AB1953" t="str">
        <f>HYPERLINK("Melting_Curves/meltCurve_O95747_OXSR1.pdf", "Melting_Curves/meltCurve_O95747_OXSR1.pdf")</f>
        <v>Melting_Curves/meltCurve_O95747_OXSR1.pdf</v>
      </c>
    </row>
    <row r="1954" spans="1:28" x14ac:dyDescent="0.25">
      <c r="A1954" t="s">
        <v>1958</v>
      </c>
      <c r="B1954">
        <v>0.99472303558308395</v>
      </c>
      <c r="C1954">
        <v>0.98831099187034299</v>
      </c>
      <c r="D1954">
        <v>0.91342366773428296</v>
      </c>
      <c r="E1954">
        <v>0.81309928997845304</v>
      </c>
      <c r="F1954">
        <v>0.78947499771261198</v>
      </c>
      <c r="G1954">
        <v>0.53628483999467103</v>
      </c>
      <c r="H1954">
        <v>0.40006641277000499</v>
      </c>
      <c r="I1954">
        <v>0.29543393913735699</v>
      </c>
      <c r="J1954">
        <v>0.21148201950794199</v>
      </c>
      <c r="K1954">
        <v>0.117571567975708</v>
      </c>
      <c r="L1954">
        <v>542.52533462583494</v>
      </c>
      <c r="M1954">
        <v>9.8401614396708492</v>
      </c>
      <c r="N1954">
        <v>55.1337820838855</v>
      </c>
      <c r="O1954">
        <v>53.001548683206799</v>
      </c>
      <c r="P1954">
        <v>-4.6438508076931902E-2</v>
      </c>
      <c r="Q1954">
        <v>0</v>
      </c>
      <c r="R1954">
        <v>0.99093030618005495</v>
      </c>
      <c r="S1954" t="s">
        <v>8522</v>
      </c>
      <c r="T1954" t="s">
        <v>13134</v>
      </c>
      <c r="U1954" t="s">
        <v>13134</v>
      </c>
      <c r="V1954" t="s">
        <v>13134</v>
      </c>
      <c r="W1954" t="s">
        <v>15047</v>
      </c>
      <c r="X1954">
        <v>9</v>
      </c>
      <c r="Y1954" t="s">
        <v>21524</v>
      </c>
      <c r="Z1954" t="s">
        <v>27922</v>
      </c>
      <c r="AA1954">
        <v>0.61555113576274434</v>
      </c>
      <c r="AB1954" t="str">
        <f>HYPERLINK("Melting_Curves/meltCurve_O95749_GGPS1.pdf", "Melting_Curves/meltCurve_O95749_GGPS1.pdf")</f>
        <v>Melting_Curves/meltCurve_O95749_GGPS1.pdf</v>
      </c>
    </row>
    <row r="1955" spans="1:28" x14ac:dyDescent="0.25">
      <c r="A1955" t="s">
        <v>1959</v>
      </c>
      <c r="B1955">
        <v>0.99472303558308395</v>
      </c>
      <c r="C1955">
        <v>0.92237031807571701</v>
      </c>
      <c r="D1955">
        <v>0.730919630044499</v>
      </c>
      <c r="E1955">
        <v>0.414538020690987</v>
      </c>
      <c r="F1955">
        <v>0.23662648476480799</v>
      </c>
      <c r="G1955">
        <v>0.14843760573259801</v>
      </c>
      <c r="H1955">
        <v>0.122974544939274</v>
      </c>
      <c r="I1955">
        <v>5.7356006973734601E-2</v>
      </c>
      <c r="J1955">
        <v>8.8353658870044302E-2</v>
      </c>
      <c r="K1955">
        <v>0.121266468316895</v>
      </c>
      <c r="L1955">
        <v>790.33717410055795</v>
      </c>
      <c r="M1955">
        <v>17.5062294033808</v>
      </c>
      <c r="N1955">
        <v>45.667875848678598</v>
      </c>
      <c r="O1955">
        <v>44.569315775564398</v>
      </c>
      <c r="P1955">
        <v>-8.9300527893984599E-2</v>
      </c>
      <c r="Q1955">
        <v>9.0645001379863602E-2</v>
      </c>
      <c r="R1955">
        <v>0.99724654233455701</v>
      </c>
      <c r="S1955" t="s">
        <v>8523</v>
      </c>
      <c r="T1955" t="s">
        <v>13134</v>
      </c>
      <c r="U1955" t="s">
        <v>13134</v>
      </c>
      <c r="V1955" t="s">
        <v>13134</v>
      </c>
      <c r="W1955" t="s">
        <v>15048</v>
      </c>
      <c r="X1955">
        <v>7</v>
      </c>
      <c r="Y1955" t="s">
        <v>21525</v>
      </c>
      <c r="Z1955" t="s">
        <v>27923</v>
      </c>
      <c r="AA1955">
        <v>0.35330852933828472</v>
      </c>
      <c r="AB1955" t="str">
        <f>HYPERLINK("Melting_Curves/meltCurve_O95758_1_PTBP3.pdf", "Melting_Curves/meltCurve_O95758_1_PTBP3.pdf")</f>
        <v>Melting_Curves/meltCurve_O95758_1_PTBP3.pdf</v>
      </c>
    </row>
    <row r="1956" spans="1:28" x14ac:dyDescent="0.25">
      <c r="A1956" t="s">
        <v>1960</v>
      </c>
      <c r="B1956">
        <v>0.99472303558308395</v>
      </c>
      <c r="C1956">
        <v>1.0368655212103199</v>
      </c>
      <c r="D1956">
        <v>1.00319450134818</v>
      </c>
      <c r="E1956">
        <v>0.91012734965039899</v>
      </c>
      <c r="F1956">
        <v>0.74885706668547902</v>
      </c>
      <c r="G1956">
        <v>0.60339171232128397</v>
      </c>
      <c r="H1956">
        <v>0.48975628889039502</v>
      </c>
      <c r="I1956">
        <v>0.48716028400054301</v>
      </c>
      <c r="J1956">
        <v>0.64761046041607095</v>
      </c>
      <c r="K1956">
        <v>0.47476724031933099</v>
      </c>
      <c r="L1956">
        <v>1225.6549930066401</v>
      </c>
      <c r="M1956">
        <v>24.5880778628676</v>
      </c>
      <c r="O1956">
        <v>49.521320860866901</v>
      </c>
      <c r="P1956">
        <v>-5.9302645688646502E-2</v>
      </c>
      <c r="Q1956">
        <v>0.52225576428210696</v>
      </c>
      <c r="R1956">
        <v>0.94971251754110897</v>
      </c>
      <c r="S1956" t="s">
        <v>8524</v>
      </c>
      <c r="T1956" t="s">
        <v>13134</v>
      </c>
      <c r="U1956" t="s">
        <v>13134</v>
      </c>
      <c r="V1956" t="s">
        <v>13134</v>
      </c>
      <c r="W1956" t="s">
        <v>15049</v>
      </c>
      <c r="X1956">
        <v>7</v>
      </c>
      <c r="Y1956" t="s">
        <v>21526</v>
      </c>
      <c r="Z1956" t="s">
        <v>27924</v>
      </c>
      <c r="AA1956">
        <v>0.73115569236333144</v>
      </c>
      <c r="AB1956" t="str">
        <f>HYPERLINK("Melting_Curves/meltCurve_O95777_NAA38.pdf", "Melting_Curves/meltCurve_O95777_NAA38.pdf")</f>
        <v>Melting_Curves/meltCurve_O95777_NAA38.pdf</v>
      </c>
    </row>
    <row r="1957" spans="1:28" x14ac:dyDescent="0.25">
      <c r="A1957" t="s">
        <v>1961</v>
      </c>
      <c r="B1957">
        <v>0.99472303558308395</v>
      </c>
      <c r="C1957">
        <v>0.91578012453256197</v>
      </c>
      <c r="D1957">
        <v>0.83415991669381995</v>
      </c>
      <c r="E1957">
        <v>0.67845797651790396</v>
      </c>
      <c r="F1957">
        <v>0.75763455613692998</v>
      </c>
      <c r="G1957">
        <v>0.31445990261500001</v>
      </c>
      <c r="H1957">
        <v>0.121734842619352</v>
      </c>
      <c r="I1957">
        <v>6.88798761370263E-2</v>
      </c>
      <c r="J1957">
        <v>4.8413479524332399E-2</v>
      </c>
      <c r="K1957">
        <v>4.7962648082559303E-2</v>
      </c>
      <c r="L1957">
        <v>666.63022400281295</v>
      </c>
      <c r="M1957">
        <v>13.0335316213085</v>
      </c>
      <c r="N1957">
        <v>51.147321274394002</v>
      </c>
      <c r="O1957">
        <v>49.988181430285003</v>
      </c>
      <c r="P1957">
        <v>-6.5194466547897206E-2</v>
      </c>
      <c r="Q1957">
        <v>0</v>
      </c>
      <c r="R1957">
        <v>0.95084133842852803</v>
      </c>
      <c r="S1957" t="s">
        <v>8525</v>
      </c>
      <c r="T1957" t="s">
        <v>13134</v>
      </c>
      <c r="U1957" t="s">
        <v>13134</v>
      </c>
      <c r="V1957" t="s">
        <v>13134</v>
      </c>
      <c r="W1957" t="s">
        <v>15050</v>
      </c>
      <c r="X1957">
        <v>25</v>
      </c>
      <c r="Y1957" t="s">
        <v>21527</v>
      </c>
      <c r="Z1957" t="s">
        <v>27925</v>
      </c>
      <c r="AA1957">
        <v>0.49520881273189821</v>
      </c>
      <c r="AB1957" t="str">
        <f>HYPERLINK("Melting_Curves/meltCurve_O95782_2_AP2A1.pdf", "Melting_Curves/meltCurve_O95782_2_AP2A1.pdf")</f>
        <v>Melting_Curves/meltCurve_O95782_2_AP2A1.pdf</v>
      </c>
    </row>
    <row r="1958" spans="1:28" x14ac:dyDescent="0.25">
      <c r="A1958" t="s">
        <v>1962</v>
      </c>
      <c r="B1958">
        <v>0.99472303558308395</v>
      </c>
      <c r="C1958">
        <v>0.99303738205907299</v>
      </c>
      <c r="D1958">
        <v>0.93451048235731504</v>
      </c>
      <c r="E1958">
        <v>0.76448605436026495</v>
      </c>
      <c r="F1958">
        <v>0.210217735644016</v>
      </c>
      <c r="G1958">
        <v>9.8514770320081393E-2</v>
      </c>
      <c r="H1958">
        <v>5.9316008749603001E-2</v>
      </c>
      <c r="I1958">
        <v>4.7196661544696698E-2</v>
      </c>
      <c r="J1958">
        <v>4.9157524048161899E-2</v>
      </c>
      <c r="K1958">
        <v>3.7784919814726099E-2</v>
      </c>
      <c r="L1958">
        <v>1648.53925545625</v>
      </c>
      <c r="M1958">
        <v>34.336779040349903</v>
      </c>
      <c r="N1958">
        <v>48.161647175134298</v>
      </c>
      <c r="O1958">
        <v>47.848921294316902</v>
      </c>
      <c r="P1958">
        <v>-0.17026139818522301</v>
      </c>
      <c r="Q1958">
        <v>5.0954346006763303E-2</v>
      </c>
      <c r="R1958">
        <v>0.99793779674985095</v>
      </c>
      <c r="S1958" t="s">
        <v>8526</v>
      </c>
      <c r="T1958" t="s">
        <v>13134</v>
      </c>
      <c r="U1958" t="s">
        <v>13134</v>
      </c>
      <c r="V1958" t="s">
        <v>13134</v>
      </c>
      <c r="W1958" t="s">
        <v>15051</v>
      </c>
      <c r="X1958">
        <v>23</v>
      </c>
      <c r="Y1958" t="s">
        <v>21528</v>
      </c>
      <c r="Z1958" t="s">
        <v>27926</v>
      </c>
      <c r="AA1958">
        <v>0.40356661325892801</v>
      </c>
      <c r="AB1958" t="str">
        <f>HYPERLINK("Melting_Curves/meltCurve_O95801_TTC4.pdf", "Melting_Curves/meltCurve_O95801_TTC4.pdf")</f>
        <v>Melting_Curves/meltCurve_O95801_TTC4.pdf</v>
      </c>
    </row>
    <row r="1959" spans="1:28" x14ac:dyDescent="0.25">
      <c r="A1959" t="s">
        <v>1963</v>
      </c>
      <c r="B1959">
        <v>0.99472303558308395</v>
      </c>
      <c r="C1959">
        <v>1.05934220432668</v>
      </c>
      <c r="D1959">
        <v>0.88761159018796398</v>
      </c>
      <c r="E1959">
        <v>0.87714345320618903</v>
      </c>
      <c r="F1959">
        <v>0.68841077081441604</v>
      </c>
      <c r="G1959">
        <v>0.52301337806853299</v>
      </c>
      <c r="H1959">
        <v>0.41799602701327798</v>
      </c>
      <c r="I1959">
        <v>0.38297156029447199</v>
      </c>
      <c r="J1959">
        <v>0.41005824796305701</v>
      </c>
      <c r="K1959">
        <v>0.407551034313825</v>
      </c>
      <c r="L1959">
        <v>855.71926543221196</v>
      </c>
      <c r="M1959">
        <v>17.121479587624801</v>
      </c>
      <c r="N1959">
        <v>54.509171025599997</v>
      </c>
      <c r="O1959">
        <v>49.312423552971403</v>
      </c>
      <c r="P1959">
        <v>-5.3864417878463001E-2</v>
      </c>
      <c r="Q1959">
        <v>0.37948695314984698</v>
      </c>
      <c r="R1959">
        <v>0.98085054903696001</v>
      </c>
      <c r="S1959" t="s">
        <v>8527</v>
      </c>
      <c r="T1959" t="s">
        <v>13134</v>
      </c>
      <c r="U1959" t="s">
        <v>13134</v>
      </c>
      <c r="V1959" t="s">
        <v>13134</v>
      </c>
      <c r="W1959" t="s">
        <v>15052</v>
      </c>
      <c r="X1959">
        <v>2</v>
      </c>
      <c r="Y1959" t="s">
        <v>21529</v>
      </c>
      <c r="Z1959" t="s">
        <v>27927</v>
      </c>
      <c r="AA1959">
        <v>0.6585546815822011</v>
      </c>
      <c r="AB1959" t="str">
        <f>HYPERLINK("Melting_Curves/meltCurve_O95807_TMEM50A.pdf", "Melting_Curves/meltCurve_O95807_TMEM50A.pdf")</f>
        <v>Melting_Curves/meltCurve_O95807_TMEM50A.pdf</v>
      </c>
    </row>
    <row r="1960" spans="1:28" x14ac:dyDescent="0.25">
      <c r="A1960" t="s">
        <v>1964</v>
      </c>
      <c r="B1960">
        <v>0.99472303558308395</v>
      </c>
      <c r="C1960">
        <v>0.92247603015629198</v>
      </c>
      <c r="D1960">
        <v>0.84768588352132201</v>
      </c>
      <c r="E1960">
        <v>0.66821772990110995</v>
      </c>
      <c r="F1960">
        <v>0.42522594133455999</v>
      </c>
      <c r="G1960">
        <v>0.25598780845338098</v>
      </c>
      <c r="H1960">
        <v>0.18136285493424201</v>
      </c>
      <c r="I1960">
        <v>0.203550090487641</v>
      </c>
      <c r="J1960">
        <v>0.28266571470732299</v>
      </c>
      <c r="K1960">
        <v>0.23068627510331099</v>
      </c>
      <c r="L1960">
        <v>807.55446313446703</v>
      </c>
      <c r="M1960">
        <v>17.148429993128801</v>
      </c>
      <c r="N1960">
        <v>48.600028170577502</v>
      </c>
      <c r="O1960">
        <v>46.465633375052398</v>
      </c>
      <c r="P1960">
        <v>-7.3233180546514801E-2</v>
      </c>
      <c r="Q1960">
        <v>0.20631273845940301</v>
      </c>
      <c r="R1960">
        <v>0.98571221622663396</v>
      </c>
      <c r="S1960" t="s">
        <v>8528</v>
      </c>
      <c r="T1960" t="s">
        <v>13134</v>
      </c>
      <c r="U1960" t="s">
        <v>13134</v>
      </c>
      <c r="V1960" t="s">
        <v>13134</v>
      </c>
      <c r="W1960" t="s">
        <v>15053</v>
      </c>
      <c r="X1960">
        <v>11</v>
      </c>
      <c r="Y1960" t="s">
        <v>21530</v>
      </c>
      <c r="Z1960" t="s">
        <v>27928</v>
      </c>
      <c r="AA1960">
        <v>0.4872667508935915</v>
      </c>
      <c r="AB1960" t="str">
        <f>HYPERLINK("Melting_Curves/meltCurve_O95810_SDPR.pdf", "Melting_Curves/meltCurve_O95810_SDPR.pdf")</f>
        <v>Melting_Curves/meltCurve_O95810_SDPR.pdf</v>
      </c>
    </row>
    <row r="1961" spans="1:28" x14ac:dyDescent="0.25">
      <c r="A1961" t="s">
        <v>1965</v>
      </c>
      <c r="B1961">
        <v>0.99472303558308395</v>
      </c>
      <c r="C1961">
        <v>1.0064580342370399</v>
      </c>
      <c r="D1961">
        <v>0.87622109861498199</v>
      </c>
      <c r="E1961">
        <v>0.83455986193057896</v>
      </c>
      <c r="F1961">
        <v>0.69973169634468502</v>
      </c>
      <c r="G1961">
        <v>0.44149908761956802</v>
      </c>
      <c r="H1961">
        <v>0.145895471696942</v>
      </c>
      <c r="I1961">
        <v>0.104725322090644</v>
      </c>
      <c r="J1961">
        <v>0.11873919297463</v>
      </c>
      <c r="K1961">
        <v>0.10776984016869801</v>
      </c>
      <c r="L1961">
        <v>817.90112870996995</v>
      </c>
      <c r="M1961">
        <v>15.719121905227601</v>
      </c>
      <c r="N1961">
        <v>52.3561282585095</v>
      </c>
      <c r="O1961">
        <v>51.211965266924302</v>
      </c>
      <c r="P1961">
        <v>-7.3186435416122395E-2</v>
      </c>
      <c r="Q1961">
        <v>4.6331953058449303E-2</v>
      </c>
      <c r="R1961">
        <v>0.98421518547319298</v>
      </c>
      <c r="S1961" t="s">
        <v>8529</v>
      </c>
      <c r="T1961" t="s">
        <v>13134</v>
      </c>
      <c r="U1961" t="s">
        <v>13134</v>
      </c>
      <c r="V1961" t="s">
        <v>13134</v>
      </c>
      <c r="W1961" t="s">
        <v>15054</v>
      </c>
      <c r="X1961">
        <v>10</v>
      </c>
      <c r="Y1961" t="s">
        <v>21531</v>
      </c>
      <c r="Z1961" t="s">
        <v>27929</v>
      </c>
      <c r="AA1961">
        <v>0.54142325917543632</v>
      </c>
      <c r="AB1961" t="str">
        <f>HYPERLINK("Melting_Curves/meltCurve_O95816_BAG2.pdf", "Melting_Curves/meltCurve_O95816_BAG2.pdf")</f>
        <v>Melting_Curves/meltCurve_O95816_BAG2.pdf</v>
      </c>
    </row>
    <row r="1962" spans="1:28" x14ac:dyDescent="0.25">
      <c r="A1962" t="s">
        <v>1966</v>
      </c>
      <c r="B1962">
        <v>0.99472303558308395</v>
      </c>
      <c r="C1962">
        <v>1.01462539256435</v>
      </c>
      <c r="D1962">
        <v>0.96812695653087599</v>
      </c>
      <c r="E1962">
        <v>0.87078027330270003</v>
      </c>
      <c r="F1962">
        <v>0.70705511354543404</v>
      </c>
      <c r="G1962">
        <v>0.56336030960509098</v>
      </c>
      <c r="H1962">
        <v>0.46015198808464203</v>
      </c>
      <c r="I1962">
        <v>0.40025273906629</v>
      </c>
      <c r="J1962">
        <v>0.62743512243998401</v>
      </c>
      <c r="K1962">
        <v>0.56126522550764901</v>
      </c>
      <c r="L1962">
        <v>1170.9121189012899</v>
      </c>
      <c r="M1962">
        <v>23.929994807299199</v>
      </c>
      <c r="O1962">
        <v>48.5928545502193</v>
      </c>
      <c r="P1962">
        <v>-6.0211315768405202E-2</v>
      </c>
      <c r="Q1962">
        <v>0.51094117726148103</v>
      </c>
      <c r="R1962">
        <v>0.92763722361346301</v>
      </c>
      <c r="S1962" t="s">
        <v>8530</v>
      </c>
      <c r="T1962" t="s">
        <v>13134</v>
      </c>
      <c r="U1962" t="s">
        <v>13134</v>
      </c>
      <c r="V1962" t="s">
        <v>13134</v>
      </c>
      <c r="W1962" t="s">
        <v>15055</v>
      </c>
      <c r="X1962">
        <v>22</v>
      </c>
      <c r="Y1962" t="s">
        <v>21532</v>
      </c>
      <c r="Z1962" t="s">
        <v>27930</v>
      </c>
      <c r="AA1962">
        <v>0.71003125110183041</v>
      </c>
      <c r="AB1962" t="str">
        <f>HYPERLINK("Melting_Curves/meltCurve_O95817_BAG3.pdf", "Melting_Curves/meltCurve_O95817_BAG3.pdf")</f>
        <v>Melting_Curves/meltCurve_O95817_BAG3.pdf</v>
      </c>
    </row>
    <row r="1963" spans="1:28" x14ac:dyDescent="0.25">
      <c r="A1963" t="s">
        <v>1967</v>
      </c>
      <c r="B1963">
        <v>0.99472303558308395</v>
      </c>
      <c r="C1963">
        <v>0.95998199336795198</v>
      </c>
      <c r="D1963">
        <v>0.98529746081597003</v>
      </c>
      <c r="E1963">
        <v>0.89114579181187303</v>
      </c>
      <c r="F1963">
        <v>0.67788508537060999</v>
      </c>
      <c r="G1963">
        <v>0.68466010994592197</v>
      </c>
      <c r="H1963">
        <v>0.46531787986457002</v>
      </c>
      <c r="I1963">
        <v>0.17554307059037899</v>
      </c>
      <c r="J1963">
        <v>6.6201091993478803E-2</v>
      </c>
      <c r="K1963">
        <v>8.3540740877061606E-2</v>
      </c>
      <c r="L1963">
        <v>720.07328018106296</v>
      </c>
      <c r="M1963">
        <v>13.0108937537487</v>
      </c>
      <c r="N1963">
        <v>55.343875314947198</v>
      </c>
      <c r="O1963">
        <v>54.085413056351001</v>
      </c>
      <c r="P1963">
        <v>-6.0151070175395498E-2</v>
      </c>
      <c r="Q1963">
        <v>0</v>
      </c>
      <c r="R1963">
        <v>0.96950577569355101</v>
      </c>
      <c r="S1963" t="s">
        <v>8531</v>
      </c>
      <c r="T1963" t="s">
        <v>13134</v>
      </c>
      <c r="U1963" t="s">
        <v>13134</v>
      </c>
      <c r="V1963" t="s">
        <v>13134</v>
      </c>
      <c r="W1963" t="s">
        <v>15056</v>
      </c>
      <c r="X1963">
        <v>11</v>
      </c>
      <c r="Y1963" t="s">
        <v>21533</v>
      </c>
      <c r="Z1963" t="s">
        <v>27931</v>
      </c>
      <c r="AA1963">
        <v>0.62470536683336131</v>
      </c>
      <c r="AB1963" t="str">
        <f>HYPERLINK("Melting_Curves/meltCurve_O95825_CRYZL1.pdf", "Melting_Curves/meltCurve_O95825_CRYZL1.pdf")</f>
        <v>Melting_Curves/meltCurve_O95825_CRYZL1.pdf</v>
      </c>
    </row>
    <row r="1964" spans="1:28" x14ac:dyDescent="0.25">
      <c r="A1964" t="s">
        <v>1968</v>
      </c>
      <c r="B1964">
        <v>0.99472303558308395</v>
      </c>
      <c r="C1964">
        <v>0.872862382038881</v>
      </c>
      <c r="D1964">
        <v>0.81775682388687698</v>
      </c>
      <c r="E1964">
        <v>0.76089498301844805</v>
      </c>
      <c r="F1964">
        <v>0.76367842713657297</v>
      </c>
      <c r="G1964">
        <v>0.58552947630983398</v>
      </c>
      <c r="H1964">
        <v>0.43234400030430398</v>
      </c>
      <c r="I1964">
        <v>0.33082812220577301</v>
      </c>
      <c r="J1964">
        <v>0.23362165289518499</v>
      </c>
      <c r="K1964">
        <v>0.1326070833453</v>
      </c>
      <c r="L1964">
        <v>421.35883642730198</v>
      </c>
      <c r="M1964">
        <v>7.6490421055973403</v>
      </c>
      <c r="N1964">
        <v>55.086487586417803</v>
      </c>
      <c r="O1964">
        <v>51.700094369763598</v>
      </c>
      <c r="P1964">
        <v>-3.7037004352419599E-2</v>
      </c>
      <c r="Q1964">
        <v>0</v>
      </c>
      <c r="R1964">
        <v>0.96380234082038296</v>
      </c>
      <c r="S1964" t="s">
        <v>8532</v>
      </c>
      <c r="T1964" t="s">
        <v>13134</v>
      </c>
      <c r="U1964" t="s">
        <v>13134</v>
      </c>
      <c r="V1964" t="s">
        <v>13134</v>
      </c>
      <c r="W1964" t="s">
        <v>15057</v>
      </c>
      <c r="X1964">
        <v>29</v>
      </c>
      <c r="Y1964" t="s">
        <v>21534</v>
      </c>
      <c r="Z1964" t="s">
        <v>27932</v>
      </c>
      <c r="AA1964">
        <v>0.60743506627144128</v>
      </c>
      <c r="AB1964" t="str">
        <f>HYPERLINK("Melting_Curves/meltCurve_O95831_3_AIFM1.pdf", "Melting_Curves/meltCurve_O95831_3_AIFM1.pdf")</f>
        <v>Melting_Curves/meltCurve_O95831_3_AIFM1.pdf</v>
      </c>
    </row>
    <row r="1965" spans="1:28" x14ac:dyDescent="0.25">
      <c r="A1965" t="s">
        <v>1969</v>
      </c>
      <c r="B1965">
        <v>0.99472303558308395</v>
      </c>
      <c r="C1965">
        <v>0.98864412859307904</v>
      </c>
      <c r="D1965">
        <v>1.0364946437653899</v>
      </c>
      <c r="E1965">
        <v>0.85460664893486804</v>
      </c>
      <c r="F1965">
        <v>0.55255175990331495</v>
      </c>
      <c r="G1965">
        <v>0.26946776642665898</v>
      </c>
      <c r="H1965">
        <v>9.2151748501711206E-2</v>
      </c>
      <c r="I1965">
        <v>6.8245582793531906E-2</v>
      </c>
      <c r="J1965">
        <v>8.09226076848336E-2</v>
      </c>
      <c r="K1965">
        <v>6.0877309493997701E-2</v>
      </c>
      <c r="L1965">
        <v>1114.7742370257699</v>
      </c>
      <c r="M1965">
        <v>22.082531321473802</v>
      </c>
      <c r="N1965">
        <v>50.753564360959601</v>
      </c>
      <c r="O1965">
        <v>50.073654643496198</v>
      </c>
      <c r="P1965">
        <v>-0.104113016247858</v>
      </c>
      <c r="Q1965">
        <v>5.5687148684086897E-2</v>
      </c>
      <c r="R1965">
        <v>0.99703049678018596</v>
      </c>
      <c r="S1965" t="s">
        <v>8533</v>
      </c>
      <c r="T1965" t="s">
        <v>13134</v>
      </c>
      <c r="U1965" t="s">
        <v>13134</v>
      </c>
      <c r="V1965" t="s">
        <v>13134</v>
      </c>
      <c r="W1965" t="s">
        <v>15058</v>
      </c>
      <c r="X1965">
        <v>13</v>
      </c>
      <c r="Y1965" t="s">
        <v>21535</v>
      </c>
      <c r="Z1965" t="s">
        <v>27933</v>
      </c>
      <c r="AA1965">
        <v>0.49049651498417018</v>
      </c>
      <c r="AB1965" t="str">
        <f>HYPERLINK("Melting_Curves/meltCurve_O95834_EML2.pdf", "Melting_Curves/meltCurve_O95834_EML2.pdf")</f>
        <v>Melting_Curves/meltCurve_O95834_EML2.pdf</v>
      </c>
    </row>
    <row r="1966" spans="1:28" x14ac:dyDescent="0.25">
      <c r="A1966" t="s">
        <v>1970</v>
      </c>
      <c r="B1966">
        <v>0.99472303558308395</v>
      </c>
      <c r="C1966">
        <v>0.87327239436862603</v>
      </c>
      <c r="D1966">
        <v>0.50980289735833895</v>
      </c>
      <c r="E1966">
        <v>0.278446044543397</v>
      </c>
      <c r="F1966">
        <v>0.16528898283771201</v>
      </c>
      <c r="G1966">
        <v>0.11509821967099799</v>
      </c>
      <c r="H1966">
        <v>7.8503433198939307E-2</v>
      </c>
      <c r="I1966">
        <v>9.0800352370159307E-2</v>
      </c>
      <c r="J1966">
        <v>0.10358963498673</v>
      </c>
      <c r="K1966">
        <v>6.4351679894555494E-2</v>
      </c>
      <c r="L1966">
        <v>865.089826800992</v>
      </c>
      <c r="M1966">
        <v>20.099823787597298</v>
      </c>
      <c r="N1966">
        <v>43.476391402584603</v>
      </c>
      <c r="O1966">
        <v>42.620436038294898</v>
      </c>
      <c r="P1966">
        <v>-0.107125537006802</v>
      </c>
      <c r="Q1966">
        <v>9.1416535964848403E-2</v>
      </c>
      <c r="R1966">
        <v>0.99467923110962597</v>
      </c>
      <c r="S1966" t="s">
        <v>8534</v>
      </c>
      <c r="T1966" t="s">
        <v>13134</v>
      </c>
      <c r="U1966" t="s">
        <v>13134</v>
      </c>
      <c r="V1966" t="s">
        <v>13134</v>
      </c>
      <c r="W1966" t="s">
        <v>15059</v>
      </c>
      <c r="X1966">
        <v>5</v>
      </c>
      <c r="Y1966" t="s">
        <v>21536</v>
      </c>
      <c r="Z1966" t="s">
        <v>27934</v>
      </c>
      <c r="AA1966">
        <v>0.28683489375615501</v>
      </c>
      <c r="AB1966" t="str">
        <f>HYPERLINK("Melting_Curves/meltCurve_O95835_LATS1.pdf", "Melting_Curves/meltCurve_O95835_LATS1.pdf")</f>
        <v>Melting_Curves/meltCurve_O95835_LATS1.pdf</v>
      </c>
    </row>
    <row r="1967" spans="1:28" x14ac:dyDescent="0.25">
      <c r="A1967" t="s">
        <v>1971</v>
      </c>
      <c r="B1967">
        <v>0.99472303558308395</v>
      </c>
      <c r="C1967">
        <v>0.89353102993110001</v>
      </c>
      <c r="D1967">
        <v>0.77363430083592599</v>
      </c>
      <c r="E1967">
        <v>0.85486825883829498</v>
      </c>
      <c r="F1967">
        <v>0.784809555062569</v>
      </c>
      <c r="G1967">
        <v>0.54182222466457197</v>
      </c>
      <c r="H1967">
        <v>0.39143871659436003</v>
      </c>
      <c r="I1967">
        <v>0.26223288743168299</v>
      </c>
      <c r="J1967">
        <v>0.1169223504877</v>
      </c>
      <c r="K1967">
        <v>9.5211922422011194E-2</v>
      </c>
      <c r="L1967">
        <v>556.87206191871701</v>
      </c>
      <c r="M1967">
        <v>10.213168108438101</v>
      </c>
      <c r="N1967">
        <v>54.5249085469354</v>
      </c>
      <c r="O1967">
        <v>52.558517774250497</v>
      </c>
      <c r="P1967">
        <v>-4.8601781747969398E-2</v>
      </c>
      <c r="Q1967">
        <v>0</v>
      </c>
      <c r="R1967">
        <v>0.95463535595422899</v>
      </c>
      <c r="S1967" t="s">
        <v>8535</v>
      </c>
      <c r="T1967" t="s">
        <v>13134</v>
      </c>
      <c r="U1967" t="s">
        <v>13134</v>
      </c>
      <c r="V1967" t="s">
        <v>13134</v>
      </c>
      <c r="W1967" t="s">
        <v>15060</v>
      </c>
      <c r="X1967">
        <v>1</v>
      </c>
      <c r="Y1967" t="s">
        <v>21537</v>
      </c>
      <c r="Z1967" t="s">
        <v>27935</v>
      </c>
      <c r="AA1967">
        <v>0.59923209684832346</v>
      </c>
      <c r="AB1967" t="str">
        <f>HYPERLINK("Melting_Curves/meltCurve_O95848_NUDT14.pdf", "Melting_Curves/meltCurve_O95848_NUDT14.pdf")</f>
        <v>Melting_Curves/meltCurve_O95848_NUDT14.pdf</v>
      </c>
    </row>
    <row r="1968" spans="1:28" x14ac:dyDescent="0.25">
      <c r="A1968" t="s">
        <v>1972</v>
      </c>
      <c r="B1968">
        <v>0.99472303558308395</v>
      </c>
      <c r="C1968">
        <v>1.0324795442131101</v>
      </c>
      <c r="D1968">
        <v>1.14913884574953</v>
      </c>
      <c r="E1968">
        <v>0.94411261341005903</v>
      </c>
      <c r="F1968">
        <v>0.64744545363899897</v>
      </c>
      <c r="G1968">
        <v>0.73808975669701304</v>
      </c>
      <c r="H1968">
        <v>0.35136270954278598</v>
      </c>
      <c r="I1968">
        <v>0.70359775010677195</v>
      </c>
      <c r="J1968">
        <v>0.70324150977479205</v>
      </c>
      <c r="K1968">
        <v>0.51639028333708903</v>
      </c>
      <c r="L1968">
        <v>2373.99155705763</v>
      </c>
      <c r="M1968">
        <v>49.1092742353784</v>
      </c>
      <c r="O1968">
        <v>48.261051849098898</v>
      </c>
      <c r="P1968">
        <v>-0.101671238098398</v>
      </c>
      <c r="Q1968">
        <v>0.60033977474996902</v>
      </c>
      <c r="R1968">
        <v>0.76264821025269602</v>
      </c>
      <c r="S1968" t="s">
        <v>8536</v>
      </c>
      <c r="T1968" t="s">
        <v>13134</v>
      </c>
      <c r="U1968" t="s">
        <v>13134</v>
      </c>
      <c r="V1968" t="s">
        <v>13134</v>
      </c>
      <c r="W1968" t="s">
        <v>15061</v>
      </c>
      <c r="X1968">
        <v>3</v>
      </c>
      <c r="Y1968" t="s">
        <v>21538</v>
      </c>
      <c r="Z1968" t="s">
        <v>27936</v>
      </c>
      <c r="AA1968">
        <v>0.75230825872859686</v>
      </c>
      <c r="AB1968" t="str">
        <f>HYPERLINK("Melting_Curves/meltCurve_O95857_TSPAN13.pdf", "Melting_Curves/meltCurve_O95857_TSPAN13.pdf")</f>
        <v>Melting_Curves/meltCurve_O95857_TSPAN13.pdf</v>
      </c>
    </row>
    <row r="1969" spans="1:28" x14ac:dyDescent="0.25">
      <c r="A1969" t="s">
        <v>1973</v>
      </c>
      <c r="B1969">
        <v>0.99472303558308395</v>
      </c>
      <c r="C1969">
        <v>1.0005832581362399</v>
      </c>
      <c r="D1969">
        <v>1.0375820574911501</v>
      </c>
      <c r="E1969">
        <v>0.96661670963170698</v>
      </c>
      <c r="F1969">
        <v>0.76319086871038899</v>
      </c>
      <c r="G1969">
        <v>0.70621622983007504</v>
      </c>
      <c r="H1969">
        <v>0.379429223992512</v>
      </c>
      <c r="I1969">
        <v>7.3720634272826699E-2</v>
      </c>
      <c r="J1969">
        <v>4.1069268671202801E-2</v>
      </c>
      <c r="K1969">
        <v>4.7810917795987402E-2</v>
      </c>
      <c r="L1969">
        <v>1052.4950992752499</v>
      </c>
      <c r="M1969">
        <v>18.9884955792486</v>
      </c>
      <c r="N1969">
        <v>55.428042925126597</v>
      </c>
      <c r="O1969">
        <v>54.824267391186403</v>
      </c>
      <c r="P1969">
        <v>-8.6591464086517606E-2</v>
      </c>
      <c r="Q1969">
        <v>0</v>
      </c>
      <c r="R1969">
        <v>0.98291802445496201</v>
      </c>
      <c r="S1969" t="s">
        <v>8537</v>
      </c>
      <c r="T1969" t="s">
        <v>13134</v>
      </c>
      <c r="U1969" t="s">
        <v>13134</v>
      </c>
      <c r="V1969" t="s">
        <v>13134</v>
      </c>
      <c r="W1969" t="s">
        <v>15062</v>
      </c>
      <c r="X1969">
        <v>11</v>
      </c>
      <c r="Y1969" t="s">
        <v>21539</v>
      </c>
      <c r="Z1969" t="s">
        <v>27937</v>
      </c>
      <c r="AA1969">
        <v>0.62573383156491957</v>
      </c>
      <c r="AB1969" t="str">
        <f>HYPERLINK("Melting_Curves/meltCurve_O95865_DDAH2.pdf", "Melting_Curves/meltCurve_O95865_DDAH2.pdf")</f>
        <v>Melting_Curves/meltCurve_O95865_DDAH2.pdf</v>
      </c>
    </row>
    <row r="1970" spans="1:28" x14ac:dyDescent="0.25">
      <c r="A1970" t="s">
        <v>1974</v>
      </c>
      <c r="B1970">
        <v>0.99472303558308395</v>
      </c>
      <c r="C1970">
        <v>1.0994307371952701</v>
      </c>
      <c r="D1970">
        <v>0.81221793466371095</v>
      </c>
      <c r="E1970">
        <v>0.79678445613209403</v>
      </c>
      <c r="F1970">
        <v>0.73388436552814096</v>
      </c>
      <c r="G1970">
        <v>0.44796243784011203</v>
      </c>
      <c r="H1970">
        <v>0.29432148165320399</v>
      </c>
      <c r="I1970">
        <v>0.36520239244987301</v>
      </c>
      <c r="J1970">
        <v>0.48110994178440603</v>
      </c>
      <c r="K1970">
        <v>0.48181865704619797</v>
      </c>
      <c r="L1970">
        <v>824.33499108797196</v>
      </c>
      <c r="M1970">
        <v>16.9209205901806</v>
      </c>
      <c r="N1970">
        <v>53.587025126307999</v>
      </c>
      <c r="O1970">
        <v>48.051745708619002</v>
      </c>
      <c r="P1970">
        <v>-5.3477980968640301E-2</v>
      </c>
      <c r="Q1970">
        <v>0.39257474929151898</v>
      </c>
      <c r="R1970">
        <v>0.88255445557816803</v>
      </c>
      <c r="S1970" t="s">
        <v>8538</v>
      </c>
      <c r="T1970" t="s">
        <v>13134</v>
      </c>
      <c r="U1970" t="s">
        <v>13134</v>
      </c>
      <c r="V1970" t="s">
        <v>13134</v>
      </c>
      <c r="W1970" t="s">
        <v>15063</v>
      </c>
      <c r="X1970">
        <v>1</v>
      </c>
      <c r="Y1970" t="s">
        <v>21540</v>
      </c>
      <c r="Z1970" t="s">
        <v>27938</v>
      </c>
      <c r="AA1970">
        <v>0.64058719937731678</v>
      </c>
      <c r="AB1970" t="str">
        <f>HYPERLINK("Melting_Curves/meltCurve_O95873_C6orf47.pdf", "Melting_Curves/meltCurve_O95873_C6orf47.pdf")</f>
        <v>Melting_Curves/meltCurve_O95873_C6orf47.pdf</v>
      </c>
    </row>
    <row r="1971" spans="1:28" x14ac:dyDescent="0.25">
      <c r="A1971" t="s">
        <v>1975</v>
      </c>
      <c r="B1971">
        <v>0.99472303558308395</v>
      </c>
      <c r="C1971">
        <v>0.97668354961389203</v>
      </c>
      <c r="D1971">
        <v>1.01397934343166</v>
      </c>
      <c r="E1971">
        <v>0.83945711179743199</v>
      </c>
      <c r="F1971">
        <v>0.508671746726579</v>
      </c>
      <c r="G1971">
        <v>0.236830483063772</v>
      </c>
      <c r="H1971">
        <v>0.14349738795418801</v>
      </c>
      <c r="I1971">
        <v>0.13254284752666801</v>
      </c>
      <c r="J1971">
        <v>0.15385609709421899</v>
      </c>
      <c r="K1971">
        <v>0.114334386212963</v>
      </c>
      <c r="L1971">
        <v>1224.9252903584099</v>
      </c>
      <c r="M1971">
        <v>24.683533999943499</v>
      </c>
      <c r="N1971">
        <v>50.214227500980101</v>
      </c>
      <c r="O1971">
        <v>49.302922306496697</v>
      </c>
      <c r="P1971">
        <v>-0.10943147206076</v>
      </c>
      <c r="Q1971">
        <v>0.12569811879030099</v>
      </c>
      <c r="R1971">
        <v>0.99810686114837299</v>
      </c>
      <c r="S1971" t="s">
        <v>8539</v>
      </c>
      <c r="T1971" t="s">
        <v>13134</v>
      </c>
      <c r="U1971" t="s">
        <v>13134</v>
      </c>
      <c r="V1971" t="s">
        <v>13134</v>
      </c>
      <c r="W1971" t="s">
        <v>15064</v>
      </c>
      <c r="X1971">
        <v>7</v>
      </c>
      <c r="Y1971" t="s">
        <v>21541</v>
      </c>
      <c r="Z1971" t="s">
        <v>27939</v>
      </c>
      <c r="AA1971">
        <v>0.50144175546013703</v>
      </c>
      <c r="AB1971" t="str">
        <f>HYPERLINK("Melting_Curves/meltCurve_O95881_TXNDC12.pdf", "Melting_Curves/meltCurve_O95881_TXNDC12.pdf")</f>
        <v>Melting_Curves/meltCurve_O95881_TXNDC12.pdf</v>
      </c>
    </row>
    <row r="1972" spans="1:28" x14ac:dyDescent="0.25">
      <c r="A1972" t="s">
        <v>1976</v>
      </c>
      <c r="B1972">
        <v>0.99472303558308395</v>
      </c>
      <c r="C1972">
        <v>0.94414904339102201</v>
      </c>
      <c r="D1972">
        <v>0.89058901124495105</v>
      </c>
      <c r="E1972">
        <v>0.552386162706896</v>
      </c>
      <c r="F1972">
        <v>0.25217811066486201</v>
      </c>
      <c r="G1972">
        <v>0.116784772993427</v>
      </c>
      <c r="H1972">
        <v>8.4143161452299803E-2</v>
      </c>
      <c r="I1972">
        <v>8.60730498330705E-2</v>
      </c>
      <c r="J1972">
        <v>0.10309360310089601</v>
      </c>
      <c r="K1972">
        <v>7.6942790790573395E-2</v>
      </c>
      <c r="L1972">
        <v>1023.14244118944</v>
      </c>
      <c r="M1972">
        <v>21.892241822267501</v>
      </c>
      <c r="N1972">
        <v>47.1090525170221</v>
      </c>
      <c r="O1972">
        <v>46.350675193578702</v>
      </c>
      <c r="P1972">
        <v>-0.10867066871743</v>
      </c>
      <c r="Q1972">
        <v>7.9702441712297997E-2</v>
      </c>
      <c r="R1972">
        <v>0.99852111141285804</v>
      </c>
      <c r="S1972" t="s">
        <v>8540</v>
      </c>
      <c r="T1972" t="s">
        <v>13134</v>
      </c>
      <c r="U1972" t="s">
        <v>13134</v>
      </c>
      <c r="V1972" t="s">
        <v>13134</v>
      </c>
      <c r="W1972" t="s">
        <v>15065</v>
      </c>
      <c r="X1972">
        <v>8</v>
      </c>
      <c r="Y1972" t="s">
        <v>21542</v>
      </c>
      <c r="Z1972" t="s">
        <v>27940</v>
      </c>
      <c r="AA1972">
        <v>0.38840875914425432</v>
      </c>
      <c r="AB1972" t="str">
        <f>HYPERLINK("Melting_Curves/meltCurve_O95905_ECD.pdf", "Melting_Curves/meltCurve_O95905_ECD.pdf")</f>
        <v>Melting_Curves/meltCurve_O95905_ECD.pdf</v>
      </c>
    </row>
    <row r="1973" spans="1:28" x14ac:dyDescent="0.25">
      <c r="A1973" t="s">
        <v>1977</v>
      </c>
      <c r="B1973">
        <v>0.99472303558308395</v>
      </c>
      <c r="C1973">
        <v>0.94414923186127797</v>
      </c>
      <c r="D1973">
        <v>0.77750994815222496</v>
      </c>
      <c r="E1973">
        <v>0.68216161364237404</v>
      </c>
      <c r="F1973">
        <v>0.54080448960762895</v>
      </c>
      <c r="G1973">
        <v>0.685344730136622</v>
      </c>
      <c r="H1973">
        <v>0.80037007073250399</v>
      </c>
      <c r="I1973">
        <v>0.90229117961872096</v>
      </c>
      <c r="J1973">
        <v>1.3500269600538399</v>
      </c>
      <c r="K1973">
        <v>0.95360376330057295</v>
      </c>
      <c r="L1973">
        <v>3129.65990651319</v>
      </c>
      <c r="M1973">
        <v>50.3905680653247</v>
      </c>
      <c r="O1973">
        <v>62.010469644268703</v>
      </c>
      <c r="P1973">
        <v>2.5115102032962501E-2</v>
      </c>
      <c r="Q1973">
        <v>1.1236261461144399</v>
      </c>
      <c r="R1973">
        <v>-0.35760446436157101</v>
      </c>
      <c r="S1973" t="s">
        <v>8541</v>
      </c>
      <c r="T1973" t="s">
        <v>13134</v>
      </c>
      <c r="U1973" t="s">
        <v>13134</v>
      </c>
      <c r="V1973" t="s">
        <v>13134</v>
      </c>
      <c r="W1973" t="s">
        <v>15066</v>
      </c>
      <c r="X1973">
        <v>8</v>
      </c>
      <c r="Y1973" t="s">
        <v>21543</v>
      </c>
      <c r="Z1973" t="s">
        <v>27941</v>
      </c>
      <c r="AA1973">
        <v>1.019979816200834</v>
      </c>
      <c r="AB1973" t="str">
        <f>HYPERLINK("Melting_Curves/meltCurve_O95926_SYF2.pdf", "Melting_Curves/meltCurve_O95926_SYF2.pdf")</f>
        <v>Melting_Curves/meltCurve_O95926_SYF2.pdf</v>
      </c>
    </row>
    <row r="1974" spans="1:28" x14ac:dyDescent="0.25">
      <c r="A1974" t="s">
        <v>1978</v>
      </c>
      <c r="B1974">
        <v>0.99472303558308395</v>
      </c>
      <c r="C1974">
        <v>0.83362814056225798</v>
      </c>
      <c r="D1974">
        <v>0.63431801773434104</v>
      </c>
      <c r="E1974">
        <v>0.33060826315135999</v>
      </c>
      <c r="F1974">
        <v>0.19096138590874101</v>
      </c>
      <c r="G1974">
        <v>0.11122619400261199</v>
      </c>
      <c r="H1974">
        <v>7.3144928275743704E-2</v>
      </c>
      <c r="I1974">
        <v>6.1304317088145099E-2</v>
      </c>
      <c r="J1974">
        <v>7.5635320859336302E-2</v>
      </c>
      <c r="K1974">
        <v>5.66414881897713E-2</v>
      </c>
      <c r="L1974">
        <v>706.29575865599895</v>
      </c>
      <c r="M1974">
        <v>16.0041797044723</v>
      </c>
      <c r="N1974">
        <v>44.474791394743299</v>
      </c>
      <c r="O1974">
        <v>43.4601623839852</v>
      </c>
      <c r="P1974">
        <v>-8.6726693552041698E-2</v>
      </c>
      <c r="Q1974">
        <v>5.8030642780257803E-2</v>
      </c>
      <c r="R1974">
        <v>0.99792675484331395</v>
      </c>
      <c r="S1974" t="s">
        <v>8542</v>
      </c>
      <c r="T1974" t="s">
        <v>13134</v>
      </c>
      <c r="U1974" t="s">
        <v>13134</v>
      </c>
      <c r="V1974" t="s">
        <v>13134</v>
      </c>
      <c r="W1974" t="s">
        <v>15067</v>
      </c>
      <c r="X1974">
        <v>11</v>
      </c>
      <c r="Y1974" t="s">
        <v>21544</v>
      </c>
      <c r="Z1974" t="s">
        <v>27942</v>
      </c>
      <c r="AA1974">
        <v>0.30226755667025912</v>
      </c>
      <c r="AB1974" t="str">
        <f>HYPERLINK("Melting_Curves/meltCurve_O95983_2_MBD3.pdf", "Melting_Curves/meltCurve_O95983_2_MBD3.pdf")</f>
        <v>Melting_Curves/meltCurve_O95983_2_MBD3.pdf</v>
      </c>
    </row>
    <row r="1975" spans="1:28" x14ac:dyDescent="0.25">
      <c r="A1975" t="s">
        <v>1979</v>
      </c>
      <c r="B1975">
        <v>0.99472303558308395</v>
      </c>
      <c r="C1975">
        <v>0.88700775275316601</v>
      </c>
      <c r="D1975">
        <v>0.862066656939799</v>
      </c>
      <c r="E1975">
        <v>0.65765203865837396</v>
      </c>
      <c r="F1975">
        <v>0.42403945194336601</v>
      </c>
      <c r="G1975">
        <v>0.16218060953008601</v>
      </c>
      <c r="H1975">
        <v>0.110081791243535</v>
      </c>
      <c r="I1975">
        <v>7.0906013130708795E-2</v>
      </c>
      <c r="J1975">
        <v>0.113036334308976</v>
      </c>
      <c r="K1975">
        <v>8.8568794862005806E-2</v>
      </c>
      <c r="L1975">
        <v>727.78592219441703</v>
      </c>
      <c r="M1975">
        <v>15.116895297304101</v>
      </c>
      <c r="N1975">
        <v>48.515644948126997</v>
      </c>
      <c r="O1975">
        <v>47.324959012217001</v>
      </c>
      <c r="P1975">
        <v>-7.5496880751564299E-2</v>
      </c>
      <c r="Q1975">
        <v>5.4690419197902899E-2</v>
      </c>
      <c r="R1975">
        <v>0.99025705185263202</v>
      </c>
      <c r="S1975" t="s">
        <v>8543</v>
      </c>
      <c r="T1975" t="s">
        <v>13134</v>
      </c>
      <c r="U1975" t="s">
        <v>13134</v>
      </c>
      <c r="V1975" t="s">
        <v>13134</v>
      </c>
      <c r="W1975" t="s">
        <v>15068</v>
      </c>
      <c r="X1975">
        <v>16</v>
      </c>
      <c r="Y1975" t="s">
        <v>21545</v>
      </c>
      <c r="Z1975" t="s">
        <v>27943</v>
      </c>
      <c r="AA1975">
        <v>0.42632376227180341</v>
      </c>
      <c r="AB1975" t="str">
        <f>HYPERLINK("Melting_Curves/meltCurve_O95985_TOP3B.pdf", "Melting_Curves/meltCurve_O95985_TOP3B.pdf")</f>
        <v>Melting_Curves/meltCurve_O95985_TOP3B.pdf</v>
      </c>
    </row>
    <row r="1976" spans="1:28" x14ac:dyDescent="0.25">
      <c r="A1976" t="s">
        <v>1980</v>
      </c>
      <c r="B1976">
        <v>0.99472303558308395</v>
      </c>
      <c r="C1976">
        <v>0.96423069852196697</v>
      </c>
      <c r="D1976">
        <v>0.98427091389136601</v>
      </c>
      <c r="E1976">
        <v>0.872606835403685</v>
      </c>
      <c r="F1976">
        <v>0.66691632463449102</v>
      </c>
      <c r="G1976">
        <v>0.49043656051470402</v>
      </c>
      <c r="H1976">
        <v>0.31496113465053299</v>
      </c>
      <c r="I1976">
        <v>0.13400520952153</v>
      </c>
      <c r="J1976">
        <v>9.5820368633356995E-2</v>
      </c>
      <c r="K1976">
        <v>9.60831762236979E-2</v>
      </c>
      <c r="L1976">
        <v>691.77485026318698</v>
      </c>
      <c r="M1976">
        <v>12.9735793110247</v>
      </c>
      <c r="N1976">
        <v>53.383247439663499</v>
      </c>
      <c r="O1976">
        <v>52.102635691797502</v>
      </c>
      <c r="P1976">
        <v>-6.1799914870167401E-2</v>
      </c>
      <c r="Q1976">
        <v>7.4089653848773904E-3</v>
      </c>
      <c r="R1976">
        <v>0.99635560342624097</v>
      </c>
      <c r="S1976" t="s">
        <v>8544</v>
      </c>
      <c r="T1976" t="s">
        <v>13134</v>
      </c>
      <c r="U1976" t="s">
        <v>13134</v>
      </c>
      <c r="V1976" t="s">
        <v>13134</v>
      </c>
      <c r="W1976" t="s">
        <v>15069</v>
      </c>
      <c r="X1976">
        <v>11</v>
      </c>
      <c r="Y1976" t="s">
        <v>21546</v>
      </c>
      <c r="Z1976" t="s">
        <v>27944</v>
      </c>
      <c r="AA1976">
        <v>0.56663234224403358</v>
      </c>
      <c r="AB1976" t="str">
        <f>HYPERLINK("Melting_Curves/meltCurve_O95989_NUDT3.pdf", "Melting_Curves/meltCurve_O95989_NUDT3.pdf")</f>
        <v>Melting_Curves/meltCurve_O95989_NUDT3.pdf</v>
      </c>
    </row>
    <row r="1977" spans="1:28" x14ac:dyDescent="0.25">
      <c r="A1977" t="s">
        <v>1981</v>
      </c>
      <c r="B1977">
        <v>0.99472303558308395</v>
      </c>
      <c r="C1977">
        <v>0.89675847933647601</v>
      </c>
      <c r="D1977">
        <v>0.86369088384092496</v>
      </c>
      <c r="E1977">
        <v>0.71776012383124699</v>
      </c>
      <c r="F1977">
        <v>0.55770822318396696</v>
      </c>
      <c r="G1977">
        <v>0.38989129372145298</v>
      </c>
      <c r="H1977">
        <v>0.233752711306041</v>
      </c>
      <c r="I1977">
        <v>0.165156472135601</v>
      </c>
      <c r="J1977">
        <v>0.18832330782904999</v>
      </c>
      <c r="K1977">
        <v>0.14622666865928099</v>
      </c>
      <c r="L1977">
        <v>526.40566179281302</v>
      </c>
      <c r="M1977">
        <v>10.485249811897701</v>
      </c>
      <c r="N1977">
        <v>50.955950838988699</v>
      </c>
      <c r="O1977">
        <v>48.481357162921</v>
      </c>
      <c r="P1977">
        <v>-5.0215182473671301E-2</v>
      </c>
      <c r="Q1977">
        <v>7.1643268052911602E-2</v>
      </c>
      <c r="R1977">
        <v>0.99384785819326804</v>
      </c>
      <c r="S1977" t="s">
        <v>8545</v>
      </c>
      <c r="T1977" t="s">
        <v>13134</v>
      </c>
      <c r="U1977" t="s">
        <v>13134</v>
      </c>
      <c r="V1977" t="s">
        <v>13134</v>
      </c>
      <c r="W1977" t="s">
        <v>15070</v>
      </c>
      <c r="X1977">
        <v>3</v>
      </c>
      <c r="Y1977" t="s">
        <v>21547</v>
      </c>
      <c r="Z1977" t="s">
        <v>27945</v>
      </c>
      <c r="AA1977">
        <v>0.50979007594161818</v>
      </c>
      <c r="AB1977" t="str">
        <f>HYPERLINK("Melting_Curves/meltCurve_O95997_PTTG1.pdf", "Melting_Curves/meltCurve_O95997_PTTG1.pdf")</f>
        <v>Melting_Curves/meltCurve_O95997_PTTG1.pdf</v>
      </c>
    </row>
    <row r="1978" spans="1:28" x14ac:dyDescent="0.25">
      <c r="A1978" t="s">
        <v>1982</v>
      </c>
      <c r="B1978">
        <v>0.99472303558308395</v>
      </c>
      <c r="C1978">
        <v>0.97154811163131605</v>
      </c>
      <c r="D1978">
        <v>0.92791567538147901</v>
      </c>
      <c r="E1978">
        <v>0.67095286221585904</v>
      </c>
      <c r="F1978">
        <v>0.32502407398215999</v>
      </c>
      <c r="G1978">
        <v>0.19996412566489499</v>
      </c>
      <c r="H1978">
        <v>0.10890067421388901</v>
      </c>
      <c r="I1978">
        <v>7.9768863683536306E-2</v>
      </c>
      <c r="J1978">
        <v>6.9856878276864695E-2</v>
      </c>
      <c r="K1978">
        <v>6.8529000932217102E-2</v>
      </c>
      <c r="L1978">
        <v>945.23446999170005</v>
      </c>
      <c r="M1978">
        <v>19.694447333811599</v>
      </c>
      <c r="N1978">
        <v>48.3684112692833</v>
      </c>
      <c r="O1978">
        <v>47.508357145258202</v>
      </c>
      <c r="P1978">
        <v>-9.6330637560713098E-2</v>
      </c>
      <c r="Q1978">
        <v>7.0529476448675799E-2</v>
      </c>
      <c r="R1978">
        <v>0.99877516221040596</v>
      </c>
      <c r="S1978" t="s">
        <v>8546</v>
      </c>
      <c r="T1978" t="s">
        <v>13134</v>
      </c>
      <c r="U1978" t="s">
        <v>13134</v>
      </c>
      <c r="V1978" t="s">
        <v>13134</v>
      </c>
      <c r="W1978" t="s">
        <v>15071</v>
      </c>
      <c r="X1978">
        <v>7</v>
      </c>
      <c r="Y1978" t="s">
        <v>21548</v>
      </c>
      <c r="Z1978" t="s">
        <v>27946</v>
      </c>
      <c r="AA1978">
        <v>0.42375131769809821</v>
      </c>
      <c r="AB1978" t="str">
        <f>HYPERLINK("Melting_Curves/meltCurve_O95999_BCL10.pdf", "Melting_Curves/meltCurve_O95999_BCL10.pdf")</f>
        <v>Melting_Curves/meltCurve_O95999_BCL10.pdf</v>
      </c>
    </row>
    <row r="1979" spans="1:28" x14ac:dyDescent="0.25">
      <c r="A1979" t="s">
        <v>1983</v>
      </c>
      <c r="B1979">
        <v>0.99472303558308395</v>
      </c>
      <c r="C1979">
        <v>0.83734196366687097</v>
      </c>
      <c r="D1979">
        <v>0.70236982946354598</v>
      </c>
      <c r="E1979">
        <v>0.53901698722936797</v>
      </c>
      <c r="F1979">
        <v>0.37237097664642499</v>
      </c>
      <c r="G1979">
        <v>0.19004036867715199</v>
      </c>
      <c r="H1979">
        <v>0.108320832820249</v>
      </c>
      <c r="I1979">
        <v>0.107813673726305</v>
      </c>
      <c r="J1979">
        <v>0.105971056090657</v>
      </c>
      <c r="K1979">
        <v>6.7734924976213501E-2</v>
      </c>
      <c r="L1979">
        <v>507.20808289664001</v>
      </c>
      <c r="M1979">
        <v>10.8714793585264</v>
      </c>
      <c r="N1979">
        <v>46.947519870435499</v>
      </c>
      <c r="O1979">
        <v>45.159591025374603</v>
      </c>
      <c r="P1979">
        <v>-5.8232898307761898E-2</v>
      </c>
      <c r="Q1979">
        <v>3.2755110799018002E-2</v>
      </c>
      <c r="R1979">
        <v>0.99253044633567</v>
      </c>
      <c r="S1979" t="s">
        <v>8547</v>
      </c>
      <c r="T1979" t="s">
        <v>13134</v>
      </c>
      <c r="U1979" t="s">
        <v>13134</v>
      </c>
      <c r="V1979" t="s">
        <v>13134</v>
      </c>
      <c r="W1979" t="s">
        <v>15072</v>
      </c>
      <c r="X1979">
        <v>11</v>
      </c>
      <c r="Y1979" t="s">
        <v>21549</v>
      </c>
      <c r="Z1979" t="s">
        <v>27947</v>
      </c>
      <c r="AA1979">
        <v>0.3818153419790502</v>
      </c>
      <c r="AB1979" t="str">
        <f>HYPERLINK("Melting_Curves/meltCurve_O96000_NDUFB10.pdf", "Melting_Curves/meltCurve_O96000_NDUFB10.pdf")</f>
        <v>Melting_Curves/meltCurve_O96000_NDUFB10.pdf</v>
      </c>
    </row>
    <row r="1980" spans="1:28" x14ac:dyDescent="0.25">
      <c r="A1980" t="s">
        <v>1984</v>
      </c>
      <c r="B1980">
        <v>0.99472303558308395</v>
      </c>
      <c r="C1980">
        <v>0.96723576017978796</v>
      </c>
      <c r="D1980">
        <v>0.87479023714820703</v>
      </c>
      <c r="E1980">
        <v>0.84016788934386899</v>
      </c>
      <c r="F1980">
        <v>0.68657208120214197</v>
      </c>
      <c r="G1980">
        <v>0.46329593916421802</v>
      </c>
      <c r="H1980">
        <v>0.36747922029948998</v>
      </c>
      <c r="I1980">
        <v>0.31063164981743502</v>
      </c>
      <c r="J1980">
        <v>0.41056846865844199</v>
      </c>
      <c r="K1980">
        <v>0.36024936111317601</v>
      </c>
      <c r="L1980">
        <v>769.48707521354697</v>
      </c>
      <c r="M1980">
        <v>15.4683315498288</v>
      </c>
      <c r="N1980">
        <v>53.434169537462999</v>
      </c>
      <c r="O1980">
        <v>48.936806531779801</v>
      </c>
      <c r="P1980">
        <v>-5.3099903103860702E-2</v>
      </c>
      <c r="Q1980">
        <v>0.32809666881437299</v>
      </c>
      <c r="R1980">
        <v>0.97509972791180699</v>
      </c>
      <c r="S1980" t="s">
        <v>8548</v>
      </c>
      <c r="T1980" t="s">
        <v>13134</v>
      </c>
      <c r="U1980" t="s">
        <v>13134</v>
      </c>
      <c r="V1980" t="s">
        <v>13134</v>
      </c>
      <c r="W1980" t="s">
        <v>15073</v>
      </c>
      <c r="X1980">
        <v>9</v>
      </c>
      <c r="Y1980" t="s">
        <v>21550</v>
      </c>
      <c r="Z1980" t="s">
        <v>27948</v>
      </c>
      <c r="AA1980">
        <v>0.6270861232157473</v>
      </c>
      <c r="AB1980" t="str">
        <f>HYPERLINK("Melting_Curves/meltCurve_O96007_MOCS2.pdf", "Melting_Curves/meltCurve_O96007_MOCS2.pdf")</f>
        <v>Melting_Curves/meltCurve_O96007_MOCS2.pdf</v>
      </c>
    </row>
    <row r="1981" spans="1:28" x14ac:dyDescent="0.25">
      <c r="A1981" t="s">
        <v>1985</v>
      </c>
      <c r="B1981">
        <v>0.99472303558308395</v>
      </c>
      <c r="C1981">
        <v>0.92914632703898403</v>
      </c>
      <c r="D1981">
        <v>0.77362895985436897</v>
      </c>
      <c r="E1981">
        <v>0.71517830569497798</v>
      </c>
      <c r="F1981">
        <v>0.624832443910455</v>
      </c>
      <c r="G1981">
        <v>0.36403868742787998</v>
      </c>
      <c r="H1981">
        <v>0.26928004171564002</v>
      </c>
      <c r="I1981">
        <v>0.23017607666200901</v>
      </c>
      <c r="J1981">
        <v>0.190429388660705</v>
      </c>
      <c r="K1981">
        <v>0.37773560994310501</v>
      </c>
      <c r="L1981">
        <v>545.47068285319801</v>
      </c>
      <c r="M1981">
        <v>11.241809529199299</v>
      </c>
      <c r="N1981">
        <v>50.9323775178174</v>
      </c>
      <c r="O1981">
        <v>47.062241240775599</v>
      </c>
      <c r="P1981">
        <v>-4.74117158790507E-2</v>
      </c>
      <c r="Q1981">
        <v>0.20631655101056001</v>
      </c>
      <c r="R1981">
        <v>0.94298382176434803</v>
      </c>
      <c r="S1981" t="s">
        <v>8549</v>
      </c>
      <c r="T1981" t="s">
        <v>13134</v>
      </c>
      <c r="U1981" t="s">
        <v>13134</v>
      </c>
      <c r="V1981" t="s">
        <v>13134</v>
      </c>
      <c r="W1981" t="s">
        <v>15074</v>
      </c>
      <c r="X1981">
        <v>15</v>
      </c>
      <c r="Y1981" t="s">
        <v>21551</v>
      </c>
      <c r="Z1981" t="s">
        <v>27949</v>
      </c>
      <c r="AA1981">
        <v>0.53757401025553664</v>
      </c>
      <c r="AB1981" t="str">
        <f>HYPERLINK("Melting_Curves/meltCurve_O96008_TOMM40.pdf", "Melting_Curves/meltCurve_O96008_TOMM40.pdf")</f>
        <v>Melting_Curves/meltCurve_O96008_TOMM40.pdf</v>
      </c>
    </row>
    <row r="1982" spans="1:28" x14ac:dyDescent="0.25">
      <c r="A1982" t="s">
        <v>1986</v>
      </c>
      <c r="B1982">
        <v>0.99472303558308395</v>
      </c>
      <c r="C1982">
        <v>1.02150714201323</v>
      </c>
      <c r="D1982">
        <v>0.89425262565973196</v>
      </c>
      <c r="E1982">
        <v>0.75239775481104698</v>
      </c>
      <c r="F1982">
        <v>0.58750924793967896</v>
      </c>
      <c r="G1982">
        <v>0.43217130555611699</v>
      </c>
      <c r="H1982">
        <v>0.34348347780817601</v>
      </c>
      <c r="I1982">
        <v>0.371038333365657</v>
      </c>
      <c r="J1982">
        <v>0.40754717279206798</v>
      </c>
      <c r="K1982">
        <v>0.49299701248328198</v>
      </c>
      <c r="L1982">
        <v>927.22255602075097</v>
      </c>
      <c r="M1982">
        <v>19.538461705088601</v>
      </c>
      <c r="N1982">
        <v>51.642918705653599</v>
      </c>
      <c r="O1982">
        <v>46.967537031984797</v>
      </c>
      <c r="P1982">
        <v>-6.2670413517686804E-2</v>
      </c>
      <c r="Q1982">
        <v>0.39742034226717998</v>
      </c>
      <c r="R1982">
        <v>0.96878602846870399</v>
      </c>
      <c r="S1982" t="s">
        <v>8550</v>
      </c>
      <c r="T1982" t="s">
        <v>13134</v>
      </c>
      <c r="U1982" t="s">
        <v>13134</v>
      </c>
      <c r="V1982" t="s">
        <v>13134</v>
      </c>
      <c r="W1982" t="s">
        <v>15075</v>
      </c>
      <c r="X1982">
        <v>8</v>
      </c>
      <c r="Y1982" t="s">
        <v>21552</v>
      </c>
      <c r="Z1982" t="s">
        <v>27950</v>
      </c>
      <c r="AA1982">
        <v>0.61570867918316941</v>
      </c>
      <c r="AB1982" t="str">
        <f>HYPERLINK("Melting_Curves/meltCurve_O96011_2_PEX11B.pdf", "Melting_Curves/meltCurve_O96011_2_PEX11B.pdf")</f>
        <v>Melting_Curves/meltCurve_O96011_2_PEX11B.pdf</v>
      </c>
    </row>
    <row r="1983" spans="1:28" x14ac:dyDescent="0.25">
      <c r="A1983" t="s">
        <v>1987</v>
      </c>
      <c r="B1983">
        <v>0.99472303558308395</v>
      </c>
      <c r="C1983">
        <v>1.0117878759649599</v>
      </c>
      <c r="D1983">
        <v>0.97537374070011096</v>
      </c>
      <c r="E1983">
        <v>0.89015235194059605</v>
      </c>
      <c r="F1983">
        <v>0.61990584350730404</v>
      </c>
      <c r="G1983">
        <v>0.25685886460115198</v>
      </c>
      <c r="H1983">
        <v>9.1140517718092798E-2</v>
      </c>
      <c r="I1983">
        <v>6.9108664812248796E-2</v>
      </c>
      <c r="J1983">
        <v>7.9068222746320402E-2</v>
      </c>
      <c r="K1983">
        <v>5.94195788105066E-2</v>
      </c>
      <c r="L1983">
        <v>1227.90130812129</v>
      </c>
      <c r="M1983">
        <v>24.117869948077701</v>
      </c>
      <c r="N1983">
        <v>51.156995768509802</v>
      </c>
      <c r="O1983">
        <v>50.566359343809602</v>
      </c>
      <c r="P1983">
        <v>-0.112749851380417</v>
      </c>
      <c r="Q1983">
        <v>5.4433728731619203E-2</v>
      </c>
      <c r="R1983">
        <v>0.99900994120408704</v>
      </c>
      <c r="S1983" t="s">
        <v>8551</v>
      </c>
      <c r="T1983" t="s">
        <v>13134</v>
      </c>
      <c r="U1983" t="s">
        <v>13134</v>
      </c>
      <c r="V1983" t="s">
        <v>13134</v>
      </c>
      <c r="W1983" t="s">
        <v>15076</v>
      </c>
      <c r="X1983">
        <v>13</v>
      </c>
      <c r="Y1983" t="s">
        <v>21553</v>
      </c>
      <c r="Z1983" t="s">
        <v>27951</v>
      </c>
      <c r="AA1983">
        <v>0.50185069081655742</v>
      </c>
      <c r="AB1983" t="str">
        <f>HYPERLINK("Melting_Curves/meltCurve_O96013_PAK4.pdf", "Melting_Curves/meltCurve_O96013_PAK4.pdf")</f>
        <v>Melting_Curves/meltCurve_O96013_PAK4.pdf</v>
      </c>
    </row>
    <row r="1984" spans="1:28" x14ac:dyDescent="0.25">
      <c r="A1984" t="s">
        <v>1988</v>
      </c>
      <c r="B1984">
        <v>0.99472303558308395</v>
      </c>
      <c r="C1984">
        <v>1.0405586910088001</v>
      </c>
      <c r="D1984">
        <v>0.97628475543030302</v>
      </c>
      <c r="E1984">
        <v>0.90174975203305996</v>
      </c>
      <c r="F1984">
        <v>0.598954841044117</v>
      </c>
      <c r="G1984">
        <v>0.22986369037506099</v>
      </c>
      <c r="H1984">
        <v>6.5862586259624101E-2</v>
      </c>
      <c r="I1984">
        <v>3.8242858637101702E-2</v>
      </c>
      <c r="J1984">
        <v>4.3405778266418497E-2</v>
      </c>
      <c r="K1984">
        <v>3.4241660703681599E-2</v>
      </c>
      <c r="L1984">
        <v>1266.0871713643401</v>
      </c>
      <c r="M1984">
        <v>24.8855268515081</v>
      </c>
      <c r="N1984">
        <v>50.9903296868751</v>
      </c>
      <c r="O1984">
        <v>50.551328372131699</v>
      </c>
      <c r="P1984">
        <v>-0.11974527005085001</v>
      </c>
      <c r="Q1984">
        <v>2.7032915289795401E-2</v>
      </c>
      <c r="R1984">
        <v>0.99867292622588999</v>
      </c>
      <c r="S1984" t="s">
        <v>8552</v>
      </c>
      <c r="T1984" t="s">
        <v>13134</v>
      </c>
      <c r="U1984" t="s">
        <v>13134</v>
      </c>
      <c r="V1984" t="s">
        <v>13134</v>
      </c>
      <c r="W1984" t="s">
        <v>15077</v>
      </c>
      <c r="X1984">
        <v>16</v>
      </c>
      <c r="Y1984" t="s">
        <v>21554</v>
      </c>
      <c r="Z1984" t="s">
        <v>27952</v>
      </c>
      <c r="AA1984">
        <v>0.48572739202683007</v>
      </c>
      <c r="AB1984" t="str">
        <f>HYPERLINK("Melting_Curves/meltCurve_O96017_CHEK2.pdf", "Melting_Curves/meltCurve_O96017_CHEK2.pdf")</f>
        <v>Melting_Curves/meltCurve_O96017_CHEK2.pdf</v>
      </c>
    </row>
    <row r="1985" spans="1:28" x14ac:dyDescent="0.25">
      <c r="A1985" t="s">
        <v>1989</v>
      </c>
      <c r="B1985">
        <v>0.99472303558308395</v>
      </c>
      <c r="C1985">
        <v>0.86159243677648101</v>
      </c>
      <c r="D1985">
        <v>0.82198240459003102</v>
      </c>
      <c r="E1985">
        <v>0.63602044825116499</v>
      </c>
      <c r="F1985">
        <v>0.40957366859314098</v>
      </c>
      <c r="G1985">
        <v>0.16784693751591101</v>
      </c>
      <c r="H1985">
        <v>9.5762096633891805E-2</v>
      </c>
      <c r="I1985">
        <v>6.8118936341650296E-2</v>
      </c>
      <c r="J1985">
        <v>7.0044472350522496E-2</v>
      </c>
      <c r="K1985">
        <v>6.1331227353214397E-2</v>
      </c>
      <c r="L1985">
        <v>617.88510489652901</v>
      </c>
      <c r="M1985">
        <v>12.8388274054186</v>
      </c>
      <c r="N1985">
        <v>48.219656988253497</v>
      </c>
      <c r="O1985">
        <v>47.003562670684197</v>
      </c>
      <c r="P1985">
        <v>-6.7460626072484695E-2</v>
      </c>
      <c r="Q1985">
        <v>1.2276830714681801E-2</v>
      </c>
      <c r="R1985">
        <v>0.99124108559103397</v>
      </c>
      <c r="S1985" t="s">
        <v>8553</v>
      </c>
      <c r="T1985" t="s">
        <v>13134</v>
      </c>
      <c r="U1985" t="s">
        <v>13134</v>
      </c>
      <c r="V1985" t="s">
        <v>13134</v>
      </c>
      <c r="W1985" t="s">
        <v>15078</v>
      </c>
      <c r="X1985">
        <v>20</v>
      </c>
      <c r="Y1985" t="s">
        <v>21555</v>
      </c>
      <c r="Z1985" t="s">
        <v>27953</v>
      </c>
      <c r="AA1985">
        <v>0.40640108990943391</v>
      </c>
      <c r="AB1985" t="str">
        <f>HYPERLINK("Melting_Curves/meltCurve_O96019_ACTL6A.pdf", "Melting_Curves/meltCurve_O96019_ACTL6A.pdf")</f>
        <v>Melting_Curves/meltCurve_O96019_ACTL6A.pdf</v>
      </c>
    </row>
    <row r="1986" spans="1:28" x14ac:dyDescent="0.25">
      <c r="A1986" t="s">
        <v>1990</v>
      </c>
      <c r="B1986">
        <v>0.99472303558308395</v>
      </c>
      <c r="C1986">
        <v>0.99065351089956</v>
      </c>
      <c r="D1986">
        <v>1.0617960444760499</v>
      </c>
      <c r="E1986">
        <v>0.87962309879454603</v>
      </c>
      <c r="F1986">
        <v>0.57467075886182595</v>
      </c>
      <c r="G1986">
        <v>0.34492043791996602</v>
      </c>
      <c r="H1986">
        <v>0.14034205318967299</v>
      </c>
      <c r="I1986">
        <v>0.11036085557280099</v>
      </c>
      <c r="J1986">
        <v>0.119994033669091</v>
      </c>
      <c r="K1986">
        <v>6.9299636060559597E-2</v>
      </c>
      <c r="L1986">
        <v>1055.20888381549</v>
      </c>
      <c r="M1986">
        <v>20.747976136315302</v>
      </c>
      <c r="N1986">
        <v>51.310775410464203</v>
      </c>
      <c r="O1986">
        <v>50.393015341505198</v>
      </c>
      <c r="P1986">
        <v>-9.4330164033799596E-2</v>
      </c>
      <c r="Q1986">
        <v>8.3583365533631299E-2</v>
      </c>
      <c r="R1986">
        <v>0.99329301190706598</v>
      </c>
      <c r="S1986" t="s">
        <v>8554</v>
      </c>
      <c r="T1986" t="s">
        <v>13134</v>
      </c>
      <c r="U1986" t="s">
        <v>13134</v>
      </c>
      <c r="V1986" t="s">
        <v>13134</v>
      </c>
      <c r="W1986" t="s">
        <v>15079</v>
      </c>
      <c r="X1986">
        <v>5</v>
      </c>
      <c r="Y1986" t="s">
        <v>21550</v>
      </c>
      <c r="Z1986" t="s">
        <v>27954</v>
      </c>
      <c r="AA1986">
        <v>0.51820655202913202</v>
      </c>
      <c r="AB1986" t="str">
        <f>HYPERLINK("Melting_Curves/meltCurve_O96033_MOCS2.pdf", "Melting_Curves/meltCurve_O96033_MOCS2.pdf")</f>
        <v>Melting_Curves/meltCurve_O96033_MOCS2.pdf</v>
      </c>
    </row>
    <row r="1987" spans="1:28" x14ac:dyDescent="0.25">
      <c r="A1987" t="s">
        <v>1991</v>
      </c>
      <c r="B1987">
        <v>0.99472303558308395</v>
      </c>
      <c r="C1987">
        <v>0.93449744057788997</v>
      </c>
      <c r="D1987">
        <v>0.87117193345265898</v>
      </c>
      <c r="E1987">
        <v>0.70355860423133598</v>
      </c>
      <c r="F1987">
        <v>0.53204681623799299</v>
      </c>
      <c r="G1987">
        <v>0.26721978778268202</v>
      </c>
      <c r="H1987">
        <v>0.21443287762223001</v>
      </c>
      <c r="I1987">
        <v>0.190810857948851</v>
      </c>
      <c r="J1987">
        <v>0.222842143653429</v>
      </c>
      <c r="K1987">
        <v>0.18118162195722201</v>
      </c>
      <c r="L1987">
        <v>712.75984675751602</v>
      </c>
      <c r="M1987">
        <v>14.6945755979088</v>
      </c>
      <c r="N1987">
        <v>49.8198228511663</v>
      </c>
      <c r="O1987">
        <v>47.633212111090202</v>
      </c>
      <c r="P1987">
        <v>-6.4734269303640596E-2</v>
      </c>
      <c r="Q1987">
        <v>0.16073401008100999</v>
      </c>
      <c r="R1987">
        <v>0.99087118062521895</v>
      </c>
      <c r="S1987" t="s">
        <v>8555</v>
      </c>
      <c r="T1987" t="s">
        <v>13134</v>
      </c>
      <c r="U1987" t="s">
        <v>13134</v>
      </c>
      <c r="V1987" t="s">
        <v>13134</v>
      </c>
      <c r="W1987" t="s">
        <v>15080</v>
      </c>
      <c r="X1987">
        <v>3</v>
      </c>
      <c r="Y1987" t="s">
        <v>21556</v>
      </c>
      <c r="Z1987" t="s">
        <v>27955</v>
      </c>
      <c r="AA1987">
        <v>0.50148337499745921</v>
      </c>
      <c r="AB1987" t="str">
        <f>HYPERLINK("Melting_Curves/meltCurve_P00167_2_CYB5A.pdf", "Melting_Curves/meltCurve_P00167_2_CYB5A.pdf")</f>
        <v>Melting_Curves/meltCurve_P00167_2_CYB5A.pdf</v>
      </c>
    </row>
    <row r="1988" spans="1:28" x14ac:dyDescent="0.25">
      <c r="A1988" t="s">
        <v>1992</v>
      </c>
      <c r="B1988">
        <v>0.99472303558308395</v>
      </c>
      <c r="C1988">
        <v>0.90021258994395004</v>
      </c>
      <c r="D1988">
        <v>0.97258374549306004</v>
      </c>
      <c r="E1988">
        <v>0.92246807689770105</v>
      </c>
      <c r="F1988">
        <v>0.82509968754292395</v>
      </c>
      <c r="G1988">
        <v>0.68478711018458105</v>
      </c>
      <c r="H1988">
        <v>0.39458436936432301</v>
      </c>
      <c r="I1988">
        <v>0.47208222079370599</v>
      </c>
      <c r="J1988">
        <v>0.42004090469446098</v>
      </c>
      <c r="K1988">
        <v>0.25697205443100002</v>
      </c>
      <c r="L1988">
        <v>713.40863190019797</v>
      </c>
      <c r="M1988">
        <v>13.1809590011824</v>
      </c>
      <c r="N1988">
        <v>57.503114540399501</v>
      </c>
      <c r="O1988">
        <v>52.923867565132603</v>
      </c>
      <c r="P1988">
        <v>-4.5488880546365497E-2</v>
      </c>
      <c r="Q1988">
        <v>0.26953888101252899</v>
      </c>
      <c r="R1988">
        <v>0.94787717741851696</v>
      </c>
      <c r="S1988" t="s">
        <v>8556</v>
      </c>
      <c r="T1988" t="s">
        <v>13134</v>
      </c>
      <c r="U1988" t="s">
        <v>13134</v>
      </c>
      <c r="V1988" t="s">
        <v>13134</v>
      </c>
      <c r="W1988" t="s">
        <v>15081</v>
      </c>
      <c r="X1988">
        <v>25</v>
      </c>
      <c r="Y1988" t="s">
        <v>21557</v>
      </c>
      <c r="Z1988" t="s">
        <v>27956</v>
      </c>
      <c r="AA1988">
        <v>0.69897593459330332</v>
      </c>
      <c r="AB1988" t="str">
        <f>HYPERLINK("Melting_Curves/meltCurve_P00338_LDHA.pdf", "Melting_Curves/meltCurve_P00338_LDHA.pdf")</f>
        <v>Melting_Curves/meltCurve_P00338_LDHA.pdf</v>
      </c>
    </row>
    <row r="1989" spans="1:28" x14ac:dyDescent="0.25">
      <c r="A1989" t="s">
        <v>1993</v>
      </c>
      <c r="B1989">
        <v>0.99472303558308395</v>
      </c>
      <c r="C1989">
        <v>0.96562789180046005</v>
      </c>
      <c r="D1989">
        <v>0.83357643521178704</v>
      </c>
      <c r="E1989">
        <v>0.790851510555176</v>
      </c>
      <c r="F1989">
        <v>0.77831929210423101</v>
      </c>
      <c r="G1989">
        <v>0.48888351457562601</v>
      </c>
      <c r="H1989">
        <v>0.33466608222262101</v>
      </c>
      <c r="I1989">
        <v>0.23220280496540099</v>
      </c>
      <c r="J1989">
        <v>0.31804961841570001</v>
      </c>
      <c r="K1989">
        <v>0.20133629724725199</v>
      </c>
      <c r="L1989">
        <v>527.193443076741</v>
      </c>
      <c r="M1989">
        <v>10.001761632705</v>
      </c>
      <c r="N1989">
        <v>54.070818625637102</v>
      </c>
      <c r="O1989">
        <v>50.732904353419897</v>
      </c>
      <c r="P1989">
        <v>-4.3823881514085297E-2</v>
      </c>
      <c r="Q1989">
        <v>0.111263710789891</v>
      </c>
      <c r="R1989">
        <v>0.96211511284643603</v>
      </c>
      <c r="S1989" t="s">
        <v>8557</v>
      </c>
      <c r="T1989" t="s">
        <v>13134</v>
      </c>
      <c r="U1989" t="s">
        <v>13134</v>
      </c>
      <c r="V1989" t="s">
        <v>13134</v>
      </c>
      <c r="W1989" t="s">
        <v>15082</v>
      </c>
      <c r="X1989">
        <v>20</v>
      </c>
      <c r="Y1989" t="s">
        <v>21558</v>
      </c>
      <c r="Z1989" t="s">
        <v>27957</v>
      </c>
      <c r="AA1989">
        <v>0.59771290448295933</v>
      </c>
      <c r="AB1989" t="str">
        <f>HYPERLINK("Melting_Curves/meltCurve_P00352_ALDH1A1.pdf", "Melting_Curves/meltCurve_P00352_ALDH1A1.pdf")</f>
        <v>Melting_Curves/meltCurve_P00352_ALDH1A1.pdf</v>
      </c>
    </row>
    <row r="1990" spans="1:28" x14ac:dyDescent="0.25">
      <c r="A1990" t="s">
        <v>1994</v>
      </c>
      <c r="B1990">
        <v>0.99472303558308395</v>
      </c>
      <c r="C1990">
        <v>0.90609365597348002</v>
      </c>
      <c r="D1990">
        <v>0.74428203320824304</v>
      </c>
      <c r="E1990">
        <v>0.69069689023859104</v>
      </c>
      <c r="F1990">
        <v>0.82472659782590696</v>
      </c>
      <c r="G1990">
        <v>0.49404742253204897</v>
      </c>
      <c r="H1990">
        <v>0.29193136700736799</v>
      </c>
      <c r="I1990">
        <v>0.14090805723024699</v>
      </c>
      <c r="J1990">
        <v>7.0709051778338403E-2</v>
      </c>
      <c r="K1990">
        <v>9.11970129293872E-2</v>
      </c>
      <c r="L1990">
        <v>526.923751104281</v>
      </c>
      <c r="M1990">
        <v>9.9863331070993304</v>
      </c>
      <c r="N1990">
        <v>52.764487769656199</v>
      </c>
      <c r="O1990">
        <v>50.779538632910302</v>
      </c>
      <c r="P1990">
        <v>-4.9189184164943001E-2</v>
      </c>
      <c r="Q1990">
        <v>0</v>
      </c>
      <c r="R1990">
        <v>0.91913218332039603</v>
      </c>
      <c r="S1990" t="s">
        <v>8558</v>
      </c>
      <c r="T1990" t="s">
        <v>13134</v>
      </c>
      <c r="U1990" t="s">
        <v>13134</v>
      </c>
      <c r="V1990" t="s">
        <v>13134</v>
      </c>
      <c r="W1990" t="s">
        <v>15083</v>
      </c>
      <c r="X1990">
        <v>23</v>
      </c>
      <c r="Y1990" t="s">
        <v>21559</v>
      </c>
      <c r="Z1990" t="s">
        <v>27958</v>
      </c>
      <c r="AA1990">
        <v>0.54893336587050601</v>
      </c>
      <c r="AB1990" t="str">
        <f>HYPERLINK("Melting_Curves/meltCurve_P00367_GLUD1.pdf", "Melting_Curves/meltCurve_P00367_GLUD1.pdf")</f>
        <v>Melting_Curves/meltCurve_P00367_GLUD1.pdf</v>
      </c>
    </row>
    <row r="1991" spans="1:28" x14ac:dyDescent="0.25">
      <c r="A1991" t="s">
        <v>1995</v>
      </c>
      <c r="B1991">
        <v>0.99472303558308395</v>
      </c>
      <c r="C1991">
        <v>0.85644389475503202</v>
      </c>
      <c r="D1991">
        <v>0.88825325253792398</v>
      </c>
      <c r="E1991">
        <v>0.46294084512111899</v>
      </c>
      <c r="F1991">
        <v>0.156042252786011</v>
      </c>
      <c r="G1991">
        <v>7.4378023801668094E-2</v>
      </c>
      <c r="H1991">
        <v>4.3771016534133803E-2</v>
      </c>
      <c r="I1991">
        <v>3.3480250651686597E-2</v>
      </c>
      <c r="J1991">
        <v>3.6038192525034297E-2</v>
      </c>
      <c r="K1991">
        <v>3.0816674337038601E-2</v>
      </c>
      <c r="L1991">
        <v>1041.7879345374699</v>
      </c>
      <c r="M1991">
        <v>22.553343572183799</v>
      </c>
      <c r="N1991">
        <v>46.321056222438102</v>
      </c>
      <c r="O1991">
        <v>45.833616974675301</v>
      </c>
      <c r="P1991">
        <v>-0.119278696398934</v>
      </c>
      <c r="Q1991">
        <v>3.0411991020575999E-2</v>
      </c>
      <c r="R1991">
        <v>0.98952180038517901</v>
      </c>
      <c r="S1991" t="s">
        <v>8559</v>
      </c>
      <c r="T1991" t="s">
        <v>13134</v>
      </c>
      <c r="U1991" t="s">
        <v>13134</v>
      </c>
      <c r="V1991" t="s">
        <v>13134</v>
      </c>
      <c r="W1991" t="s">
        <v>15084</v>
      </c>
      <c r="X1991">
        <v>13</v>
      </c>
      <c r="Y1991" t="s">
        <v>21560</v>
      </c>
      <c r="Z1991" t="s">
        <v>27959</v>
      </c>
      <c r="AA1991">
        <v>0.3374349812580712</v>
      </c>
      <c r="AB1991" t="str">
        <f>HYPERLINK("Melting_Curves/meltCurve_P00374_DHFR.pdf", "Melting_Curves/meltCurve_P00374_DHFR.pdf")</f>
        <v>Melting_Curves/meltCurve_P00374_DHFR.pdf</v>
      </c>
    </row>
    <row r="1992" spans="1:28" x14ac:dyDescent="0.25">
      <c r="A1992" t="s">
        <v>1996</v>
      </c>
      <c r="B1992">
        <v>0.99472303558308395</v>
      </c>
      <c r="C1992">
        <v>0.99528228321781398</v>
      </c>
      <c r="D1992">
        <v>0.97437140430314095</v>
      </c>
      <c r="E1992">
        <v>0.88691320688067898</v>
      </c>
      <c r="F1992">
        <v>0.64995778206899402</v>
      </c>
      <c r="G1992">
        <v>0.56316679148883697</v>
      </c>
      <c r="H1992">
        <v>0.41159927505736899</v>
      </c>
      <c r="I1992">
        <v>0.22459354889848501</v>
      </c>
      <c r="J1992">
        <v>6.7613436775268099E-2</v>
      </c>
      <c r="K1992">
        <v>9.5321342859017305E-2</v>
      </c>
      <c r="L1992">
        <v>635.04885768201405</v>
      </c>
      <c r="M1992">
        <v>11.680157844303199</v>
      </c>
      <c r="N1992">
        <v>54.369875903761603</v>
      </c>
      <c r="O1992">
        <v>52.8495289385828</v>
      </c>
      <c r="P1992">
        <v>-5.5266736515588701E-2</v>
      </c>
      <c r="Q1992">
        <v>0</v>
      </c>
      <c r="R1992">
        <v>0.98638209866026305</v>
      </c>
      <c r="S1992" t="s">
        <v>8560</v>
      </c>
      <c r="T1992" t="s">
        <v>13134</v>
      </c>
      <c r="U1992" t="s">
        <v>13134</v>
      </c>
      <c r="V1992" t="s">
        <v>13134</v>
      </c>
      <c r="W1992" t="s">
        <v>15085</v>
      </c>
      <c r="X1992">
        <v>12</v>
      </c>
      <c r="Y1992" t="s">
        <v>21561</v>
      </c>
      <c r="Z1992" t="s">
        <v>27960</v>
      </c>
      <c r="AA1992">
        <v>0.59558136773074666</v>
      </c>
      <c r="AB1992" t="str">
        <f>HYPERLINK("Melting_Curves/meltCurve_P00387_2_CYB5R3.pdf", "Melting_Curves/meltCurve_P00387_2_CYB5R3.pdf")</f>
        <v>Melting_Curves/meltCurve_P00387_2_CYB5R3.pdf</v>
      </c>
    </row>
    <row r="1993" spans="1:28" x14ac:dyDescent="0.25">
      <c r="A1993" t="s">
        <v>1997</v>
      </c>
      <c r="B1993">
        <v>0.99472303558308395</v>
      </c>
      <c r="C1993">
        <v>1.0707432283251599</v>
      </c>
      <c r="D1993">
        <v>0.90187355136367298</v>
      </c>
      <c r="E1993">
        <v>0.90759066043646897</v>
      </c>
      <c r="F1993">
        <v>1.13081468241929</v>
      </c>
      <c r="G1993">
        <v>0.73172800511181701</v>
      </c>
      <c r="H1993">
        <v>0.390419770778416</v>
      </c>
      <c r="I1993">
        <v>0.38436643515701902</v>
      </c>
      <c r="J1993">
        <v>0.470014530467119</v>
      </c>
      <c r="K1993">
        <v>0.36333520400167801</v>
      </c>
      <c r="L1993">
        <v>13461.091607914501</v>
      </c>
      <c r="M1993">
        <v>250</v>
      </c>
      <c r="N1993">
        <v>54.197734566483199</v>
      </c>
      <c r="O1993">
        <v>53.840920374729698</v>
      </c>
      <c r="P1993">
        <v>-0.69413518816055497</v>
      </c>
      <c r="Q1993">
        <v>0.40203395821904098</v>
      </c>
      <c r="R1993">
        <v>0.94449034087040296</v>
      </c>
      <c r="S1993" t="s">
        <v>8561</v>
      </c>
      <c r="T1993" t="s">
        <v>13134</v>
      </c>
      <c r="U1993" t="s">
        <v>13134</v>
      </c>
      <c r="V1993" t="s">
        <v>13134</v>
      </c>
      <c r="W1993" t="s">
        <v>15086</v>
      </c>
      <c r="X1993">
        <v>12</v>
      </c>
      <c r="Y1993" t="s">
        <v>21562</v>
      </c>
      <c r="Z1993" t="s">
        <v>27961</v>
      </c>
      <c r="AA1993">
        <v>0.73783576768134429</v>
      </c>
      <c r="AB1993" t="str">
        <f>HYPERLINK("Melting_Curves/meltCurve_P00390_5_GSR.pdf", "Melting_Curves/meltCurve_P00390_5_GSR.pdf")</f>
        <v>Melting_Curves/meltCurve_P00390_5_GSR.pdf</v>
      </c>
    </row>
    <row r="1994" spans="1:28" x14ac:dyDescent="0.25">
      <c r="A1994" t="s">
        <v>1998</v>
      </c>
      <c r="B1994">
        <v>0.99472303558308395</v>
      </c>
      <c r="C1994">
        <v>0.96236943120257301</v>
      </c>
      <c r="D1994">
        <v>0.79752174112049301</v>
      </c>
      <c r="E1994">
        <v>0.65060584349514095</v>
      </c>
      <c r="F1994">
        <v>0.54540475137178601</v>
      </c>
      <c r="G1994">
        <v>0.26282779740019802</v>
      </c>
      <c r="H1994">
        <v>0.20310640131392399</v>
      </c>
      <c r="I1994">
        <v>0.140773194524456</v>
      </c>
      <c r="J1994">
        <v>0.14376185301501501</v>
      </c>
      <c r="K1994">
        <v>0.11849944138176501</v>
      </c>
      <c r="L1994">
        <v>559.04037967650402</v>
      </c>
      <c r="M1994">
        <v>11.4116041672035</v>
      </c>
      <c r="N1994">
        <v>49.606886771245897</v>
      </c>
      <c r="O1994">
        <v>47.5567771816063</v>
      </c>
      <c r="P1994">
        <v>-5.60300789964071E-2</v>
      </c>
      <c r="Q1994">
        <v>6.6273266448551596E-2</v>
      </c>
      <c r="R1994">
        <v>0.98889494111876497</v>
      </c>
      <c r="S1994" t="s">
        <v>8562</v>
      </c>
      <c r="T1994" t="s">
        <v>13134</v>
      </c>
      <c r="U1994" t="s">
        <v>13134</v>
      </c>
      <c r="V1994" t="s">
        <v>13134</v>
      </c>
      <c r="W1994" t="s">
        <v>15087</v>
      </c>
      <c r="X1994">
        <v>5</v>
      </c>
      <c r="Y1994" t="s">
        <v>21563</v>
      </c>
      <c r="Z1994" t="s">
        <v>27962</v>
      </c>
      <c r="AA1994">
        <v>0.46905264553805343</v>
      </c>
      <c r="AB1994" t="str">
        <f>HYPERLINK("Melting_Curves/meltCurve_P00403_MT_CO2.pdf", "Melting_Curves/meltCurve_P00403_MT_CO2.pdf")</f>
        <v>Melting_Curves/meltCurve_P00403_MT_CO2.pdf</v>
      </c>
    </row>
    <row r="1995" spans="1:28" x14ac:dyDescent="0.25">
      <c r="A1995" t="s">
        <v>1999</v>
      </c>
      <c r="B1995">
        <v>0.99472303558308395</v>
      </c>
      <c r="C1995">
        <v>2.04015063297568</v>
      </c>
      <c r="D1995">
        <v>0.91693115476305098</v>
      </c>
      <c r="E1995">
        <v>1.1208775346081701</v>
      </c>
      <c r="F1995">
        <v>2.08567488317926</v>
      </c>
      <c r="G1995">
        <v>1.0111446523939001</v>
      </c>
      <c r="H1995">
        <v>0.51545901066981104</v>
      </c>
      <c r="I1995">
        <v>0.44185574397063998</v>
      </c>
      <c r="J1995">
        <v>0.44615859978453098</v>
      </c>
      <c r="K1995">
        <v>0.38283491632928801</v>
      </c>
      <c r="L1995">
        <v>14254.5366150968</v>
      </c>
      <c r="M1995">
        <v>250</v>
      </c>
      <c r="N1995">
        <v>57.449905121856702</v>
      </c>
      <c r="O1995">
        <v>57.014497965929202</v>
      </c>
      <c r="P1995">
        <v>-0.63183885636672799</v>
      </c>
      <c r="Q1995">
        <v>0.42361640053634902</v>
      </c>
      <c r="R1995">
        <v>0.35018069458009099</v>
      </c>
      <c r="S1995" t="s">
        <v>8563</v>
      </c>
      <c r="T1995" t="s">
        <v>13134</v>
      </c>
      <c r="U1995" t="s">
        <v>13134</v>
      </c>
      <c r="V1995" t="s">
        <v>13134</v>
      </c>
      <c r="W1995" t="s">
        <v>15088</v>
      </c>
      <c r="X1995">
        <v>14</v>
      </c>
      <c r="Y1995" t="s">
        <v>21564</v>
      </c>
      <c r="Z1995" t="s">
        <v>27963</v>
      </c>
      <c r="AA1995">
        <v>0.80827845396196729</v>
      </c>
      <c r="AB1995" t="str">
        <f>HYPERLINK("Melting_Curves/meltCurve_P00441_SOD1.pdf", "Melting_Curves/meltCurve_P00441_SOD1.pdf")</f>
        <v>Melting_Curves/meltCurve_P00441_SOD1.pdf</v>
      </c>
    </row>
    <row r="1996" spans="1:28" x14ac:dyDescent="0.25">
      <c r="A1996" t="s">
        <v>2000</v>
      </c>
      <c r="B1996">
        <v>0.99472303558308395</v>
      </c>
      <c r="C1996">
        <v>1.01511508697238</v>
      </c>
      <c r="D1996">
        <v>1.0071762632071399</v>
      </c>
      <c r="E1996">
        <v>0.89257682017713502</v>
      </c>
      <c r="F1996">
        <v>0.79192397296665396</v>
      </c>
      <c r="G1996">
        <v>0.63915640240378302</v>
      </c>
      <c r="H1996">
        <v>0.52178573095039205</v>
      </c>
      <c r="I1996">
        <v>0.71136053277887501</v>
      </c>
      <c r="J1996">
        <v>1.03151487302684</v>
      </c>
      <c r="K1996">
        <v>0.81302130126245298</v>
      </c>
      <c r="L1996">
        <v>1954.80418531239</v>
      </c>
      <c r="M1996">
        <v>41.566407116120402</v>
      </c>
      <c r="O1996">
        <v>46.920004952741799</v>
      </c>
      <c r="P1996">
        <v>-5.5837982806382302E-2</v>
      </c>
      <c r="Q1996">
        <v>0.74788163326291102</v>
      </c>
      <c r="R1996">
        <v>0.46851930781193202</v>
      </c>
      <c r="S1996" t="s">
        <v>8564</v>
      </c>
      <c r="T1996" t="s">
        <v>13134</v>
      </c>
      <c r="U1996" t="s">
        <v>13134</v>
      </c>
      <c r="V1996" t="s">
        <v>13134</v>
      </c>
      <c r="W1996" t="s">
        <v>15089</v>
      </c>
      <c r="X1996">
        <v>11</v>
      </c>
      <c r="Y1996" t="s">
        <v>21565</v>
      </c>
      <c r="Z1996" t="s">
        <v>27964</v>
      </c>
      <c r="AA1996">
        <v>0.83291895031868723</v>
      </c>
      <c r="AB1996" t="str">
        <f>HYPERLINK("Melting_Curves/meltCurve_P00491_PNP.pdf", "Melting_Curves/meltCurve_P00491_PNP.pdf")</f>
        <v>Melting_Curves/meltCurve_P00491_PNP.pdf</v>
      </c>
    </row>
    <row r="1997" spans="1:28" x14ac:dyDescent="0.25">
      <c r="A1997" t="s">
        <v>2001</v>
      </c>
      <c r="B1997">
        <v>0.99472303558308395</v>
      </c>
      <c r="C1997">
        <v>0.96295032797847901</v>
      </c>
      <c r="D1997">
        <v>0.99700462429801395</v>
      </c>
      <c r="E1997">
        <v>0.94871066547514904</v>
      </c>
      <c r="F1997">
        <v>0.79075886321801903</v>
      </c>
      <c r="G1997">
        <v>0.65741676146654404</v>
      </c>
      <c r="H1997">
        <v>0.49142106063881402</v>
      </c>
      <c r="I1997">
        <v>0.64563835080028598</v>
      </c>
      <c r="J1997">
        <v>0.828744346299776</v>
      </c>
      <c r="K1997">
        <v>0.70015194090450505</v>
      </c>
      <c r="L1997">
        <v>1922.58340927011</v>
      </c>
      <c r="M1997">
        <v>38.975204004946299</v>
      </c>
      <c r="O1997">
        <v>49.199067216384996</v>
      </c>
      <c r="P1997">
        <v>-6.6633442539231202E-2</v>
      </c>
      <c r="Q1997">
        <v>0.66355075572135103</v>
      </c>
      <c r="R1997">
        <v>0.77721565515486901</v>
      </c>
      <c r="S1997" t="s">
        <v>8565</v>
      </c>
      <c r="T1997" t="s">
        <v>13134</v>
      </c>
      <c r="U1997" t="s">
        <v>13134</v>
      </c>
      <c r="V1997" t="s">
        <v>13134</v>
      </c>
      <c r="W1997" t="s">
        <v>15090</v>
      </c>
      <c r="X1997">
        <v>16</v>
      </c>
      <c r="Y1997" t="s">
        <v>21566</v>
      </c>
      <c r="Z1997" t="s">
        <v>27965</v>
      </c>
      <c r="AA1997">
        <v>0.80302144072600046</v>
      </c>
      <c r="AB1997" t="str">
        <f>HYPERLINK("Melting_Curves/meltCurve_P00492_HPRT1.pdf", "Melting_Curves/meltCurve_P00492_HPRT1.pdf")</f>
        <v>Melting_Curves/meltCurve_P00492_HPRT1.pdf</v>
      </c>
    </row>
    <row r="1998" spans="1:28" x14ac:dyDescent="0.25">
      <c r="A1998" t="s">
        <v>2002</v>
      </c>
      <c r="B1998">
        <v>0.99472303558308395</v>
      </c>
      <c r="C1998">
        <v>1.54935812737931</v>
      </c>
      <c r="D1998">
        <v>1.16139187803543</v>
      </c>
      <c r="E1998">
        <v>1.3967082874175401</v>
      </c>
      <c r="F1998">
        <v>1.72448449225617</v>
      </c>
      <c r="G1998">
        <v>1.73241613247087</v>
      </c>
      <c r="H1998">
        <v>0.36901862739058</v>
      </c>
      <c r="I1998">
        <v>1.7167424531094699</v>
      </c>
      <c r="J1998">
        <v>0.73898896121894497</v>
      </c>
      <c r="K1998">
        <v>0.88665838036328803</v>
      </c>
      <c r="L1998">
        <v>3168.2856538198398</v>
      </c>
      <c r="M1998">
        <v>49.249857680872303</v>
      </c>
      <c r="O1998">
        <v>64.225061408584594</v>
      </c>
      <c r="P1998">
        <v>-2.5218905252230299E-2</v>
      </c>
      <c r="Q1998">
        <v>0.86845165924262202</v>
      </c>
      <c r="R1998">
        <v>-0.24043562601582699</v>
      </c>
      <c r="S1998" t="s">
        <v>8566</v>
      </c>
      <c r="T1998" t="s">
        <v>13134</v>
      </c>
      <c r="U1998" t="s">
        <v>13134</v>
      </c>
      <c r="V1998" t="s">
        <v>13134</v>
      </c>
      <c r="W1998" t="s">
        <v>15091</v>
      </c>
      <c r="X1998">
        <v>20</v>
      </c>
      <c r="Y1998" t="s">
        <v>21567</v>
      </c>
      <c r="Z1998" t="s">
        <v>27966</v>
      </c>
      <c r="AA1998">
        <v>0.98782534863899785</v>
      </c>
      <c r="AB1998" t="str">
        <f>HYPERLINK("Melting_Curves/meltCurve_P00505_GOT2.pdf", "Melting_Curves/meltCurve_P00505_GOT2.pdf")</f>
        <v>Melting_Curves/meltCurve_P00505_GOT2.pdf</v>
      </c>
    </row>
    <row r="1999" spans="1:28" x14ac:dyDescent="0.25">
      <c r="A1999" t="s">
        <v>2003</v>
      </c>
      <c r="B1999">
        <v>0.99472303558308395</v>
      </c>
      <c r="C1999">
        <v>0.93831611569544005</v>
      </c>
      <c r="D1999">
        <v>0.61106795269264802</v>
      </c>
      <c r="E1999">
        <v>0.428665990917665</v>
      </c>
      <c r="F1999">
        <v>0.171245409018043</v>
      </c>
      <c r="G1999">
        <v>8.4894403546335206E-2</v>
      </c>
      <c r="H1999">
        <v>5.8361717768756899E-2</v>
      </c>
      <c r="I1999">
        <v>3.89698468706762E-2</v>
      </c>
      <c r="J1999">
        <v>5.1977195374333401E-2</v>
      </c>
      <c r="K1999">
        <v>4.4388701200642602E-2</v>
      </c>
      <c r="L1999">
        <v>725.02232600404795</v>
      </c>
      <c r="M1999">
        <v>16.152661326508198</v>
      </c>
      <c r="N1999">
        <v>45.083611766160203</v>
      </c>
      <c r="O1999">
        <v>44.214556976427502</v>
      </c>
      <c r="P1999">
        <v>-8.8210627147967999E-2</v>
      </c>
      <c r="Q1999">
        <v>3.4239695028145403E-2</v>
      </c>
      <c r="R1999">
        <v>0.99133930654087099</v>
      </c>
      <c r="S1999" t="s">
        <v>8567</v>
      </c>
      <c r="T1999" t="s">
        <v>13134</v>
      </c>
      <c r="U1999" t="s">
        <v>13134</v>
      </c>
      <c r="V1999" t="s">
        <v>13134</v>
      </c>
      <c r="W1999" t="s">
        <v>15092</v>
      </c>
      <c r="X1999">
        <v>11</v>
      </c>
      <c r="Y1999" t="s">
        <v>21568</v>
      </c>
      <c r="Z1999" t="s">
        <v>27967</v>
      </c>
      <c r="AA1999">
        <v>0.30794935654273392</v>
      </c>
      <c r="AB1999" t="str">
        <f>HYPERLINK("Melting_Curves/meltCurve_P00519_ABL1.pdf", "Melting_Curves/meltCurve_P00519_ABL1.pdf")</f>
        <v>Melting_Curves/meltCurve_P00519_ABL1.pdf</v>
      </c>
    </row>
    <row r="2000" spans="1:28" x14ac:dyDescent="0.25">
      <c r="A2000" t="s">
        <v>2004</v>
      </c>
      <c r="B2000">
        <v>0.99472303558308395</v>
      </c>
      <c r="C2000">
        <v>0.991360855323562</v>
      </c>
      <c r="D2000">
        <v>1.05543684534445</v>
      </c>
      <c r="E2000">
        <v>0.98827092075202305</v>
      </c>
      <c r="F2000">
        <v>0.77206482711945201</v>
      </c>
      <c r="G2000">
        <v>0.65375193070471405</v>
      </c>
      <c r="H2000">
        <v>8.9521590925388903E-2</v>
      </c>
      <c r="I2000">
        <v>4.4716255773228603E-2</v>
      </c>
      <c r="J2000">
        <v>3.5336872182824601E-2</v>
      </c>
      <c r="K2000">
        <v>3.3047695378139903E-2</v>
      </c>
      <c r="L2000">
        <v>1461.3185376930801</v>
      </c>
      <c r="M2000">
        <v>26.953801413120299</v>
      </c>
      <c r="N2000">
        <v>54.216047269377199</v>
      </c>
      <c r="O2000">
        <v>53.9198903685839</v>
      </c>
      <c r="P2000">
        <v>-0.124960592890231</v>
      </c>
      <c r="Q2000">
        <v>9.7459498186475407E-5</v>
      </c>
      <c r="R2000">
        <v>0.97945327986233599</v>
      </c>
      <c r="S2000" t="s">
        <v>8568</v>
      </c>
      <c r="T2000" t="s">
        <v>13134</v>
      </c>
      <c r="U2000" t="s">
        <v>13134</v>
      </c>
      <c r="V2000" t="s">
        <v>13134</v>
      </c>
      <c r="W2000" t="s">
        <v>15093</v>
      </c>
      <c r="X2000">
        <v>41</v>
      </c>
      <c r="Y2000" t="s">
        <v>21569</v>
      </c>
      <c r="Z2000" t="s">
        <v>27968</v>
      </c>
      <c r="AA2000">
        <v>0.58158286755878252</v>
      </c>
      <c r="AB2000" t="str">
        <f>HYPERLINK("Melting_Curves/meltCurve_P00558_PGK1.pdf", "Melting_Curves/meltCurve_P00558_PGK1.pdf")</f>
        <v>Melting_Curves/meltCurve_P00558_PGK1.pdf</v>
      </c>
    </row>
    <row r="2001" spans="1:28" x14ac:dyDescent="0.25">
      <c r="A2001" t="s">
        <v>2005</v>
      </c>
      <c r="B2001">
        <v>0.99472303558308395</v>
      </c>
      <c r="C2001">
        <v>0.86302996792665898</v>
      </c>
      <c r="D2001">
        <v>0.977933646717556</v>
      </c>
      <c r="E2001">
        <v>0.764714138048879</v>
      </c>
      <c r="F2001">
        <v>0.55506600967896402</v>
      </c>
      <c r="G2001">
        <v>0.364705886860408</v>
      </c>
      <c r="H2001">
        <v>0.20503003081460899</v>
      </c>
      <c r="I2001">
        <v>0.164035875453659</v>
      </c>
      <c r="J2001">
        <v>0.221683713122067</v>
      </c>
      <c r="K2001">
        <v>0.17628834763025999</v>
      </c>
      <c r="L2001">
        <v>782.15938174747305</v>
      </c>
      <c r="M2001">
        <v>15.744674170148199</v>
      </c>
      <c r="N2001">
        <v>50.8673402062958</v>
      </c>
      <c r="O2001">
        <v>48.897017513985901</v>
      </c>
      <c r="P2001">
        <v>-6.8106784302729595E-2</v>
      </c>
      <c r="Q2001">
        <v>0.15401458094773501</v>
      </c>
      <c r="R2001">
        <v>0.97978653047409203</v>
      </c>
      <c r="S2001" t="s">
        <v>8569</v>
      </c>
      <c r="T2001" t="s">
        <v>13134</v>
      </c>
      <c r="U2001" t="s">
        <v>13134</v>
      </c>
      <c r="V2001" t="s">
        <v>13134</v>
      </c>
      <c r="W2001" t="s">
        <v>15094</v>
      </c>
      <c r="X2001">
        <v>3</v>
      </c>
      <c r="Y2001" t="s">
        <v>21570</v>
      </c>
      <c r="Z2001" t="s">
        <v>27969</v>
      </c>
      <c r="AA2001">
        <v>0.52811822514195239</v>
      </c>
      <c r="AB2001" t="str">
        <f>HYPERLINK("Melting_Curves/meltCurve_P01034_CST3.pdf", "Melting_Curves/meltCurve_P01034_CST3.pdf")</f>
        <v>Melting_Curves/meltCurve_P01034_CST3.pdf</v>
      </c>
    </row>
    <row r="2002" spans="1:28" x14ac:dyDescent="0.25">
      <c r="A2002" t="s">
        <v>2006</v>
      </c>
      <c r="B2002">
        <v>0.99472303558308395</v>
      </c>
      <c r="C2002">
        <v>0.98671279188427397</v>
      </c>
      <c r="D2002">
        <v>0.93924350297521897</v>
      </c>
      <c r="E2002">
        <v>0.89767607204595001</v>
      </c>
      <c r="F2002">
        <v>0.76824405211206803</v>
      </c>
      <c r="G2002">
        <v>0.60017400243964103</v>
      </c>
      <c r="H2002">
        <v>0.51848515506433202</v>
      </c>
      <c r="I2002">
        <v>0.51591405389912204</v>
      </c>
      <c r="J2002">
        <v>0.57474502128941696</v>
      </c>
      <c r="K2002">
        <v>0.31901125386660101</v>
      </c>
      <c r="L2002">
        <v>612.78476681607799</v>
      </c>
      <c r="M2002">
        <v>11.797301817518001</v>
      </c>
      <c r="N2002">
        <v>59.780721136722697</v>
      </c>
      <c r="O2002">
        <v>50.517710167897</v>
      </c>
      <c r="P2002">
        <v>-3.5415960878063903E-2</v>
      </c>
      <c r="Q2002">
        <v>0.39353161867236502</v>
      </c>
      <c r="R2002">
        <v>0.93706136883472702</v>
      </c>
      <c r="S2002" t="s">
        <v>8570</v>
      </c>
      <c r="T2002" t="s">
        <v>13134</v>
      </c>
      <c r="U2002" t="s">
        <v>13134</v>
      </c>
      <c r="V2002" t="s">
        <v>13134</v>
      </c>
      <c r="W2002" t="s">
        <v>15095</v>
      </c>
      <c r="X2002">
        <v>11</v>
      </c>
      <c r="Y2002" t="s">
        <v>21571</v>
      </c>
      <c r="Z2002" t="s">
        <v>27970</v>
      </c>
      <c r="AA2002">
        <v>0.71029632189636582</v>
      </c>
      <c r="AB2002" t="str">
        <f>HYPERLINK("Melting_Curves/meltCurve_P01111_NRAS.pdf", "Melting_Curves/meltCurve_P01111_NRAS.pdf")</f>
        <v>Melting_Curves/meltCurve_P01111_NRAS.pdf</v>
      </c>
    </row>
    <row r="2003" spans="1:28" x14ac:dyDescent="0.25">
      <c r="A2003" t="s">
        <v>2007</v>
      </c>
      <c r="B2003">
        <v>0.99472303558308395</v>
      </c>
      <c r="C2003">
        <v>0.98473133436244098</v>
      </c>
      <c r="D2003">
        <v>0.91984636262217001</v>
      </c>
      <c r="E2003">
        <v>0.87736011389264401</v>
      </c>
      <c r="F2003">
        <v>0.71937398464707902</v>
      </c>
      <c r="G2003">
        <v>0.53271932184832005</v>
      </c>
      <c r="H2003">
        <v>0.46665385627578598</v>
      </c>
      <c r="I2003">
        <v>0.45608049505004999</v>
      </c>
      <c r="J2003">
        <v>0.50432397104260995</v>
      </c>
      <c r="K2003">
        <v>0.34781028657238</v>
      </c>
      <c r="L2003">
        <v>765.74276180558297</v>
      </c>
      <c r="M2003">
        <v>15.255240121096</v>
      </c>
      <c r="N2003">
        <v>56.279774862773998</v>
      </c>
      <c r="O2003">
        <v>49.356589421992197</v>
      </c>
      <c r="P2003">
        <v>-4.6065215452019997E-2</v>
      </c>
      <c r="Q2003">
        <v>0.40390163100431298</v>
      </c>
      <c r="R2003">
        <v>0.97391373247317103</v>
      </c>
      <c r="S2003" t="s">
        <v>8571</v>
      </c>
      <c r="T2003" t="s">
        <v>13134</v>
      </c>
      <c r="U2003" t="s">
        <v>13134</v>
      </c>
      <c r="V2003" t="s">
        <v>13134</v>
      </c>
      <c r="W2003" t="s">
        <v>15096</v>
      </c>
      <c r="X2003">
        <v>12</v>
      </c>
      <c r="Y2003" t="s">
        <v>21572</v>
      </c>
      <c r="Z2003" t="s">
        <v>27971</v>
      </c>
      <c r="AA2003">
        <v>0.67817714304710108</v>
      </c>
      <c r="AB2003" t="str">
        <f>HYPERLINK("Melting_Curves/meltCurve_P01112_HRAS.pdf", "Melting_Curves/meltCurve_P01112_HRAS.pdf")</f>
        <v>Melting_Curves/meltCurve_P01112_HRAS.pdf</v>
      </c>
    </row>
    <row r="2004" spans="1:28" x14ac:dyDescent="0.25">
      <c r="A2004" t="s">
        <v>2008</v>
      </c>
      <c r="B2004">
        <v>0.99472303558308395</v>
      </c>
      <c r="C2004">
        <v>0.929457778767388</v>
      </c>
      <c r="D2004">
        <v>0.86474286341700402</v>
      </c>
      <c r="E2004">
        <v>0.80733719151823702</v>
      </c>
      <c r="F2004">
        <v>0.705507695607826</v>
      </c>
      <c r="G2004">
        <v>0.49312589461629902</v>
      </c>
      <c r="H2004">
        <v>0.43201933349841498</v>
      </c>
      <c r="I2004">
        <v>0.42421506819541699</v>
      </c>
      <c r="J2004">
        <v>0.45613287114714701</v>
      </c>
      <c r="K2004">
        <v>0.25584155526436098</v>
      </c>
      <c r="L2004">
        <v>458.15105381454498</v>
      </c>
      <c r="M2004">
        <v>8.9188061737064501</v>
      </c>
      <c r="N2004">
        <v>55.709109318497298</v>
      </c>
      <c r="O2004">
        <v>48.983497234934298</v>
      </c>
      <c r="P2004">
        <v>-3.4146242196993297E-2</v>
      </c>
      <c r="Q2004">
        <v>0.250417056553074</v>
      </c>
      <c r="R2004">
        <v>0.95963488068112102</v>
      </c>
      <c r="S2004" t="s">
        <v>8572</v>
      </c>
      <c r="T2004" t="s">
        <v>13134</v>
      </c>
      <c r="U2004" t="s">
        <v>13134</v>
      </c>
      <c r="V2004" t="s">
        <v>13134</v>
      </c>
      <c r="W2004" t="s">
        <v>15097</v>
      </c>
      <c r="X2004">
        <v>11</v>
      </c>
      <c r="Y2004" t="s">
        <v>21573</v>
      </c>
      <c r="Z2004" t="s">
        <v>27972</v>
      </c>
      <c r="AA2004">
        <v>0.63274777647121527</v>
      </c>
      <c r="AB2004" t="str">
        <f>HYPERLINK("Melting_Curves/meltCurve_P01116_2_KRAS.pdf", "Melting_Curves/meltCurve_P01116_2_KRAS.pdf")</f>
        <v>Melting_Curves/meltCurve_P01116_2_KRAS.pdf</v>
      </c>
    </row>
    <row r="2005" spans="1:28" x14ac:dyDescent="0.25">
      <c r="A2005" t="s">
        <v>2009</v>
      </c>
      <c r="B2005">
        <v>0.99472303558308395</v>
      </c>
      <c r="C2005">
        <v>0.98919392874661705</v>
      </c>
      <c r="D2005">
        <v>0.93330927798732299</v>
      </c>
      <c r="E2005">
        <v>0.87930336723650704</v>
      </c>
      <c r="F2005">
        <v>0.73341971315444499</v>
      </c>
      <c r="G2005">
        <v>0.52726337194033401</v>
      </c>
      <c r="H2005">
        <v>0.288543613178882</v>
      </c>
      <c r="I2005">
        <v>0.221510756573436</v>
      </c>
      <c r="J2005">
        <v>0.19857289429538599</v>
      </c>
      <c r="K2005">
        <v>0.12798507348551899</v>
      </c>
      <c r="L2005">
        <v>739.93201334627599</v>
      </c>
      <c r="M2005">
        <v>13.9305729161792</v>
      </c>
      <c r="N2005">
        <v>53.903751413469799</v>
      </c>
      <c r="O2005">
        <v>52.057059610289002</v>
      </c>
      <c r="P2005">
        <v>-6.0745010127627501E-2</v>
      </c>
      <c r="Q2005">
        <v>9.2132281483284104E-2</v>
      </c>
      <c r="R2005">
        <v>0.99603026812405604</v>
      </c>
      <c r="S2005" t="s">
        <v>8573</v>
      </c>
      <c r="T2005" t="s">
        <v>13134</v>
      </c>
      <c r="U2005" t="s">
        <v>13134</v>
      </c>
      <c r="V2005" t="s">
        <v>13134</v>
      </c>
      <c r="W2005" t="s">
        <v>15098</v>
      </c>
      <c r="X2005">
        <v>15</v>
      </c>
      <c r="Y2005" t="s">
        <v>21574</v>
      </c>
      <c r="Z2005" t="s">
        <v>27973</v>
      </c>
      <c r="AA2005">
        <v>0.59693827281049472</v>
      </c>
      <c r="AB2005" t="str">
        <f>HYPERLINK("Melting_Curves/meltCurve_P01137_TGFB1.pdf", "Melting_Curves/meltCurve_P01137_TGFB1.pdf")</f>
        <v>Melting_Curves/meltCurve_P01137_TGFB1.pdf</v>
      </c>
    </row>
    <row r="2006" spans="1:28" x14ac:dyDescent="0.25">
      <c r="A2006" t="s">
        <v>2010</v>
      </c>
      <c r="B2006">
        <v>0.99472303558308395</v>
      </c>
      <c r="C2006">
        <v>1.0391593590218</v>
      </c>
      <c r="D2006">
        <v>1.04287064758286</v>
      </c>
      <c r="E2006">
        <v>0.92717023223296202</v>
      </c>
      <c r="F2006">
        <v>0.70372450213243598</v>
      </c>
      <c r="G2006">
        <v>0.64260853792366501</v>
      </c>
      <c r="H2006">
        <v>0.52049284894234704</v>
      </c>
      <c r="I2006">
        <v>0.61574937123903095</v>
      </c>
      <c r="J2006">
        <v>0.76577727995355105</v>
      </c>
      <c r="K2006">
        <v>0.444905530965437</v>
      </c>
      <c r="L2006">
        <v>1645.97586677557</v>
      </c>
      <c r="M2006">
        <v>33.724498774977398</v>
      </c>
      <c r="O2006">
        <v>48.635881652310097</v>
      </c>
      <c r="P2006">
        <v>-7.0546133746661105E-2</v>
      </c>
      <c r="Q2006">
        <v>0.593048438514446</v>
      </c>
      <c r="R2006">
        <v>0.85550617393724804</v>
      </c>
      <c r="S2006" t="s">
        <v>8574</v>
      </c>
      <c r="T2006" t="s">
        <v>13134</v>
      </c>
      <c r="U2006" t="s">
        <v>13134</v>
      </c>
      <c r="V2006" t="s">
        <v>13134</v>
      </c>
      <c r="W2006" t="s">
        <v>15099</v>
      </c>
      <c r="X2006">
        <v>11</v>
      </c>
      <c r="Y2006" t="s">
        <v>21575</v>
      </c>
      <c r="Z2006" t="s">
        <v>27974</v>
      </c>
      <c r="AA2006">
        <v>0.75513965987413811</v>
      </c>
      <c r="AB2006" t="str">
        <f>HYPERLINK("Melting_Curves/meltCurve_P02008_HBZ.pdf", "Melting_Curves/meltCurve_P02008_HBZ.pdf")</f>
        <v>Melting_Curves/meltCurve_P02008_HBZ.pdf</v>
      </c>
    </row>
    <row r="2007" spans="1:28" x14ac:dyDescent="0.25">
      <c r="A2007" t="s">
        <v>2011</v>
      </c>
      <c r="B2007">
        <v>0.99472303558308395</v>
      </c>
      <c r="C2007">
        <v>1.0336958575671999</v>
      </c>
      <c r="D2007">
        <v>0.97105696676539299</v>
      </c>
      <c r="E2007">
        <v>0.88812714981288798</v>
      </c>
      <c r="F2007">
        <v>0.75368621161948701</v>
      </c>
      <c r="G2007">
        <v>0.53949151571062504</v>
      </c>
      <c r="H2007">
        <v>0.43246548232061599</v>
      </c>
      <c r="I2007">
        <v>0.47399395018069101</v>
      </c>
      <c r="J2007">
        <v>0.57411407194696595</v>
      </c>
      <c r="K2007">
        <v>0.44397721727669398</v>
      </c>
      <c r="L2007">
        <v>1204.75525651157</v>
      </c>
      <c r="M2007">
        <v>24.127601613701799</v>
      </c>
      <c r="N2007">
        <v>56.9078713270465</v>
      </c>
      <c r="O2007">
        <v>49.593438926464998</v>
      </c>
      <c r="P2007">
        <v>-6.3974179521183394E-2</v>
      </c>
      <c r="Q2007">
        <v>0.47402141849107399</v>
      </c>
      <c r="R2007">
        <v>0.96567286374718198</v>
      </c>
      <c r="S2007" t="s">
        <v>8575</v>
      </c>
      <c r="T2007" t="s">
        <v>13134</v>
      </c>
      <c r="U2007" t="s">
        <v>13134</v>
      </c>
      <c r="V2007" t="s">
        <v>13134</v>
      </c>
      <c r="W2007" t="s">
        <v>15100</v>
      </c>
      <c r="X2007">
        <v>8</v>
      </c>
      <c r="Y2007" t="s">
        <v>21576</v>
      </c>
      <c r="Z2007" t="s">
        <v>27975</v>
      </c>
      <c r="AA2007">
        <v>0.70568204085118325</v>
      </c>
      <c r="AB2007" t="str">
        <f>HYPERLINK("Melting_Curves/meltCurve_P02042_HBD.pdf", "Melting_Curves/meltCurve_P02042_HBD.pdf")</f>
        <v>Melting_Curves/meltCurve_P02042_HBD.pdf</v>
      </c>
    </row>
    <row r="2008" spans="1:28" x14ac:dyDescent="0.25">
      <c r="A2008" t="s">
        <v>2012</v>
      </c>
      <c r="B2008">
        <v>0.99472303558308395</v>
      </c>
      <c r="C2008">
        <v>0.95210049597013202</v>
      </c>
      <c r="D2008">
        <v>1.0377852081729699</v>
      </c>
      <c r="E2008">
        <v>0.97345203317128004</v>
      </c>
      <c r="F2008">
        <v>0.75815097933374498</v>
      </c>
      <c r="G2008">
        <v>0.68257693362330696</v>
      </c>
      <c r="H2008">
        <v>0.56907622358016896</v>
      </c>
      <c r="I2008">
        <v>0.61037486572149802</v>
      </c>
      <c r="J2008">
        <v>0.72405567278487803</v>
      </c>
      <c r="K2008">
        <v>0.42072803185910901</v>
      </c>
      <c r="L2008">
        <v>1274.19938406493</v>
      </c>
      <c r="M2008">
        <v>25.391506815243901</v>
      </c>
      <c r="O2008">
        <v>49.873953880022398</v>
      </c>
      <c r="P2008">
        <v>-5.34142488854219E-2</v>
      </c>
      <c r="Q2008">
        <v>0.58034060726383596</v>
      </c>
      <c r="R2008">
        <v>0.86175904719549001</v>
      </c>
      <c r="S2008" t="s">
        <v>8576</v>
      </c>
      <c r="T2008" t="s">
        <v>13134</v>
      </c>
      <c r="U2008" t="s">
        <v>13134</v>
      </c>
      <c r="V2008" t="s">
        <v>13134</v>
      </c>
      <c r="W2008" t="s">
        <v>15101</v>
      </c>
      <c r="X2008">
        <v>13</v>
      </c>
      <c r="Y2008" t="s">
        <v>19708</v>
      </c>
      <c r="Z2008" t="s">
        <v>27976</v>
      </c>
      <c r="AA2008">
        <v>0.76831038506220106</v>
      </c>
      <c r="AB2008" t="str">
        <f>HYPERLINK("Melting_Curves/meltCurve_P02100_HBE1.pdf", "Melting_Curves/meltCurve_P02100_HBE1.pdf")</f>
        <v>Melting_Curves/meltCurve_P02100_HBE1.pdf</v>
      </c>
    </row>
    <row r="2009" spans="1:28" x14ac:dyDescent="0.25">
      <c r="A2009" t="s">
        <v>2013</v>
      </c>
      <c r="B2009">
        <v>0.99472303558308395</v>
      </c>
      <c r="C2009">
        <v>1.0217580722561299</v>
      </c>
      <c r="D2009">
        <v>1.0091387031716199</v>
      </c>
      <c r="E2009">
        <v>0.975981264083711</v>
      </c>
      <c r="F2009">
        <v>1.20884194149165</v>
      </c>
      <c r="G2009">
        <v>0.70747401742237004</v>
      </c>
      <c r="H2009">
        <v>0.210533366897077</v>
      </c>
      <c r="I2009">
        <v>0.10407910026738899</v>
      </c>
      <c r="J2009">
        <v>0.11469503119462</v>
      </c>
      <c r="K2009">
        <v>9.4387005439353897E-2</v>
      </c>
      <c r="L2009">
        <v>2910.6849558271701</v>
      </c>
      <c r="M2009">
        <v>53.289508380467197</v>
      </c>
      <c r="N2009">
        <v>54.883370354714799</v>
      </c>
      <c r="O2009">
        <v>54.543469506305797</v>
      </c>
      <c r="P2009">
        <v>-0.21671692237676099</v>
      </c>
      <c r="Q2009">
        <v>0.112734540875643</v>
      </c>
      <c r="R2009">
        <v>0.97342615711180602</v>
      </c>
      <c r="S2009" t="s">
        <v>8577</v>
      </c>
      <c r="T2009" t="s">
        <v>13134</v>
      </c>
      <c r="U2009" t="s">
        <v>13134</v>
      </c>
      <c r="V2009" t="s">
        <v>13134</v>
      </c>
      <c r="W2009" t="s">
        <v>15102</v>
      </c>
      <c r="X2009">
        <v>74</v>
      </c>
      <c r="Y2009" t="s">
        <v>21577</v>
      </c>
      <c r="Z2009" t="s">
        <v>27977</v>
      </c>
      <c r="AA2009">
        <v>0.63573992042014982</v>
      </c>
      <c r="AB2009" t="str">
        <f>HYPERLINK("Melting_Curves/meltCurve_P02545_LMNA.pdf", "Melting_Curves/meltCurve_P02545_LMNA.pdf")</f>
        <v>Melting_Curves/meltCurve_P02545_LMNA.pdf</v>
      </c>
    </row>
    <row r="2010" spans="1:28" x14ac:dyDescent="0.25">
      <c r="A2010" t="s">
        <v>2014</v>
      </c>
      <c r="B2010">
        <v>0.99472303558308395</v>
      </c>
      <c r="C2010">
        <v>0.95736189070725797</v>
      </c>
      <c r="D2010">
        <v>0.754600432471355</v>
      </c>
      <c r="E2010">
        <v>0.72173648759029596</v>
      </c>
      <c r="F2010">
        <v>0.55032457224155595</v>
      </c>
      <c r="G2010">
        <v>0.36903536992643898</v>
      </c>
      <c r="H2010">
        <v>0.292905887613234</v>
      </c>
      <c r="I2010">
        <v>0.20385961900487001</v>
      </c>
      <c r="J2010">
        <v>0.17824182791427801</v>
      </c>
      <c r="K2010">
        <v>0.16523847766876301</v>
      </c>
      <c r="L2010">
        <v>468.16871919597997</v>
      </c>
      <c r="M2010">
        <v>9.3639534477132607</v>
      </c>
      <c r="N2010">
        <v>50.874359751701803</v>
      </c>
      <c r="O2010">
        <v>47.875639810095798</v>
      </c>
      <c r="P2010">
        <v>-4.52792897426866E-2</v>
      </c>
      <c r="Q2010">
        <v>7.4569819890255601E-2</v>
      </c>
      <c r="R2010">
        <v>0.98835861878453302</v>
      </c>
      <c r="S2010" t="s">
        <v>8578</v>
      </c>
      <c r="T2010" t="s">
        <v>13134</v>
      </c>
      <c r="U2010" t="s">
        <v>13134</v>
      </c>
      <c r="V2010" t="s">
        <v>13134</v>
      </c>
      <c r="W2010" t="s">
        <v>15103</v>
      </c>
      <c r="X2010">
        <v>72</v>
      </c>
      <c r="Y2010" t="s">
        <v>21577</v>
      </c>
      <c r="Z2010" t="s">
        <v>27978</v>
      </c>
      <c r="AA2010">
        <v>0.50883989593923895</v>
      </c>
      <c r="AB2010" t="str">
        <f>HYPERLINK("Melting_Curves/meltCurve_P02545_2_LMNA.pdf", "Melting_Curves/meltCurve_P02545_2_LMNA.pdf")</f>
        <v>Melting_Curves/meltCurve_P02545_2_LMNA.pdf</v>
      </c>
    </row>
    <row r="2011" spans="1:28" x14ac:dyDescent="0.25">
      <c r="A2011" t="s">
        <v>2015</v>
      </c>
      <c r="B2011">
        <v>0.99472303558308395</v>
      </c>
      <c r="C2011">
        <v>0.93957701392220805</v>
      </c>
      <c r="D2011">
        <v>0.68671531799049401</v>
      </c>
      <c r="E2011">
        <v>0.34181423010856699</v>
      </c>
      <c r="F2011">
        <v>0.14426725328085699</v>
      </c>
      <c r="G2011">
        <v>8.7286561947443803E-2</v>
      </c>
      <c r="H2011">
        <v>5.8394832721201897E-2</v>
      </c>
      <c r="I2011">
        <v>4.1761894668215699E-2</v>
      </c>
      <c r="J2011">
        <v>4.75209353612948E-2</v>
      </c>
      <c r="K2011">
        <v>4.0615345317782103E-2</v>
      </c>
      <c r="L2011">
        <v>888.35380523097695</v>
      </c>
      <c r="M2011">
        <v>19.877035440805301</v>
      </c>
      <c r="N2011">
        <v>44.906016243807997</v>
      </c>
      <c r="O2011">
        <v>44.247504652090498</v>
      </c>
      <c r="P2011">
        <v>-0.10724494058877899</v>
      </c>
      <c r="Q2011">
        <v>4.5096852860253001E-2</v>
      </c>
      <c r="R2011">
        <v>0.999334230003325</v>
      </c>
      <c r="S2011" t="s">
        <v>8579</v>
      </c>
      <c r="T2011" t="s">
        <v>13134</v>
      </c>
      <c r="U2011" t="s">
        <v>13134</v>
      </c>
      <c r="V2011" t="s">
        <v>13134</v>
      </c>
      <c r="W2011" t="s">
        <v>15104</v>
      </c>
      <c r="X2011">
        <v>75</v>
      </c>
      <c r="Y2011" t="s">
        <v>21578</v>
      </c>
      <c r="Z2011" t="s">
        <v>27979</v>
      </c>
      <c r="AA2011">
        <v>0.30271171228539689</v>
      </c>
      <c r="AB2011" t="str">
        <f>HYPERLINK("Melting_Curves/meltCurve_P02549_SPTA1.pdf", "Melting_Curves/meltCurve_P02549_SPTA1.pdf")</f>
        <v>Melting_Curves/meltCurve_P02549_SPTA1.pdf</v>
      </c>
    </row>
    <row r="2012" spans="1:28" x14ac:dyDescent="0.25">
      <c r="A2012" t="s">
        <v>2016</v>
      </c>
      <c r="B2012">
        <v>0.99472303558308395</v>
      </c>
      <c r="C2012">
        <v>1.1013077818786099</v>
      </c>
      <c r="D2012">
        <v>0.93755741562220296</v>
      </c>
      <c r="E2012">
        <v>0.86870129041227795</v>
      </c>
      <c r="F2012">
        <v>0.60797453160717796</v>
      </c>
      <c r="G2012">
        <v>0.38166182121466102</v>
      </c>
      <c r="H2012">
        <v>0.21525880325520799</v>
      </c>
      <c r="I2012">
        <v>0.20505723869127401</v>
      </c>
      <c r="J2012">
        <v>0.25477920995579401</v>
      </c>
      <c r="K2012">
        <v>0.22426926335588099</v>
      </c>
      <c r="L2012">
        <v>1077.13350714179</v>
      </c>
      <c r="M2012">
        <v>21.4604619919164</v>
      </c>
      <c r="N2012">
        <v>51.500201706065397</v>
      </c>
      <c r="O2012">
        <v>49.761815319484</v>
      </c>
      <c r="P2012">
        <v>-8.5157814434452306E-2</v>
      </c>
      <c r="Q2012">
        <v>0.21017486807635599</v>
      </c>
      <c r="R2012">
        <v>0.98578814318067798</v>
      </c>
      <c r="S2012" t="s">
        <v>8580</v>
      </c>
      <c r="T2012" t="s">
        <v>13134</v>
      </c>
      <c r="U2012" t="s">
        <v>13134</v>
      </c>
      <c r="V2012" t="s">
        <v>13134</v>
      </c>
      <c r="W2012" t="s">
        <v>15105</v>
      </c>
      <c r="X2012">
        <v>10</v>
      </c>
      <c r="Y2012" t="s">
        <v>21579</v>
      </c>
      <c r="Z2012" t="s">
        <v>27980</v>
      </c>
      <c r="AA2012">
        <v>0.56665348010750771</v>
      </c>
      <c r="AB2012" t="str">
        <f>HYPERLINK("Melting_Curves/meltCurve_P02649_APOE.pdf", "Melting_Curves/meltCurve_P02649_APOE.pdf")</f>
        <v>Melting_Curves/meltCurve_P02649_APOE.pdf</v>
      </c>
    </row>
    <row r="2013" spans="1:28" x14ac:dyDescent="0.25">
      <c r="A2013" t="s">
        <v>2017</v>
      </c>
      <c r="B2013">
        <v>0.99472303558308395</v>
      </c>
      <c r="C2013">
        <v>1.1762688187139601</v>
      </c>
      <c r="D2013">
        <v>0.94844967743555997</v>
      </c>
      <c r="E2013">
        <v>0.82664751441590201</v>
      </c>
      <c r="F2013">
        <v>0.89892583003146398</v>
      </c>
      <c r="G2013">
        <v>0.44748564883459602</v>
      </c>
      <c r="H2013">
        <v>0.20634953178932899</v>
      </c>
      <c r="I2013">
        <v>9.1915519299789999E-2</v>
      </c>
      <c r="J2013">
        <v>0</v>
      </c>
      <c r="K2013">
        <v>0.122724484420317</v>
      </c>
      <c r="L2013">
        <v>1348.5279000523401</v>
      </c>
      <c r="M2013">
        <v>25.294782495501199</v>
      </c>
      <c r="N2013">
        <v>53.561030987126898</v>
      </c>
      <c r="O2013">
        <v>52.982630342357403</v>
      </c>
      <c r="P2013">
        <v>-0.11274643232465099</v>
      </c>
      <c r="Q2013">
        <v>5.53742258282316E-2</v>
      </c>
      <c r="R2013">
        <v>0.96079261832639795</v>
      </c>
      <c r="S2013" t="s">
        <v>8581</v>
      </c>
      <c r="T2013" t="s">
        <v>13134</v>
      </c>
      <c r="U2013" t="s">
        <v>13134</v>
      </c>
      <c r="V2013" t="s">
        <v>13134</v>
      </c>
      <c r="W2013" t="s">
        <v>15106</v>
      </c>
      <c r="X2013">
        <v>2</v>
      </c>
      <c r="Y2013" t="s">
        <v>21580</v>
      </c>
      <c r="Z2013" t="s">
        <v>27981</v>
      </c>
      <c r="AA2013">
        <v>0.57717644740481233</v>
      </c>
      <c r="AB2013" t="str">
        <f>HYPERLINK("Melting_Curves/meltCurve_P02730_SLC4A1.pdf", "Melting_Curves/meltCurve_P02730_SLC4A1.pdf")</f>
        <v>Melting_Curves/meltCurve_P02730_SLC4A1.pdf</v>
      </c>
    </row>
    <row r="2014" spans="1:28" x14ac:dyDescent="0.25">
      <c r="A2014" t="s">
        <v>2018</v>
      </c>
      <c r="B2014">
        <v>0.99472303558308395</v>
      </c>
      <c r="C2014">
        <v>1.0106715694431201</v>
      </c>
      <c r="D2014">
        <v>0.96263900850619699</v>
      </c>
      <c r="E2014">
        <v>0.92877726852739895</v>
      </c>
      <c r="F2014">
        <v>0.74987108207893804</v>
      </c>
      <c r="G2014">
        <v>0.49787524663534299</v>
      </c>
      <c r="H2014">
        <v>0.33543066743706401</v>
      </c>
      <c r="I2014">
        <v>0.32385343086997298</v>
      </c>
      <c r="J2014">
        <v>0.36660329362447402</v>
      </c>
      <c r="K2014">
        <v>0.30816980369637698</v>
      </c>
      <c r="L2014">
        <v>1207.1214672502699</v>
      </c>
      <c r="M2014">
        <v>23.539711640528399</v>
      </c>
      <c r="N2014">
        <v>53.572263079928398</v>
      </c>
      <c r="O2014">
        <v>50.914437354233499</v>
      </c>
      <c r="P2014">
        <v>-7.8903429387722601E-2</v>
      </c>
      <c r="Q2014">
        <v>0.31736551886918102</v>
      </c>
      <c r="R2014">
        <v>0.99469093478508397</v>
      </c>
      <c r="S2014" t="s">
        <v>8582</v>
      </c>
      <c r="T2014" t="s">
        <v>13134</v>
      </c>
      <c r="U2014" t="s">
        <v>13134</v>
      </c>
      <c r="V2014" t="s">
        <v>13134</v>
      </c>
      <c r="W2014" t="s">
        <v>15107</v>
      </c>
      <c r="X2014">
        <v>46</v>
      </c>
      <c r="Y2014" t="s">
        <v>21581</v>
      </c>
      <c r="Z2014" t="s">
        <v>27982</v>
      </c>
      <c r="AA2014">
        <v>0.64903562981693796</v>
      </c>
      <c r="AB2014" t="str">
        <f>HYPERLINK("Melting_Curves/meltCurve_P02786_TFRC.pdf", "Melting_Curves/meltCurve_P02786_TFRC.pdf")</f>
        <v>Melting_Curves/meltCurve_P02786_TFRC.pdf</v>
      </c>
    </row>
    <row r="2015" spans="1:28" x14ac:dyDescent="0.25">
      <c r="A2015" t="s">
        <v>2019</v>
      </c>
      <c r="B2015">
        <v>0.99472303558308395</v>
      </c>
      <c r="C2015">
        <v>1.0601807559108001</v>
      </c>
      <c r="D2015">
        <v>0.73798249506637703</v>
      </c>
      <c r="E2015">
        <v>0.69008479023374203</v>
      </c>
      <c r="F2015">
        <v>0.80956004068207399</v>
      </c>
      <c r="G2015">
        <v>0.31565351349401899</v>
      </c>
      <c r="H2015">
        <v>0.23563724193937</v>
      </c>
      <c r="I2015">
        <v>0.22333583741546101</v>
      </c>
      <c r="J2015">
        <v>0.36059410935132902</v>
      </c>
      <c r="K2015">
        <v>0.38226456407044301</v>
      </c>
      <c r="L2015">
        <v>624.36501179161303</v>
      </c>
      <c r="M2015">
        <v>12.785784399308</v>
      </c>
      <c r="N2015">
        <v>51.768249005586704</v>
      </c>
      <c r="O2015">
        <v>47.684438396977797</v>
      </c>
      <c r="P2015">
        <v>-4.97587626981311E-2</v>
      </c>
      <c r="Q2015">
        <v>0.25784089148887301</v>
      </c>
      <c r="R2015">
        <v>0.83744772210589102</v>
      </c>
      <c r="S2015" t="s">
        <v>8583</v>
      </c>
      <c r="T2015" t="s">
        <v>13134</v>
      </c>
      <c r="U2015" t="s">
        <v>13134</v>
      </c>
      <c r="V2015" t="s">
        <v>13134</v>
      </c>
      <c r="W2015" t="s">
        <v>15108</v>
      </c>
      <c r="X2015">
        <v>1</v>
      </c>
      <c r="Y2015" t="s">
        <v>21582</v>
      </c>
      <c r="Z2015" t="s">
        <v>27983</v>
      </c>
      <c r="AA2015">
        <v>0.57095588783269235</v>
      </c>
      <c r="AB2015" t="str">
        <f>HYPERLINK("Melting_Curves/meltCurve_P02792_FTL.pdf", "Melting_Curves/meltCurve_P02792_FTL.pdf")</f>
        <v>Melting_Curves/meltCurve_P02792_FTL.pdf</v>
      </c>
    </row>
    <row r="2016" spans="1:28" x14ac:dyDescent="0.25">
      <c r="A2016" t="s">
        <v>2020</v>
      </c>
      <c r="B2016">
        <v>0.99472303558308395</v>
      </c>
      <c r="C2016">
        <v>1.4048717612632899</v>
      </c>
      <c r="D2016">
        <v>0.94739225180657605</v>
      </c>
      <c r="E2016">
        <v>0.76871495001614698</v>
      </c>
      <c r="F2016">
        <v>0.98276439172221797</v>
      </c>
      <c r="G2016">
        <v>0.40402021962533302</v>
      </c>
      <c r="H2016">
        <v>0.23460839187482299</v>
      </c>
      <c r="I2016">
        <v>0.29348856557302599</v>
      </c>
      <c r="J2016">
        <v>0.28927093794241798</v>
      </c>
      <c r="K2016">
        <v>0.130817197942594</v>
      </c>
      <c r="L2016">
        <v>3716.4185607199302</v>
      </c>
      <c r="M2016">
        <v>70.3463375037107</v>
      </c>
      <c r="N2016">
        <v>53.315268860595197</v>
      </c>
      <c r="O2016">
        <v>52.7876571717877</v>
      </c>
      <c r="P2016">
        <v>-0.25442223115968199</v>
      </c>
      <c r="Q2016">
        <v>0.23632973947776001</v>
      </c>
      <c r="R2016">
        <v>0.85711998292605196</v>
      </c>
      <c r="S2016" t="s">
        <v>8584</v>
      </c>
      <c r="T2016" t="s">
        <v>13134</v>
      </c>
      <c r="U2016" t="s">
        <v>13134</v>
      </c>
      <c r="V2016" t="s">
        <v>13134</v>
      </c>
      <c r="W2016" t="s">
        <v>15109</v>
      </c>
      <c r="X2016">
        <v>1</v>
      </c>
      <c r="Y2016" t="s">
        <v>21583</v>
      </c>
      <c r="Z2016" t="s">
        <v>27984</v>
      </c>
      <c r="AA2016">
        <v>0.64019743280389796</v>
      </c>
      <c r="AB2016" t="str">
        <f>HYPERLINK("Melting_Curves/meltCurve_P02794_FTH1.pdf", "Melting_Curves/meltCurve_P02794_FTH1.pdf")</f>
        <v>Melting_Curves/meltCurve_P02794_FTH1.pdf</v>
      </c>
    </row>
    <row r="2017" spans="1:28" x14ac:dyDescent="0.25">
      <c r="A2017" t="s">
        <v>2021</v>
      </c>
      <c r="B2017">
        <v>0.99472303558308395</v>
      </c>
      <c r="C2017">
        <v>0.92640881482133597</v>
      </c>
      <c r="D2017">
        <v>0.73984656645005198</v>
      </c>
      <c r="E2017">
        <v>0.63035998927776005</v>
      </c>
      <c r="F2017">
        <v>0.444693106115015</v>
      </c>
      <c r="G2017">
        <v>0.233331058489469</v>
      </c>
      <c r="H2017">
        <v>0.15629075773696699</v>
      </c>
      <c r="I2017">
        <v>0.120628061440297</v>
      </c>
      <c r="J2017">
        <v>0.16058130460296999</v>
      </c>
      <c r="K2017">
        <v>0.13351483836731401</v>
      </c>
      <c r="L2017">
        <v>569.38833070375597</v>
      </c>
      <c r="M2017">
        <v>11.9738787883753</v>
      </c>
      <c r="N2017">
        <v>48.314474536537098</v>
      </c>
      <c r="O2017">
        <v>46.284433119604202</v>
      </c>
      <c r="P2017">
        <v>-5.91253907028386E-2</v>
      </c>
      <c r="Q2017">
        <v>8.6037271596835899E-2</v>
      </c>
      <c r="R2017">
        <v>0.98915203198391599</v>
      </c>
      <c r="S2017" t="s">
        <v>8585</v>
      </c>
      <c r="T2017" t="s">
        <v>13134</v>
      </c>
      <c r="U2017" t="s">
        <v>13134</v>
      </c>
      <c r="V2017" t="s">
        <v>13134</v>
      </c>
      <c r="W2017" t="s">
        <v>15110</v>
      </c>
      <c r="X2017">
        <v>2</v>
      </c>
      <c r="Y2017" t="s">
        <v>21584</v>
      </c>
      <c r="Z2017" t="s">
        <v>27985</v>
      </c>
      <c r="AA2017">
        <v>0.43686829237887043</v>
      </c>
      <c r="AB2017" t="str">
        <f>HYPERLINK("Melting_Curves/meltCurve_P03928_MT_ATP8.pdf", "Melting_Curves/meltCurve_P03928_MT_ATP8.pdf")</f>
        <v>Melting_Curves/meltCurve_P03928_MT_ATP8.pdf</v>
      </c>
    </row>
    <row r="2018" spans="1:28" x14ac:dyDescent="0.25">
      <c r="A2018" t="s">
        <v>2022</v>
      </c>
      <c r="B2018">
        <v>0.99472303558308395</v>
      </c>
      <c r="C2018">
        <v>0.96850165880884698</v>
      </c>
      <c r="D2018">
        <v>0.658137457949731</v>
      </c>
      <c r="E2018">
        <v>0.497574055235668</v>
      </c>
      <c r="F2018">
        <v>0.387874986882354</v>
      </c>
      <c r="G2018">
        <v>0.17965534219181001</v>
      </c>
      <c r="H2018">
        <v>9.5547610616697101E-2</v>
      </c>
      <c r="I2018">
        <v>6.6014701187781494E-2</v>
      </c>
      <c r="J2018">
        <v>5.1330042206058003E-2</v>
      </c>
      <c r="K2018">
        <v>5.9200955816464E-2</v>
      </c>
      <c r="L2018">
        <v>554.51980326692797</v>
      </c>
      <c r="M2018">
        <v>11.8683582627232</v>
      </c>
      <c r="N2018">
        <v>46.875157987599501</v>
      </c>
      <c r="O2018">
        <v>45.455298132373997</v>
      </c>
      <c r="P2018">
        <v>-6.4053870832654194E-2</v>
      </c>
      <c r="Q2018">
        <v>1.8952617664302601E-2</v>
      </c>
      <c r="R2018">
        <v>0.98303811221072601</v>
      </c>
      <c r="S2018" t="s">
        <v>8586</v>
      </c>
      <c r="T2018" t="s">
        <v>13134</v>
      </c>
      <c r="U2018" t="s">
        <v>13134</v>
      </c>
      <c r="V2018" t="s">
        <v>13134</v>
      </c>
      <c r="W2018" t="s">
        <v>15111</v>
      </c>
      <c r="X2018">
        <v>7</v>
      </c>
      <c r="Y2018" t="s">
        <v>21585</v>
      </c>
      <c r="Z2018" t="s">
        <v>27986</v>
      </c>
      <c r="AA2018">
        <v>0.37015133206228051</v>
      </c>
      <c r="AB2018" t="str">
        <f>HYPERLINK("Melting_Curves/meltCurve_P04035_HMGCR.pdf", "Melting_Curves/meltCurve_P04035_HMGCR.pdf")</f>
        <v>Melting_Curves/meltCurve_P04035_HMGCR.pdf</v>
      </c>
    </row>
    <row r="2019" spans="1:28" x14ac:dyDescent="0.25">
      <c r="A2019" t="s">
        <v>2023</v>
      </c>
      <c r="B2019">
        <v>0.99472303558308395</v>
      </c>
      <c r="C2019">
        <v>1.0864158670594199</v>
      </c>
      <c r="D2019">
        <v>0.78461723919441195</v>
      </c>
      <c r="E2019">
        <v>0.69370034041743001</v>
      </c>
      <c r="F2019">
        <v>0.81528673049219302</v>
      </c>
      <c r="G2019">
        <v>0.41359319128809102</v>
      </c>
      <c r="H2019">
        <v>0.27563418145827001</v>
      </c>
      <c r="I2019">
        <v>0.22856747403394401</v>
      </c>
      <c r="J2019">
        <v>0.303642939637147</v>
      </c>
      <c r="K2019">
        <v>0.19519285512402401</v>
      </c>
      <c r="L2019">
        <v>547.917152913883</v>
      </c>
      <c r="M2019">
        <v>10.647953185888101</v>
      </c>
      <c r="N2019">
        <v>52.963264807894802</v>
      </c>
      <c r="O2019">
        <v>49.742093287904297</v>
      </c>
      <c r="P2019">
        <v>-4.6544479705450503E-2</v>
      </c>
      <c r="Q2019">
        <v>0.13059910113591999</v>
      </c>
      <c r="R2019">
        <v>0.90974389270071998</v>
      </c>
      <c r="S2019" t="s">
        <v>8587</v>
      </c>
      <c r="T2019" t="s">
        <v>13134</v>
      </c>
      <c r="U2019" t="s">
        <v>13134</v>
      </c>
      <c r="V2019" t="s">
        <v>13134</v>
      </c>
      <c r="W2019" t="s">
        <v>15112</v>
      </c>
      <c r="X2019">
        <v>29</v>
      </c>
      <c r="Y2019" t="s">
        <v>21586</v>
      </c>
      <c r="Z2019" t="s">
        <v>27987</v>
      </c>
      <c r="AA2019">
        <v>0.57356222044849481</v>
      </c>
      <c r="AB2019" t="str">
        <f>HYPERLINK("Melting_Curves/meltCurve_P04040_CAT.pdf", "Melting_Curves/meltCurve_P04040_CAT.pdf")</f>
        <v>Melting_Curves/meltCurve_P04040_CAT.pdf</v>
      </c>
    </row>
    <row r="2020" spans="1:28" x14ac:dyDescent="0.25">
      <c r="A2020" t="s">
        <v>2024</v>
      </c>
      <c r="B2020">
        <v>0.99472303558308395</v>
      </c>
      <c r="C2020">
        <v>0.96942294362659998</v>
      </c>
      <c r="D2020">
        <v>0.88422793838001901</v>
      </c>
      <c r="E2020">
        <v>0.652837657567921</v>
      </c>
      <c r="F2020">
        <v>0.57334050100675105</v>
      </c>
      <c r="G2020">
        <v>0.350337566915562</v>
      </c>
      <c r="H2020">
        <v>0.28361141158882103</v>
      </c>
      <c r="I2020">
        <v>0.181171866145003</v>
      </c>
      <c r="J2020">
        <v>0.14446693804668601</v>
      </c>
      <c r="K2020">
        <v>7.6152848694576003E-2</v>
      </c>
      <c r="L2020">
        <v>505.11014827713899</v>
      </c>
      <c r="M2020">
        <v>9.9518932073972302</v>
      </c>
      <c r="N2020">
        <v>50.983147826913303</v>
      </c>
      <c r="O2020">
        <v>48.833399486640801</v>
      </c>
      <c r="P2020">
        <v>-4.9864157336888003E-2</v>
      </c>
      <c r="Q2020">
        <v>2.1761801980482099E-2</v>
      </c>
      <c r="R2020">
        <v>0.99175122915522396</v>
      </c>
      <c r="S2020" t="s">
        <v>8588</v>
      </c>
      <c r="T2020" t="s">
        <v>13134</v>
      </c>
      <c r="U2020" t="s">
        <v>13134</v>
      </c>
      <c r="V2020" t="s">
        <v>13134</v>
      </c>
      <c r="W2020" t="s">
        <v>15113</v>
      </c>
      <c r="X2020">
        <v>5</v>
      </c>
      <c r="Y2020" t="s">
        <v>21587</v>
      </c>
      <c r="Z2020" t="s">
        <v>27988</v>
      </c>
      <c r="AA2020">
        <v>0.501079929827416</v>
      </c>
      <c r="AB2020" t="str">
        <f>HYPERLINK("Melting_Curves/meltCurve_P04066_FUCA1.pdf", "Melting_Curves/meltCurve_P04066_FUCA1.pdf")</f>
        <v>Melting_Curves/meltCurve_P04066_FUCA1.pdf</v>
      </c>
    </row>
    <row r="2021" spans="1:28" x14ac:dyDescent="0.25">
      <c r="A2021" t="s">
        <v>2025</v>
      </c>
      <c r="B2021">
        <v>0.99472303558308395</v>
      </c>
      <c r="C2021">
        <v>0.93800220845188798</v>
      </c>
      <c r="D2021">
        <v>0.94092436987692896</v>
      </c>
      <c r="E2021">
        <v>0.87970852480035999</v>
      </c>
      <c r="F2021">
        <v>0.73244217011338997</v>
      </c>
      <c r="G2021">
        <v>0.61432289150136399</v>
      </c>
      <c r="H2021">
        <v>0.46992744646495799</v>
      </c>
      <c r="I2021">
        <v>0.44117882320966001</v>
      </c>
      <c r="J2021">
        <v>0.568488294611453</v>
      </c>
      <c r="K2021">
        <v>0.23952389194315299</v>
      </c>
      <c r="L2021">
        <v>490.08372058294702</v>
      </c>
      <c r="M2021">
        <v>9.1506028348233297</v>
      </c>
      <c r="N2021">
        <v>58.2562816929306</v>
      </c>
      <c r="O2021">
        <v>51.185738308819701</v>
      </c>
      <c r="P2021">
        <v>-3.3051694770270097E-2</v>
      </c>
      <c r="Q2021">
        <v>0.26097876864790398</v>
      </c>
      <c r="R2021">
        <v>0.91512439299496895</v>
      </c>
      <c r="S2021" t="s">
        <v>8589</v>
      </c>
      <c r="T2021" t="s">
        <v>13134</v>
      </c>
      <c r="U2021" t="s">
        <v>13134</v>
      </c>
      <c r="V2021" t="s">
        <v>13134</v>
      </c>
      <c r="W2021" t="s">
        <v>15114</v>
      </c>
      <c r="X2021">
        <v>45</v>
      </c>
      <c r="Y2021" t="s">
        <v>20658</v>
      </c>
      <c r="Z2021" t="s">
        <v>27989</v>
      </c>
      <c r="AA2021">
        <v>0.68316042345923556</v>
      </c>
      <c r="AB2021" t="str">
        <f>HYPERLINK("Melting_Curves/meltCurve_P04075_ALDOA.pdf", "Melting_Curves/meltCurve_P04075_ALDOA.pdf")</f>
        <v>Melting_Curves/meltCurve_P04075_ALDOA.pdf</v>
      </c>
    </row>
    <row r="2022" spans="1:28" x14ac:dyDescent="0.25">
      <c r="A2022" t="s">
        <v>2026</v>
      </c>
      <c r="B2022">
        <v>0.99472303558308395</v>
      </c>
      <c r="C2022">
        <v>1.18926026520381</v>
      </c>
      <c r="D2022">
        <v>0.84405737202155395</v>
      </c>
      <c r="E2022">
        <v>0.90217981605418995</v>
      </c>
      <c r="F2022">
        <v>1.33296144063009</v>
      </c>
      <c r="G2022">
        <v>0.470398999767554</v>
      </c>
      <c r="H2022">
        <v>0.14711507125263101</v>
      </c>
      <c r="I2022">
        <v>8.3037793678490804E-2</v>
      </c>
      <c r="J2022">
        <v>0.11259399255796999</v>
      </c>
      <c r="K2022">
        <v>0.110014469022317</v>
      </c>
      <c r="S2022" t="s">
        <v>8590</v>
      </c>
      <c r="T2022" t="s">
        <v>13134</v>
      </c>
      <c r="U2022" t="s">
        <v>13135</v>
      </c>
      <c r="V2022" t="s">
        <v>13134</v>
      </c>
      <c r="W2022" t="s">
        <v>15115</v>
      </c>
      <c r="X2022">
        <v>5</v>
      </c>
      <c r="Y2022" t="s">
        <v>21588</v>
      </c>
      <c r="Z2022" t="s">
        <v>27990</v>
      </c>
      <c r="AB2022" t="str">
        <f>HYPERLINK("Melting_Curves/meltCurve_P04080_CSTB.pdf", "Melting_Curves/meltCurve_P04080_CSTB.pdf")</f>
        <v>Melting_Curves/meltCurve_P04080_CSTB.pdf</v>
      </c>
    </row>
    <row r="2023" spans="1:28" x14ac:dyDescent="0.25">
      <c r="A2023" t="s">
        <v>2027</v>
      </c>
      <c r="B2023">
        <v>0.99472303558308395</v>
      </c>
      <c r="C2023">
        <v>0.94307481807748605</v>
      </c>
      <c r="D2023">
        <v>1.0930081724121501</v>
      </c>
      <c r="E2023">
        <v>0.90660927294830196</v>
      </c>
      <c r="F2023">
        <v>0.14151263490405899</v>
      </c>
      <c r="G2023">
        <v>7.9701338987687401E-2</v>
      </c>
      <c r="H2023">
        <v>4.56696184610524E-2</v>
      </c>
      <c r="I2023">
        <v>3.2577664022346797E-2</v>
      </c>
      <c r="J2023">
        <v>3.5355731424613603E-2</v>
      </c>
      <c r="K2023">
        <v>3.18341391148214E-2</v>
      </c>
      <c r="L2023">
        <v>2858.0609060560901</v>
      </c>
      <c r="M2023">
        <v>59.101455554218703</v>
      </c>
      <c r="N2023">
        <v>48.434655613558398</v>
      </c>
      <c r="O2023">
        <v>48.3032811411083</v>
      </c>
      <c r="P2023">
        <v>-0.29232434713825201</v>
      </c>
      <c r="Q2023">
        <v>4.4340358493961202E-2</v>
      </c>
      <c r="R2023">
        <v>0.99349560888807498</v>
      </c>
      <c r="S2023" t="s">
        <v>8591</v>
      </c>
      <c r="T2023" t="s">
        <v>13134</v>
      </c>
      <c r="U2023" t="s">
        <v>13134</v>
      </c>
      <c r="V2023" t="s">
        <v>13134</v>
      </c>
      <c r="W2023" t="s">
        <v>15116</v>
      </c>
      <c r="X2023">
        <v>36</v>
      </c>
      <c r="Y2023" t="s">
        <v>21589</v>
      </c>
      <c r="Z2023" t="s">
        <v>27991</v>
      </c>
      <c r="AA2023">
        <v>0.40762742158371551</v>
      </c>
      <c r="AB2023" t="str">
        <f>HYPERLINK("Melting_Curves/meltCurve_P04083_ANXA1.pdf", "Melting_Curves/meltCurve_P04083_ANXA1.pdf")</f>
        <v>Melting_Curves/meltCurve_P04083_ANXA1.pdf</v>
      </c>
    </row>
    <row r="2024" spans="1:28" x14ac:dyDescent="0.25">
      <c r="A2024" t="s">
        <v>2028</v>
      </c>
      <c r="B2024">
        <v>0.99472303558308395</v>
      </c>
      <c r="C2024">
        <v>0.86385875628015096</v>
      </c>
      <c r="D2024">
        <v>0.73096593189916503</v>
      </c>
      <c r="E2024">
        <v>0.71596724764880804</v>
      </c>
      <c r="F2024">
        <v>0.67007342475521803</v>
      </c>
      <c r="G2024">
        <v>0.52753324899658205</v>
      </c>
      <c r="H2024">
        <v>0.443086974605715</v>
      </c>
      <c r="I2024">
        <v>0.390779422776246</v>
      </c>
      <c r="J2024">
        <v>0.53444905762474104</v>
      </c>
      <c r="K2024">
        <v>0.77876205159832401</v>
      </c>
      <c r="L2024">
        <v>577.547399321027</v>
      </c>
      <c r="M2024">
        <v>13.390715182464101</v>
      </c>
      <c r="O2024">
        <v>42.2026016434925</v>
      </c>
      <c r="P2024">
        <v>-3.6573373362114199E-2</v>
      </c>
      <c r="Q2024">
        <v>0.53900929945853204</v>
      </c>
      <c r="R2024">
        <v>0.67653304777040602</v>
      </c>
      <c r="S2024" t="s">
        <v>8592</v>
      </c>
      <c r="T2024" t="s">
        <v>13134</v>
      </c>
      <c r="U2024" t="s">
        <v>13134</v>
      </c>
      <c r="V2024" t="s">
        <v>13134</v>
      </c>
      <c r="W2024" t="s">
        <v>15117</v>
      </c>
      <c r="X2024">
        <v>10</v>
      </c>
      <c r="Y2024" t="s">
        <v>21590</v>
      </c>
      <c r="Z2024" t="s">
        <v>27992</v>
      </c>
      <c r="AA2024">
        <v>0.64849235875792066</v>
      </c>
      <c r="AB2024" t="str">
        <f>HYPERLINK("Melting_Curves/meltCurve_P04114_APOB.pdf", "Melting_Curves/meltCurve_P04114_APOB.pdf")</f>
        <v>Melting_Curves/meltCurve_P04114_APOB.pdf</v>
      </c>
    </row>
    <row r="2025" spans="1:28" x14ac:dyDescent="0.25">
      <c r="A2025" t="s">
        <v>2029</v>
      </c>
      <c r="B2025">
        <v>0.99472303558308395</v>
      </c>
      <c r="C2025">
        <v>0.82106179737442297</v>
      </c>
      <c r="D2025">
        <v>0.49028650430603898</v>
      </c>
      <c r="E2025">
        <v>0.23222453336549301</v>
      </c>
      <c r="F2025">
        <v>0.154773779414866</v>
      </c>
      <c r="G2025">
        <v>8.1624455625430498E-2</v>
      </c>
      <c r="H2025">
        <v>9.5348661641176793E-2</v>
      </c>
      <c r="I2025">
        <v>3.4603614788873603E-2</v>
      </c>
      <c r="J2025">
        <v>2.6774047855506699E-2</v>
      </c>
      <c r="K2025">
        <v>1.9303905148702501E-2</v>
      </c>
      <c r="L2025">
        <v>786.66526009033203</v>
      </c>
      <c r="M2025">
        <v>18.324666794195899</v>
      </c>
      <c r="N2025">
        <v>43.175861010320503</v>
      </c>
      <c r="O2025">
        <v>42.427860720607299</v>
      </c>
      <c r="P2025">
        <v>-0.102616296148135</v>
      </c>
      <c r="Q2025">
        <v>4.96767431426944E-2</v>
      </c>
      <c r="R2025">
        <v>0.99300173760513799</v>
      </c>
      <c r="S2025" t="s">
        <v>8593</v>
      </c>
      <c r="T2025" t="s">
        <v>13134</v>
      </c>
      <c r="U2025" t="s">
        <v>13134</v>
      </c>
      <c r="V2025" t="s">
        <v>13134</v>
      </c>
      <c r="W2025" t="s">
        <v>15118</v>
      </c>
      <c r="X2025">
        <v>3</v>
      </c>
      <c r="Y2025" t="s">
        <v>21591</v>
      </c>
      <c r="Z2025" t="s">
        <v>27993</v>
      </c>
      <c r="AA2025">
        <v>0.25373704115872081</v>
      </c>
      <c r="AB2025" t="str">
        <f>HYPERLINK("Melting_Curves/meltCurve_P04150_7_NR3C1.pdf", "Melting_Curves/meltCurve_P04150_7_NR3C1.pdf")</f>
        <v>Melting_Curves/meltCurve_P04150_7_NR3C1.pdf</v>
      </c>
    </row>
    <row r="2026" spans="1:28" x14ac:dyDescent="0.25">
      <c r="A2026" t="s">
        <v>2030</v>
      </c>
      <c r="B2026">
        <v>0.99472303558308395</v>
      </c>
      <c r="C2026">
        <v>0.98080812613332902</v>
      </c>
      <c r="D2026">
        <v>0.91626482626838901</v>
      </c>
      <c r="E2026">
        <v>0.86009889450391896</v>
      </c>
      <c r="F2026">
        <v>0.69168093022032995</v>
      </c>
      <c r="G2026">
        <v>0.34422285308762801</v>
      </c>
      <c r="H2026">
        <v>0.105706322751358</v>
      </c>
      <c r="I2026">
        <v>5.2093306710343602E-2</v>
      </c>
      <c r="J2026">
        <v>4.9884148449731498E-2</v>
      </c>
      <c r="K2026">
        <v>4.2503887934299801E-2</v>
      </c>
      <c r="L2026">
        <v>986.77998067386795</v>
      </c>
      <c r="M2026">
        <v>19.0317177939739</v>
      </c>
      <c r="N2026">
        <v>51.901152978869597</v>
      </c>
      <c r="O2026">
        <v>51.286981247911697</v>
      </c>
      <c r="P2026">
        <v>-9.1899244455717496E-2</v>
      </c>
      <c r="Q2026">
        <v>9.43333891038599E-3</v>
      </c>
      <c r="R2026">
        <v>0.99415153958469304</v>
      </c>
      <c r="S2026" t="s">
        <v>8594</v>
      </c>
      <c r="T2026" t="s">
        <v>13134</v>
      </c>
      <c r="U2026" t="s">
        <v>13134</v>
      </c>
      <c r="V2026" t="s">
        <v>13134</v>
      </c>
      <c r="W2026" t="s">
        <v>15119</v>
      </c>
      <c r="X2026">
        <v>23</v>
      </c>
      <c r="Y2026" t="s">
        <v>21592</v>
      </c>
      <c r="Z2026" t="s">
        <v>27994</v>
      </c>
      <c r="AA2026">
        <v>0.51359169328661358</v>
      </c>
      <c r="AB2026" t="str">
        <f>HYPERLINK("Melting_Curves/meltCurve_P04181_OAT.pdf", "Melting_Curves/meltCurve_P04181_OAT.pdf")</f>
        <v>Melting_Curves/meltCurve_P04181_OAT.pdf</v>
      </c>
    </row>
    <row r="2027" spans="1:28" x14ac:dyDescent="0.25">
      <c r="A2027" t="s">
        <v>2031</v>
      </c>
      <c r="B2027">
        <v>0.99472303558308395</v>
      </c>
      <c r="C2027">
        <v>1.00527472329899</v>
      </c>
      <c r="D2027">
        <v>0.95140636740888496</v>
      </c>
      <c r="E2027">
        <v>0.907357733097228</v>
      </c>
      <c r="F2027">
        <v>0.77949141954996704</v>
      </c>
      <c r="G2027">
        <v>0.60803767841261103</v>
      </c>
      <c r="H2027">
        <v>0.47815575778533498</v>
      </c>
      <c r="I2027">
        <v>0.53138179246680695</v>
      </c>
      <c r="J2027">
        <v>0.69055473890633201</v>
      </c>
      <c r="K2027">
        <v>0.47601122394318701</v>
      </c>
      <c r="L2027">
        <v>1181.51170226929</v>
      </c>
      <c r="M2027">
        <v>23.682233371459301</v>
      </c>
      <c r="O2027">
        <v>49.5385672095464</v>
      </c>
      <c r="P2027">
        <v>-5.5016314992462699E-2</v>
      </c>
      <c r="Q2027">
        <v>0.53967449900813802</v>
      </c>
      <c r="R2027">
        <v>0.91312755400406698</v>
      </c>
      <c r="S2027" t="s">
        <v>8595</v>
      </c>
      <c r="T2027" t="s">
        <v>13134</v>
      </c>
      <c r="U2027" t="s">
        <v>13134</v>
      </c>
      <c r="V2027" t="s">
        <v>13134</v>
      </c>
      <c r="W2027" t="s">
        <v>15120</v>
      </c>
      <c r="X2027">
        <v>16</v>
      </c>
      <c r="Y2027" t="s">
        <v>20955</v>
      </c>
      <c r="Z2027" t="s">
        <v>27995</v>
      </c>
      <c r="AA2027">
        <v>0.74191995089724072</v>
      </c>
      <c r="AB2027" t="str">
        <f>HYPERLINK("Melting_Curves/meltCurve_P04183_TK1.pdf", "Melting_Curves/meltCurve_P04183_TK1.pdf")</f>
        <v>Melting_Curves/meltCurve_P04183_TK1.pdf</v>
      </c>
    </row>
    <row r="2028" spans="1:28" x14ac:dyDescent="0.25">
      <c r="A2028" t="s">
        <v>2032</v>
      </c>
      <c r="B2028">
        <v>0.99472303558308395</v>
      </c>
      <c r="C2028">
        <v>0.72056511657567301</v>
      </c>
      <c r="D2028">
        <v>0.69462945098721596</v>
      </c>
      <c r="E2028">
        <v>0.68025573636595804</v>
      </c>
      <c r="F2028">
        <v>0.58619458773136601</v>
      </c>
      <c r="G2028">
        <v>0.36579223817837703</v>
      </c>
      <c r="H2028">
        <v>0.33145308522753703</v>
      </c>
      <c r="I2028">
        <v>0.15346476577000301</v>
      </c>
      <c r="J2028">
        <v>0.107712475207143</v>
      </c>
      <c r="K2028">
        <v>7.3501451422402206E-2</v>
      </c>
      <c r="L2028">
        <v>363.99045451925002</v>
      </c>
      <c r="M2028">
        <v>7.3027163045930603</v>
      </c>
      <c r="N2028">
        <v>49.843158560757203</v>
      </c>
      <c r="O2028">
        <v>46.513643924056502</v>
      </c>
      <c r="P2028">
        <v>-3.9312676304873E-2</v>
      </c>
      <c r="Q2028">
        <v>0</v>
      </c>
      <c r="R2028">
        <v>0.93692297841420202</v>
      </c>
      <c r="S2028" t="s">
        <v>8596</v>
      </c>
      <c r="T2028" t="s">
        <v>13134</v>
      </c>
      <c r="U2028" t="s">
        <v>13134</v>
      </c>
      <c r="V2028" t="s">
        <v>13134</v>
      </c>
      <c r="W2028" t="s">
        <v>15121</v>
      </c>
      <c r="X2028">
        <v>27</v>
      </c>
      <c r="Y2028" t="s">
        <v>20973</v>
      </c>
      <c r="Z2028" t="s">
        <v>27996</v>
      </c>
      <c r="AA2028">
        <v>0.47245212792021463</v>
      </c>
      <c r="AB2028" t="str">
        <f>HYPERLINK("Melting_Curves/meltCurve_P04350_TUBB4A.pdf", "Melting_Curves/meltCurve_P04350_TUBB4A.pdf")</f>
        <v>Melting_Curves/meltCurve_P04350_TUBB4A.pdf</v>
      </c>
    </row>
    <row r="2029" spans="1:28" x14ac:dyDescent="0.25">
      <c r="A2029" t="s">
        <v>2033</v>
      </c>
      <c r="B2029">
        <v>0.99472303558308395</v>
      </c>
      <c r="C2029">
        <v>1.0489931474927801</v>
      </c>
      <c r="D2029">
        <v>0.95658896170238505</v>
      </c>
      <c r="E2029">
        <v>0.93831731301454202</v>
      </c>
      <c r="F2029">
        <v>0.81862067361770496</v>
      </c>
      <c r="G2029">
        <v>0.65004906558078102</v>
      </c>
      <c r="H2029">
        <v>0.53922941349442299</v>
      </c>
      <c r="I2029">
        <v>0.59827256448429</v>
      </c>
      <c r="J2029">
        <v>0.79959207174797198</v>
      </c>
      <c r="K2029">
        <v>0.35927220762821299</v>
      </c>
      <c r="L2029">
        <v>1154.55800913965</v>
      </c>
      <c r="M2029">
        <v>22.802489937062902</v>
      </c>
      <c r="O2029">
        <v>50.248379262544198</v>
      </c>
      <c r="P2029">
        <v>-4.9412247384874E-2</v>
      </c>
      <c r="Q2029">
        <v>0.56446205637944302</v>
      </c>
      <c r="R2029">
        <v>0.77428015745314305</v>
      </c>
      <c r="S2029" t="s">
        <v>8597</v>
      </c>
      <c r="T2029" t="s">
        <v>13134</v>
      </c>
      <c r="U2029" t="s">
        <v>13134</v>
      </c>
      <c r="V2029" t="s">
        <v>13134</v>
      </c>
      <c r="W2029" t="s">
        <v>15122</v>
      </c>
      <c r="X2029">
        <v>38</v>
      </c>
      <c r="Y2029" t="s">
        <v>21593</v>
      </c>
      <c r="Z2029" t="s">
        <v>27997</v>
      </c>
      <c r="AA2029">
        <v>0.76692606244699801</v>
      </c>
      <c r="AB2029" t="str">
        <f>HYPERLINK("Melting_Curves/meltCurve_P04406_GAPDH.pdf", "Melting_Curves/meltCurve_P04406_GAPDH.pdf")</f>
        <v>Melting_Curves/meltCurve_P04406_GAPDH.pdf</v>
      </c>
    </row>
    <row r="2030" spans="1:28" x14ac:dyDescent="0.25">
      <c r="A2030" t="s">
        <v>2034</v>
      </c>
      <c r="B2030">
        <v>0.99472303558308395</v>
      </c>
      <c r="C2030">
        <v>1.0210477422205799</v>
      </c>
      <c r="D2030">
        <v>0.78666597196988797</v>
      </c>
      <c r="E2030">
        <v>0.77532315410558295</v>
      </c>
      <c r="F2030">
        <v>0.68418932800980703</v>
      </c>
      <c r="G2030">
        <v>0.42925582201381202</v>
      </c>
      <c r="H2030">
        <v>0.41385530698707501</v>
      </c>
      <c r="I2030">
        <v>0.29011637369265503</v>
      </c>
      <c r="J2030">
        <v>0.57191354274621997</v>
      </c>
      <c r="K2030">
        <v>0.42319720505580899</v>
      </c>
      <c r="L2030">
        <v>661.71121376612405</v>
      </c>
      <c r="M2030">
        <v>13.884096538930899</v>
      </c>
      <c r="N2030">
        <v>53.830156346310901</v>
      </c>
      <c r="O2030">
        <v>46.703594240952597</v>
      </c>
      <c r="P2030">
        <v>-4.4732625699725102E-2</v>
      </c>
      <c r="Q2030">
        <v>0.39819235790579299</v>
      </c>
      <c r="R2030">
        <v>0.875744996021255</v>
      </c>
      <c r="S2030" t="s">
        <v>8598</v>
      </c>
      <c r="T2030" t="s">
        <v>13134</v>
      </c>
      <c r="U2030" t="s">
        <v>13134</v>
      </c>
      <c r="V2030" t="s">
        <v>13134</v>
      </c>
      <c r="W2030" t="s">
        <v>15123</v>
      </c>
      <c r="X2030">
        <v>36</v>
      </c>
      <c r="Y2030" t="s">
        <v>21593</v>
      </c>
      <c r="Z2030" t="s">
        <v>27998</v>
      </c>
      <c r="AA2030">
        <v>0.62724090750900063</v>
      </c>
      <c r="AB2030" t="str">
        <f>HYPERLINK("Melting_Curves/meltCurve_P04406_2_GAPDH.pdf", "Melting_Curves/meltCurve_P04406_2_GAPDH.pdf")</f>
        <v>Melting_Curves/meltCurve_P04406_2_GAPDH.pdf</v>
      </c>
    </row>
    <row r="2031" spans="1:28" x14ac:dyDescent="0.25">
      <c r="A2031" t="s">
        <v>2035</v>
      </c>
      <c r="B2031">
        <v>0.99472303558308395</v>
      </c>
      <c r="C2031">
        <v>0.94919337161751105</v>
      </c>
      <c r="D2031">
        <v>0.81917263299875998</v>
      </c>
      <c r="E2031">
        <v>0.77782116803816304</v>
      </c>
      <c r="F2031">
        <v>0.79271512002087297</v>
      </c>
      <c r="G2031">
        <v>0.50984869447528203</v>
      </c>
      <c r="H2031">
        <v>0.22342166617310699</v>
      </c>
      <c r="I2031">
        <v>8.0074129856027798E-2</v>
      </c>
      <c r="J2031">
        <v>7.9667377149165899E-2</v>
      </c>
      <c r="K2031">
        <v>8.0393871604428901E-2</v>
      </c>
      <c r="L2031">
        <v>718.66391178843696</v>
      </c>
      <c r="M2031">
        <v>13.514723612821101</v>
      </c>
      <c r="N2031">
        <v>53.176366934392703</v>
      </c>
      <c r="O2031">
        <v>52.052607658932999</v>
      </c>
      <c r="P2031">
        <v>-6.4918835532846997E-2</v>
      </c>
      <c r="Q2031">
        <v>0</v>
      </c>
      <c r="R2031">
        <v>0.961089694296417</v>
      </c>
      <c r="S2031" t="s">
        <v>8599</v>
      </c>
      <c r="T2031" t="s">
        <v>13134</v>
      </c>
      <c r="U2031" t="s">
        <v>13134</v>
      </c>
      <c r="V2031" t="s">
        <v>13134</v>
      </c>
      <c r="W2031" t="s">
        <v>15124</v>
      </c>
      <c r="X2031">
        <v>14</v>
      </c>
      <c r="Y2031" t="s">
        <v>21594</v>
      </c>
      <c r="Z2031" t="s">
        <v>27999</v>
      </c>
      <c r="AA2031">
        <v>0.55836912325522448</v>
      </c>
      <c r="AB2031" t="str">
        <f>HYPERLINK("Melting_Curves/meltCurve_P04424_2_ASL.pdf", "Melting_Curves/meltCurve_P04424_2_ASL.pdf")</f>
        <v>Melting_Curves/meltCurve_P04424_2_ASL.pdf</v>
      </c>
    </row>
    <row r="2032" spans="1:28" x14ac:dyDescent="0.25">
      <c r="A2032" t="s">
        <v>2036</v>
      </c>
      <c r="B2032">
        <v>0.99472303558308395</v>
      </c>
      <c r="C2032">
        <v>1.0147471153329199</v>
      </c>
      <c r="D2032">
        <v>0.96758539426401202</v>
      </c>
      <c r="E2032">
        <v>0.93975859833639797</v>
      </c>
      <c r="F2032">
        <v>0.80723298097580698</v>
      </c>
      <c r="G2032">
        <v>0.62587915661479998</v>
      </c>
      <c r="H2032">
        <v>0.40994387717570702</v>
      </c>
      <c r="I2032">
        <v>0.34021088412873102</v>
      </c>
      <c r="J2032">
        <v>0.224230461439234</v>
      </c>
      <c r="K2032">
        <v>0.113902783851642</v>
      </c>
      <c r="L2032">
        <v>659.38948733796497</v>
      </c>
      <c r="M2032">
        <v>11.7423716399627</v>
      </c>
      <c r="N2032">
        <v>56.331511013338499</v>
      </c>
      <c r="O2032">
        <v>54.6002875074605</v>
      </c>
      <c r="P2032">
        <v>-5.2806299979636803E-2</v>
      </c>
      <c r="Q2032">
        <v>1.80916454414487E-2</v>
      </c>
      <c r="R2032">
        <v>0.99459263666067199</v>
      </c>
      <c r="S2032" t="s">
        <v>8600</v>
      </c>
      <c r="T2032" t="s">
        <v>13134</v>
      </c>
      <c r="U2032" t="s">
        <v>13134</v>
      </c>
      <c r="V2032" t="s">
        <v>13134</v>
      </c>
      <c r="W2032" t="s">
        <v>15125</v>
      </c>
      <c r="X2032">
        <v>13</v>
      </c>
      <c r="Y2032" t="s">
        <v>21595</v>
      </c>
      <c r="Z2032" t="s">
        <v>28000</v>
      </c>
      <c r="AA2032">
        <v>0.65356607955554158</v>
      </c>
      <c r="AB2032" t="str">
        <f>HYPERLINK("Melting_Curves/meltCurve_P04632_CAPNS1.pdf", "Melting_Curves/meltCurve_P04632_CAPNS1.pdf")</f>
        <v>Melting_Curves/meltCurve_P04632_CAPNS1.pdf</v>
      </c>
    </row>
    <row r="2033" spans="1:28" x14ac:dyDescent="0.25">
      <c r="A2033" t="s">
        <v>2037</v>
      </c>
      <c r="B2033">
        <v>0.99472303558308395</v>
      </c>
      <c r="C2033">
        <v>0.88397253888708305</v>
      </c>
      <c r="D2033">
        <v>0.73297739554721397</v>
      </c>
      <c r="E2033">
        <v>0.39276446139746202</v>
      </c>
      <c r="F2033">
        <v>0.161760758073098</v>
      </c>
      <c r="G2033">
        <v>8.2411749099876294E-2</v>
      </c>
      <c r="H2033">
        <v>5.0522389302919898E-2</v>
      </c>
      <c r="I2033">
        <v>5.5279603723590399E-2</v>
      </c>
      <c r="J2033">
        <v>7.0243551129650902E-2</v>
      </c>
      <c r="K2033">
        <v>0.101716089468238</v>
      </c>
      <c r="L2033">
        <v>847.79858624568806</v>
      </c>
      <c r="M2033">
        <v>18.8463214113516</v>
      </c>
      <c r="N2033">
        <v>45.280834604387003</v>
      </c>
      <c r="O2033">
        <v>44.487530204035103</v>
      </c>
      <c r="P2033">
        <v>-9.9773750332595695E-2</v>
      </c>
      <c r="Q2033">
        <v>5.79583311282654E-2</v>
      </c>
      <c r="R2033">
        <v>0.99630034550549595</v>
      </c>
      <c r="S2033" t="s">
        <v>8601</v>
      </c>
      <c r="T2033" t="s">
        <v>13134</v>
      </c>
      <c r="U2033" t="s">
        <v>13134</v>
      </c>
      <c r="V2033" t="s">
        <v>13134</v>
      </c>
      <c r="W2033" t="s">
        <v>15126</v>
      </c>
      <c r="X2033">
        <v>18</v>
      </c>
      <c r="Y2033" t="s">
        <v>21596</v>
      </c>
      <c r="Z2033" t="s">
        <v>28001</v>
      </c>
      <c r="AA2033">
        <v>0.32272161049140369</v>
      </c>
      <c r="AB2033" t="str">
        <f>HYPERLINK("Melting_Curves/meltCurve_P04792_HSPB1.pdf", "Melting_Curves/meltCurve_P04792_HSPB1.pdf")</f>
        <v>Melting_Curves/meltCurve_P04792_HSPB1.pdf</v>
      </c>
    </row>
    <row r="2034" spans="1:28" x14ac:dyDescent="0.25">
      <c r="A2034" t="s">
        <v>2038</v>
      </c>
      <c r="B2034">
        <v>0.99472303558308395</v>
      </c>
      <c r="C2034">
        <v>0.95674009399903903</v>
      </c>
      <c r="D2034">
        <v>1.0095603771983599</v>
      </c>
      <c r="E2034">
        <v>0.76457339186341</v>
      </c>
      <c r="F2034">
        <v>0.21387113750664299</v>
      </c>
      <c r="G2034">
        <v>0.115689036850704</v>
      </c>
      <c r="H2034">
        <v>6.3165747129558997E-2</v>
      </c>
      <c r="I2034">
        <v>4.4030181095428098E-2</v>
      </c>
      <c r="J2034">
        <v>4.8909411316222097E-2</v>
      </c>
      <c r="K2034">
        <v>4.0608278899627002E-2</v>
      </c>
      <c r="L2034">
        <v>1719.89665807233</v>
      </c>
      <c r="M2034">
        <v>35.8077851754473</v>
      </c>
      <c r="N2034">
        <v>48.192446955631397</v>
      </c>
      <c r="O2034">
        <v>47.882298071723397</v>
      </c>
      <c r="P2034">
        <v>-0.17641311504157101</v>
      </c>
      <c r="Q2034">
        <v>5.6402117130702201E-2</v>
      </c>
      <c r="R2034">
        <v>0.99744974168281197</v>
      </c>
      <c r="S2034" t="s">
        <v>8602</v>
      </c>
      <c r="T2034" t="s">
        <v>13134</v>
      </c>
      <c r="U2034" t="s">
        <v>13134</v>
      </c>
      <c r="V2034" t="s">
        <v>13134</v>
      </c>
      <c r="W2034" t="s">
        <v>15127</v>
      </c>
      <c r="X2034">
        <v>20</v>
      </c>
      <c r="Y2034" t="s">
        <v>21597</v>
      </c>
      <c r="Z2034" t="s">
        <v>28002</v>
      </c>
      <c r="AA2034">
        <v>0.40729054262276593</v>
      </c>
      <c r="AB2034" t="str">
        <f>HYPERLINK("Melting_Curves/meltCurve_P04818_TYMS.pdf", "Melting_Curves/meltCurve_P04818_TYMS.pdf")</f>
        <v>Melting_Curves/meltCurve_P04818_TYMS.pdf</v>
      </c>
    </row>
    <row r="2035" spans="1:28" x14ac:dyDescent="0.25">
      <c r="A2035" t="s">
        <v>2039</v>
      </c>
      <c r="B2035">
        <v>0.99472303558308395</v>
      </c>
      <c r="C2035">
        <v>0.91892042290571596</v>
      </c>
      <c r="D2035">
        <v>0.75305038108399902</v>
      </c>
      <c r="E2035">
        <v>0.69136288532232304</v>
      </c>
      <c r="F2035">
        <v>0.62983793196483095</v>
      </c>
      <c r="G2035">
        <v>0.42868091040124801</v>
      </c>
      <c r="H2035">
        <v>9.7995919252899494E-2</v>
      </c>
      <c r="I2035">
        <v>5.9282603807248001E-2</v>
      </c>
      <c r="J2035">
        <v>6.1120919292918102E-2</v>
      </c>
      <c r="K2035">
        <v>4.4627646645084999E-2</v>
      </c>
      <c r="L2035">
        <v>561.27257948034003</v>
      </c>
      <c r="M2035">
        <v>11.1129573975463</v>
      </c>
      <c r="N2035">
        <v>50.5061384507394</v>
      </c>
      <c r="O2035">
        <v>48.953441428776003</v>
      </c>
      <c r="P2035">
        <v>-5.6771095677577502E-2</v>
      </c>
      <c r="Q2035">
        <v>0</v>
      </c>
      <c r="R2035">
        <v>0.95672873737753406</v>
      </c>
      <c r="S2035" t="s">
        <v>8603</v>
      </c>
      <c r="T2035" t="s">
        <v>13134</v>
      </c>
      <c r="U2035" t="s">
        <v>13134</v>
      </c>
      <c r="V2035" t="s">
        <v>13134</v>
      </c>
      <c r="W2035" t="s">
        <v>15128</v>
      </c>
      <c r="X2035">
        <v>37</v>
      </c>
      <c r="Y2035" t="s">
        <v>21598</v>
      </c>
      <c r="Z2035" t="s">
        <v>28003</v>
      </c>
      <c r="AA2035">
        <v>0.47946977058779761</v>
      </c>
      <c r="AB2035" t="str">
        <f>HYPERLINK("Melting_Curves/meltCurve_P04843_RPN1.pdf", "Melting_Curves/meltCurve_P04843_RPN1.pdf")</f>
        <v>Melting_Curves/meltCurve_P04843_RPN1.pdf</v>
      </c>
    </row>
    <row r="2036" spans="1:28" x14ac:dyDescent="0.25">
      <c r="A2036" t="s">
        <v>2040</v>
      </c>
      <c r="B2036">
        <v>0.99472303558308395</v>
      </c>
      <c r="C2036">
        <v>0.95832521759232003</v>
      </c>
      <c r="D2036">
        <v>0.812062253471869</v>
      </c>
      <c r="E2036">
        <v>0.73140655981746305</v>
      </c>
      <c r="F2036">
        <v>0.63203045797570101</v>
      </c>
      <c r="G2036">
        <v>0.19464850198575301</v>
      </c>
      <c r="H2036">
        <v>7.8448787333525893E-2</v>
      </c>
      <c r="I2036">
        <v>4.8979751286614998E-2</v>
      </c>
      <c r="J2036">
        <v>5.3321444144319198E-2</v>
      </c>
      <c r="K2036">
        <v>4.9194121055172298E-2</v>
      </c>
      <c r="L2036">
        <v>737.53190518688598</v>
      </c>
      <c r="M2036">
        <v>14.706792437943401</v>
      </c>
      <c r="N2036">
        <v>50.149072234066601</v>
      </c>
      <c r="O2036">
        <v>49.249221575708901</v>
      </c>
      <c r="P2036">
        <v>-7.4663081153381494E-2</v>
      </c>
      <c r="Q2036">
        <v>0</v>
      </c>
      <c r="R2036">
        <v>0.97232081979262597</v>
      </c>
      <c r="S2036" t="s">
        <v>8604</v>
      </c>
      <c r="T2036" t="s">
        <v>13134</v>
      </c>
      <c r="U2036" t="s">
        <v>13134</v>
      </c>
      <c r="V2036" t="s">
        <v>13134</v>
      </c>
      <c r="W2036" t="s">
        <v>15129</v>
      </c>
      <c r="X2036">
        <v>17</v>
      </c>
      <c r="Y2036" t="s">
        <v>21599</v>
      </c>
      <c r="Z2036" t="s">
        <v>28004</v>
      </c>
      <c r="AA2036">
        <v>0.45969104129094618</v>
      </c>
      <c r="AB2036" t="str">
        <f>HYPERLINK("Melting_Curves/meltCurve_P04844_2_RPN2.pdf", "Melting_Curves/meltCurve_P04844_2_RPN2.pdf")</f>
        <v>Melting_Curves/meltCurve_P04844_2_RPN2.pdf</v>
      </c>
    </row>
    <row r="2037" spans="1:28" x14ac:dyDescent="0.25">
      <c r="A2037" t="s">
        <v>2041</v>
      </c>
      <c r="B2037">
        <v>0.99472303558308395</v>
      </c>
      <c r="C2037">
        <v>1.0025023041253001</v>
      </c>
      <c r="D2037">
        <v>0.90812908200624198</v>
      </c>
      <c r="E2037">
        <v>0.84098045063832205</v>
      </c>
      <c r="F2037">
        <v>0.72528601615579003</v>
      </c>
      <c r="G2037">
        <v>0.376514558906203</v>
      </c>
      <c r="H2037">
        <v>0.14032820917253899</v>
      </c>
      <c r="I2037">
        <v>0.1015955648501</v>
      </c>
      <c r="J2037">
        <v>0.117869138398784</v>
      </c>
      <c r="K2037">
        <v>9.7920222263094298E-2</v>
      </c>
      <c r="L2037">
        <v>981.00882300960404</v>
      </c>
      <c r="M2037">
        <v>18.938279242109001</v>
      </c>
      <c r="N2037">
        <v>52.188923338341198</v>
      </c>
      <c r="O2037">
        <v>51.233116125419102</v>
      </c>
      <c r="P2037">
        <v>-8.6338476039156897E-2</v>
      </c>
      <c r="Q2037">
        <v>6.5762940525186706E-2</v>
      </c>
      <c r="R2037">
        <v>0.98881504368200301</v>
      </c>
      <c r="S2037" t="s">
        <v>8605</v>
      </c>
      <c r="T2037" t="s">
        <v>13134</v>
      </c>
      <c r="U2037" t="s">
        <v>13134</v>
      </c>
      <c r="V2037" t="s">
        <v>13134</v>
      </c>
      <c r="W2037" t="s">
        <v>15130</v>
      </c>
      <c r="X2037">
        <v>16</v>
      </c>
      <c r="Y2037" t="s">
        <v>21600</v>
      </c>
      <c r="Z2037" t="s">
        <v>28005</v>
      </c>
      <c r="AA2037">
        <v>0.53984105078345279</v>
      </c>
      <c r="AB2037" t="str">
        <f>HYPERLINK("Melting_Curves/meltCurve_P04899_GNAI2.pdf", "Melting_Curves/meltCurve_P04899_GNAI2.pdf")</f>
        <v>Melting_Curves/meltCurve_P04899_GNAI2.pdf</v>
      </c>
    </row>
    <row r="2038" spans="1:28" x14ac:dyDescent="0.25">
      <c r="A2038" t="s">
        <v>2042</v>
      </c>
      <c r="B2038">
        <v>0.99472303558308395</v>
      </c>
      <c r="C2038">
        <v>0.93718892347447402</v>
      </c>
      <c r="D2038">
        <v>0.817220771997763</v>
      </c>
      <c r="E2038">
        <v>0.69506719870893496</v>
      </c>
      <c r="F2038">
        <v>0.497487507430528</v>
      </c>
      <c r="G2038">
        <v>0.23545352415673201</v>
      </c>
      <c r="H2038">
        <v>0.128320414890741</v>
      </c>
      <c r="I2038">
        <v>9.2651218729297199E-2</v>
      </c>
      <c r="J2038">
        <v>0.11498649387963</v>
      </c>
      <c r="K2038">
        <v>9.9811977063542404E-2</v>
      </c>
      <c r="L2038">
        <v>638.77897729526001</v>
      </c>
      <c r="M2038">
        <v>13.045628352147499</v>
      </c>
      <c r="N2038">
        <v>49.325941093774503</v>
      </c>
      <c r="O2038">
        <v>47.857281857024503</v>
      </c>
      <c r="P2038">
        <v>-6.5057473843561003E-2</v>
      </c>
      <c r="Q2038">
        <v>4.5525049327023399E-2</v>
      </c>
      <c r="R2038">
        <v>0.99165128150278303</v>
      </c>
      <c r="S2038" t="s">
        <v>8606</v>
      </c>
      <c r="T2038" t="s">
        <v>13134</v>
      </c>
      <c r="U2038" t="s">
        <v>13134</v>
      </c>
      <c r="V2038" t="s">
        <v>13134</v>
      </c>
      <c r="W2038" t="s">
        <v>15131</v>
      </c>
      <c r="X2038">
        <v>16</v>
      </c>
      <c r="Y2038" t="s">
        <v>21601</v>
      </c>
      <c r="Z2038" t="s">
        <v>28006</v>
      </c>
      <c r="AA2038">
        <v>0.45153556078506257</v>
      </c>
      <c r="AB2038" t="str">
        <f>HYPERLINK("Melting_Curves/meltCurve_P04920_2_SLC4A2.pdf", "Melting_Curves/meltCurve_P04920_2_SLC4A2.pdf")</f>
        <v>Melting_Curves/meltCurve_P04920_2_SLC4A2.pdf</v>
      </c>
    </row>
    <row r="2039" spans="1:28" x14ac:dyDescent="0.25">
      <c r="A2039" t="s">
        <v>2043</v>
      </c>
      <c r="B2039">
        <v>0.99472303558308395</v>
      </c>
      <c r="C2039">
        <v>0.92983675507323205</v>
      </c>
      <c r="D2039">
        <v>0.93388378463949395</v>
      </c>
      <c r="E2039">
        <v>0.92902491263030296</v>
      </c>
      <c r="F2039">
        <v>0.73969050642208101</v>
      </c>
      <c r="G2039">
        <v>0.56434391429799202</v>
      </c>
      <c r="H2039">
        <v>0.658155246020656</v>
      </c>
      <c r="I2039">
        <v>0.61377651367127295</v>
      </c>
      <c r="J2039">
        <v>0.91232444377963595</v>
      </c>
      <c r="K2039">
        <v>0.74680020850514806</v>
      </c>
      <c r="L2039">
        <v>2231.0337126460199</v>
      </c>
      <c r="M2039">
        <v>46.7256993906215</v>
      </c>
      <c r="O2039">
        <v>47.660253690659601</v>
      </c>
      <c r="P2039">
        <v>-7.3313867765194204E-2</v>
      </c>
      <c r="Q2039">
        <v>0.70087950054867698</v>
      </c>
      <c r="R2039">
        <v>0.61352021896256803</v>
      </c>
      <c r="S2039" t="s">
        <v>8607</v>
      </c>
      <c r="T2039" t="s">
        <v>13134</v>
      </c>
      <c r="U2039" t="s">
        <v>13134</v>
      </c>
      <c r="V2039" t="s">
        <v>13134</v>
      </c>
      <c r="W2039" t="s">
        <v>15132</v>
      </c>
      <c r="X2039">
        <v>2</v>
      </c>
      <c r="Y2039" t="s">
        <v>21602</v>
      </c>
      <c r="Z2039" t="s">
        <v>28007</v>
      </c>
      <c r="AA2039">
        <v>0.80876102489102675</v>
      </c>
      <c r="AB2039" t="str">
        <f>HYPERLINK("Melting_Curves/meltCurve_P04921_2_GYPC.pdf", "Melting_Curves/meltCurve_P04921_2_GYPC.pdf")</f>
        <v>Melting_Curves/meltCurve_P04921_2_GYPC.pdf</v>
      </c>
    </row>
    <row r="2040" spans="1:28" x14ac:dyDescent="0.25">
      <c r="A2040" t="s">
        <v>2044</v>
      </c>
      <c r="B2040">
        <v>0.99472303558308395</v>
      </c>
      <c r="C2040">
        <v>0.913705816076678</v>
      </c>
      <c r="D2040">
        <v>0.87420737296850004</v>
      </c>
      <c r="E2040">
        <v>0.77756766565797497</v>
      </c>
      <c r="F2040">
        <v>0.72325052051898697</v>
      </c>
      <c r="G2040">
        <v>0.558412744091066</v>
      </c>
      <c r="H2040">
        <v>0.38192807444398802</v>
      </c>
      <c r="I2040">
        <v>0.19240023264094</v>
      </c>
      <c r="J2040">
        <v>7.8805600880112098E-2</v>
      </c>
      <c r="K2040">
        <v>0.10391334500590201</v>
      </c>
      <c r="L2040">
        <v>565.24965144018199</v>
      </c>
      <c r="M2040">
        <v>10.4917024535902</v>
      </c>
      <c r="N2040">
        <v>53.875875143228598</v>
      </c>
      <c r="O2040">
        <v>52.028983818245102</v>
      </c>
      <c r="P2040">
        <v>-5.04331901561492E-2</v>
      </c>
      <c r="Q2040">
        <v>0</v>
      </c>
      <c r="R2040">
        <v>0.97755050586722003</v>
      </c>
      <c r="S2040" t="s">
        <v>8608</v>
      </c>
      <c r="T2040" t="s">
        <v>13134</v>
      </c>
      <c r="U2040" t="s">
        <v>13134</v>
      </c>
      <c r="V2040" t="s">
        <v>13134</v>
      </c>
      <c r="W2040" t="s">
        <v>15133</v>
      </c>
      <c r="X2040">
        <v>57</v>
      </c>
      <c r="Y2040" t="s">
        <v>21603</v>
      </c>
      <c r="Z2040" t="s">
        <v>28008</v>
      </c>
      <c r="AA2040">
        <v>0.58095178269044623</v>
      </c>
      <c r="AB2040" t="str">
        <f>HYPERLINK("Melting_Curves/meltCurve_P05023_4_ATP1A1.pdf", "Melting_Curves/meltCurve_P05023_4_ATP1A1.pdf")</f>
        <v>Melting_Curves/meltCurve_P05023_4_ATP1A1.pdf</v>
      </c>
    </row>
    <row r="2041" spans="1:28" x14ac:dyDescent="0.25">
      <c r="A2041" t="s">
        <v>2045</v>
      </c>
      <c r="B2041">
        <v>0.99472303558308395</v>
      </c>
      <c r="C2041">
        <v>0.944479374963336</v>
      </c>
      <c r="D2041">
        <v>0.79798957012706195</v>
      </c>
      <c r="E2041">
        <v>0.76461284904739202</v>
      </c>
      <c r="F2041">
        <v>0.70458982633078204</v>
      </c>
      <c r="G2041">
        <v>0.40246867047821799</v>
      </c>
      <c r="H2041">
        <v>0.182463399937693</v>
      </c>
      <c r="I2041">
        <v>0.13661069497318301</v>
      </c>
      <c r="J2041">
        <v>0.12396221760386</v>
      </c>
      <c r="K2041">
        <v>0.10957829664718299</v>
      </c>
      <c r="L2041">
        <v>563.55559729136905</v>
      </c>
      <c r="M2041">
        <v>10.8606245768181</v>
      </c>
      <c r="N2041">
        <v>51.889796302070103</v>
      </c>
      <c r="O2041">
        <v>50.223522947743803</v>
      </c>
      <c r="P2041">
        <v>-5.4080600970278503E-2</v>
      </c>
      <c r="Q2041">
        <v>0</v>
      </c>
      <c r="R2041">
        <v>0.97212995398648505</v>
      </c>
      <c r="S2041" t="s">
        <v>8609</v>
      </c>
      <c r="T2041" t="s">
        <v>13134</v>
      </c>
      <c r="U2041" t="s">
        <v>13134</v>
      </c>
      <c r="V2041" t="s">
        <v>13134</v>
      </c>
      <c r="W2041" t="s">
        <v>15134</v>
      </c>
      <c r="X2041">
        <v>15</v>
      </c>
      <c r="Y2041" t="s">
        <v>21604</v>
      </c>
      <c r="Z2041" t="s">
        <v>28009</v>
      </c>
      <c r="AA2041">
        <v>0.52216097288013286</v>
      </c>
      <c r="AB2041" t="str">
        <f>HYPERLINK("Melting_Curves/meltCurve_P05091_ALDH2.pdf", "Melting_Curves/meltCurve_P05091_ALDH2.pdf")</f>
        <v>Melting_Curves/meltCurve_P05091_ALDH2.pdf</v>
      </c>
    </row>
    <row r="2042" spans="1:28" x14ac:dyDescent="0.25">
      <c r="A2042" t="s">
        <v>2046</v>
      </c>
      <c r="B2042">
        <v>0.99472303558308395</v>
      </c>
      <c r="C2042">
        <v>0.80637173344980895</v>
      </c>
      <c r="D2042">
        <v>1.1771190333638799</v>
      </c>
      <c r="E2042">
        <v>0.84436132013137399</v>
      </c>
      <c r="F2042">
        <v>0.35268877936889498</v>
      </c>
      <c r="G2042">
        <v>0.49805139324473002</v>
      </c>
      <c r="H2042">
        <v>0.63834748083708404</v>
      </c>
      <c r="I2042">
        <v>0.591718213435382</v>
      </c>
      <c r="J2042">
        <v>1.0674978711981999</v>
      </c>
      <c r="K2042">
        <v>0.79712855003800898</v>
      </c>
      <c r="L2042">
        <v>11658.501881378699</v>
      </c>
      <c r="M2042">
        <v>250</v>
      </c>
      <c r="O2042">
        <v>46.631023231471801</v>
      </c>
      <c r="P2042">
        <v>-0.458959412746059</v>
      </c>
      <c r="Q2042">
        <v>0.65757204759497001</v>
      </c>
      <c r="R2042">
        <v>0.37692690209372998</v>
      </c>
      <c r="S2042" t="s">
        <v>8610</v>
      </c>
      <c r="T2042" t="s">
        <v>13134</v>
      </c>
      <c r="U2042" t="s">
        <v>13134</v>
      </c>
      <c r="V2042" t="s">
        <v>13134</v>
      </c>
      <c r="W2042" t="s">
        <v>15135</v>
      </c>
      <c r="X2042">
        <v>4</v>
      </c>
      <c r="Y2042" t="s">
        <v>21605</v>
      </c>
      <c r="Z2042" t="s">
        <v>28010</v>
      </c>
      <c r="AA2042">
        <v>0.76756518824941844</v>
      </c>
      <c r="AB2042" t="str">
        <f>HYPERLINK("Melting_Curves/meltCurve_P05114_HMGN1.pdf", "Melting_Curves/meltCurve_P05114_HMGN1.pdf")</f>
        <v>Melting_Curves/meltCurve_P05114_HMGN1.pdf</v>
      </c>
    </row>
    <row r="2043" spans="1:28" x14ac:dyDescent="0.25">
      <c r="A2043" t="s">
        <v>2047</v>
      </c>
      <c r="B2043">
        <v>0.99472303558308395</v>
      </c>
      <c r="C2043">
        <v>0.77356057745976003</v>
      </c>
      <c r="D2043">
        <v>0.82993097695676898</v>
      </c>
      <c r="E2043">
        <v>0.62176616166216503</v>
      </c>
      <c r="F2043">
        <v>0.49927241307096798</v>
      </c>
      <c r="G2043">
        <v>0.47110238062380899</v>
      </c>
      <c r="H2043">
        <v>0.28342164667570902</v>
      </c>
      <c r="I2043">
        <v>0.28515151063760502</v>
      </c>
      <c r="J2043">
        <v>0.29838613510275103</v>
      </c>
      <c r="K2043">
        <v>0.389524167629407</v>
      </c>
      <c r="L2043">
        <v>466.915628975304</v>
      </c>
      <c r="M2043">
        <v>10.0911906438084</v>
      </c>
      <c r="N2043">
        <v>50.214338340263502</v>
      </c>
      <c r="O2043">
        <v>44.562820800434899</v>
      </c>
      <c r="P2043">
        <v>-4.1136808367430402E-2</v>
      </c>
      <c r="Q2043">
        <v>0.273698623039489</v>
      </c>
      <c r="R2043">
        <v>0.93627633466549698</v>
      </c>
      <c r="S2043" t="s">
        <v>8611</v>
      </c>
      <c r="T2043" t="s">
        <v>13134</v>
      </c>
      <c r="U2043" t="s">
        <v>13134</v>
      </c>
      <c r="V2043" t="s">
        <v>13134</v>
      </c>
      <c r="W2043" t="s">
        <v>15136</v>
      </c>
      <c r="X2043">
        <v>22</v>
      </c>
      <c r="Y2043" t="s">
        <v>21606</v>
      </c>
      <c r="Z2043" t="s">
        <v>28011</v>
      </c>
      <c r="AA2043">
        <v>0.53064377161128129</v>
      </c>
      <c r="AB2043" t="str">
        <f>HYPERLINK("Melting_Curves/meltCurve_P05141_SLC25A5.pdf", "Melting_Curves/meltCurve_P05141_SLC25A5.pdf")</f>
        <v>Melting_Curves/meltCurve_P05141_SLC25A5.pdf</v>
      </c>
    </row>
    <row r="2044" spans="1:28" x14ac:dyDescent="0.25">
      <c r="A2044" t="s">
        <v>2048</v>
      </c>
      <c r="B2044">
        <v>0.99472303558308395</v>
      </c>
      <c r="C2044">
        <v>0.91606766708301102</v>
      </c>
      <c r="D2044">
        <v>1.0690818640016</v>
      </c>
      <c r="E2044">
        <v>0.68809576746576295</v>
      </c>
      <c r="F2044">
        <v>0.217233477828222</v>
      </c>
      <c r="G2044">
        <v>0.103375594547818</v>
      </c>
      <c r="H2044">
        <v>7.9338512651402196E-2</v>
      </c>
      <c r="I2044">
        <v>5.5923856533577301E-2</v>
      </c>
      <c r="J2044">
        <v>8.1135471268818093E-2</v>
      </c>
      <c r="K2044">
        <v>6.2990609953185006E-2</v>
      </c>
      <c r="L2044">
        <v>1679.3414313472299</v>
      </c>
      <c r="M2044">
        <v>35.275681677887299</v>
      </c>
      <c r="N2044">
        <v>47.824969957313101</v>
      </c>
      <c r="O2044">
        <v>47.453993826764702</v>
      </c>
      <c r="P2044">
        <v>-0.17199640062575799</v>
      </c>
      <c r="Q2044">
        <v>7.4502561725539901E-2</v>
      </c>
      <c r="R2044">
        <v>0.99049466734491998</v>
      </c>
      <c r="S2044" t="s">
        <v>8612</v>
      </c>
      <c r="T2044" t="s">
        <v>13134</v>
      </c>
      <c r="U2044" t="s">
        <v>13134</v>
      </c>
      <c r="V2044" t="s">
        <v>13134</v>
      </c>
      <c r="W2044" t="s">
        <v>15137</v>
      </c>
      <c r="X2044">
        <v>3</v>
      </c>
      <c r="Y2044" t="s">
        <v>21607</v>
      </c>
      <c r="Z2044" t="s">
        <v>28012</v>
      </c>
      <c r="AA2044">
        <v>0.4056278868030278</v>
      </c>
      <c r="AB2044" t="str">
        <f>HYPERLINK("Melting_Curves/meltCurve_P05161_ISG15.pdf", "Melting_Curves/meltCurve_P05161_ISG15.pdf")</f>
        <v>Melting_Curves/meltCurve_P05161_ISG15.pdf</v>
      </c>
    </row>
    <row r="2045" spans="1:28" x14ac:dyDescent="0.25">
      <c r="A2045" t="s">
        <v>2049</v>
      </c>
      <c r="B2045">
        <v>0.99472303558308395</v>
      </c>
      <c r="C2045">
        <v>1.0260197551150001</v>
      </c>
      <c r="D2045">
        <v>0.77342369549544598</v>
      </c>
      <c r="E2045">
        <v>0.64146642348769201</v>
      </c>
      <c r="F2045">
        <v>0.77306395548998397</v>
      </c>
      <c r="G2045">
        <v>0.20766636485899001</v>
      </c>
      <c r="H2045">
        <v>8.4587677048676604E-2</v>
      </c>
      <c r="I2045">
        <v>7.2099018635136694E-2</v>
      </c>
      <c r="J2045">
        <v>9.0999509747492602E-2</v>
      </c>
      <c r="K2045">
        <v>7.8070680497918293E-2</v>
      </c>
      <c r="L2045">
        <v>643.29120874974899</v>
      </c>
      <c r="M2045">
        <v>12.7464857817716</v>
      </c>
      <c r="N2045">
        <v>50.468125889866599</v>
      </c>
      <c r="O2045">
        <v>49.2743127551241</v>
      </c>
      <c r="P2045">
        <v>-6.4683383963385202E-2</v>
      </c>
      <c r="Q2045">
        <v>0</v>
      </c>
      <c r="R2045">
        <v>0.91976256048971206</v>
      </c>
      <c r="S2045" t="s">
        <v>8613</v>
      </c>
      <c r="T2045" t="s">
        <v>13134</v>
      </c>
      <c r="U2045" t="s">
        <v>13134</v>
      </c>
      <c r="V2045" t="s">
        <v>13134</v>
      </c>
      <c r="W2045" t="s">
        <v>15138</v>
      </c>
      <c r="X2045">
        <v>3</v>
      </c>
      <c r="Y2045" t="s">
        <v>21608</v>
      </c>
      <c r="Z2045" t="s">
        <v>28013</v>
      </c>
      <c r="AA2045">
        <v>0.47425964417256539</v>
      </c>
      <c r="AB2045" t="str">
        <f>HYPERLINK("Melting_Curves/meltCurve_P05165_3_PCCA.pdf", "Melting_Curves/meltCurve_P05165_3_PCCA.pdf")</f>
        <v>Melting_Curves/meltCurve_P05165_3_PCCA.pdf</v>
      </c>
    </row>
    <row r="2046" spans="1:28" x14ac:dyDescent="0.25">
      <c r="A2046" t="s">
        <v>2050</v>
      </c>
      <c r="B2046">
        <v>0.99472303558308395</v>
      </c>
      <c r="C2046">
        <v>0.99172068678384095</v>
      </c>
      <c r="D2046">
        <v>1.0080208730983</v>
      </c>
      <c r="E2046">
        <v>0.94324155905412399</v>
      </c>
      <c r="F2046">
        <v>0.75987762264190595</v>
      </c>
      <c r="G2046">
        <v>0.52036840622839298</v>
      </c>
      <c r="H2046">
        <v>0.16568214599044101</v>
      </c>
      <c r="I2046">
        <v>7.4094118504448497E-2</v>
      </c>
      <c r="J2046">
        <v>7.4352845559239003E-2</v>
      </c>
      <c r="K2046">
        <v>6.6387288482012197E-2</v>
      </c>
      <c r="L2046">
        <v>1119.07842247689</v>
      </c>
      <c r="M2046">
        <v>20.999688570232198</v>
      </c>
      <c r="N2046">
        <v>53.462172807684702</v>
      </c>
      <c r="O2046">
        <v>52.814046259260003</v>
      </c>
      <c r="P2046">
        <v>-9.6160697887843594E-2</v>
      </c>
      <c r="Q2046">
        <v>3.265241616786E-2</v>
      </c>
      <c r="R2046">
        <v>0.99565507624916705</v>
      </c>
      <c r="S2046" t="s">
        <v>8614</v>
      </c>
      <c r="T2046" t="s">
        <v>13134</v>
      </c>
      <c r="U2046" t="s">
        <v>13134</v>
      </c>
      <c r="V2046" t="s">
        <v>13134</v>
      </c>
      <c r="W2046" t="s">
        <v>15139</v>
      </c>
      <c r="X2046">
        <v>36</v>
      </c>
      <c r="Y2046" t="s">
        <v>21609</v>
      </c>
      <c r="Z2046" t="s">
        <v>28014</v>
      </c>
      <c r="AA2046">
        <v>0.56917768018681303</v>
      </c>
      <c r="AB2046" t="str">
        <f>HYPERLINK("Melting_Curves/meltCurve_P05198_EIF2S1.pdf", "Melting_Curves/meltCurve_P05198_EIF2S1.pdf")</f>
        <v>Melting_Curves/meltCurve_P05198_EIF2S1.pdf</v>
      </c>
    </row>
    <row r="2047" spans="1:28" x14ac:dyDescent="0.25">
      <c r="A2047" t="s">
        <v>2051</v>
      </c>
      <c r="B2047">
        <v>0.99472303558308395</v>
      </c>
      <c r="C2047">
        <v>0.96261796276753298</v>
      </c>
      <c r="D2047">
        <v>1.04651768917265</v>
      </c>
      <c r="E2047">
        <v>0.89065630428099196</v>
      </c>
      <c r="F2047">
        <v>0.616534313373164</v>
      </c>
      <c r="G2047">
        <v>0.59160704379070395</v>
      </c>
      <c r="H2047">
        <v>0.55983533377970296</v>
      </c>
      <c r="I2047">
        <v>0.50275438127837602</v>
      </c>
      <c r="J2047">
        <v>0.78512197769070502</v>
      </c>
      <c r="K2047">
        <v>0.61567092037617699</v>
      </c>
      <c r="L2047">
        <v>4087.9645152759799</v>
      </c>
      <c r="M2047">
        <v>86.786039236942997</v>
      </c>
      <c r="O2047">
        <v>47.078945198126704</v>
      </c>
      <c r="P2047">
        <v>-0.17899203121652099</v>
      </c>
      <c r="Q2047">
        <v>0.61160777706764902</v>
      </c>
      <c r="R2047">
        <v>0.86913314016351895</v>
      </c>
      <c r="S2047" t="s">
        <v>8615</v>
      </c>
      <c r="T2047" t="s">
        <v>13134</v>
      </c>
      <c r="U2047" t="s">
        <v>13134</v>
      </c>
      <c r="V2047" t="s">
        <v>13134</v>
      </c>
      <c r="W2047" t="s">
        <v>15140</v>
      </c>
      <c r="X2047">
        <v>8</v>
      </c>
      <c r="Y2047" t="s">
        <v>21610</v>
      </c>
      <c r="Z2047" t="s">
        <v>28015</v>
      </c>
      <c r="AA2047">
        <v>0.74268438107823498</v>
      </c>
      <c r="AB2047" t="str">
        <f>HYPERLINK("Melting_Curves/meltCurve_P05204_HMGN2.pdf", "Melting_Curves/meltCurve_P05204_HMGN2.pdf")</f>
        <v>Melting_Curves/meltCurve_P05204_HMGN2.pdf</v>
      </c>
    </row>
    <row r="2048" spans="1:28" x14ac:dyDescent="0.25">
      <c r="A2048" t="s">
        <v>2052</v>
      </c>
      <c r="B2048">
        <v>0.99472303558308395</v>
      </c>
      <c r="C2048">
        <v>0.95787400219152496</v>
      </c>
      <c r="D2048">
        <v>0.91756687236831103</v>
      </c>
      <c r="E2048">
        <v>0.86744792488620803</v>
      </c>
      <c r="F2048">
        <v>0.73975142101774405</v>
      </c>
      <c r="G2048">
        <v>0.524018638391331</v>
      </c>
      <c r="H2048">
        <v>0.43777113551139202</v>
      </c>
      <c r="I2048">
        <v>0.44070743536941198</v>
      </c>
      <c r="J2048">
        <v>0.54295293280955303</v>
      </c>
      <c r="K2048">
        <v>0.53252584684161097</v>
      </c>
      <c r="L2048">
        <v>1022.33659353185</v>
      </c>
      <c r="M2048">
        <v>20.749739023448299</v>
      </c>
      <c r="N2048">
        <v>58.030939250319797</v>
      </c>
      <c r="O2048">
        <v>48.8190796705913</v>
      </c>
      <c r="P2048">
        <v>-5.5447292550035901E-2</v>
      </c>
      <c r="Q2048">
        <v>0.47819881217332799</v>
      </c>
      <c r="R2048">
        <v>0.95210740675731198</v>
      </c>
      <c r="S2048" t="s">
        <v>8616</v>
      </c>
      <c r="T2048" t="s">
        <v>13134</v>
      </c>
      <c r="U2048" t="s">
        <v>13134</v>
      </c>
      <c r="V2048" t="s">
        <v>13134</v>
      </c>
      <c r="W2048" t="s">
        <v>15141</v>
      </c>
      <c r="X2048">
        <v>15</v>
      </c>
      <c r="Y2048" t="s">
        <v>21611</v>
      </c>
      <c r="Z2048" t="s">
        <v>28016</v>
      </c>
      <c r="AA2048">
        <v>0.69804442601216166</v>
      </c>
      <c r="AB2048" t="str">
        <f>HYPERLINK("Melting_Curves/meltCurve_P05362_ICAM1.pdf", "Melting_Curves/meltCurve_P05362_ICAM1.pdf")</f>
        <v>Melting_Curves/meltCurve_P05362_ICAM1.pdf</v>
      </c>
    </row>
    <row r="2049" spans="1:28" x14ac:dyDescent="0.25">
      <c r="A2049" t="s">
        <v>2053</v>
      </c>
      <c r="B2049">
        <v>0.99472303558308395</v>
      </c>
      <c r="C2049">
        <v>1.01814393930425</v>
      </c>
      <c r="D2049">
        <v>0.88727797526184404</v>
      </c>
      <c r="E2049">
        <v>0.81395867066461902</v>
      </c>
      <c r="F2049">
        <v>0.79443122604834204</v>
      </c>
      <c r="G2049">
        <v>0.66754541307943804</v>
      </c>
      <c r="H2049">
        <v>0.68356274533087402</v>
      </c>
      <c r="I2049">
        <v>0.95964962374595997</v>
      </c>
      <c r="J2049">
        <v>1.5419721312621</v>
      </c>
      <c r="K2049">
        <v>1.30437809781464</v>
      </c>
      <c r="L2049">
        <v>15000</v>
      </c>
      <c r="M2049">
        <v>240.477823747874</v>
      </c>
      <c r="O2049">
        <v>62.371502779792699</v>
      </c>
      <c r="P2049">
        <v>0.40803323225641602</v>
      </c>
      <c r="Q2049">
        <v>1.4233179478547899</v>
      </c>
      <c r="R2049">
        <v>0.51174335843458696</v>
      </c>
      <c r="S2049" t="s">
        <v>8617</v>
      </c>
      <c r="T2049" t="s">
        <v>13134</v>
      </c>
      <c r="U2049" t="s">
        <v>13134</v>
      </c>
      <c r="V2049" t="s">
        <v>13134</v>
      </c>
      <c r="W2049" t="s">
        <v>15142</v>
      </c>
      <c r="X2049">
        <v>2</v>
      </c>
      <c r="Y2049" t="s">
        <v>21612</v>
      </c>
      <c r="Z2049" t="s">
        <v>28017</v>
      </c>
      <c r="AA2049">
        <v>1.065199948094443</v>
      </c>
      <c r="AB2049" t="str">
        <f>HYPERLINK("Melting_Curves/meltCurve_P05386_RPLP1.pdf", "Melting_Curves/meltCurve_P05386_RPLP1.pdf")</f>
        <v>Melting_Curves/meltCurve_P05386_RPLP1.pdf</v>
      </c>
    </row>
    <row r="2050" spans="1:28" x14ac:dyDescent="0.25">
      <c r="A2050" t="s">
        <v>2054</v>
      </c>
      <c r="B2050">
        <v>0.99472303558308395</v>
      </c>
      <c r="C2050">
        <v>0.98786440855521596</v>
      </c>
      <c r="D2050">
        <v>0.93184975775367196</v>
      </c>
      <c r="E2050">
        <v>0.85999602782061402</v>
      </c>
      <c r="F2050">
        <v>0.70032489857426505</v>
      </c>
      <c r="G2050">
        <v>0.493750896931198</v>
      </c>
      <c r="H2050">
        <v>0.77746025338760105</v>
      </c>
      <c r="I2050">
        <v>1.9534738402382901</v>
      </c>
      <c r="J2050">
        <v>3.4519069595767999</v>
      </c>
      <c r="K2050">
        <v>3.51316227606819</v>
      </c>
      <c r="L2050">
        <v>14767.114621201499</v>
      </c>
      <c r="M2050">
        <v>250</v>
      </c>
      <c r="O2050">
        <v>59.064674027047801</v>
      </c>
      <c r="P2050">
        <v>0.52908101474438096</v>
      </c>
      <c r="Q2050">
        <v>1.5</v>
      </c>
      <c r="R2050">
        <v>0.26063919751988601</v>
      </c>
      <c r="S2050" t="s">
        <v>8618</v>
      </c>
      <c r="T2050" t="s">
        <v>13134</v>
      </c>
      <c r="U2050" t="s">
        <v>13134</v>
      </c>
      <c r="V2050" t="s">
        <v>13134</v>
      </c>
      <c r="W2050" t="s">
        <v>15143</v>
      </c>
      <c r="X2050">
        <v>9</v>
      </c>
      <c r="Y2050" t="s">
        <v>21613</v>
      </c>
      <c r="Z2050" t="s">
        <v>28018</v>
      </c>
      <c r="AA2050">
        <v>1.1321405264739</v>
      </c>
      <c r="AB2050" t="str">
        <f>HYPERLINK("Melting_Curves/meltCurve_P05387_RPLP2.pdf", "Melting_Curves/meltCurve_P05387_RPLP2.pdf")</f>
        <v>Melting_Curves/meltCurve_P05387_RPLP2.pdf</v>
      </c>
    </row>
    <row r="2051" spans="1:28" x14ac:dyDescent="0.25">
      <c r="A2051" t="s">
        <v>2055</v>
      </c>
      <c r="B2051">
        <v>0.99472303558308395</v>
      </c>
      <c r="C2051">
        <v>0.89926038561315003</v>
      </c>
      <c r="D2051">
        <v>0.87140531423491097</v>
      </c>
      <c r="E2051">
        <v>0.73818088327783005</v>
      </c>
      <c r="F2051">
        <v>0.56081466568010296</v>
      </c>
      <c r="G2051">
        <v>0.36057888976604902</v>
      </c>
      <c r="H2051">
        <v>0.27809346955485198</v>
      </c>
      <c r="I2051">
        <v>0.141897585593454</v>
      </c>
      <c r="J2051">
        <v>0.118869777819294</v>
      </c>
      <c r="K2051">
        <v>0.15598097239647499</v>
      </c>
      <c r="L2051">
        <v>536.15875122390196</v>
      </c>
      <c r="M2051">
        <v>10.597786672241099</v>
      </c>
      <c r="N2051">
        <v>51.071195048488697</v>
      </c>
      <c r="O2051">
        <v>48.889907681995197</v>
      </c>
      <c r="P2051">
        <v>-5.1645282749801298E-2</v>
      </c>
      <c r="Q2051">
        <v>4.7366980363104001E-2</v>
      </c>
      <c r="R2051">
        <v>0.99297826076287199</v>
      </c>
      <c r="S2051" t="s">
        <v>8619</v>
      </c>
      <c r="T2051" t="s">
        <v>13134</v>
      </c>
      <c r="U2051" t="s">
        <v>13134</v>
      </c>
      <c r="V2051" t="s">
        <v>13134</v>
      </c>
      <c r="W2051" t="s">
        <v>15144</v>
      </c>
      <c r="X2051">
        <v>10</v>
      </c>
      <c r="Y2051" t="s">
        <v>21614</v>
      </c>
      <c r="Z2051" t="s">
        <v>28019</v>
      </c>
      <c r="AA2051">
        <v>0.50788617963161897</v>
      </c>
      <c r="AB2051" t="str">
        <f>HYPERLINK("Melting_Curves/meltCurve_P05388_RPLP0.pdf", "Melting_Curves/meltCurve_P05388_RPLP0.pdf")</f>
        <v>Melting_Curves/meltCurve_P05388_RPLP0.pdf</v>
      </c>
    </row>
    <row r="2052" spans="1:28" x14ac:dyDescent="0.25">
      <c r="A2052" t="s">
        <v>2056</v>
      </c>
      <c r="B2052">
        <v>0.99472303558308395</v>
      </c>
      <c r="C2052">
        <v>1.0658008394026799</v>
      </c>
      <c r="D2052">
        <v>0.85091543142251302</v>
      </c>
      <c r="E2052">
        <v>0.74460032604093795</v>
      </c>
      <c r="F2052">
        <v>0.53439779646573304</v>
      </c>
      <c r="G2052">
        <v>0.25177164119689299</v>
      </c>
      <c r="H2052">
        <v>0.16360119620158101</v>
      </c>
      <c r="I2052">
        <v>0.118603701907067</v>
      </c>
      <c r="J2052">
        <v>0.13500480769143999</v>
      </c>
      <c r="K2052">
        <v>0.155213995877514</v>
      </c>
      <c r="L2052">
        <v>809.81727441463499</v>
      </c>
      <c r="M2052">
        <v>16.439926906443901</v>
      </c>
      <c r="N2052">
        <v>49.985563685317501</v>
      </c>
      <c r="O2052">
        <v>48.547630771781698</v>
      </c>
      <c r="P2052">
        <v>-7.5668760234954696E-2</v>
      </c>
      <c r="Q2052">
        <v>0.10625392031321799</v>
      </c>
      <c r="R2052">
        <v>0.98581887665340195</v>
      </c>
      <c r="S2052" t="s">
        <v>8620</v>
      </c>
      <c r="T2052" t="s">
        <v>13134</v>
      </c>
      <c r="U2052" t="s">
        <v>13134</v>
      </c>
      <c r="V2052" t="s">
        <v>13134</v>
      </c>
      <c r="W2052" t="s">
        <v>15145</v>
      </c>
      <c r="X2052">
        <v>2</v>
      </c>
      <c r="Y2052" t="s">
        <v>21615</v>
      </c>
      <c r="Z2052" t="s">
        <v>28020</v>
      </c>
      <c r="AA2052">
        <v>0.48798538662429652</v>
      </c>
      <c r="AB2052" t="str">
        <f>HYPERLINK("Melting_Curves/meltCurve_P05412_JUN.pdf", "Melting_Curves/meltCurve_P05412_JUN.pdf")</f>
        <v>Melting_Curves/meltCurve_P05412_JUN.pdf</v>
      </c>
    </row>
    <row r="2053" spans="1:28" x14ac:dyDescent="0.25">
      <c r="A2053" t="s">
        <v>2057</v>
      </c>
      <c r="B2053">
        <v>0.99472303558308395</v>
      </c>
      <c r="C2053">
        <v>0.89920951511576996</v>
      </c>
      <c r="D2053">
        <v>0.77115039832541898</v>
      </c>
      <c r="E2053">
        <v>0.47445658793380502</v>
      </c>
      <c r="F2053">
        <v>0.25036562712502702</v>
      </c>
      <c r="G2053">
        <v>0.149032241778979</v>
      </c>
      <c r="H2053">
        <v>6.0060384636471599E-2</v>
      </c>
      <c r="I2053">
        <v>4.7035461068355898E-2</v>
      </c>
      <c r="J2053">
        <v>4.1084103116298301E-2</v>
      </c>
      <c r="K2053">
        <v>3.9432805106729897E-2</v>
      </c>
      <c r="L2053">
        <v>691.483236700048</v>
      </c>
      <c r="M2053">
        <v>14.965703867186299</v>
      </c>
      <c r="N2053">
        <v>46.366697211414497</v>
      </c>
      <c r="O2053">
        <v>45.403089296647302</v>
      </c>
      <c r="P2053">
        <v>-8.0311613074921698E-2</v>
      </c>
      <c r="Q2053">
        <v>2.5498864827658198E-2</v>
      </c>
      <c r="R2053">
        <v>0.99893125695335905</v>
      </c>
      <c r="S2053" t="s">
        <v>8621</v>
      </c>
      <c r="T2053" t="s">
        <v>13134</v>
      </c>
      <c r="U2053" t="s">
        <v>13134</v>
      </c>
      <c r="V2053" t="s">
        <v>13134</v>
      </c>
      <c r="W2053" t="s">
        <v>15146</v>
      </c>
      <c r="X2053">
        <v>7</v>
      </c>
      <c r="Y2053" t="s">
        <v>21616</v>
      </c>
      <c r="Z2053" t="s">
        <v>28021</v>
      </c>
      <c r="AA2053">
        <v>0.34694342023486541</v>
      </c>
      <c r="AB2053" t="str">
        <f>HYPERLINK("Melting_Curves/meltCurve_P05423_POLR3D.pdf", "Melting_Curves/meltCurve_P05423_POLR3D.pdf")</f>
        <v>Melting_Curves/meltCurve_P05423_POLR3D.pdf</v>
      </c>
    </row>
    <row r="2054" spans="1:28" x14ac:dyDescent="0.25">
      <c r="A2054" t="s">
        <v>2058</v>
      </c>
      <c r="B2054">
        <v>0.99472303558308395</v>
      </c>
      <c r="C2054">
        <v>0.92110099517590704</v>
      </c>
      <c r="D2054">
        <v>0.94640167137796305</v>
      </c>
      <c r="E2054">
        <v>0.77982034652091903</v>
      </c>
      <c r="F2054">
        <v>0.420684050570719</v>
      </c>
      <c r="G2054">
        <v>9.9648141956001399E-2</v>
      </c>
      <c r="H2054">
        <v>4.9915962873421003E-2</v>
      </c>
      <c r="I2054">
        <v>3.0723746884051401E-2</v>
      </c>
      <c r="J2054">
        <v>3.2989181588323098E-2</v>
      </c>
      <c r="K2054">
        <v>2.8946495607406399E-2</v>
      </c>
      <c r="L2054">
        <v>1128.73871097133</v>
      </c>
      <c r="M2054">
        <v>22.951589299054099</v>
      </c>
      <c r="N2054">
        <v>49.254374628600402</v>
      </c>
      <c r="O2054">
        <v>48.810307474448599</v>
      </c>
      <c r="P2054">
        <v>-0.11553082566792</v>
      </c>
      <c r="Q2054">
        <v>1.7237289349629498E-2</v>
      </c>
      <c r="R2054">
        <v>0.99514814302527299</v>
      </c>
      <c r="S2054" t="s">
        <v>8622</v>
      </c>
      <c r="T2054" t="s">
        <v>13134</v>
      </c>
      <c r="U2054" t="s">
        <v>13134</v>
      </c>
      <c r="V2054" t="s">
        <v>13134</v>
      </c>
      <c r="W2054" t="s">
        <v>15147</v>
      </c>
      <c r="X2054">
        <v>29</v>
      </c>
      <c r="Y2054" t="s">
        <v>21617</v>
      </c>
      <c r="Z2054" t="s">
        <v>28022</v>
      </c>
      <c r="AA2054">
        <v>0.42623908077234501</v>
      </c>
      <c r="AB2054" t="str">
        <f>HYPERLINK("Melting_Curves/meltCurve_P05455_SSB.pdf", "Melting_Curves/meltCurve_P05455_SSB.pdf")</f>
        <v>Melting_Curves/meltCurve_P05455_SSB.pdf</v>
      </c>
    </row>
    <row r="2055" spans="1:28" x14ac:dyDescent="0.25">
      <c r="A2055" t="s">
        <v>2059</v>
      </c>
      <c r="B2055">
        <v>0.99472303558308395</v>
      </c>
      <c r="C2055">
        <v>1.0477359381310001</v>
      </c>
      <c r="D2055">
        <v>1.00186571964594</v>
      </c>
      <c r="E2055">
        <v>0.88073812672816798</v>
      </c>
      <c r="F2055">
        <v>0.58948750836905595</v>
      </c>
      <c r="G2055">
        <v>0.37238716682933198</v>
      </c>
      <c r="H2055">
        <v>0.25393873803567202</v>
      </c>
      <c r="I2055">
        <v>0.23991085892980499</v>
      </c>
      <c r="J2055">
        <v>0.32164500562986298</v>
      </c>
      <c r="K2055">
        <v>0.32086286910356399</v>
      </c>
      <c r="L2055">
        <v>1344.6774313416299</v>
      </c>
      <c r="M2055">
        <v>27.105986172860099</v>
      </c>
      <c r="N2055">
        <v>51.172269869193698</v>
      </c>
      <c r="O2055">
        <v>49.340492539020197</v>
      </c>
      <c r="P2055">
        <v>-9.8659975546858403E-2</v>
      </c>
      <c r="Q2055">
        <v>0.28165185144903199</v>
      </c>
      <c r="R2055">
        <v>0.99040817796733704</v>
      </c>
      <c r="S2055" t="s">
        <v>8623</v>
      </c>
      <c r="T2055" t="s">
        <v>13134</v>
      </c>
      <c r="U2055" t="s">
        <v>13134</v>
      </c>
      <c r="V2055" t="s">
        <v>13134</v>
      </c>
      <c r="W2055" t="s">
        <v>15148</v>
      </c>
      <c r="X2055">
        <v>23</v>
      </c>
      <c r="Y2055" t="s">
        <v>21618</v>
      </c>
      <c r="Z2055" t="s">
        <v>28023</v>
      </c>
      <c r="AA2055">
        <v>0.58889998516326381</v>
      </c>
      <c r="AB2055" t="str">
        <f>HYPERLINK("Melting_Curves/meltCurve_P05556_ITGB1.pdf", "Melting_Curves/meltCurve_P05556_ITGB1.pdf")</f>
        <v>Melting_Curves/meltCurve_P05556_ITGB1.pdf</v>
      </c>
    </row>
    <row r="2056" spans="1:28" x14ac:dyDescent="0.25">
      <c r="A2056" t="s">
        <v>2060</v>
      </c>
      <c r="B2056">
        <v>0.99472303558308395</v>
      </c>
      <c r="C2056">
        <v>0.97992701337326305</v>
      </c>
      <c r="D2056">
        <v>0.977277465610768</v>
      </c>
      <c r="E2056">
        <v>0.81657476680261898</v>
      </c>
      <c r="F2056">
        <v>0.30964805134135998</v>
      </c>
      <c r="G2056">
        <v>9.3372035765519806E-2</v>
      </c>
      <c r="H2056">
        <v>6.2538212210032196E-2</v>
      </c>
      <c r="I2056">
        <v>4.5845469986654903E-2</v>
      </c>
      <c r="J2056">
        <v>6.1455375185338501E-2</v>
      </c>
      <c r="K2056">
        <v>5.06380303248384E-2</v>
      </c>
      <c r="L2056">
        <v>1558.5966458860601</v>
      </c>
      <c r="M2056">
        <v>32.032179056797901</v>
      </c>
      <c r="N2056">
        <v>48.826120404747897</v>
      </c>
      <c r="O2056">
        <v>48.4687532458058</v>
      </c>
      <c r="P2056">
        <v>-0.15655727569953001</v>
      </c>
      <c r="Q2056">
        <v>5.2440622484719701E-2</v>
      </c>
      <c r="R2056">
        <v>0.99963970345120701</v>
      </c>
      <c r="S2056" t="s">
        <v>8624</v>
      </c>
      <c r="T2056" t="s">
        <v>13134</v>
      </c>
      <c r="U2056" t="s">
        <v>13134</v>
      </c>
      <c r="V2056" t="s">
        <v>13134</v>
      </c>
      <c r="W2056" t="s">
        <v>15149</v>
      </c>
      <c r="X2056">
        <v>37</v>
      </c>
      <c r="Y2056" t="s">
        <v>21619</v>
      </c>
      <c r="Z2056" t="s">
        <v>28024</v>
      </c>
      <c r="AA2056">
        <v>0.42561910814444481</v>
      </c>
      <c r="AB2056" t="str">
        <f>HYPERLINK("Melting_Curves/meltCurve_P05771_2_PRKCB.pdf", "Melting_Curves/meltCurve_P05771_2_PRKCB.pdf")</f>
        <v>Melting_Curves/meltCurve_P05771_2_PRKCB.pdf</v>
      </c>
    </row>
    <row r="2057" spans="1:28" x14ac:dyDescent="0.25">
      <c r="A2057" t="s">
        <v>2061</v>
      </c>
      <c r="B2057">
        <v>0.99472303558308395</v>
      </c>
      <c r="C2057">
        <v>0.84719105734409605</v>
      </c>
      <c r="D2057">
        <v>0.89315696500543496</v>
      </c>
      <c r="E2057">
        <v>0.65951078371543304</v>
      </c>
      <c r="F2057">
        <v>0.28508859066195802</v>
      </c>
      <c r="G2057">
        <v>0.10717137936046001</v>
      </c>
      <c r="H2057">
        <v>7.5392685834700601E-2</v>
      </c>
      <c r="I2057">
        <v>6.5057708575484194E-2</v>
      </c>
      <c r="J2057">
        <v>7.5123191045212506E-2</v>
      </c>
      <c r="K2057">
        <v>5.2713275289002999E-2</v>
      </c>
      <c r="L2057">
        <v>938.999342022973</v>
      </c>
      <c r="M2057">
        <v>19.722495584660599</v>
      </c>
      <c r="N2057">
        <v>47.850222517317</v>
      </c>
      <c r="O2057">
        <v>47.1292052049155</v>
      </c>
      <c r="P2057">
        <v>-9.9702760152199393E-2</v>
      </c>
      <c r="Q2057">
        <v>4.7027250086103103E-2</v>
      </c>
      <c r="R2057">
        <v>0.98550956460667904</v>
      </c>
      <c r="S2057" t="s">
        <v>8625</v>
      </c>
      <c r="T2057" t="s">
        <v>13134</v>
      </c>
      <c r="U2057" t="s">
        <v>13134</v>
      </c>
      <c r="V2057" t="s">
        <v>13134</v>
      </c>
      <c r="W2057" t="s">
        <v>15150</v>
      </c>
      <c r="X2057">
        <v>30</v>
      </c>
      <c r="Y2057" t="s">
        <v>21620</v>
      </c>
      <c r="Z2057" t="s">
        <v>28025</v>
      </c>
      <c r="AA2057">
        <v>0.39692172554023669</v>
      </c>
      <c r="AB2057" t="str">
        <f>HYPERLINK("Melting_Curves/meltCurve_P05783_KRT18.pdf", "Melting_Curves/meltCurve_P05783_KRT18.pdf")</f>
        <v>Melting_Curves/meltCurve_P05783_KRT18.pdf</v>
      </c>
    </row>
    <row r="2058" spans="1:28" x14ac:dyDescent="0.25">
      <c r="A2058" t="s">
        <v>2062</v>
      </c>
      <c r="B2058">
        <v>0.99472303558308395</v>
      </c>
      <c r="C2058">
        <v>0.984183476890645</v>
      </c>
      <c r="D2058">
        <v>1.02385771000348</v>
      </c>
      <c r="E2058">
        <v>0.949131031647374</v>
      </c>
      <c r="F2058">
        <v>0.68506467581070096</v>
      </c>
      <c r="G2058">
        <v>0.28976405128388599</v>
      </c>
      <c r="H2058">
        <v>0.107827229064498</v>
      </c>
      <c r="I2058">
        <v>8.7661764400491796E-2</v>
      </c>
      <c r="J2058">
        <v>0.107033800362623</v>
      </c>
      <c r="K2058">
        <v>8.7538855940797106E-2</v>
      </c>
      <c r="L2058">
        <v>1474.81242662965</v>
      </c>
      <c r="M2058">
        <v>28.721068941635799</v>
      </c>
      <c r="N2058">
        <v>51.686530310848397</v>
      </c>
      <c r="O2058">
        <v>51.102493115472498</v>
      </c>
      <c r="P2058">
        <v>-0.12850949221924701</v>
      </c>
      <c r="Q2058">
        <v>8.5395529881090698E-2</v>
      </c>
      <c r="R2058">
        <v>0.99884380933995298</v>
      </c>
      <c r="S2058" t="s">
        <v>8626</v>
      </c>
      <c r="T2058" t="s">
        <v>13134</v>
      </c>
      <c r="U2058" t="s">
        <v>13134</v>
      </c>
      <c r="V2058" t="s">
        <v>13134</v>
      </c>
      <c r="W2058" t="s">
        <v>15151</v>
      </c>
      <c r="X2058">
        <v>19</v>
      </c>
      <c r="Y2058" t="s">
        <v>21621</v>
      </c>
      <c r="Z2058" t="s">
        <v>28026</v>
      </c>
      <c r="AA2058">
        <v>0.52909352634910811</v>
      </c>
      <c r="AB2058" t="str">
        <f>HYPERLINK("Melting_Curves/meltCurve_P05937_CALB1.pdf", "Melting_Curves/meltCurve_P05937_CALB1.pdf")</f>
        <v>Melting_Curves/meltCurve_P05937_CALB1.pdf</v>
      </c>
    </row>
    <row r="2059" spans="1:28" x14ac:dyDescent="0.25">
      <c r="A2059" t="s">
        <v>2063</v>
      </c>
      <c r="B2059">
        <v>0.99472303558308395</v>
      </c>
      <c r="C2059">
        <v>0.95127311813181603</v>
      </c>
      <c r="D2059">
        <v>0.93667453828772895</v>
      </c>
      <c r="E2059">
        <v>0.87945453815300401</v>
      </c>
      <c r="F2059">
        <v>0.76117969940501895</v>
      </c>
      <c r="G2059">
        <v>0.60269073572709198</v>
      </c>
      <c r="H2059">
        <v>0.518247630275392</v>
      </c>
      <c r="I2059">
        <v>0.44672637863945103</v>
      </c>
      <c r="J2059">
        <v>0.44949122435150102</v>
      </c>
      <c r="K2059">
        <v>0.21623360805688599</v>
      </c>
      <c r="L2059">
        <v>406.58858569424302</v>
      </c>
      <c r="M2059">
        <v>6.9483455729601298</v>
      </c>
      <c r="N2059">
        <v>58.515884234176198</v>
      </c>
      <c r="O2059">
        <v>54.246147024023301</v>
      </c>
      <c r="P2059">
        <v>-3.2083301430784902E-2</v>
      </c>
      <c r="Q2059">
        <v>0</v>
      </c>
      <c r="R2059">
        <v>0.97065545055730795</v>
      </c>
      <c r="S2059" t="s">
        <v>8627</v>
      </c>
      <c r="T2059" t="s">
        <v>13134</v>
      </c>
      <c r="U2059" t="s">
        <v>13134</v>
      </c>
      <c r="V2059" t="s">
        <v>13134</v>
      </c>
      <c r="W2059" t="s">
        <v>15152</v>
      </c>
      <c r="X2059">
        <v>15</v>
      </c>
      <c r="Y2059" t="s">
        <v>21622</v>
      </c>
      <c r="Z2059" t="s">
        <v>28027</v>
      </c>
      <c r="AA2059">
        <v>0.68050426323828894</v>
      </c>
      <c r="AB2059" t="str">
        <f>HYPERLINK("Melting_Curves/meltCurve_P06132_UROD.pdf", "Melting_Curves/meltCurve_P06132_UROD.pdf")</f>
        <v>Melting_Curves/meltCurve_P06132_UROD.pdf</v>
      </c>
    </row>
    <row r="2060" spans="1:28" x14ac:dyDescent="0.25">
      <c r="A2060" t="s">
        <v>2064</v>
      </c>
      <c r="B2060">
        <v>0.99472303558308395</v>
      </c>
      <c r="C2060">
        <v>0.92904056891664</v>
      </c>
      <c r="D2060">
        <v>0.97608714492205095</v>
      </c>
      <c r="E2060">
        <v>0.84956853728249604</v>
      </c>
      <c r="F2060">
        <v>0.55784415985879099</v>
      </c>
      <c r="G2060">
        <v>0.40894354510137199</v>
      </c>
      <c r="H2060">
        <v>0.32854369851961002</v>
      </c>
      <c r="I2060">
        <v>0.191687160370344</v>
      </c>
      <c r="J2060">
        <v>9.3581058951794499E-2</v>
      </c>
      <c r="K2060">
        <v>9.9265500108841095E-2</v>
      </c>
      <c r="L2060">
        <v>632.18168320422001</v>
      </c>
      <c r="M2060">
        <v>12.178211982984701</v>
      </c>
      <c r="N2060">
        <v>52.301915547270603</v>
      </c>
      <c r="O2060">
        <v>50.570632782263999</v>
      </c>
      <c r="P2060">
        <v>-5.75973267049638E-2</v>
      </c>
      <c r="Q2060">
        <v>4.3514353914957199E-2</v>
      </c>
      <c r="R2060">
        <v>0.98783910122124297</v>
      </c>
      <c r="S2060" t="s">
        <v>8628</v>
      </c>
      <c r="T2060" t="s">
        <v>13134</v>
      </c>
      <c r="U2060" t="s">
        <v>13134</v>
      </c>
      <c r="V2060" t="s">
        <v>13134</v>
      </c>
      <c r="W2060" t="s">
        <v>15153</v>
      </c>
      <c r="X2060">
        <v>8</v>
      </c>
      <c r="Y2060" t="s">
        <v>21623</v>
      </c>
      <c r="Z2060" t="s">
        <v>28028</v>
      </c>
      <c r="AA2060">
        <v>0.54157213014025352</v>
      </c>
      <c r="AB2060" t="str">
        <f>HYPERLINK("Melting_Curves/meltCurve_P06280_GLA.pdf", "Melting_Curves/meltCurve_P06280_GLA.pdf")</f>
        <v>Melting_Curves/meltCurve_P06280_GLA.pdf</v>
      </c>
    </row>
    <row r="2061" spans="1:28" x14ac:dyDescent="0.25">
      <c r="A2061" t="s">
        <v>2065</v>
      </c>
      <c r="B2061">
        <v>0.99472303558308395</v>
      </c>
      <c r="C2061">
        <v>0.975008034890541</v>
      </c>
      <c r="D2061">
        <v>0.94437660255038802</v>
      </c>
      <c r="E2061">
        <v>0.83761873950266796</v>
      </c>
      <c r="F2061">
        <v>0.59144340370662496</v>
      </c>
      <c r="G2061">
        <v>0.28151686479132099</v>
      </c>
      <c r="H2061">
        <v>8.5503914249808605E-2</v>
      </c>
      <c r="I2061">
        <v>4.92333288477299E-2</v>
      </c>
      <c r="J2061">
        <v>5.0511835528989503E-2</v>
      </c>
      <c r="K2061">
        <v>4.3848157613558703E-2</v>
      </c>
      <c r="L2061">
        <v>960.77420553418403</v>
      </c>
      <c r="M2061">
        <v>18.8823907866268</v>
      </c>
      <c r="N2061">
        <v>50.975005357167099</v>
      </c>
      <c r="O2061">
        <v>50.321640615220602</v>
      </c>
      <c r="P2061">
        <v>-9.2224244135109906E-2</v>
      </c>
      <c r="Q2061">
        <v>1.69284754003E-2</v>
      </c>
      <c r="R2061">
        <v>0.99786452257462099</v>
      </c>
      <c r="S2061" t="s">
        <v>8629</v>
      </c>
      <c r="T2061" t="s">
        <v>13134</v>
      </c>
      <c r="U2061" t="s">
        <v>13134</v>
      </c>
      <c r="V2061" t="s">
        <v>13134</v>
      </c>
      <c r="W2061" t="s">
        <v>15154</v>
      </c>
      <c r="X2061">
        <v>16</v>
      </c>
      <c r="Y2061" t="s">
        <v>21624</v>
      </c>
      <c r="Z2061" t="s">
        <v>28029</v>
      </c>
      <c r="AA2061">
        <v>0.4859926716285079</v>
      </c>
      <c r="AB2061" t="str">
        <f>HYPERLINK("Melting_Curves/meltCurve_P06400_RB1.pdf", "Melting_Curves/meltCurve_P06400_RB1.pdf")</f>
        <v>Melting_Curves/meltCurve_P06400_RB1.pdf</v>
      </c>
    </row>
    <row r="2062" spans="1:28" x14ac:dyDescent="0.25">
      <c r="A2062" t="s">
        <v>2066</v>
      </c>
      <c r="B2062">
        <v>0.99472303558308395</v>
      </c>
      <c r="C2062">
        <v>0.94412325555285004</v>
      </c>
      <c r="D2062">
        <v>0.94711038992127705</v>
      </c>
      <c r="E2062">
        <v>0.72846244271540395</v>
      </c>
      <c r="F2062">
        <v>0.301219928221511</v>
      </c>
      <c r="G2062">
        <v>0.202092549658136</v>
      </c>
      <c r="H2062">
        <v>0.13441837348791999</v>
      </c>
      <c r="I2062">
        <v>8.1700197154032594E-2</v>
      </c>
      <c r="J2062">
        <v>6.4303567141581502E-2</v>
      </c>
      <c r="K2062">
        <v>4.6369514573203603E-2</v>
      </c>
      <c r="L2062">
        <v>1071.8042680286001</v>
      </c>
      <c r="M2062">
        <v>22.237421790802699</v>
      </c>
      <c r="N2062">
        <v>48.555624090314502</v>
      </c>
      <c r="O2062">
        <v>47.813529090324003</v>
      </c>
      <c r="P2062">
        <v>-0.107496145387666</v>
      </c>
      <c r="Q2062">
        <v>7.5493524108214805E-2</v>
      </c>
      <c r="R2062">
        <v>0.99405135383528298</v>
      </c>
      <c r="S2062" t="s">
        <v>8630</v>
      </c>
      <c r="T2062" t="s">
        <v>13134</v>
      </c>
      <c r="U2062" t="s">
        <v>13134</v>
      </c>
      <c r="V2062" t="s">
        <v>13134</v>
      </c>
      <c r="W2062" t="s">
        <v>15155</v>
      </c>
      <c r="X2062">
        <v>20</v>
      </c>
      <c r="Y2062" t="s">
        <v>21625</v>
      </c>
      <c r="Z2062" t="s">
        <v>28030</v>
      </c>
      <c r="AA2062">
        <v>0.43051872021099408</v>
      </c>
      <c r="AB2062" t="str">
        <f>HYPERLINK("Melting_Curves/meltCurve_P06493_CDK1.pdf", "Melting_Curves/meltCurve_P06493_CDK1.pdf")</f>
        <v>Melting_Curves/meltCurve_P06493_CDK1.pdf</v>
      </c>
    </row>
    <row r="2063" spans="1:28" x14ac:dyDescent="0.25">
      <c r="A2063" t="s">
        <v>2067</v>
      </c>
      <c r="B2063">
        <v>0.99472303558308395</v>
      </c>
      <c r="C2063">
        <v>0.86647050501560596</v>
      </c>
      <c r="D2063">
        <v>0.71717689980071997</v>
      </c>
      <c r="E2063">
        <v>0.62041238225663098</v>
      </c>
      <c r="F2063">
        <v>0.59211522054596899</v>
      </c>
      <c r="G2063">
        <v>0.29718018316398398</v>
      </c>
      <c r="H2063">
        <v>0.227727308956126</v>
      </c>
      <c r="I2063">
        <v>0.205011935687337</v>
      </c>
      <c r="J2063">
        <v>0.32408015125615403</v>
      </c>
      <c r="K2063">
        <v>0.21216237601538099</v>
      </c>
      <c r="L2063">
        <v>461.42405445833202</v>
      </c>
      <c r="M2063">
        <v>9.7531860630656801</v>
      </c>
      <c r="N2063">
        <v>49.397100166119003</v>
      </c>
      <c r="O2063">
        <v>45.449751235901097</v>
      </c>
      <c r="P2063">
        <v>-4.46129684642484E-2</v>
      </c>
      <c r="Q2063">
        <v>0.168860783378842</v>
      </c>
      <c r="R2063">
        <v>0.94666800760529901</v>
      </c>
      <c r="S2063" t="s">
        <v>8631</v>
      </c>
      <c r="T2063" t="s">
        <v>13134</v>
      </c>
      <c r="U2063" t="s">
        <v>13134</v>
      </c>
      <c r="V2063" t="s">
        <v>13134</v>
      </c>
      <c r="W2063" t="s">
        <v>15156</v>
      </c>
      <c r="X2063">
        <v>26</v>
      </c>
      <c r="Y2063" t="s">
        <v>21626</v>
      </c>
      <c r="Z2063" t="s">
        <v>28031</v>
      </c>
      <c r="AA2063">
        <v>0.49079211148478541</v>
      </c>
      <c r="AB2063" t="str">
        <f>HYPERLINK("Melting_Curves/meltCurve_P06576_ATP5B.pdf", "Melting_Curves/meltCurve_P06576_ATP5B.pdf")</f>
        <v>Melting_Curves/meltCurve_P06576_ATP5B.pdf</v>
      </c>
    </row>
    <row r="2064" spans="1:28" x14ac:dyDescent="0.25">
      <c r="A2064" t="s">
        <v>2068</v>
      </c>
      <c r="B2064">
        <v>0.99472303558308395</v>
      </c>
      <c r="C2064">
        <v>0.96350958664714004</v>
      </c>
      <c r="D2064">
        <v>0.99541641806785397</v>
      </c>
      <c r="E2064">
        <v>0.97401922831337195</v>
      </c>
      <c r="F2064">
        <v>0.79846518699923896</v>
      </c>
      <c r="G2064">
        <v>0.70235729153961401</v>
      </c>
      <c r="H2064">
        <v>0.59104391602702799</v>
      </c>
      <c r="I2064">
        <v>0.69880527670167203</v>
      </c>
      <c r="J2064">
        <v>0.97448722567453705</v>
      </c>
      <c r="K2064">
        <v>0.43958858521602001</v>
      </c>
      <c r="L2064">
        <v>1966.6248383699599</v>
      </c>
      <c r="M2064">
        <v>39.695073534455197</v>
      </c>
      <c r="O2064">
        <v>49.418060106732199</v>
      </c>
      <c r="P2064">
        <v>-6.4613962818479198E-2</v>
      </c>
      <c r="Q2064">
        <v>0.67823817915640905</v>
      </c>
      <c r="R2064">
        <v>0.56510111693018605</v>
      </c>
      <c r="S2064" t="s">
        <v>8632</v>
      </c>
      <c r="T2064" t="s">
        <v>13134</v>
      </c>
      <c r="U2064" t="s">
        <v>13134</v>
      </c>
      <c r="V2064" t="s">
        <v>13134</v>
      </c>
      <c r="W2064" t="s">
        <v>15157</v>
      </c>
      <c r="X2064">
        <v>50</v>
      </c>
      <c r="Y2064" t="s">
        <v>21627</v>
      </c>
      <c r="Z2064" t="s">
        <v>28032</v>
      </c>
      <c r="AA2064">
        <v>0.81388851640247251</v>
      </c>
      <c r="AB2064" t="str">
        <f>HYPERLINK("Melting_Curves/meltCurve_P06733_ENO1.pdf", "Melting_Curves/meltCurve_P06733_ENO1.pdf")</f>
        <v>Melting_Curves/meltCurve_P06733_ENO1.pdf</v>
      </c>
    </row>
    <row r="2065" spans="1:28" x14ac:dyDescent="0.25">
      <c r="A2065" t="s">
        <v>2069</v>
      </c>
      <c r="B2065">
        <v>0.99472303558308395</v>
      </c>
      <c r="C2065">
        <v>1.1474727204822801</v>
      </c>
      <c r="D2065">
        <v>0.96579534784474097</v>
      </c>
      <c r="E2065">
        <v>0.87088671763653702</v>
      </c>
      <c r="F2065">
        <v>0.91984438823583503</v>
      </c>
      <c r="G2065">
        <v>0.54029586811467001</v>
      </c>
      <c r="H2065">
        <v>0.81392908353000604</v>
      </c>
      <c r="I2065">
        <v>0.44298753027556598</v>
      </c>
      <c r="J2065">
        <v>1.1458280796106799</v>
      </c>
      <c r="K2065">
        <v>0.95853088637306505</v>
      </c>
      <c r="L2065">
        <v>1405.89492437219</v>
      </c>
      <c r="M2065">
        <v>30.377850018358899</v>
      </c>
      <c r="O2065">
        <v>46.0811001845017</v>
      </c>
      <c r="P2065">
        <v>-3.3361113460216398E-2</v>
      </c>
      <c r="Q2065">
        <v>0.797575251992658</v>
      </c>
      <c r="R2065">
        <v>0.221458286009486</v>
      </c>
      <c r="S2065" t="s">
        <v>8633</v>
      </c>
      <c r="T2065" t="s">
        <v>13134</v>
      </c>
      <c r="U2065" t="s">
        <v>13134</v>
      </c>
      <c r="V2065" t="s">
        <v>13134</v>
      </c>
      <c r="W2065" t="s">
        <v>15158</v>
      </c>
      <c r="X2065">
        <v>35</v>
      </c>
      <c r="Y2065" t="s">
        <v>21627</v>
      </c>
      <c r="Z2065" t="s">
        <v>28033</v>
      </c>
      <c r="AA2065">
        <v>0.86132537693621791</v>
      </c>
      <c r="AB2065" t="str">
        <f>HYPERLINK("Melting_Curves/meltCurve_P06733_2_ENO1.pdf", "Melting_Curves/meltCurve_P06733_2_ENO1.pdf")</f>
        <v>Melting_Curves/meltCurve_P06733_2_ENO1.pdf</v>
      </c>
    </row>
    <row r="2066" spans="1:28" x14ac:dyDescent="0.25">
      <c r="A2066" t="s">
        <v>2070</v>
      </c>
      <c r="B2066">
        <v>0.99472303558308395</v>
      </c>
      <c r="C2066">
        <v>0.98159921522915305</v>
      </c>
      <c r="D2066">
        <v>0.95989387692523198</v>
      </c>
      <c r="E2066">
        <v>0.89223226011498302</v>
      </c>
      <c r="F2066">
        <v>0.77999782408114504</v>
      </c>
      <c r="G2066">
        <v>0.53530794243382296</v>
      </c>
      <c r="H2066">
        <v>0.22008712613284101</v>
      </c>
      <c r="I2066">
        <v>6.5547675188983398E-2</v>
      </c>
      <c r="J2066">
        <v>6.5159669749500396E-2</v>
      </c>
      <c r="K2066">
        <v>6.0537162448386798E-2</v>
      </c>
      <c r="L2066">
        <v>961.99183322903605</v>
      </c>
      <c r="M2066">
        <v>17.9042076306369</v>
      </c>
      <c r="N2066">
        <v>53.745920927589701</v>
      </c>
      <c r="O2066">
        <v>53.073119044549799</v>
      </c>
      <c r="P2066">
        <v>-8.4117698329806798E-2</v>
      </c>
      <c r="Q2066">
        <v>2.6563483447245699E-3</v>
      </c>
      <c r="R2066">
        <v>0.99460598506869402</v>
      </c>
      <c r="S2066" t="s">
        <v>8634</v>
      </c>
      <c r="T2066" t="s">
        <v>13134</v>
      </c>
      <c r="U2066" t="s">
        <v>13134</v>
      </c>
      <c r="V2066" t="s">
        <v>13134</v>
      </c>
      <c r="W2066" t="s">
        <v>15159</v>
      </c>
      <c r="X2066">
        <v>34</v>
      </c>
      <c r="Y2066" t="s">
        <v>21628</v>
      </c>
      <c r="Z2066" t="s">
        <v>28034</v>
      </c>
      <c r="AA2066">
        <v>0.57285296358062943</v>
      </c>
      <c r="AB2066" t="str">
        <f>HYPERLINK("Melting_Curves/meltCurve_P06744_GPI.pdf", "Melting_Curves/meltCurve_P06744_GPI.pdf")</f>
        <v>Melting_Curves/meltCurve_P06744_GPI.pdf</v>
      </c>
    </row>
    <row r="2067" spans="1:28" x14ac:dyDescent="0.25">
      <c r="A2067" t="s">
        <v>2071</v>
      </c>
      <c r="B2067">
        <v>0.99472303558308395</v>
      </c>
      <c r="C2067">
        <v>0.82355545354628501</v>
      </c>
      <c r="D2067">
        <v>0.96344583512690796</v>
      </c>
      <c r="E2067">
        <v>0.81775198553557005</v>
      </c>
      <c r="F2067">
        <v>0.58365036410444004</v>
      </c>
      <c r="G2067">
        <v>0.441226696606135</v>
      </c>
      <c r="H2067">
        <v>0.31354161575876399</v>
      </c>
      <c r="I2067">
        <v>0.31969521295303199</v>
      </c>
      <c r="J2067">
        <v>0.44138394449624202</v>
      </c>
      <c r="K2067">
        <v>0.30773789669011398</v>
      </c>
      <c r="L2067">
        <v>893.26592998361798</v>
      </c>
      <c r="M2067">
        <v>18.3036929530723</v>
      </c>
      <c r="N2067">
        <v>51.881217312188902</v>
      </c>
      <c r="O2067">
        <v>48.231160074438002</v>
      </c>
      <c r="P2067">
        <v>-6.3450737110527206E-2</v>
      </c>
      <c r="Q2067">
        <v>0.33124723712799697</v>
      </c>
      <c r="R2067">
        <v>0.93659789308339303</v>
      </c>
      <c r="S2067" t="s">
        <v>8635</v>
      </c>
      <c r="T2067" t="s">
        <v>13134</v>
      </c>
      <c r="U2067" t="s">
        <v>13134</v>
      </c>
      <c r="V2067" t="s">
        <v>13134</v>
      </c>
      <c r="W2067" t="s">
        <v>15160</v>
      </c>
      <c r="X2067">
        <v>20</v>
      </c>
      <c r="Y2067" t="s">
        <v>21629</v>
      </c>
      <c r="Z2067" t="s">
        <v>28035</v>
      </c>
      <c r="AA2067">
        <v>0.60468182114411728</v>
      </c>
      <c r="AB2067" t="str">
        <f>HYPERLINK("Melting_Curves/meltCurve_P06748_NPM1.pdf", "Melting_Curves/meltCurve_P06748_NPM1.pdf")</f>
        <v>Melting_Curves/meltCurve_P06748_NPM1.pdf</v>
      </c>
    </row>
    <row r="2068" spans="1:28" x14ac:dyDescent="0.25">
      <c r="A2068" t="s">
        <v>2072</v>
      </c>
      <c r="B2068">
        <v>0.99472303558308395</v>
      </c>
      <c r="C2068">
        <v>1.0217935344829701</v>
      </c>
      <c r="D2068">
        <v>0.98516717562317502</v>
      </c>
      <c r="E2068">
        <v>0.92987236890619696</v>
      </c>
      <c r="F2068">
        <v>0.73823287031973694</v>
      </c>
      <c r="G2068">
        <v>0.64547965167890897</v>
      </c>
      <c r="H2068">
        <v>0.59469819623269704</v>
      </c>
      <c r="I2068">
        <v>0.66413296153595403</v>
      </c>
      <c r="J2068">
        <v>1.0078050496286499</v>
      </c>
      <c r="K2068">
        <v>0.77731404080996203</v>
      </c>
      <c r="L2068">
        <v>4504.7272118838</v>
      </c>
      <c r="M2068">
        <v>95.660856311521897</v>
      </c>
      <c r="O2068">
        <v>47.070032154279097</v>
      </c>
      <c r="P2068">
        <v>-0.13320377390000401</v>
      </c>
      <c r="Q2068">
        <v>0.73782774853728195</v>
      </c>
      <c r="R2068">
        <v>0.57407688630186904</v>
      </c>
      <c r="S2068" t="s">
        <v>8636</v>
      </c>
      <c r="T2068" t="s">
        <v>13134</v>
      </c>
      <c r="U2068" t="s">
        <v>13134</v>
      </c>
      <c r="V2068" t="s">
        <v>13134</v>
      </c>
      <c r="W2068" t="s">
        <v>15161</v>
      </c>
      <c r="X2068">
        <v>49</v>
      </c>
      <c r="Y2068" t="s">
        <v>21630</v>
      </c>
      <c r="Z2068" t="s">
        <v>28036</v>
      </c>
      <c r="AA2068">
        <v>0.82615843995012517</v>
      </c>
      <c r="AB2068" t="str">
        <f>HYPERLINK("Melting_Curves/meltCurve_P06753_2_TPM3.pdf", "Melting_Curves/meltCurve_P06753_2_TPM3.pdf")</f>
        <v>Melting_Curves/meltCurve_P06753_2_TPM3.pdf</v>
      </c>
    </row>
    <row r="2069" spans="1:28" x14ac:dyDescent="0.25">
      <c r="A2069" t="s">
        <v>2073</v>
      </c>
      <c r="B2069">
        <v>0.99472303558308395</v>
      </c>
      <c r="C2069">
        <v>1.2065964260361</v>
      </c>
      <c r="D2069">
        <v>1.0908831558441701</v>
      </c>
      <c r="E2069">
        <v>0.99234151090702405</v>
      </c>
      <c r="F2069">
        <v>0.716252057348294</v>
      </c>
      <c r="G2069">
        <v>0.69063413448244204</v>
      </c>
      <c r="H2069">
        <v>0.52745224189360596</v>
      </c>
      <c r="I2069">
        <v>0.54627500198034695</v>
      </c>
      <c r="J2069">
        <v>0.88758180641054996</v>
      </c>
      <c r="K2069">
        <v>0.58113763027391496</v>
      </c>
      <c r="L2069">
        <v>3119.5485618611201</v>
      </c>
      <c r="M2069">
        <v>63.509531544512903</v>
      </c>
      <c r="O2069">
        <v>49.070723648885703</v>
      </c>
      <c r="P2069">
        <v>-0.11452403590115</v>
      </c>
      <c r="Q2069">
        <v>0.64605137329201501</v>
      </c>
      <c r="R2069">
        <v>0.73818609625037701</v>
      </c>
      <c r="S2069" t="s">
        <v>8637</v>
      </c>
      <c r="T2069" t="s">
        <v>13134</v>
      </c>
      <c r="U2069" t="s">
        <v>13134</v>
      </c>
      <c r="V2069" t="s">
        <v>13134</v>
      </c>
      <c r="W2069" t="s">
        <v>15162</v>
      </c>
      <c r="X2069">
        <v>48</v>
      </c>
      <c r="Y2069" t="s">
        <v>21630</v>
      </c>
      <c r="Z2069" t="s">
        <v>28037</v>
      </c>
      <c r="AA2069">
        <v>0.78951357374104769</v>
      </c>
      <c r="AB2069" t="str">
        <f>HYPERLINK("Melting_Curves/meltCurve_P06753_3_TPM3.pdf", "Melting_Curves/meltCurve_P06753_3_TPM3.pdf")</f>
        <v>Melting_Curves/meltCurve_P06753_3_TPM3.pdf</v>
      </c>
    </row>
    <row r="2070" spans="1:28" x14ac:dyDescent="0.25">
      <c r="A2070" t="s">
        <v>2074</v>
      </c>
      <c r="B2070">
        <v>0.99472303558308395</v>
      </c>
      <c r="C2070">
        <v>1.0101740831127199</v>
      </c>
      <c r="D2070">
        <v>0.90454186670679204</v>
      </c>
      <c r="E2070">
        <v>0.86012317200700095</v>
      </c>
      <c r="F2070">
        <v>0.66622345881167799</v>
      </c>
      <c r="G2070">
        <v>0.42168480917933499</v>
      </c>
      <c r="H2070">
        <v>0.35224855532921401</v>
      </c>
      <c r="I2070">
        <v>0.40215724091671801</v>
      </c>
      <c r="J2070">
        <v>0.69468647245212201</v>
      </c>
      <c r="K2070">
        <v>0.59350159003096303</v>
      </c>
      <c r="L2070">
        <v>1407.9903591330301</v>
      </c>
      <c r="M2070">
        <v>29.192565295580899</v>
      </c>
      <c r="N2070">
        <v>57.173841765482599</v>
      </c>
      <c r="O2070">
        <v>48.0065036257119</v>
      </c>
      <c r="P2070">
        <v>-7.6802984525422793E-2</v>
      </c>
      <c r="Q2070">
        <v>0.49480071680974702</v>
      </c>
      <c r="R2070">
        <v>0.82046733756947898</v>
      </c>
      <c r="S2070" t="s">
        <v>8638</v>
      </c>
      <c r="T2070" t="s">
        <v>13134</v>
      </c>
      <c r="U2070" t="s">
        <v>13134</v>
      </c>
      <c r="V2070" t="s">
        <v>13134</v>
      </c>
      <c r="W2070" t="s">
        <v>15163</v>
      </c>
      <c r="X2070">
        <v>7</v>
      </c>
      <c r="Y2070" t="s">
        <v>21631</v>
      </c>
      <c r="Z2070" t="s">
        <v>28038</v>
      </c>
      <c r="AA2070">
        <v>0.68710639911090532</v>
      </c>
      <c r="AB2070" t="str">
        <f>HYPERLINK("Melting_Curves/meltCurve_P06756_3_ITGAV.pdf", "Melting_Curves/meltCurve_P06756_3_ITGAV.pdf")</f>
        <v>Melting_Curves/meltCurve_P06756_3_ITGAV.pdf</v>
      </c>
    </row>
    <row r="2071" spans="1:28" x14ac:dyDescent="0.25">
      <c r="A2071" t="s">
        <v>2075</v>
      </c>
      <c r="B2071">
        <v>0.99472303558308395</v>
      </c>
      <c r="C2071">
        <v>1.06293091036364</v>
      </c>
      <c r="D2071">
        <v>0.99829155289648297</v>
      </c>
      <c r="E2071">
        <v>0.872269695373873</v>
      </c>
      <c r="F2071">
        <v>0.65762228559764202</v>
      </c>
      <c r="G2071">
        <v>0.50656749518060595</v>
      </c>
      <c r="H2071">
        <v>0.37813171283573099</v>
      </c>
      <c r="I2071">
        <v>0.47851672403378998</v>
      </c>
      <c r="J2071">
        <v>0.52838828714594299</v>
      </c>
      <c r="K2071">
        <v>0.33423452569715201</v>
      </c>
      <c r="L2071">
        <v>1194.1514272104801</v>
      </c>
      <c r="M2071">
        <v>24.232494202246698</v>
      </c>
      <c r="N2071">
        <v>53.530526313633899</v>
      </c>
      <c r="O2071">
        <v>48.947013641942597</v>
      </c>
      <c r="P2071">
        <v>-7.0916330044402495E-2</v>
      </c>
      <c r="Q2071">
        <v>0.42703549388798401</v>
      </c>
      <c r="R2071">
        <v>0.95630986655582395</v>
      </c>
      <c r="S2071" t="s">
        <v>8639</v>
      </c>
      <c r="T2071" t="s">
        <v>13134</v>
      </c>
      <c r="U2071" t="s">
        <v>13134</v>
      </c>
      <c r="V2071" t="s">
        <v>13134</v>
      </c>
      <c r="W2071" t="s">
        <v>15164</v>
      </c>
      <c r="X2071">
        <v>13</v>
      </c>
      <c r="Y2071" t="s">
        <v>21632</v>
      </c>
      <c r="Z2071" t="s">
        <v>28039</v>
      </c>
      <c r="AA2071">
        <v>0.66682524833788082</v>
      </c>
      <c r="AB2071" t="str">
        <f>HYPERLINK("Melting_Curves/meltCurve_P07099_EPHX1.pdf", "Melting_Curves/meltCurve_P07099_EPHX1.pdf")</f>
        <v>Melting_Curves/meltCurve_P07099_EPHX1.pdf</v>
      </c>
    </row>
    <row r="2072" spans="1:28" x14ac:dyDescent="0.25">
      <c r="A2072" t="s">
        <v>2076</v>
      </c>
      <c r="B2072">
        <v>0.99472303558308395</v>
      </c>
      <c r="C2072">
        <v>1.0058797218725299</v>
      </c>
      <c r="D2072">
        <v>0.91863843410627699</v>
      </c>
      <c r="E2072">
        <v>0.92142942718669596</v>
      </c>
      <c r="F2072">
        <v>0.71769396929701501</v>
      </c>
      <c r="G2072">
        <v>0.63318132129367799</v>
      </c>
      <c r="H2072">
        <v>0.49646268623036199</v>
      </c>
      <c r="I2072">
        <v>0.50483722176996504</v>
      </c>
      <c r="J2072">
        <v>0.653503257565754</v>
      </c>
      <c r="K2072">
        <v>0.59129365621388397</v>
      </c>
      <c r="L2072">
        <v>1205.4431690434101</v>
      </c>
      <c r="M2072">
        <v>24.582163147998902</v>
      </c>
      <c r="O2072">
        <v>48.7162484234888</v>
      </c>
      <c r="P2072">
        <v>-5.5091546874144401E-2</v>
      </c>
      <c r="Q2072">
        <v>0.56329068741674504</v>
      </c>
      <c r="R2072">
        <v>0.93186481505621299</v>
      </c>
      <c r="S2072" t="s">
        <v>8640</v>
      </c>
      <c r="T2072" t="s">
        <v>13134</v>
      </c>
      <c r="U2072" t="s">
        <v>13134</v>
      </c>
      <c r="V2072" t="s">
        <v>13134</v>
      </c>
      <c r="W2072" t="s">
        <v>15165</v>
      </c>
      <c r="X2072">
        <v>3</v>
      </c>
      <c r="Y2072" t="s">
        <v>21633</v>
      </c>
      <c r="Z2072" t="s">
        <v>28040</v>
      </c>
      <c r="AA2072">
        <v>0.74241856178233034</v>
      </c>
      <c r="AB2072" t="str">
        <f>HYPERLINK("Melting_Curves/meltCurve_P07108_DBI.pdf", "Melting_Curves/meltCurve_P07108_DBI.pdf")</f>
        <v>Melting_Curves/meltCurve_P07108_DBI.pdf</v>
      </c>
    </row>
    <row r="2073" spans="1:28" x14ac:dyDescent="0.25">
      <c r="A2073" t="s">
        <v>2077</v>
      </c>
      <c r="B2073">
        <v>0.99472303558308395</v>
      </c>
      <c r="C2073">
        <v>0.97729304042931697</v>
      </c>
      <c r="D2073">
        <v>0.92540468603269799</v>
      </c>
      <c r="E2073">
        <v>0.90618377509516301</v>
      </c>
      <c r="F2073">
        <v>0.82896970714182905</v>
      </c>
      <c r="G2073">
        <v>0.65849001873273505</v>
      </c>
      <c r="H2073">
        <v>0.59671915766976202</v>
      </c>
      <c r="I2073">
        <v>0.54459536318661295</v>
      </c>
      <c r="J2073">
        <v>0.73116435272936098</v>
      </c>
      <c r="K2073">
        <v>0.43580243478098502</v>
      </c>
      <c r="L2073">
        <v>647.22604583998202</v>
      </c>
      <c r="M2073">
        <v>12.638753561079</v>
      </c>
      <c r="O2073">
        <v>49.978374814211399</v>
      </c>
      <c r="P2073">
        <v>-3.01311106340909E-2</v>
      </c>
      <c r="Q2073">
        <v>0.52349507430525799</v>
      </c>
      <c r="R2073">
        <v>0.86129014926912395</v>
      </c>
      <c r="S2073" t="s">
        <v>8641</v>
      </c>
      <c r="T2073" t="s">
        <v>13134</v>
      </c>
      <c r="U2073" t="s">
        <v>13134</v>
      </c>
      <c r="V2073" t="s">
        <v>13134</v>
      </c>
      <c r="W2073" t="s">
        <v>15166</v>
      </c>
      <c r="X2073">
        <v>25</v>
      </c>
      <c r="Y2073" t="s">
        <v>19938</v>
      </c>
      <c r="Z2073" t="s">
        <v>28041</v>
      </c>
      <c r="AA2073">
        <v>0.76077471866154833</v>
      </c>
      <c r="AB2073" t="str">
        <f>HYPERLINK("Melting_Curves/meltCurve_P07195_LDHB.pdf", "Melting_Curves/meltCurve_P07195_LDHB.pdf")</f>
        <v>Melting_Curves/meltCurve_P07195_LDHB.pdf</v>
      </c>
    </row>
    <row r="2074" spans="1:28" x14ac:dyDescent="0.25">
      <c r="A2074" t="s">
        <v>2078</v>
      </c>
      <c r="B2074">
        <v>0.99472303558308395</v>
      </c>
      <c r="C2074">
        <v>0.92964857798272305</v>
      </c>
      <c r="D2074">
        <v>0.88752717820275395</v>
      </c>
      <c r="E2074">
        <v>0.81597804261051499</v>
      </c>
      <c r="F2074">
        <v>0.64536999514147197</v>
      </c>
      <c r="G2074">
        <v>0.26760456315612602</v>
      </c>
      <c r="H2074">
        <v>0.106229068531021</v>
      </c>
      <c r="I2074">
        <v>8.3142161227018604E-2</v>
      </c>
      <c r="J2074">
        <v>7.8155446017569102E-2</v>
      </c>
      <c r="K2074">
        <v>8.1963263610663098E-2</v>
      </c>
      <c r="L2074">
        <v>910.64858857422303</v>
      </c>
      <c r="M2074">
        <v>17.9116701081252</v>
      </c>
      <c r="N2074">
        <v>51.080954424180597</v>
      </c>
      <c r="O2074">
        <v>50.220067150759903</v>
      </c>
      <c r="P2074">
        <v>-8.5573630569304102E-2</v>
      </c>
      <c r="Q2074">
        <v>4.0335767274287497E-2</v>
      </c>
      <c r="R2074">
        <v>0.98618813963617202</v>
      </c>
      <c r="S2074" t="s">
        <v>8642</v>
      </c>
      <c r="T2074" t="s">
        <v>13134</v>
      </c>
      <c r="U2074" t="s">
        <v>13134</v>
      </c>
      <c r="V2074" t="s">
        <v>13134</v>
      </c>
      <c r="W2074" t="s">
        <v>15167</v>
      </c>
      <c r="X2074">
        <v>9</v>
      </c>
      <c r="Y2074" t="s">
        <v>21634</v>
      </c>
      <c r="Z2074" t="s">
        <v>28042</v>
      </c>
      <c r="AA2074">
        <v>0.49813948459209823</v>
      </c>
      <c r="AB2074" t="str">
        <f>HYPERLINK("Melting_Curves/meltCurve_P07225_PROS1.pdf", "Melting_Curves/meltCurve_P07225_PROS1.pdf")</f>
        <v>Melting_Curves/meltCurve_P07225_PROS1.pdf</v>
      </c>
    </row>
    <row r="2075" spans="1:28" x14ac:dyDescent="0.25">
      <c r="A2075" t="s">
        <v>2079</v>
      </c>
      <c r="B2075">
        <v>0.99472303558308395</v>
      </c>
      <c r="C2075">
        <v>0.95872855297931903</v>
      </c>
      <c r="D2075">
        <v>1.02414274748526</v>
      </c>
      <c r="E2075">
        <v>0.93223921143591604</v>
      </c>
      <c r="F2075">
        <v>0.78873798718005705</v>
      </c>
      <c r="G2075">
        <v>0.59838896127215502</v>
      </c>
      <c r="H2075">
        <v>0.26950981684834902</v>
      </c>
      <c r="I2075">
        <v>0.114821238423494</v>
      </c>
      <c r="J2075">
        <v>0.12547337588212501</v>
      </c>
      <c r="K2075">
        <v>0.13168112934015599</v>
      </c>
      <c r="L2075">
        <v>1056.26139632439</v>
      </c>
      <c r="M2075">
        <v>19.602656372734199</v>
      </c>
      <c r="N2075">
        <v>54.352875064225998</v>
      </c>
      <c r="O2075">
        <v>53.332223966766897</v>
      </c>
      <c r="P2075">
        <v>-8.4738579178392004E-2</v>
      </c>
      <c r="Q2075">
        <v>7.7851989758409304E-2</v>
      </c>
      <c r="R2075">
        <v>0.99194818573422705</v>
      </c>
      <c r="S2075" t="s">
        <v>8643</v>
      </c>
      <c r="T2075" t="s">
        <v>13134</v>
      </c>
      <c r="U2075" t="s">
        <v>13134</v>
      </c>
      <c r="V2075" t="s">
        <v>13134</v>
      </c>
      <c r="W2075" t="s">
        <v>15168</v>
      </c>
      <c r="X2075">
        <v>47</v>
      </c>
      <c r="Y2075" t="s">
        <v>21635</v>
      </c>
      <c r="Z2075" t="s">
        <v>28043</v>
      </c>
      <c r="AA2075">
        <v>0.6083344237895878</v>
      </c>
      <c r="AB2075" t="str">
        <f>HYPERLINK("Melting_Curves/meltCurve_P07237_P4HB.pdf", "Melting_Curves/meltCurve_P07237_P4HB.pdf")</f>
        <v>Melting_Curves/meltCurve_P07237_P4HB.pdf</v>
      </c>
    </row>
    <row r="2076" spans="1:28" x14ac:dyDescent="0.25">
      <c r="A2076" t="s">
        <v>2080</v>
      </c>
      <c r="B2076">
        <v>0.99472303558308395</v>
      </c>
      <c r="C2076">
        <v>0.98385893685182002</v>
      </c>
      <c r="D2076">
        <v>0.99440599744868896</v>
      </c>
      <c r="E2076">
        <v>0.96634753977777799</v>
      </c>
      <c r="F2076">
        <v>0.74048634407445701</v>
      </c>
      <c r="G2076">
        <v>0.69158517048038504</v>
      </c>
      <c r="H2076">
        <v>0.54290768264645295</v>
      </c>
      <c r="I2076">
        <v>0.44978242182622902</v>
      </c>
      <c r="J2076">
        <v>0.18157249662007299</v>
      </c>
      <c r="K2076">
        <v>0.189413071637171</v>
      </c>
      <c r="L2076">
        <v>596.30390290220998</v>
      </c>
      <c r="M2076">
        <v>10.3126371109866</v>
      </c>
      <c r="N2076">
        <v>57.822640001456797</v>
      </c>
      <c r="O2076">
        <v>55.775032127174498</v>
      </c>
      <c r="P2076">
        <v>-4.6244237914115097E-2</v>
      </c>
      <c r="Q2076">
        <v>0</v>
      </c>
      <c r="R2076">
        <v>0.97387834108617</v>
      </c>
      <c r="S2076" t="s">
        <v>8644</v>
      </c>
      <c r="T2076" t="s">
        <v>13134</v>
      </c>
      <c r="U2076" t="s">
        <v>13134</v>
      </c>
      <c r="V2076" t="s">
        <v>13134</v>
      </c>
      <c r="W2076" t="s">
        <v>15169</v>
      </c>
      <c r="X2076">
        <v>27</v>
      </c>
      <c r="Y2076" t="s">
        <v>21636</v>
      </c>
      <c r="Z2076" t="s">
        <v>28044</v>
      </c>
      <c r="AA2076">
        <v>0.68829872946662107</v>
      </c>
      <c r="AB2076" t="str">
        <f>HYPERLINK("Melting_Curves/meltCurve_P07339_CTSD.pdf", "Melting_Curves/meltCurve_P07339_CTSD.pdf")</f>
        <v>Melting_Curves/meltCurve_P07339_CTSD.pdf</v>
      </c>
    </row>
    <row r="2077" spans="1:28" x14ac:dyDescent="0.25">
      <c r="A2077" t="s">
        <v>2081</v>
      </c>
      <c r="B2077">
        <v>0.99472303558308395</v>
      </c>
      <c r="C2077">
        <v>0.96487720375953701</v>
      </c>
      <c r="D2077">
        <v>1.00490661178173</v>
      </c>
      <c r="E2077">
        <v>0.94686098421204201</v>
      </c>
      <c r="F2077">
        <v>0.71746174628796999</v>
      </c>
      <c r="G2077">
        <v>0.33552532039133098</v>
      </c>
      <c r="H2077">
        <v>6.3099958861181901E-2</v>
      </c>
      <c r="I2077">
        <v>4.48529865400678E-2</v>
      </c>
      <c r="J2077">
        <v>4.871550720271E-2</v>
      </c>
      <c r="K2077">
        <v>3.9240477247340103E-2</v>
      </c>
      <c r="L2077">
        <v>1357.58548982207</v>
      </c>
      <c r="M2077">
        <v>26.109614063007601</v>
      </c>
      <c r="N2077">
        <v>52.104047040374503</v>
      </c>
      <c r="O2077">
        <v>51.693488089292003</v>
      </c>
      <c r="P2077">
        <v>-0.122934352323704</v>
      </c>
      <c r="Q2077">
        <v>2.64379401584094E-2</v>
      </c>
      <c r="R2077">
        <v>0.99783111860193696</v>
      </c>
      <c r="S2077" t="s">
        <v>8645</v>
      </c>
      <c r="T2077" t="s">
        <v>13134</v>
      </c>
      <c r="U2077" t="s">
        <v>13134</v>
      </c>
      <c r="V2077" t="s">
        <v>13134</v>
      </c>
      <c r="W2077" t="s">
        <v>15170</v>
      </c>
      <c r="X2077">
        <v>46</v>
      </c>
      <c r="Y2077" t="s">
        <v>20615</v>
      </c>
      <c r="Z2077" t="s">
        <v>28045</v>
      </c>
      <c r="AA2077">
        <v>0.52104811812403895</v>
      </c>
      <c r="AB2077" t="str">
        <f>HYPERLINK("Melting_Curves/meltCurve_P07355_ANXA2.pdf", "Melting_Curves/meltCurve_P07355_ANXA2.pdf")</f>
        <v>Melting_Curves/meltCurve_P07355_ANXA2.pdf</v>
      </c>
    </row>
    <row r="2078" spans="1:28" x14ac:dyDescent="0.25">
      <c r="A2078" t="s">
        <v>2082</v>
      </c>
      <c r="B2078">
        <v>0.99472303558308395</v>
      </c>
      <c r="C2078">
        <v>0.92245121501118599</v>
      </c>
      <c r="D2078">
        <v>0.97123648795277495</v>
      </c>
      <c r="E2078">
        <v>0.92814373506144299</v>
      </c>
      <c r="F2078">
        <v>0.86134961429419499</v>
      </c>
      <c r="G2078">
        <v>0.68271391086526301</v>
      </c>
      <c r="H2078">
        <v>0.47940116858911602</v>
      </c>
      <c r="I2078">
        <v>0.445307765547102</v>
      </c>
      <c r="J2078">
        <v>0.25145915506726901</v>
      </c>
      <c r="K2078">
        <v>0.136740966751353</v>
      </c>
      <c r="L2078">
        <v>627.26925277258499</v>
      </c>
      <c r="M2078">
        <v>10.8441602663585</v>
      </c>
      <c r="N2078">
        <v>57.843967427177297</v>
      </c>
      <c r="O2078">
        <v>55.9811484006783</v>
      </c>
      <c r="P2078">
        <v>-4.84449937850394E-2</v>
      </c>
      <c r="Q2078">
        <v>0</v>
      </c>
      <c r="R2078">
        <v>0.98197938759618697</v>
      </c>
      <c r="S2078" t="s">
        <v>8646</v>
      </c>
      <c r="T2078" t="s">
        <v>13134</v>
      </c>
      <c r="U2078" t="s">
        <v>13134</v>
      </c>
      <c r="V2078" t="s">
        <v>13134</v>
      </c>
      <c r="W2078" t="s">
        <v>15171</v>
      </c>
      <c r="X2078">
        <v>34</v>
      </c>
      <c r="Y2078" t="s">
        <v>21637</v>
      </c>
      <c r="Z2078" t="s">
        <v>28046</v>
      </c>
      <c r="AA2078">
        <v>0.69089940561231089</v>
      </c>
      <c r="AB2078" t="str">
        <f>HYPERLINK("Melting_Curves/meltCurve_P07384_CAPN1.pdf", "Melting_Curves/meltCurve_P07384_CAPN1.pdf")</f>
        <v>Melting_Curves/meltCurve_P07384_CAPN1.pdf</v>
      </c>
    </row>
    <row r="2079" spans="1:28" x14ac:dyDescent="0.25">
      <c r="A2079" t="s">
        <v>2083</v>
      </c>
      <c r="B2079">
        <v>0.99472303558308395</v>
      </c>
      <c r="C2079">
        <v>0.94925334646209203</v>
      </c>
      <c r="D2079">
        <v>0.94308410796120201</v>
      </c>
      <c r="E2079">
        <v>0.85521636601791196</v>
      </c>
      <c r="F2079">
        <v>0.65878690059317802</v>
      </c>
      <c r="G2079">
        <v>0.50200170421323997</v>
      </c>
      <c r="H2079">
        <v>0.32511351998306498</v>
      </c>
      <c r="I2079">
        <v>0.23111550962593699</v>
      </c>
      <c r="J2079">
        <v>0.19095580146775301</v>
      </c>
      <c r="K2079">
        <v>0.16354656155029501</v>
      </c>
      <c r="L2079">
        <v>636.703730501358</v>
      </c>
      <c r="M2079">
        <v>12.1181815990026</v>
      </c>
      <c r="N2079">
        <v>53.491805272298798</v>
      </c>
      <c r="O2079">
        <v>51.171796978312798</v>
      </c>
      <c r="P2079">
        <v>-5.3480671043641299E-2</v>
      </c>
      <c r="Q2079">
        <v>9.6872076717383598E-2</v>
      </c>
      <c r="R2079">
        <v>0.99818620210624398</v>
      </c>
      <c r="S2079" t="s">
        <v>8647</v>
      </c>
      <c r="T2079" t="s">
        <v>13134</v>
      </c>
      <c r="U2079" t="s">
        <v>13134</v>
      </c>
      <c r="V2079" t="s">
        <v>13134</v>
      </c>
      <c r="W2079" t="s">
        <v>15172</v>
      </c>
      <c r="X2079">
        <v>25</v>
      </c>
      <c r="Y2079" t="s">
        <v>21638</v>
      </c>
      <c r="Z2079" t="s">
        <v>28047</v>
      </c>
      <c r="AA2079">
        <v>0.58479368720494607</v>
      </c>
      <c r="AB2079" t="str">
        <f>HYPERLINK("Melting_Curves/meltCurve_P07686_HEXB.pdf", "Melting_Curves/meltCurve_P07686_HEXB.pdf")</f>
        <v>Melting_Curves/meltCurve_P07686_HEXB.pdf</v>
      </c>
    </row>
    <row r="2080" spans="1:28" x14ac:dyDescent="0.25">
      <c r="A2080" t="s">
        <v>2084</v>
      </c>
      <c r="B2080">
        <v>0.99472303558308395</v>
      </c>
      <c r="C2080">
        <v>0.76937611416524898</v>
      </c>
      <c r="D2080">
        <v>0.92175388116004098</v>
      </c>
      <c r="E2080">
        <v>0.69790294966290201</v>
      </c>
      <c r="F2080">
        <v>0.38275546540729499</v>
      </c>
      <c r="G2080">
        <v>0.22856454077187099</v>
      </c>
      <c r="H2080">
        <v>0.139222047603279</v>
      </c>
      <c r="I2080">
        <v>7.8398581058962996E-2</v>
      </c>
      <c r="J2080">
        <v>9.7258016517661999E-2</v>
      </c>
      <c r="K2080">
        <v>0.106656025498919</v>
      </c>
      <c r="L2080">
        <v>699.39822789593802</v>
      </c>
      <c r="M2080">
        <v>14.4591595387999</v>
      </c>
      <c r="N2080">
        <v>48.799728582441297</v>
      </c>
      <c r="O2080">
        <v>47.473612994730203</v>
      </c>
      <c r="P2080">
        <v>-7.1605855291161896E-2</v>
      </c>
      <c r="Q2080">
        <v>5.96985545257269E-2</v>
      </c>
      <c r="R2080">
        <v>0.96454009497285498</v>
      </c>
      <c r="S2080" t="s">
        <v>8648</v>
      </c>
      <c r="T2080" t="s">
        <v>13134</v>
      </c>
      <c r="U2080" t="s">
        <v>13134</v>
      </c>
      <c r="V2080" t="s">
        <v>13134</v>
      </c>
      <c r="W2080" t="s">
        <v>15173</v>
      </c>
      <c r="X2080">
        <v>7</v>
      </c>
      <c r="Y2080" t="s">
        <v>21639</v>
      </c>
      <c r="Z2080" t="s">
        <v>28048</v>
      </c>
      <c r="AA2080">
        <v>0.43789153278921339</v>
      </c>
      <c r="AB2080" t="str">
        <f>HYPERLINK("Melting_Curves/meltCurve_P07711_CTSL1.pdf", "Melting_Curves/meltCurve_P07711_CTSL1.pdf")</f>
        <v>Melting_Curves/meltCurve_P07711_CTSL1.pdf</v>
      </c>
    </row>
    <row r="2081" spans="1:28" x14ac:dyDescent="0.25">
      <c r="A2081" t="s">
        <v>2085</v>
      </c>
      <c r="B2081">
        <v>0.99472303558308395</v>
      </c>
      <c r="C2081">
        <v>0.91018097055399305</v>
      </c>
      <c r="D2081">
        <v>1.05029462407715</v>
      </c>
      <c r="E2081">
        <v>0.92067309867324099</v>
      </c>
      <c r="F2081">
        <v>0.61954509443570205</v>
      </c>
      <c r="G2081">
        <v>0.30039870099510402</v>
      </c>
      <c r="H2081">
        <v>8.3250641229088401E-2</v>
      </c>
      <c r="I2081">
        <v>5.8504634185800798E-2</v>
      </c>
      <c r="J2081">
        <v>5.98965630737546E-2</v>
      </c>
      <c r="K2081">
        <v>4.9861616591259102E-2</v>
      </c>
      <c r="L2081">
        <v>1218.05924928169</v>
      </c>
      <c r="M2081">
        <v>23.776696941883099</v>
      </c>
      <c r="N2081">
        <v>51.417047781453903</v>
      </c>
      <c r="O2081">
        <v>50.870870523406602</v>
      </c>
      <c r="P2081">
        <v>-0.111987307307092</v>
      </c>
      <c r="Q2081">
        <v>4.1616628913264599E-2</v>
      </c>
      <c r="R2081">
        <v>0.99219817641464902</v>
      </c>
      <c r="S2081" t="s">
        <v>8649</v>
      </c>
      <c r="T2081" t="s">
        <v>13134</v>
      </c>
      <c r="U2081" t="s">
        <v>13134</v>
      </c>
      <c r="V2081" t="s">
        <v>13134</v>
      </c>
      <c r="W2081" t="s">
        <v>15174</v>
      </c>
      <c r="X2081">
        <v>18</v>
      </c>
      <c r="Y2081" t="s">
        <v>21640</v>
      </c>
      <c r="Z2081" t="s">
        <v>28049</v>
      </c>
      <c r="AA2081">
        <v>0.50546187668630904</v>
      </c>
      <c r="AB2081" t="str">
        <f>HYPERLINK("Melting_Curves/meltCurve_P07737_PFN1.pdf", "Melting_Curves/meltCurve_P07737_PFN1.pdf")</f>
        <v>Melting_Curves/meltCurve_P07737_PFN1.pdf</v>
      </c>
    </row>
    <row r="2082" spans="1:28" x14ac:dyDescent="0.25">
      <c r="A2082" t="s">
        <v>2086</v>
      </c>
      <c r="B2082">
        <v>0.99472303558308395</v>
      </c>
      <c r="C2082">
        <v>0.940410958978393</v>
      </c>
      <c r="D2082">
        <v>0.98442623200777502</v>
      </c>
      <c r="E2082">
        <v>0.85233324889828399</v>
      </c>
      <c r="F2082">
        <v>0.67808936173752399</v>
      </c>
      <c r="G2082">
        <v>0.51168731474331997</v>
      </c>
      <c r="H2082">
        <v>0.41066993628683102</v>
      </c>
      <c r="I2082">
        <v>0.42196313848691902</v>
      </c>
      <c r="J2082">
        <v>0.46570131313280499</v>
      </c>
      <c r="K2082">
        <v>0.249437698724643</v>
      </c>
      <c r="L2082">
        <v>762.14937949594901</v>
      </c>
      <c r="M2082">
        <v>15.132174311084899</v>
      </c>
      <c r="N2082">
        <v>54.5091919808985</v>
      </c>
      <c r="O2082">
        <v>49.511112765551303</v>
      </c>
      <c r="P2082">
        <v>-5.0303987522518599E-2</v>
      </c>
      <c r="Q2082">
        <v>0.34170377720654599</v>
      </c>
      <c r="R2082">
        <v>0.96116404254096799</v>
      </c>
      <c r="S2082" t="s">
        <v>8650</v>
      </c>
      <c r="T2082" t="s">
        <v>13134</v>
      </c>
      <c r="U2082" t="s">
        <v>13134</v>
      </c>
      <c r="V2082" t="s">
        <v>13134</v>
      </c>
      <c r="W2082" t="s">
        <v>15175</v>
      </c>
      <c r="X2082">
        <v>11</v>
      </c>
      <c r="Y2082" t="s">
        <v>21641</v>
      </c>
      <c r="Z2082" t="s">
        <v>28050</v>
      </c>
      <c r="AA2082">
        <v>0.64842267259358655</v>
      </c>
      <c r="AB2082" t="str">
        <f>HYPERLINK("Melting_Curves/meltCurve_P07738_BPGM.pdf", "Melting_Curves/meltCurve_P07738_BPGM.pdf")</f>
        <v>Melting_Curves/meltCurve_P07738_BPGM.pdf</v>
      </c>
    </row>
    <row r="2083" spans="1:28" x14ac:dyDescent="0.25">
      <c r="A2083" t="s">
        <v>2087</v>
      </c>
      <c r="B2083">
        <v>0.99472303558308395</v>
      </c>
      <c r="C2083">
        <v>0.968305841661664</v>
      </c>
      <c r="D2083">
        <v>1.05860221418497</v>
      </c>
      <c r="E2083">
        <v>1.05340236310302</v>
      </c>
      <c r="F2083">
        <v>0.86914449820875395</v>
      </c>
      <c r="G2083">
        <v>0.81376824921577995</v>
      </c>
      <c r="H2083">
        <v>0.64569628347717001</v>
      </c>
      <c r="I2083">
        <v>0.67990694355639103</v>
      </c>
      <c r="J2083">
        <v>0.51153964428404997</v>
      </c>
      <c r="K2083">
        <v>0.26424567034080798</v>
      </c>
      <c r="L2083">
        <v>615.97928405520599</v>
      </c>
      <c r="M2083">
        <v>9.7924415738553297</v>
      </c>
      <c r="N2083">
        <v>62.9035379575311</v>
      </c>
      <c r="O2083">
        <v>60.448570819590401</v>
      </c>
      <c r="P2083">
        <v>-4.0520402559288002E-2</v>
      </c>
      <c r="Q2083">
        <v>0</v>
      </c>
      <c r="R2083">
        <v>0.92777050939300398</v>
      </c>
      <c r="S2083" t="s">
        <v>8651</v>
      </c>
      <c r="T2083" t="s">
        <v>13134</v>
      </c>
      <c r="U2083" t="s">
        <v>13134</v>
      </c>
      <c r="V2083" t="s">
        <v>13134</v>
      </c>
      <c r="W2083" t="s">
        <v>15176</v>
      </c>
      <c r="X2083">
        <v>10</v>
      </c>
      <c r="Y2083" t="s">
        <v>21642</v>
      </c>
      <c r="Z2083" t="s">
        <v>28051</v>
      </c>
      <c r="AA2083">
        <v>0.80045765056667295</v>
      </c>
      <c r="AB2083" t="str">
        <f>HYPERLINK("Melting_Curves/meltCurve_P07741_APRT.pdf", "Melting_Curves/meltCurve_P07741_APRT.pdf")</f>
        <v>Melting_Curves/meltCurve_P07741_APRT.pdf</v>
      </c>
    </row>
    <row r="2084" spans="1:28" x14ac:dyDescent="0.25">
      <c r="A2084" t="s">
        <v>2088</v>
      </c>
      <c r="B2084">
        <v>0.99472303558308395</v>
      </c>
      <c r="C2084">
        <v>0.88689200385968003</v>
      </c>
      <c r="D2084">
        <v>0.55661106169159902</v>
      </c>
      <c r="E2084">
        <v>0.24383295503181401</v>
      </c>
      <c r="F2084">
        <v>0.12553835513497</v>
      </c>
      <c r="G2084">
        <v>6.9771304689905694E-2</v>
      </c>
      <c r="H2084">
        <v>4.47450018907916E-2</v>
      </c>
      <c r="I2084">
        <v>3.5909357709154502E-2</v>
      </c>
      <c r="J2084">
        <v>4.30532092040131E-2</v>
      </c>
      <c r="K2084">
        <v>3.4703893539963102E-2</v>
      </c>
      <c r="L2084">
        <v>886.42433701459697</v>
      </c>
      <c r="M2084">
        <v>20.382832104636901</v>
      </c>
      <c r="N2084">
        <v>43.683929961811302</v>
      </c>
      <c r="O2084">
        <v>43.076671760479101</v>
      </c>
      <c r="P2084">
        <v>-0.113149367266746</v>
      </c>
      <c r="Q2084">
        <v>4.3518574410679897E-2</v>
      </c>
      <c r="R2084">
        <v>0.99836339001081098</v>
      </c>
      <c r="S2084" t="s">
        <v>8652</v>
      </c>
      <c r="T2084" t="s">
        <v>13134</v>
      </c>
      <c r="U2084" t="s">
        <v>13134</v>
      </c>
      <c r="V2084" t="s">
        <v>13134</v>
      </c>
      <c r="W2084" t="s">
        <v>15177</v>
      </c>
      <c r="X2084">
        <v>74</v>
      </c>
      <c r="Y2084" t="s">
        <v>21643</v>
      </c>
      <c r="Z2084" t="s">
        <v>28052</v>
      </c>
      <c r="AA2084">
        <v>0.2628822566904222</v>
      </c>
      <c r="AB2084" t="str">
        <f>HYPERLINK("Melting_Curves/meltCurve_P07814_EPRS.pdf", "Melting_Curves/meltCurve_P07814_EPRS.pdf")</f>
        <v>Melting_Curves/meltCurve_P07814_EPRS.pdf</v>
      </c>
    </row>
    <row r="2085" spans="1:28" x14ac:dyDescent="0.25">
      <c r="A2085" t="s">
        <v>2089</v>
      </c>
      <c r="B2085">
        <v>0.99472303558308395</v>
      </c>
      <c r="C2085">
        <v>0.91433217053085702</v>
      </c>
      <c r="D2085">
        <v>0.98585779817353303</v>
      </c>
      <c r="E2085">
        <v>0.93204491686716195</v>
      </c>
      <c r="F2085">
        <v>0.680043015165123</v>
      </c>
      <c r="G2085">
        <v>0.56892023587824403</v>
      </c>
      <c r="H2085">
        <v>0.326983080796447</v>
      </c>
      <c r="I2085">
        <v>0.21070112547504699</v>
      </c>
      <c r="J2085">
        <v>0.22558447896439501</v>
      </c>
      <c r="K2085">
        <v>0.18350598413338701</v>
      </c>
      <c r="L2085">
        <v>786.50102923489396</v>
      </c>
      <c r="M2085">
        <v>14.879170775274901</v>
      </c>
      <c r="N2085">
        <v>54.0816303648906</v>
      </c>
      <c r="O2085">
        <v>51.931951326284903</v>
      </c>
      <c r="P2085">
        <v>-6.1405893338420399E-2</v>
      </c>
      <c r="Q2085">
        <v>0.14280294186947701</v>
      </c>
      <c r="R2085">
        <v>0.98558491410317906</v>
      </c>
      <c r="S2085" t="s">
        <v>8653</v>
      </c>
      <c r="T2085" t="s">
        <v>13134</v>
      </c>
      <c r="U2085" t="s">
        <v>13134</v>
      </c>
      <c r="V2085" t="s">
        <v>13134</v>
      </c>
      <c r="W2085" t="s">
        <v>15178</v>
      </c>
      <c r="X2085">
        <v>9</v>
      </c>
      <c r="Y2085" t="s">
        <v>21644</v>
      </c>
      <c r="Z2085" t="s">
        <v>28053</v>
      </c>
      <c r="AA2085">
        <v>0.61154711890628455</v>
      </c>
      <c r="AB2085" t="str">
        <f>HYPERLINK("Melting_Curves/meltCurve_P07858_CTSB.pdf", "Melting_Curves/meltCurve_P07858_CTSB.pdf")</f>
        <v>Melting_Curves/meltCurve_P07858_CTSB.pdf</v>
      </c>
    </row>
    <row r="2086" spans="1:28" x14ac:dyDescent="0.25">
      <c r="A2086" t="s">
        <v>2090</v>
      </c>
      <c r="B2086">
        <v>0.99472303558308395</v>
      </c>
      <c r="C2086">
        <v>0.92941727004022801</v>
      </c>
      <c r="D2086">
        <v>0.96242785099406203</v>
      </c>
      <c r="E2086">
        <v>0.89884909971833504</v>
      </c>
      <c r="F2086">
        <v>0.46900051048604002</v>
      </c>
      <c r="G2086">
        <v>7.9957868130639695E-2</v>
      </c>
      <c r="H2086">
        <v>4.8471943681872201E-2</v>
      </c>
      <c r="I2086">
        <v>3.3192022704820502E-2</v>
      </c>
      <c r="J2086">
        <v>3.8491722487272902E-2</v>
      </c>
      <c r="K2086">
        <v>3.3262302977180802E-2</v>
      </c>
      <c r="L2086">
        <v>1659.4783457922199</v>
      </c>
      <c r="M2086">
        <v>33.300741397114102</v>
      </c>
      <c r="N2086">
        <v>49.925602790881499</v>
      </c>
      <c r="O2086">
        <v>49.654398044646101</v>
      </c>
      <c r="P2086">
        <v>-0.16264579176890201</v>
      </c>
      <c r="Q2086">
        <v>2.9926207106134001E-2</v>
      </c>
      <c r="R2086">
        <v>0.99600045137160897</v>
      </c>
      <c r="S2086" t="s">
        <v>8654</v>
      </c>
      <c r="T2086" t="s">
        <v>13134</v>
      </c>
      <c r="U2086" t="s">
        <v>13134</v>
      </c>
      <c r="V2086" t="s">
        <v>13134</v>
      </c>
      <c r="W2086" t="s">
        <v>15179</v>
      </c>
      <c r="X2086">
        <v>73</v>
      </c>
      <c r="Y2086" t="s">
        <v>21645</v>
      </c>
      <c r="Z2086" t="s">
        <v>28054</v>
      </c>
      <c r="AA2086">
        <v>0.44971711077033322</v>
      </c>
      <c r="AB2086" t="str">
        <f>HYPERLINK("Melting_Curves/meltCurve_P07900_HSP90AA1.pdf", "Melting_Curves/meltCurve_P07900_HSP90AA1.pdf")</f>
        <v>Melting_Curves/meltCurve_P07900_HSP90AA1.pdf</v>
      </c>
    </row>
    <row r="2087" spans="1:28" x14ac:dyDescent="0.25">
      <c r="A2087" t="s">
        <v>2091</v>
      </c>
      <c r="B2087">
        <v>0.99472303558308395</v>
      </c>
      <c r="C2087">
        <v>1.0309214559042701</v>
      </c>
      <c r="D2087">
        <v>0.98825091694506395</v>
      </c>
      <c r="E2087">
        <v>0.77352975388321799</v>
      </c>
      <c r="F2087">
        <v>0.63185033901493604</v>
      </c>
      <c r="G2087">
        <v>0.401868743575021</v>
      </c>
      <c r="H2087">
        <v>0.17204649260513299</v>
      </c>
      <c r="I2087">
        <v>8.4337935615177398E-2</v>
      </c>
      <c r="J2087">
        <v>9.8336200961438705E-2</v>
      </c>
      <c r="K2087">
        <v>8.2256350892693106E-2</v>
      </c>
      <c r="L2087">
        <v>770.37835781597005</v>
      </c>
      <c r="M2087">
        <v>14.949652794932</v>
      </c>
      <c r="N2087">
        <v>51.761788242106</v>
      </c>
      <c r="O2087">
        <v>50.635846133556299</v>
      </c>
      <c r="P2087">
        <v>-7.1442468240074206E-2</v>
      </c>
      <c r="Q2087">
        <v>3.21706985139378E-2</v>
      </c>
      <c r="R2087">
        <v>0.99225512642099301</v>
      </c>
      <c r="S2087" t="s">
        <v>8655</v>
      </c>
      <c r="T2087" t="s">
        <v>13134</v>
      </c>
      <c r="U2087" t="s">
        <v>13134</v>
      </c>
      <c r="V2087" t="s">
        <v>13134</v>
      </c>
      <c r="W2087" t="s">
        <v>15180</v>
      </c>
      <c r="X2087">
        <v>2</v>
      </c>
      <c r="Y2087" t="s">
        <v>21646</v>
      </c>
      <c r="Z2087" t="s">
        <v>28055</v>
      </c>
      <c r="AA2087">
        <v>0.5200529437061866</v>
      </c>
      <c r="AB2087" t="str">
        <f>HYPERLINK("Melting_Curves/meltCurve_P07902_GALT.pdf", "Melting_Curves/meltCurve_P07902_GALT.pdf")</f>
        <v>Melting_Curves/meltCurve_P07902_GALT.pdf</v>
      </c>
    </row>
    <row r="2088" spans="1:28" x14ac:dyDescent="0.25">
      <c r="A2088" t="s">
        <v>2092</v>
      </c>
      <c r="B2088">
        <v>0.99472303558308395</v>
      </c>
      <c r="C2088">
        <v>1.04998863628106</v>
      </c>
      <c r="D2088">
        <v>0.90606809299222502</v>
      </c>
      <c r="E2088">
        <v>0.79056702094203601</v>
      </c>
      <c r="F2088">
        <v>0.62247982976895799</v>
      </c>
      <c r="G2088">
        <v>0.42588533414511598</v>
      </c>
      <c r="H2088">
        <v>0.41416678188728001</v>
      </c>
      <c r="I2088">
        <v>0.49139979794871602</v>
      </c>
      <c r="J2088">
        <v>0.79441317602884398</v>
      </c>
      <c r="K2088">
        <v>0.55777173282437698</v>
      </c>
      <c r="L2088">
        <v>1310.44833414104</v>
      </c>
      <c r="M2088">
        <v>28.096388272126401</v>
      </c>
      <c r="O2088">
        <v>46.406808674633098</v>
      </c>
      <c r="P2088">
        <v>-6.9582913172063998E-2</v>
      </c>
      <c r="Q2088">
        <v>0.54028345834786895</v>
      </c>
      <c r="R2088">
        <v>0.78524458898955696</v>
      </c>
      <c r="S2088" t="s">
        <v>8656</v>
      </c>
      <c r="T2088" t="s">
        <v>13134</v>
      </c>
      <c r="U2088" t="s">
        <v>13134</v>
      </c>
      <c r="V2088" t="s">
        <v>13134</v>
      </c>
      <c r="W2088" t="s">
        <v>15181</v>
      </c>
      <c r="X2088">
        <v>8</v>
      </c>
      <c r="Y2088" t="s">
        <v>21647</v>
      </c>
      <c r="Z2088" t="s">
        <v>28056</v>
      </c>
      <c r="AA2088">
        <v>0.69105506661408689</v>
      </c>
      <c r="AB2088" t="str">
        <f>HYPERLINK("Melting_Curves/meltCurve_P07919_UQCRH.pdf", "Melting_Curves/meltCurve_P07919_UQCRH.pdf")</f>
        <v>Melting_Curves/meltCurve_P07919_UQCRH.pdf</v>
      </c>
    </row>
    <row r="2089" spans="1:28" x14ac:dyDescent="0.25">
      <c r="A2089" t="s">
        <v>2093</v>
      </c>
      <c r="B2089">
        <v>0.99472303558308395</v>
      </c>
      <c r="C2089">
        <v>1.040536579264</v>
      </c>
      <c r="D2089">
        <v>0.82003493666418104</v>
      </c>
      <c r="E2089">
        <v>0.67102789129778695</v>
      </c>
      <c r="F2089">
        <v>0.32986511344618302</v>
      </c>
      <c r="G2089">
        <v>0.14586762215683099</v>
      </c>
      <c r="H2089">
        <v>8.2673575065868699E-2</v>
      </c>
      <c r="I2089">
        <v>6.68864733707287E-2</v>
      </c>
      <c r="J2089">
        <v>7.2223466393740193E-2</v>
      </c>
      <c r="K2089">
        <v>5.0645500096760103E-2</v>
      </c>
      <c r="L2089">
        <v>859.58911625768098</v>
      </c>
      <c r="M2089">
        <v>17.959039926725499</v>
      </c>
      <c r="N2089">
        <v>48.119376321513002</v>
      </c>
      <c r="O2089">
        <v>47.2822547777293</v>
      </c>
      <c r="P2089">
        <v>-9.0642714394992094E-2</v>
      </c>
      <c r="Q2089">
        <v>4.5477382725491101E-2</v>
      </c>
      <c r="R2089">
        <v>0.99275682635483897</v>
      </c>
      <c r="S2089" t="s">
        <v>8657</v>
      </c>
      <c r="T2089" t="s">
        <v>13134</v>
      </c>
      <c r="U2089" t="s">
        <v>13134</v>
      </c>
      <c r="V2089" t="s">
        <v>13134</v>
      </c>
      <c r="W2089" t="s">
        <v>15182</v>
      </c>
      <c r="X2089">
        <v>23</v>
      </c>
      <c r="Y2089" t="s">
        <v>21648</v>
      </c>
      <c r="Z2089" t="s">
        <v>28057</v>
      </c>
      <c r="AA2089">
        <v>0.40646749840462598</v>
      </c>
      <c r="AB2089" t="str">
        <f>HYPERLINK("Melting_Curves/meltCurve_P07948_LYN.pdf", "Melting_Curves/meltCurve_P07948_LYN.pdf")</f>
        <v>Melting_Curves/meltCurve_P07948_LYN.pdf</v>
      </c>
    </row>
    <row r="2090" spans="1:28" x14ac:dyDescent="0.25">
      <c r="A2090" t="s">
        <v>2094</v>
      </c>
      <c r="B2090">
        <v>0.99472303558308395</v>
      </c>
      <c r="C2090">
        <v>0.93178301418218501</v>
      </c>
      <c r="D2090">
        <v>0.89522125940817499</v>
      </c>
      <c r="E2090">
        <v>0.75349985201848402</v>
      </c>
      <c r="F2090">
        <v>0.37587872369372</v>
      </c>
      <c r="G2090">
        <v>0.15226236578549501</v>
      </c>
      <c r="H2090">
        <v>7.56348477084096E-2</v>
      </c>
      <c r="I2090">
        <v>5.2320639139643701E-2</v>
      </c>
      <c r="J2090">
        <v>6.1226668563380902E-2</v>
      </c>
      <c r="K2090">
        <v>5.62887936297101E-2</v>
      </c>
      <c r="L2090">
        <v>978.71575754784396</v>
      </c>
      <c r="M2090">
        <v>20.0985784360293</v>
      </c>
      <c r="N2090">
        <v>48.9056855629821</v>
      </c>
      <c r="O2090">
        <v>48.2213874758503</v>
      </c>
      <c r="P2090">
        <v>-9.9896575556627495E-2</v>
      </c>
      <c r="Q2090">
        <v>4.1325695838488601E-2</v>
      </c>
      <c r="R2090">
        <v>0.99570689400952395</v>
      </c>
      <c r="S2090" t="s">
        <v>8658</v>
      </c>
      <c r="T2090" t="s">
        <v>13134</v>
      </c>
      <c r="U2090" t="s">
        <v>13134</v>
      </c>
      <c r="V2090" t="s">
        <v>13134</v>
      </c>
      <c r="W2090" t="s">
        <v>15183</v>
      </c>
      <c r="X2090">
        <v>23</v>
      </c>
      <c r="Y2090" t="s">
        <v>21648</v>
      </c>
      <c r="Z2090" t="s">
        <v>28058</v>
      </c>
      <c r="AA2090">
        <v>0.42758203888821239</v>
      </c>
      <c r="AB2090" t="str">
        <f>HYPERLINK("Melting_Curves/meltCurve_P07948_2_LYN.pdf", "Melting_Curves/meltCurve_P07948_2_LYN.pdf")</f>
        <v>Melting_Curves/meltCurve_P07948_2_LYN.pdf</v>
      </c>
    </row>
    <row r="2091" spans="1:28" x14ac:dyDescent="0.25">
      <c r="A2091" t="s">
        <v>2095</v>
      </c>
      <c r="B2091">
        <v>0.99472303558308395</v>
      </c>
      <c r="C2091">
        <v>0.89193495588582605</v>
      </c>
      <c r="D2091">
        <v>0.88270562987523804</v>
      </c>
      <c r="E2091">
        <v>0.77571509575169395</v>
      </c>
      <c r="F2091">
        <v>0.68494224592041797</v>
      </c>
      <c r="G2091">
        <v>0.30474241396071999</v>
      </c>
      <c r="H2091">
        <v>6.0475811304462897E-2</v>
      </c>
      <c r="I2091">
        <v>3.6096303567931497E-2</v>
      </c>
      <c r="J2091">
        <v>3.9391236420317603E-2</v>
      </c>
      <c r="K2091">
        <v>3.6291959857066299E-2</v>
      </c>
      <c r="L2091">
        <v>868.05466853719304</v>
      </c>
      <c r="M2091">
        <v>16.942543111334899</v>
      </c>
      <c r="N2091">
        <v>51.235205091357003</v>
      </c>
      <c r="O2091">
        <v>50.537394145338702</v>
      </c>
      <c r="P2091">
        <v>-8.3817155219949604E-2</v>
      </c>
      <c r="Q2091">
        <v>0</v>
      </c>
      <c r="R2091">
        <v>0.97500138430694505</v>
      </c>
      <c r="S2091" t="s">
        <v>8659</v>
      </c>
      <c r="T2091" t="s">
        <v>13134</v>
      </c>
      <c r="U2091" t="s">
        <v>13134</v>
      </c>
      <c r="V2091" t="s">
        <v>13134</v>
      </c>
      <c r="W2091" t="s">
        <v>15184</v>
      </c>
      <c r="X2091">
        <v>27</v>
      </c>
      <c r="Y2091" t="s">
        <v>21649</v>
      </c>
      <c r="Z2091" t="s">
        <v>28059</v>
      </c>
      <c r="AA2091">
        <v>0.49138742063828039</v>
      </c>
      <c r="AB2091" t="str">
        <f>HYPERLINK("Melting_Curves/meltCurve_P07954_2_FH.pdf", "Melting_Curves/meltCurve_P07954_2_FH.pdf")</f>
        <v>Melting_Curves/meltCurve_P07954_2_FH.pdf</v>
      </c>
    </row>
    <row r="2092" spans="1:28" x14ac:dyDescent="0.25">
      <c r="A2092" t="s">
        <v>2096</v>
      </c>
      <c r="B2092">
        <v>0.99472303558308395</v>
      </c>
      <c r="C2092">
        <v>0.970285789167327</v>
      </c>
      <c r="D2092">
        <v>0.87857768969425298</v>
      </c>
      <c r="E2092">
        <v>0.56132287770493094</v>
      </c>
      <c r="F2092">
        <v>0.23800935678694801</v>
      </c>
      <c r="G2092">
        <v>0.13210286482880099</v>
      </c>
      <c r="H2092">
        <v>8.2521399701606102E-2</v>
      </c>
      <c r="I2092">
        <v>7.4857833396569401E-2</v>
      </c>
      <c r="J2092">
        <v>0.105997004758176</v>
      </c>
      <c r="K2092">
        <v>8.8760665787562698E-2</v>
      </c>
      <c r="L2092">
        <v>1041.35446650532</v>
      </c>
      <c r="M2092">
        <v>22.289128877563002</v>
      </c>
      <c r="N2092">
        <v>47.101946263150403</v>
      </c>
      <c r="O2092">
        <v>46.349091494489997</v>
      </c>
      <c r="P2092">
        <v>-0.110293971124134</v>
      </c>
      <c r="Q2092">
        <v>8.2617010548489606E-2</v>
      </c>
      <c r="R2092">
        <v>0.99925146190830305</v>
      </c>
      <c r="S2092" t="s">
        <v>8660</v>
      </c>
      <c r="T2092" t="s">
        <v>13134</v>
      </c>
      <c r="U2092" t="s">
        <v>13134</v>
      </c>
      <c r="V2092" t="s">
        <v>13134</v>
      </c>
      <c r="W2092" t="s">
        <v>15185</v>
      </c>
      <c r="X2092">
        <v>8</v>
      </c>
      <c r="Y2092" t="s">
        <v>21650</v>
      </c>
      <c r="Z2092" t="s">
        <v>28060</v>
      </c>
      <c r="AA2092">
        <v>0.38952809615231931</v>
      </c>
      <c r="AB2092" t="str">
        <f>HYPERLINK("Melting_Curves/meltCurve_P08047_SP1.pdf", "Melting_Curves/meltCurve_P08047_SP1.pdf")</f>
        <v>Melting_Curves/meltCurve_P08047_SP1.pdf</v>
      </c>
    </row>
    <row r="2093" spans="1:28" x14ac:dyDescent="0.25">
      <c r="A2093" t="s">
        <v>2097</v>
      </c>
      <c r="B2093">
        <v>0.99472303558308395</v>
      </c>
      <c r="C2093">
        <v>0.92478557403072403</v>
      </c>
      <c r="D2093">
        <v>0.90541596617615605</v>
      </c>
      <c r="E2093">
        <v>0.82866011793857597</v>
      </c>
      <c r="F2093">
        <v>0.65029985848662197</v>
      </c>
      <c r="G2093">
        <v>0.53804114299955497</v>
      </c>
      <c r="H2093">
        <v>0.33769438838582</v>
      </c>
      <c r="I2093">
        <v>0.13818405032868</v>
      </c>
      <c r="J2093">
        <v>4.5329373214950501E-2</v>
      </c>
      <c r="K2093">
        <v>6.2714778098780094E-2</v>
      </c>
      <c r="L2093">
        <v>636.92335366026896</v>
      </c>
      <c r="M2093">
        <v>11.9588029277524</v>
      </c>
      <c r="N2093">
        <v>53.259775163891099</v>
      </c>
      <c r="O2093">
        <v>51.836059021543598</v>
      </c>
      <c r="P2093">
        <v>-5.7690173873873901E-2</v>
      </c>
      <c r="Q2093">
        <v>0</v>
      </c>
      <c r="R2093">
        <v>0.98472103032050595</v>
      </c>
      <c r="S2093" t="s">
        <v>8661</v>
      </c>
      <c r="T2093" t="s">
        <v>13134</v>
      </c>
      <c r="U2093" t="s">
        <v>13134</v>
      </c>
      <c r="V2093" t="s">
        <v>13134</v>
      </c>
      <c r="W2093" t="s">
        <v>15186</v>
      </c>
      <c r="X2093">
        <v>53</v>
      </c>
      <c r="Y2093" t="s">
        <v>21651</v>
      </c>
      <c r="Z2093" t="s">
        <v>28061</v>
      </c>
      <c r="AA2093">
        <v>0.56233043754481338</v>
      </c>
      <c r="AB2093" t="str">
        <f>HYPERLINK("Melting_Curves/meltCurve_P08107_HSPA1A.pdf", "Melting_Curves/meltCurve_P08107_HSPA1A.pdf")</f>
        <v>Melting_Curves/meltCurve_P08107_HSPA1A.pdf</v>
      </c>
    </row>
    <row r="2094" spans="1:28" x14ac:dyDescent="0.25">
      <c r="A2094" t="s">
        <v>2098</v>
      </c>
      <c r="B2094">
        <v>0.99472303558308395</v>
      </c>
      <c r="C2094">
        <v>0.80107498816234801</v>
      </c>
      <c r="D2094">
        <v>0.85827240347403499</v>
      </c>
      <c r="E2094">
        <v>0.698584110030114</v>
      </c>
      <c r="F2094">
        <v>0.73916987679452195</v>
      </c>
      <c r="G2094">
        <v>0.44691223189857399</v>
      </c>
      <c r="H2094">
        <v>0.15055392662273101</v>
      </c>
      <c r="I2094">
        <v>7.4645181170252595E-2</v>
      </c>
      <c r="J2094">
        <v>7.3539412312393401E-2</v>
      </c>
      <c r="K2094">
        <v>5.5259521182832602E-2</v>
      </c>
      <c r="L2094">
        <v>606.05245106913299</v>
      </c>
      <c r="M2094">
        <v>11.718503074171499</v>
      </c>
      <c r="N2094">
        <v>51.717565527426302</v>
      </c>
      <c r="O2094">
        <v>50.280372442778003</v>
      </c>
      <c r="P2094">
        <v>-5.8281167318237098E-2</v>
      </c>
      <c r="Q2094">
        <v>0</v>
      </c>
      <c r="R2094">
        <v>0.93702778142028897</v>
      </c>
      <c r="S2094" t="s">
        <v>8662</v>
      </c>
      <c r="T2094" t="s">
        <v>13134</v>
      </c>
      <c r="U2094" t="s">
        <v>13134</v>
      </c>
      <c r="V2094" t="s">
        <v>13134</v>
      </c>
      <c r="W2094" t="s">
        <v>15187</v>
      </c>
      <c r="X2094">
        <v>3</v>
      </c>
      <c r="Y2094" t="s">
        <v>21652</v>
      </c>
      <c r="Z2094" t="s">
        <v>28062</v>
      </c>
      <c r="AA2094">
        <v>0.51550703383645236</v>
      </c>
      <c r="AB2094" t="str">
        <f>HYPERLINK("Melting_Curves/meltCurve_P08123_COL1A2.pdf", "Melting_Curves/meltCurve_P08123_COL1A2.pdf")</f>
        <v>Melting_Curves/meltCurve_P08123_COL1A2.pdf</v>
      </c>
    </row>
    <row r="2095" spans="1:28" x14ac:dyDescent="0.25">
      <c r="A2095" t="s">
        <v>2099</v>
      </c>
      <c r="B2095">
        <v>0.99472303558308395</v>
      </c>
      <c r="C2095">
        <v>0.95835658549271396</v>
      </c>
      <c r="D2095">
        <v>0.97324263987047799</v>
      </c>
      <c r="E2095">
        <v>0.72816891189215505</v>
      </c>
      <c r="F2095">
        <v>0.20513482581150999</v>
      </c>
      <c r="G2095">
        <v>7.7805433529332502E-2</v>
      </c>
      <c r="H2095">
        <v>6.8259991098026898E-2</v>
      </c>
      <c r="I2095">
        <v>2.94534531454126E-2</v>
      </c>
      <c r="J2095">
        <v>4.2662791655723301E-2</v>
      </c>
      <c r="K2095">
        <v>3.7292346226612601E-2</v>
      </c>
      <c r="L2095">
        <v>1598.48370716108</v>
      </c>
      <c r="M2095">
        <v>33.398203763405498</v>
      </c>
      <c r="N2095">
        <v>47.995702995999999</v>
      </c>
      <c r="O2095">
        <v>47.690759875564801</v>
      </c>
      <c r="P2095">
        <v>-0.167266806467704</v>
      </c>
      <c r="Q2095">
        <v>4.4613740718772901E-2</v>
      </c>
      <c r="R2095">
        <v>0.99854530316915302</v>
      </c>
      <c r="S2095" t="s">
        <v>8663</v>
      </c>
      <c r="T2095" t="s">
        <v>13134</v>
      </c>
      <c r="U2095" t="s">
        <v>13134</v>
      </c>
      <c r="V2095" t="s">
        <v>13134</v>
      </c>
      <c r="W2095" t="s">
        <v>15188</v>
      </c>
      <c r="X2095">
        <v>12</v>
      </c>
      <c r="Y2095" t="s">
        <v>21653</v>
      </c>
      <c r="Z2095" t="s">
        <v>28063</v>
      </c>
      <c r="AA2095">
        <v>0.39505431113732031</v>
      </c>
      <c r="AB2095" t="str">
        <f>HYPERLINK("Melting_Curves/meltCurve_P08133_2_ANXA6.pdf", "Melting_Curves/meltCurve_P08133_2_ANXA6.pdf")</f>
        <v>Melting_Curves/meltCurve_P08133_2_ANXA6.pdf</v>
      </c>
    </row>
    <row r="2096" spans="1:28" x14ac:dyDescent="0.25">
      <c r="A2096" t="s">
        <v>2100</v>
      </c>
      <c r="B2096">
        <v>0.99472303558308395</v>
      </c>
      <c r="C2096">
        <v>0.94510121655076995</v>
      </c>
      <c r="D2096">
        <v>0.85179532938721902</v>
      </c>
      <c r="E2096">
        <v>0.79005061099278895</v>
      </c>
      <c r="F2096">
        <v>0.86535672705561195</v>
      </c>
      <c r="G2096">
        <v>0.57953245563223899</v>
      </c>
      <c r="H2096">
        <v>0.467542722907828</v>
      </c>
      <c r="I2096">
        <v>0.45599956971855798</v>
      </c>
      <c r="J2096">
        <v>0.47873928354207701</v>
      </c>
      <c r="K2096">
        <v>0.48941987134167497</v>
      </c>
      <c r="L2096">
        <v>486.862329764229</v>
      </c>
      <c r="M2096">
        <v>9.5434864347316601</v>
      </c>
      <c r="N2096">
        <v>60.270622015779502</v>
      </c>
      <c r="O2096">
        <v>48.9259529228801</v>
      </c>
      <c r="P2096">
        <v>-3.0031083944639301E-2</v>
      </c>
      <c r="Q2096">
        <v>0.38452438528519101</v>
      </c>
      <c r="R2096">
        <v>0.91054236275171097</v>
      </c>
      <c r="S2096" t="s">
        <v>8664</v>
      </c>
      <c r="T2096" t="s">
        <v>13134</v>
      </c>
      <c r="U2096" t="s">
        <v>13134</v>
      </c>
      <c r="V2096" t="s">
        <v>13134</v>
      </c>
      <c r="W2096" t="s">
        <v>15189</v>
      </c>
      <c r="X2096">
        <v>22</v>
      </c>
      <c r="Y2096" t="s">
        <v>21654</v>
      </c>
      <c r="Z2096" t="s">
        <v>28064</v>
      </c>
      <c r="AA2096">
        <v>0.69140944910495583</v>
      </c>
      <c r="AB2096" t="str">
        <f>HYPERLINK("Melting_Curves/meltCurve_P08237_PFKM.pdf", "Melting_Curves/meltCurve_P08237_PFKM.pdf")</f>
        <v>Melting_Curves/meltCurve_P08237_PFKM.pdf</v>
      </c>
    </row>
    <row r="2097" spans="1:28" x14ac:dyDescent="0.25">
      <c r="A2097" t="s">
        <v>2101</v>
      </c>
      <c r="B2097">
        <v>0.99472303558308395</v>
      </c>
      <c r="C2097">
        <v>0.94924893934699694</v>
      </c>
      <c r="D2097">
        <v>0.95958642221501</v>
      </c>
      <c r="E2097">
        <v>0.88465394400113895</v>
      </c>
      <c r="F2097">
        <v>0.47481810182723999</v>
      </c>
      <c r="G2097">
        <v>8.4830552820483504E-2</v>
      </c>
      <c r="H2097">
        <v>5.08612808207436E-2</v>
      </c>
      <c r="I2097">
        <v>3.4303094074057003E-2</v>
      </c>
      <c r="J2097">
        <v>4.0675277956902602E-2</v>
      </c>
      <c r="K2097">
        <v>3.6058924365215801E-2</v>
      </c>
      <c r="L2097">
        <v>1566.9489631349199</v>
      </c>
      <c r="M2097">
        <v>31.452207942185701</v>
      </c>
      <c r="N2097">
        <v>49.919321702163103</v>
      </c>
      <c r="O2097">
        <v>49.619898730977603</v>
      </c>
      <c r="P2097">
        <v>-0.153660065953105</v>
      </c>
      <c r="Q2097">
        <v>3.0331255051166101E-2</v>
      </c>
      <c r="R2097">
        <v>0.996985702934719</v>
      </c>
      <c r="S2097" t="s">
        <v>8665</v>
      </c>
      <c r="T2097" t="s">
        <v>13134</v>
      </c>
      <c r="U2097" t="s">
        <v>13134</v>
      </c>
      <c r="V2097" t="s">
        <v>13134</v>
      </c>
      <c r="W2097" t="s">
        <v>15190</v>
      </c>
      <c r="X2097">
        <v>81</v>
      </c>
      <c r="Y2097" t="s">
        <v>21655</v>
      </c>
      <c r="Z2097" t="s">
        <v>28065</v>
      </c>
      <c r="AA2097">
        <v>0.45010409835787629</v>
      </c>
      <c r="AB2097" t="str">
        <f>HYPERLINK("Melting_Curves/meltCurve_P08238_HSP90AB1.pdf", "Melting_Curves/meltCurve_P08238_HSP90AB1.pdf")</f>
        <v>Melting_Curves/meltCurve_P08238_HSP90AB1.pdf</v>
      </c>
    </row>
    <row r="2098" spans="1:28" x14ac:dyDescent="0.25">
      <c r="A2098" t="s">
        <v>2102</v>
      </c>
      <c r="B2098">
        <v>0.99472303558308395</v>
      </c>
      <c r="C2098">
        <v>0.98685497303266501</v>
      </c>
      <c r="D2098">
        <v>0.97916001599163804</v>
      </c>
      <c r="E2098">
        <v>0.852700361422708</v>
      </c>
      <c r="F2098">
        <v>0.45100541463111499</v>
      </c>
      <c r="G2098">
        <v>0.107364130488983</v>
      </c>
      <c r="H2098">
        <v>5.99627672967133E-2</v>
      </c>
      <c r="I2098">
        <v>4.0198634944077903E-2</v>
      </c>
      <c r="J2098">
        <v>4.3271660930574898E-2</v>
      </c>
      <c r="K2098">
        <v>3.2661790385929999E-2</v>
      </c>
      <c r="L2098">
        <v>1389.9900599550699</v>
      </c>
      <c r="M2098">
        <v>28.021846753242102</v>
      </c>
      <c r="N2098">
        <v>49.725740089692998</v>
      </c>
      <c r="O2098">
        <v>49.353239543149499</v>
      </c>
      <c r="P2098">
        <v>-0.13723325479116699</v>
      </c>
      <c r="Q2098">
        <v>3.3204682017354999E-2</v>
      </c>
      <c r="R2098">
        <v>0.99932617446013405</v>
      </c>
      <c r="S2098" t="s">
        <v>8666</v>
      </c>
      <c r="T2098" t="s">
        <v>13134</v>
      </c>
      <c r="U2098" t="s">
        <v>13134</v>
      </c>
      <c r="V2098" t="s">
        <v>13134</v>
      </c>
      <c r="W2098" t="s">
        <v>15191</v>
      </c>
      <c r="X2098">
        <v>29</v>
      </c>
      <c r="Y2098" t="s">
        <v>21656</v>
      </c>
      <c r="Z2098" t="s">
        <v>28066</v>
      </c>
      <c r="AA2098">
        <v>0.44612352359604979</v>
      </c>
      <c r="AB2098" t="str">
        <f>HYPERLINK("Melting_Curves/meltCurve_P08240_SRPR.pdf", "Melting_Curves/meltCurve_P08240_SRPR.pdf")</f>
        <v>Melting_Curves/meltCurve_P08240_SRPR.pdf</v>
      </c>
    </row>
    <row r="2099" spans="1:28" x14ac:dyDescent="0.25">
      <c r="A2099" t="s">
        <v>2103</v>
      </c>
      <c r="B2099">
        <v>0.99472303558308395</v>
      </c>
      <c r="C2099">
        <v>0.94308178876776805</v>
      </c>
      <c r="D2099">
        <v>0.98326498569123599</v>
      </c>
      <c r="E2099">
        <v>0.93232921202378305</v>
      </c>
      <c r="F2099">
        <v>0.76721823975191605</v>
      </c>
      <c r="G2099">
        <v>0.54972521841761601</v>
      </c>
      <c r="H2099">
        <v>0.15407702980458901</v>
      </c>
      <c r="I2099">
        <v>5.6198973127938298E-2</v>
      </c>
      <c r="J2099">
        <v>4.7935311269781899E-2</v>
      </c>
      <c r="K2099">
        <v>4.3396309983737502E-2</v>
      </c>
      <c r="L2099">
        <v>1098.6984007921801</v>
      </c>
      <c r="M2099">
        <v>20.485878912395101</v>
      </c>
      <c r="N2099">
        <v>53.637829907444598</v>
      </c>
      <c r="O2099">
        <v>53.128780132387597</v>
      </c>
      <c r="P2099">
        <v>-9.6292691599955293E-2</v>
      </c>
      <c r="Q2099">
        <v>1.1144931224807599E-3</v>
      </c>
      <c r="R2099">
        <v>0.99174783700247504</v>
      </c>
      <c r="S2099" t="s">
        <v>8667</v>
      </c>
      <c r="T2099" t="s">
        <v>13134</v>
      </c>
      <c r="U2099" t="s">
        <v>13134</v>
      </c>
      <c r="V2099" t="s">
        <v>13134</v>
      </c>
      <c r="W2099" t="s">
        <v>15192</v>
      </c>
      <c r="X2099">
        <v>36</v>
      </c>
      <c r="Y2099" t="s">
        <v>21657</v>
      </c>
      <c r="Z2099" t="s">
        <v>28067</v>
      </c>
      <c r="AA2099">
        <v>0.56678894527993784</v>
      </c>
      <c r="AB2099" t="str">
        <f>HYPERLINK("Melting_Curves/meltCurve_P08243_2_ASNS.pdf", "Melting_Curves/meltCurve_P08243_2_ASNS.pdf")</f>
        <v>Melting_Curves/meltCurve_P08243_2_ASNS.pdf</v>
      </c>
    </row>
    <row r="2100" spans="1:28" x14ac:dyDescent="0.25">
      <c r="A2100" t="s">
        <v>2104</v>
      </c>
      <c r="B2100">
        <v>0.99472303558308395</v>
      </c>
      <c r="C2100">
        <v>1.0599076479495599</v>
      </c>
      <c r="D2100">
        <v>0.95933873544273496</v>
      </c>
      <c r="E2100">
        <v>0.84153978479176605</v>
      </c>
      <c r="F2100">
        <v>0.746179168880298</v>
      </c>
      <c r="G2100">
        <v>0.56971328361038598</v>
      </c>
      <c r="H2100">
        <v>0.46452436691675503</v>
      </c>
      <c r="I2100">
        <v>0.57873881561302398</v>
      </c>
      <c r="J2100">
        <v>0.78473258818789904</v>
      </c>
      <c r="K2100">
        <v>0.55919856578712701</v>
      </c>
      <c r="L2100">
        <v>1174.8594423374</v>
      </c>
      <c r="M2100">
        <v>24.529642930376301</v>
      </c>
      <c r="O2100">
        <v>47.580581714444101</v>
      </c>
      <c r="P2100">
        <v>-5.2606239487222602E-2</v>
      </c>
      <c r="Q2100">
        <v>0.59184091551585905</v>
      </c>
      <c r="R2100">
        <v>0.829660419755754</v>
      </c>
      <c r="S2100" t="s">
        <v>8668</v>
      </c>
      <c r="T2100" t="s">
        <v>13134</v>
      </c>
      <c r="U2100" t="s">
        <v>13134</v>
      </c>
      <c r="V2100" t="s">
        <v>13134</v>
      </c>
      <c r="W2100" t="s">
        <v>15193</v>
      </c>
      <c r="X2100">
        <v>21</v>
      </c>
      <c r="Y2100" t="s">
        <v>21658</v>
      </c>
      <c r="Z2100" t="s">
        <v>28068</v>
      </c>
      <c r="AA2100">
        <v>0.74368342592049741</v>
      </c>
      <c r="AB2100" t="str">
        <f>HYPERLINK("Melting_Curves/meltCurve_P08397_2_HMBS.pdf", "Melting_Curves/meltCurve_P08397_2_HMBS.pdf")</f>
        <v>Melting_Curves/meltCurve_P08397_2_HMBS.pdf</v>
      </c>
    </row>
    <row r="2101" spans="1:28" x14ac:dyDescent="0.25">
      <c r="A2101" t="s">
        <v>2105</v>
      </c>
      <c r="B2101">
        <v>0.99472303558308395</v>
      </c>
      <c r="C2101">
        <v>0.93520035590391304</v>
      </c>
      <c r="D2101">
        <v>1.00844780513407</v>
      </c>
      <c r="E2101">
        <v>0.99075731404063005</v>
      </c>
      <c r="F2101">
        <v>0.60201850698187698</v>
      </c>
      <c r="G2101">
        <v>0.203787325573074</v>
      </c>
      <c r="H2101">
        <v>9.2807363243550101E-2</v>
      </c>
      <c r="I2101">
        <v>5.0336183562180697E-2</v>
      </c>
      <c r="J2101">
        <v>6.91207425066757E-2</v>
      </c>
      <c r="K2101">
        <v>5.3721924440936999E-2</v>
      </c>
      <c r="L2101">
        <v>1678.26590571423</v>
      </c>
      <c r="M2101">
        <v>33.059391314309799</v>
      </c>
      <c r="N2101">
        <v>50.970917368224001</v>
      </c>
      <c r="O2101">
        <v>50.580519668753801</v>
      </c>
      <c r="P2101">
        <v>-0.153194314079143</v>
      </c>
      <c r="Q2101">
        <v>6.2461631106566801E-2</v>
      </c>
      <c r="R2101">
        <v>0.99626768672834698</v>
      </c>
      <c r="S2101" t="s">
        <v>8669</v>
      </c>
      <c r="T2101" t="s">
        <v>13134</v>
      </c>
      <c r="U2101" t="s">
        <v>13134</v>
      </c>
      <c r="V2101" t="s">
        <v>13134</v>
      </c>
      <c r="W2101" t="s">
        <v>15194</v>
      </c>
      <c r="X2101">
        <v>15</v>
      </c>
      <c r="Y2101" t="s">
        <v>21659</v>
      </c>
      <c r="Z2101" t="s">
        <v>28069</v>
      </c>
      <c r="AA2101">
        <v>0.49744864409656292</v>
      </c>
      <c r="AB2101" t="str">
        <f>HYPERLINK("Melting_Curves/meltCurve_P08559_3_PDHA1.pdf", "Melting_Curves/meltCurve_P08559_3_PDHA1.pdf")</f>
        <v>Melting_Curves/meltCurve_P08559_3_PDHA1.pdf</v>
      </c>
    </row>
    <row r="2102" spans="1:28" x14ac:dyDescent="0.25">
      <c r="A2102" t="s">
        <v>2106</v>
      </c>
      <c r="B2102">
        <v>0.99472303558308395</v>
      </c>
      <c r="C2102">
        <v>0.84475029225419995</v>
      </c>
      <c r="D2102">
        <v>0.76057464914263295</v>
      </c>
      <c r="E2102">
        <v>0.62034136409209295</v>
      </c>
      <c r="F2102">
        <v>0.49530644340040197</v>
      </c>
      <c r="G2102">
        <v>0.242980579278293</v>
      </c>
      <c r="H2102">
        <v>0.120723910219814</v>
      </c>
      <c r="I2102">
        <v>4.2827692514159001E-2</v>
      </c>
      <c r="J2102">
        <v>3.3436981487448801E-2</v>
      </c>
      <c r="K2102">
        <v>3.4502381398606403E-2</v>
      </c>
      <c r="L2102">
        <v>531.91098443297903</v>
      </c>
      <c r="M2102">
        <v>10.9725035874988</v>
      </c>
      <c r="N2102">
        <v>48.476720063334298</v>
      </c>
      <c r="O2102">
        <v>46.9499983608438</v>
      </c>
      <c r="P2102">
        <v>-5.8446442459885901E-2</v>
      </c>
      <c r="Q2102">
        <v>0</v>
      </c>
      <c r="R2102">
        <v>0.98369239941117004</v>
      </c>
      <c r="S2102" t="s">
        <v>8670</v>
      </c>
      <c r="T2102" t="s">
        <v>13134</v>
      </c>
      <c r="U2102" t="s">
        <v>13134</v>
      </c>
      <c r="V2102" t="s">
        <v>13134</v>
      </c>
      <c r="W2102" t="s">
        <v>15195</v>
      </c>
      <c r="X2102">
        <v>7</v>
      </c>
      <c r="Y2102" t="s">
        <v>21660</v>
      </c>
      <c r="Z2102" t="s">
        <v>28070</v>
      </c>
      <c r="AA2102">
        <v>0.41704402238680832</v>
      </c>
      <c r="AB2102" t="str">
        <f>HYPERLINK("Melting_Curves/meltCurve_P08574_CYC1.pdf", "Melting_Curves/meltCurve_P08574_CYC1.pdf")</f>
        <v>Melting_Curves/meltCurve_P08574_CYC1.pdf</v>
      </c>
    </row>
    <row r="2103" spans="1:28" x14ac:dyDescent="0.25">
      <c r="A2103" t="s">
        <v>2107</v>
      </c>
      <c r="B2103">
        <v>0.99472303558308395</v>
      </c>
      <c r="C2103">
        <v>0.87858718592409502</v>
      </c>
      <c r="D2103">
        <v>0.791156354262885</v>
      </c>
      <c r="E2103">
        <v>0.63737002251358599</v>
      </c>
      <c r="F2103">
        <v>0.53475456147865397</v>
      </c>
      <c r="G2103">
        <v>0.33231124935727702</v>
      </c>
      <c r="H2103">
        <v>0.160810495885257</v>
      </c>
      <c r="I2103">
        <v>9.1935215863384698E-2</v>
      </c>
      <c r="J2103">
        <v>0.11775060943464601</v>
      </c>
      <c r="K2103">
        <v>0.100399679761524</v>
      </c>
      <c r="L2103">
        <v>479.29095520648798</v>
      </c>
      <c r="M2103">
        <v>9.6670992919394099</v>
      </c>
      <c r="N2103">
        <v>49.579598956915802</v>
      </c>
      <c r="O2103">
        <v>47.597443616619998</v>
      </c>
      <c r="P2103">
        <v>-5.0803427786085903E-2</v>
      </c>
      <c r="Q2103">
        <v>0</v>
      </c>
      <c r="R2103">
        <v>0.988124180986656</v>
      </c>
      <c r="S2103" t="s">
        <v>8671</v>
      </c>
      <c r="T2103" t="s">
        <v>13134</v>
      </c>
      <c r="U2103" t="s">
        <v>13134</v>
      </c>
      <c r="V2103" t="s">
        <v>13134</v>
      </c>
      <c r="W2103" t="s">
        <v>15196</v>
      </c>
      <c r="X2103">
        <v>6</v>
      </c>
      <c r="Y2103" t="s">
        <v>21661</v>
      </c>
      <c r="Z2103" t="s">
        <v>28071</v>
      </c>
      <c r="AA2103">
        <v>0.45584345499034989</v>
      </c>
      <c r="AB2103" t="str">
        <f>HYPERLINK("Melting_Curves/meltCurve_P08579_SNRPB2.pdf", "Melting_Curves/meltCurve_P08579_SNRPB2.pdf")</f>
        <v>Melting_Curves/meltCurve_P08579_SNRPB2.pdf</v>
      </c>
    </row>
    <row r="2104" spans="1:28" x14ac:dyDescent="0.25">
      <c r="A2104" t="s">
        <v>2108</v>
      </c>
      <c r="B2104">
        <v>0.99472303558308395</v>
      </c>
      <c r="C2104">
        <v>1.0411126081056901</v>
      </c>
      <c r="D2104">
        <v>0.79231142472801896</v>
      </c>
      <c r="E2104">
        <v>0.71335953930297302</v>
      </c>
      <c r="F2104">
        <v>0.45115374461569002</v>
      </c>
      <c r="G2104">
        <v>0.16386399368769999</v>
      </c>
      <c r="H2104">
        <v>8.3717710832933501E-2</v>
      </c>
      <c r="I2104">
        <v>6.3602906438226206E-2</v>
      </c>
      <c r="J2104">
        <v>7.0287684098604503E-2</v>
      </c>
      <c r="K2104">
        <v>6.7850736666603698E-2</v>
      </c>
      <c r="L2104">
        <v>764.49194266950701</v>
      </c>
      <c r="M2104">
        <v>15.6769190604501</v>
      </c>
      <c r="N2104">
        <v>48.952821386911403</v>
      </c>
      <c r="O2104">
        <v>47.992634454890201</v>
      </c>
      <c r="P2104">
        <v>-7.92918035468093E-2</v>
      </c>
      <c r="Q2104">
        <v>2.91206581883444E-2</v>
      </c>
      <c r="R2104">
        <v>0.98509572398675505</v>
      </c>
      <c r="S2104" t="s">
        <v>8672</v>
      </c>
      <c r="T2104" t="s">
        <v>13134</v>
      </c>
      <c r="U2104" t="s">
        <v>13134</v>
      </c>
      <c r="V2104" t="s">
        <v>13134</v>
      </c>
      <c r="W2104" t="s">
        <v>15197</v>
      </c>
      <c r="X2104">
        <v>3</v>
      </c>
      <c r="Y2104" t="s">
        <v>21662</v>
      </c>
      <c r="Z2104" t="s">
        <v>28072</v>
      </c>
      <c r="AA2104">
        <v>0.42944197628853048</v>
      </c>
      <c r="AB2104" t="str">
        <f>HYPERLINK("Melting_Curves/meltCurve_P08590_MYL3.pdf", "Melting_Curves/meltCurve_P08590_MYL3.pdf")</f>
        <v>Melting_Curves/meltCurve_P08590_MYL3.pdf</v>
      </c>
    </row>
    <row r="2105" spans="1:28" x14ac:dyDescent="0.25">
      <c r="A2105" t="s">
        <v>2109</v>
      </c>
      <c r="B2105">
        <v>0.99472303558308395</v>
      </c>
      <c r="C2105">
        <v>0.985756986348168</v>
      </c>
      <c r="D2105">
        <v>0.82807046907233395</v>
      </c>
      <c r="E2105">
        <v>0.64026644266023003</v>
      </c>
      <c r="F2105">
        <v>0.56538925339787205</v>
      </c>
      <c r="G2105">
        <v>0.24753212012475401</v>
      </c>
      <c r="H2105">
        <v>0.12963184317339799</v>
      </c>
      <c r="I2105">
        <v>6.8711732617656396E-2</v>
      </c>
      <c r="J2105">
        <v>8.9126905520610103E-2</v>
      </c>
      <c r="K2105">
        <v>8.6250878471341705E-2</v>
      </c>
      <c r="L2105">
        <v>606.00812354843595</v>
      </c>
      <c r="M2105">
        <v>12.241268596800399</v>
      </c>
      <c r="N2105">
        <v>49.610601023780497</v>
      </c>
      <c r="O2105">
        <v>48.239813168328702</v>
      </c>
      <c r="P2105">
        <v>-6.2640283770798902E-2</v>
      </c>
      <c r="Q2105">
        <v>1.2821174806883801E-2</v>
      </c>
      <c r="R2105">
        <v>0.98463664460203604</v>
      </c>
      <c r="S2105" t="s">
        <v>8673</v>
      </c>
      <c r="T2105" t="s">
        <v>13134</v>
      </c>
      <c r="U2105" t="s">
        <v>13134</v>
      </c>
      <c r="V2105" t="s">
        <v>13134</v>
      </c>
      <c r="W2105" t="s">
        <v>15198</v>
      </c>
      <c r="X2105">
        <v>7</v>
      </c>
      <c r="Y2105" t="s">
        <v>21663</v>
      </c>
      <c r="Z2105" t="s">
        <v>28073</v>
      </c>
      <c r="AA2105">
        <v>0.4521154579332109</v>
      </c>
      <c r="AB2105" t="str">
        <f>HYPERLINK("Melting_Curves/meltCurve_P08603_CFH.pdf", "Melting_Curves/meltCurve_P08603_CFH.pdf")</f>
        <v>Melting_Curves/meltCurve_P08603_CFH.pdf</v>
      </c>
    </row>
    <row r="2106" spans="1:28" x14ac:dyDescent="0.25">
      <c r="A2106" t="s">
        <v>2110</v>
      </c>
      <c r="B2106">
        <v>0.99472303558308395</v>
      </c>
      <c r="C2106">
        <v>0.91841642596350903</v>
      </c>
      <c r="D2106">
        <v>0.76665545356485898</v>
      </c>
      <c r="E2106">
        <v>0.60104277244422</v>
      </c>
      <c r="F2106">
        <v>0.49541146503817701</v>
      </c>
      <c r="G2106">
        <v>0.146408551425629</v>
      </c>
      <c r="H2106">
        <v>8.2319075259102897E-2</v>
      </c>
      <c r="I2106">
        <v>4.9909934105916501E-2</v>
      </c>
      <c r="J2106">
        <v>5.8126199549372801E-2</v>
      </c>
      <c r="K2106">
        <v>8.24938421554815E-2</v>
      </c>
      <c r="L2106">
        <v>584.86045261099002</v>
      </c>
      <c r="M2106">
        <v>12.120467409010599</v>
      </c>
      <c r="N2106">
        <v>48.253952059545597</v>
      </c>
      <c r="O2106">
        <v>46.996726929952999</v>
      </c>
      <c r="P2106">
        <v>-6.4489984203515205E-2</v>
      </c>
      <c r="Q2106">
        <v>0</v>
      </c>
      <c r="R2106">
        <v>0.98012361855945895</v>
      </c>
      <c r="S2106" t="s">
        <v>8674</v>
      </c>
      <c r="T2106" t="s">
        <v>13134</v>
      </c>
      <c r="U2106" t="s">
        <v>13134</v>
      </c>
      <c r="V2106" t="s">
        <v>13134</v>
      </c>
      <c r="W2106" t="s">
        <v>15199</v>
      </c>
      <c r="X2106">
        <v>23</v>
      </c>
      <c r="Y2106" t="s">
        <v>21664</v>
      </c>
      <c r="Z2106" t="s">
        <v>28074</v>
      </c>
      <c r="AA2106">
        <v>0.40560386544929861</v>
      </c>
      <c r="AB2106" t="str">
        <f>HYPERLINK("Melting_Curves/meltCurve_P08621_SNRNP70.pdf", "Melting_Curves/meltCurve_P08621_SNRNP70.pdf")</f>
        <v>Melting_Curves/meltCurve_P08621_SNRNP70.pdf</v>
      </c>
    </row>
    <row r="2107" spans="1:28" x14ac:dyDescent="0.25">
      <c r="A2107" t="s">
        <v>2111</v>
      </c>
      <c r="B2107">
        <v>0.99472303558308395</v>
      </c>
      <c r="C2107">
        <v>1.0388097992463099</v>
      </c>
      <c r="D2107">
        <v>0.93732604895907901</v>
      </c>
      <c r="E2107">
        <v>0.88859639241412802</v>
      </c>
      <c r="F2107">
        <v>0.72414935813133696</v>
      </c>
      <c r="G2107">
        <v>0.44392293899938301</v>
      </c>
      <c r="H2107">
        <v>0.28487634631625403</v>
      </c>
      <c r="I2107">
        <v>0.225049106331765</v>
      </c>
      <c r="J2107">
        <v>0.26802397002997702</v>
      </c>
      <c r="K2107">
        <v>0.31195273706957199</v>
      </c>
      <c r="L2107">
        <v>1123.2894212286999</v>
      </c>
      <c r="M2107">
        <v>21.976652968533401</v>
      </c>
      <c r="N2107">
        <v>52.796015579247197</v>
      </c>
      <c r="O2107">
        <v>50.695292463620703</v>
      </c>
      <c r="P2107">
        <v>-8.1082089759584003E-2</v>
      </c>
      <c r="Q2107">
        <v>0.251862857246758</v>
      </c>
      <c r="R2107">
        <v>0.98803124048741897</v>
      </c>
      <c r="S2107" t="s">
        <v>8675</v>
      </c>
      <c r="T2107" t="s">
        <v>13134</v>
      </c>
      <c r="U2107" t="s">
        <v>13134</v>
      </c>
      <c r="V2107" t="s">
        <v>13134</v>
      </c>
      <c r="W2107" t="s">
        <v>15200</v>
      </c>
      <c r="X2107">
        <v>19</v>
      </c>
      <c r="Y2107" t="s">
        <v>21665</v>
      </c>
      <c r="Z2107" t="s">
        <v>28075</v>
      </c>
      <c r="AA2107">
        <v>0.61214099976874148</v>
      </c>
      <c r="AB2107" t="str">
        <f>HYPERLINK("Melting_Curves/meltCurve_P08648_ITGA5.pdf", "Melting_Curves/meltCurve_P08648_ITGA5.pdf")</f>
        <v>Melting_Curves/meltCurve_P08648_ITGA5.pdf</v>
      </c>
    </row>
    <row r="2108" spans="1:28" x14ac:dyDescent="0.25">
      <c r="A2108" t="s">
        <v>2112</v>
      </c>
      <c r="B2108">
        <v>0.99472303558308395</v>
      </c>
      <c r="C2108">
        <v>1.04533542313123</v>
      </c>
      <c r="D2108">
        <v>0.88672153750216598</v>
      </c>
      <c r="E2108">
        <v>0.79798420612724696</v>
      </c>
      <c r="F2108">
        <v>0.53848412795918199</v>
      </c>
      <c r="G2108">
        <v>0.324682218682186</v>
      </c>
      <c r="H2108">
        <v>0.23114514238258899</v>
      </c>
      <c r="I2108">
        <v>0.16788782336664901</v>
      </c>
      <c r="J2108">
        <v>0.20291238729168401</v>
      </c>
      <c r="K2108">
        <v>0.14835051046550701</v>
      </c>
      <c r="L2108">
        <v>823.34926877338205</v>
      </c>
      <c r="M2108">
        <v>16.596267262728102</v>
      </c>
      <c r="N2108">
        <v>50.698458023770797</v>
      </c>
      <c r="O2108">
        <v>48.906993691417597</v>
      </c>
      <c r="P2108">
        <v>-7.2130969277810195E-2</v>
      </c>
      <c r="Q2108">
        <v>0.149815947878116</v>
      </c>
      <c r="R2108">
        <v>0.99310736461421001</v>
      </c>
      <c r="S2108" t="s">
        <v>8676</v>
      </c>
      <c r="T2108" t="s">
        <v>13134</v>
      </c>
      <c r="U2108" t="s">
        <v>13134</v>
      </c>
      <c r="V2108" t="s">
        <v>13134</v>
      </c>
      <c r="W2108" t="s">
        <v>15201</v>
      </c>
      <c r="X2108">
        <v>5</v>
      </c>
      <c r="Y2108" t="s">
        <v>21666</v>
      </c>
      <c r="Z2108" t="s">
        <v>28076</v>
      </c>
      <c r="AA2108">
        <v>0.5225660458361413</v>
      </c>
      <c r="AB2108" t="str">
        <f>HYPERLINK("Melting_Curves/meltCurve_P08651_4_NFIC.pdf", "Melting_Curves/meltCurve_P08651_4_NFIC.pdf")</f>
        <v>Melting_Curves/meltCurve_P08651_4_NFIC.pdf</v>
      </c>
    </row>
    <row r="2109" spans="1:28" x14ac:dyDescent="0.25">
      <c r="A2109" t="s">
        <v>2113</v>
      </c>
      <c r="B2109">
        <v>0.99472303558308395</v>
      </c>
      <c r="C2109">
        <v>0.86578107694587103</v>
      </c>
      <c r="D2109">
        <v>0.88595519333550199</v>
      </c>
      <c r="E2109">
        <v>0.73846168469518603</v>
      </c>
      <c r="F2109">
        <v>1.17617211351038</v>
      </c>
      <c r="G2109">
        <v>0.33296915718456699</v>
      </c>
      <c r="H2109">
        <v>0.20751009254950001</v>
      </c>
      <c r="I2109">
        <v>0.14840948909899401</v>
      </c>
      <c r="J2109">
        <v>0.17955802637614601</v>
      </c>
      <c r="K2109">
        <v>0.15871801843084199</v>
      </c>
      <c r="L2109">
        <v>13372.996514738201</v>
      </c>
      <c r="M2109">
        <v>250</v>
      </c>
      <c r="N2109">
        <v>53.583362202661696</v>
      </c>
      <c r="O2109">
        <v>53.4885630997018</v>
      </c>
      <c r="P2109">
        <v>-0.965686721529874</v>
      </c>
      <c r="Q2109">
        <v>0.173548881416907</v>
      </c>
      <c r="R2109">
        <v>0.90862788208197498</v>
      </c>
      <c r="S2109" t="s">
        <v>8677</v>
      </c>
      <c r="T2109" t="s">
        <v>13134</v>
      </c>
      <c r="U2109" t="s">
        <v>13134</v>
      </c>
      <c r="V2109" t="s">
        <v>13134</v>
      </c>
      <c r="W2109" t="s">
        <v>15202</v>
      </c>
      <c r="X2109">
        <v>39</v>
      </c>
      <c r="Y2109" t="s">
        <v>21667</v>
      </c>
      <c r="Z2109" t="s">
        <v>28077</v>
      </c>
      <c r="AA2109">
        <v>0.62795381086953861</v>
      </c>
      <c r="AB2109" t="str">
        <f>HYPERLINK("Melting_Curves/meltCurve_P08670_VIM.pdf", "Melting_Curves/meltCurve_P08670_VIM.pdf")</f>
        <v>Melting_Curves/meltCurve_P08670_VIM.pdf</v>
      </c>
    </row>
    <row r="2110" spans="1:28" x14ac:dyDescent="0.25">
      <c r="A2110" t="s">
        <v>2114</v>
      </c>
      <c r="B2110">
        <v>0.99472303558308395</v>
      </c>
      <c r="C2110">
        <v>0.94877744196800395</v>
      </c>
      <c r="D2110">
        <v>0.95643217546671599</v>
      </c>
      <c r="E2110">
        <v>0.90098911219934696</v>
      </c>
      <c r="F2110">
        <v>0.72779424697010298</v>
      </c>
      <c r="G2110">
        <v>0.43981033399584801</v>
      </c>
      <c r="H2110">
        <v>8.2130554032935704E-2</v>
      </c>
      <c r="I2110">
        <v>6.5419157252593493E-2</v>
      </c>
      <c r="J2110">
        <v>6.4770979645067603E-2</v>
      </c>
      <c r="K2110">
        <v>5.25641851758505E-2</v>
      </c>
      <c r="L2110">
        <v>1116.1535261771701</v>
      </c>
      <c r="M2110">
        <v>21.2618684615211</v>
      </c>
      <c r="N2110">
        <v>52.6084050825296</v>
      </c>
      <c r="O2110">
        <v>52.037805783600703</v>
      </c>
      <c r="P2110">
        <v>-9.9871749561385795E-2</v>
      </c>
      <c r="Q2110">
        <v>2.22923688740942E-2</v>
      </c>
      <c r="R2110">
        <v>0.99094665060678</v>
      </c>
      <c r="S2110" t="s">
        <v>8678</v>
      </c>
      <c r="T2110" t="s">
        <v>13134</v>
      </c>
      <c r="U2110" t="s">
        <v>13134</v>
      </c>
      <c r="V2110" t="s">
        <v>13134</v>
      </c>
      <c r="W2110" t="s">
        <v>15203</v>
      </c>
      <c r="X2110">
        <v>17</v>
      </c>
      <c r="Y2110" t="s">
        <v>21668</v>
      </c>
      <c r="Z2110" t="s">
        <v>28078</v>
      </c>
      <c r="AA2110">
        <v>0.53865985307254982</v>
      </c>
      <c r="AB2110" t="str">
        <f>HYPERLINK("Melting_Curves/meltCurve_P08754_GNAI3.pdf", "Melting_Curves/meltCurve_P08754_GNAI3.pdf")</f>
        <v>Melting_Curves/meltCurve_P08754_GNAI3.pdf</v>
      </c>
    </row>
    <row r="2111" spans="1:28" x14ac:dyDescent="0.25">
      <c r="A2111" t="s">
        <v>2115</v>
      </c>
      <c r="B2111">
        <v>0.99472303558308395</v>
      </c>
      <c r="C2111">
        <v>0.951524110418284</v>
      </c>
      <c r="D2111">
        <v>1.0766276081397801</v>
      </c>
      <c r="E2111">
        <v>0.89611757328785502</v>
      </c>
      <c r="F2111">
        <v>0.26736374723217998</v>
      </c>
      <c r="G2111">
        <v>8.2339122861102704E-2</v>
      </c>
      <c r="H2111">
        <v>4.5612708312802001E-2</v>
      </c>
      <c r="I2111">
        <v>2.7196599724244201E-2</v>
      </c>
      <c r="J2111">
        <v>3.0220368934695901E-2</v>
      </c>
      <c r="K2111">
        <v>2.5926762188446799E-2</v>
      </c>
      <c r="L2111">
        <v>2113.3226370688199</v>
      </c>
      <c r="M2111">
        <v>43.236460549652897</v>
      </c>
      <c r="N2111">
        <v>48.966917871243602</v>
      </c>
      <c r="O2111">
        <v>48.774033359995798</v>
      </c>
      <c r="P2111">
        <v>-0.21327237261458401</v>
      </c>
      <c r="Q2111">
        <v>3.7651206331302201E-2</v>
      </c>
      <c r="R2111">
        <v>0.99515457471125002</v>
      </c>
      <c r="S2111" t="s">
        <v>8679</v>
      </c>
      <c r="T2111" t="s">
        <v>13134</v>
      </c>
      <c r="U2111" t="s">
        <v>13134</v>
      </c>
      <c r="V2111" t="s">
        <v>13134</v>
      </c>
      <c r="W2111" t="s">
        <v>15204</v>
      </c>
      <c r="X2111">
        <v>22</v>
      </c>
      <c r="Y2111" t="s">
        <v>21669</v>
      </c>
      <c r="Z2111" t="s">
        <v>28079</v>
      </c>
      <c r="AA2111">
        <v>0.42146476956660911</v>
      </c>
      <c r="AB2111" t="str">
        <f>HYPERLINK("Melting_Curves/meltCurve_P08758_ANXA5.pdf", "Melting_Curves/meltCurve_P08758_ANXA5.pdf")</f>
        <v>Melting_Curves/meltCurve_P08758_ANXA5.pdf</v>
      </c>
    </row>
    <row r="2112" spans="1:28" x14ac:dyDescent="0.25">
      <c r="A2112" t="s">
        <v>2116</v>
      </c>
      <c r="B2112">
        <v>0.99472303558308395</v>
      </c>
      <c r="C2112">
        <v>1.02941000141255</v>
      </c>
      <c r="D2112">
        <v>0.80816292099878395</v>
      </c>
      <c r="E2112">
        <v>0.60459940961473702</v>
      </c>
      <c r="F2112">
        <v>0.59157164703987097</v>
      </c>
      <c r="G2112">
        <v>0.35892687303361798</v>
      </c>
      <c r="H2112">
        <v>0.220392346163609</v>
      </c>
      <c r="I2112">
        <v>0.121292993479872</v>
      </c>
      <c r="J2112">
        <v>0.12586134021506101</v>
      </c>
      <c r="K2112">
        <v>9.6248597897814703E-2</v>
      </c>
      <c r="L2112">
        <v>502.19498324073101</v>
      </c>
      <c r="M2112">
        <v>9.9774452143778003</v>
      </c>
      <c r="N2112">
        <v>50.426735519479102</v>
      </c>
      <c r="O2112">
        <v>48.436373796489903</v>
      </c>
      <c r="P2112">
        <v>-5.10496773494599E-2</v>
      </c>
      <c r="Q2112">
        <v>9.1857325253585694E-3</v>
      </c>
      <c r="R2112">
        <v>0.97682562939970496</v>
      </c>
      <c r="S2112" t="s">
        <v>8680</v>
      </c>
      <c r="T2112" t="s">
        <v>13134</v>
      </c>
      <c r="U2112" t="s">
        <v>13134</v>
      </c>
      <c r="V2112" t="s">
        <v>13134</v>
      </c>
      <c r="W2112" t="s">
        <v>15205</v>
      </c>
      <c r="X2112">
        <v>10</v>
      </c>
      <c r="Y2112" t="s">
        <v>21670</v>
      </c>
      <c r="Z2112" t="s">
        <v>28080</v>
      </c>
      <c r="AA2112">
        <v>0.48211977127765743</v>
      </c>
      <c r="AB2112" t="str">
        <f>HYPERLINK("Melting_Curves/meltCurve_P09012_SNRPA.pdf", "Melting_Curves/meltCurve_P09012_SNRPA.pdf")</f>
        <v>Melting_Curves/meltCurve_P09012_SNRPA.pdf</v>
      </c>
    </row>
    <row r="2113" spans="1:28" x14ac:dyDescent="0.25">
      <c r="A2113" t="s">
        <v>2117</v>
      </c>
      <c r="B2113">
        <v>0.99472303558308395</v>
      </c>
      <c r="C2113">
        <v>1.4307069901717799</v>
      </c>
      <c r="D2113">
        <v>0.93022691089508902</v>
      </c>
      <c r="E2113">
        <v>0.81436411849264101</v>
      </c>
      <c r="F2113">
        <v>1.24513821211425</v>
      </c>
      <c r="G2113">
        <v>0.50704421213187101</v>
      </c>
      <c r="H2113">
        <v>0.26478388450087897</v>
      </c>
      <c r="I2113">
        <v>0.17867025494081401</v>
      </c>
      <c r="J2113">
        <v>0.174866288166899</v>
      </c>
      <c r="K2113">
        <v>0.12293966974538199</v>
      </c>
      <c r="L2113">
        <v>12497.633918878901</v>
      </c>
      <c r="M2113">
        <v>232.72473543209099</v>
      </c>
      <c r="N2113">
        <v>53.808414863280298</v>
      </c>
      <c r="O2113">
        <v>53.697368716276898</v>
      </c>
      <c r="P2113">
        <v>-0.88271218859336498</v>
      </c>
      <c r="Q2113">
        <v>0.185314940460724</v>
      </c>
      <c r="R2113">
        <v>0.85801514769545995</v>
      </c>
      <c r="S2113" t="s">
        <v>8681</v>
      </c>
      <c r="T2113" t="s">
        <v>13134</v>
      </c>
      <c r="U2113" t="s">
        <v>13134</v>
      </c>
      <c r="V2113" t="s">
        <v>13134</v>
      </c>
      <c r="W2113" t="s">
        <v>15206</v>
      </c>
      <c r="X2113">
        <v>3</v>
      </c>
      <c r="Y2113" t="s">
        <v>21671</v>
      </c>
      <c r="Z2113" t="s">
        <v>28081</v>
      </c>
      <c r="AA2113">
        <v>0.63894839165668083</v>
      </c>
      <c r="AB2113" t="str">
        <f>HYPERLINK("Melting_Curves/meltCurve_P09038_2_FGF2.pdf", "Melting_Curves/meltCurve_P09038_2_FGF2.pdf")</f>
        <v>Melting_Curves/meltCurve_P09038_2_FGF2.pdf</v>
      </c>
    </row>
    <row r="2114" spans="1:28" x14ac:dyDescent="0.25">
      <c r="A2114" t="s">
        <v>2118</v>
      </c>
      <c r="B2114">
        <v>0.99472303558308395</v>
      </c>
      <c r="C2114">
        <v>1.0304703088134699</v>
      </c>
      <c r="D2114">
        <v>0.96369846640885604</v>
      </c>
      <c r="E2114">
        <v>0.95380821733999499</v>
      </c>
      <c r="F2114">
        <v>0.78710996678714695</v>
      </c>
      <c r="G2114">
        <v>0.64007805435529497</v>
      </c>
      <c r="H2114">
        <v>0.47782282391558401</v>
      </c>
      <c r="I2114">
        <v>0.60217081951519802</v>
      </c>
      <c r="J2114">
        <v>0.83022331643885205</v>
      </c>
      <c r="K2114">
        <v>0.54214776281228005</v>
      </c>
      <c r="L2114">
        <v>1837.97730438954</v>
      </c>
      <c r="M2114">
        <v>36.9124524589716</v>
      </c>
      <c r="O2114">
        <v>49.647417442617801</v>
      </c>
      <c r="P2114">
        <v>-7.1738100889673195E-2</v>
      </c>
      <c r="Q2114">
        <v>0.61404883902756602</v>
      </c>
      <c r="R2114">
        <v>0.80247122163364004</v>
      </c>
      <c r="S2114" t="s">
        <v>8682</v>
      </c>
      <c r="T2114" t="s">
        <v>13134</v>
      </c>
      <c r="U2114" t="s">
        <v>13134</v>
      </c>
      <c r="V2114" t="s">
        <v>13134</v>
      </c>
      <c r="W2114" t="s">
        <v>15207</v>
      </c>
      <c r="X2114">
        <v>18</v>
      </c>
      <c r="Y2114" t="s">
        <v>21672</v>
      </c>
      <c r="Z2114" t="s">
        <v>28082</v>
      </c>
      <c r="AA2114">
        <v>0.78018993912651491</v>
      </c>
      <c r="AB2114" t="str">
        <f>HYPERLINK("Melting_Curves/meltCurve_P09104_ENO2.pdf", "Melting_Curves/meltCurve_P09104_ENO2.pdf")</f>
        <v>Melting_Curves/meltCurve_P09104_ENO2.pdf</v>
      </c>
    </row>
    <row r="2115" spans="1:28" x14ac:dyDescent="0.25">
      <c r="A2115" t="s">
        <v>2119</v>
      </c>
      <c r="B2115">
        <v>0.99472303558308395</v>
      </c>
      <c r="C2115">
        <v>0.95692889103190404</v>
      </c>
      <c r="D2115">
        <v>0.98493215773868303</v>
      </c>
      <c r="E2115">
        <v>0.91610226769348801</v>
      </c>
      <c r="F2115">
        <v>0.71720527555942704</v>
      </c>
      <c r="G2115">
        <v>0.59181747843650601</v>
      </c>
      <c r="H2115">
        <v>0.388289304049037</v>
      </c>
      <c r="I2115">
        <v>0.39403441775754799</v>
      </c>
      <c r="J2115">
        <v>0.33301579157260802</v>
      </c>
      <c r="K2115">
        <v>0.19453288625555101</v>
      </c>
      <c r="L2115">
        <v>654.09154063533799</v>
      </c>
      <c r="M2115">
        <v>12.246540799480901</v>
      </c>
      <c r="N2115">
        <v>55.640161782964</v>
      </c>
      <c r="O2115">
        <v>52.046062658397403</v>
      </c>
      <c r="P2115">
        <v>-4.7427984634334702E-2</v>
      </c>
      <c r="Q2115">
        <v>0.19393063451659601</v>
      </c>
      <c r="R2115">
        <v>0.982457201788146</v>
      </c>
      <c r="S2115" t="s">
        <v>8683</v>
      </c>
      <c r="T2115" t="s">
        <v>13134</v>
      </c>
      <c r="U2115" t="s">
        <v>13134</v>
      </c>
      <c r="V2115" t="s">
        <v>13134</v>
      </c>
      <c r="W2115" t="s">
        <v>15208</v>
      </c>
      <c r="X2115">
        <v>5</v>
      </c>
      <c r="Y2115" t="s">
        <v>21673</v>
      </c>
      <c r="Z2115" t="s">
        <v>28083</v>
      </c>
      <c r="AA2115">
        <v>0.65072030099490585</v>
      </c>
      <c r="AB2115" t="str">
        <f>HYPERLINK("Melting_Curves/meltCurve_P09105_HBQ1.pdf", "Melting_Curves/meltCurve_P09105_HBQ1.pdf")</f>
        <v>Melting_Curves/meltCurve_P09105_HBQ1.pdf</v>
      </c>
    </row>
    <row r="2116" spans="1:28" x14ac:dyDescent="0.25">
      <c r="A2116" t="s">
        <v>2120</v>
      </c>
      <c r="B2116">
        <v>0.99472303558308395</v>
      </c>
      <c r="C2116">
        <v>1.0259850745655501</v>
      </c>
      <c r="D2116">
        <v>0.967376841736037</v>
      </c>
      <c r="E2116">
        <v>0.91917961248749702</v>
      </c>
      <c r="F2116">
        <v>0.668378304561421</v>
      </c>
      <c r="G2116">
        <v>0.51631574545081904</v>
      </c>
      <c r="H2116">
        <v>0.30278489017372001</v>
      </c>
      <c r="I2116">
        <v>0.21982400229774199</v>
      </c>
      <c r="J2116">
        <v>7.8184530483071904E-2</v>
      </c>
      <c r="K2116">
        <v>8.5697188097531199E-2</v>
      </c>
      <c r="L2116">
        <v>702.38314709365397</v>
      </c>
      <c r="M2116">
        <v>13.0782339709226</v>
      </c>
      <c r="N2116">
        <v>53.790674382201203</v>
      </c>
      <c r="O2116">
        <v>52.497134379808301</v>
      </c>
      <c r="P2116">
        <v>-6.1658755469158499E-2</v>
      </c>
      <c r="Q2116">
        <v>1.01570534717893E-2</v>
      </c>
      <c r="R2116">
        <v>0.99378933484462095</v>
      </c>
      <c r="S2116" t="s">
        <v>8684</v>
      </c>
      <c r="T2116" t="s">
        <v>13134</v>
      </c>
      <c r="U2116" t="s">
        <v>13134</v>
      </c>
      <c r="V2116" t="s">
        <v>13134</v>
      </c>
      <c r="W2116" t="s">
        <v>15209</v>
      </c>
      <c r="X2116">
        <v>17</v>
      </c>
      <c r="Y2116" t="s">
        <v>21674</v>
      </c>
      <c r="Z2116" t="s">
        <v>28084</v>
      </c>
      <c r="AA2116">
        <v>0.57946728543563453</v>
      </c>
      <c r="AB2116" t="str">
        <f>HYPERLINK("Melting_Curves/meltCurve_P09110_ACAA1.pdf", "Melting_Curves/meltCurve_P09110_ACAA1.pdf")</f>
        <v>Melting_Curves/meltCurve_P09110_ACAA1.pdf</v>
      </c>
    </row>
    <row r="2117" spans="1:28" x14ac:dyDescent="0.25">
      <c r="A2117" t="s">
        <v>2121</v>
      </c>
      <c r="B2117">
        <v>0.99472303558308395</v>
      </c>
      <c r="C2117">
        <v>0.99388540186475705</v>
      </c>
      <c r="D2117">
        <v>0.77274970482349503</v>
      </c>
      <c r="E2117">
        <v>0.64339812876007396</v>
      </c>
      <c r="F2117">
        <v>0.393463799548465</v>
      </c>
      <c r="G2117">
        <v>0.21389924482380199</v>
      </c>
      <c r="H2117">
        <v>7.8597078193576003E-2</v>
      </c>
      <c r="I2117">
        <v>3.7773382885244899E-2</v>
      </c>
      <c r="J2117">
        <v>3.1556613220854297E-2</v>
      </c>
      <c r="K2117">
        <v>5.2950115428673103E-2</v>
      </c>
      <c r="L2117">
        <v>643.82894349272306</v>
      </c>
      <c r="M2117">
        <v>13.318435120947001</v>
      </c>
      <c r="N2117">
        <v>48.341185616403799</v>
      </c>
      <c r="O2117">
        <v>47.290338573480199</v>
      </c>
      <c r="P2117">
        <v>-7.0419105776438604E-2</v>
      </c>
      <c r="Q2117">
        <v>0</v>
      </c>
      <c r="R2117">
        <v>0.99292026040748804</v>
      </c>
      <c r="S2117" t="s">
        <v>8685</v>
      </c>
      <c r="T2117" t="s">
        <v>13134</v>
      </c>
      <c r="U2117" t="s">
        <v>13134</v>
      </c>
      <c r="V2117" t="s">
        <v>13134</v>
      </c>
      <c r="W2117" t="s">
        <v>15210</v>
      </c>
      <c r="X2117">
        <v>9</v>
      </c>
      <c r="Y2117" t="s">
        <v>21675</v>
      </c>
      <c r="Z2117" t="s">
        <v>28085</v>
      </c>
      <c r="AA2117">
        <v>0.40443490450318792</v>
      </c>
      <c r="AB2117" t="str">
        <f>HYPERLINK("Melting_Curves/meltCurve_P09132_SRP19.pdf", "Melting_Curves/meltCurve_P09132_SRP19.pdf")</f>
        <v>Melting_Curves/meltCurve_P09132_SRP19.pdf</v>
      </c>
    </row>
    <row r="2118" spans="1:28" x14ac:dyDescent="0.25">
      <c r="A2118" t="s">
        <v>2122</v>
      </c>
      <c r="B2118">
        <v>0.99472303558308395</v>
      </c>
      <c r="C2118">
        <v>0.89271671262798602</v>
      </c>
      <c r="D2118">
        <v>1.04768954125759</v>
      </c>
      <c r="E2118">
        <v>1.03522345451286</v>
      </c>
      <c r="F2118">
        <v>0.80125177381152501</v>
      </c>
      <c r="G2118">
        <v>0.49027606225828602</v>
      </c>
      <c r="H2118">
        <v>8.4577109620167096E-2</v>
      </c>
      <c r="I2118">
        <v>4.7440673471456599E-2</v>
      </c>
      <c r="J2118">
        <v>3.7664865736776298E-2</v>
      </c>
      <c r="K2118">
        <v>3.26945132623149E-2</v>
      </c>
      <c r="L2118">
        <v>1484.0818356126099</v>
      </c>
      <c r="M2118">
        <v>27.8363637771931</v>
      </c>
      <c r="N2118">
        <v>53.378899712586701</v>
      </c>
      <c r="O2118">
        <v>53.041625156914499</v>
      </c>
      <c r="P2118">
        <v>-0.12903519922885201</v>
      </c>
      <c r="Q2118">
        <v>1.6512835885933001E-2</v>
      </c>
      <c r="R2118">
        <v>0.98710447668129897</v>
      </c>
      <c r="S2118" t="s">
        <v>8686</v>
      </c>
      <c r="T2118" t="s">
        <v>13134</v>
      </c>
      <c r="U2118" t="s">
        <v>13134</v>
      </c>
      <c r="V2118" t="s">
        <v>13134</v>
      </c>
      <c r="W2118" t="s">
        <v>15211</v>
      </c>
      <c r="X2118">
        <v>16</v>
      </c>
      <c r="Y2118" t="s">
        <v>21676</v>
      </c>
      <c r="Z2118" t="s">
        <v>28086</v>
      </c>
      <c r="AA2118">
        <v>0.55853714807264865</v>
      </c>
      <c r="AB2118" t="str">
        <f>HYPERLINK("Melting_Curves/meltCurve_P09211_GSTP1.pdf", "Melting_Curves/meltCurve_P09211_GSTP1.pdf")</f>
        <v>Melting_Curves/meltCurve_P09211_GSTP1.pdf</v>
      </c>
    </row>
    <row r="2119" spans="1:28" x14ac:dyDescent="0.25">
      <c r="A2119" t="s">
        <v>2123</v>
      </c>
      <c r="B2119">
        <v>0.99472303558308395</v>
      </c>
      <c r="C2119">
        <v>0.94336496449996698</v>
      </c>
      <c r="D2119">
        <v>0.85228985130208701</v>
      </c>
      <c r="E2119">
        <v>0.74345927967467096</v>
      </c>
      <c r="F2119">
        <v>0.58132877199120303</v>
      </c>
      <c r="G2119">
        <v>0.51614525701712599</v>
      </c>
      <c r="H2119">
        <v>0.50440936457056296</v>
      </c>
      <c r="I2119">
        <v>0.52738901832455898</v>
      </c>
      <c r="J2119">
        <v>0.74979225587564702</v>
      </c>
      <c r="K2119">
        <v>0.43135701410810801</v>
      </c>
      <c r="L2119">
        <v>828.20534754204596</v>
      </c>
      <c r="M2119">
        <v>18.359672841623599</v>
      </c>
      <c r="O2119">
        <v>44.585071937117299</v>
      </c>
      <c r="P2119">
        <v>-4.7443121643533398E-2</v>
      </c>
      <c r="Q2119">
        <v>0.53917295190381698</v>
      </c>
      <c r="R2119">
        <v>0.827063343301919</v>
      </c>
      <c r="S2119" t="s">
        <v>8687</v>
      </c>
      <c r="T2119" t="s">
        <v>13134</v>
      </c>
      <c r="U2119" t="s">
        <v>13134</v>
      </c>
      <c r="V2119" t="s">
        <v>13134</v>
      </c>
      <c r="W2119" t="s">
        <v>15212</v>
      </c>
      <c r="X2119">
        <v>5</v>
      </c>
      <c r="Y2119" t="s">
        <v>21677</v>
      </c>
      <c r="Z2119" t="s">
        <v>28087</v>
      </c>
      <c r="AA2119">
        <v>0.67098367931009406</v>
      </c>
      <c r="AB2119" t="str">
        <f>HYPERLINK("Melting_Curves/meltCurve_P09234_SNRPC.pdf", "Melting_Curves/meltCurve_P09234_SNRPC.pdf")</f>
        <v>Melting_Curves/meltCurve_P09234_SNRPC.pdf</v>
      </c>
    </row>
    <row r="2120" spans="1:28" x14ac:dyDescent="0.25">
      <c r="A2120" t="s">
        <v>2124</v>
      </c>
      <c r="B2120">
        <v>0.99472303558308395</v>
      </c>
      <c r="C2120">
        <v>0.94671979134359197</v>
      </c>
      <c r="D2120">
        <v>0.99984524705594602</v>
      </c>
      <c r="E2120">
        <v>0.94799170422681001</v>
      </c>
      <c r="F2120">
        <v>0.68170282018033401</v>
      </c>
      <c r="G2120">
        <v>0.61932339720158502</v>
      </c>
      <c r="H2120">
        <v>0.34363277662582498</v>
      </c>
      <c r="I2120">
        <v>0.15249731511897399</v>
      </c>
      <c r="J2120">
        <v>0.12844886408320999</v>
      </c>
      <c r="K2120">
        <v>0.10462994402466</v>
      </c>
      <c r="L2120">
        <v>734.28153533639295</v>
      </c>
      <c r="M2120">
        <v>13.459834783437801</v>
      </c>
      <c r="N2120">
        <v>54.613844505197498</v>
      </c>
      <c r="O2120">
        <v>53.3915676949389</v>
      </c>
      <c r="P2120">
        <v>-6.2568876271277205E-2</v>
      </c>
      <c r="Q2120">
        <v>7.3771079279525498E-3</v>
      </c>
      <c r="R2120">
        <v>0.98559496122184798</v>
      </c>
      <c r="S2120" t="s">
        <v>8688</v>
      </c>
      <c r="T2120" t="s">
        <v>13134</v>
      </c>
      <c r="U2120" t="s">
        <v>13134</v>
      </c>
      <c r="V2120" t="s">
        <v>13134</v>
      </c>
      <c r="W2120" t="s">
        <v>15213</v>
      </c>
      <c r="X2120">
        <v>13</v>
      </c>
      <c r="Y2120" t="s">
        <v>21678</v>
      </c>
      <c r="Z2120" t="s">
        <v>28088</v>
      </c>
      <c r="AA2120">
        <v>0.6038394083543428</v>
      </c>
      <c r="AB2120" t="str">
        <f>HYPERLINK("Melting_Curves/meltCurve_P09382_LGALS1.pdf", "Melting_Curves/meltCurve_P09382_LGALS1.pdf")</f>
        <v>Melting_Curves/meltCurve_P09382_LGALS1.pdf</v>
      </c>
    </row>
    <row r="2121" spans="1:28" x14ac:dyDescent="0.25">
      <c r="A2121" t="s">
        <v>2125</v>
      </c>
      <c r="B2121">
        <v>0.99472303558308395</v>
      </c>
      <c r="C2121">
        <v>0.97073204922873302</v>
      </c>
      <c r="D2121">
        <v>1.0102236275316101</v>
      </c>
      <c r="E2121">
        <v>1.0124848457901501</v>
      </c>
      <c r="F2121">
        <v>0.83911776981036601</v>
      </c>
      <c r="G2121">
        <v>0.74587677181918999</v>
      </c>
      <c r="H2121">
        <v>0.52383430321623004</v>
      </c>
      <c r="I2121">
        <v>0.41719563871825699</v>
      </c>
      <c r="J2121">
        <v>8.1199712558845699E-2</v>
      </c>
      <c r="K2121">
        <v>0.10246534349651699</v>
      </c>
      <c r="L2121">
        <v>855.22163048028699</v>
      </c>
      <c r="M2121">
        <v>14.8055675100941</v>
      </c>
      <c r="N2121">
        <v>57.763515683661602</v>
      </c>
      <c r="O2121">
        <v>56.740434480222703</v>
      </c>
      <c r="P2121">
        <v>-6.5240695957146697E-2</v>
      </c>
      <c r="Q2121">
        <v>0</v>
      </c>
      <c r="R2121">
        <v>0.97603377020208604</v>
      </c>
      <c r="S2121" t="s">
        <v>8689</v>
      </c>
      <c r="T2121" t="s">
        <v>13134</v>
      </c>
      <c r="U2121" t="s">
        <v>13134</v>
      </c>
      <c r="V2121" t="s">
        <v>13134</v>
      </c>
      <c r="W2121" t="s">
        <v>15214</v>
      </c>
      <c r="X2121">
        <v>11</v>
      </c>
      <c r="Y2121" t="s">
        <v>21679</v>
      </c>
      <c r="Z2121" t="s">
        <v>28089</v>
      </c>
      <c r="AA2121">
        <v>0.69709810025514518</v>
      </c>
      <c r="AB2121" t="str">
        <f>HYPERLINK("Melting_Curves/meltCurve_P09417_QDPR.pdf", "Melting_Curves/meltCurve_P09417_QDPR.pdf")</f>
        <v>Melting_Curves/meltCurve_P09417_QDPR.pdf</v>
      </c>
    </row>
    <row r="2122" spans="1:28" x14ac:dyDescent="0.25">
      <c r="A2122" t="s">
        <v>2126</v>
      </c>
      <c r="B2122">
        <v>0.99472303558308395</v>
      </c>
      <c r="C2122">
        <v>0.89453112023566905</v>
      </c>
      <c r="D2122">
        <v>1.0504130201404001</v>
      </c>
      <c r="E2122">
        <v>0.90831376503934103</v>
      </c>
      <c r="F2122">
        <v>0.460248867514302</v>
      </c>
      <c r="G2122">
        <v>0.39569500240961503</v>
      </c>
      <c r="H2122">
        <v>0.31805541013584399</v>
      </c>
      <c r="I2122">
        <v>0.321725155197924</v>
      </c>
      <c r="J2122">
        <v>0.426050959909889</v>
      </c>
      <c r="K2122">
        <v>0.26168170459023199</v>
      </c>
      <c r="L2122">
        <v>2126.3167787279199</v>
      </c>
      <c r="M2122">
        <v>43.817489204784202</v>
      </c>
      <c r="N2122">
        <v>49.835087991063901</v>
      </c>
      <c r="O2122">
        <v>48.425919515688598</v>
      </c>
      <c r="P2122">
        <v>-0.14890259756853999</v>
      </c>
      <c r="Q2122">
        <v>0.34174824100284501</v>
      </c>
      <c r="R2122">
        <v>0.96622827407994805</v>
      </c>
      <c r="S2122" t="s">
        <v>8690</v>
      </c>
      <c r="T2122" t="s">
        <v>13134</v>
      </c>
      <c r="U2122" t="s">
        <v>13134</v>
      </c>
      <c r="V2122" t="s">
        <v>13134</v>
      </c>
      <c r="W2122" t="s">
        <v>15215</v>
      </c>
      <c r="X2122">
        <v>18</v>
      </c>
      <c r="Y2122" t="s">
        <v>21680</v>
      </c>
      <c r="Z2122" t="s">
        <v>28090</v>
      </c>
      <c r="AA2122">
        <v>0.59650078503163995</v>
      </c>
      <c r="AB2122" t="str">
        <f>HYPERLINK("Melting_Curves/meltCurve_P09429_HMGB1.pdf", "Melting_Curves/meltCurve_P09429_HMGB1.pdf")</f>
        <v>Melting_Curves/meltCurve_P09429_HMGB1.pdf</v>
      </c>
    </row>
    <row r="2123" spans="1:28" x14ac:dyDescent="0.25">
      <c r="A2123" t="s">
        <v>2127</v>
      </c>
      <c r="B2123">
        <v>0.99472303558308395</v>
      </c>
      <c r="C2123">
        <v>0.95758190548803901</v>
      </c>
      <c r="D2123">
        <v>0.86948451683500805</v>
      </c>
      <c r="E2123">
        <v>0.79121804104885296</v>
      </c>
      <c r="F2123">
        <v>1.35931633837802</v>
      </c>
      <c r="G2123">
        <v>1.2603533680952801</v>
      </c>
      <c r="H2123">
        <v>1.21457029709954</v>
      </c>
      <c r="I2123">
        <v>1.3656639818782701</v>
      </c>
      <c r="J2123">
        <v>2.0854000154782302</v>
      </c>
      <c r="K2123">
        <v>1.6633743315509899</v>
      </c>
      <c r="L2123">
        <v>1070.23168820361</v>
      </c>
      <c r="M2123">
        <v>20.3590932150864</v>
      </c>
      <c r="O2123">
        <v>52.068459133978898</v>
      </c>
      <c r="P2123">
        <v>4.8877261915703497E-2</v>
      </c>
      <c r="Q2123">
        <v>1.5</v>
      </c>
      <c r="R2123">
        <v>0.59197051757919295</v>
      </c>
      <c r="S2123" t="s">
        <v>8691</v>
      </c>
      <c r="T2123" t="s">
        <v>13134</v>
      </c>
      <c r="U2123" t="s">
        <v>13134</v>
      </c>
      <c r="V2123" t="s">
        <v>13134</v>
      </c>
      <c r="W2123" t="s">
        <v>15216</v>
      </c>
      <c r="X2123">
        <v>16</v>
      </c>
      <c r="Y2123" t="s">
        <v>21681</v>
      </c>
      <c r="Z2123" t="s">
        <v>28091</v>
      </c>
      <c r="AA2123">
        <v>1.2343298372319851</v>
      </c>
      <c r="AB2123" t="str">
        <f>HYPERLINK("Melting_Curves/meltCurve_P09496_2_CLTA.pdf", "Melting_Curves/meltCurve_P09496_2_CLTA.pdf")</f>
        <v>Melting_Curves/meltCurve_P09496_2_CLTA.pdf</v>
      </c>
    </row>
    <row r="2124" spans="1:28" x14ac:dyDescent="0.25">
      <c r="A2124" t="s">
        <v>2128</v>
      </c>
      <c r="B2124">
        <v>0.99472303558308395</v>
      </c>
      <c r="C2124">
        <v>1.1336345388715501</v>
      </c>
      <c r="D2124">
        <v>0.91661125029299395</v>
      </c>
      <c r="E2124">
        <v>0.90281381523973303</v>
      </c>
      <c r="F2124">
        <v>1.6739261652950399</v>
      </c>
      <c r="G2124">
        <v>1.6497749063296201</v>
      </c>
      <c r="H2124">
        <v>1.6398554979523701</v>
      </c>
      <c r="I2124">
        <v>1.9842864431938101</v>
      </c>
      <c r="J2124">
        <v>2.7937839467019501</v>
      </c>
      <c r="K2124">
        <v>2.1920552950474401</v>
      </c>
      <c r="L2124">
        <v>12070.5330833631</v>
      </c>
      <c r="M2124">
        <v>250</v>
      </c>
      <c r="O2124">
        <v>48.279064043298803</v>
      </c>
      <c r="P2124">
        <v>0.64727878307478004</v>
      </c>
      <c r="Q2124">
        <v>1.5</v>
      </c>
      <c r="R2124">
        <v>0.28096412789548098</v>
      </c>
      <c r="S2124" t="s">
        <v>8692</v>
      </c>
      <c r="T2124" t="s">
        <v>13134</v>
      </c>
      <c r="U2124" t="s">
        <v>13134</v>
      </c>
      <c r="V2124" t="s">
        <v>13134</v>
      </c>
      <c r="W2124" t="s">
        <v>15217</v>
      </c>
      <c r="X2124">
        <v>19</v>
      </c>
      <c r="Y2124" t="s">
        <v>21682</v>
      </c>
      <c r="Z2124" t="s">
        <v>28092</v>
      </c>
      <c r="AA2124">
        <v>1.3119220939137219</v>
      </c>
      <c r="AB2124" t="str">
        <f>HYPERLINK("Melting_Curves/meltCurve_P09497_2_CLTB.pdf", "Melting_Curves/meltCurve_P09497_2_CLTB.pdf")</f>
        <v>Melting_Curves/meltCurve_P09497_2_CLTB.pdf</v>
      </c>
    </row>
    <row r="2125" spans="1:28" x14ac:dyDescent="0.25">
      <c r="A2125" t="s">
        <v>2129</v>
      </c>
      <c r="B2125">
        <v>0.99472303558308395</v>
      </c>
      <c r="C2125">
        <v>0.92009056193585204</v>
      </c>
      <c r="D2125">
        <v>0.97290086725783498</v>
      </c>
      <c r="E2125">
        <v>0.84605618506409996</v>
      </c>
      <c r="F2125">
        <v>0.25246145575884399</v>
      </c>
      <c r="G2125">
        <v>0.111127698384529</v>
      </c>
      <c r="H2125">
        <v>8.4545755689990107E-2</v>
      </c>
      <c r="I2125">
        <v>5.9176335778267503E-2</v>
      </c>
      <c r="J2125">
        <v>6.9034306076680194E-2</v>
      </c>
      <c r="K2125">
        <v>6.8197227192134294E-2</v>
      </c>
      <c r="L2125">
        <v>1927.9013125433</v>
      </c>
      <c r="M2125">
        <v>39.795483461529599</v>
      </c>
      <c r="N2125">
        <v>48.639995564685499</v>
      </c>
      <c r="O2125">
        <v>48.323381615855197</v>
      </c>
      <c r="P2125">
        <v>-0.19071803937994899</v>
      </c>
      <c r="Q2125">
        <v>7.3651568834843598E-2</v>
      </c>
      <c r="R2125">
        <v>0.995443432260675</v>
      </c>
      <c r="S2125" t="s">
        <v>8693</v>
      </c>
      <c r="T2125" t="s">
        <v>13134</v>
      </c>
      <c r="U2125" t="s">
        <v>13134</v>
      </c>
      <c r="V2125" t="s">
        <v>13134</v>
      </c>
      <c r="W2125" t="s">
        <v>15218</v>
      </c>
      <c r="X2125">
        <v>16</v>
      </c>
      <c r="Y2125" t="s">
        <v>21683</v>
      </c>
      <c r="Z2125" t="s">
        <v>28093</v>
      </c>
      <c r="AA2125">
        <v>0.43019459194817161</v>
      </c>
      <c r="AB2125" t="str">
        <f>HYPERLINK("Melting_Curves/meltCurve_P09525_ANXA4.pdf", "Melting_Curves/meltCurve_P09525_ANXA4.pdf")</f>
        <v>Melting_Curves/meltCurve_P09525_ANXA4.pdf</v>
      </c>
    </row>
    <row r="2126" spans="1:28" x14ac:dyDescent="0.25">
      <c r="A2126" t="s">
        <v>2130</v>
      </c>
      <c r="B2126">
        <v>0.99472303558308395</v>
      </c>
      <c r="C2126">
        <v>0.94293866441708896</v>
      </c>
      <c r="D2126">
        <v>1.0078592322416</v>
      </c>
      <c r="E2126">
        <v>0.86466536801659799</v>
      </c>
      <c r="F2126">
        <v>0.45732662971159999</v>
      </c>
      <c r="G2126">
        <v>0.18909937641760899</v>
      </c>
      <c r="H2126">
        <v>8.6864182598592604E-2</v>
      </c>
      <c r="I2126">
        <v>5.8076569745767102E-2</v>
      </c>
      <c r="J2126">
        <v>7.1479207741774894E-2</v>
      </c>
      <c r="K2126">
        <v>4.9625057161550801E-2</v>
      </c>
      <c r="L2126">
        <v>1292.6351518194199</v>
      </c>
      <c r="M2126">
        <v>26.009400497731001</v>
      </c>
      <c r="N2126">
        <v>49.939789640561699</v>
      </c>
      <c r="O2126">
        <v>49.407768539136796</v>
      </c>
      <c r="P2126">
        <v>-0.12384455419994</v>
      </c>
      <c r="Q2126">
        <v>5.8984430583194802E-2</v>
      </c>
      <c r="R2126">
        <v>0.99737933507256604</v>
      </c>
      <c r="S2126" t="s">
        <v>8694</v>
      </c>
      <c r="T2126" t="s">
        <v>13134</v>
      </c>
      <c r="U2126" t="s">
        <v>13134</v>
      </c>
      <c r="V2126" t="s">
        <v>13134</v>
      </c>
      <c r="W2126" t="s">
        <v>15219</v>
      </c>
      <c r="X2126">
        <v>25</v>
      </c>
      <c r="Y2126" t="s">
        <v>21684</v>
      </c>
      <c r="Z2126" t="s">
        <v>28094</v>
      </c>
      <c r="AA2126">
        <v>0.46490888164040239</v>
      </c>
      <c r="AB2126" t="str">
        <f>HYPERLINK("Melting_Curves/meltCurve_P09543_2_CNP.pdf", "Melting_Curves/meltCurve_P09543_2_CNP.pdf")</f>
        <v>Melting_Curves/meltCurve_P09543_2_CNP.pdf</v>
      </c>
    </row>
    <row r="2127" spans="1:28" x14ac:dyDescent="0.25">
      <c r="A2127" t="s">
        <v>2131</v>
      </c>
      <c r="B2127">
        <v>0.99472303558308395</v>
      </c>
      <c r="C2127">
        <v>0.96992886428389802</v>
      </c>
      <c r="D2127">
        <v>1.12376884324852</v>
      </c>
      <c r="E2127">
        <v>0.91135622119945803</v>
      </c>
      <c r="F2127">
        <v>0.621861716476377</v>
      </c>
      <c r="G2127">
        <v>0.56858122807578004</v>
      </c>
      <c r="H2127">
        <v>0.22955272348119099</v>
      </c>
      <c r="I2127">
        <v>0.42949663469719102</v>
      </c>
      <c r="J2127">
        <v>0.41435548620636298</v>
      </c>
      <c r="K2127">
        <v>0.36380974752210699</v>
      </c>
      <c r="L2127">
        <v>1287.1123618086399</v>
      </c>
      <c r="M2127">
        <v>25.790996274310501</v>
      </c>
      <c r="N2127">
        <v>52.695855864492003</v>
      </c>
      <c r="O2127">
        <v>49.608361335541296</v>
      </c>
      <c r="P2127">
        <v>-8.1572318786985204E-2</v>
      </c>
      <c r="Q2127">
        <v>0.37239787967357701</v>
      </c>
      <c r="R2127">
        <v>0.92738081803790096</v>
      </c>
      <c r="S2127" t="s">
        <v>8695</v>
      </c>
      <c r="T2127" t="s">
        <v>13134</v>
      </c>
      <c r="U2127" t="s">
        <v>13134</v>
      </c>
      <c r="V2127" t="s">
        <v>13134</v>
      </c>
      <c r="W2127" t="s">
        <v>15220</v>
      </c>
      <c r="X2127">
        <v>29</v>
      </c>
      <c r="Y2127" t="s">
        <v>21685</v>
      </c>
      <c r="Z2127" t="s">
        <v>28095</v>
      </c>
      <c r="AA2127">
        <v>0.64754689985295111</v>
      </c>
      <c r="AB2127" t="str">
        <f>HYPERLINK("Melting_Curves/meltCurve_P09622_DLD.pdf", "Melting_Curves/meltCurve_P09622_DLD.pdf")</f>
        <v>Melting_Curves/meltCurve_P09622_DLD.pdf</v>
      </c>
    </row>
    <row r="2128" spans="1:28" x14ac:dyDescent="0.25">
      <c r="A2128" t="s">
        <v>2132</v>
      </c>
      <c r="B2128">
        <v>0.99472303558308395</v>
      </c>
      <c r="C2128">
        <v>0.94482420014361701</v>
      </c>
      <c r="D2128">
        <v>0.773019452696315</v>
      </c>
      <c r="E2128">
        <v>0.69193252104583203</v>
      </c>
      <c r="F2128">
        <v>0.67314565698676498</v>
      </c>
      <c r="G2128">
        <v>0.35188011641175798</v>
      </c>
      <c r="H2128">
        <v>0.117983881943583</v>
      </c>
      <c r="I2128">
        <v>4.7595955507766102E-2</v>
      </c>
      <c r="J2128">
        <v>4.4410080420829903E-2</v>
      </c>
      <c r="K2128">
        <v>4.5335074435517903E-2</v>
      </c>
      <c r="L2128">
        <v>612.58235508558403</v>
      </c>
      <c r="M2128">
        <v>12.0994426694194</v>
      </c>
      <c r="N2128">
        <v>50.628974942078997</v>
      </c>
      <c r="O2128">
        <v>49.3055010351353</v>
      </c>
      <c r="P2128">
        <v>-6.1363679657891197E-2</v>
      </c>
      <c r="Q2128">
        <v>0</v>
      </c>
      <c r="R2128">
        <v>0.96272311753858697</v>
      </c>
      <c r="S2128" t="s">
        <v>8696</v>
      </c>
      <c r="T2128" t="s">
        <v>13134</v>
      </c>
      <c r="U2128" t="s">
        <v>13134</v>
      </c>
      <c r="V2128" t="s">
        <v>13134</v>
      </c>
      <c r="W2128" t="s">
        <v>15221</v>
      </c>
      <c r="X2128">
        <v>18</v>
      </c>
      <c r="Y2128" t="s">
        <v>21686</v>
      </c>
      <c r="Z2128" t="s">
        <v>28096</v>
      </c>
      <c r="AA2128">
        <v>0.48085673185712691</v>
      </c>
      <c r="AB2128" t="str">
        <f>HYPERLINK("Melting_Curves/meltCurve_P09661_SNRPA1.pdf", "Melting_Curves/meltCurve_P09661_SNRPA1.pdf")</f>
        <v>Melting_Curves/meltCurve_P09661_SNRPA1.pdf</v>
      </c>
    </row>
    <row r="2129" spans="1:28" x14ac:dyDescent="0.25">
      <c r="A2129" t="s">
        <v>2133</v>
      </c>
      <c r="B2129">
        <v>0.99472303558308395</v>
      </c>
      <c r="C2129">
        <v>0.91074232711415903</v>
      </c>
      <c r="D2129">
        <v>0.94936718045810797</v>
      </c>
      <c r="E2129">
        <v>0.94421814589104003</v>
      </c>
      <c r="F2129">
        <v>0.60935046367621004</v>
      </c>
      <c r="G2129">
        <v>0.53156241946348504</v>
      </c>
      <c r="H2129">
        <v>0.35274318824324902</v>
      </c>
      <c r="I2129">
        <v>0.16996288312952401</v>
      </c>
      <c r="J2129">
        <v>0.18138555799634001</v>
      </c>
      <c r="K2129">
        <v>0.18239215475935699</v>
      </c>
      <c r="L2129">
        <v>711.59114771561701</v>
      </c>
      <c r="M2129">
        <v>13.5393190153278</v>
      </c>
      <c r="N2129">
        <v>53.550024121559602</v>
      </c>
      <c r="O2129">
        <v>51.450583272837001</v>
      </c>
      <c r="P2129">
        <v>-5.8495712949381502E-2</v>
      </c>
      <c r="Q2129">
        <v>0.110978982552192</v>
      </c>
      <c r="R2129">
        <v>0.97621024644282095</v>
      </c>
      <c r="S2129" t="s">
        <v>8697</v>
      </c>
      <c r="T2129" t="s">
        <v>13134</v>
      </c>
      <c r="U2129" t="s">
        <v>13134</v>
      </c>
      <c r="V2129" t="s">
        <v>13134</v>
      </c>
      <c r="W2129" t="s">
        <v>15222</v>
      </c>
      <c r="X2129">
        <v>7</v>
      </c>
      <c r="Y2129" t="s">
        <v>21687</v>
      </c>
      <c r="Z2129" t="s">
        <v>28097</v>
      </c>
      <c r="AA2129">
        <v>0.59011296145034342</v>
      </c>
      <c r="AB2129" t="str">
        <f>HYPERLINK("Melting_Curves/meltCurve_P09668_CTSH.pdf", "Melting_Curves/meltCurve_P09668_CTSH.pdf")</f>
        <v>Melting_Curves/meltCurve_P09668_CTSH.pdf</v>
      </c>
    </row>
    <row r="2130" spans="1:28" x14ac:dyDescent="0.25">
      <c r="A2130" t="s">
        <v>2134</v>
      </c>
      <c r="B2130">
        <v>0.99472303558308395</v>
      </c>
      <c r="C2130">
        <v>0.91466872116507902</v>
      </c>
      <c r="D2130">
        <v>0.80489220089346403</v>
      </c>
      <c r="E2130">
        <v>0.67451953264591602</v>
      </c>
      <c r="F2130">
        <v>0.53727562257316497</v>
      </c>
      <c r="G2130">
        <v>0.32988428370308298</v>
      </c>
      <c r="H2130">
        <v>0.18380815922531499</v>
      </c>
      <c r="I2130">
        <v>0.19874015494372901</v>
      </c>
      <c r="J2130">
        <v>0.18371865467419099</v>
      </c>
      <c r="K2130">
        <v>0.215698260459082</v>
      </c>
      <c r="L2130">
        <v>562.36425947291502</v>
      </c>
      <c r="M2130">
        <v>11.6035636274352</v>
      </c>
      <c r="N2130">
        <v>49.798902654861401</v>
      </c>
      <c r="O2130">
        <v>47.092459748158603</v>
      </c>
      <c r="P2130">
        <v>-5.3385374957042202E-2</v>
      </c>
      <c r="Q2130">
        <v>0.13359112944971999</v>
      </c>
      <c r="R2130">
        <v>0.98640014467973602</v>
      </c>
      <c r="S2130" t="s">
        <v>8698</v>
      </c>
      <c r="T2130" t="s">
        <v>13134</v>
      </c>
      <c r="U2130" t="s">
        <v>13134</v>
      </c>
      <c r="V2130" t="s">
        <v>13134</v>
      </c>
      <c r="W2130" t="s">
        <v>15223</v>
      </c>
      <c r="X2130">
        <v>7</v>
      </c>
      <c r="Y2130" t="s">
        <v>21688</v>
      </c>
      <c r="Z2130" t="s">
        <v>28098</v>
      </c>
      <c r="AA2130">
        <v>0.49245199134970741</v>
      </c>
      <c r="AB2130" t="str">
        <f>HYPERLINK("Melting_Curves/meltCurve_P09669_COX6C.pdf", "Melting_Curves/meltCurve_P09669_COX6C.pdf")</f>
        <v>Melting_Curves/meltCurve_P09669_COX6C.pdf</v>
      </c>
    </row>
    <row r="2131" spans="1:28" x14ac:dyDescent="0.25">
      <c r="A2131" t="s">
        <v>2135</v>
      </c>
      <c r="B2131">
        <v>0.99472303558308395</v>
      </c>
      <c r="C2131">
        <v>0.90740413980902601</v>
      </c>
      <c r="D2131">
        <v>0.96429280981225096</v>
      </c>
      <c r="E2131">
        <v>0.69829908613893299</v>
      </c>
      <c r="F2131">
        <v>0.10783295312768899</v>
      </c>
      <c r="G2131">
        <v>6.3979299497841396E-2</v>
      </c>
      <c r="H2131">
        <v>3.8861189155873499E-2</v>
      </c>
      <c r="I2131">
        <v>2.8211604687862001E-2</v>
      </c>
      <c r="J2131">
        <v>3.3044751926944699E-2</v>
      </c>
      <c r="K2131">
        <v>2.7121498768590199E-2</v>
      </c>
      <c r="L2131">
        <v>2056.7847548392001</v>
      </c>
      <c r="M2131">
        <v>43.368053360213104</v>
      </c>
      <c r="N2131">
        <v>47.507243976377197</v>
      </c>
      <c r="O2131">
        <v>47.3257601289978</v>
      </c>
      <c r="P2131">
        <v>-0.220931266720655</v>
      </c>
      <c r="Q2131">
        <v>3.5628981959776797E-2</v>
      </c>
      <c r="R2131">
        <v>0.99436379519844098</v>
      </c>
      <c r="S2131" t="s">
        <v>8699</v>
      </c>
      <c r="T2131" t="s">
        <v>13134</v>
      </c>
      <c r="U2131" t="s">
        <v>13134</v>
      </c>
      <c r="V2131" t="s">
        <v>13134</v>
      </c>
      <c r="W2131" t="s">
        <v>15224</v>
      </c>
      <c r="X2131">
        <v>66</v>
      </c>
      <c r="Y2131" t="s">
        <v>21689</v>
      </c>
      <c r="Z2131" t="s">
        <v>28099</v>
      </c>
      <c r="AA2131">
        <v>0.37347507890268172</v>
      </c>
      <c r="AB2131" t="str">
        <f>HYPERLINK("Melting_Curves/meltCurve_P09874_PARP1.pdf", "Melting_Curves/meltCurve_P09874_PARP1.pdf")</f>
        <v>Melting_Curves/meltCurve_P09874_PARP1.pdf</v>
      </c>
    </row>
    <row r="2132" spans="1:28" x14ac:dyDescent="0.25">
      <c r="A2132" t="s">
        <v>2136</v>
      </c>
      <c r="B2132">
        <v>0.99472303558308395</v>
      </c>
      <c r="C2132">
        <v>1.0406009860418499</v>
      </c>
      <c r="D2132">
        <v>0.99300409753585295</v>
      </c>
      <c r="E2132">
        <v>0.97754450129221204</v>
      </c>
      <c r="F2132">
        <v>0.80192225144932106</v>
      </c>
      <c r="G2132">
        <v>0.57428902046637698</v>
      </c>
      <c r="H2132">
        <v>0.16042238487284599</v>
      </c>
      <c r="I2132">
        <v>6.76673884010391E-2</v>
      </c>
      <c r="J2132">
        <v>5.9544657519330697E-2</v>
      </c>
      <c r="K2132">
        <v>5.0739137585186098E-2</v>
      </c>
      <c r="L2132">
        <v>1275.63173765394</v>
      </c>
      <c r="M2132">
        <v>23.684112779767499</v>
      </c>
      <c r="N2132">
        <v>53.971387697376102</v>
      </c>
      <c r="O2132">
        <v>53.480658935622202</v>
      </c>
      <c r="P2132">
        <v>-0.108079764941289</v>
      </c>
      <c r="Q2132">
        <v>2.3804560564810302E-2</v>
      </c>
      <c r="R2132">
        <v>0.99409343108734605</v>
      </c>
      <c r="S2132" t="s">
        <v>8700</v>
      </c>
      <c r="T2132" t="s">
        <v>13134</v>
      </c>
      <c r="U2132" t="s">
        <v>13134</v>
      </c>
      <c r="V2132" t="s">
        <v>13134</v>
      </c>
      <c r="W2132" t="s">
        <v>15225</v>
      </c>
      <c r="X2132">
        <v>29</v>
      </c>
      <c r="Y2132" t="s">
        <v>21690</v>
      </c>
      <c r="Z2132" t="s">
        <v>28100</v>
      </c>
      <c r="AA2132">
        <v>0.58174828596735506</v>
      </c>
      <c r="AB2132" t="str">
        <f>HYPERLINK("Melting_Curves/meltCurve_P09960_LTA4H.pdf", "Melting_Curves/meltCurve_P09960_LTA4H.pdf")</f>
        <v>Melting_Curves/meltCurve_P09960_LTA4H.pdf</v>
      </c>
    </row>
    <row r="2133" spans="1:28" x14ac:dyDescent="0.25">
      <c r="A2133" t="s">
        <v>2137</v>
      </c>
      <c r="B2133">
        <v>0.99472303558308395</v>
      </c>
      <c r="C2133">
        <v>0.95714161622651195</v>
      </c>
      <c r="D2133">
        <v>0.88434922341779998</v>
      </c>
      <c r="E2133">
        <v>0.85352642598528095</v>
      </c>
      <c r="F2133">
        <v>0.85299859413633194</v>
      </c>
      <c r="G2133">
        <v>0.62936528853612494</v>
      </c>
      <c r="H2133">
        <v>0.48262930339315602</v>
      </c>
      <c r="I2133">
        <v>0.35234965058031098</v>
      </c>
      <c r="J2133">
        <v>0.28746980636985697</v>
      </c>
      <c r="K2133">
        <v>0.14196518326250801</v>
      </c>
      <c r="L2133">
        <v>543.29844378031703</v>
      </c>
      <c r="M2133">
        <v>9.5297968756559897</v>
      </c>
      <c r="N2133">
        <v>57.010475942118198</v>
      </c>
      <c r="O2133">
        <v>54.669526942223698</v>
      </c>
      <c r="P2133">
        <v>-4.3604585758610703E-2</v>
      </c>
      <c r="Q2133">
        <v>0</v>
      </c>
      <c r="R2133">
        <v>0.98135926113620098</v>
      </c>
      <c r="S2133" t="s">
        <v>8701</v>
      </c>
      <c r="T2133" t="s">
        <v>13134</v>
      </c>
      <c r="U2133" t="s">
        <v>13134</v>
      </c>
      <c r="V2133" t="s">
        <v>13134</v>
      </c>
      <c r="W2133" t="s">
        <v>15226</v>
      </c>
      <c r="X2133">
        <v>40</v>
      </c>
      <c r="Y2133" t="s">
        <v>21691</v>
      </c>
      <c r="Z2133" t="s">
        <v>28101</v>
      </c>
      <c r="AA2133">
        <v>0.6642329614767557</v>
      </c>
      <c r="AB2133" t="str">
        <f>HYPERLINK("Melting_Curves/meltCurve_P09972_ALDOC.pdf", "Melting_Curves/meltCurve_P09972_ALDOC.pdf")</f>
        <v>Melting_Curves/meltCurve_P09972_ALDOC.pdf</v>
      </c>
    </row>
    <row r="2134" spans="1:28" x14ac:dyDescent="0.25">
      <c r="A2134" t="s">
        <v>2138</v>
      </c>
      <c r="B2134">
        <v>0.99472303558308395</v>
      </c>
      <c r="C2134">
        <v>0.956907079260506</v>
      </c>
      <c r="D2134">
        <v>0.71054985243198998</v>
      </c>
      <c r="E2134">
        <v>0.55225851154497096</v>
      </c>
      <c r="F2134">
        <v>0.19651095609789099</v>
      </c>
      <c r="G2134">
        <v>0.117053559482886</v>
      </c>
      <c r="H2134">
        <v>7.3701414106209701E-2</v>
      </c>
      <c r="I2134">
        <v>2.8507824182388199E-2</v>
      </c>
      <c r="J2134">
        <v>3.8515421328998399E-2</v>
      </c>
      <c r="K2134">
        <v>0</v>
      </c>
      <c r="L2134">
        <v>710.09707953601799</v>
      </c>
      <c r="M2134">
        <v>15.3019192934474</v>
      </c>
      <c r="N2134">
        <v>46.449214600191397</v>
      </c>
      <c r="O2134">
        <v>45.634853339724302</v>
      </c>
      <c r="P2134">
        <v>-8.3239933189760806E-2</v>
      </c>
      <c r="Q2134">
        <v>7.1083166061917304E-3</v>
      </c>
      <c r="R2134">
        <v>0.99132188354997897</v>
      </c>
      <c r="S2134" t="s">
        <v>8702</v>
      </c>
      <c r="T2134" t="s">
        <v>13134</v>
      </c>
      <c r="U2134" t="s">
        <v>13134</v>
      </c>
      <c r="V2134" t="s">
        <v>13134</v>
      </c>
      <c r="W2134" t="s">
        <v>15227</v>
      </c>
      <c r="X2134">
        <v>3</v>
      </c>
      <c r="Y2134" t="s">
        <v>21692</v>
      </c>
      <c r="Z2134" t="s">
        <v>28102</v>
      </c>
      <c r="AA2134">
        <v>0.34024245864030322</v>
      </c>
      <c r="AB2134" t="str">
        <f>HYPERLINK("Melting_Curves/meltCurve_P0C2W1_FBXO45.pdf", "Melting_Curves/meltCurve_P0C2W1_FBXO45.pdf")</f>
        <v>Melting_Curves/meltCurve_P0C2W1_FBXO45.pdf</v>
      </c>
    </row>
    <row r="2135" spans="1:28" x14ac:dyDescent="0.25">
      <c r="A2135" t="s">
        <v>2139</v>
      </c>
      <c r="B2135">
        <v>0.99472303558308395</v>
      </c>
      <c r="C2135">
        <v>1.0815808298428</v>
      </c>
      <c r="D2135">
        <v>1.0576720905000301</v>
      </c>
      <c r="E2135">
        <v>0.83990102687377899</v>
      </c>
      <c r="F2135">
        <v>0.49401927029999099</v>
      </c>
      <c r="G2135">
        <v>0.16220580501516099</v>
      </c>
      <c r="H2135">
        <v>0.12397318805615699</v>
      </c>
      <c r="I2135">
        <v>8.9848563397412901E-2</v>
      </c>
      <c r="J2135">
        <v>9.8674345181152395E-2</v>
      </c>
      <c r="K2135">
        <v>7.6910335696464396E-2</v>
      </c>
      <c r="L2135">
        <v>1364.0007402210199</v>
      </c>
      <c r="M2135">
        <v>27.468976798612999</v>
      </c>
      <c r="N2135">
        <v>50.001896981060099</v>
      </c>
      <c r="O2135">
        <v>49.395111556310802</v>
      </c>
      <c r="P2135">
        <v>-0.12699950975888799</v>
      </c>
      <c r="Q2135">
        <v>8.6519054548293103E-2</v>
      </c>
      <c r="R2135">
        <v>0.99206228428184295</v>
      </c>
      <c r="S2135" t="s">
        <v>8703</v>
      </c>
      <c r="T2135" t="s">
        <v>13134</v>
      </c>
      <c r="U2135" t="s">
        <v>13134</v>
      </c>
      <c r="V2135" t="s">
        <v>13134</v>
      </c>
      <c r="W2135" t="s">
        <v>15228</v>
      </c>
      <c r="X2135">
        <v>2</v>
      </c>
      <c r="Y2135" t="s">
        <v>21693</v>
      </c>
      <c r="Z2135" t="s">
        <v>28103</v>
      </c>
      <c r="AA2135">
        <v>0.47851723949349212</v>
      </c>
      <c r="AB2135" t="str">
        <f>HYPERLINK("Melting_Curves/meltCurve_P0C7P0_CISD3.pdf", "Melting_Curves/meltCurve_P0C7P0_CISD3.pdf")</f>
        <v>Melting_Curves/meltCurve_P0C7P0_CISD3.pdf</v>
      </c>
    </row>
    <row r="2136" spans="1:28" x14ac:dyDescent="0.25">
      <c r="A2136" t="s">
        <v>2140</v>
      </c>
      <c r="B2136">
        <v>0.99472303558308395</v>
      </c>
      <c r="C2136">
        <v>3.2289164695708101</v>
      </c>
      <c r="D2136">
        <v>0.77285013865327801</v>
      </c>
      <c r="E2136">
        <v>1.3278590881985499</v>
      </c>
      <c r="F2136">
        <v>3.7589978329177902</v>
      </c>
      <c r="G2136">
        <v>0.92325050459207003</v>
      </c>
      <c r="H2136">
        <v>0.20021860617791101</v>
      </c>
      <c r="I2136">
        <v>3.9975952197053202E-2</v>
      </c>
      <c r="J2136">
        <v>4.1328232466959498E-2</v>
      </c>
      <c r="K2136">
        <v>0</v>
      </c>
      <c r="L2136">
        <v>3954.5553876374202</v>
      </c>
      <c r="M2136">
        <v>70.459099012937202</v>
      </c>
      <c r="N2136">
        <v>56.169730845657398</v>
      </c>
      <c r="O2136">
        <v>56.080385634812302</v>
      </c>
      <c r="P2136">
        <v>-0.30563103565574501</v>
      </c>
      <c r="Q2136">
        <v>2.6958753933089E-2</v>
      </c>
      <c r="R2136">
        <v>0.20653706497169799</v>
      </c>
      <c r="S2136" t="s">
        <v>8704</v>
      </c>
      <c r="T2136" t="s">
        <v>13134</v>
      </c>
      <c r="U2136" t="s">
        <v>13134</v>
      </c>
      <c r="V2136" t="s">
        <v>13134</v>
      </c>
      <c r="W2136" t="s">
        <v>15229</v>
      </c>
      <c r="X2136">
        <v>11</v>
      </c>
      <c r="Y2136" t="s">
        <v>21694</v>
      </c>
      <c r="Z2136" t="s">
        <v>28104</v>
      </c>
      <c r="AA2136">
        <v>0.64849957210983866</v>
      </c>
      <c r="AB2136" t="str">
        <f>HYPERLINK("Melting_Curves/meltCurve_P0C7P4_UQCRFS1P1.pdf", "Melting_Curves/meltCurve_P0C7P4_UQCRFS1P1.pdf")</f>
        <v>Melting_Curves/meltCurve_P0C7P4_UQCRFS1P1.pdf</v>
      </c>
    </row>
    <row r="2137" spans="1:28" x14ac:dyDescent="0.25">
      <c r="A2137" t="s">
        <v>2141</v>
      </c>
      <c r="B2137">
        <v>0.99472303558308395</v>
      </c>
      <c r="C2137">
        <v>0.80051173303194501</v>
      </c>
      <c r="D2137">
        <v>0.86113655981048098</v>
      </c>
      <c r="E2137">
        <v>0.54845076881792798</v>
      </c>
      <c r="F2137">
        <v>0.275753962721206</v>
      </c>
      <c r="G2137">
        <v>0.136253929838523</v>
      </c>
      <c r="H2137">
        <v>8.0747428525640402E-2</v>
      </c>
      <c r="I2137">
        <v>6.9438062049622495E-2</v>
      </c>
      <c r="J2137">
        <v>0.106436924247167</v>
      </c>
      <c r="K2137">
        <v>7.5163614648778104E-2</v>
      </c>
      <c r="L2137">
        <v>732.62037856456197</v>
      </c>
      <c r="M2137">
        <v>15.7042681148854</v>
      </c>
      <c r="N2137">
        <v>47.002573957019798</v>
      </c>
      <c r="O2137">
        <v>45.914226783392003</v>
      </c>
      <c r="P2137">
        <v>-8.0777542270767E-2</v>
      </c>
      <c r="Q2137">
        <v>5.5409304665863003E-2</v>
      </c>
      <c r="R2137">
        <v>0.97930837193852704</v>
      </c>
      <c r="S2137" t="s">
        <v>8705</v>
      </c>
      <c r="T2137" t="s">
        <v>13134</v>
      </c>
      <c r="U2137" t="s">
        <v>13134</v>
      </c>
      <c r="V2137" t="s">
        <v>13134</v>
      </c>
      <c r="W2137" t="s">
        <v>15230</v>
      </c>
      <c r="X2137">
        <v>3</v>
      </c>
      <c r="Y2137" t="s">
        <v>21695</v>
      </c>
      <c r="Z2137" t="s">
        <v>28105</v>
      </c>
      <c r="AA2137">
        <v>0.37898033969862932</v>
      </c>
      <c r="AB2137" t="str">
        <f>HYPERLINK("Melting_Curves/meltCurve_P0C7T5_ATXN1L.pdf", "Melting_Curves/meltCurve_P0C7T5_ATXN1L.pdf")</f>
        <v>Melting_Curves/meltCurve_P0C7T5_ATXN1L.pdf</v>
      </c>
    </row>
    <row r="2138" spans="1:28" x14ac:dyDescent="0.25">
      <c r="A2138" t="s">
        <v>2142</v>
      </c>
      <c r="B2138">
        <v>0.99472303558308395</v>
      </c>
      <c r="C2138">
        <v>0.91244035390824696</v>
      </c>
      <c r="D2138">
        <v>1.01333239860164</v>
      </c>
      <c r="E2138">
        <v>0.82496680801704803</v>
      </c>
      <c r="F2138">
        <v>0.59833030907459295</v>
      </c>
      <c r="G2138">
        <v>0.522610439600246</v>
      </c>
      <c r="H2138">
        <v>0.42765201052937901</v>
      </c>
      <c r="I2138">
        <v>0.57801920269650997</v>
      </c>
      <c r="J2138">
        <v>0.81119669128490401</v>
      </c>
      <c r="K2138">
        <v>0.61716179603832799</v>
      </c>
      <c r="L2138">
        <v>3723.7948427360702</v>
      </c>
      <c r="M2138">
        <v>79.623464348756301</v>
      </c>
      <c r="O2138">
        <v>46.7380804416442</v>
      </c>
      <c r="P2138">
        <v>-0.17368675211388701</v>
      </c>
      <c r="Q2138">
        <v>0.59219135380655497</v>
      </c>
      <c r="R2138">
        <v>0.77095174272446898</v>
      </c>
      <c r="S2138" t="s">
        <v>8706</v>
      </c>
      <c r="T2138" t="s">
        <v>13134</v>
      </c>
      <c r="U2138" t="s">
        <v>13134</v>
      </c>
      <c r="V2138" t="s">
        <v>13134</v>
      </c>
      <c r="W2138" t="s">
        <v>15231</v>
      </c>
      <c r="X2138">
        <v>10</v>
      </c>
      <c r="Y2138" t="s">
        <v>21696</v>
      </c>
      <c r="Z2138" t="s">
        <v>28106</v>
      </c>
      <c r="AA2138">
        <v>0.72529843390237569</v>
      </c>
      <c r="AB2138" t="str">
        <f>HYPERLINK("Melting_Curves/meltCurve_P0CG12_CHTF8.pdf", "Melting_Curves/meltCurve_P0CG12_CHTF8.pdf")</f>
        <v>Melting_Curves/meltCurve_P0CG12_CHTF8.pdf</v>
      </c>
    </row>
    <row r="2139" spans="1:28" x14ac:dyDescent="0.25">
      <c r="A2139" t="s">
        <v>2143</v>
      </c>
      <c r="B2139">
        <v>0.99472303558308395</v>
      </c>
      <c r="C2139">
        <v>0.77788468253202103</v>
      </c>
      <c r="D2139">
        <v>0.93263186050708702</v>
      </c>
      <c r="E2139">
        <v>0.706916060916155</v>
      </c>
      <c r="F2139">
        <v>0.59088823370888899</v>
      </c>
      <c r="G2139">
        <v>0.33296059187445798</v>
      </c>
      <c r="H2139">
        <v>0.188935008840275</v>
      </c>
      <c r="I2139">
        <v>0.121677887713643</v>
      </c>
      <c r="J2139">
        <v>0.116596727353021</v>
      </c>
      <c r="K2139">
        <v>0.12308090266017099</v>
      </c>
      <c r="L2139">
        <v>536.09870350896801</v>
      </c>
      <c r="M2139">
        <v>10.592552857884799</v>
      </c>
      <c r="N2139">
        <v>50.728132297499599</v>
      </c>
      <c r="O2139">
        <v>48.9069963162273</v>
      </c>
      <c r="P2139">
        <v>-5.3512616707303902E-2</v>
      </c>
      <c r="Q2139">
        <v>1.2090537535424099E-2</v>
      </c>
      <c r="R2139">
        <v>0.96265655190911803</v>
      </c>
      <c r="S2139" t="s">
        <v>8707</v>
      </c>
      <c r="T2139" t="s">
        <v>13134</v>
      </c>
      <c r="U2139" t="s">
        <v>13134</v>
      </c>
      <c r="V2139" t="s">
        <v>13134</v>
      </c>
      <c r="W2139" t="s">
        <v>15232</v>
      </c>
      <c r="X2139">
        <v>10</v>
      </c>
      <c r="Y2139" t="s">
        <v>21697</v>
      </c>
      <c r="Z2139" t="s">
        <v>28107</v>
      </c>
      <c r="AA2139">
        <v>0.49025634264116091</v>
      </c>
      <c r="AB2139" t="str">
        <f>HYPERLINK("Melting_Curves/meltCurve_P0CW22_RPS17L.pdf", "Melting_Curves/meltCurve_P0CW22_RPS17L.pdf")</f>
        <v>Melting_Curves/meltCurve_P0CW22_RPS17L.pdf</v>
      </c>
    </row>
    <row r="2140" spans="1:28" x14ac:dyDescent="0.25">
      <c r="A2140" t="s">
        <v>2144</v>
      </c>
      <c r="B2140">
        <v>0.99472303558308395</v>
      </c>
      <c r="C2140">
        <v>1.0252219144196699</v>
      </c>
      <c r="D2140">
        <v>1.2363468608964501</v>
      </c>
      <c r="E2140">
        <v>0.93031690251549504</v>
      </c>
      <c r="F2140">
        <v>0.50111676316012599</v>
      </c>
      <c r="G2140">
        <v>0.56735275407527097</v>
      </c>
      <c r="H2140">
        <v>0.41728231325171</v>
      </c>
      <c r="I2140">
        <v>0.45859281523939899</v>
      </c>
      <c r="J2140">
        <v>0.66468215772677297</v>
      </c>
      <c r="K2140">
        <v>0.49277156669974398</v>
      </c>
      <c r="L2140">
        <v>11732.963750032101</v>
      </c>
      <c r="M2140">
        <v>250</v>
      </c>
      <c r="O2140">
        <v>46.928840837414597</v>
      </c>
      <c r="P2140">
        <v>-0.64330576278000795</v>
      </c>
      <c r="Q2140">
        <v>0.516966388615969</v>
      </c>
      <c r="R2140">
        <v>0.87566475173457503</v>
      </c>
      <c r="S2140" t="s">
        <v>8708</v>
      </c>
      <c r="T2140" t="s">
        <v>13134</v>
      </c>
      <c r="U2140" t="s">
        <v>13134</v>
      </c>
      <c r="V2140" t="s">
        <v>13134</v>
      </c>
      <c r="W2140" t="s">
        <v>15233</v>
      </c>
      <c r="X2140">
        <v>2</v>
      </c>
      <c r="Y2140" t="s">
        <v>21698</v>
      </c>
      <c r="Z2140" t="s">
        <v>28108</v>
      </c>
      <c r="AA2140">
        <v>0.67692016647092068</v>
      </c>
      <c r="AB2140" t="str">
        <f>HYPERLINK("Melting_Curves/meltCurve_P0DJ93_SMIM13.pdf", "Melting_Curves/meltCurve_P0DJ93_SMIM13.pdf")</f>
        <v>Melting_Curves/meltCurve_P0DJ93_SMIM13.pdf</v>
      </c>
    </row>
    <row r="2141" spans="1:28" x14ac:dyDescent="0.25">
      <c r="A2141" t="s">
        <v>2145</v>
      </c>
      <c r="B2141">
        <v>0.99472303558308395</v>
      </c>
      <c r="C2141">
        <v>0.91027951528235196</v>
      </c>
      <c r="D2141">
        <v>1.0540279792530101</v>
      </c>
      <c r="E2141">
        <v>0.83355727396568202</v>
      </c>
      <c r="F2141">
        <v>0.54698515235919798</v>
      </c>
      <c r="G2141">
        <v>0.48641377138514402</v>
      </c>
      <c r="H2141">
        <v>0.387172776240363</v>
      </c>
      <c r="I2141">
        <v>0.33924758201962502</v>
      </c>
      <c r="J2141">
        <v>0.452106038786871</v>
      </c>
      <c r="K2141">
        <v>0.357701012260563</v>
      </c>
      <c r="L2141">
        <v>1292.1443384721699</v>
      </c>
      <c r="M2141">
        <v>26.669320457818401</v>
      </c>
      <c r="N2141">
        <v>51.382016956880399</v>
      </c>
      <c r="O2141">
        <v>48.180637404327904</v>
      </c>
      <c r="P2141">
        <v>-8.4301546637440106E-2</v>
      </c>
      <c r="Q2141">
        <v>0.39081162434028499</v>
      </c>
      <c r="R2141">
        <v>0.96545086181822903</v>
      </c>
      <c r="S2141" t="s">
        <v>8709</v>
      </c>
      <c r="T2141" t="s">
        <v>13134</v>
      </c>
      <c r="U2141" t="s">
        <v>13134</v>
      </c>
      <c r="V2141" t="s">
        <v>13134</v>
      </c>
      <c r="W2141" t="s">
        <v>15234</v>
      </c>
      <c r="X2141">
        <v>7</v>
      </c>
      <c r="Y2141" t="s">
        <v>21699</v>
      </c>
      <c r="Z2141" t="s">
        <v>28109</v>
      </c>
      <c r="AA2141">
        <v>0.62792995625142833</v>
      </c>
      <c r="AB2141" t="str">
        <f>HYPERLINK("Melting_Curves/meltCurve_P10109_FDX1.pdf", "Melting_Curves/meltCurve_P10109_FDX1.pdf")</f>
        <v>Melting_Curves/meltCurve_P10109_FDX1.pdf</v>
      </c>
    </row>
    <row r="2142" spans="1:28" x14ac:dyDescent="0.25">
      <c r="A2142" t="s">
        <v>2146</v>
      </c>
      <c r="B2142">
        <v>0.99472303558308395</v>
      </c>
      <c r="C2142">
        <v>1.1777593780987199</v>
      </c>
      <c r="D2142">
        <v>0.92781836670437001</v>
      </c>
      <c r="E2142">
        <v>0.73299008158400203</v>
      </c>
      <c r="F2142">
        <v>0.66499607662261095</v>
      </c>
      <c r="G2142">
        <v>0.46332480187663</v>
      </c>
      <c r="H2142">
        <v>0.25495794015214102</v>
      </c>
      <c r="I2142">
        <v>0.25391682143724997</v>
      </c>
      <c r="J2142">
        <v>0.305664055855006</v>
      </c>
      <c r="K2142">
        <v>0.179370764050166</v>
      </c>
      <c r="L2142">
        <v>728.98969646849196</v>
      </c>
      <c r="M2142">
        <v>14.425344360067401</v>
      </c>
      <c r="N2142">
        <v>52.350138911836602</v>
      </c>
      <c r="O2142">
        <v>49.593946858625003</v>
      </c>
      <c r="P2142">
        <v>-5.8416326118827702E-2</v>
      </c>
      <c r="Q2142">
        <v>0.196759512250788</v>
      </c>
      <c r="R2142">
        <v>0.94816550507368302</v>
      </c>
      <c r="S2142" t="s">
        <v>8710</v>
      </c>
      <c r="T2142" t="s">
        <v>13134</v>
      </c>
      <c r="U2142" t="s">
        <v>13134</v>
      </c>
      <c r="V2142" t="s">
        <v>13134</v>
      </c>
      <c r="W2142" t="s">
        <v>15235</v>
      </c>
      <c r="X2142">
        <v>5</v>
      </c>
      <c r="Y2142" t="s">
        <v>21700</v>
      </c>
      <c r="Z2142" t="s">
        <v>28110</v>
      </c>
      <c r="AA2142">
        <v>0.57653392811952564</v>
      </c>
      <c r="AB2142" t="str">
        <f>HYPERLINK("Melting_Curves/meltCurve_P10114_RAP2A.pdf", "Melting_Curves/meltCurve_P10114_RAP2A.pdf")</f>
        <v>Melting_Curves/meltCurve_P10114_RAP2A.pdf</v>
      </c>
    </row>
    <row r="2143" spans="1:28" x14ac:dyDescent="0.25">
      <c r="A2143" t="s">
        <v>2147</v>
      </c>
      <c r="B2143">
        <v>0.99472303558308395</v>
      </c>
      <c r="C2143">
        <v>1.01628800239808</v>
      </c>
      <c r="D2143">
        <v>1.1251276726741699</v>
      </c>
      <c r="E2143">
        <v>0.99619914862943604</v>
      </c>
      <c r="F2143">
        <v>0.79208858342366495</v>
      </c>
      <c r="G2143">
        <v>0.80325623522739698</v>
      </c>
      <c r="H2143">
        <v>0.64826748895905995</v>
      </c>
      <c r="I2143">
        <v>0.90808685719839799</v>
      </c>
      <c r="J2143">
        <v>1.3115915946710199</v>
      </c>
      <c r="K2143">
        <v>1.05453332819112</v>
      </c>
      <c r="L2143">
        <v>3414.9880172099301</v>
      </c>
      <c r="M2143">
        <v>54.695766276567703</v>
      </c>
      <c r="O2143">
        <v>62.3527638734788</v>
      </c>
      <c r="P2143">
        <v>3.7473505053093097E-2</v>
      </c>
      <c r="Q2143">
        <v>1.1708779540632499</v>
      </c>
      <c r="R2143">
        <v>0.11257096072753101</v>
      </c>
      <c r="S2143" t="s">
        <v>8711</v>
      </c>
      <c r="T2143" t="s">
        <v>13134</v>
      </c>
      <c r="U2143" t="s">
        <v>13134</v>
      </c>
      <c r="V2143" t="s">
        <v>13134</v>
      </c>
      <c r="W2143" t="s">
        <v>15236</v>
      </c>
      <c r="X2143">
        <v>4</v>
      </c>
      <c r="Y2143" t="s">
        <v>21701</v>
      </c>
      <c r="Z2143" t="s">
        <v>28111</v>
      </c>
      <c r="AA2143">
        <v>1.0257887411393729</v>
      </c>
      <c r="AB2143" t="str">
        <f>HYPERLINK("Melting_Curves/meltCurve_P10124_SRGN.pdf", "Melting_Curves/meltCurve_P10124_SRGN.pdf")</f>
        <v>Melting_Curves/meltCurve_P10124_SRGN.pdf</v>
      </c>
    </row>
    <row r="2144" spans="1:28" x14ac:dyDescent="0.25">
      <c r="A2144" t="s">
        <v>2148</v>
      </c>
      <c r="B2144">
        <v>0.99472303558308395</v>
      </c>
      <c r="C2144">
        <v>0.94035410087507598</v>
      </c>
      <c r="D2144">
        <v>1.0150479160668799</v>
      </c>
      <c r="E2144">
        <v>1.0140300236501301</v>
      </c>
      <c r="F2144">
        <v>0.69889043768969406</v>
      </c>
      <c r="G2144">
        <v>0.60996453366508196</v>
      </c>
      <c r="H2144">
        <v>0.27414614322120101</v>
      </c>
      <c r="I2144">
        <v>0.36732831125950399</v>
      </c>
      <c r="J2144">
        <v>0.113648724388258</v>
      </c>
      <c r="K2144">
        <v>0.23121969834646799</v>
      </c>
      <c r="L2144">
        <v>940.42338401448001</v>
      </c>
      <c r="M2144">
        <v>17.717197574404299</v>
      </c>
      <c r="N2144">
        <v>54.4393036710674</v>
      </c>
      <c r="O2144">
        <v>52.417322677700703</v>
      </c>
      <c r="P2144">
        <v>-6.9397390883156801E-2</v>
      </c>
      <c r="Q2144">
        <v>0.17877883675853901</v>
      </c>
      <c r="R2144">
        <v>0.95474984569552601</v>
      </c>
      <c r="S2144" t="s">
        <v>8712</v>
      </c>
      <c r="T2144" t="s">
        <v>13134</v>
      </c>
      <c r="U2144" t="s">
        <v>13134</v>
      </c>
      <c r="V2144" t="s">
        <v>13134</v>
      </c>
      <c r="W2144" t="s">
        <v>15237</v>
      </c>
      <c r="X2144">
        <v>24</v>
      </c>
      <c r="Y2144" t="s">
        <v>21702</v>
      </c>
      <c r="Z2144" t="s">
        <v>28112</v>
      </c>
      <c r="AA2144">
        <v>0.63107888423424396</v>
      </c>
      <c r="AB2144" t="str">
        <f>HYPERLINK("Melting_Curves/meltCurve_P10155_TROVE2.pdf", "Melting_Curves/meltCurve_P10155_TROVE2.pdf")</f>
        <v>Melting_Curves/meltCurve_P10155_TROVE2.pdf</v>
      </c>
    </row>
    <row r="2145" spans="1:28" x14ac:dyDescent="0.25">
      <c r="A2145" t="s">
        <v>2149</v>
      </c>
      <c r="B2145">
        <v>0.99472303558308395</v>
      </c>
      <c r="C2145">
        <v>1.07898459233988</v>
      </c>
      <c r="D2145">
        <v>0.70546546599534299</v>
      </c>
      <c r="E2145">
        <v>0.70111598456291502</v>
      </c>
      <c r="F2145">
        <v>0.46817138166299099</v>
      </c>
      <c r="G2145">
        <v>0.30050747550456802</v>
      </c>
      <c r="H2145">
        <v>0.28683650555558099</v>
      </c>
      <c r="I2145">
        <v>0.27127599543616499</v>
      </c>
      <c r="J2145">
        <v>0.29954824665031599</v>
      </c>
      <c r="K2145">
        <v>0.26557584415969998</v>
      </c>
      <c r="L2145">
        <v>703.62291328127003</v>
      </c>
      <c r="M2145">
        <v>15.0499797624156</v>
      </c>
      <c r="N2145">
        <v>49.087874735877499</v>
      </c>
      <c r="O2145">
        <v>45.950265164186597</v>
      </c>
      <c r="P2145">
        <v>-6.0954291386501699E-2</v>
      </c>
      <c r="Q2145">
        <v>0.25565682529953898</v>
      </c>
      <c r="R2145">
        <v>0.95048390949905004</v>
      </c>
      <c r="S2145" t="s">
        <v>8713</v>
      </c>
      <c r="T2145" t="s">
        <v>13134</v>
      </c>
      <c r="U2145" t="s">
        <v>13134</v>
      </c>
      <c r="V2145" t="s">
        <v>13134</v>
      </c>
      <c r="W2145" t="s">
        <v>15238</v>
      </c>
      <c r="X2145">
        <v>2</v>
      </c>
      <c r="Y2145" t="s">
        <v>21703</v>
      </c>
      <c r="Z2145" t="s">
        <v>28113</v>
      </c>
      <c r="AA2145">
        <v>0.51437759329101829</v>
      </c>
      <c r="AB2145" t="str">
        <f>HYPERLINK("Melting_Curves/meltCurve_P10244_MYBL2.pdf", "Melting_Curves/meltCurve_P10244_MYBL2.pdf")</f>
        <v>Melting_Curves/meltCurve_P10244_MYBL2.pdf</v>
      </c>
    </row>
    <row r="2146" spans="1:28" x14ac:dyDescent="0.25">
      <c r="A2146" t="s">
        <v>2150</v>
      </c>
      <c r="B2146">
        <v>0.99472303558308395</v>
      </c>
      <c r="C2146">
        <v>0.945221323351224</v>
      </c>
      <c r="D2146">
        <v>0.98096535036388899</v>
      </c>
      <c r="E2146">
        <v>0.90264925706414201</v>
      </c>
      <c r="F2146">
        <v>0.80269425208476897</v>
      </c>
      <c r="G2146">
        <v>0.562127431366793</v>
      </c>
      <c r="H2146">
        <v>0.45313703167743002</v>
      </c>
      <c r="I2146">
        <v>0.40903609498895699</v>
      </c>
      <c r="J2146">
        <v>0.25218547592316298</v>
      </c>
      <c r="K2146">
        <v>0.16131637286092099</v>
      </c>
      <c r="L2146">
        <v>539.40683833366302</v>
      </c>
      <c r="M2146">
        <v>9.5295180949408902</v>
      </c>
      <c r="N2146">
        <v>56.677517128171701</v>
      </c>
      <c r="O2146">
        <v>54.279386147925798</v>
      </c>
      <c r="P2146">
        <v>-4.36461445230951E-2</v>
      </c>
      <c r="Q2146">
        <v>6.1609101359899297E-3</v>
      </c>
      <c r="R2146">
        <v>0.98542247867142096</v>
      </c>
      <c r="S2146" t="s">
        <v>8714</v>
      </c>
      <c r="T2146" t="s">
        <v>13134</v>
      </c>
      <c r="U2146" t="s">
        <v>13134</v>
      </c>
      <c r="V2146" t="s">
        <v>13134</v>
      </c>
      <c r="W2146" t="s">
        <v>15239</v>
      </c>
      <c r="X2146">
        <v>7</v>
      </c>
      <c r="Y2146" t="s">
        <v>21704</v>
      </c>
      <c r="Z2146" t="s">
        <v>28114</v>
      </c>
      <c r="AA2146">
        <v>0.65590893185880539</v>
      </c>
      <c r="AB2146" t="str">
        <f>HYPERLINK("Melting_Curves/meltCurve_P10301_RRAS.pdf", "Melting_Curves/meltCurve_P10301_RRAS.pdf")</f>
        <v>Melting_Curves/meltCurve_P10301_RRAS.pdf</v>
      </c>
    </row>
    <row r="2147" spans="1:28" x14ac:dyDescent="0.25">
      <c r="A2147" t="s">
        <v>2151</v>
      </c>
      <c r="B2147">
        <v>0.99472303558308395</v>
      </c>
      <c r="C2147">
        <v>0.79469627819715205</v>
      </c>
      <c r="D2147">
        <v>0.77826431183732503</v>
      </c>
      <c r="E2147">
        <v>0.51301997651380904</v>
      </c>
      <c r="F2147">
        <v>0.216835816402869</v>
      </c>
      <c r="G2147">
        <v>8.4435128737679804E-2</v>
      </c>
      <c r="H2147">
        <v>4.3940984631226303E-2</v>
      </c>
      <c r="I2147">
        <v>3.4462899949238603E-2</v>
      </c>
      <c r="J2147">
        <v>4.6089451628828403E-2</v>
      </c>
      <c r="K2147">
        <v>4.9340438134665002E-2</v>
      </c>
      <c r="L2147">
        <v>662.41279699906397</v>
      </c>
      <c r="M2147">
        <v>14.357707274525101</v>
      </c>
      <c r="N2147">
        <v>46.185799236615303</v>
      </c>
      <c r="O2147">
        <v>45.269077281496102</v>
      </c>
      <c r="P2147">
        <v>-7.8696070524668205E-2</v>
      </c>
      <c r="Q2147">
        <v>7.6211046697167899E-3</v>
      </c>
      <c r="R2147">
        <v>0.98462149128789</v>
      </c>
      <c r="S2147" t="s">
        <v>8715</v>
      </c>
      <c r="T2147" t="s">
        <v>13134</v>
      </c>
      <c r="U2147" t="s">
        <v>13134</v>
      </c>
      <c r="V2147" t="s">
        <v>13134</v>
      </c>
      <c r="W2147" t="s">
        <v>15240</v>
      </c>
      <c r="X2147">
        <v>12</v>
      </c>
      <c r="Y2147" t="s">
        <v>21705</v>
      </c>
      <c r="Z2147" t="s">
        <v>28115</v>
      </c>
      <c r="AA2147">
        <v>0.33459043309940029</v>
      </c>
      <c r="AB2147" t="str">
        <f>HYPERLINK("Melting_Curves/meltCurve_P10398_ARAF.pdf", "Melting_Curves/meltCurve_P10398_ARAF.pdf")</f>
        <v>Melting_Curves/meltCurve_P10398_ARAF.pdf</v>
      </c>
    </row>
    <row r="2148" spans="1:28" x14ac:dyDescent="0.25">
      <c r="A2148" t="s">
        <v>2152</v>
      </c>
      <c r="B2148">
        <v>0.99472303558308395</v>
      </c>
      <c r="C2148">
        <v>0.801733413926215</v>
      </c>
      <c r="D2148">
        <v>0.91249898163257803</v>
      </c>
      <c r="E2148">
        <v>0.58977813032065296</v>
      </c>
      <c r="F2148">
        <v>0.603252609398513</v>
      </c>
      <c r="G2148">
        <v>0.30903632923450902</v>
      </c>
      <c r="H2148">
        <v>0.20257464936226</v>
      </c>
      <c r="I2148">
        <v>0.19333342241235299</v>
      </c>
      <c r="J2148">
        <v>0.12567432144128199</v>
      </c>
      <c r="K2148">
        <v>0.22923096168286999</v>
      </c>
      <c r="L2148">
        <v>511.092554096637</v>
      </c>
      <c r="M2148">
        <v>10.451984149972001</v>
      </c>
      <c r="N2148">
        <v>49.953639730339098</v>
      </c>
      <c r="O2148">
        <v>47.210765735587799</v>
      </c>
      <c r="P2148">
        <v>-4.9888556853935798E-2</v>
      </c>
      <c r="Q2148">
        <v>9.8999864442952806E-2</v>
      </c>
      <c r="R2148">
        <v>0.94373704717858897</v>
      </c>
      <c r="S2148" t="s">
        <v>8716</v>
      </c>
      <c r="T2148" t="s">
        <v>13134</v>
      </c>
      <c r="U2148" t="s">
        <v>13134</v>
      </c>
      <c r="V2148" t="s">
        <v>13134</v>
      </c>
      <c r="W2148" t="s">
        <v>15241</v>
      </c>
      <c r="X2148">
        <v>12</v>
      </c>
      <c r="Y2148" t="s">
        <v>21706</v>
      </c>
      <c r="Z2148" t="s">
        <v>28116</v>
      </c>
      <c r="AA2148">
        <v>0.48841814029536429</v>
      </c>
      <c r="AB2148" t="str">
        <f>HYPERLINK("Melting_Curves/meltCurve_P10412_HIST1H1E.pdf", "Melting_Curves/meltCurve_P10412_HIST1H1E.pdf")</f>
        <v>Melting_Curves/meltCurve_P10412_HIST1H1E.pdf</v>
      </c>
    </row>
    <row r="2149" spans="1:28" x14ac:dyDescent="0.25">
      <c r="A2149" t="s">
        <v>2153</v>
      </c>
      <c r="B2149">
        <v>0.99472303558308395</v>
      </c>
      <c r="C2149">
        <v>1.0872333280378901</v>
      </c>
      <c r="D2149">
        <v>0.89399810307524497</v>
      </c>
      <c r="E2149">
        <v>0.75637595452788198</v>
      </c>
      <c r="F2149">
        <v>0.44800390034252102</v>
      </c>
      <c r="G2149">
        <v>0.29213771624486501</v>
      </c>
      <c r="H2149">
        <v>0.18871246800448899</v>
      </c>
      <c r="I2149">
        <v>0.117351161397132</v>
      </c>
      <c r="J2149">
        <v>0.16952579907114401</v>
      </c>
      <c r="K2149">
        <v>0.15415175132942499</v>
      </c>
      <c r="L2149">
        <v>904.75926409486499</v>
      </c>
      <c r="M2149">
        <v>18.541363105113302</v>
      </c>
      <c r="N2149">
        <v>49.670696816688803</v>
      </c>
      <c r="O2149">
        <v>48.239809797378399</v>
      </c>
      <c r="P2149">
        <v>-8.2720018975021306E-2</v>
      </c>
      <c r="Q2149">
        <v>0.13917379330311699</v>
      </c>
      <c r="R2149">
        <v>0.98878674272999001</v>
      </c>
      <c r="S2149" t="s">
        <v>8717</v>
      </c>
      <c r="T2149" t="s">
        <v>13134</v>
      </c>
      <c r="U2149" t="s">
        <v>13134</v>
      </c>
      <c r="V2149" t="s">
        <v>13134</v>
      </c>
      <c r="W2149" t="s">
        <v>15242</v>
      </c>
      <c r="X2149">
        <v>2</v>
      </c>
      <c r="Y2149" t="s">
        <v>21707</v>
      </c>
      <c r="Z2149" t="s">
        <v>28117</v>
      </c>
      <c r="AA2149">
        <v>0.49067715422697411</v>
      </c>
      <c r="AB2149" t="str">
        <f>HYPERLINK("Melting_Curves/meltCurve_P10586_2_PTPRF.pdf", "Melting_Curves/meltCurve_P10586_2_PTPRF.pdf")</f>
        <v>Melting_Curves/meltCurve_P10586_2_PTPRF.pdf</v>
      </c>
    </row>
    <row r="2150" spans="1:28" x14ac:dyDescent="0.25">
      <c r="A2150" t="s">
        <v>2154</v>
      </c>
      <c r="B2150">
        <v>0.99472303558308395</v>
      </c>
      <c r="C2150">
        <v>0.86589870059517804</v>
      </c>
      <c r="D2150">
        <v>0.80436056399783695</v>
      </c>
      <c r="E2150">
        <v>0.515962917885605</v>
      </c>
      <c r="F2150">
        <v>0.27383678618717899</v>
      </c>
      <c r="G2150">
        <v>0.164787488728247</v>
      </c>
      <c r="H2150">
        <v>8.7383053628399598E-2</v>
      </c>
      <c r="I2150">
        <v>5.0899557516957503E-2</v>
      </c>
      <c r="J2150">
        <v>4.6309183209869598E-2</v>
      </c>
      <c r="K2150">
        <v>4.1521685514219503E-2</v>
      </c>
      <c r="L2150">
        <v>655.23305294182899</v>
      </c>
      <c r="M2150">
        <v>14.040748849523901</v>
      </c>
      <c r="N2150">
        <v>46.824598314349501</v>
      </c>
      <c r="O2150">
        <v>45.750496781973403</v>
      </c>
      <c r="P2150">
        <v>-7.4958518422193005E-2</v>
      </c>
      <c r="Q2150">
        <v>2.3145915028720598E-2</v>
      </c>
      <c r="R2150">
        <v>0.99662295821915403</v>
      </c>
      <c r="S2150" t="s">
        <v>8718</v>
      </c>
      <c r="T2150" t="s">
        <v>13134</v>
      </c>
      <c r="U2150" t="s">
        <v>13134</v>
      </c>
      <c r="V2150" t="s">
        <v>13134</v>
      </c>
      <c r="W2150" t="s">
        <v>15243</v>
      </c>
      <c r="X2150">
        <v>7</v>
      </c>
      <c r="Y2150" t="s">
        <v>21708</v>
      </c>
      <c r="Z2150" t="s">
        <v>28118</v>
      </c>
      <c r="AA2150">
        <v>0.36286444542393909</v>
      </c>
      <c r="AB2150" t="str">
        <f>HYPERLINK("Melting_Curves/meltCurve_P10588_NR2F6.pdf", "Melting_Curves/meltCurve_P10588_NR2F6.pdf")</f>
        <v>Melting_Curves/meltCurve_P10588_NR2F6.pdf</v>
      </c>
    </row>
    <row r="2151" spans="1:28" x14ac:dyDescent="0.25">
      <c r="A2151" t="s">
        <v>2155</v>
      </c>
      <c r="B2151">
        <v>0.99472303558308395</v>
      </c>
      <c r="C2151">
        <v>0.79683402387159996</v>
      </c>
      <c r="D2151">
        <v>1.09677338921808</v>
      </c>
      <c r="E2151">
        <v>0.89774510232903404</v>
      </c>
      <c r="F2151">
        <v>0.71492562847709495</v>
      </c>
      <c r="G2151">
        <v>0.672368319537199</v>
      </c>
      <c r="H2151">
        <v>0.57462346965909505</v>
      </c>
      <c r="I2151">
        <v>0.65101106685795895</v>
      </c>
      <c r="J2151">
        <v>0.82564241016522899</v>
      </c>
      <c r="K2151">
        <v>0.76634673587616298</v>
      </c>
      <c r="L2151">
        <v>3611.1633720366999</v>
      </c>
      <c r="M2151">
        <v>76.824361276121095</v>
      </c>
      <c r="O2151">
        <v>46.973625406996199</v>
      </c>
      <c r="P2151">
        <v>-0.12249762498125601</v>
      </c>
      <c r="Q2151">
        <v>0.70039937963930299</v>
      </c>
      <c r="R2151">
        <v>0.61537897049606205</v>
      </c>
      <c r="S2151" t="s">
        <v>8719</v>
      </c>
      <c r="T2151" t="s">
        <v>13134</v>
      </c>
      <c r="U2151" t="s">
        <v>13134</v>
      </c>
      <c r="V2151" t="s">
        <v>13134</v>
      </c>
      <c r="W2151" t="s">
        <v>15244</v>
      </c>
      <c r="X2151">
        <v>13</v>
      </c>
      <c r="Y2151" t="s">
        <v>21709</v>
      </c>
      <c r="Z2151" t="s">
        <v>28119</v>
      </c>
      <c r="AA2151">
        <v>0.80058292508085771</v>
      </c>
      <c r="AB2151" t="str">
        <f>HYPERLINK("Melting_Curves/meltCurve_P10599_TXN.pdf", "Melting_Curves/meltCurve_P10599_TXN.pdf")</f>
        <v>Melting_Curves/meltCurve_P10599_TXN.pdf</v>
      </c>
    </row>
    <row r="2152" spans="1:28" x14ac:dyDescent="0.25">
      <c r="A2152" t="s">
        <v>2156</v>
      </c>
      <c r="B2152">
        <v>0.99472303558308395</v>
      </c>
      <c r="C2152">
        <v>0.99965026599247198</v>
      </c>
      <c r="D2152">
        <v>0.79442626898691804</v>
      </c>
      <c r="E2152">
        <v>0.710321508997666</v>
      </c>
      <c r="F2152">
        <v>0.57502036098054599</v>
      </c>
      <c r="G2152">
        <v>0.34464837412425198</v>
      </c>
      <c r="H2152">
        <v>0.25308078461998801</v>
      </c>
      <c r="I2152">
        <v>0.26425195216810898</v>
      </c>
      <c r="J2152">
        <v>0.38247907175799101</v>
      </c>
      <c r="K2152">
        <v>0.42684435857779002</v>
      </c>
      <c r="L2152">
        <v>741.54567148374895</v>
      </c>
      <c r="M2152">
        <v>15.760983026211299</v>
      </c>
      <c r="N2152">
        <v>50.241251622424798</v>
      </c>
      <c r="O2152">
        <v>46.311565740583099</v>
      </c>
      <c r="P2152">
        <v>-5.81751906060229E-2</v>
      </c>
      <c r="Q2152">
        <v>0.31629645381016203</v>
      </c>
      <c r="R2152">
        <v>0.93752656776367205</v>
      </c>
      <c r="S2152" t="s">
        <v>8720</v>
      </c>
      <c r="T2152" t="s">
        <v>13134</v>
      </c>
      <c r="U2152" t="s">
        <v>13134</v>
      </c>
      <c r="V2152" t="s">
        <v>13134</v>
      </c>
      <c r="W2152" t="s">
        <v>15245</v>
      </c>
      <c r="X2152">
        <v>8</v>
      </c>
      <c r="Y2152" t="s">
        <v>21710</v>
      </c>
      <c r="Z2152" t="s">
        <v>28120</v>
      </c>
      <c r="AA2152">
        <v>0.5593858138865061</v>
      </c>
      <c r="AB2152" t="str">
        <f>HYPERLINK("Melting_Curves/meltCurve_P10606_COX5B.pdf", "Melting_Curves/meltCurve_P10606_COX5B.pdf")</f>
        <v>Melting_Curves/meltCurve_P10606_COX5B.pdf</v>
      </c>
    </row>
    <row r="2153" spans="1:28" x14ac:dyDescent="0.25">
      <c r="A2153" t="s">
        <v>2157</v>
      </c>
      <c r="B2153">
        <v>0.99472303558308395</v>
      </c>
      <c r="C2153">
        <v>0.88470638844752802</v>
      </c>
      <c r="D2153">
        <v>0.89402885330664195</v>
      </c>
      <c r="E2153">
        <v>0.762874630953852</v>
      </c>
      <c r="F2153">
        <v>0.613464575775025</v>
      </c>
      <c r="G2153">
        <v>0.49229657312594699</v>
      </c>
      <c r="H2153">
        <v>0.368221379633768</v>
      </c>
      <c r="I2153">
        <v>0.21013970930547499</v>
      </c>
      <c r="J2153">
        <v>0.18831686546519599</v>
      </c>
      <c r="K2153">
        <v>0.19713310733838599</v>
      </c>
      <c r="L2153">
        <v>444.31943742343901</v>
      </c>
      <c r="M2153">
        <v>8.4045669697114</v>
      </c>
      <c r="N2153">
        <v>53.114208522668399</v>
      </c>
      <c r="O2153">
        <v>50.127733081670598</v>
      </c>
      <c r="P2153">
        <v>-4.11485931360175E-2</v>
      </c>
      <c r="Q2153">
        <v>1.9224506174024499E-2</v>
      </c>
      <c r="R2153">
        <v>0.99048005290755703</v>
      </c>
      <c r="S2153" t="s">
        <v>8721</v>
      </c>
      <c r="T2153" t="s">
        <v>13134</v>
      </c>
      <c r="U2153" t="s">
        <v>13134</v>
      </c>
      <c r="V2153" t="s">
        <v>13134</v>
      </c>
      <c r="W2153" t="s">
        <v>15246</v>
      </c>
      <c r="X2153">
        <v>4</v>
      </c>
      <c r="Y2153" t="s">
        <v>21711</v>
      </c>
      <c r="Z2153" t="s">
        <v>28121</v>
      </c>
      <c r="AA2153">
        <v>0.56051956934135583</v>
      </c>
      <c r="AB2153" t="str">
        <f>HYPERLINK("Melting_Curves/meltCurve_P10619_CTSA.pdf", "Melting_Curves/meltCurve_P10619_CTSA.pdf")</f>
        <v>Melting_Curves/meltCurve_P10619_CTSA.pdf</v>
      </c>
    </row>
    <row r="2154" spans="1:28" x14ac:dyDescent="0.25">
      <c r="A2154" t="s">
        <v>2158</v>
      </c>
      <c r="B2154">
        <v>0.99472303558308395</v>
      </c>
      <c r="C2154">
        <v>0.95702555549193902</v>
      </c>
      <c r="D2154">
        <v>0.88026275592972303</v>
      </c>
      <c r="E2154">
        <v>0.76800962442570497</v>
      </c>
      <c r="F2154">
        <v>0.38502852873750798</v>
      </c>
      <c r="G2154">
        <v>0.13540898285615499</v>
      </c>
      <c r="H2154">
        <v>6.6803380183164396E-2</v>
      </c>
      <c r="I2154">
        <v>5.0713941660233602E-2</v>
      </c>
      <c r="J2154">
        <v>5.6455512638715399E-2</v>
      </c>
      <c r="K2154">
        <v>4.6732604473070101E-2</v>
      </c>
      <c r="L2154">
        <v>1009.36043001511</v>
      </c>
      <c r="M2154">
        <v>20.678840206279499</v>
      </c>
      <c r="N2154">
        <v>48.982073240171601</v>
      </c>
      <c r="O2154">
        <v>48.361674928270801</v>
      </c>
      <c r="P2154">
        <v>-0.103181373749356</v>
      </c>
      <c r="Q2154">
        <v>3.4785083295836898E-2</v>
      </c>
      <c r="R2154">
        <v>0.995431986929182</v>
      </c>
      <c r="S2154" t="s">
        <v>8722</v>
      </c>
      <c r="T2154" t="s">
        <v>13134</v>
      </c>
      <c r="U2154" t="s">
        <v>13134</v>
      </c>
      <c r="V2154" t="s">
        <v>13134</v>
      </c>
      <c r="W2154" t="s">
        <v>15247</v>
      </c>
      <c r="X2154">
        <v>19</v>
      </c>
      <c r="Y2154" t="s">
        <v>21712</v>
      </c>
      <c r="Z2154" t="s">
        <v>28122</v>
      </c>
      <c r="AA2154">
        <v>0.42675052719651302</v>
      </c>
      <c r="AB2154" t="str">
        <f>HYPERLINK("Melting_Curves/meltCurve_P10644_PRKAR1A.pdf", "Melting_Curves/meltCurve_P10644_PRKAR1A.pdf")</f>
        <v>Melting_Curves/meltCurve_P10644_PRKAR1A.pdf</v>
      </c>
    </row>
    <row r="2155" spans="1:28" x14ac:dyDescent="0.25">
      <c r="A2155" t="s">
        <v>2159</v>
      </c>
      <c r="B2155">
        <v>0.99472303558308395</v>
      </c>
      <c r="C2155">
        <v>1.0021311728850699</v>
      </c>
      <c r="D2155">
        <v>0.96640777178534898</v>
      </c>
      <c r="E2155">
        <v>0.89035221728798397</v>
      </c>
      <c r="F2155">
        <v>0.54310621095593004</v>
      </c>
      <c r="G2155">
        <v>0.161007371587152</v>
      </c>
      <c r="H2155">
        <v>0.100399546240861</v>
      </c>
      <c r="I2155">
        <v>6.3446175824951698E-2</v>
      </c>
      <c r="J2155">
        <v>7.8793679942404299E-2</v>
      </c>
      <c r="K2155">
        <v>8.5806155174740897E-2</v>
      </c>
      <c r="L2155">
        <v>1454.9614446677001</v>
      </c>
      <c r="M2155">
        <v>29.021078634721999</v>
      </c>
      <c r="N2155">
        <v>50.4006540491091</v>
      </c>
      <c r="O2155">
        <v>49.898405418985497</v>
      </c>
      <c r="P2155">
        <v>-0.13507714759443001</v>
      </c>
      <c r="Q2155">
        <v>7.1008455259493203E-2</v>
      </c>
      <c r="R2155">
        <v>0.99866257096004896</v>
      </c>
      <c r="S2155" t="s">
        <v>8723</v>
      </c>
      <c r="T2155" t="s">
        <v>13134</v>
      </c>
      <c r="U2155" t="s">
        <v>13134</v>
      </c>
      <c r="V2155" t="s">
        <v>13134</v>
      </c>
      <c r="W2155" t="s">
        <v>15248</v>
      </c>
      <c r="X2155">
        <v>11</v>
      </c>
      <c r="Y2155" t="s">
        <v>21713</v>
      </c>
      <c r="Z2155" t="s">
        <v>28123</v>
      </c>
      <c r="AA2155">
        <v>0.48383846083161752</v>
      </c>
      <c r="AB2155" t="str">
        <f>HYPERLINK("Melting_Curves/meltCurve_P10746_UROS.pdf", "Melting_Curves/meltCurve_P10746_UROS.pdf")</f>
        <v>Melting_Curves/meltCurve_P10746_UROS.pdf</v>
      </c>
    </row>
    <row r="2156" spans="1:28" x14ac:dyDescent="0.25">
      <c r="A2156" t="s">
        <v>2160</v>
      </c>
      <c r="B2156">
        <v>0.99472303558308395</v>
      </c>
      <c r="C2156">
        <v>0.96736872895900805</v>
      </c>
      <c r="D2156">
        <v>1.05144168344728</v>
      </c>
      <c r="E2156">
        <v>0.99783327902578201</v>
      </c>
      <c r="F2156">
        <v>0.69250895576474303</v>
      </c>
      <c r="G2156">
        <v>0.65495956622409901</v>
      </c>
      <c r="H2156">
        <v>0.312085087817638</v>
      </c>
      <c r="I2156">
        <v>9.4939131092394102E-2</v>
      </c>
      <c r="J2156">
        <v>6.7897002290362204E-2</v>
      </c>
      <c r="K2156">
        <v>6.6870058444807506E-2</v>
      </c>
      <c r="L2156">
        <v>908.95656227035897</v>
      </c>
      <c r="M2156">
        <v>16.6311136907525</v>
      </c>
      <c r="N2156">
        <v>54.653981378889497</v>
      </c>
      <c r="O2156">
        <v>53.8821313809012</v>
      </c>
      <c r="P2156">
        <v>-7.7169525905673997E-2</v>
      </c>
      <c r="Q2156">
        <v>0</v>
      </c>
      <c r="R2156">
        <v>0.97838241301669904</v>
      </c>
      <c r="S2156" t="s">
        <v>8724</v>
      </c>
      <c r="T2156" t="s">
        <v>13134</v>
      </c>
      <c r="U2156" t="s">
        <v>13134</v>
      </c>
      <c r="V2156" t="s">
        <v>13134</v>
      </c>
      <c r="W2156" t="s">
        <v>15249</v>
      </c>
      <c r="X2156">
        <v>12</v>
      </c>
      <c r="Y2156" t="s">
        <v>21714</v>
      </c>
      <c r="Z2156" t="s">
        <v>28124</v>
      </c>
      <c r="AA2156">
        <v>0.60238862188152786</v>
      </c>
      <c r="AB2156" t="str">
        <f>HYPERLINK("Melting_Curves/meltCurve_P10768_ESD.pdf", "Melting_Curves/meltCurve_P10768_ESD.pdf")</f>
        <v>Melting_Curves/meltCurve_P10768_ESD.pdf</v>
      </c>
    </row>
    <row r="2157" spans="1:28" x14ac:dyDescent="0.25">
      <c r="A2157" t="s">
        <v>2161</v>
      </c>
      <c r="B2157">
        <v>0.99472303558308395</v>
      </c>
      <c r="C2157">
        <v>0.880038141182231</v>
      </c>
      <c r="D2157">
        <v>0.83529991333702003</v>
      </c>
      <c r="E2157">
        <v>0.71685942378308798</v>
      </c>
      <c r="F2157">
        <v>0.70103941844797601</v>
      </c>
      <c r="G2157">
        <v>0.52013042446742597</v>
      </c>
      <c r="H2157">
        <v>0.27690463867646897</v>
      </c>
      <c r="I2157">
        <v>7.4418176545705705E-2</v>
      </c>
      <c r="J2157">
        <v>5.18578145432236E-2</v>
      </c>
      <c r="K2157">
        <v>5.5920072472691401E-2</v>
      </c>
      <c r="L2157">
        <v>579.97970943492999</v>
      </c>
      <c r="M2157">
        <v>11.081324465104901</v>
      </c>
      <c r="N2157">
        <v>52.338482753345303</v>
      </c>
      <c r="O2157">
        <v>50.720720269482698</v>
      </c>
      <c r="P2157">
        <v>-5.4637229537747599E-2</v>
      </c>
      <c r="Q2157">
        <v>0</v>
      </c>
      <c r="R2157">
        <v>0.95766978737786301</v>
      </c>
      <c r="S2157" t="s">
        <v>8725</v>
      </c>
      <c r="T2157" t="s">
        <v>13134</v>
      </c>
      <c r="U2157" t="s">
        <v>13134</v>
      </c>
      <c r="V2157" t="s">
        <v>13134</v>
      </c>
      <c r="W2157" t="s">
        <v>15250</v>
      </c>
      <c r="X2157">
        <v>54</v>
      </c>
      <c r="Y2157" t="s">
        <v>21715</v>
      </c>
      <c r="Z2157" t="s">
        <v>28125</v>
      </c>
      <c r="AA2157">
        <v>0.53536383190417758</v>
      </c>
      <c r="AB2157" t="str">
        <f>HYPERLINK("Melting_Curves/meltCurve_P10809_HSPD1.pdf", "Melting_Curves/meltCurve_P10809_HSPD1.pdf")</f>
        <v>Melting_Curves/meltCurve_P10809_HSPD1.pdf</v>
      </c>
    </row>
    <row r="2158" spans="1:28" x14ac:dyDescent="0.25">
      <c r="A2158" t="s">
        <v>2162</v>
      </c>
      <c r="B2158">
        <v>0.99472303558308395</v>
      </c>
      <c r="C2158">
        <v>0.97617946896457797</v>
      </c>
      <c r="D2158">
        <v>0.917741697849628</v>
      </c>
      <c r="E2158">
        <v>0.86113380586434896</v>
      </c>
      <c r="F2158">
        <v>0.69076100169989796</v>
      </c>
      <c r="G2158">
        <v>0.50721794916944196</v>
      </c>
      <c r="H2158">
        <v>0.35318726308801901</v>
      </c>
      <c r="I2158">
        <v>0.20447937362969201</v>
      </c>
      <c r="J2158">
        <v>9.4525223026782804E-2</v>
      </c>
      <c r="K2158">
        <v>0.101794871040775</v>
      </c>
      <c r="L2158">
        <v>617.68643862253896</v>
      </c>
      <c r="M2158">
        <v>11.4748495926614</v>
      </c>
      <c r="N2158">
        <v>53.829588611738899</v>
      </c>
      <c r="O2158">
        <v>52.2725680054292</v>
      </c>
      <c r="P2158">
        <v>-5.48956040968899E-2</v>
      </c>
      <c r="Q2158">
        <v>0</v>
      </c>
      <c r="R2158">
        <v>0.99709470580134796</v>
      </c>
      <c r="S2158" t="s">
        <v>8726</v>
      </c>
      <c r="T2158" t="s">
        <v>13134</v>
      </c>
      <c r="U2158" t="s">
        <v>13134</v>
      </c>
      <c r="V2158" t="s">
        <v>13134</v>
      </c>
      <c r="W2158" t="s">
        <v>15251</v>
      </c>
      <c r="X2158">
        <v>49</v>
      </c>
      <c r="Y2158" t="s">
        <v>21716</v>
      </c>
      <c r="Z2158" t="s">
        <v>28126</v>
      </c>
      <c r="AA2158">
        <v>0.57962763376608895</v>
      </c>
      <c r="AB2158" t="str">
        <f>HYPERLINK("Melting_Curves/meltCurve_P11021_HSPA5.pdf", "Melting_Curves/meltCurve_P11021_HSPA5.pdf")</f>
        <v>Melting_Curves/meltCurve_P11021_HSPA5.pdf</v>
      </c>
    </row>
    <row r="2159" spans="1:28" x14ac:dyDescent="0.25">
      <c r="A2159" t="s">
        <v>2163</v>
      </c>
      <c r="B2159">
        <v>0.99472303558308395</v>
      </c>
      <c r="C2159">
        <v>0.93695362546780303</v>
      </c>
      <c r="D2159">
        <v>0.90472814014774205</v>
      </c>
      <c r="E2159">
        <v>0.80441280461197995</v>
      </c>
      <c r="F2159">
        <v>0.61828921942884496</v>
      </c>
      <c r="G2159">
        <v>0.55501352606408505</v>
      </c>
      <c r="H2159">
        <v>0.41968780148822799</v>
      </c>
      <c r="I2159">
        <v>0.18326672471500599</v>
      </c>
      <c r="J2159">
        <v>6.6905961948175205E-2</v>
      </c>
      <c r="K2159">
        <v>8.77216238160443E-2</v>
      </c>
      <c r="L2159">
        <v>552.87155065064098</v>
      </c>
      <c r="M2159">
        <v>10.324880412029</v>
      </c>
      <c r="N2159">
        <v>53.547502679774297</v>
      </c>
      <c r="O2159">
        <v>51.6555187263927</v>
      </c>
      <c r="P2159">
        <v>-4.99913851665343E-2</v>
      </c>
      <c r="Q2159">
        <v>0</v>
      </c>
      <c r="R2159">
        <v>0.97729825196960995</v>
      </c>
      <c r="S2159" t="s">
        <v>8727</v>
      </c>
      <c r="T2159" t="s">
        <v>13134</v>
      </c>
      <c r="U2159" t="s">
        <v>13134</v>
      </c>
      <c r="V2159" t="s">
        <v>13134</v>
      </c>
      <c r="W2159" t="s">
        <v>15252</v>
      </c>
      <c r="X2159">
        <v>68</v>
      </c>
      <c r="Y2159" t="s">
        <v>20247</v>
      </c>
      <c r="Z2159" t="s">
        <v>28127</v>
      </c>
      <c r="AA2159">
        <v>0.57146592653656136</v>
      </c>
      <c r="AB2159" t="str">
        <f>HYPERLINK("Melting_Curves/meltCurve_P11142_HSPA8.pdf", "Melting_Curves/meltCurve_P11142_HSPA8.pdf")</f>
        <v>Melting_Curves/meltCurve_P11142_HSPA8.pdf</v>
      </c>
    </row>
    <row r="2160" spans="1:28" x14ac:dyDescent="0.25">
      <c r="A2160" t="s">
        <v>2164</v>
      </c>
      <c r="B2160">
        <v>0.99472303558308395</v>
      </c>
      <c r="C2160">
        <v>0.98908983901472203</v>
      </c>
      <c r="D2160">
        <v>0.92835450757147098</v>
      </c>
      <c r="E2160">
        <v>0.84423441699718604</v>
      </c>
      <c r="F2160">
        <v>0.659973826116247</v>
      </c>
      <c r="G2160">
        <v>0.48780585455533598</v>
      </c>
      <c r="H2160">
        <v>0.43362235773214203</v>
      </c>
      <c r="I2160">
        <v>0.42059591862255602</v>
      </c>
      <c r="J2160">
        <v>0.53253372970802104</v>
      </c>
      <c r="K2160">
        <v>0.61050130466902697</v>
      </c>
      <c r="L2160">
        <v>1173.6283944905799</v>
      </c>
      <c r="M2160">
        <v>24.380366303829501</v>
      </c>
      <c r="N2160">
        <v>57.958127789434002</v>
      </c>
      <c r="O2160">
        <v>47.817902485136301</v>
      </c>
      <c r="P2160">
        <v>-6.4757491637602096E-2</v>
      </c>
      <c r="Q2160">
        <v>0.49196474431819598</v>
      </c>
      <c r="R2160">
        <v>0.93584318923397802</v>
      </c>
      <c r="S2160" t="s">
        <v>8728</v>
      </c>
      <c r="T2160" t="s">
        <v>13134</v>
      </c>
      <c r="U2160" t="s">
        <v>13134</v>
      </c>
      <c r="V2160" t="s">
        <v>13134</v>
      </c>
      <c r="W2160" t="s">
        <v>15253</v>
      </c>
      <c r="X2160">
        <v>8</v>
      </c>
      <c r="Y2160" t="s">
        <v>21717</v>
      </c>
      <c r="Z2160" t="s">
        <v>28128</v>
      </c>
      <c r="AA2160">
        <v>0.68514355580835351</v>
      </c>
      <c r="AB2160" t="str">
        <f>HYPERLINK("Melting_Curves/meltCurve_P11166_SLC2A1.pdf", "Melting_Curves/meltCurve_P11166_SLC2A1.pdf")</f>
        <v>Melting_Curves/meltCurve_P11166_SLC2A1.pdf</v>
      </c>
    </row>
    <row r="2161" spans="1:28" x14ac:dyDescent="0.25">
      <c r="A2161" t="s">
        <v>2165</v>
      </c>
      <c r="B2161">
        <v>0.99472303558308395</v>
      </c>
      <c r="C2161">
        <v>1.0648033995690001</v>
      </c>
      <c r="D2161">
        <v>1.0176658630609099</v>
      </c>
      <c r="E2161">
        <v>0.99647631078551702</v>
      </c>
      <c r="F2161">
        <v>0.91434827800568796</v>
      </c>
      <c r="G2161">
        <v>0.74059474038948303</v>
      </c>
      <c r="H2161">
        <v>0.65564065778338998</v>
      </c>
      <c r="I2161">
        <v>0.77356213986917199</v>
      </c>
      <c r="J2161">
        <v>0.97011450520017595</v>
      </c>
      <c r="K2161">
        <v>0.97375873369947097</v>
      </c>
      <c r="L2161">
        <v>12553.3782440866</v>
      </c>
      <c r="M2161">
        <v>250</v>
      </c>
      <c r="O2161">
        <v>50.210313521570598</v>
      </c>
      <c r="P2161">
        <v>-0.220654234920586</v>
      </c>
      <c r="Q2161">
        <v>0.82273415594516697</v>
      </c>
      <c r="R2161">
        <v>0.49290668787023401</v>
      </c>
      <c r="S2161" t="s">
        <v>8729</v>
      </c>
      <c r="T2161" t="s">
        <v>13134</v>
      </c>
      <c r="U2161" t="s">
        <v>13134</v>
      </c>
      <c r="V2161" t="s">
        <v>13134</v>
      </c>
      <c r="W2161" t="s">
        <v>15254</v>
      </c>
      <c r="X2161">
        <v>13</v>
      </c>
      <c r="Y2161" t="s">
        <v>21718</v>
      </c>
      <c r="Z2161" t="s">
        <v>28129</v>
      </c>
      <c r="AA2161">
        <v>0.90082659499805429</v>
      </c>
      <c r="AB2161" t="str">
        <f>HYPERLINK("Melting_Curves/meltCurve_P11169_SLC2A3.pdf", "Melting_Curves/meltCurve_P11169_SLC2A3.pdf")</f>
        <v>Melting_Curves/meltCurve_P11169_SLC2A3.pdf</v>
      </c>
    </row>
    <row r="2162" spans="1:28" x14ac:dyDescent="0.25">
      <c r="A2162" t="s">
        <v>2166</v>
      </c>
      <c r="B2162">
        <v>0.99472303558308395</v>
      </c>
      <c r="C2162">
        <v>1.04480007170739</v>
      </c>
      <c r="D2162">
        <v>1.0319211101429899</v>
      </c>
      <c r="E2162">
        <v>0.900032896758025</v>
      </c>
      <c r="F2162">
        <v>0.49477341536868502</v>
      </c>
      <c r="G2162">
        <v>0.118767135350849</v>
      </c>
      <c r="H2162">
        <v>5.8371073968868703E-2</v>
      </c>
      <c r="I2162">
        <v>3.7690178052162099E-2</v>
      </c>
      <c r="J2162">
        <v>4.70992075232681E-2</v>
      </c>
      <c r="K2162">
        <v>3.5089387030168E-2</v>
      </c>
      <c r="L2162">
        <v>1594.3453679035999</v>
      </c>
      <c r="M2162">
        <v>31.889942908938501</v>
      </c>
      <c r="N2162">
        <v>50.1192471572908</v>
      </c>
      <c r="O2162">
        <v>49.799875705245299</v>
      </c>
      <c r="P2162">
        <v>-0.15401808279052201</v>
      </c>
      <c r="Q2162">
        <v>3.7935911927308302E-2</v>
      </c>
      <c r="R2162">
        <v>0.99799207064860895</v>
      </c>
      <c r="S2162" t="s">
        <v>8730</v>
      </c>
      <c r="T2162" t="s">
        <v>13134</v>
      </c>
      <c r="U2162" t="s">
        <v>13134</v>
      </c>
      <c r="V2162" t="s">
        <v>13134</v>
      </c>
      <c r="W2162" t="s">
        <v>15255</v>
      </c>
      <c r="X2162">
        <v>35</v>
      </c>
      <c r="Y2162" t="s">
        <v>21719</v>
      </c>
      <c r="Z2162" t="s">
        <v>28130</v>
      </c>
      <c r="AA2162">
        <v>0.45990719496574389</v>
      </c>
      <c r="AB2162" t="str">
        <f>HYPERLINK("Melting_Curves/meltCurve_P11171_EPB41.pdf", "Melting_Curves/meltCurve_P11171_EPB41.pdf")</f>
        <v>Melting_Curves/meltCurve_P11171_EPB41.pdf</v>
      </c>
    </row>
    <row r="2163" spans="1:28" x14ac:dyDescent="0.25">
      <c r="A2163" t="s">
        <v>2167</v>
      </c>
      <c r="B2163">
        <v>0.99472303558308395</v>
      </c>
      <c r="C2163">
        <v>0.98057130355691602</v>
      </c>
      <c r="D2163">
        <v>0.96062027020516205</v>
      </c>
      <c r="E2163">
        <v>0.819137493634984</v>
      </c>
      <c r="F2163">
        <v>0.48272075595270397</v>
      </c>
      <c r="G2163">
        <v>0.10889023355911</v>
      </c>
      <c r="H2163">
        <v>7.4467198685984795E-2</v>
      </c>
      <c r="I2163">
        <v>4.7314802449006502E-2</v>
      </c>
      <c r="J2163">
        <v>5.5403399279621901E-2</v>
      </c>
      <c r="K2163">
        <v>6.9293940727001402E-2</v>
      </c>
      <c r="L2163">
        <v>1266.5798523271601</v>
      </c>
      <c r="M2163">
        <v>25.551114435059599</v>
      </c>
      <c r="N2163">
        <v>49.7534220512388</v>
      </c>
      <c r="O2163">
        <v>49.2697873916444</v>
      </c>
      <c r="P2163">
        <v>-0.123836184852647</v>
      </c>
      <c r="Q2163">
        <v>4.4846787308199701E-2</v>
      </c>
      <c r="R2163">
        <v>0.99665624162521504</v>
      </c>
      <c r="S2163" t="s">
        <v>8731</v>
      </c>
      <c r="T2163" t="s">
        <v>13134</v>
      </c>
      <c r="U2163" t="s">
        <v>13134</v>
      </c>
      <c r="V2163" t="s">
        <v>13134</v>
      </c>
      <c r="W2163" t="s">
        <v>15256</v>
      </c>
      <c r="X2163">
        <v>32</v>
      </c>
      <c r="Y2163" t="s">
        <v>21719</v>
      </c>
      <c r="Z2163" t="s">
        <v>28131</v>
      </c>
      <c r="AA2163">
        <v>0.45304053909990338</v>
      </c>
      <c r="AB2163" t="str">
        <f>HYPERLINK("Melting_Curves/meltCurve_P11171_4_EPB41.pdf", "Melting_Curves/meltCurve_P11171_4_EPB41.pdf")</f>
        <v>Melting_Curves/meltCurve_P11171_4_EPB41.pdf</v>
      </c>
    </row>
    <row r="2164" spans="1:28" x14ac:dyDescent="0.25">
      <c r="A2164" t="s">
        <v>2168</v>
      </c>
      <c r="B2164">
        <v>0.99472303558308395</v>
      </c>
      <c r="C2164">
        <v>0.96539453643033701</v>
      </c>
      <c r="D2164">
        <v>0.99530488865570399</v>
      </c>
      <c r="E2164">
        <v>0.89548598955250702</v>
      </c>
      <c r="F2164">
        <v>0.70456198178204199</v>
      </c>
      <c r="G2164">
        <v>0.51780186856826904</v>
      </c>
      <c r="H2164">
        <v>0.24410423970828299</v>
      </c>
      <c r="I2164">
        <v>0.105361251984015</v>
      </c>
      <c r="J2164">
        <v>0.103488884258534</v>
      </c>
      <c r="K2164">
        <v>0.121210750381157</v>
      </c>
      <c r="L2164">
        <v>866.88471611692</v>
      </c>
      <c r="M2164">
        <v>16.359201949384001</v>
      </c>
      <c r="N2164">
        <v>53.353285241120801</v>
      </c>
      <c r="O2164">
        <v>52.217827879178401</v>
      </c>
      <c r="P2164">
        <v>-7.4206337176029105E-2</v>
      </c>
      <c r="Q2164">
        <v>5.2615411080780598E-2</v>
      </c>
      <c r="R2164">
        <v>0.99397500974529196</v>
      </c>
      <c r="S2164" t="s">
        <v>8732</v>
      </c>
      <c r="T2164" t="s">
        <v>13134</v>
      </c>
      <c r="U2164" t="s">
        <v>13134</v>
      </c>
      <c r="V2164" t="s">
        <v>13134</v>
      </c>
      <c r="W2164" t="s">
        <v>15257</v>
      </c>
      <c r="X2164">
        <v>29</v>
      </c>
      <c r="Y2164" t="s">
        <v>21720</v>
      </c>
      <c r="Z2164" t="s">
        <v>28132</v>
      </c>
      <c r="AA2164">
        <v>0.57305133536896946</v>
      </c>
      <c r="AB2164" t="str">
        <f>HYPERLINK("Melting_Curves/meltCurve_P11172_UMPS.pdf", "Melting_Curves/meltCurve_P11172_UMPS.pdf")</f>
        <v>Melting_Curves/meltCurve_P11172_UMPS.pdf</v>
      </c>
    </row>
    <row r="2165" spans="1:28" x14ac:dyDescent="0.25">
      <c r="A2165" t="s">
        <v>2169</v>
      </c>
      <c r="B2165">
        <v>0.99472303558308395</v>
      </c>
      <c r="C2165">
        <v>1.0091382277107701</v>
      </c>
      <c r="D2165">
        <v>0.93558626220561902</v>
      </c>
      <c r="E2165">
        <v>0.95643502009608905</v>
      </c>
      <c r="F2165">
        <v>0.74856570004952705</v>
      </c>
      <c r="G2165">
        <v>0.23132244624822099</v>
      </c>
      <c r="H2165">
        <v>0.11111160356605</v>
      </c>
      <c r="I2165">
        <v>7.4987870393228295E-2</v>
      </c>
      <c r="J2165">
        <v>7.9481246562844998E-2</v>
      </c>
      <c r="K2165">
        <v>7.4500803638894497E-2</v>
      </c>
      <c r="L2165">
        <v>1866.24578778623</v>
      </c>
      <c r="M2165">
        <v>36.233231762709302</v>
      </c>
      <c r="N2165">
        <v>51.745755729025902</v>
      </c>
      <c r="O2165">
        <v>51.350337301877801</v>
      </c>
      <c r="P2165">
        <v>-0.16279577073632501</v>
      </c>
      <c r="Q2165">
        <v>7.7135503549828593E-2</v>
      </c>
      <c r="R2165">
        <v>0.99707420335610197</v>
      </c>
      <c r="S2165" t="s">
        <v>8733</v>
      </c>
      <c r="T2165" t="s">
        <v>13134</v>
      </c>
      <c r="U2165" t="s">
        <v>13134</v>
      </c>
      <c r="V2165" t="s">
        <v>13134</v>
      </c>
      <c r="W2165" t="s">
        <v>15258</v>
      </c>
      <c r="X2165">
        <v>9</v>
      </c>
      <c r="Y2165" t="s">
        <v>21721</v>
      </c>
      <c r="Z2165" t="s">
        <v>28133</v>
      </c>
      <c r="AA2165">
        <v>0.5273805956502956</v>
      </c>
      <c r="AB2165" t="str">
        <f>HYPERLINK("Melting_Curves/meltCurve_P11177_3_PDHB.pdf", "Melting_Curves/meltCurve_P11177_3_PDHB.pdf")</f>
        <v>Melting_Curves/meltCurve_P11177_3_PDHB.pdf</v>
      </c>
    </row>
    <row r="2166" spans="1:28" x14ac:dyDescent="0.25">
      <c r="A2166" t="s">
        <v>2170</v>
      </c>
      <c r="B2166">
        <v>0.99472303558308395</v>
      </c>
      <c r="C2166">
        <v>1.0306219914905099</v>
      </c>
      <c r="D2166">
        <v>0.81382533395551404</v>
      </c>
      <c r="E2166">
        <v>0.71266095888758796</v>
      </c>
      <c r="F2166">
        <v>0.59502652304161197</v>
      </c>
      <c r="G2166">
        <v>0.326743158077479</v>
      </c>
      <c r="H2166">
        <v>0.18463120514159401</v>
      </c>
      <c r="I2166">
        <v>0.102733740746211</v>
      </c>
      <c r="J2166">
        <v>8.8480326541868798E-2</v>
      </c>
      <c r="K2166">
        <v>8.8032696415035805E-2</v>
      </c>
      <c r="L2166">
        <v>584.46204994996594</v>
      </c>
      <c r="M2166">
        <v>11.5326315180624</v>
      </c>
      <c r="N2166">
        <v>50.708743173919899</v>
      </c>
      <c r="O2166">
        <v>49.2270649967857</v>
      </c>
      <c r="P2166">
        <v>-5.8387425219448903E-2</v>
      </c>
      <c r="Q2166">
        <v>3.37272238058006E-3</v>
      </c>
      <c r="R2166">
        <v>0.98638892765139896</v>
      </c>
      <c r="S2166" t="s">
        <v>8734</v>
      </c>
      <c r="T2166" t="s">
        <v>13134</v>
      </c>
      <c r="U2166" t="s">
        <v>13134</v>
      </c>
      <c r="V2166" t="s">
        <v>13134</v>
      </c>
      <c r="W2166" t="s">
        <v>15259</v>
      </c>
      <c r="X2166">
        <v>4</v>
      </c>
      <c r="Y2166" t="s">
        <v>21722</v>
      </c>
      <c r="Z2166" t="s">
        <v>28134</v>
      </c>
      <c r="AA2166">
        <v>0.4855094080101206</v>
      </c>
      <c r="AB2166" t="str">
        <f>HYPERLINK("Melting_Curves/meltCurve_P11182_DBT.pdf", "Melting_Curves/meltCurve_P11182_DBT.pdf")</f>
        <v>Melting_Curves/meltCurve_P11182_DBT.pdf</v>
      </c>
    </row>
    <row r="2167" spans="1:28" x14ac:dyDescent="0.25">
      <c r="A2167" t="s">
        <v>2171</v>
      </c>
      <c r="B2167">
        <v>0.99472303558308395</v>
      </c>
      <c r="C2167">
        <v>0.93639300818423898</v>
      </c>
      <c r="D2167">
        <v>0.98638355686952295</v>
      </c>
      <c r="E2167">
        <v>0.93760788973202203</v>
      </c>
      <c r="F2167">
        <v>0.82631619007883095</v>
      </c>
      <c r="G2167">
        <v>0.65116728518557698</v>
      </c>
      <c r="H2167">
        <v>0.43927801491566199</v>
      </c>
      <c r="I2167">
        <v>0.61921489080050995</v>
      </c>
      <c r="J2167">
        <v>0.59836959693275205</v>
      </c>
      <c r="K2167">
        <v>0.50054331246539396</v>
      </c>
      <c r="L2167">
        <v>1431.3603475766499</v>
      </c>
      <c r="M2167">
        <v>28.086111030224</v>
      </c>
      <c r="O2167">
        <v>50.7070184095315</v>
      </c>
      <c r="P2167">
        <v>-6.3752791754085797E-2</v>
      </c>
      <c r="Q2167">
        <v>0.53960352699960401</v>
      </c>
      <c r="R2167">
        <v>0.92344498988864798</v>
      </c>
      <c r="S2167" t="s">
        <v>8735</v>
      </c>
      <c r="T2167" t="s">
        <v>13134</v>
      </c>
      <c r="U2167" t="s">
        <v>13134</v>
      </c>
      <c r="V2167" t="s">
        <v>13134</v>
      </c>
      <c r="W2167" t="s">
        <v>15260</v>
      </c>
      <c r="X2167">
        <v>16</v>
      </c>
      <c r="Y2167" t="s">
        <v>21723</v>
      </c>
      <c r="Z2167" t="s">
        <v>28135</v>
      </c>
      <c r="AA2167">
        <v>0.75714920709083455</v>
      </c>
      <c r="AB2167" t="str">
        <f>HYPERLINK("Melting_Curves/meltCurve_P11233_RALA.pdf", "Melting_Curves/meltCurve_P11233_RALA.pdf")</f>
        <v>Melting_Curves/meltCurve_P11233_RALA.pdf</v>
      </c>
    </row>
    <row r="2168" spans="1:28" x14ac:dyDescent="0.25">
      <c r="A2168" t="s">
        <v>2172</v>
      </c>
      <c r="B2168">
        <v>0.99472303558308395</v>
      </c>
      <c r="C2168">
        <v>0.91593461020245504</v>
      </c>
      <c r="D2168">
        <v>0.99970466436868899</v>
      </c>
      <c r="E2168">
        <v>0.85358696271360501</v>
      </c>
      <c r="F2168">
        <v>0.56983600292984204</v>
      </c>
      <c r="G2168">
        <v>0.472725955527387</v>
      </c>
      <c r="H2168">
        <v>0.45748067647658902</v>
      </c>
      <c r="I2168">
        <v>0.439211564574015</v>
      </c>
      <c r="J2168">
        <v>0.48133636297097698</v>
      </c>
      <c r="K2168">
        <v>0.21975314989464201</v>
      </c>
      <c r="L2168">
        <v>1027.8469633551299</v>
      </c>
      <c r="M2168">
        <v>21.0607723984178</v>
      </c>
      <c r="N2168">
        <v>52.505626696212701</v>
      </c>
      <c r="O2168">
        <v>48.370233195746899</v>
      </c>
      <c r="P2168">
        <v>-6.6757382034566604E-2</v>
      </c>
      <c r="Q2168">
        <v>0.386729922767165</v>
      </c>
      <c r="R2168">
        <v>0.92729653457799499</v>
      </c>
      <c r="S2168" t="s">
        <v>8736</v>
      </c>
      <c r="T2168" t="s">
        <v>13134</v>
      </c>
      <c r="U2168" t="s">
        <v>13134</v>
      </c>
      <c r="V2168" t="s">
        <v>13134</v>
      </c>
      <c r="W2168" t="s">
        <v>15261</v>
      </c>
      <c r="X2168">
        <v>11</v>
      </c>
      <c r="Y2168" t="s">
        <v>21724</v>
      </c>
      <c r="Z2168" t="s">
        <v>28136</v>
      </c>
      <c r="AA2168">
        <v>0.63536714596114152</v>
      </c>
      <c r="AB2168" t="str">
        <f>HYPERLINK("Melting_Curves/meltCurve_P11234_RALB.pdf", "Melting_Curves/meltCurve_P11234_RALB.pdf")</f>
        <v>Melting_Curves/meltCurve_P11234_RALB.pdf</v>
      </c>
    </row>
    <row r="2169" spans="1:28" x14ac:dyDescent="0.25">
      <c r="A2169" t="s">
        <v>2173</v>
      </c>
      <c r="B2169">
        <v>0.99472303558308395</v>
      </c>
      <c r="C2169">
        <v>0.77237859224018901</v>
      </c>
      <c r="D2169">
        <v>0.49824061939063202</v>
      </c>
      <c r="E2169">
        <v>0.248240611909475</v>
      </c>
      <c r="F2169">
        <v>0.15159286428292901</v>
      </c>
      <c r="G2169">
        <v>7.8170905418085607E-2</v>
      </c>
      <c r="H2169">
        <v>9.4852455888350895E-2</v>
      </c>
      <c r="I2169">
        <v>5.1523796708143901E-2</v>
      </c>
      <c r="J2169">
        <v>7.5281371837693997E-2</v>
      </c>
      <c r="K2169">
        <v>9.7571544920988199E-2</v>
      </c>
      <c r="L2169">
        <v>773.38344633364397</v>
      </c>
      <c r="M2169">
        <v>18.139595673045399</v>
      </c>
      <c r="N2169">
        <v>43.028598424155803</v>
      </c>
      <c r="O2169">
        <v>42.127071522001998</v>
      </c>
      <c r="P2169">
        <v>-9.9425736732050102E-2</v>
      </c>
      <c r="Q2169">
        <v>7.6426024734481707E-2</v>
      </c>
      <c r="R2169">
        <v>0.99501709689906803</v>
      </c>
      <c r="S2169" t="s">
        <v>8737</v>
      </c>
      <c r="T2169" t="s">
        <v>13134</v>
      </c>
      <c r="U2169" t="s">
        <v>13134</v>
      </c>
      <c r="V2169" t="s">
        <v>13134</v>
      </c>
      <c r="W2169" t="s">
        <v>15262</v>
      </c>
      <c r="X2169">
        <v>10</v>
      </c>
      <c r="Y2169" t="s">
        <v>21725</v>
      </c>
      <c r="Z2169" t="s">
        <v>28137</v>
      </c>
      <c r="AA2169">
        <v>0.26639353961686107</v>
      </c>
      <c r="AB2169" t="str">
        <f>HYPERLINK("Melting_Curves/meltCurve_P11274_2_BCR.pdf", "Melting_Curves/meltCurve_P11274_2_BCR.pdf")</f>
        <v>Melting_Curves/meltCurve_P11274_2_BCR.pdf</v>
      </c>
    </row>
    <row r="2170" spans="1:28" x14ac:dyDescent="0.25">
      <c r="A2170" t="s">
        <v>2174</v>
      </c>
      <c r="B2170">
        <v>0.99472303558308395</v>
      </c>
      <c r="C2170">
        <v>0.950511003154074</v>
      </c>
      <c r="D2170">
        <v>0.83858377805969797</v>
      </c>
      <c r="E2170">
        <v>0.42138623985061602</v>
      </c>
      <c r="F2170">
        <v>0.15843611153354301</v>
      </c>
      <c r="G2170">
        <v>9.2035479268966394E-2</v>
      </c>
      <c r="H2170">
        <v>6.3087324010404705E-2</v>
      </c>
      <c r="I2170">
        <v>4.3612535818609001E-2</v>
      </c>
      <c r="J2170">
        <v>5.03599872476845E-2</v>
      </c>
      <c r="K2170">
        <v>4.0166135000839799E-2</v>
      </c>
      <c r="L2170">
        <v>1059.34831458027</v>
      </c>
      <c r="M2170">
        <v>23.140350291145499</v>
      </c>
      <c r="N2170">
        <v>45.982782335552699</v>
      </c>
      <c r="O2170">
        <v>45.441514376106099</v>
      </c>
      <c r="P2170">
        <v>-0.121114211994667</v>
      </c>
      <c r="Q2170">
        <v>4.8672942161204401E-2</v>
      </c>
      <c r="R2170">
        <v>0.99935264822459702</v>
      </c>
      <c r="S2170" t="s">
        <v>8738</v>
      </c>
      <c r="T2170" t="s">
        <v>13134</v>
      </c>
      <c r="U2170" t="s">
        <v>13134</v>
      </c>
      <c r="V2170" t="s">
        <v>13134</v>
      </c>
      <c r="W2170" t="s">
        <v>15263</v>
      </c>
      <c r="X2170">
        <v>60</v>
      </c>
      <c r="Y2170" t="s">
        <v>21726</v>
      </c>
      <c r="Z2170" t="s">
        <v>28138</v>
      </c>
      <c r="AA2170">
        <v>0.33629154109502768</v>
      </c>
      <c r="AB2170" t="str">
        <f>HYPERLINK("Melting_Curves/meltCurve_P11277_3_SPTB.pdf", "Melting_Curves/meltCurve_P11277_3_SPTB.pdf")</f>
        <v>Melting_Curves/meltCurve_P11277_3_SPTB.pdf</v>
      </c>
    </row>
    <row r="2171" spans="1:28" x14ac:dyDescent="0.25">
      <c r="A2171" t="s">
        <v>2175</v>
      </c>
      <c r="B2171">
        <v>0.99472303558308395</v>
      </c>
      <c r="C2171">
        <v>0.95097979353116702</v>
      </c>
      <c r="D2171">
        <v>1.04844928012036</v>
      </c>
      <c r="E2171">
        <v>0.94482866258557596</v>
      </c>
      <c r="F2171">
        <v>0.72308509679735999</v>
      </c>
      <c r="G2171">
        <v>0.64270888387012004</v>
      </c>
      <c r="H2171">
        <v>0.43075057058640898</v>
      </c>
      <c r="I2171">
        <v>0.58297433848095603</v>
      </c>
      <c r="J2171">
        <v>0.59977976110612696</v>
      </c>
      <c r="K2171">
        <v>0.66376628074785105</v>
      </c>
      <c r="L2171">
        <v>1706.4280680862601</v>
      </c>
      <c r="M2171">
        <v>34.605118588309203</v>
      </c>
      <c r="O2171">
        <v>49.1476384736781</v>
      </c>
      <c r="P2171">
        <v>-7.4276935691747703E-2</v>
      </c>
      <c r="Q2171">
        <v>0.57803673932740296</v>
      </c>
      <c r="R2171">
        <v>0.90635601617032202</v>
      </c>
      <c r="S2171" t="s">
        <v>8739</v>
      </c>
      <c r="T2171" t="s">
        <v>13134</v>
      </c>
      <c r="U2171" t="s">
        <v>13134</v>
      </c>
      <c r="V2171" t="s">
        <v>13134</v>
      </c>
      <c r="W2171" t="s">
        <v>15264</v>
      </c>
      <c r="X2171">
        <v>4</v>
      </c>
      <c r="Y2171" t="s">
        <v>21727</v>
      </c>
      <c r="Z2171" t="s">
        <v>28139</v>
      </c>
      <c r="AA2171">
        <v>0.7531263293257292</v>
      </c>
      <c r="AB2171" t="str">
        <f>HYPERLINK("Melting_Curves/meltCurve_P11279_LAMP1.pdf", "Melting_Curves/meltCurve_P11279_LAMP1.pdf")</f>
        <v>Melting_Curves/meltCurve_P11279_LAMP1.pdf</v>
      </c>
    </row>
    <row r="2172" spans="1:28" x14ac:dyDescent="0.25">
      <c r="A2172" t="s">
        <v>2176</v>
      </c>
      <c r="B2172">
        <v>0.99472303558308395</v>
      </c>
      <c r="C2172">
        <v>0.80655492107631199</v>
      </c>
      <c r="D2172">
        <v>0.90815079510588803</v>
      </c>
      <c r="E2172">
        <v>0.35331278056686499</v>
      </c>
      <c r="F2172">
        <v>0.13908432769742099</v>
      </c>
      <c r="G2172">
        <v>7.9180185295714897E-2</v>
      </c>
      <c r="H2172">
        <v>4.8629940886917501E-2</v>
      </c>
      <c r="I2172">
        <v>3.6494540746810702E-2</v>
      </c>
      <c r="J2172">
        <v>4.5593155259847598E-2</v>
      </c>
      <c r="K2172">
        <v>3.4301662493295998E-2</v>
      </c>
      <c r="L2172">
        <v>1252.2688118869801</v>
      </c>
      <c r="M2172">
        <v>27.4777625431819</v>
      </c>
      <c r="N2172">
        <v>45.736776339173097</v>
      </c>
      <c r="O2172">
        <v>45.334577542008603</v>
      </c>
      <c r="P2172">
        <v>-0.144466497304715</v>
      </c>
      <c r="Q2172">
        <v>4.6608574299629703E-2</v>
      </c>
      <c r="R2172">
        <v>0.97460042933666302</v>
      </c>
      <c r="S2172" t="s">
        <v>8740</v>
      </c>
      <c r="T2172" t="s">
        <v>13134</v>
      </c>
      <c r="U2172" t="s">
        <v>13134</v>
      </c>
      <c r="V2172" t="s">
        <v>13134</v>
      </c>
      <c r="W2172" t="s">
        <v>15265</v>
      </c>
      <c r="X2172">
        <v>34</v>
      </c>
      <c r="Y2172" t="s">
        <v>21728</v>
      </c>
      <c r="Z2172" t="s">
        <v>28140</v>
      </c>
      <c r="AA2172">
        <v>0.32555282456185342</v>
      </c>
      <c r="AB2172" t="str">
        <f>HYPERLINK("Melting_Curves/meltCurve_P11387_TOP1.pdf", "Melting_Curves/meltCurve_P11387_TOP1.pdf")</f>
        <v>Melting_Curves/meltCurve_P11387_TOP1.pdf</v>
      </c>
    </row>
    <row r="2173" spans="1:28" x14ac:dyDescent="0.25">
      <c r="A2173" t="s">
        <v>2177</v>
      </c>
      <c r="B2173">
        <v>0.99472303558308395</v>
      </c>
      <c r="C2173">
        <v>0.90811549987692997</v>
      </c>
      <c r="D2173">
        <v>0.70383888177849496</v>
      </c>
      <c r="E2173">
        <v>0.42109913810535698</v>
      </c>
      <c r="F2173">
        <v>0.110108151762514</v>
      </c>
      <c r="G2173">
        <v>6.8909249452499502E-2</v>
      </c>
      <c r="H2173">
        <v>4.3216819134512398E-2</v>
      </c>
      <c r="I2173">
        <v>3.46057584064665E-2</v>
      </c>
      <c r="J2173">
        <v>4.56405402877995E-2</v>
      </c>
      <c r="K2173">
        <v>3.6201268358308003E-2</v>
      </c>
      <c r="L2173">
        <v>829.75628631819302</v>
      </c>
      <c r="M2173">
        <v>18.378673399284899</v>
      </c>
      <c r="N2173">
        <v>45.277006254880398</v>
      </c>
      <c r="O2173">
        <v>44.623449044658202</v>
      </c>
      <c r="P2173">
        <v>-0.100339370426706</v>
      </c>
      <c r="Q2173">
        <v>2.5547669656275401E-2</v>
      </c>
      <c r="R2173">
        <v>0.99622888602027704</v>
      </c>
      <c r="S2173" t="s">
        <v>8741</v>
      </c>
      <c r="T2173" t="s">
        <v>13134</v>
      </c>
      <c r="U2173" t="s">
        <v>13134</v>
      </c>
      <c r="V2173" t="s">
        <v>13134</v>
      </c>
      <c r="W2173" t="s">
        <v>15266</v>
      </c>
      <c r="X2173">
        <v>49</v>
      </c>
      <c r="Y2173" t="s">
        <v>21729</v>
      </c>
      <c r="Z2173" t="s">
        <v>28141</v>
      </c>
      <c r="AA2173">
        <v>0.30545525119992373</v>
      </c>
      <c r="AB2173" t="str">
        <f>HYPERLINK("Melting_Curves/meltCurve_P11388_TOP2A.pdf", "Melting_Curves/meltCurve_P11388_TOP2A.pdf")</f>
        <v>Melting_Curves/meltCurve_P11388_TOP2A.pdf</v>
      </c>
    </row>
    <row r="2174" spans="1:28" x14ac:dyDescent="0.25">
      <c r="A2174" t="s">
        <v>2178</v>
      </c>
      <c r="B2174">
        <v>0.99472303558308395</v>
      </c>
      <c r="C2174">
        <v>0.96794005815643502</v>
      </c>
      <c r="D2174">
        <v>0.98156620920745397</v>
      </c>
      <c r="E2174">
        <v>0.90995118785655704</v>
      </c>
      <c r="F2174">
        <v>0.72571901861268295</v>
      </c>
      <c r="G2174">
        <v>0.49997051867940201</v>
      </c>
      <c r="H2174">
        <v>0.25781780495570999</v>
      </c>
      <c r="I2174">
        <v>6.2846579590375595E-2</v>
      </c>
      <c r="J2174">
        <v>5.3594169823449098E-2</v>
      </c>
      <c r="K2174">
        <v>5.6902014517898697E-2</v>
      </c>
      <c r="L2174">
        <v>880.25964966547997</v>
      </c>
      <c r="M2174">
        <v>16.468375811550299</v>
      </c>
      <c r="N2174">
        <v>53.451515760660001</v>
      </c>
      <c r="O2174">
        <v>52.6820318325138</v>
      </c>
      <c r="P2174">
        <v>-7.8155370781751998E-2</v>
      </c>
      <c r="Q2174">
        <v>0</v>
      </c>
      <c r="R2174">
        <v>0.99645217080478399</v>
      </c>
      <c r="S2174" t="s">
        <v>8742</v>
      </c>
      <c r="T2174" t="s">
        <v>13134</v>
      </c>
      <c r="U2174" t="s">
        <v>13134</v>
      </c>
      <c r="V2174" t="s">
        <v>13134</v>
      </c>
      <c r="W2174" t="s">
        <v>15267</v>
      </c>
      <c r="X2174">
        <v>37</v>
      </c>
      <c r="Y2174" t="s">
        <v>21730</v>
      </c>
      <c r="Z2174" t="s">
        <v>28142</v>
      </c>
      <c r="AA2174">
        <v>0.56407764121071913</v>
      </c>
      <c r="AB2174" t="str">
        <f>HYPERLINK("Melting_Curves/meltCurve_P11413_G6PD.pdf", "Melting_Curves/meltCurve_P11413_G6PD.pdf")</f>
        <v>Melting_Curves/meltCurve_P11413_G6PD.pdf</v>
      </c>
    </row>
    <row r="2175" spans="1:28" x14ac:dyDescent="0.25">
      <c r="A2175" t="s">
        <v>2179</v>
      </c>
      <c r="B2175">
        <v>0.99472303558308395</v>
      </c>
      <c r="C2175">
        <v>0.99379421914763999</v>
      </c>
      <c r="D2175">
        <v>0.817223028016832</v>
      </c>
      <c r="E2175">
        <v>0.61699375367097298</v>
      </c>
      <c r="F2175">
        <v>0.246171756156781</v>
      </c>
      <c r="G2175">
        <v>8.7785022192696405E-2</v>
      </c>
      <c r="H2175">
        <v>6.8740560785608903E-2</v>
      </c>
      <c r="I2175">
        <v>9.25253085506728E-2</v>
      </c>
      <c r="J2175">
        <v>0.103767046489307</v>
      </c>
      <c r="K2175">
        <v>7.8686385352157606E-2</v>
      </c>
      <c r="L2175">
        <v>977.53524757721095</v>
      </c>
      <c r="M2175">
        <v>20.823369650673399</v>
      </c>
      <c r="N2175">
        <v>47.278759503806199</v>
      </c>
      <c r="O2175">
        <v>46.517635808986299</v>
      </c>
      <c r="P2175">
        <v>-0.104246365647372</v>
      </c>
      <c r="Q2175">
        <v>6.8515842064805099E-2</v>
      </c>
      <c r="R2175">
        <v>0.99297642204234104</v>
      </c>
      <c r="S2175" t="s">
        <v>8743</v>
      </c>
      <c r="T2175" t="s">
        <v>13134</v>
      </c>
      <c r="U2175" t="s">
        <v>13134</v>
      </c>
      <c r="V2175" t="s">
        <v>13134</v>
      </c>
      <c r="W2175" t="s">
        <v>15268</v>
      </c>
      <c r="X2175">
        <v>9</v>
      </c>
      <c r="Y2175" t="s">
        <v>21731</v>
      </c>
      <c r="Z2175" t="s">
        <v>28143</v>
      </c>
      <c r="AA2175">
        <v>0.38853794287034732</v>
      </c>
      <c r="AB2175" t="str">
        <f>HYPERLINK("Melting_Curves/meltCurve_P11441_UBL4A.pdf", "Melting_Curves/meltCurve_P11441_UBL4A.pdf")</f>
        <v>Melting_Curves/meltCurve_P11441_UBL4A.pdf</v>
      </c>
    </row>
    <row r="2176" spans="1:28" x14ac:dyDescent="0.25">
      <c r="A2176" t="s">
        <v>2180</v>
      </c>
      <c r="B2176">
        <v>0.99472303558308395</v>
      </c>
      <c r="C2176">
        <v>1.1644104862332501</v>
      </c>
      <c r="D2176">
        <v>0.920687196965424</v>
      </c>
      <c r="E2176">
        <v>0.79957366182686196</v>
      </c>
      <c r="F2176">
        <v>0.44872672306329803</v>
      </c>
      <c r="G2176">
        <v>0.13102179419321</v>
      </c>
      <c r="H2176">
        <v>4.4867332662226499E-2</v>
      </c>
      <c r="I2176">
        <v>2.2572574115660798E-2</v>
      </c>
      <c r="J2176">
        <v>3.1794759964860198E-2</v>
      </c>
      <c r="K2176">
        <v>9.9526963681630699E-3</v>
      </c>
      <c r="L2176">
        <v>1124.0433413195001</v>
      </c>
      <c r="M2176">
        <v>22.694806189251601</v>
      </c>
      <c r="N2176">
        <v>49.569926569968302</v>
      </c>
      <c r="O2176">
        <v>49.1489014213982</v>
      </c>
      <c r="P2176">
        <v>-0.114360979768593</v>
      </c>
      <c r="Q2176">
        <v>9.3579301220141197E-3</v>
      </c>
      <c r="R2176">
        <v>0.98378681565175996</v>
      </c>
      <c r="S2176" t="s">
        <v>8744</v>
      </c>
      <c r="T2176" t="s">
        <v>13134</v>
      </c>
      <c r="U2176" t="s">
        <v>13134</v>
      </c>
      <c r="V2176" t="s">
        <v>13134</v>
      </c>
      <c r="W2176" t="s">
        <v>15269</v>
      </c>
      <c r="X2176">
        <v>7</v>
      </c>
      <c r="Y2176" t="s">
        <v>21732</v>
      </c>
      <c r="Z2176" t="s">
        <v>28144</v>
      </c>
      <c r="AA2176">
        <v>0.43342860720737542</v>
      </c>
      <c r="AB2176" t="str">
        <f>HYPERLINK("Melting_Curves/meltCurve_P11474_2_ESRRA.pdf", "Melting_Curves/meltCurve_P11474_2_ESRRA.pdf")</f>
        <v>Melting_Curves/meltCurve_P11474_2_ESRRA.pdf</v>
      </c>
    </row>
    <row r="2177" spans="1:28" x14ac:dyDescent="0.25">
      <c r="A2177" t="s">
        <v>2181</v>
      </c>
      <c r="B2177">
        <v>0.99472303558308395</v>
      </c>
      <c r="C2177">
        <v>1.0016008501473099</v>
      </c>
      <c r="D2177">
        <v>0.89921158319812</v>
      </c>
      <c r="E2177">
        <v>0.70657307482852405</v>
      </c>
      <c r="F2177">
        <v>0.31607979401977898</v>
      </c>
      <c r="G2177">
        <v>0.160078414145362</v>
      </c>
      <c r="H2177">
        <v>9.8690282282471106E-2</v>
      </c>
      <c r="I2177">
        <v>6.9588610173814E-2</v>
      </c>
      <c r="J2177">
        <v>6.6732097106276894E-2</v>
      </c>
      <c r="K2177">
        <v>6.0386990777361302E-2</v>
      </c>
      <c r="L2177">
        <v>1019.90573814943</v>
      </c>
      <c r="M2177">
        <v>21.2071067951758</v>
      </c>
      <c r="N2177">
        <v>48.395014855548098</v>
      </c>
      <c r="O2177">
        <v>47.671121271326598</v>
      </c>
      <c r="P2177">
        <v>-0.104317414812541</v>
      </c>
      <c r="Q2177">
        <v>6.2050001221807503E-2</v>
      </c>
      <c r="R2177">
        <v>0.99861804637094997</v>
      </c>
      <c r="S2177" t="s">
        <v>8745</v>
      </c>
      <c r="T2177" t="s">
        <v>13134</v>
      </c>
      <c r="U2177" t="s">
        <v>13134</v>
      </c>
      <c r="V2177" t="s">
        <v>13134</v>
      </c>
      <c r="W2177" t="s">
        <v>15270</v>
      </c>
      <c r="X2177">
        <v>26</v>
      </c>
      <c r="Y2177" t="s">
        <v>21733</v>
      </c>
      <c r="Z2177" t="s">
        <v>28145</v>
      </c>
      <c r="AA2177">
        <v>0.41988932025981662</v>
      </c>
      <c r="AB2177" t="str">
        <f>HYPERLINK("Melting_Curves/meltCurve_P11498_PC.pdf", "Melting_Curves/meltCurve_P11498_PC.pdf")</f>
        <v>Melting_Curves/meltCurve_P11498_PC.pdf</v>
      </c>
    </row>
    <row r="2178" spans="1:28" x14ac:dyDescent="0.25">
      <c r="A2178" t="s">
        <v>2182</v>
      </c>
      <c r="B2178">
        <v>0.99472303558308395</v>
      </c>
      <c r="C2178">
        <v>0.94682791736771199</v>
      </c>
      <c r="D2178">
        <v>0.75761089334369203</v>
      </c>
      <c r="E2178">
        <v>0.70354567835509796</v>
      </c>
      <c r="F2178">
        <v>0.74465859357972697</v>
      </c>
      <c r="G2178">
        <v>0.32292373856600398</v>
      </c>
      <c r="H2178">
        <v>0.15387824487188501</v>
      </c>
      <c r="I2178">
        <v>8.7965681405196894E-2</v>
      </c>
      <c r="J2178">
        <v>8.6880199927311205E-2</v>
      </c>
      <c r="K2178">
        <v>0.11670127882252899</v>
      </c>
      <c r="L2178">
        <v>566.88000266318204</v>
      </c>
      <c r="M2178">
        <v>11.092205939399401</v>
      </c>
      <c r="N2178">
        <v>51.106155287782698</v>
      </c>
      <c r="O2178">
        <v>49.529424812197803</v>
      </c>
      <c r="P2178">
        <v>-5.6006252261506101E-2</v>
      </c>
      <c r="Q2178">
        <v>0</v>
      </c>
      <c r="R2178">
        <v>0.94386713531123001</v>
      </c>
      <c r="S2178" t="s">
        <v>8746</v>
      </c>
      <c r="T2178" t="s">
        <v>13134</v>
      </c>
      <c r="U2178" t="s">
        <v>13134</v>
      </c>
      <c r="V2178" t="s">
        <v>13134</v>
      </c>
      <c r="W2178" t="s">
        <v>15271</v>
      </c>
      <c r="X2178">
        <v>82</v>
      </c>
      <c r="Y2178" t="s">
        <v>21734</v>
      </c>
      <c r="Z2178" t="s">
        <v>28146</v>
      </c>
      <c r="AA2178">
        <v>0.4979409033844312</v>
      </c>
      <c r="AB2178" t="str">
        <f>HYPERLINK("Melting_Curves/meltCurve_P11717_IGF2R.pdf", "Melting_Curves/meltCurve_P11717_IGF2R.pdf")</f>
        <v>Melting_Curves/meltCurve_P11717_IGF2R.pdf</v>
      </c>
    </row>
    <row r="2179" spans="1:28" x14ac:dyDescent="0.25">
      <c r="A2179" t="s">
        <v>2183</v>
      </c>
      <c r="B2179">
        <v>0.99472303558308395</v>
      </c>
      <c r="C2179">
        <v>0.96363258790283002</v>
      </c>
      <c r="D2179">
        <v>1.01022347286575</v>
      </c>
      <c r="E2179">
        <v>0.91438423013832104</v>
      </c>
      <c r="F2179">
        <v>0.73342745521369701</v>
      </c>
      <c r="G2179">
        <v>0.66040880217004905</v>
      </c>
      <c r="H2179">
        <v>0.47187853734979301</v>
      </c>
      <c r="I2179">
        <v>0.50644515896025499</v>
      </c>
      <c r="J2179">
        <v>0.554924297574651</v>
      </c>
      <c r="K2179">
        <v>0.263204993231484</v>
      </c>
      <c r="L2179">
        <v>616.79872324340704</v>
      </c>
      <c r="M2179">
        <v>11.625905875293601</v>
      </c>
      <c r="N2179">
        <v>58.789050395473197</v>
      </c>
      <c r="O2179">
        <v>51.557029389232703</v>
      </c>
      <c r="P2179">
        <v>-3.7264534788357798E-2</v>
      </c>
      <c r="Q2179">
        <v>0.33915676724903798</v>
      </c>
      <c r="R2179">
        <v>0.92111671800275396</v>
      </c>
      <c r="S2179" t="s">
        <v>8747</v>
      </c>
      <c r="T2179" t="s">
        <v>13134</v>
      </c>
      <c r="U2179" t="s">
        <v>13134</v>
      </c>
      <c r="V2179" t="s">
        <v>13134</v>
      </c>
      <c r="W2179" t="s">
        <v>15272</v>
      </c>
      <c r="X2179">
        <v>18</v>
      </c>
      <c r="Y2179" t="s">
        <v>21735</v>
      </c>
      <c r="Z2179" t="s">
        <v>28147</v>
      </c>
      <c r="AA2179">
        <v>0.70682656958984402</v>
      </c>
      <c r="AB2179" t="str">
        <f>HYPERLINK("Melting_Curves/meltCurve_P11766_ADH5.pdf", "Melting_Curves/meltCurve_P11766_ADH5.pdf")</f>
        <v>Melting_Curves/meltCurve_P11766_ADH5.pdf</v>
      </c>
    </row>
    <row r="2180" spans="1:28" x14ac:dyDescent="0.25">
      <c r="A2180" t="s">
        <v>2184</v>
      </c>
      <c r="B2180">
        <v>0.99472303558308395</v>
      </c>
      <c r="C2180">
        <v>1.00471027181007</v>
      </c>
      <c r="D2180">
        <v>0.775482361209479</v>
      </c>
      <c r="E2180">
        <v>0.52607385298913001</v>
      </c>
      <c r="F2180">
        <v>0.340648397071798</v>
      </c>
      <c r="G2180">
        <v>0.19925101324128</v>
      </c>
      <c r="H2180">
        <v>0.13359239908749099</v>
      </c>
      <c r="I2180">
        <v>7.9465137558478699E-2</v>
      </c>
      <c r="J2180">
        <v>0.115149132867247</v>
      </c>
      <c r="K2180">
        <v>9.8290019503870701E-2</v>
      </c>
      <c r="L2180">
        <v>724.85861880526295</v>
      </c>
      <c r="M2180">
        <v>15.5532643002564</v>
      </c>
      <c r="N2180">
        <v>47.197477868482999</v>
      </c>
      <c r="O2180">
        <v>45.854869789980498</v>
      </c>
      <c r="P2180">
        <v>-7.7282055183208104E-2</v>
      </c>
      <c r="Q2180">
        <v>8.8693432106477704E-2</v>
      </c>
      <c r="R2180">
        <v>0.99377194335307595</v>
      </c>
      <c r="S2180" t="s">
        <v>8748</v>
      </c>
      <c r="T2180" t="s">
        <v>13134</v>
      </c>
      <c r="U2180" t="s">
        <v>13134</v>
      </c>
      <c r="V2180" t="s">
        <v>13134</v>
      </c>
      <c r="W2180" t="s">
        <v>15273</v>
      </c>
      <c r="X2180">
        <v>6</v>
      </c>
      <c r="Y2180" t="s">
        <v>21736</v>
      </c>
      <c r="Z2180" t="s">
        <v>28148</v>
      </c>
      <c r="AA2180">
        <v>0.39982368246303579</v>
      </c>
      <c r="AB2180" t="str">
        <f>HYPERLINK("Melting_Curves/meltCurve_P11802_CDK4.pdf", "Melting_Curves/meltCurve_P11802_CDK4.pdf")</f>
        <v>Melting_Curves/meltCurve_P11802_CDK4.pdf</v>
      </c>
    </row>
    <row r="2181" spans="1:28" x14ac:dyDescent="0.25">
      <c r="A2181" t="s">
        <v>2185</v>
      </c>
      <c r="B2181">
        <v>0.99472303558308395</v>
      </c>
      <c r="C2181">
        <v>1.01651435465825</v>
      </c>
      <c r="D2181">
        <v>1.03262179106268</v>
      </c>
      <c r="E2181">
        <v>0.92129940957055001</v>
      </c>
      <c r="F2181">
        <v>0.94150265389689303</v>
      </c>
      <c r="G2181">
        <v>0.73442553725044302</v>
      </c>
      <c r="H2181">
        <v>0.51040915949664301</v>
      </c>
      <c r="I2181">
        <v>0.31300038890258203</v>
      </c>
      <c r="J2181">
        <v>0.121959874822114</v>
      </c>
      <c r="K2181">
        <v>0.12806077599738599</v>
      </c>
      <c r="L2181">
        <v>923.24184736787799</v>
      </c>
      <c r="M2181">
        <v>16.081453344195999</v>
      </c>
      <c r="N2181">
        <v>57.506469543577801</v>
      </c>
      <c r="O2181">
        <v>56.544609737822803</v>
      </c>
      <c r="P2181">
        <v>-7.0163276588225201E-2</v>
      </c>
      <c r="Q2181">
        <v>1.3260833112982101E-2</v>
      </c>
      <c r="R2181">
        <v>0.99250169169276603</v>
      </c>
      <c r="S2181" t="s">
        <v>8749</v>
      </c>
      <c r="T2181" t="s">
        <v>13134</v>
      </c>
      <c r="U2181" t="s">
        <v>13134</v>
      </c>
      <c r="V2181" t="s">
        <v>13134</v>
      </c>
      <c r="W2181" t="s">
        <v>15274</v>
      </c>
      <c r="X2181">
        <v>13</v>
      </c>
      <c r="Y2181" t="s">
        <v>21737</v>
      </c>
      <c r="Z2181" t="s">
        <v>28149</v>
      </c>
      <c r="AA2181">
        <v>0.69183020116891947</v>
      </c>
      <c r="AB2181" t="str">
        <f>HYPERLINK("Melting_Curves/meltCurve_P11908_PRPS2.pdf", "Melting_Curves/meltCurve_P11908_PRPS2.pdf")</f>
        <v>Melting_Curves/meltCurve_P11908_PRPS2.pdf</v>
      </c>
    </row>
    <row r="2182" spans="1:28" x14ac:dyDescent="0.25">
      <c r="A2182" t="s">
        <v>2186</v>
      </c>
      <c r="B2182">
        <v>0.99472303558308395</v>
      </c>
      <c r="C2182">
        <v>0.88056422660406597</v>
      </c>
      <c r="D2182">
        <v>0.98801554740461395</v>
      </c>
      <c r="E2182">
        <v>0.81697507304161199</v>
      </c>
      <c r="F2182">
        <v>0.305031273470103</v>
      </c>
      <c r="G2182">
        <v>8.9685615326725407E-2</v>
      </c>
      <c r="H2182">
        <v>5.6798023812836301E-2</v>
      </c>
      <c r="I2182">
        <v>3.7069055486585303E-2</v>
      </c>
      <c r="J2182">
        <v>4.4119096634358798E-2</v>
      </c>
      <c r="K2182">
        <v>3.8628690788483203E-2</v>
      </c>
      <c r="L2182">
        <v>1545.97919286309</v>
      </c>
      <c r="M2182">
        <v>31.752838192896199</v>
      </c>
      <c r="N2182">
        <v>48.822795188510597</v>
      </c>
      <c r="O2182">
        <v>48.496013086620998</v>
      </c>
      <c r="P2182">
        <v>-0.15681478858140699</v>
      </c>
      <c r="Q2182">
        <v>4.1993967625395603E-2</v>
      </c>
      <c r="R2182">
        <v>0.99168244753387702</v>
      </c>
      <c r="S2182" t="s">
        <v>8750</v>
      </c>
      <c r="T2182" t="s">
        <v>13134</v>
      </c>
      <c r="U2182" t="s">
        <v>13134</v>
      </c>
      <c r="V2182" t="s">
        <v>13134</v>
      </c>
      <c r="W2182" t="s">
        <v>15275</v>
      </c>
      <c r="X2182">
        <v>39</v>
      </c>
      <c r="Y2182" t="s">
        <v>20582</v>
      </c>
      <c r="Z2182" t="s">
        <v>28150</v>
      </c>
      <c r="AA2182">
        <v>0.4203589369146013</v>
      </c>
      <c r="AB2182" t="str">
        <f>HYPERLINK("Melting_Curves/meltCurve_P11940_PABPC1.pdf", "Melting_Curves/meltCurve_P11940_PABPC1.pdf")</f>
        <v>Melting_Curves/meltCurve_P11940_PABPC1.pdf</v>
      </c>
    </row>
    <row r="2183" spans="1:28" x14ac:dyDescent="0.25">
      <c r="A2183" t="s">
        <v>2187</v>
      </c>
      <c r="B2183">
        <v>0.99472303558308395</v>
      </c>
      <c r="C2183">
        <v>0.96666474946187797</v>
      </c>
      <c r="D2183">
        <v>1.0206937544596999</v>
      </c>
      <c r="E2183">
        <v>0.956865965772147</v>
      </c>
      <c r="F2183">
        <v>0.77956861797768795</v>
      </c>
      <c r="G2183">
        <v>0.64442341237776601</v>
      </c>
      <c r="H2183">
        <v>0.37679138275767199</v>
      </c>
      <c r="I2183">
        <v>0.239165164444641</v>
      </c>
      <c r="J2183">
        <v>0.12074459777067301</v>
      </c>
      <c r="K2183">
        <v>9.8287542948706993E-2</v>
      </c>
      <c r="L2183">
        <v>784.10692335220597</v>
      </c>
      <c r="M2183">
        <v>14.118985564822999</v>
      </c>
      <c r="N2183">
        <v>55.596489170921402</v>
      </c>
      <c r="O2183">
        <v>54.457172559022702</v>
      </c>
      <c r="P2183">
        <v>-6.4328220057947694E-2</v>
      </c>
      <c r="Q2183">
        <v>7.6668137418729396E-3</v>
      </c>
      <c r="R2183">
        <v>0.99548152847124705</v>
      </c>
      <c r="S2183" t="s">
        <v>8751</v>
      </c>
      <c r="T2183" t="s">
        <v>13134</v>
      </c>
      <c r="U2183" t="s">
        <v>13134</v>
      </c>
      <c r="V2183" t="s">
        <v>13134</v>
      </c>
      <c r="W2183" t="s">
        <v>15276</v>
      </c>
      <c r="X2183">
        <v>21</v>
      </c>
      <c r="Y2183" t="s">
        <v>21738</v>
      </c>
      <c r="Z2183" t="s">
        <v>28151</v>
      </c>
      <c r="AA2183">
        <v>0.63347972798131202</v>
      </c>
      <c r="AB2183" t="str">
        <f>HYPERLINK("Melting_Curves/meltCurve_P12004_PCNA.pdf", "Melting_Curves/meltCurve_P12004_PCNA.pdf")</f>
        <v>Melting_Curves/meltCurve_P12004_PCNA.pdf</v>
      </c>
    </row>
    <row r="2184" spans="1:28" x14ac:dyDescent="0.25">
      <c r="A2184" t="s">
        <v>2188</v>
      </c>
      <c r="B2184">
        <v>0.99472303558308395</v>
      </c>
      <c r="C2184">
        <v>0.92497489308725001</v>
      </c>
      <c r="D2184">
        <v>0.99040086250438197</v>
      </c>
      <c r="E2184">
        <v>0.88733221605062396</v>
      </c>
      <c r="F2184">
        <v>0.70876637070478798</v>
      </c>
      <c r="G2184">
        <v>0.41706686283062799</v>
      </c>
      <c r="H2184">
        <v>0.160754668378321</v>
      </c>
      <c r="I2184">
        <v>6.7427771162811803E-2</v>
      </c>
      <c r="J2184">
        <v>6.2654031760870005E-2</v>
      </c>
      <c r="K2184">
        <v>5.3169026985066002E-2</v>
      </c>
      <c r="L2184">
        <v>969.37955887288001</v>
      </c>
      <c r="M2184">
        <v>18.482989968515401</v>
      </c>
      <c r="N2184">
        <v>52.557930087554404</v>
      </c>
      <c r="O2184">
        <v>51.844741898347102</v>
      </c>
      <c r="P2184">
        <v>-8.7427339721683997E-2</v>
      </c>
      <c r="Q2184">
        <v>1.9109699987784699E-2</v>
      </c>
      <c r="R2184">
        <v>0.99505357952776996</v>
      </c>
      <c r="S2184" t="s">
        <v>8752</v>
      </c>
      <c r="T2184" t="s">
        <v>13134</v>
      </c>
      <c r="U2184" t="s">
        <v>13134</v>
      </c>
      <c r="V2184" t="s">
        <v>13134</v>
      </c>
      <c r="W2184" t="s">
        <v>15277</v>
      </c>
      <c r="X2184">
        <v>40</v>
      </c>
      <c r="Y2184" t="s">
        <v>21739</v>
      </c>
      <c r="Z2184" t="s">
        <v>28152</v>
      </c>
      <c r="AA2184">
        <v>0.53825219617573217</v>
      </c>
      <c r="AB2184" t="str">
        <f>HYPERLINK("Melting_Curves/meltCurve_P12081_HARS.pdf", "Melting_Curves/meltCurve_P12081_HARS.pdf")</f>
        <v>Melting_Curves/meltCurve_P12081_HARS.pdf</v>
      </c>
    </row>
    <row r="2185" spans="1:28" x14ac:dyDescent="0.25">
      <c r="A2185" t="s">
        <v>2189</v>
      </c>
      <c r="B2185">
        <v>0.99472303558308395</v>
      </c>
      <c r="C2185">
        <v>0.84078038312733105</v>
      </c>
      <c r="D2185">
        <v>0.89761772364549097</v>
      </c>
      <c r="E2185">
        <v>0.72665045801824901</v>
      </c>
      <c r="F2185">
        <v>0.57977225002023403</v>
      </c>
      <c r="G2185">
        <v>0.45558392533917602</v>
      </c>
      <c r="H2185">
        <v>0.443060159577358</v>
      </c>
      <c r="I2185">
        <v>0.420038655580589</v>
      </c>
      <c r="J2185">
        <v>0.452728944330693</v>
      </c>
      <c r="K2185">
        <v>0.55730466392002398</v>
      </c>
      <c r="L2185">
        <v>685.84374706193103</v>
      </c>
      <c r="M2185">
        <v>14.8927825119482</v>
      </c>
      <c r="N2185">
        <v>54.356227298026198</v>
      </c>
      <c r="O2185">
        <v>45.245684268311997</v>
      </c>
      <c r="P2185">
        <v>-4.5377522456234998E-2</v>
      </c>
      <c r="Q2185">
        <v>0.44861243349889302</v>
      </c>
      <c r="R2185">
        <v>0.92508934315775204</v>
      </c>
      <c r="S2185" t="s">
        <v>8753</v>
      </c>
      <c r="T2185" t="s">
        <v>13134</v>
      </c>
      <c r="U2185" t="s">
        <v>13134</v>
      </c>
      <c r="V2185" t="s">
        <v>13134</v>
      </c>
      <c r="W2185" t="s">
        <v>15278</v>
      </c>
      <c r="X2185">
        <v>14</v>
      </c>
      <c r="Y2185" t="s">
        <v>21740</v>
      </c>
      <c r="Z2185" t="s">
        <v>28153</v>
      </c>
      <c r="AA2185">
        <v>0.62785767075685384</v>
      </c>
      <c r="AB2185" t="str">
        <f>HYPERLINK("Melting_Curves/meltCurve_P12235_SLC25A4.pdf", "Melting_Curves/meltCurve_P12235_SLC25A4.pdf")</f>
        <v>Melting_Curves/meltCurve_P12235_SLC25A4.pdf</v>
      </c>
    </row>
    <row r="2186" spans="1:28" x14ac:dyDescent="0.25">
      <c r="A2186" t="s">
        <v>2190</v>
      </c>
      <c r="B2186">
        <v>0.99472303558308395</v>
      </c>
      <c r="C2186">
        <v>0.86471542629887499</v>
      </c>
      <c r="D2186">
        <v>0.79871759075267901</v>
      </c>
      <c r="E2186">
        <v>0.68646205586241504</v>
      </c>
      <c r="F2186">
        <v>0.57214579550690603</v>
      </c>
      <c r="G2186">
        <v>0.41877853457986802</v>
      </c>
      <c r="H2186">
        <v>0.29844100743012097</v>
      </c>
      <c r="I2186">
        <v>0.29290502761898901</v>
      </c>
      <c r="J2186">
        <v>0.30677731115575202</v>
      </c>
      <c r="K2186">
        <v>0.441149156802981</v>
      </c>
      <c r="L2186">
        <v>535.15020482117598</v>
      </c>
      <c r="M2186">
        <v>11.4275689184547</v>
      </c>
      <c r="N2186">
        <v>50.927686025278199</v>
      </c>
      <c r="O2186">
        <v>45.4645133652364</v>
      </c>
      <c r="P2186">
        <v>-4.3958673816473601E-2</v>
      </c>
      <c r="Q2186">
        <v>0.30064641501846201</v>
      </c>
      <c r="R2186">
        <v>0.94842031662436099</v>
      </c>
      <c r="S2186" t="s">
        <v>8754</v>
      </c>
      <c r="T2186" t="s">
        <v>13134</v>
      </c>
      <c r="U2186" t="s">
        <v>13134</v>
      </c>
      <c r="V2186" t="s">
        <v>13134</v>
      </c>
      <c r="W2186" t="s">
        <v>15279</v>
      </c>
      <c r="X2186">
        <v>22</v>
      </c>
      <c r="Y2186" t="s">
        <v>21741</v>
      </c>
      <c r="Z2186" t="s">
        <v>28154</v>
      </c>
      <c r="AA2186">
        <v>0.55483073975700081</v>
      </c>
      <c r="AB2186" t="str">
        <f>HYPERLINK("Melting_Curves/meltCurve_P12236_SLC25A6.pdf", "Melting_Curves/meltCurve_P12236_SLC25A6.pdf")</f>
        <v>Melting_Curves/meltCurve_P12236_SLC25A6.pdf</v>
      </c>
    </row>
    <row r="2187" spans="1:28" x14ac:dyDescent="0.25">
      <c r="A2187" t="s">
        <v>2191</v>
      </c>
      <c r="B2187">
        <v>0.99472303558308395</v>
      </c>
      <c r="C2187">
        <v>1.0018721701939599</v>
      </c>
      <c r="D2187">
        <v>0.95562911408036899</v>
      </c>
      <c r="E2187">
        <v>0.45840952996219397</v>
      </c>
      <c r="F2187">
        <v>0.25762586531991399</v>
      </c>
      <c r="G2187">
        <v>0.11758350572989799</v>
      </c>
      <c r="H2187">
        <v>8.3037345365697804E-2</v>
      </c>
      <c r="I2187">
        <v>6.3101572415459301E-2</v>
      </c>
      <c r="J2187">
        <v>8.5124792874354593E-2</v>
      </c>
      <c r="K2187">
        <v>8.0585619143294401E-2</v>
      </c>
      <c r="L2187">
        <v>1250.1773230619799</v>
      </c>
      <c r="M2187">
        <v>26.9839943841605</v>
      </c>
      <c r="N2187">
        <v>46.666044956787402</v>
      </c>
      <c r="O2187">
        <v>46.0781376524954</v>
      </c>
      <c r="P2187">
        <v>-0.13348937029573599</v>
      </c>
      <c r="Q2187">
        <v>8.8218292498367601E-2</v>
      </c>
      <c r="R2187">
        <v>0.99257646801225097</v>
      </c>
      <c r="S2187" t="s">
        <v>8755</v>
      </c>
      <c r="T2187" t="s">
        <v>13134</v>
      </c>
      <c r="U2187" t="s">
        <v>13134</v>
      </c>
      <c r="V2187" t="s">
        <v>13134</v>
      </c>
      <c r="W2187" t="s">
        <v>15280</v>
      </c>
      <c r="X2187">
        <v>120</v>
      </c>
      <c r="Y2187" t="s">
        <v>21742</v>
      </c>
      <c r="Z2187" t="s">
        <v>28155</v>
      </c>
      <c r="AA2187">
        <v>0.3782858460897553</v>
      </c>
      <c r="AB2187" t="str">
        <f>HYPERLINK("Melting_Curves/meltCurve_P12270_TPR.pdf", "Melting_Curves/meltCurve_P12270_TPR.pdf")</f>
        <v>Melting_Curves/meltCurve_P12270_TPR.pdf</v>
      </c>
    </row>
    <row r="2188" spans="1:28" x14ac:dyDescent="0.25">
      <c r="A2188" t="s">
        <v>2192</v>
      </c>
      <c r="B2188">
        <v>0.99472303558308395</v>
      </c>
      <c r="C2188">
        <v>1.0026479653618701</v>
      </c>
      <c r="D2188">
        <v>1.0249105780369601</v>
      </c>
      <c r="E2188">
        <v>0.909862974356624</v>
      </c>
      <c r="F2188">
        <v>0.60328157516096304</v>
      </c>
      <c r="G2188">
        <v>0.160751353500553</v>
      </c>
      <c r="H2188">
        <v>5.6677706153991099E-2</v>
      </c>
      <c r="I2188">
        <v>3.7458702862699901E-2</v>
      </c>
      <c r="J2188">
        <v>3.8771349598172598E-2</v>
      </c>
      <c r="K2188">
        <v>3.14946285798317E-2</v>
      </c>
      <c r="L2188">
        <v>1546.50251925425</v>
      </c>
      <c r="M2188">
        <v>30.496173313363101</v>
      </c>
      <c r="N2188">
        <v>50.816444293490797</v>
      </c>
      <c r="O2188">
        <v>50.4948043514026</v>
      </c>
      <c r="P2188">
        <v>-0.14637381994193099</v>
      </c>
      <c r="Q2188">
        <v>3.0557413081720899E-2</v>
      </c>
      <c r="R2188">
        <v>0.99890495131033996</v>
      </c>
      <c r="S2188" t="s">
        <v>8756</v>
      </c>
      <c r="T2188" t="s">
        <v>13134</v>
      </c>
      <c r="U2188" t="s">
        <v>13134</v>
      </c>
      <c r="V2188" t="s">
        <v>13134</v>
      </c>
      <c r="W2188" t="s">
        <v>15281</v>
      </c>
      <c r="X2188">
        <v>22</v>
      </c>
      <c r="Y2188" t="s">
        <v>21743</v>
      </c>
      <c r="Z2188" t="s">
        <v>28156</v>
      </c>
      <c r="AA2188">
        <v>0.47946095364665892</v>
      </c>
      <c r="AB2188" t="str">
        <f>HYPERLINK("Melting_Curves/meltCurve_P12277_CKB.pdf", "Melting_Curves/meltCurve_P12277_CKB.pdf")</f>
        <v>Melting_Curves/meltCurve_P12277_CKB.pdf</v>
      </c>
    </row>
    <row r="2189" spans="1:28" x14ac:dyDescent="0.25">
      <c r="A2189" t="s">
        <v>2193</v>
      </c>
      <c r="B2189">
        <v>0.99472303558308395</v>
      </c>
      <c r="C2189">
        <v>1.1642777673676601</v>
      </c>
      <c r="D2189">
        <v>1.0225464270801401</v>
      </c>
      <c r="E2189">
        <v>0.93748061962899598</v>
      </c>
      <c r="F2189">
        <v>0.76155142023538802</v>
      </c>
      <c r="G2189">
        <v>0.61147644730822204</v>
      </c>
      <c r="H2189">
        <v>0.34129981624058903</v>
      </c>
      <c r="I2189">
        <v>0.23704104417813601</v>
      </c>
      <c r="J2189">
        <v>0.26802098849629802</v>
      </c>
      <c r="K2189">
        <v>0.28709770005088397</v>
      </c>
      <c r="L2189">
        <v>1038.03042054197</v>
      </c>
      <c r="M2189">
        <v>19.635039293880101</v>
      </c>
      <c r="N2189">
        <v>54.641329609049102</v>
      </c>
      <c r="O2189">
        <v>52.327027395894703</v>
      </c>
      <c r="P2189">
        <v>-7.1692281060562899E-2</v>
      </c>
      <c r="Q2189">
        <v>0.23579217779128001</v>
      </c>
      <c r="R2189">
        <v>0.96688412292202597</v>
      </c>
      <c r="S2189" t="s">
        <v>8757</v>
      </c>
      <c r="T2189" t="s">
        <v>13134</v>
      </c>
      <c r="U2189" t="s">
        <v>13134</v>
      </c>
      <c r="V2189" t="s">
        <v>13134</v>
      </c>
      <c r="W2189" t="s">
        <v>15282</v>
      </c>
      <c r="X2189">
        <v>6</v>
      </c>
      <c r="Y2189" t="s">
        <v>21744</v>
      </c>
      <c r="Z2189" t="s">
        <v>28157</v>
      </c>
      <c r="AA2189">
        <v>0.64988922747442546</v>
      </c>
      <c r="AB2189" t="str">
        <f>HYPERLINK("Melting_Curves/meltCurve_P12318_2_FCGR2A.pdf", "Melting_Curves/meltCurve_P12318_2_FCGR2A.pdf")</f>
        <v>Melting_Curves/meltCurve_P12318_2_FCGR2A.pdf</v>
      </c>
    </row>
    <row r="2190" spans="1:28" x14ac:dyDescent="0.25">
      <c r="A2190" t="s">
        <v>2194</v>
      </c>
      <c r="B2190">
        <v>0.99472303558308395</v>
      </c>
      <c r="C2190">
        <v>1.01942892624843</v>
      </c>
      <c r="D2190">
        <v>1.04554344343634</v>
      </c>
      <c r="E2190">
        <v>0.95837430319310102</v>
      </c>
      <c r="F2190">
        <v>0.75086960750213305</v>
      </c>
      <c r="G2190">
        <v>0.28070437174554502</v>
      </c>
      <c r="H2190">
        <v>0.130741566806719</v>
      </c>
      <c r="I2190">
        <v>7.4860505217858003E-2</v>
      </c>
      <c r="J2190">
        <v>9.7734781722963904E-2</v>
      </c>
      <c r="K2190">
        <v>6.2817678341590105E-2</v>
      </c>
      <c r="L2190">
        <v>1643.1300464364999</v>
      </c>
      <c r="M2190">
        <v>31.766747467943201</v>
      </c>
      <c r="N2190">
        <v>52.003701331466402</v>
      </c>
      <c r="O2190">
        <v>51.521159916602798</v>
      </c>
      <c r="P2190">
        <v>-0.142073612959872</v>
      </c>
      <c r="Q2190">
        <v>7.83117680400129E-2</v>
      </c>
      <c r="R2190">
        <v>0.99788253766841695</v>
      </c>
      <c r="S2190" t="s">
        <v>8758</v>
      </c>
      <c r="T2190" t="s">
        <v>13134</v>
      </c>
      <c r="U2190" t="s">
        <v>13134</v>
      </c>
      <c r="V2190" t="s">
        <v>13134</v>
      </c>
      <c r="W2190" t="s">
        <v>15283</v>
      </c>
      <c r="X2190">
        <v>17</v>
      </c>
      <c r="Y2190" t="s">
        <v>21745</v>
      </c>
      <c r="Z2190" t="s">
        <v>28158</v>
      </c>
      <c r="AA2190">
        <v>0.53589073605725634</v>
      </c>
      <c r="AB2190" t="str">
        <f>HYPERLINK("Melting_Curves/meltCurve_P12429_ANXA3.pdf", "Melting_Curves/meltCurve_P12429_ANXA3.pdf")</f>
        <v>Melting_Curves/meltCurve_P12429_ANXA3.pdf</v>
      </c>
    </row>
    <row r="2191" spans="1:28" x14ac:dyDescent="0.25">
      <c r="A2191" t="s">
        <v>2195</v>
      </c>
      <c r="B2191">
        <v>0.99472303558308395</v>
      </c>
      <c r="C2191">
        <v>0.97996894994623795</v>
      </c>
      <c r="D2191">
        <v>0.81447956687793199</v>
      </c>
      <c r="E2191">
        <v>0.66741094573684201</v>
      </c>
      <c r="F2191">
        <v>0.77278278832607195</v>
      </c>
      <c r="G2191">
        <v>0.38271972463916998</v>
      </c>
      <c r="H2191">
        <v>0.28693505170429001</v>
      </c>
      <c r="I2191">
        <v>0.259018501747382</v>
      </c>
      <c r="J2191">
        <v>0.31267265067831601</v>
      </c>
      <c r="K2191">
        <v>0.32212024162147501</v>
      </c>
      <c r="L2191">
        <v>544.49194774703903</v>
      </c>
      <c r="M2191">
        <v>10.996319882087301</v>
      </c>
      <c r="N2191">
        <v>52.311707740212803</v>
      </c>
      <c r="O2191">
        <v>47.962780930131103</v>
      </c>
      <c r="P2191">
        <v>-4.4596054644394402E-2</v>
      </c>
      <c r="Q2191">
        <v>0.222202070355873</v>
      </c>
      <c r="R2191">
        <v>0.91980467656051002</v>
      </c>
      <c r="S2191" t="s">
        <v>8759</v>
      </c>
      <c r="T2191" t="s">
        <v>13134</v>
      </c>
      <c r="U2191" t="s">
        <v>13134</v>
      </c>
      <c r="V2191" t="s">
        <v>13134</v>
      </c>
      <c r="W2191" t="s">
        <v>15284</v>
      </c>
      <c r="X2191">
        <v>8</v>
      </c>
      <c r="Y2191" t="s">
        <v>21746</v>
      </c>
      <c r="Z2191" t="s">
        <v>28159</v>
      </c>
      <c r="AA2191">
        <v>0.5716038188876027</v>
      </c>
      <c r="AB2191" t="str">
        <f>HYPERLINK("Melting_Curves/meltCurve_P12532_CKMT1A.pdf", "Melting_Curves/meltCurve_P12532_CKMT1A.pdf")</f>
        <v>Melting_Curves/meltCurve_P12532_CKMT1A.pdf</v>
      </c>
    </row>
    <row r="2192" spans="1:28" x14ac:dyDescent="0.25">
      <c r="A2192" t="s">
        <v>2196</v>
      </c>
      <c r="B2192">
        <v>0.99472303558308395</v>
      </c>
      <c r="C2192">
        <v>1.1338929295703599</v>
      </c>
      <c r="D2192">
        <v>0.58572735021017897</v>
      </c>
      <c r="E2192">
        <v>0.69832136562880898</v>
      </c>
      <c r="F2192">
        <v>0.41114316961597702</v>
      </c>
      <c r="G2192">
        <v>0.43408899292778802</v>
      </c>
      <c r="H2192">
        <v>0.25587700723819601</v>
      </c>
      <c r="I2192">
        <v>7.5960480237283898E-2</v>
      </c>
      <c r="J2192">
        <v>0.19239181127384999</v>
      </c>
      <c r="K2192">
        <v>0</v>
      </c>
      <c r="L2192">
        <v>459.39862650889</v>
      </c>
      <c r="M2192">
        <v>9.2400831804643406</v>
      </c>
      <c r="N2192">
        <v>49.718014982762398</v>
      </c>
      <c r="O2192">
        <v>47.555691115203203</v>
      </c>
      <c r="P2192">
        <v>-4.8606998077141299E-2</v>
      </c>
      <c r="Q2192">
        <v>0</v>
      </c>
      <c r="R2192">
        <v>0.890582670220193</v>
      </c>
      <c r="S2192" t="s">
        <v>8760</v>
      </c>
      <c r="T2192" t="s">
        <v>13134</v>
      </c>
      <c r="U2192" t="s">
        <v>13134</v>
      </c>
      <c r="V2192" t="s">
        <v>13134</v>
      </c>
      <c r="W2192" t="s">
        <v>15285</v>
      </c>
      <c r="X2192">
        <v>2</v>
      </c>
      <c r="Y2192" t="s">
        <v>21747</v>
      </c>
      <c r="Z2192" t="s">
        <v>28160</v>
      </c>
      <c r="AA2192">
        <v>0.46151677853731082</v>
      </c>
      <c r="AB2192" t="str">
        <f>HYPERLINK("Melting_Curves/meltCurve_P12755_SKI.pdf", "Melting_Curves/meltCurve_P12755_SKI.pdf")</f>
        <v>Melting_Curves/meltCurve_P12755_SKI.pdf</v>
      </c>
    </row>
    <row r="2193" spans="1:28" x14ac:dyDescent="0.25">
      <c r="A2193" t="s">
        <v>2197</v>
      </c>
      <c r="B2193">
        <v>0.99472303558308395</v>
      </c>
      <c r="C2193">
        <v>1.04848819853227</v>
      </c>
      <c r="D2193">
        <v>0.90531088822018102</v>
      </c>
      <c r="E2193">
        <v>0.90120875334737904</v>
      </c>
      <c r="F2193">
        <v>0.819637278249434</v>
      </c>
      <c r="G2193">
        <v>0.50812596515797803</v>
      </c>
      <c r="H2193">
        <v>0.28378817202219597</v>
      </c>
      <c r="I2193">
        <v>7.0803960277467701E-2</v>
      </c>
      <c r="J2193">
        <v>7.5418269280976294E-2</v>
      </c>
      <c r="K2193">
        <v>6.4086657476470396E-2</v>
      </c>
      <c r="L2193">
        <v>946.66172214324695</v>
      </c>
      <c r="M2193">
        <v>17.551858459096</v>
      </c>
      <c r="N2193">
        <v>53.988875295264997</v>
      </c>
      <c r="O2193">
        <v>53.2496118559027</v>
      </c>
      <c r="P2193">
        <v>-8.1694463259650504E-2</v>
      </c>
      <c r="Q2193">
        <v>8.6607808350634696E-3</v>
      </c>
      <c r="R2193">
        <v>0.98955547838078495</v>
      </c>
      <c r="S2193" t="s">
        <v>8761</v>
      </c>
      <c r="T2193" t="s">
        <v>13134</v>
      </c>
      <c r="U2193" t="s">
        <v>13134</v>
      </c>
      <c r="V2193" t="s">
        <v>13134</v>
      </c>
      <c r="W2193" t="s">
        <v>15286</v>
      </c>
      <c r="X2193">
        <v>42</v>
      </c>
      <c r="Y2193" t="s">
        <v>21748</v>
      </c>
      <c r="Z2193" t="s">
        <v>28161</v>
      </c>
      <c r="AA2193">
        <v>0.58231204714172546</v>
      </c>
      <c r="AB2193" t="str">
        <f>HYPERLINK("Melting_Curves/meltCurve_P12814_2_ACTN1.pdf", "Melting_Curves/meltCurve_P12814_2_ACTN1.pdf")</f>
        <v>Melting_Curves/meltCurve_P12814_2_ACTN1.pdf</v>
      </c>
    </row>
    <row r="2194" spans="1:28" x14ac:dyDescent="0.25">
      <c r="A2194" t="s">
        <v>2198</v>
      </c>
      <c r="B2194">
        <v>0.99472303558308395</v>
      </c>
      <c r="C2194">
        <v>0.95785463277438498</v>
      </c>
      <c r="D2194">
        <v>0.88252350628450404</v>
      </c>
      <c r="E2194">
        <v>0.74867037071759301</v>
      </c>
      <c r="F2194">
        <v>0.53644862170445795</v>
      </c>
      <c r="G2194">
        <v>0.38345170617954699</v>
      </c>
      <c r="H2194">
        <v>0.55243433645294704</v>
      </c>
      <c r="I2194">
        <v>0.51142429293911995</v>
      </c>
      <c r="J2194">
        <v>0.67377174232836401</v>
      </c>
      <c r="K2194">
        <v>0.50412102290016603</v>
      </c>
      <c r="L2194">
        <v>1153.70463232612</v>
      </c>
      <c r="M2194">
        <v>25.266979389474901</v>
      </c>
      <c r="O2194">
        <v>45.377453839196498</v>
      </c>
      <c r="P2194">
        <v>-6.6548201046818897E-2</v>
      </c>
      <c r="Q2194">
        <v>0.521945585619076</v>
      </c>
      <c r="R2194">
        <v>0.87304774187119705</v>
      </c>
      <c r="S2194" t="s">
        <v>8762</v>
      </c>
      <c r="T2194" t="s">
        <v>13134</v>
      </c>
      <c r="U2194" t="s">
        <v>13134</v>
      </c>
      <c r="V2194" t="s">
        <v>13134</v>
      </c>
      <c r="W2194" t="s">
        <v>15287</v>
      </c>
      <c r="X2194">
        <v>12</v>
      </c>
      <c r="Y2194" t="s">
        <v>21749</v>
      </c>
      <c r="Z2194" t="s">
        <v>28162</v>
      </c>
      <c r="AA2194">
        <v>0.66381334404055792</v>
      </c>
      <c r="AB2194" t="str">
        <f>HYPERLINK("Melting_Curves/meltCurve_P12829_MYL4.pdf", "Melting_Curves/meltCurve_P12829_MYL4.pdf")</f>
        <v>Melting_Curves/meltCurve_P12829_MYL4.pdf</v>
      </c>
    </row>
    <row r="2195" spans="1:28" x14ac:dyDescent="0.25">
      <c r="A2195" t="s">
        <v>2199</v>
      </c>
      <c r="B2195">
        <v>0.99472303558308395</v>
      </c>
      <c r="C2195">
        <v>0.58088747120456596</v>
      </c>
      <c r="D2195">
        <v>0.94497375216036394</v>
      </c>
      <c r="E2195">
        <v>0.26436148572560603</v>
      </c>
      <c r="F2195">
        <v>9.1074665484507294E-2</v>
      </c>
      <c r="G2195">
        <v>6.2604286950939295E-2</v>
      </c>
      <c r="H2195">
        <v>3.8428779945321102E-2</v>
      </c>
      <c r="I2195">
        <v>2.6184275546504401E-2</v>
      </c>
      <c r="J2195">
        <v>0.10889424599512</v>
      </c>
      <c r="K2195">
        <v>3.07516843470758E-2</v>
      </c>
      <c r="L2195">
        <v>1918.3499562207301</v>
      </c>
      <c r="M2195">
        <v>42.360707105905298</v>
      </c>
      <c r="N2195">
        <v>45.4130631972278</v>
      </c>
      <c r="O2195">
        <v>45.1854961438723</v>
      </c>
      <c r="P2195">
        <v>-0.22128063001559301</v>
      </c>
      <c r="Q2195">
        <v>5.5855378188664699E-2</v>
      </c>
      <c r="R2195">
        <v>0.86493986514805399</v>
      </c>
      <c r="S2195" t="s">
        <v>8763</v>
      </c>
      <c r="T2195" t="s">
        <v>13134</v>
      </c>
      <c r="U2195" t="s">
        <v>13134</v>
      </c>
      <c r="V2195" t="s">
        <v>13134</v>
      </c>
      <c r="W2195" t="s">
        <v>15288</v>
      </c>
      <c r="X2195">
        <v>3</v>
      </c>
      <c r="Y2195" t="s">
        <v>21750</v>
      </c>
      <c r="Z2195" t="s">
        <v>28163</v>
      </c>
      <c r="AA2195">
        <v>0.31926533678494762</v>
      </c>
      <c r="AB2195" t="str">
        <f>HYPERLINK("Melting_Curves/meltCurve_P12882_MYH1.pdf", "Melting_Curves/meltCurve_P12882_MYH1.pdf")</f>
        <v>Melting_Curves/meltCurve_P12882_MYH1.pdf</v>
      </c>
    </row>
    <row r="2196" spans="1:28" x14ac:dyDescent="0.25">
      <c r="A2196" t="s">
        <v>2200</v>
      </c>
      <c r="B2196">
        <v>0.99472303558308395</v>
      </c>
      <c r="C2196">
        <v>1.0375020255204499</v>
      </c>
      <c r="D2196">
        <v>0.99387038004300099</v>
      </c>
      <c r="E2196">
        <v>0.81275695349260402</v>
      </c>
      <c r="F2196">
        <v>0.648401628972196</v>
      </c>
      <c r="G2196">
        <v>0.36054121530476702</v>
      </c>
      <c r="H2196">
        <v>0.137657901642182</v>
      </c>
      <c r="I2196">
        <v>9.3741534483246305E-2</v>
      </c>
      <c r="J2196">
        <v>0.12833194364702799</v>
      </c>
      <c r="K2196">
        <v>0.101513997205046</v>
      </c>
      <c r="L2196">
        <v>939.89424070171401</v>
      </c>
      <c r="M2196">
        <v>18.368406666674399</v>
      </c>
      <c r="N2196">
        <v>51.617714759706701</v>
      </c>
      <c r="O2196">
        <v>50.574169620997303</v>
      </c>
      <c r="P2196">
        <v>-8.4104242861461898E-2</v>
      </c>
      <c r="Q2196">
        <v>7.3777603700851999E-2</v>
      </c>
      <c r="R2196">
        <v>0.99276041731558395</v>
      </c>
      <c r="S2196" t="s">
        <v>8764</v>
      </c>
      <c r="T2196" t="s">
        <v>13134</v>
      </c>
      <c r="U2196" t="s">
        <v>13134</v>
      </c>
      <c r="V2196" t="s">
        <v>13134</v>
      </c>
      <c r="W2196" t="s">
        <v>15289</v>
      </c>
      <c r="X2196">
        <v>10</v>
      </c>
      <c r="Y2196" t="s">
        <v>21751</v>
      </c>
      <c r="Z2196" t="s">
        <v>28164</v>
      </c>
      <c r="AA2196">
        <v>0.52510925522164742</v>
      </c>
      <c r="AB2196" t="str">
        <f>HYPERLINK("Melting_Curves/meltCurve_P12931_SRC.pdf", "Melting_Curves/meltCurve_P12931_SRC.pdf")</f>
        <v>Melting_Curves/meltCurve_P12931_SRC.pdf</v>
      </c>
    </row>
    <row r="2197" spans="1:28" x14ac:dyDescent="0.25">
      <c r="A2197" t="s">
        <v>2201</v>
      </c>
      <c r="B2197">
        <v>0.99472303558308395</v>
      </c>
      <c r="C2197">
        <v>0.92184627764937099</v>
      </c>
      <c r="D2197">
        <v>0.90282632620389403</v>
      </c>
      <c r="E2197">
        <v>0.76236899232660704</v>
      </c>
      <c r="F2197">
        <v>0.72527189413553395</v>
      </c>
      <c r="G2197">
        <v>0.74229614185497605</v>
      </c>
      <c r="H2197">
        <v>0.29176179268823699</v>
      </c>
      <c r="I2197">
        <v>0.28602112491863102</v>
      </c>
      <c r="J2197">
        <v>0.127695098479748</v>
      </c>
      <c r="K2197">
        <v>0.11308429748417299</v>
      </c>
      <c r="L2197">
        <v>570.50149533687602</v>
      </c>
      <c r="M2197">
        <v>10.381651667860799</v>
      </c>
      <c r="N2197">
        <v>54.952859967081601</v>
      </c>
      <c r="O2197">
        <v>53.031170037115501</v>
      </c>
      <c r="P2197">
        <v>-4.8961876477292901E-2</v>
      </c>
      <c r="Q2197">
        <v>0</v>
      </c>
      <c r="R2197">
        <v>0.93890469031346402</v>
      </c>
      <c r="S2197" t="s">
        <v>8765</v>
      </c>
      <c r="T2197" t="s">
        <v>13134</v>
      </c>
      <c r="U2197" t="s">
        <v>13134</v>
      </c>
      <c r="V2197" t="s">
        <v>13134</v>
      </c>
      <c r="W2197" t="s">
        <v>15290</v>
      </c>
      <c r="X2197">
        <v>4</v>
      </c>
      <c r="Y2197" t="s">
        <v>21752</v>
      </c>
      <c r="Z2197" t="s">
        <v>28165</v>
      </c>
      <c r="AA2197">
        <v>0.61143794690505393</v>
      </c>
      <c r="AB2197" t="str">
        <f>HYPERLINK("Melting_Curves/meltCurve_P12955_3_PEPD.pdf", "Melting_Curves/meltCurve_P12955_3_PEPD.pdf")</f>
        <v>Melting_Curves/meltCurve_P12955_3_PEPD.pdf</v>
      </c>
    </row>
    <row r="2198" spans="1:28" x14ac:dyDescent="0.25">
      <c r="A2198" t="s">
        <v>2202</v>
      </c>
      <c r="B2198">
        <v>0.99472303558308395</v>
      </c>
      <c r="C2198">
        <v>0.91402456391503395</v>
      </c>
      <c r="D2198">
        <v>0.96452249329903805</v>
      </c>
      <c r="E2198">
        <v>0.59872742527381895</v>
      </c>
      <c r="F2198">
        <v>0.20609794800832201</v>
      </c>
      <c r="G2198">
        <v>8.9805681763625703E-2</v>
      </c>
      <c r="H2198">
        <v>5.2196903356750202E-2</v>
      </c>
      <c r="I2198">
        <v>3.8541495138260801E-2</v>
      </c>
      <c r="J2198">
        <v>4.9949749198725801E-2</v>
      </c>
      <c r="K2198">
        <v>4.0060188335022201E-2</v>
      </c>
      <c r="L2198">
        <v>1269.00061712505</v>
      </c>
      <c r="M2198">
        <v>26.879119957995801</v>
      </c>
      <c r="N2198">
        <v>47.376683983151899</v>
      </c>
      <c r="O2198">
        <v>46.952401544101903</v>
      </c>
      <c r="P2198">
        <v>-0.136714667133678</v>
      </c>
      <c r="Q2198">
        <v>4.4757983004112101E-2</v>
      </c>
      <c r="R2198">
        <v>0.99542739026605997</v>
      </c>
      <c r="S2198" t="s">
        <v>8766</v>
      </c>
      <c r="T2198" t="s">
        <v>13134</v>
      </c>
      <c r="U2198" t="s">
        <v>13134</v>
      </c>
      <c r="V2198" t="s">
        <v>13134</v>
      </c>
      <c r="W2198" t="s">
        <v>15291</v>
      </c>
      <c r="X2198">
        <v>32</v>
      </c>
      <c r="Y2198" t="s">
        <v>21753</v>
      </c>
      <c r="Z2198" t="s">
        <v>28166</v>
      </c>
      <c r="AA2198">
        <v>0.37685947648195017</v>
      </c>
      <c r="AB2198" t="str">
        <f>HYPERLINK("Melting_Curves/meltCurve_P12956_XRCC6.pdf", "Melting_Curves/meltCurve_P12956_XRCC6.pdf")</f>
        <v>Melting_Curves/meltCurve_P12956_XRCC6.pdf</v>
      </c>
    </row>
    <row r="2199" spans="1:28" x14ac:dyDescent="0.25">
      <c r="A2199" t="s">
        <v>2203</v>
      </c>
      <c r="B2199">
        <v>0.99472303558308395</v>
      </c>
      <c r="C2199">
        <v>0.92369569988886802</v>
      </c>
      <c r="D2199">
        <v>0.88025379344117605</v>
      </c>
      <c r="E2199">
        <v>0.24004859894097599</v>
      </c>
      <c r="F2199">
        <v>0.13302117772663799</v>
      </c>
      <c r="G2199">
        <v>7.2583645783799194E-2</v>
      </c>
      <c r="H2199">
        <v>5.1497169232617102E-2</v>
      </c>
      <c r="I2199">
        <v>3.8783166182112597E-2</v>
      </c>
      <c r="J2199">
        <v>4.1343631834685098E-2</v>
      </c>
      <c r="K2199">
        <v>3.9720054422235099E-2</v>
      </c>
      <c r="L2199">
        <v>1733.36087416182</v>
      </c>
      <c r="M2199">
        <v>38.525741416949501</v>
      </c>
      <c r="N2199">
        <v>45.136183421526901</v>
      </c>
      <c r="O2199">
        <v>44.871566978854403</v>
      </c>
      <c r="P2199">
        <v>-0.20223858650975299</v>
      </c>
      <c r="Q2199">
        <v>5.7799806172860402E-2</v>
      </c>
      <c r="R2199">
        <v>0.99357859373650403</v>
      </c>
      <c r="S2199" t="s">
        <v>8767</v>
      </c>
      <c r="T2199" t="s">
        <v>13134</v>
      </c>
      <c r="U2199" t="s">
        <v>13134</v>
      </c>
      <c r="V2199" t="s">
        <v>13134</v>
      </c>
      <c r="W2199" t="s">
        <v>15292</v>
      </c>
      <c r="X2199">
        <v>36</v>
      </c>
      <c r="Y2199" t="s">
        <v>21754</v>
      </c>
      <c r="Z2199" t="s">
        <v>28167</v>
      </c>
      <c r="AA2199">
        <v>0.31197808178357073</v>
      </c>
      <c r="AB2199" t="str">
        <f>HYPERLINK("Melting_Curves/meltCurve_P13010_XRCC5.pdf", "Melting_Curves/meltCurve_P13010_XRCC5.pdf")</f>
        <v>Melting_Curves/meltCurve_P13010_XRCC5.pdf</v>
      </c>
    </row>
    <row r="2200" spans="1:28" x14ac:dyDescent="0.25">
      <c r="A2200" t="s">
        <v>2204</v>
      </c>
      <c r="B2200">
        <v>0.99472303558308395</v>
      </c>
      <c r="C2200">
        <v>1.0797491879713299</v>
      </c>
      <c r="D2200">
        <v>1.0446832908702901</v>
      </c>
      <c r="E2200">
        <v>0.63528282835529803</v>
      </c>
      <c r="F2200">
        <v>0.37434944181491198</v>
      </c>
      <c r="G2200">
        <v>0.15116187096244699</v>
      </c>
      <c r="H2200">
        <v>7.2248105671775004E-2</v>
      </c>
      <c r="I2200">
        <v>4.9254156886432802E-2</v>
      </c>
      <c r="J2200">
        <v>6.3855336062819207E-2</v>
      </c>
      <c r="K2200">
        <v>3.2916589914555899E-2</v>
      </c>
      <c r="L2200">
        <v>1064.7268946409499</v>
      </c>
      <c r="M2200">
        <v>22.0386736919077</v>
      </c>
      <c r="N2200">
        <v>48.538189872076003</v>
      </c>
      <c r="O2200">
        <v>47.919237804071898</v>
      </c>
      <c r="P2200">
        <v>-0.109363771276341</v>
      </c>
      <c r="Q2200">
        <v>4.8851231788634597E-2</v>
      </c>
      <c r="R2200">
        <v>0.98572051492849799</v>
      </c>
      <c r="S2200" t="s">
        <v>8768</v>
      </c>
      <c r="T2200" t="s">
        <v>13134</v>
      </c>
      <c r="U2200" t="s">
        <v>13134</v>
      </c>
      <c r="V2200" t="s">
        <v>13134</v>
      </c>
      <c r="W2200" t="s">
        <v>15293</v>
      </c>
      <c r="X2200">
        <v>3</v>
      </c>
      <c r="Y2200" t="s">
        <v>21755</v>
      </c>
      <c r="Z2200" t="s">
        <v>28168</v>
      </c>
      <c r="AA2200">
        <v>0.41789587610433188</v>
      </c>
      <c r="AB2200" t="str">
        <f>HYPERLINK("Melting_Curves/meltCurve_P13056_NR2C1.pdf", "Melting_Curves/meltCurve_P13056_NR2C1.pdf")</f>
        <v>Melting_Curves/meltCurve_P13056_NR2C1.pdf</v>
      </c>
    </row>
    <row r="2201" spans="1:28" x14ac:dyDescent="0.25">
      <c r="A2201" t="s">
        <v>2205</v>
      </c>
      <c r="B2201">
        <v>0.99472303558308395</v>
      </c>
      <c r="C2201">
        <v>0.96898247157773698</v>
      </c>
      <c r="D2201">
        <v>0.89160035363821599</v>
      </c>
      <c r="E2201">
        <v>0.83551538605876396</v>
      </c>
      <c r="F2201">
        <v>0.64429589893228301</v>
      </c>
      <c r="G2201">
        <v>0.47049951330008499</v>
      </c>
      <c r="H2201">
        <v>0.41579564407366099</v>
      </c>
      <c r="I2201">
        <v>0.460536903741533</v>
      </c>
      <c r="J2201">
        <v>0.64184463461644303</v>
      </c>
      <c r="K2201">
        <v>0.62874531622001495</v>
      </c>
      <c r="L2201">
        <v>1158.9694854705499</v>
      </c>
      <c r="M2201">
        <v>24.469769563878799</v>
      </c>
      <c r="O2201">
        <v>47.050399129848202</v>
      </c>
      <c r="P2201">
        <v>-6.2033574019669899E-2</v>
      </c>
      <c r="Q2201">
        <v>0.52289517813436404</v>
      </c>
      <c r="R2201">
        <v>0.86735713517008906</v>
      </c>
      <c r="S2201" t="s">
        <v>8769</v>
      </c>
      <c r="T2201" t="s">
        <v>13134</v>
      </c>
      <c r="U2201" t="s">
        <v>13134</v>
      </c>
      <c r="V2201" t="s">
        <v>13134</v>
      </c>
      <c r="W2201" t="s">
        <v>15294</v>
      </c>
      <c r="X2201">
        <v>13</v>
      </c>
      <c r="Y2201" t="s">
        <v>21756</v>
      </c>
      <c r="Z2201" t="s">
        <v>28169</v>
      </c>
      <c r="AA2201">
        <v>0.69191242858881929</v>
      </c>
      <c r="AB2201" t="str">
        <f>HYPERLINK("Melting_Curves/meltCurve_P13073_COX4I1.pdf", "Melting_Curves/meltCurve_P13073_COX4I1.pdf")</f>
        <v>Melting_Curves/meltCurve_P13073_COX4I1.pdf</v>
      </c>
    </row>
    <row r="2202" spans="1:28" x14ac:dyDescent="0.25">
      <c r="A2202" t="s">
        <v>2206</v>
      </c>
      <c r="B2202">
        <v>0.99472303558308395</v>
      </c>
      <c r="C2202">
        <v>1.0407702594628201</v>
      </c>
      <c r="D2202">
        <v>0.96373003820481695</v>
      </c>
      <c r="E2202">
        <v>0.68951385184752201</v>
      </c>
      <c r="F2202">
        <v>0.32683178116545702</v>
      </c>
      <c r="G2202">
        <v>0.18114884345580101</v>
      </c>
      <c r="H2202">
        <v>0.104392285402069</v>
      </c>
      <c r="I2202">
        <v>7.5999313233021795E-2</v>
      </c>
      <c r="J2202">
        <v>7.4192909433865403E-2</v>
      </c>
      <c r="K2202">
        <v>7.6013352475499701E-2</v>
      </c>
      <c r="L2202">
        <v>1102.68709924515</v>
      </c>
      <c r="M2202">
        <v>22.931894028398801</v>
      </c>
      <c r="N2202">
        <v>48.449421796795598</v>
      </c>
      <c r="O2202">
        <v>47.724117439072003</v>
      </c>
      <c r="P2202">
        <v>-0.11062084780149201</v>
      </c>
      <c r="Q2202">
        <v>7.9154589193991695E-2</v>
      </c>
      <c r="R2202">
        <v>0.997485534197039</v>
      </c>
      <c r="S2202" t="s">
        <v>8770</v>
      </c>
      <c r="T2202" t="s">
        <v>13134</v>
      </c>
      <c r="U2202" t="s">
        <v>13134</v>
      </c>
      <c r="V2202" t="s">
        <v>13134</v>
      </c>
      <c r="W2202" t="s">
        <v>15295</v>
      </c>
      <c r="X2202">
        <v>5</v>
      </c>
      <c r="Y2202" t="s">
        <v>21757</v>
      </c>
      <c r="Z2202" t="s">
        <v>28170</v>
      </c>
      <c r="AA2202">
        <v>0.42872412559483292</v>
      </c>
      <c r="AB2202" t="str">
        <f>HYPERLINK("Melting_Curves/meltCurve_P13196_ALAS1.pdf", "Melting_Curves/meltCurve_P13196_ALAS1.pdf")</f>
        <v>Melting_Curves/meltCurve_P13196_ALAS1.pdf</v>
      </c>
    </row>
    <row r="2203" spans="1:28" x14ac:dyDescent="0.25">
      <c r="A2203" t="s">
        <v>2207</v>
      </c>
      <c r="B2203">
        <v>0.99472303558308395</v>
      </c>
      <c r="C2203">
        <v>0.91671133386112102</v>
      </c>
      <c r="D2203">
        <v>0.84388659676098499</v>
      </c>
      <c r="E2203">
        <v>0.61722616215270099</v>
      </c>
      <c r="F2203">
        <v>0.58337697717354098</v>
      </c>
      <c r="G2203">
        <v>0.26975720880981102</v>
      </c>
      <c r="H2203">
        <v>0.17395630882194901</v>
      </c>
      <c r="I2203">
        <v>0.119862284520378</v>
      </c>
      <c r="J2203">
        <v>0.118449853543403</v>
      </c>
      <c r="K2203">
        <v>0.17033957913019601</v>
      </c>
      <c r="L2203">
        <v>567.19930283363703</v>
      </c>
      <c r="M2203">
        <v>11.572486269195901</v>
      </c>
      <c r="N2203">
        <v>49.6408875002112</v>
      </c>
      <c r="O2203">
        <v>47.617764871465702</v>
      </c>
      <c r="P2203">
        <v>-5.66347706536037E-2</v>
      </c>
      <c r="Q2203">
        <v>6.81092234347868E-2</v>
      </c>
      <c r="R2203">
        <v>0.97772323986187604</v>
      </c>
      <c r="S2203" t="s">
        <v>8771</v>
      </c>
      <c r="T2203" t="s">
        <v>13134</v>
      </c>
      <c r="U2203" t="s">
        <v>13134</v>
      </c>
      <c r="V2203" t="s">
        <v>13134</v>
      </c>
      <c r="W2203" t="s">
        <v>15296</v>
      </c>
      <c r="X2203">
        <v>5</v>
      </c>
      <c r="Y2203" t="s">
        <v>21758</v>
      </c>
      <c r="Z2203" t="s">
        <v>28171</v>
      </c>
      <c r="AA2203">
        <v>0.47027536671977382</v>
      </c>
      <c r="AB2203" t="str">
        <f>HYPERLINK("Melting_Curves/meltCurve_P13224_GP1BB.pdf", "Melting_Curves/meltCurve_P13224_GP1BB.pdf")</f>
        <v>Melting_Curves/meltCurve_P13224_GP1BB.pdf</v>
      </c>
    </row>
    <row r="2204" spans="1:28" x14ac:dyDescent="0.25">
      <c r="A2204" t="s">
        <v>2208</v>
      </c>
      <c r="B2204">
        <v>0.99472303558308395</v>
      </c>
      <c r="C2204">
        <v>1.01825497284823</v>
      </c>
      <c r="D2204">
        <v>0.89262753006296802</v>
      </c>
      <c r="E2204">
        <v>0.73493223893917303</v>
      </c>
      <c r="F2204">
        <v>0.60014714943932901</v>
      </c>
      <c r="G2204">
        <v>0.40049830213721499</v>
      </c>
      <c r="H2204">
        <v>0.182512154132903</v>
      </c>
      <c r="I2204">
        <v>0.24549450610288101</v>
      </c>
      <c r="J2204">
        <v>0.239506941455635</v>
      </c>
      <c r="K2204">
        <v>0.199447365154029</v>
      </c>
      <c r="L2204">
        <v>713.32179914016206</v>
      </c>
      <c r="M2204">
        <v>14.377324796232401</v>
      </c>
      <c r="N2204">
        <v>51.153841825198398</v>
      </c>
      <c r="O2204">
        <v>48.684131841296598</v>
      </c>
      <c r="P2204">
        <v>-6.0871003660934203E-2</v>
      </c>
      <c r="Q2204">
        <v>0.17561894232002301</v>
      </c>
      <c r="R2204">
        <v>0.98391181218945101</v>
      </c>
      <c r="S2204" t="s">
        <v>8772</v>
      </c>
      <c r="T2204" t="s">
        <v>13134</v>
      </c>
      <c r="U2204" t="s">
        <v>13134</v>
      </c>
      <c r="V2204" t="s">
        <v>13134</v>
      </c>
      <c r="W2204" t="s">
        <v>15297</v>
      </c>
      <c r="X2204">
        <v>3</v>
      </c>
      <c r="Y2204" t="s">
        <v>21759</v>
      </c>
      <c r="Z2204" t="s">
        <v>28172</v>
      </c>
      <c r="AA2204">
        <v>0.54081429388297952</v>
      </c>
      <c r="AB2204" t="str">
        <f>HYPERLINK("Melting_Curves/meltCurve_P13284_IFI30.pdf", "Melting_Curves/meltCurve_P13284_IFI30.pdf")</f>
        <v>Melting_Curves/meltCurve_P13284_IFI30.pdf</v>
      </c>
    </row>
    <row r="2205" spans="1:28" x14ac:dyDescent="0.25">
      <c r="A2205" t="s">
        <v>2209</v>
      </c>
      <c r="B2205">
        <v>0.99472303558308395</v>
      </c>
      <c r="C2205">
        <v>0.98111081116093102</v>
      </c>
      <c r="D2205">
        <v>0.92198974968896397</v>
      </c>
      <c r="E2205">
        <v>0.85180107729673404</v>
      </c>
      <c r="F2205">
        <v>0.77516883283101301</v>
      </c>
      <c r="G2205">
        <v>0.306124780801588</v>
      </c>
      <c r="H2205">
        <v>0.27484002072442398</v>
      </c>
      <c r="I2205">
        <v>0.470727246385787</v>
      </c>
      <c r="J2205">
        <v>0.77672762211700896</v>
      </c>
      <c r="K2205">
        <v>1.66817621285802</v>
      </c>
      <c r="L2205">
        <v>1557.34675425571</v>
      </c>
      <c r="M2205">
        <v>33.7656178910729</v>
      </c>
      <c r="O2205">
        <v>45.961394452443002</v>
      </c>
      <c r="P2205">
        <v>-5.3244325938424E-2</v>
      </c>
      <c r="Q2205">
        <v>0.71009881225599802</v>
      </c>
      <c r="R2205">
        <v>8.8795888524010894E-2</v>
      </c>
      <c r="S2205" t="s">
        <v>8773</v>
      </c>
      <c r="T2205" t="s">
        <v>13134</v>
      </c>
      <c r="U2205" t="s">
        <v>13134</v>
      </c>
      <c r="V2205" t="s">
        <v>13134</v>
      </c>
      <c r="W2205" t="s">
        <v>15298</v>
      </c>
      <c r="X2205">
        <v>3</v>
      </c>
      <c r="Y2205" t="s">
        <v>21760</v>
      </c>
      <c r="Z2205" t="s">
        <v>28173</v>
      </c>
      <c r="AA2205">
        <v>0.79955391450467905</v>
      </c>
      <c r="AB2205" t="str">
        <f>HYPERLINK("Melting_Curves/meltCurve_P13473_2_LAMP2.pdf", "Melting_Curves/meltCurve_P13473_2_LAMP2.pdf")</f>
        <v>Melting_Curves/meltCurve_P13473_2_LAMP2.pdf</v>
      </c>
    </row>
    <row r="2206" spans="1:28" x14ac:dyDescent="0.25">
      <c r="A2206" t="s">
        <v>2210</v>
      </c>
      <c r="B2206">
        <v>0.99472303558308395</v>
      </c>
      <c r="C2206">
        <v>1.01380625717797</v>
      </c>
      <c r="D2206">
        <v>1.01882095617599</v>
      </c>
      <c r="E2206">
        <v>0.93914115929955999</v>
      </c>
      <c r="F2206">
        <v>0.64086677723026597</v>
      </c>
      <c r="G2206">
        <v>0.162709298184814</v>
      </c>
      <c r="H2206">
        <v>5.58621042988314E-2</v>
      </c>
      <c r="I2206">
        <v>3.0501810823758701E-2</v>
      </c>
      <c r="J2206">
        <v>2.8927057895681101E-2</v>
      </c>
      <c r="K2206">
        <v>3.15302159923809E-2</v>
      </c>
      <c r="L2206">
        <v>1699.9686884124701</v>
      </c>
      <c r="M2206">
        <v>33.3611916004809</v>
      </c>
      <c r="N2206">
        <v>51.046245928357003</v>
      </c>
      <c r="O2206">
        <v>50.7744289230912</v>
      </c>
      <c r="P2206">
        <v>-0.15958233082100601</v>
      </c>
      <c r="Q2206">
        <v>2.8491931332896001E-2</v>
      </c>
      <c r="R2206">
        <v>0.99939172134895704</v>
      </c>
      <c r="S2206" t="s">
        <v>8774</v>
      </c>
      <c r="T2206" t="s">
        <v>13134</v>
      </c>
      <c r="U2206" t="s">
        <v>13134</v>
      </c>
      <c r="V2206" t="s">
        <v>13134</v>
      </c>
      <c r="W2206" t="s">
        <v>15299</v>
      </c>
      <c r="X2206">
        <v>31</v>
      </c>
      <c r="Y2206" t="s">
        <v>21761</v>
      </c>
      <c r="Z2206" t="s">
        <v>28174</v>
      </c>
      <c r="AA2206">
        <v>0.48536139673955753</v>
      </c>
      <c r="AB2206" t="str">
        <f>HYPERLINK("Melting_Curves/meltCurve_P13489_RNH1.pdf", "Melting_Curves/meltCurve_P13489_RNH1.pdf")</f>
        <v>Melting_Curves/meltCurve_P13489_RNH1.pdf</v>
      </c>
    </row>
    <row r="2207" spans="1:28" x14ac:dyDescent="0.25">
      <c r="A2207" t="s">
        <v>2211</v>
      </c>
      <c r="B2207">
        <v>0.99472303558308395</v>
      </c>
      <c r="C2207">
        <v>0.98338426740913798</v>
      </c>
      <c r="D2207">
        <v>0.98400514839411402</v>
      </c>
      <c r="E2207">
        <v>0.80116576438038101</v>
      </c>
      <c r="F2207">
        <v>0.55905001807020005</v>
      </c>
      <c r="G2207">
        <v>0.43191983261463102</v>
      </c>
      <c r="H2207">
        <v>0.32161860376927298</v>
      </c>
      <c r="I2207">
        <v>0.22892016952611</v>
      </c>
      <c r="J2207">
        <v>0.26035666089957399</v>
      </c>
      <c r="K2207">
        <v>0.152849910724004</v>
      </c>
      <c r="L2207">
        <v>730.80360310783601</v>
      </c>
      <c r="M2207">
        <v>14.5272056286808</v>
      </c>
      <c r="N2207">
        <v>51.924405262808399</v>
      </c>
      <c r="O2207">
        <v>49.38144288062</v>
      </c>
      <c r="P2207">
        <v>-6.0161178051828197E-2</v>
      </c>
      <c r="Q2207">
        <v>0.18208482905090301</v>
      </c>
      <c r="R2207">
        <v>0.991018039937966</v>
      </c>
      <c r="S2207" t="s">
        <v>8775</v>
      </c>
      <c r="T2207" t="s">
        <v>13134</v>
      </c>
      <c r="U2207" t="s">
        <v>13134</v>
      </c>
      <c r="V2207" t="s">
        <v>13134</v>
      </c>
      <c r="W2207" t="s">
        <v>15300</v>
      </c>
      <c r="X2207">
        <v>2</v>
      </c>
      <c r="Y2207" t="s">
        <v>21762</v>
      </c>
      <c r="Z2207" t="s">
        <v>28175</v>
      </c>
      <c r="AA2207">
        <v>0.56254203703155925</v>
      </c>
      <c r="AB2207" t="str">
        <f>HYPERLINK("Melting_Curves/meltCurve_P13498_CYBA.pdf", "Melting_Curves/meltCurve_P13498_CYBA.pdf")</f>
        <v>Melting_Curves/meltCurve_P13498_CYBA.pdf</v>
      </c>
    </row>
    <row r="2208" spans="1:28" x14ac:dyDescent="0.25">
      <c r="A2208" t="s">
        <v>2212</v>
      </c>
      <c r="B2208">
        <v>0.99472303558308395</v>
      </c>
      <c r="C2208">
        <v>0.93913330919599303</v>
      </c>
      <c r="D2208">
        <v>0.99563545192505698</v>
      </c>
      <c r="E2208">
        <v>0.91869359325168998</v>
      </c>
      <c r="F2208">
        <v>0.77100895619544396</v>
      </c>
      <c r="G2208">
        <v>0.67160013254440898</v>
      </c>
      <c r="H2208">
        <v>0.42957897722282701</v>
      </c>
      <c r="I2208">
        <v>0.174595076412492</v>
      </c>
      <c r="J2208">
        <v>6.7173281640016194E-2</v>
      </c>
      <c r="K2208">
        <v>9.2674282422252605E-2</v>
      </c>
      <c r="L2208">
        <v>825.10254957343102</v>
      </c>
      <c r="M2208">
        <v>14.8327585407764</v>
      </c>
      <c r="N2208">
        <v>55.627047079553499</v>
      </c>
      <c r="O2208">
        <v>54.645286752252801</v>
      </c>
      <c r="P2208">
        <v>-6.7866412365138004E-2</v>
      </c>
      <c r="Q2208">
        <v>0</v>
      </c>
      <c r="R2208">
        <v>0.98700081881837498</v>
      </c>
      <c r="S2208" t="s">
        <v>8776</v>
      </c>
      <c r="T2208" t="s">
        <v>13134</v>
      </c>
      <c r="U2208" t="s">
        <v>13134</v>
      </c>
      <c r="V2208" t="s">
        <v>13134</v>
      </c>
      <c r="W2208" t="s">
        <v>15301</v>
      </c>
      <c r="X2208">
        <v>77</v>
      </c>
      <c r="Y2208" t="s">
        <v>21763</v>
      </c>
      <c r="Z2208" t="s">
        <v>28176</v>
      </c>
      <c r="AA2208">
        <v>0.63343182444829249</v>
      </c>
      <c r="AB2208" t="str">
        <f>HYPERLINK("Melting_Curves/meltCurve_P13639_EEF2.pdf", "Melting_Curves/meltCurve_P13639_EEF2.pdf")</f>
        <v>Melting_Curves/meltCurve_P13639_EEF2.pdf</v>
      </c>
    </row>
    <row r="2209" spans="1:28" x14ac:dyDescent="0.25">
      <c r="A2209" t="s">
        <v>2213</v>
      </c>
      <c r="B2209">
        <v>0.99472303558308395</v>
      </c>
      <c r="C2209">
        <v>0.94694821152026598</v>
      </c>
      <c r="D2209">
        <v>1.01271749544506</v>
      </c>
      <c r="E2209">
        <v>0.872946273313571</v>
      </c>
      <c r="F2209">
        <v>0.42907777731742702</v>
      </c>
      <c r="G2209">
        <v>0.15280636826813601</v>
      </c>
      <c r="H2209">
        <v>7.4255640597737205E-2</v>
      </c>
      <c r="I2209">
        <v>5.1474372973478802E-2</v>
      </c>
      <c r="J2209">
        <v>5.7728968127209297E-2</v>
      </c>
      <c r="K2209">
        <v>5.4560749454262099E-2</v>
      </c>
      <c r="L2209">
        <v>1446.1837761184099</v>
      </c>
      <c r="M2209">
        <v>29.203376156436601</v>
      </c>
      <c r="N2209">
        <v>49.723088863747797</v>
      </c>
      <c r="O2209">
        <v>49.290651176963699</v>
      </c>
      <c r="P2209">
        <v>-0.139835198383161</v>
      </c>
      <c r="Q2209">
        <v>5.59286271662921E-2</v>
      </c>
      <c r="R2209">
        <v>0.99791703546954402</v>
      </c>
      <c r="S2209" t="s">
        <v>8777</v>
      </c>
      <c r="T2209" t="s">
        <v>13134</v>
      </c>
      <c r="U2209" t="s">
        <v>13134</v>
      </c>
      <c r="V2209" t="s">
        <v>13134</v>
      </c>
      <c r="W2209" t="s">
        <v>15302</v>
      </c>
      <c r="X2209">
        <v>50</v>
      </c>
      <c r="Y2209" t="s">
        <v>21764</v>
      </c>
      <c r="Z2209" t="s">
        <v>28177</v>
      </c>
      <c r="AA2209">
        <v>0.45601723328888472</v>
      </c>
      <c r="AB2209" t="str">
        <f>HYPERLINK("Melting_Curves/meltCurve_P13667_PDIA4.pdf", "Melting_Curves/meltCurve_P13667_PDIA4.pdf")</f>
        <v>Melting_Curves/meltCurve_P13667_PDIA4.pdf</v>
      </c>
    </row>
    <row r="2210" spans="1:28" x14ac:dyDescent="0.25">
      <c r="A2210" t="s">
        <v>2214</v>
      </c>
      <c r="B2210">
        <v>0.99472303558308395</v>
      </c>
      <c r="C2210">
        <v>0.88071883842102705</v>
      </c>
      <c r="D2210">
        <v>0.69127206952482401</v>
      </c>
      <c r="E2210">
        <v>0.55877743404176405</v>
      </c>
      <c r="F2210">
        <v>0.43482716420219802</v>
      </c>
      <c r="G2210">
        <v>0.134724110552076</v>
      </c>
      <c r="H2210">
        <v>7.8397846133144003E-2</v>
      </c>
      <c r="I2210">
        <v>4.0609428915635799E-2</v>
      </c>
      <c r="J2210">
        <v>0.116714030886167</v>
      </c>
      <c r="K2210">
        <v>3.8808899773445302E-2</v>
      </c>
      <c r="L2210">
        <v>526.47378274089601</v>
      </c>
      <c r="M2210">
        <v>11.1394514887161</v>
      </c>
      <c r="N2210">
        <v>47.262092095769901</v>
      </c>
      <c r="O2210">
        <v>45.815687323547102</v>
      </c>
      <c r="P2210">
        <v>-6.0803590389667199E-2</v>
      </c>
      <c r="Q2210">
        <v>0</v>
      </c>
      <c r="R2210">
        <v>0.97814873588171602</v>
      </c>
      <c r="S2210" t="s">
        <v>8778</v>
      </c>
      <c r="T2210" t="s">
        <v>13134</v>
      </c>
      <c r="U2210" t="s">
        <v>13134</v>
      </c>
      <c r="V2210" t="s">
        <v>13134</v>
      </c>
      <c r="W2210" t="s">
        <v>15303</v>
      </c>
      <c r="X2210">
        <v>18</v>
      </c>
      <c r="Y2210" t="s">
        <v>21765</v>
      </c>
      <c r="Z2210" t="s">
        <v>28178</v>
      </c>
      <c r="AA2210">
        <v>0.37840462070538078</v>
      </c>
      <c r="AB2210" t="str">
        <f>HYPERLINK("Melting_Curves/meltCurve_P13674_2_P4HA1.pdf", "Melting_Curves/meltCurve_P13674_2_P4HA1.pdf")</f>
        <v>Melting_Curves/meltCurve_P13674_2_P4HA1.pdf</v>
      </c>
    </row>
    <row r="2211" spans="1:28" x14ac:dyDescent="0.25">
      <c r="A2211" t="s">
        <v>2215</v>
      </c>
      <c r="B2211">
        <v>0.99472303558308395</v>
      </c>
      <c r="C2211">
        <v>0.95420097396635895</v>
      </c>
      <c r="D2211">
        <v>1.00430811159655</v>
      </c>
      <c r="E2211">
        <v>0.87651830839685696</v>
      </c>
      <c r="F2211">
        <v>0.57931004587740798</v>
      </c>
      <c r="G2211">
        <v>0.31744041592900102</v>
      </c>
      <c r="H2211">
        <v>9.7412230736379002E-2</v>
      </c>
      <c r="I2211">
        <v>7.0899928559328695E-2</v>
      </c>
      <c r="J2211">
        <v>8.0266379964797394E-2</v>
      </c>
      <c r="K2211">
        <v>6.7167175728779602E-2</v>
      </c>
      <c r="L2211">
        <v>1054.3833970887899</v>
      </c>
      <c r="M2211">
        <v>20.717987188659301</v>
      </c>
      <c r="N2211">
        <v>51.160640829379098</v>
      </c>
      <c r="O2211">
        <v>50.425148729765702</v>
      </c>
      <c r="P2211">
        <v>-9.7428518055408406E-2</v>
      </c>
      <c r="Q2211">
        <v>5.1508513634702303E-2</v>
      </c>
      <c r="R2211">
        <v>0.99655149523700204</v>
      </c>
      <c r="S2211" t="s">
        <v>8779</v>
      </c>
      <c r="T2211" t="s">
        <v>13134</v>
      </c>
      <c r="U2211" t="s">
        <v>13134</v>
      </c>
      <c r="V2211" t="s">
        <v>13134</v>
      </c>
      <c r="W2211" t="s">
        <v>15304</v>
      </c>
      <c r="X2211">
        <v>9</v>
      </c>
      <c r="Y2211" t="s">
        <v>21766</v>
      </c>
      <c r="Z2211" t="s">
        <v>28179</v>
      </c>
      <c r="AA2211">
        <v>0.50243832145200884</v>
      </c>
      <c r="AB2211" t="str">
        <f>HYPERLINK("Melting_Curves/meltCurve_P13693_TPT1.pdf", "Melting_Curves/meltCurve_P13693_TPT1.pdf")</f>
        <v>Melting_Curves/meltCurve_P13693_TPT1.pdf</v>
      </c>
    </row>
    <row r="2212" spans="1:28" x14ac:dyDescent="0.25">
      <c r="A2212" t="s">
        <v>2216</v>
      </c>
      <c r="B2212">
        <v>0.99472303558308395</v>
      </c>
      <c r="C2212">
        <v>1.0383327782448899</v>
      </c>
      <c r="D2212">
        <v>0.93320205331913997</v>
      </c>
      <c r="E2212">
        <v>0.88563125006709897</v>
      </c>
      <c r="F2212">
        <v>1.00905842455112</v>
      </c>
      <c r="G2212">
        <v>0.616233809047389</v>
      </c>
      <c r="H2212">
        <v>0.42944945444619598</v>
      </c>
      <c r="I2212">
        <v>0.146164828589641</v>
      </c>
      <c r="J2212">
        <v>0.10760293264993601</v>
      </c>
      <c r="K2212">
        <v>0.11557454065883099</v>
      </c>
      <c r="L2212">
        <v>1204.1143783345101</v>
      </c>
      <c r="M2212">
        <v>21.723906825241698</v>
      </c>
      <c r="N2212">
        <v>55.832221799121101</v>
      </c>
      <c r="O2212">
        <v>54.964806424141798</v>
      </c>
      <c r="P2212">
        <v>-9.1621641170733098E-2</v>
      </c>
      <c r="Q2212">
        <v>7.2754708172919097E-2</v>
      </c>
      <c r="R2212">
        <v>0.97523060358862501</v>
      </c>
      <c r="S2212" t="s">
        <v>8780</v>
      </c>
      <c r="T2212" t="s">
        <v>13134</v>
      </c>
      <c r="U2212" t="s">
        <v>13134</v>
      </c>
      <c r="V2212" t="s">
        <v>13134</v>
      </c>
      <c r="W2212" t="s">
        <v>15305</v>
      </c>
      <c r="X2212">
        <v>29</v>
      </c>
      <c r="Y2212" t="s">
        <v>21767</v>
      </c>
      <c r="Z2212" t="s">
        <v>28180</v>
      </c>
      <c r="AA2212">
        <v>0.6516142682422924</v>
      </c>
      <c r="AB2212" t="str">
        <f>HYPERLINK("Melting_Curves/meltCurve_P13796_LCP1.pdf", "Melting_Curves/meltCurve_P13796_LCP1.pdf")</f>
        <v>Melting_Curves/meltCurve_P13796_LCP1.pdf</v>
      </c>
    </row>
    <row r="2213" spans="1:28" x14ac:dyDescent="0.25">
      <c r="A2213" t="s">
        <v>2217</v>
      </c>
      <c r="B2213">
        <v>0.99472303558308395</v>
      </c>
      <c r="C2213">
        <v>0.92690161660130599</v>
      </c>
      <c r="D2213">
        <v>1.0413931142122299</v>
      </c>
      <c r="E2213">
        <v>0.93221516015077399</v>
      </c>
      <c r="F2213">
        <v>0.64219085788547003</v>
      </c>
      <c r="G2213">
        <v>0.40007970585819003</v>
      </c>
      <c r="H2213">
        <v>0.17242747243982701</v>
      </c>
      <c r="I2213">
        <v>0.21978387715630199</v>
      </c>
      <c r="J2213">
        <v>6.3097020326359096E-2</v>
      </c>
      <c r="K2213">
        <v>6.54114632333294E-2</v>
      </c>
      <c r="L2213">
        <v>992.99024950631497</v>
      </c>
      <c r="M2213">
        <v>19.175958909020899</v>
      </c>
      <c r="N2213">
        <v>52.260962084161903</v>
      </c>
      <c r="O2213">
        <v>51.2297934207892</v>
      </c>
      <c r="P2213">
        <v>-8.6056244307098004E-2</v>
      </c>
      <c r="Q2213">
        <v>8.0416434115440596E-2</v>
      </c>
      <c r="R2213">
        <v>0.98495353251653595</v>
      </c>
      <c r="S2213" t="s">
        <v>8781</v>
      </c>
      <c r="T2213" t="s">
        <v>13134</v>
      </c>
      <c r="U2213" t="s">
        <v>13134</v>
      </c>
      <c r="V2213" t="s">
        <v>13134</v>
      </c>
      <c r="W2213" t="s">
        <v>15306</v>
      </c>
      <c r="X2213">
        <v>18</v>
      </c>
      <c r="Y2213" t="s">
        <v>21768</v>
      </c>
      <c r="Z2213" t="s">
        <v>28181</v>
      </c>
      <c r="AA2213">
        <v>0.54629032563033819</v>
      </c>
      <c r="AB2213" t="str">
        <f>HYPERLINK("Melting_Curves/meltCurve_P13804_ETFA.pdf", "Melting_Curves/meltCurve_P13804_ETFA.pdf")</f>
        <v>Melting_Curves/meltCurve_P13804_ETFA.pdf</v>
      </c>
    </row>
    <row r="2214" spans="1:28" x14ac:dyDescent="0.25">
      <c r="A2214" t="s">
        <v>2218</v>
      </c>
      <c r="B2214">
        <v>0.99472303558308395</v>
      </c>
      <c r="C2214">
        <v>1.07324964655345</v>
      </c>
      <c r="D2214">
        <v>0.93237319587088296</v>
      </c>
      <c r="E2214">
        <v>0.74636455277672198</v>
      </c>
      <c r="F2214">
        <v>0.42711857526235197</v>
      </c>
      <c r="G2214">
        <v>0.163081695904992</v>
      </c>
      <c r="H2214">
        <v>6.4879207952520598E-2</v>
      </c>
      <c r="I2214">
        <v>4.7040285984337203E-2</v>
      </c>
      <c r="J2214">
        <v>5.0662052799495698E-2</v>
      </c>
      <c r="K2214">
        <v>3.7355149920237897E-2</v>
      </c>
      <c r="L2214">
        <v>1001.65292169056</v>
      </c>
      <c r="M2214">
        <v>20.391973732981501</v>
      </c>
      <c r="N2214">
        <v>49.271663778025697</v>
      </c>
      <c r="O2214">
        <v>48.654903977460599</v>
      </c>
      <c r="P2214">
        <v>-0.10159312811396901</v>
      </c>
      <c r="Q2214">
        <v>3.0431378302520601E-2</v>
      </c>
      <c r="R2214">
        <v>0.99545729982268505</v>
      </c>
      <c r="S2214" t="s">
        <v>8782</v>
      </c>
      <c r="T2214" t="s">
        <v>13134</v>
      </c>
      <c r="U2214" t="s">
        <v>13134</v>
      </c>
      <c r="V2214" t="s">
        <v>13134</v>
      </c>
      <c r="W2214" t="s">
        <v>15307</v>
      </c>
      <c r="X2214">
        <v>25</v>
      </c>
      <c r="Y2214" t="s">
        <v>21769</v>
      </c>
      <c r="Z2214" t="s">
        <v>28182</v>
      </c>
      <c r="AA2214">
        <v>0.43446758500071281</v>
      </c>
      <c r="AB2214" t="str">
        <f>HYPERLINK("Melting_Curves/meltCurve_P13861_PRKAR2A.pdf", "Melting_Curves/meltCurve_P13861_PRKAR2A.pdf")</f>
        <v>Melting_Curves/meltCurve_P13861_PRKAR2A.pdf</v>
      </c>
    </row>
    <row r="2215" spans="1:28" x14ac:dyDescent="0.25">
      <c r="A2215" t="s">
        <v>2219</v>
      </c>
      <c r="B2215">
        <v>0.99472303558308395</v>
      </c>
      <c r="C2215">
        <v>1.02032470017974</v>
      </c>
      <c r="D2215">
        <v>0.96663326154486195</v>
      </c>
      <c r="E2215">
        <v>0.91320022764279996</v>
      </c>
      <c r="F2215">
        <v>0.73274142921046204</v>
      </c>
      <c r="G2215">
        <v>0.54651371163159002</v>
      </c>
      <c r="H2215">
        <v>0.45372520635117602</v>
      </c>
      <c r="I2215">
        <v>0.46628811142575499</v>
      </c>
      <c r="J2215">
        <v>0.68245812378752002</v>
      </c>
      <c r="K2215">
        <v>0.42029465472471</v>
      </c>
      <c r="L2215">
        <v>1368.0969014802499</v>
      </c>
      <c r="M2215">
        <v>27.550250802430501</v>
      </c>
      <c r="O2215">
        <v>49.398816588082703</v>
      </c>
      <c r="P2215">
        <v>-6.9435640774248603E-2</v>
      </c>
      <c r="Q2215">
        <v>0.50199988166147103</v>
      </c>
      <c r="R2215">
        <v>0.91180059913262002</v>
      </c>
      <c r="S2215" t="s">
        <v>8783</v>
      </c>
      <c r="T2215" t="s">
        <v>13134</v>
      </c>
      <c r="U2215" t="s">
        <v>13134</v>
      </c>
      <c r="V2215" t="s">
        <v>13134</v>
      </c>
      <c r="W2215" t="s">
        <v>15308</v>
      </c>
      <c r="X2215">
        <v>13</v>
      </c>
      <c r="Y2215" t="s">
        <v>21770</v>
      </c>
      <c r="Z2215" t="s">
        <v>28183</v>
      </c>
      <c r="AA2215">
        <v>0.71572022788541689</v>
      </c>
      <c r="AB2215" t="str">
        <f>HYPERLINK("Melting_Curves/meltCurve_P13929_2_ENO3.pdf", "Melting_Curves/meltCurve_P13929_2_ENO3.pdf")</f>
        <v>Melting_Curves/meltCurve_P13929_2_ENO3.pdf</v>
      </c>
    </row>
    <row r="2216" spans="1:28" x14ac:dyDescent="0.25">
      <c r="A2216" t="s">
        <v>2220</v>
      </c>
      <c r="B2216">
        <v>0.99472303558308395</v>
      </c>
      <c r="C2216">
        <v>0.90443625657842297</v>
      </c>
      <c r="D2216">
        <v>1.00828919557918</v>
      </c>
      <c r="E2216">
        <v>0.89645564973008396</v>
      </c>
      <c r="F2216">
        <v>0.63191747983385205</v>
      </c>
      <c r="G2216">
        <v>0.44702960972029199</v>
      </c>
      <c r="H2216">
        <v>0.17509460948553701</v>
      </c>
      <c r="I2216">
        <v>7.3373732942789704E-2</v>
      </c>
      <c r="J2216">
        <v>6.0446734485677403E-2</v>
      </c>
      <c r="K2216">
        <v>6.0894625743049297E-2</v>
      </c>
      <c r="L2216">
        <v>858.02397513513097</v>
      </c>
      <c r="M2216">
        <v>16.399764309730202</v>
      </c>
      <c r="N2216">
        <v>52.397964753028802</v>
      </c>
      <c r="O2216">
        <v>51.559920184951402</v>
      </c>
      <c r="P2216">
        <v>-7.8556466949043904E-2</v>
      </c>
      <c r="Q2216">
        <v>1.2162178903736399E-2</v>
      </c>
      <c r="R2216">
        <v>0.989861661847379</v>
      </c>
      <c r="S2216" t="s">
        <v>8784</v>
      </c>
      <c r="T2216" t="s">
        <v>13134</v>
      </c>
      <c r="U2216" t="s">
        <v>13134</v>
      </c>
      <c r="V2216" t="s">
        <v>13134</v>
      </c>
      <c r="W2216" t="s">
        <v>15309</v>
      </c>
      <c r="X2216">
        <v>13</v>
      </c>
      <c r="Y2216" t="s">
        <v>21771</v>
      </c>
      <c r="Z2216" t="s">
        <v>28184</v>
      </c>
      <c r="AA2216">
        <v>0.53329171005462739</v>
      </c>
      <c r="AB2216" t="str">
        <f>HYPERLINK("Melting_Curves/meltCurve_P13984_GTF2F2.pdf", "Melting_Curves/meltCurve_P13984_GTF2F2.pdf")</f>
        <v>Melting_Curves/meltCurve_P13984_GTF2F2.pdf</v>
      </c>
    </row>
    <row r="2217" spans="1:28" x14ac:dyDescent="0.25">
      <c r="A2217" t="s">
        <v>2221</v>
      </c>
      <c r="B2217">
        <v>0.99472303558308395</v>
      </c>
      <c r="C2217">
        <v>0.92317365020780395</v>
      </c>
      <c r="D2217">
        <v>0.92434731231775202</v>
      </c>
      <c r="E2217">
        <v>0.93770503832430496</v>
      </c>
      <c r="F2217">
        <v>1.0175481693219399</v>
      </c>
      <c r="G2217">
        <v>0.84181130442703</v>
      </c>
      <c r="H2217">
        <v>0.60258343036426798</v>
      </c>
      <c r="I2217">
        <v>0.67533131693870796</v>
      </c>
      <c r="J2217">
        <v>0.81073300557554495</v>
      </c>
      <c r="K2217">
        <v>0.61884147238679899</v>
      </c>
      <c r="L2217">
        <v>13452.248118433699</v>
      </c>
      <c r="M2217">
        <v>250</v>
      </c>
      <c r="O2217">
        <v>53.805565312348797</v>
      </c>
      <c r="P2217">
        <v>-0.375341976848246</v>
      </c>
      <c r="Q2217">
        <v>0.67687230155426503</v>
      </c>
      <c r="R2217">
        <v>0.79883375711000504</v>
      </c>
      <c r="S2217" t="s">
        <v>8785</v>
      </c>
      <c r="T2217" t="s">
        <v>13134</v>
      </c>
      <c r="U2217" t="s">
        <v>13134</v>
      </c>
      <c r="V2217" t="s">
        <v>13134</v>
      </c>
      <c r="W2217" t="s">
        <v>15310</v>
      </c>
      <c r="X2217">
        <v>4</v>
      </c>
      <c r="Y2217" t="s">
        <v>21772</v>
      </c>
      <c r="Z2217" t="s">
        <v>28185</v>
      </c>
      <c r="AA2217">
        <v>0.85795118415167437</v>
      </c>
      <c r="AB2217" t="str">
        <f>HYPERLINK("Melting_Curves/meltCurve_P14174_MIF.pdf", "Melting_Curves/meltCurve_P14174_MIF.pdf")</f>
        <v>Melting_Curves/meltCurve_P14174_MIF.pdf</v>
      </c>
    </row>
    <row r="2218" spans="1:28" x14ac:dyDescent="0.25">
      <c r="A2218" t="s">
        <v>2222</v>
      </c>
      <c r="B2218">
        <v>0.99472303558308395</v>
      </c>
      <c r="C2218">
        <v>0.91222463072458304</v>
      </c>
      <c r="D2218">
        <v>0.89632135269704805</v>
      </c>
      <c r="E2218">
        <v>0.83505537360868198</v>
      </c>
      <c r="F2218">
        <v>0.52770912246627</v>
      </c>
      <c r="G2218">
        <v>0.441118671889841</v>
      </c>
      <c r="H2218">
        <v>0.56684068029174495</v>
      </c>
      <c r="I2218">
        <v>0.41088563281010598</v>
      </c>
      <c r="J2218">
        <v>1.31819885564547</v>
      </c>
      <c r="K2218">
        <v>0.542022088291927</v>
      </c>
      <c r="L2218">
        <v>11659.118100784101</v>
      </c>
      <c r="M2218">
        <v>250</v>
      </c>
      <c r="O2218">
        <v>46.633487961492499</v>
      </c>
      <c r="P2218">
        <v>-0.48990745181798701</v>
      </c>
      <c r="Q2218">
        <v>0.63446250819162597</v>
      </c>
      <c r="R2218">
        <v>0.22759209221521501</v>
      </c>
      <c r="S2218" t="s">
        <v>8786</v>
      </c>
      <c r="T2218" t="s">
        <v>13134</v>
      </c>
      <c r="U2218" t="s">
        <v>13134</v>
      </c>
      <c r="V2218" t="s">
        <v>13134</v>
      </c>
      <c r="W2218" t="s">
        <v>15311</v>
      </c>
      <c r="X2218">
        <v>4</v>
      </c>
      <c r="Y2218" t="s">
        <v>21773</v>
      </c>
      <c r="Z2218" t="s">
        <v>28186</v>
      </c>
      <c r="AA2218">
        <v>0.75190882448081142</v>
      </c>
      <c r="AB2218" t="str">
        <f>HYPERLINK("Melting_Curves/meltCurve_P14209_3_CD99.pdf", "Melting_Curves/meltCurve_P14209_3_CD99.pdf")</f>
        <v>Melting_Curves/meltCurve_P14209_3_CD99.pdf</v>
      </c>
    </row>
    <row r="2219" spans="1:28" x14ac:dyDescent="0.25">
      <c r="A2219" t="s">
        <v>2223</v>
      </c>
      <c r="B2219">
        <v>0.99472303558308395</v>
      </c>
      <c r="C2219">
        <v>1.05000188439093</v>
      </c>
      <c r="D2219">
        <v>0.94430508796989299</v>
      </c>
      <c r="E2219">
        <v>0.72429254828267198</v>
      </c>
      <c r="F2219">
        <v>0.40403271593289702</v>
      </c>
      <c r="G2219">
        <v>0.25638900586900798</v>
      </c>
      <c r="H2219">
        <v>0.16775792581996901</v>
      </c>
      <c r="I2219">
        <v>0.15955153804106401</v>
      </c>
      <c r="J2219">
        <v>0.19579978683673999</v>
      </c>
      <c r="K2219">
        <v>0.14656044110052799</v>
      </c>
      <c r="L2219">
        <v>1064.0607998099599</v>
      </c>
      <c r="M2219">
        <v>22.0894130388875</v>
      </c>
      <c r="N2219">
        <v>49.040523755416203</v>
      </c>
      <c r="O2219">
        <v>47.781034501470302</v>
      </c>
      <c r="P2219">
        <v>-9.6844519025237996E-2</v>
      </c>
      <c r="Q2219">
        <v>0.16209074657268599</v>
      </c>
      <c r="R2219">
        <v>0.99581847943897495</v>
      </c>
      <c r="S2219" t="s">
        <v>8787</v>
      </c>
      <c r="T2219" t="s">
        <v>13134</v>
      </c>
      <c r="U2219" t="s">
        <v>13134</v>
      </c>
      <c r="V2219" t="s">
        <v>13134</v>
      </c>
      <c r="W2219" t="s">
        <v>15312</v>
      </c>
      <c r="X2219">
        <v>5</v>
      </c>
      <c r="Y2219" t="s">
        <v>21774</v>
      </c>
      <c r="Z2219" t="s">
        <v>28187</v>
      </c>
      <c r="AA2219">
        <v>0.48320471202574578</v>
      </c>
      <c r="AB2219" t="str">
        <f>HYPERLINK("Melting_Curves/meltCurve_P14316_2_IRF2.pdf", "Melting_Curves/meltCurve_P14316_2_IRF2.pdf")</f>
        <v>Melting_Curves/meltCurve_P14316_2_IRF2.pdf</v>
      </c>
    </row>
    <row r="2220" spans="1:28" x14ac:dyDescent="0.25">
      <c r="A2220" t="s">
        <v>2224</v>
      </c>
      <c r="B2220">
        <v>0.99472303558308395</v>
      </c>
      <c r="C2220">
        <v>0.99699069126502604</v>
      </c>
      <c r="D2220">
        <v>0.96566341241756104</v>
      </c>
      <c r="E2220">
        <v>0.851875108249459</v>
      </c>
      <c r="F2220">
        <v>0.61437508992044798</v>
      </c>
      <c r="G2220">
        <v>0.47165073694944598</v>
      </c>
      <c r="H2220">
        <v>0.38257449682299599</v>
      </c>
      <c r="I2220">
        <v>0.31492321782437899</v>
      </c>
      <c r="J2220">
        <v>0.42203699573334003</v>
      </c>
      <c r="K2220">
        <v>0.31433597023677201</v>
      </c>
      <c r="L2220">
        <v>962.10327999880496</v>
      </c>
      <c r="M2220">
        <v>19.454835889702402</v>
      </c>
      <c r="N2220">
        <v>52.589908468729703</v>
      </c>
      <c r="O2220">
        <v>48.939556218973401</v>
      </c>
      <c r="P2220">
        <v>-6.5264618541976599E-2</v>
      </c>
      <c r="Q2220">
        <v>0.34331895698899001</v>
      </c>
      <c r="R2220">
        <v>0.98875894448005996</v>
      </c>
      <c r="S2220" t="s">
        <v>8788</v>
      </c>
      <c r="T2220" t="s">
        <v>13134</v>
      </c>
      <c r="U2220" t="s">
        <v>13134</v>
      </c>
      <c r="V2220" t="s">
        <v>13134</v>
      </c>
      <c r="W2220" t="s">
        <v>15313</v>
      </c>
      <c r="X2220">
        <v>19</v>
      </c>
      <c r="Y2220" t="s">
        <v>21775</v>
      </c>
      <c r="Z2220" t="s">
        <v>28188</v>
      </c>
      <c r="AA2220">
        <v>0.62500183701701839</v>
      </c>
      <c r="AB2220" t="str">
        <f>HYPERLINK("Melting_Curves/meltCurve_P14317_HCLS1.pdf", "Melting_Curves/meltCurve_P14317_HCLS1.pdf")</f>
        <v>Melting_Curves/meltCurve_P14317_HCLS1.pdf</v>
      </c>
    </row>
    <row r="2221" spans="1:28" x14ac:dyDescent="0.25">
      <c r="A2221" t="s">
        <v>2225</v>
      </c>
      <c r="B2221">
        <v>0.99472303558308395</v>
      </c>
      <c r="C2221">
        <v>1.00956643458351</v>
      </c>
      <c r="D2221">
        <v>0.99666407128025003</v>
      </c>
      <c r="E2221">
        <v>0.71079667393179502</v>
      </c>
      <c r="F2221">
        <v>0.17081467246476301</v>
      </c>
      <c r="G2221">
        <v>0.103042077019817</v>
      </c>
      <c r="H2221">
        <v>5.97076918788568E-2</v>
      </c>
      <c r="I2221">
        <v>3.7586924789273002E-2</v>
      </c>
      <c r="J2221">
        <v>4.4618369079516301E-2</v>
      </c>
      <c r="K2221">
        <v>3.5029421874098403E-2</v>
      </c>
      <c r="L2221">
        <v>1760.28711501823</v>
      </c>
      <c r="M2221">
        <v>36.948400315256102</v>
      </c>
      <c r="N2221">
        <v>47.782909540029799</v>
      </c>
      <c r="O2221">
        <v>47.502853044646699</v>
      </c>
      <c r="P2221">
        <v>-0.18440125088769699</v>
      </c>
      <c r="Q2221">
        <v>5.1697942433700302E-2</v>
      </c>
      <c r="R2221">
        <v>0.99870263517402602</v>
      </c>
      <c r="S2221" t="s">
        <v>8789</v>
      </c>
      <c r="T2221" t="s">
        <v>13134</v>
      </c>
      <c r="U2221" t="s">
        <v>13134</v>
      </c>
      <c r="V2221" t="s">
        <v>13134</v>
      </c>
      <c r="W2221" t="s">
        <v>15314</v>
      </c>
      <c r="X2221">
        <v>15</v>
      </c>
      <c r="Y2221" t="s">
        <v>21776</v>
      </c>
      <c r="Z2221" t="s">
        <v>28189</v>
      </c>
      <c r="AA2221">
        <v>0.39175022920123009</v>
      </c>
      <c r="AB2221" t="str">
        <f>HYPERLINK("Melting_Curves/meltCurve_P14324_2_FDPS.pdf", "Melting_Curves/meltCurve_P14324_2_FDPS.pdf")</f>
        <v>Melting_Curves/meltCurve_P14324_2_FDPS.pdf</v>
      </c>
    </row>
    <row r="2222" spans="1:28" x14ac:dyDescent="0.25">
      <c r="A2222" t="s">
        <v>2226</v>
      </c>
      <c r="B2222">
        <v>0.99472303558308395</v>
      </c>
      <c r="C2222">
        <v>1.03816524562546</v>
      </c>
      <c r="D2222">
        <v>0.87943359037644797</v>
      </c>
      <c r="E2222">
        <v>0.77603736985046101</v>
      </c>
      <c r="F2222">
        <v>0.651824645732755</v>
      </c>
      <c r="G2222">
        <v>0.444449463892787</v>
      </c>
      <c r="H2222">
        <v>0.31199491843918198</v>
      </c>
      <c r="I2222">
        <v>0.33415648369207301</v>
      </c>
      <c r="J2222">
        <v>0.29718184043034601</v>
      </c>
      <c r="K2222">
        <v>0.269376949370629</v>
      </c>
      <c r="L2222">
        <v>679.24276854893105</v>
      </c>
      <c r="M2222">
        <v>13.6172259151774</v>
      </c>
      <c r="N2222">
        <v>52.567976607330401</v>
      </c>
      <c r="O2222">
        <v>48.842275830116101</v>
      </c>
      <c r="P2222">
        <v>-5.2233081368656203E-2</v>
      </c>
      <c r="Q2222">
        <v>0.25071187282651197</v>
      </c>
      <c r="R2222">
        <v>0.98690278468974602</v>
      </c>
      <c r="S2222" t="s">
        <v>8790</v>
      </c>
      <c r="T2222" t="s">
        <v>13134</v>
      </c>
      <c r="U2222" t="s">
        <v>13134</v>
      </c>
      <c r="V2222" t="s">
        <v>13134</v>
      </c>
      <c r="W2222" t="s">
        <v>15315</v>
      </c>
      <c r="X2222">
        <v>2</v>
      </c>
      <c r="Y2222" t="s">
        <v>21777</v>
      </c>
      <c r="Z2222" t="s">
        <v>28190</v>
      </c>
      <c r="AA2222">
        <v>0.59044256866895672</v>
      </c>
      <c r="AB2222" t="str">
        <f>HYPERLINK("Melting_Curves/meltCurve_P14415_ATP1B2.pdf", "Melting_Curves/meltCurve_P14415_ATP1B2.pdf")</f>
        <v>Melting_Curves/meltCurve_P14415_ATP1B2.pdf</v>
      </c>
    </row>
    <row r="2223" spans="1:28" x14ac:dyDescent="0.25">
      <c r="A2223" t="s">
        <v>2227</v>
      </c>
      <c r="B2223">
        <v>0.99472303558308395</v>
      </c>
      <c r="C2223">
        <v>1.01158810885845</v>
      </c>
      <c r="D2223">
        <v>1.0700076764069799</v>
      </c>
      <c r="E2223">
        <v>1.0099697241957899</v>
      </c>
      <c r="F2223">
        <v>0.69498681252297301</v>
      </c>
      <c r="G2223">
        <v>0.20547365945830801</v>
      </c>
      <c r="H2223">
        <v>7.2711520211733105E-2</v>
      </c>
      <c r="I2223">
        <v>4.94590753104137E-2</v>
      </c>
      <c r="J2223">
        <v>5.06884056324221E-2</v>
      </c>
      <c r="K2223">
        <v>4.5614006738371099E-2</v>
      </c>
      <c r="L2223">
        <v>1864.42075719845</v>
      </c>
      <c r="M2223">
        <v>36.3463794340256</v>
      </c>
      <c r="N2223">
        <v>51.444842675328999</v>
      </c>
      <c r="O2223">
        <v>51.141374895600599</v>
      </c>
      <c r="P2223">
        <v>-0.168803946162634</v>
      </c>
      <c r="Q2223">
        <v>4.9936747649639297E-2</v>
      </c>
      <c r="R2223">
        <v>0.99675499872866902</v>
      </c>
      <c r="S2223" t="s">
        <v>8791</v>
      </c>
      <c r="T2223" t="s">
        <v>13134</v>
      </c>
      <c r="U2223" t="s">
        <v>13134</v>
      </c>
      <c r="V2223" t="s">
        <v>13134</v>
      </c>
      <c r="W2223" t="s">
        <v>15316</v>
      </c>
      <c r="X2223">
        <v>20</v>
      </c>
      <c r="Y2223" t="s">
        <v>21778</v>
      </c>
      <c r="Z2223" t="s">
        <v>28191</v>
      </c>
      <c r="AA2223">
        <v>0.50674324396972159</v>
      </c>
      <c r="AB2223" t="str">
        <f>HYPERLINK("Melting_Curves/meltCurve_P14550_AKR1A1.pdf", "Melting_Curves/meltCurve_P14550_AKR1A1.pdf")</f>
        <v>Melting_Curves/meltCurve_P14550_AKR1A1.pdf</v>
      </c>
    </row>
    <row r="2224" spans="1:28" x14ac:dyDescent="0.25">
      <c r="A2224" t="s">
        <v>2228</v>
      </c>
      <c r="B2224">
        <v>0.99472303558308395</v>
      </c>
      <c r="C2224">
        <v>0.97262601370111201</v>
      </c>
      <c r="D2224">
        <v>0.90712492913137899</v>
      </c>
      <c r="E2224">
        <v>0.86917693436310905</v>
      </c>
      <c r="F2224">
        <v>0.84849588980439905</v>
      </c>
      <c r="G2224">
        <v>0.61781551836036896</v>
      </c>
      <c r="H2224">
        <v>0.44413195549276302</v>
      </c>
      <c r="I2224">
        <v>0.29059181522939298</v>
      </c>
      <c r="J2224">
        <v>8.2054906720375895E-2</v>
      </c>
      <c r="K2224">
        <v>0.11266930536533799</v>
      </c>
      <c r="L2224">
        <v>714.02649029934196</v>
      </c>
      <c r="M2224">
        <v>12.7641794538608</v>
      </c>
      <c r="N2224">
        <v>55.939866307103699</v>
      </c>
      <c r="O2224">
        <v>54.620146242079599</v>
      </c>
      <c r="P2224">
        <v>-5.8433571616833498E-2</v>
      </c>
      <c r="Q2224">
        <v>0</v>
      </c>
      <c r="R2224">
        <v>0.98339895577696401</v>
      </c>
      <c r="S2224" t="s">
        <v>8792</v>
      </c>
      <c r="T2224" t="s">
        <v>13134</v>
      </c>
      <c r="U2224" t="s">
        <v>13134</v>
      </c>
      <c r="V2224" t="s">
        <v>13134</v>
      </c>
      <c r="W2224" t="s">
        <v>15317</v>
      </c>
      <c r="X2224">
        <v>44</v>
      </c>
      <c r="Y2224" t="s">
        <v>20678</v>
      </c>
      <c r="Z2224" t="s">
        <v>28192</v>
      </c>
      <c r="AA2224">
        <v>0.64213131157971592</v>
      </c>
      <c r="AB2224" t="str">
        <f>HYPERLINK("Melting_Curves/meltCurve_P14618_PKM.pdf", "Melting_Curves/meltCurve_P14618_PKM.pdf")</f>
        <v>Melting_Curves/meltCurve_P14618_PKM.pdf</v>
      </c>
    </row>
    <row r="2225" spans="1:28" x14ac:dyDescent="0.25">
      <c r="A2225" t="s">
        <v>2229</v>
      </c>
      <c r="B2225">
        <v>0.99472303558308395</v>
      </c>
      <c r="C2225">
        <v>0.96828727936435299</v>
      </c>
      <c r="D2225">
        <v>0.863163547068038</v>
      </c>
      <c r="E2225">
        <v>0.81242113563293605</v>
      </c>
      <c r="F2225">
        <v>0.85303549134656698</v>
      </c>
      <c r="G2225">
        <v>0.560556330939464</v>
      </c>
      <c r="H2225">
        <v>0.431947662345532</v>
      </c>
      <c r="I2225">
        <v>0.226271226285371</v>
      </c>
      <c r="J2225">
        <v>0.10413332436940501</v>
      </c>
      <c r="K2225">
        <v>9.5294755438147694E-2</v>
      </c>
      <c r="L2225">
        <v>662.88608221469201</v>
      </c>
      <c r="M2225">
        <v>12.0134293585416</v>
      </c>
      <c r="N2225">
        <v>55.178755602589803</v>
      </c>
      <c r="O2225">
        <v>53.716512068204601</v>
      </c>
      <c r="P2225">
        <v>-5.5924658338586397E-2</v>
      </c>
      <c r="Q2225">
        <v>0</v>
      </c>
      <c r="R2225">
        <v>0.971572177712138</v>
      </c>
      <c r="S2225" t="s">
        <v>8793</v>
      </c>
      <c r="T2225" t="s">
        <v>13134</v>
      </c>
      <c r="U2225" t="s">
        <v>13134</v>
      </c>
      <c r="V2225" t="s">
        <v>13134</v>
      </c>
      <c r="W2225" t="s">
        <v>15318</v>
      </c>
      <c r="X2225">
        <v>43</v>
      </c>
      <c r="Y2225" t="s">
        <v>20678</v>
      </c>
      <c r="Z2225" t="s">
        <v>28193</v>
      </c>
      <c r="AA2225">
        <v>0.61941634031070858</v>
      </c>
      <c r="AB2225" t="str">
        <f>HYPERLINK("Melting_Curves/meltCurve_P14618_2_PKM.pdf", "Melting_Curves/meltCurve_P14618_2_PKM.pdf")</f>
        <v>Melting_Curves/meltCurve_P14618_2_PKM.pdf</v>
      </c>
    </row>
    <row r="2226" spans="1:28" x14ac:dyDescent="0.25">
      <c r="A2226" t="s">
        <v>2230</v>
      </c>
      <c r="B2226">
        <v>0.99472303558308395</v>
      </c>
      <c r="C2226">
        <v>0.95976230593940903</v>
      </c>
      <c r="D2226">
        <v>0.99939177101313803</v>
      </c>
      <c r="E2226">
        <v>0.93862516087856696</v>
      </c>
      <c r="F2226">
        <v>0.72859189441862104</v>
      </c>
      <c r="G2226">
        <v>0.44164299359602499</v>
      </c>
      <c r="H2226">
        <v>0.111745108007056</v>
      </c>
      <c r="I2226">
        <v>7.5893381683566796E-2</v>
      </c>
      <c r="J2226">
        <v>8.2123740180689395E-2</v>
      </c>
      <c r="K2226">
        <v>8.7598270500797396E-2</v>
      </c>
      <c r="L2226">
        <v>1200.30185300876</v>
      </c>
      <c r="M2226">
        <v>22.887800186735699</v>
      </c>
      <c r="N2226">
        <v>52.706041180372601</v>
      </c>
      <c r="O2226">
        <v>52.047449970180899</v>
      </c>
      <c r="P2226">
        <v>-0.10400258187351</v>
      </c>
      <c r="Q2226">
        <v>5.3999831358127102E-2</v>
      </c>
      <c r="R2226">
        <v>0.99449637578041805</v>
      </c>
      <c r="S2226" t="s">
        <v>8794</v>
      </c>
      <c r="T2226" t="s">
        <v>13134</v>
      </c>
      <c r="U2226" t="s">
        <v>13134</v>
      </c>
      <c r="V2226" t="s">
        <v>13134</v>
      </c>
      <c r="W2226" t="s">
        <v>15319</v>
      </c>
      <c r="X2226">
        <v>65</v>
      </c>
      <c r="Y2226" t="s">
        <v>21779</v>
      </c>
      <c r="Z2226" t="s">
        <v>28194</v>
      </c>
      <c r="AA2226">
        <v>0.55072048257187256</v>
      </c>
      <c r="AB2226" t="str">
        <f>HYPERLINK("Melting_Curves/meltCurve_P14625_HSP90B1.pdf", "Melting_Curves/meltCurve_P14625_HSP90B1.pdf")</f>
        <v>Melting_Curves/meltCurve_P14625_HSP90B1.pdf</v>
      </c>
    </row>
    <row r="2227" spans="1:28" x14ac:dyDescent="0.25">
      <c r="A2227" t="s">
        <v>2231</v>
      </c>
      <c r="B2227">
        <v>0.99472303558308395</v>
      </c>
      <c r="C2227">
        <v>1.01050091802135</v>
      </c>
      <c r="D2227">
        <v>1.0410677323836599</v>
      </c>
      <c r="E2227">
        <v>0.94603609447398396</v>
      </c>
      <c r="F2227">
        <v>0.74560821383865095</v>
      </c>
      <c r="G2227">
        <v>0.57911138832101605</v>
      </c>
      <c r="H2227">
        <v>0.37360642850213899</v>
      </c>
      <c r="I2227">
        <v>0.20454900181286401</v>
      </c>
      <c r="J2227">
        <v>6.9076036872432897E-2</v>
      </c>
      <c r="K2227">
        <v>8.8394577705404001E-2</v>
      </c>
      <c r="L2227">
        <v>779.83208367798602</v>
      </c>
      <c r="M2227">
        <v>14.203847043661201</v>
      </c>
      <c r="N2227">
        <v>54.902878370103402</v>
      </c>
      <c r="O2227">
        <v>53.848994018797001</v>
      </c>
      <c r="P2227">
        <v>-6.5951199767408E-2</v>
      </c>
      <c r="Q2227">
        <v>0</v>
      </c>
      <c r="R2227">
        <v>0.993308156473105</v>
      </c>
      <c r="S2227" t="s">
        <v>8795</v>
      </c>
      <c r="T2227" t="s">
        <v>13134</v>
      </c>
      <c r="U2227" t="s">
        <v>13134</v>
      </c>
      <c r="V2227" t="s">
        <v>13134</v>
      </c>
      <c r="W2227" t="s">
        <v>15320</v>
      </c>
      <c r="X2227">
        <v>9</v>
      </c>
      <c r="Y2227" t="s">
        <v>21780</v>
      </c>
      <c r="Z2227" t="s">
        <v>28195</v>
      </c>
      <c r="AA2227">
        <v>0.61136328285521879</v>
      </c>
      <c r="AB2227" t="str">
        <f>HYPERLINK("Melting_Curves/meltCurve_P14635_CCNB1.pdf", "Melting_Curves/meltCurve_P14635_CCNB1.pdf")</f>
        <v>Melting_Curves/meltCurve_P14635_CCNB1.pdf</v>
      </c>
    </row>
    <row r="2228" spans="1:28" x14ac:dyDescent="0.25">
      <c r="A2228" t="s">
        <v>2232</v>
      </c>
      <c r="B2228">
        <v>0.99472303558308395</v>
      </c>
      <c r="C2228">
        <v>1.01719477548384</v>
      </c>
      <c r="D2228">
        <v>0.86195802366551799</v>
      </c>
      <c r="E2228">
        <v>0.75202548641964395</v>
      </c>
      <c r="F2228">
        <v>0.57013863482967997</v>
      </c>
      <c r="G2228">
        <v>0.40697322194086</v>
      </c>
      <c r="H2228">
        <v>0.38400304363804499</v>
      </c>
      <c r="I2228">
        <v>0.31722323805542801</v>
      </c>
      <c r="J2228">
        <v>0.42779834288977903</v>
      </c>
      <c r="K2228">
        <v>0.34090691006317497</v>
      </c>
      <c r="L2228">
        <v>782.35522361629501</v>
      </c>
      <c r="M2228">
        <v>16.388000104261</v>
      </c>
      <c r="N2228">
        <v>51.458124683336798</v>
      </c>
      <c r="O2228">
        <v>47.0456523526463</v>
      </c>
      <c r="P2228">
        <v>-5.6869588124861897E-2</v>
      </c>
      <c r="Q2228">
        <v>0.34701591359367401</v>
      </c>
      <c r="R2228">
        <v>0.98117387727050298</v>
      </c>
      <c r="S2228" t="s">
        <v>8796</v>
      </c>
      <c r="T2228" t="s">
        <v>13134</v>
      </c>
      <c r="U2228" t="s">
        <v>13134</v>
      </c>
      <c r="V2228" t="s">
        <v>13134</v>
      </c>
      <c r="W2228" t="s">
        <v>15321</v>
      </c>
      <c r="X2228">
        <v>7</v>
      </c>
      <c r="Y2228" t="s">
        <v>21781</v>
      </c>
      <c r="Z2228" t="s">
        <v>28196</v>
      </c>
      <c r="AA2228">
        <v>0.59316460659869619</v>
      </c>
      <c r="AB2228" t="str">
        <f>HYPERLINK("Melting_Curves/meltCurve_P14649_MYL6B.pdf", "Melting_Curves/meltCurve_P14649_MYL6B.pdf")</f>
        <v>Melting_Curves/meltCurve_P14649_MYL6B.pdf</v>
      </c>
    </row>
    <row r="2229" spans="1:28" x14ac:dyDescent="0.25">
      <c r="A2229" t="s">
        <v>2233</v>
      </c>
      <c r="B2229">
        <v>0.99472303558308395</v>
      </c>
      <c r="C2229">
        <v>0.97217196143463103</v>
      </c>
      <c r="D2229">
        <v>0.81171188796309601</v>
      </c>
      <c r="E2229">
        <v>0.69942149589042502</v>
      </c>
      <c r="F2229">
        <v>0.64195520055619404</v>
      </c>
      <c r="G2229">
        <v>0.42028684378048198</v>
      </c>
      <c r="H2229">
        <v>0.269158762950163</v>
      </c>
      <c r="I2229">
        <v>0.30844965116322798</v>
      </c>
      <c r="J2229">
        <v>0.444739814529092</v>
      </c>
      <c r="K2229">
        <v>0.37066918097169099</v>
      </c>
      <c r="L2229">
        <v>630.94605260805099</v>
      </c>
      <c r="M2229">
        <v>13.2814560766203</v>
      </c>
      <c r="N2229">
        <v>51.608103441347197</v>
      </c>
      <c r="O2229">
        <v>46.467553396065497</v>
      </c>
      <c r="P2229">
        <v>-4.81665442237008E-2</v>
      </c>
      <c r="Q2229">
        <v>0.32603228464877299</v>
      </c>
      <c r="R2229">
        <v>0.93843662685512497</v>
      </c>
      <c r="S2229" t="s">
        <v>8797</v>
      </c>
      <c r="T2229" t="s">
        <v>13134</v>
      </c>
      <c r="U2229" t="s">
        <v>13134</v>
      </c>
      <c r="V2229" t="s">
        <v>13134</v>
      </c>
      <c r="W2229" t="s">
        <v>15322</v>
      </c>
      <c r="X2229">
        <v>13</v>
      </c>
      <c r="Y2229" t="s">
        <v>21782</v>
      </c>
      <c r="Z2229" t="s">
        <v>28197</v>
      </c>
      <c r="AA2229">
        <v>0.58046785253649902</v>
      </c>
      <c r="AB2229" t="str">
        <f>HYPERLINK("Melting_Curves/meltCurve_P14678_2_SNRPB.pdf", "Melting_Curves/meltCurve_P14678_2_SNRPB.pdf")</f>
        <v>Melting_Curves/meltCurve_P14678_2_SNRPB.pdf</v>
      </c>
    </row>
    <row r="2230" spans="1:28" x14ac:dyDescent="0.25">
      <c r="A2230" t="s">
        <v>2234</v>
      </c>
      <c r="B2230">
        <v>0.99472303558308395</v>
      </c>
      <c r="C2230">
        <v>0.93745424604391403</v>
      </c>
      <c r="D2230">
        <v>0.83798383489002803</v>
      </c>
      <c r="E2230">
        <v>0.65173988042712006</v>
      </c>
      <c r="F2230">
        <v>0.30878037427867899</v>
      </c>
      <c r="G2230">
        <v>0.12547752239944701</v>
      </c>
      <c r="H2230">
        <v>6.8427180945864793E-2</v>
      </c>
      <c r="I2230">
        <v>4.9206705266846201E-2</v>
      </c>
      <c r="J2230">
        <v>5.9497087427036598E-2</v>
      </c>
      <c r="K2230">
        <v>4.6866796574377798E-2</v>
      </c>
      <c r="L2230">
        <v>826.16639909827495</v>
      </c>
      <c r="M2230">
        <v>17.322476922470699</v>
      </c>
      <c r="N2230">
        <v>47.863113228685101</v>
      </c>
      <c r="O2230">
        <v>47.071324580580999</v>
      </c>
      <c r="P2230">
        <v>-8.9264625248406199E-2</v>
      </c>
      <c r="Q2230">
        <v>2.9800869842650599E-2</v>
      </c>
      <c r="R2230">
        <v>0.99662671287069204</v>
      </c>
      <c r="S2230" t="s">
        <v>8798</v>
      </c>
      <c r="T2230" t="s">
        <v>13134</v>
      </c>
      <c r="U2230" t="s">
        <v>13134</v>
      </c>
      <c r="V2230" t="s">
        <v>13134</v>
      </c>
      <c r="W2230" t="s">
        <v>15323</v>
      </c>
      <c r="X2230">
        <v>33</v>
      </c>
      <c r="Y2230" t="s">
        <v>21783</v>
      </c>
      <c r="Z2230" t="s">
        <v>28198</v>
      </c>
      <c r="AA2230">
        <v>0.39228604026235331</v>
      </c>
      <c r="AB2230" t="str">
        <f>HYPERLINK("Melting_Curves/meltCurve_P14735_IDE.pdf", "Melting_Curves/meltCurve_P14735_IDE.pdf")</f>
        <v>Melting_Curves/meltCurve_P14735_IDE.pdf</v>
      </c>
    </row>
    <row r="2231" spans="1:28" x14ac:dyDescent="0.25">
      <c r="A2231" t="s">
        <v>2235</v>
      </c>
      <c r="B2231">
        <v>0.99472303558308395</v>
      </c>
      <c r="C2231">
        <v>0.930324307199758</v>
      </c>
      <c r="D2231">
        <v>0.937032158961836</v>
      </c>
      <c r="E2231">
        <v>0.79786528540634305</v>
      </c>
      <c r="F2231">
        <v>0.56245146482723696</v>
      </c>
      <c r="G2231">
        <v>0.37913717891588999</v>
      </c>
      <c r="H2231">
        <v>0.251409109240324</v>
      </c>
      <c r="I2231">
        <v>0.23363081690934101</v>
      </c>
      <c r="J2231">
        <v>0.31331494458263598</v>
      </c>
      <c r="K2231">
        <v>0.22068554485134301</v>
      </c>
      <c r="L2231">
        <v>858.51077752609001</v>
      </c>
      <c r="M2231">
        <v>17.428202081572199</v>
      </c>
      <c r="N2231">
        <v>51.076846503136501</v>
      </c>
      <c r="O2231">
        <v>48.625040051733698</v>
      </c>
      <c r="P2231">
        <v>-6.8907986907511307E-2</v>
      </c>
      <c r="Q2231">
        <v>0.23102431412592001</v>
      </c>
      <c r="R2231">
        <v>0.98865606692156305</v>
      </c>
      <c r="S2231" t="s">
        <v>8799</v>
      </c>
      <c r="T2231" t="s">
        <v>13134</v>
      </c>
      <c r="U2231" t="s">
        <v>13134</v>
      </c>
      <c r="V2231" t="s">
        <v>13134</v>
      </c>
      <c r="W2231" t="s">
        <v>15324</v>
      </c>
      <c r="X2231">
        <v>9</v>
      </c>
      <c r="Y2231" t="s">
        <v>21784</v>
      </c>
      <c r="Z2231" t="s">
        <v>28199</v>
      </c>
      <c r="AA2231">
        <v>0.55816853843131542</v>
      </c>
      <c r="AB2231" t="str">
        <f>HYPERLINK("Melting_Curves/meltCurve_P14854_COX6B1.pdf", "Melting_Curves/meltCurve_P14854_COX6B1.pdf")</f>
        <v>Melting_Curves/meltCurve_P14854_COX6B1.pdf</v>
      </c>
    </row>
    <row r="2232" spans="1:28" x14ac:dyDescent="0.25">
      <c r="A2232" t="s">
        <v>2236</v>
      </c>
      <c r="B2232">
        <v>0.99472303558308395</v>
      </c>
      <c r="C2232">
        <v>0.90662977506708897</v>
      </c>
      <c r="D2232">
        <v>0.88742565615864599</v>
      </c>
      <c r="E2232">
        <v>0.406385154695239</v>
      </c>
      <c r="F2232">
        <v>0.14417129855480401</v>
      </c>
      <c r="G2232">
        <v>8.4506022963307698E-2</v>
      </c>
      <c r="H2232">
        <v>5.29586930482807E-2</v>
      </c>
      <c r="I2232">
        <v>4.5674911598838901E-2</v>
      </c>
      <c r="J2232">
        <v>4.7667307463172402E-2</v>
      </c>
      <c r="K2232">
        <v>3.5427126082780702E-2</v>
      </c>
      <c r="L2232">
        <v>1203.97194661822</v>
      </c>
      <c r="M2232">
        <v>26.2747954356844</v>
      </c>
      <c r="N2232">
        <v>46.000400738245197</v>
      </c>
      <c r="O2232">
        <v>45.559363829869703</v>
      </c>
      <c r="P2232">
        <v>-0.13720815439928499</v>
      </c>
      <c r="Q2232">
        <v>4.8358579595003101E-2</v>
      </c>
      <c r="R2232">
        <v>0.99511326387438004</v>
      </c>
      <c r="S2232" t="s">
        <v>8800</v>
      </c>
      <c r="T2232" t="s">
        <v>13134</v>
      </c>
      <c r="U2232" t="s">
        <v>13134</v>
      </c>
      <c r="V2232" t="s">
        <v>13134</v>
      </c>
      <c r="W2232" t="s">
        <v>15325</v>
      </c>
      <c r="X2232">
        <v>16</v>
      </c>
      <c r="Y2232" t="s">
        <v>21785</v>
      </c>
      <c r="Z2232" t="s">
        <v>28200</v>
      </c>
      <c r="AA2232">
        <v>0.33531827986500767</v>
      </c>
      <c r="AB2232" t="str">
        <f>HYPERLINK("Melting_Curves/meltCurve_P14866_HNRNPL.pdf", "Melting_Curves/meltCurve_P14866_HNRNPL.pdf")</f>
        <v>Melting_Curves/meltCurve_P14866_HNRNPL.pdf</v>
      </c>
    </row>
    <row r="2233" spans="1:28" x14ac:dyDescent="0.25">
      <c r="A2233" t="s">
        <v>2237</v>
      </c>
      <c r="B2233">
        <v>0.99472303558308395</v>
      </c>
      <c r="C2233">
        <v>0.91228399355617995</v>
      </c>
      <c r="D2233">
        <v>0.81444177097721604</v>
      </c>
      <c r="E2233">
        <v>0.67160643015279797</v>
      </c>
      <c r="F2233">
        <v>0.52274512703594</v>
      </c>
      <c r="G2233">
        <v>0.39311042089798498</v>
      </c>
      <c r="H2233">
        <v>0.26266185963724697</v>
      </c>
      <c r="I2233">
        <v>0.255697600721563</v>
      </c>
      <c r="J2233">
        <v>0.24137615139295501</v>
      </c>
      <c r="K2233">
        <v>8.1163463906863603E-2</v>
      </c>
      <c r="L2233">
        <v>439.63240288862198</v>
      </c>
      <c r="M2233">
        <v>8.7744764627577592</v>
      </c>
      <c r="N2233">
        <v>50.8096182566224</v>
      </c>
      <c r="O2233">
        <v>47.705551782008499</v>
      </c>
      <c r="P2233">
        <v>-4.3377865292076101E-2</v>
      </c>
      <c r="Q2233">
        <v>5.7396911930566598E-2</v>
      </c>
      <c r="R2233">
        <v>0.98669926173604405</v>
      </c>
      <c r="S2233" t="s">
        <v>8801</v>
      </c>
      <c r="T2233" t="s">
        <v>13134</v>
      </c>
      <c r="U2233" t="s">
        <v>13134</v>
      </c>
      <c r="V2233" t="s">
        <v>13134</v>
      </c>
      <c r="W2233" t="s">
        <v>15326</v>
      </c>
      <c r="X2233">
        <v>41</v>
      </c>
      <c r="Y2233" t="s">
        <v>21786</v>
      </c>
      <c r="Z2233" t="s">
        <v>28201</v>
      </c>
      <c r="AA2233">
        <v>0.50449623530155352</v>
      </c>
      <c r="AB2233" t="str">
        <f>HYPERLINK("Melting_Curves/meltCurve_P14868_DARS.pdf", "Melting_Curves/meltCurve_P14868_DARS.pdf")</f>
        <v>Melting_Curves/meltCurve_P14868_DARS.pdf</v>
      </c>
    </row>
    <row r="2234" spans="1:28" x14ac:dyDescent="0.25">
      <c r="A2234" t="s">
        <v>2238</v>
      </c>
      <c r="B2234">
        <v>0.99472303558308395</v>
      </c>
      <c r="C2234">
        <v>0.984142851517532</v>
      </c>
      <c r="D2234">
        <v>0.93780117061766399</v>
      </c>
      <c r="E2234">
        <v>0.79850832550981699</v>
      </c>
      <c r="F2234">
        <v>0.59708553821380095</v>
      </c>
      <c r="G2234">
        <v>0.26023224857834398</v>
      </c>
      <c r="H2234">
        <v>0.11702235891028499</v>
      </c>
      <c r="I2234">
        <v>9.3836235335596693E-2</v>
      </c>
      <c r="J2234">
        <v>9.4478415905684995E-2</v>
      </c>
      <c r="K2234">
        <v>7.0898923181751505E-2</v>
      </c>
      <c r="L2234">
        <v>919.86359172464097</v>
      </c>
      <c r="M2234">
        <v>18.2312258678813</v>
      </c>
      <c r="N2234">
        <v>50.771968270757398</v>
      </c>
      <c r="O2234">
        <v>49.860108864655203</v>
      </c>
      <c r="P2234">
        <v>-8.6504794732014001E-2</v>
      </c>
      <c r="Q2234">
        <v>5.37258828846051E-2</v>
      </c>
      <c r="R2234">
        <v>0.99602595601518595</v>
      </c>
      <c r="S2234" t="s">
        <v>8802</v>
      </c>
      <c r="T2234" t="s">
        <v>13134</v>
      </c>
      <c r="U2234" t="s">
        <v>13134</v>
      </c>
      <c r="V2234" t="s">
        <v>13134</v>
      </c>
      <c r="W2234" t="s">
        <v>13784</v>
      </c>
      <c r="X2234">
        <v>16</v>
      </c>
      <c r="Y2234" t="s">
        <v>20278</v>
      </c>
      <c r="Z2234" t="s">
        <v>28202</v>
      </c>
      <c r="AA2234">
        <v>0.49265691443502557</v>
      </c>
      <c r="AB2234" t="str">
        <f>HYPERLINK("Melting_Curves/meltCurve_P14923_JUP.pdf", "Melting_Curves/meltCurve_P14923_JUP.pdf")</f>
        <v>Melting_Curves/meltCurve_P14923_JUP.pdf</v>
      </c>
    </row>
    <row r="2235" spans="1:28" x14ac:dyDescent="0.25">
      <c r="A2235" t="s">
        <v>2239</v>
      </c>
      <c r="B2235">
        <v>0.99472303558308395</v>
      </c>
      <c r="C2235">
        <v>0.927620338655192</v>
      </c>
      <c r="D2235">
        <v>0.73095600004040395</v>
      </c>
      <c r="E2235">
        <v>0.640255193200998</v>
      </c>
      <c r="F2235">
        <v>0.515683562557953</v>
      </c>
      <c r="G2235">
        <v>0.27433717524139201</v>
      </c>
      <c r="H2235">
        <v>0.23438385817448101</v>
      </c>
      <c r="I2235">
        <v>0.38391945295880398</v>
      </c>
      <c r="J2235">
        <v>0.59565221694315795</v>
      </c>
      <c r="K2235">
        <v>0.42469144471632198</v>
      </c>
      <c r="L2235">
        <v>767.49971575052098</v>
      </c>
      <c r="M2235">
        <v>17.277706507353599</v>
      </c>
      <c r="N2235">
        <v>48.657673229103203</v>
      </c>
      <c r="O2235">
        <v>43.839120808802598</v>
      </c>
      <c r="P2235">
        <v>-6.0213840270634297E-2</v>
      </c>
      <c r="Q2235">
        <v>0.38890753977602399</v>
      </c>
      <c r="R2235">
        <v>0.83232623848937504</v>
      </c>
      <c r="S2235" t="s">
        <v>8803</v>
      </c>
      <c r="T2235" t="s">
        <v>13134</v>
      </c>
      <c r="U2235" t="s">
        <v>13134</v>
      </c>
      <c r="V2235" t="s">
        <v>13134</v>
      </c>
      <c r="W2235" t="s">
        <v>13565</v>
      </c>
      <c r="X2235">
        <v>10</v>
      </c>
      <c r="Y2235" t="s">
        <v>20058</v>
      </c>
      <c r="Z2235" t="s">
        <v>28203</v>
      </c>
      <c r="AA2235">
        <v>0.55115713178571146</v>
      </c>
      <c r="AB2235" t="str">
        <f>HYPERLINK("Melting_Curves/meltCurve_P14927_UQCRB.pdf", "Melting_Curves/meltCurve_P14927_UQCRB.pdf")</f>
        <v>Melting_Curves/meltCurve_P14927_UQCRB.pdf</v>
      </c>
    </row>
    <row r="2236" spans="1:28" x14ac:dyDescent="0.25">
      <c r="A2236" t="s">
        <v>2240</v>
      </c>
      <c r="B2236">
        <v>0.99472303558308395</v>
      </c>
      <c r="C2236">
        <v>0.80647726969313105</v>
      </c>
      <c r="D2236">
        <v>0.788939010618115</v>
      </c>
      <c r="E2236">
        <v>0.65967262098346202</v>
      </c>
      <c r="F2236">
        <v>0.40570947488054399</v>
      </c>
      <c r="G2236">
        <v>0.116167516584153</v>
      </c>
      <c r="H2236">
        <v>5.5571998461966997E-2</v>
      </c>
      <c r="I2236">
        <v>3.7611770324760797E-2</v>
      </c>
      <c r="J2236">
        <v>4.9356781903300402E-2</v>
      </c>
      <c r="K2236">
        <v>5.6951778629009901E-2</v>
      </c>
      <c r="L2236">
        <v>622.14375819190002</v>
      </c>
      <c r="M2236">
        <v>12.9865240445742</v>
      </c>
      <c r="N2236">
        <v>47.906866898824099</v>
      </c>
      <c r="O2236">
        <v>46.813592846639303</v>
      </c>
      <c r="P2236">
        <v>-6.9364616246824107E-2</v>
      </c>
      <c r="Q2236">
        <v>0</v>
      </c>
      <c r="R2236">
        <v>0.97402922585833496</v>
      </c>
      <c r="S2236" t="s">
        <v>8804</v>
      </c>
      <c r="T2236" t="s">
        <v>13134</v>
      </c>
      <c r="U2236" t="s">
        <v>13134</v>
      </c>
      <c r="V2236" t="s">
        <v>13134</v>
      </c>
      <c r="W2236" t="s">
        <v>15327</v>
      </c>
      <c r="X2236">
        <v>11</v>
      </c>
      <c r="Y2236" t="s">
        <v>21787</v>
      </c>
      <c r="Z2236" t="s">
        <v>28204</v>
      </c>
      <c r="AA2236">
        <v>0.39146289384363531</v>
      </c>
      <c r="AB2236" t="str">
        <f>HYPERLINK("Melting_Curves/meltCurve_P15056_BRAF.pdf", "Melting_Curves/meltCurve_P15056_BRAF.pdf")</f>
        <v>Melting_Curves/meltCurve_P15056_BRAF.pdf</v>
      </c>
    </row>
    <row r="2237" spans="1:28" x14ac:dyDescent="0.25">
      <c r="A2237" t="s">
        <v>2241</v>
      </c>
      <c r="B2237">
        <v>0.99472303558308395</v>
      </c>
      <c r="C2237">
        <v>0.89399977085211701</v>
      </c>
      <c r="D2237">
        <v>0.74123963776107205</v>
      </c>
      <c r="E2237">
        <v>0.65161624978017096</v>
      </c>
      <c r="F2237">
        <v>0.89139191709965104</v>
      </c>
      <c r="G2237">
        <v>0.47866248820935697</v>
      </c>
      <c r="H2237">
        <v>0.25863038958519102</v>
      </c>
      <c r="I2237">
        <v>7.5110842951494602E-2</v>
      </c>
      <c r="J2237">
        <v>6.0405119184245903E-2</v>
      </c>
      <c r="K2237">
        <v>7.1937537015922107E-2</v>
      </c>
      <c r="L2237">
        <v>586.82936798393405</v>
      </c>
      <c r="M2237">
        <v>11.1348872528686</v>
      </c>
      <c r="N2237">
        <v>52.701852689615102</v>
      </c>
      <c r="O2237">
        <v>51.0877132990449</v>
      </c>
      <c r="P2237">
        <v>-5.4506596760013598E-2</v>
      </c>
      <c r="Q2237">
        <v>0</v>
      </c>
      <c r="R2237">
        <v>0.881473062006493</v>
      </c>
      <c r="S2237" t="s">
        <v>8805</v>
      </c>
      <c r="T2237" t="s">
        <v>13134</v>
      </c>
      <c r="U2237" t="s">
        <v>13134</v>
      </c>
      <c r="V2237" t="s">
        <v>13134</v>
      </c>
      <c r="W2237" t="s">
        <v>15328</v>
      </c>
      <c r="X2237">
        <v>20</v>
      </c>
      <c r="Y2237" t="s">
        <v>21788</v>
      </c>
      <c r="Z2237" t="s">
        <v>28205</v>
      </c>
      <c r="AA2237">
        <v>0.54621621796428454</v>
      </c>
      <c r="AB2237" t="str">
        <f>HYPERLINK("Melting_Curves/meltCurve_P15104_GLUL.pdf", "Melting_Curves/meltCurve_P15104_GLUL.pdf")</f>
        <v>Melting_Curves/meltCurve_P15104_GLUL.pdf</v>
      </c>
    </row>
    <row r="2238" spans="1:28" x14ac:dyDescent="0.25">
      <c r="A2238" t="s">
        <v>2242</v>
      </c>
      <c r="B2238">
        <v>0.99472303558308395</v>
      </c>
      <c r="C2238">
        <v>0.99971857323848401</v>
      </c>
      <c r="D2238">
        <v>1.0427903027386201</v>
      </c>
      <c r="E2238">
        <v>0.94768947352644095</v>
      </c>
      <c r="F2238">
        <v>0.72122832344166399</v>
      </c>
      <c r="G2238">
        <v>0.580873815510484</v>
      </c>
      <c r="H2238">
        <v>0.28059859785536501</v>
      </c>
      <c r="I2238">
        <v>0.108224449716675</v>
      </c>
      <c r="J2238">
        <v>0.14499408337133099</v>
      </c>
      <c r="K2238">
        <v>0.10618876966480099</v>
      </c>
      <c r="L2238">
        <v>927.65697695676397</v>
      </c>
      <c r="M2238">
        <v>17.2891659453825</v>
      </c>
      <c r="N2238">
        <v>54.073874877440701</v>
      </c>
      <c r="O2238">
        <v>52.9530036896019</v>
      </c>
      <c r="P2238">
        <v>-7.6518227592002094E-2</v>
      </c>
      <c r="Q2238">
        <v>6.26185905033355E-2</v>
      </c>
      <c r="R2238">
        <v>0.98950901895141097</v>
      </c>
      <c r="S2238" t="s">
        <v>8806</v>
      </c>
      <c r="T2238" t="s">
        <v>13134</v>
      </c>
      <c r="U2238" t="s">
        <v>13134</v>
      </c>
      <c r="V2238" t="s">
        <v>13134</v>
      </c>
      <c r="W2238" t="s">
        <v>15329</v>
      </c>
      <c r="X2238">
        <v>7</v>
      </c>
      <c r="Y2238" t="s">
        <v>21789</v>
      </c>
      <c r="Z2238" t="s">
        <v>28206</v>
      </c>
      <c r="AA2238">
        <v>0.59679774002661834</v>
      </c>
      <c r="AB2238" t="str">
        <f>HYPERLINK("Melting_Curves/meltCurve_P15121_AKR1B1.pdf", "Melting_Curves/meltCurve_P15121_AKR1B1.pdf")</f>
        <v>Melting_Curves/meltCurve_P15121_AKR1B1.pdf</v>
      </c>
    </row>
    <row r="2239" spans="1:28" x14ac:dyDescent="0.25">
      <c r="A2239" t="s">
        <v>2243</v>
      </c>
      <c r="B2239">
        <v>0.99472303558308395</v>
      </c>
      <c r="C2239">
        <v>0.95051050020886196</v>
      </c>
      <c r="D2239">
        <v>1.0599492911389099</v>
      </c>
      <c r="E2239">
        <v>0.94332943976185102</v>
      </c>
      <c r="F2239">
        <v>0.82854440628288695</v>
      </c>
      <c r="G2239">
        <v>0.64844829521932001</v>
      </c>
      <c r="H2239">
        <v>0.431201420435255</v>
      </c>
      <c r="I2239">
        <v>0.40207364970436699</v>
      </c>
      <c r="J2239">
        <v>0.44633097350738998</v>
      </c>
      <c r="K2239">
        <v>0.48057023589132503</v>
      </c>
      <c r="L2239">
        <v>1299.6287307376599</v>
      </c>
      <c r="M2239">
        <v>24.9287627580491</v>
      </c>
      <c r="N2239">
        <v>56.533103779789798</v>
      </c>
      <c r="O2239">
        <v>51.801700187803398</v>
      </c>
      <c r="P2239">
        <v>-6.8800062084312594E-2</v>
      </c>
      <c r="Q2239">
        <v>0.42814469414391199</v>
      </c>
      <c r="R2239">
        <v>0.97487492417984101</v>
      </c>
      <c r="S2239" t="s">
        <v>8807</v>
      </c>
      <c r="T2239" t="s">
        <v>13134</v>
      </c>
      <c r="U2239" t="s">
        <v>13134</v>
      </c>
      <c r="V2239" t="s">
        <v>13134</v>
      </c>
      <c r="W2239" t="s">
        <v>15330</v>
      </c>
      <c r="X2239">
        <v>5</v>
      </c>
      <c r="Y2239" t="s">
        <v>21790</v>
      </c>
      <c r="Z2239" t="s">
        <v>28207</v>
      </c>
      <c r="AA2239">
        <v>0.72171361382010457</v>
      </c>
      <c r="AB2239" t="str">
        <f>HYPERLINK("Melting_Curves/meltCurve_P15151_3_PVR.pdf", "Melting_Curves/meltCurve_P15151_3_PVR.pdf")</f>
        <v>Melting_Curves/meltCurve_P15151_3_PVR.pdf</v>
      </c>
    </row>
    <row r="2240" spans="1:28" x14ac:dyDescent="0.25">
      <c r="A2240" t="s">
        <v>2244</v>
      </c>
      <c r="B2240">
        <v>0.99472303558308395</v>
      </c>
      <c r="C2240">
        <v>0.94403459802038603</v>
      </c>
      <c r="D2240">
        <v>0.97278957599911398</v>
      </c>
      <c r="E2240">
        <v>0.88706586557200195</v>
      </c>
      <c r="F2240">
        <v>0.64440745461562599</v>
      </c>
      <c r="G2240">
        <v>0.34912425958620003</v>
      </c>
      <c r="H2240">
        <v>9.9886709589582207E-2</v>
      </c>
      <c r="I2240">
        <v>5.2003289019233997E-2</v>
      </c>
      <c r="J2240">
        <v>5.19150174336298E-2</v>
      </c>
      <c r="K2240">
        <v>3.6152057274759099E-2</v>
      </c>
      <c r="L2240">
        <v>1011.24187410218</v>
      </c>
      <c r="M2240">
        <v>19.5708625293727</v>
      </c>
      <c r="N2240">
        <v>51.747650548985497</v>
      </c>
      <c r="O2240">
        <v>51.140378647920102</v>
      </c>
      <c r="P2240">
        <v>-9.4305047485781501E-2</v>
      </c>
      <c r="Q2240">
        <v>1.4325543518908201E-2</v>
      </c>
      <c r="R2240">
        <v>0.99673202352226997</v>
      </c>
      <c r="S2240" t="s">
        <v>8808</v>
      </c>
      <c r="T2240" t="s">
        <v>13134</v>
      </c>
      <c r="U2240" t="s">
        <v>13134</v>
      </c>
      <c r="V2240" t="s">
        <v>13134</v>
      </c>
      <c r="W2240" t="s">
        <v>15331</v>
      </c>
      <c r="X2240">
        <v>11</v>
      </c>
      <c r="Y2240" t="s">
        <v>21791</v>
      </c>
      <c r="Z2240" t="s">
        <v>28208</v>
      </c>
      <c r="AA2240">
        <v>0.5095950399766267</v>
      </c>
      <c r="AB2240" t="str">
        <f>HYPERLINK("Melting_Curves/meltCurve_P15153_RAC2.pdf", "Melting_Curves/meltCurve_P15153_RAC2.pdf")</f>
        <v>Melting_Curves/meltCurve_P15153_RAC2.pdf</v>
      </c>
    </row>
    <row r="2241" spans="1:28" x14ac:dyDescent="0.25">
      <c r="A2241" t="s">
        <v>2245</v>
      </c>
      <c r="B2241">
        <v>0.99472303558308395</v>
      </c>
      <c r="C2241">
        <v>0.99450805664419994</v>
      </c>
      <c r="D2241">
        <v>1.03777522574103</v>
      </c>
      <c r="E2241">
        <v>0.95412075576626398</v>
      </c>
      <c r="F2241">
        <v>0.67318732161580097</v>
      </c>
      <c r="G2241">
        <v>0.51004041669256905</v>
      </c>
      <c r="H2241">
        <v>0.123518216843739</v>
      </c>
      <c r="I2241">
        <v>5.8648708455091597E-2</v>
      </c>
      <c r="J2241">
        <v>5.8206705853884398E-2</v>
      </c>
      <c r="K2241">
        <v>5.3122507969544798E-2</v>
      </c>
      <c r="L2241">
        <v>1030.1071040751599</v>
      </c>
      <c r="M2241">
        <v>19.485965499972899</v>
      </c>
      <c r="N2241">
        <v>52.9330547261074</v>
      </c>
      <c r="O2241">
        <v>52.316736526497102</v>
      </c>
      <c r="P2241">
        <v>-9.1950931496339899E-2</v>
      </c>
      <c r="Q2241">
        <v>1.2540754079725601E-2</v>
      </c>
      <c r="R2241">
        <v>0.988225820370357</v>
      </c>
      <c r="S2241" t="s">
        <v>8809</v>
      </c>
      <c r="T2241" t="s">
        <v>13134</v>
      </c>
      <c r="U2241" t="s">
        <v>13134</v>
      </c>
      <c r="V2241" t="s">
        <v>13134</v>
      </c>
      <c r="W2241" t="s">
        <v>15332</v>
      </c>
      <c r="X2241">
        <v>40</v>
      </c>
      <c r="Y2241" t="s">
        <v>21792</v>
      </c>
      <c r="Z2241" t="s">
        <v>28209</v>
      </c>
      <c r="AA2241">
        <v>0.54767960484855582</v>
      </c>
      <c r="AB2241" t="str">
        <f>HYPERLINK("Melting_Curves/meltCurve_P15170_2_GSPT1.pdf", "Melting_Curves/meltCurve_P15170_2_GSPT1.pdf")</f>
        <v>Melting_Curves/meltCurve_P15170_2_GSPT1.pdf</v>
      </c>
    </row>
    <row r="2242" spans="1:28" x14ac:dyDescent="0.25">
      <c r="A2242" t="s">
        <v>2246</v>
      </c>
      <c r="B2242">
        <v>0.99472303558308395</v>
      </c>
      <c r="C2242">
        <v>0.97931925785724705</v>
      </c>
      <c r="D2242">
        <v>0.87506227175253004</v>
      </c>
      <c r="E2242">
        <v>0.74830666949270896</v>
      </c>
      <c r="F2242">
        <v>0.72390590470021199</v>
      </c>
      <c r="G2242">
        <v>0.44250804094076102</v>
      </c>
      <c r="H2242">
        <v>0.39882143695745398</v>
      </c>
      <c r="I2242">
        <v>0.39851146613133798</v>
      </c>
      <c r="J2242">
        <v>0.59891658771870204</v>
      </c>
      <c r="K2242">
        <v>0.56757994316736005</v>
      </c>
      <c r="L2242">
        <v>795.92029433730704</v>
      </c>
      <c r="M2242">
        <v>16.917672369658899</v>
      </c>
      <c r="N2242">
        <v>57.817980378438399</v>
      </c>
      <c r="O2242">
        <v>46.404073315098103</v>
      </c>
      <c r="P2242">
        <v>-4.7524125265283802E-2</v>
      </c>
      <c r="Q2242">
        <v>0.47861048680393797</v>
      </c>
      <c r="R2242">
        <v>0.86774538116045596</v>
      </c>
      <c r="S2242" t="s">
        <v>8810</v>
      </c>
      <c r="T2242" t="s">
        <v>13134</v>
      </c>
      <c r="U2242" t="s">
        <v>13134</v>
      </c>
      <c r="V2242" t="s">
        <v>13134</v>
      </c>
      <c r="W2242" t="s">
        <v>15333</v>
      </c>
      <c r="X2242">
        <v>2</v>
      </c>
      <c r="Y2242" t="s">
        <v>21793</v>
      </c>
      <c r="Z2242" t="s">
        <v>28210</v>
      </c>
      <c r="AA2242">
        <v>0.66262639161926418</v>
      </c>
      <c r="AB2242" t="str">
        <f>HYPERLINK("Melting_Curves/meltCurve_P15289_2_ARSA.pdf", "Melting_Curves/meltCurve_P15289_2_ARSA.pdf")</f>
        <v>Melting_Curves/meltCurve_P15289_2_ARSA.pdf</v>
      </c>
    </row>
    <row r="2243" spans="1:28" x14ac:dyDescent="0.25">
      <c r="A2243" t="s">
        <v>2247</v>
      </c>
      <c r="B2243">
        <v>0.99472303558308395</v>
      </c>
      <c r="C2243">
        <v>0.79103662366419802</v>
      </c>
      <c r="D2243">
        <v>0.96762369853262997</v>
      </c>
      <c r="E2243">
        <v>0.79759081218991601</v>
      </c>
      <c r="F2243">
        <v>0.52696736847569203</v>
      </c>
      <c r="G2243">
        <v>0.15574071359063699</v>
      </c>
      <c r="H2243">
        <v>4.92224509590964E-2</v>
      </c>
      <c r="I2243">
        <v>4.6852653154976699E-2</v>
      </c>
      <c r="J2243">
        <v>8.1094167181752205E-2</v>
      </c>
      <c r="K2243">
        <v>7.2236749621987395E-2</v>
      </c>
      <c r="L2243">
        <v>1096.98027818277</v>
      </c>
      <c r="M2243">
        <v>22.034491001440799</v>
      </c>
      <c r="N2243">
        <v>49.977732181636803</v>
      </c>
      <c r="O2243">
        <v>49.380076524371198</v>
      </c>
      <c r="P2243">
        <v>-0.107007100464762</v>
      </c>
      <c r="Q2243">
        <v>4.0794438961862897E-2</v>
      </c>
      <c r="R2243">
        <v>0.96617558463113695</v>
      </c>
      <c r="S2243" t="s">
        <v>8811</v>
      </c>
      <c r="T2243" t="s">
        <v>13134</v>
      </c>
      <c r="U2243" t="s">
        <v>13134</v>
      </c>
      <c r="V2243" t="s">
        <v>13134</v>
      </c>
      <c r="W2243" t="s">
        <v>15334</v>
      </c>
      <c r="X2243">
        <v>2</v>
      </c>
      <c r="Y2243" t="s">
        <v>21794</v>
      </c>
      <c r="Z2243" t="s">
        <v>28211</v>
      </c>
      <c r="AA2243">
        <v>0.46017639468280191</v>
      </c>
      <c r="AB2243" t="str">
        <f>HYPERLINK("Melting_Curves/meltCurve_P15291_2_B4GALT1.pdf", "Melting_Curves/meltCurve_P15291_2_B4GALT1.pdf")</f>
        <v>Melting_Curves/meltCurve_P15291_2_B4GALT1.pdf</v>
      </c>
    </row>
    <row r="2244" spans="1:28" x14ac:dyDescent="0.25">
      <c r="A2244" t="s">
        <v>2248</v>
      </c>
      <c r="B2244">
        <v>0.99472303558308395</v>
      </c>
      <c r="C2244">
        <v>0.89383421772560301</v>
      </c>
      <c r="D2244">
        <v>1.0579727377878301</v>
      </c>
      <c r="E2244">
        <v>0.897842387383889</v>
      </c>
      <c r="F2244">
        <v>0.55869465155100095</v>
      </c>
      <c r="G2244">
        <v>0.112572482975053</v>
      </c>
      <c r="H2244">
        <v>6.5417606727702998E-2</v>
      </c>
      <c r="I2244">
        <v>3.6914750705381603E-2</v>
      </c>
      <c r="J2244">
        <v>4.2898449985243697E-2</v>
      </c>
      <c r="K2244">
        <v>3.6146341401891803E-2</v>
      </c>
      <c r="L2244">
        <v>1651.70879991929</v>
      </c>
      <c r="M2244">
        <v>32.808718441485503</v>
      </c>
      <c r="N2244">
        <v>50.456917279623703</v>
      </c>
      <c r="O2244">
        <v>50.157655690469802</v>
      </c>
      <c r="P2244">
        <v>-0.15772027718637299</v>
      </c>
      <c r="Q2244">
        <v>3.5519199144983298E-2</v>
      </c>
      <c r="R2244">
        <v>0.99034939370039898</v>
      </c>
      <c r="S2244" t="s">
        <v>8812</v>
      </c>
      <c r="T2244" t="s">
        <v>13134</v>
      </c>
      <c r="U2244" t="s">
        <v>13134</v>
      </c>
      <c r="V2244" t="s">
        <v>13134</v>
      </c>
      <c r="W2244" t="s">
        <v>15335</v>
      </c>
      <c r="X2244">
        <v>55</v>
      </c>
      <c r="Y2244" t="s">
        <v>21795</v>
      </c>
      <c r="Z2244" t="s">
        <v>28212</v>
      </c>
      <c r="AA2244">
        <v>0.46949215133659489</v>
      </c>
      <c r="AB2244" t="str">
        <f>HYPERLINK("Melting_Curves/meltCurve_P15311_EZR.pdf", "Melting_Curves/meltCurve_P15311_EZR.pdf")</f>
        <v>Melting_Curves/meltCurve_P15311_EZR.pdf</v>
      </c>
    </row>
    <row r="2245" spans="1:28" x14ac:dyDescent="0.25">
      <c r="A2245" t="s">
        <v>2249</v>
      </c>
      <c r="B2245">
        <v>0.99472303558308395</v>
      </c>
      <c r="C2245">
        <v>0.97665436116204096</v>
      </c>
      <c r="D2245">
        <v>0.970353330337418</v>
      </c>
      <c r="E2245">
        <v>0.88202189668182096</v>
      </c>
      <c r="F2245">
        <v>0.60805917764916295</v>
      </c>
      <c r="G2245">
        <v>0.217527736436155</v>
      </c>
      <c r="H2245">
        <v>0.106082521941908</v>
      </c>
      <c r="I2245">
        <v>7.7870233952699194E-2</v>
      </c>
      <c r="J2245">
        <v>8.33006339196984E-2</v>
      </c>
      <c r="K2245">
        <v>6.7869635182650698E-2</v>
      </c>
      <c r="L2245">
        <v>1285.5004917270801</v>
      </c>
      <c r="M2245">
        <v>25.3825179140646</v>
      </c>
      <c r="N2245">
        <v>50.927489564479799</v>
      </c>
      <c r="O2245">
        <v>50.333907421540097</v>
      </c>
      <c r="P2245">
        <v>-0.11779671602337601</v>
      </c>
      <c r="Q2245">
        <v>6.5641549243879702E-2</v>
      </c>
      <c r="R2245">
        <v>0.99836355763838502</v>
      </c>
      <c r="S2245" t="s">
        <v>8813</v>
      </c>
      <c r="T2245" t="s">
        <v>13134</v>
      </c>
      <c r="U2245" t="s">
        <v>13134</v>
      </c>
      <c r="V2245" t="s">
        <v>13134</v>
      </c>
      <c r="W2245" t="s">
        <v>15336</v>
      </c>
      <c r="X2245">
        <v>13</v>
      </c>
      <c r="Y2245" t="s">
        <v>21796</v>
      </c>
      <c r="Z2245" t="s">
        <v>28213</v>
      </c>
      <c r="AA2245">
        <v>0.49861248579694661</v>
      </c>
      <c r="AB2245" t="str">
        <f>HYPERLINK("Melting_Curves/meltCurve_P15374_UCHL3.pdf", "Melting_Curves/meltCurve_P15374_UCHL3.pdf")</f>
        <v>Melting_Curves/meltCurve_P15374_UCHL3.pdf</v>
      </c>
    </row>
    <row r="2246" spans="1:28" x14ac:dyDescent="0.25">
      <c r="A2246" t="s">
        <v>2250</v>
      </c>
      <c r="B2246">
        <v>0.99472303558308395</v>
      </c>
      <c r="C2246">
        <v>0.95534957499143403</v>
      </c>
      <c r="D2246">
        <v>1.00657944149227</v>
      </c>
      <c r="E2246">
        <v>0.68276554539184298</v>
      </c>
      <c r="F2246">
        <v>0.35856417928062601</v>
      </c>
      <c r="G2246">
        <v>0.24868687639033199</v>
      </c>
      <c r="H2246">
        <v>0.234302996830866</v>
      </c>
      <c r="I2246">
        <v>0.20555192624423399</v>
      </c>
      <c r="J2246">
        <v>0.32326977550102498</v>
      </c>
      <c r="K2246">
        <v>0.27523968373367402</v>
      </c>
      <c r="L2246">
        <v>1601.2082475842201</v>
      </c>
      <c r="M2246">
        <v>34.004756670224197</v>
      </c>
      <c r="N2246">
        <v>48.113832539000597</v>
      </c>
      <c r="O2246">
        <v>46.925826120347601</v>
      </c>
      <c r="P2246">
        <v>-0.13444498619575601</v>
      </c>
      <c r="Q2246">
        <v>0.257878419760806</v>
      </c>
      <c r="R2246">
        <v>0.988646078817352</v>
      </c>
      <c r="S2246" t="s">
        <v>8814</v>
      </c>
      <c r="T2246" t="s">
        <v>13134</v>
      </c>
      <c r="U2246" t="s">
        <v>13134</v>
      </c>
      <c r="V2246" t="s">
        <v>13134</v>
      </c>
      <c r="W2246" t="s">
        <v>15337</v>
      </c>
      <c r="X2246">
        <v>4</v>
      </c>
      <c r="Y2246" t="s">
        <v>21797</v>
      </c>
      <c r="Z2246" t="s">
        <v>28214</v>
      </c>
      <c r="AA2246">
        <v>0.51077713574796302</v>
      </c>
      <c r="AB2246" t="str">
        <f>HYPERLINK("Melting_Curves/meltCurve_P15407_FOSL1.pdf", "Melting_Curves/meltCurve_P15407_FOSL1.pdf")</f>
        <v>Melting_Curves/meltCurve_P15407_FOSL1.pdf</v>
      </c>
    </row>
    <row r="2247" spans="1:28" x14ac:dyDescent="0.25">
      <c r="A2247" t="s">
        <v>2251</v>
      </c>
      <c r="B2247">
        <v>0.99472303558308395</v>
      </c>
      <c r="C2247">
        <v>1.10936702691522</v>
      </c>
      <c r="D2247">
        <v>0.807835430056981</v>
      </c>
      <c r="E2247">
        <v>0.64485302597619998</v>
      </c>
      <c r="F2247">
        <v>0.61854996588763</v>
      </c>
      <c r="G2247">
        <v>0.36235494158597598</v>
      </c>
      <c r="H2247">
        <v>0.193881141683793</v>
      </c>
      <c r="I2247">
        <v>0.16946140287129</v>
      </c>
      <c r="J2247">
        <v>0.13907296879528699</v>
      </c>
      <c r="K2247">
        <v>0.18601911232479501</v>
      </c>
      <c r="L2247">
        <v>603.92719650203003</v>
      </c>
      <c r="M2247">
        <v>12.158679614490801</v>
      </c>
      <c r="N2247">
        <v>50.613549218460598</v>
      </c>
      <c r="O2247">
        <v>48.384140393192602</v>
      </c>
      <c r="P2247">
        <v>-5.6468698628024103E-2</v>
      </c>
      <c r="Q2247">
        <v>0.101362026929503</v>
      </c>
      <c r="R2247">
        <v>0.95810199923435901</v>
      </c>
      <c r="S2247" t="s">
        <v>8815</v>
      </c>
      <c r="T2247" t="s">
        <v>13134</v>
      </c>
      <c r="U2247" t="s">
        <v>13134</v>
      </c>
      <c r="V2247" t="s">
        <v>13134</v>
      </c>
      <c r="W2247" t="s">
        <v>15338</v>
      </c>
      <c r="X2247">
        <v>2</v>
      </c>
      <c r="Y2247" t="s">
        <v>21798</v>
      </c>
      <c r="Z2247" t="s">
        <v>28215</v>
      </c>
      <c r="AA2247">
        <v>0.50617435830532242</v>
      </c>
      <c r="AB2247" t="str">
        <f>HYPERLINK("Melting_Curves/meltCurve_P15529_15_CD46.pdf", "Melting_Curves/meltCurve_P15529_15_CD46.pdf")</f>
        <v>Melting_Curves/meltCurve_P15529_15_CD46.pdf</v>
      </c>
    </row>
    <row r="2248" spans="1:28" x14ac:dyDescent="0.25">
      <c r="A2248" t="s">
        <v>2252</v>
      </c>
      <c r="B2248">
        <v>0.99472303558308395</v>
      </c>
      <c r="C2248">
        <v>1.0054539551416199</v>
      </c>
      <c r="D2248">
        <v>0.87159001681306802</v>
      </c>
      <c r="E2248">
        <v>0.84202673694956698</v>
      </c>
      <c r="F2248">
        <v>0.48932097915688799</v>
      </c>
      <c r="G2248">
        <v>0.41254578291905902</v>
      </c>
      <c r="H2248">
        <v>0.33596801654529501</v>
      </c>
      <c r="I2248">
        <v>0.385012642150382</v>
      </c>
      <c r="J2248">
        <v>0.49530925360738898</v>
      </c>
      <c r="K2248">
        <v>0.54720633262039897</v>
      </c>
      <c r="L2248">
        <v>1801.0494326665601</v>
      </c>
      <c r="M2248">
        <v>37.847898004461697</v>
      </c>
      <c r="N2248">
        <v>50.238869011699101</v>
      </c>
      <c r="O2248">
        <v>47.454246298255399</v>
      </c>
      <c r="P2248">
        <v>-0.11321318295970099</v>
      </c>
      <c r="Q2248">
        <v>0.43220810766701401</v>
      </c>
      <c r="R2248">
        <v>0.92818998159452404</v>
      </c>
      <c r="S2248" t="s">
        <v>8816</v>
      </c>
      <c r="T2248" t="s">
        <v>13134</v>
      </c>
      <c r="U2248" t="s">
        <v>13134</v>
      </c>
      <c r="V2248" t="s">
        <v>13134</v>
      </c>
      <c r="W2248" t="s">
        <v>15339</v>
      </c>
      <c r="X2248">
        <v>4</v>
      </c>
      <c r="Y2248" t="s">
        <v>21798</v>
      </c>
      <c r="Z2248" t="s">
        <v>28216</v>
      </c>
      <c r="AA2248">
        <v>0.6346608748742365</v>
      </c>
      <c r="AB2248" t="str">
        <f>HYPERLINK("Melting_Curves/meltCurve_P15529_16_CD46.pdf", "Melting_Curves/meltCurve_P15529_16_CD46.pdf")</f>
        <v>Melting_Curves/meltCurve_P15529_16_CD46.pdf</v>
      </c>
    </row>
    <row r="2249" spans="1:28" x14ac:dyDescent="0.25">
      <c r="A2249" t="s">
        <v>2253</v>
      </c>
      <c r="B2249">
        <v>0.99472303558308395</v>
      </c>
      <c r="C2249">
        <v>1.0947606183476599</v>
      </c>
      <c r="D2249">
        <v>0.91177980542596504</v>
      </c>
      <c r="E2249">
        <v>0.81706696987535798</v>
      </c>
      <c r="F2249">
        <v>0.73739909109012902</v>
      </c>
      <c r="G2249">
        <v>0.512232138782588</v>
      </c>
      <c r="H2249">
        <v>0.39361666646106502</v>
      </c>
      <c r="I2249">
        <v>0.374453948000179</v>
      </c>
      <c r="J2249">
        <v>0.53905907942508902</v>
      </c>
      <c r="K2249">
        <v>0.34962406482353697</v>
      </c>
      <c r="L2249">
        <v>838.26218807452005</v>
      </c>
      <c r="M2249">
        <v>16.827449493760898</v>
      </c>
      <c r="N2249">
        <v>54.775654998019597</v>
      </c>
      <c r="O2249">
        <v>49.127600909143602</v>
      </c>
      <c r="P2249">
        <v>-5.21469147295913E-2</v>
      </c>
      <c r="Q2249">
        <v>0.39106921249024901</v>
      </c>
      <c r="R2249">
        <v>0.93501705476874797</v>
      </c>
      <c r="S2249" t="s">
        <v>8817</v>
      </c>
      <c r="T2249" t="s">
        <v>13134</v>
      </c>
      <c r="U2249" t="s">
        <v>13134</v>
      </c>
      <c r="V2249" t="s">
        <v>13134</v>
      </c>
      <c r="W2249" t="s">
        <v>15340</v>
      </c>
      <c r="X2249">
        <v>13</v>
      </c>
      <c r="Y2249" t="s">
        <v>21799</v>
      </c>
      <c r="Z2249" t="s">
        <v>28217</v>
      </c>
      <c r="AA2249">
        <v>0.66191942050355768</v>
      </c>
      <c r="AB2249" t="str">
        <f>HYPERLINK("Melting_Curves/meltCurve_P15531_NME1.pdf", "Melting_Curves/meltCurve_P15531_NME1.pdf")</f>
        <v>Melting_Curves/meltCurve_P15531_NME1.pdf</v>
      </c>
    </row>
    <row r="2250" spans="1:28" x14ac:dyDescent="0.25">
      <c r="A2250" t="s">
        <v>2254</v>
      </c>
      <c r="B2250">
        <v>0.99472303558308395</v>
      </c>
      <c r="C2250">
        <v>0.89452855954814903</v>
      </c>
      <c r="D2250">
        <v>0.99975844067580699</v>
      </c>
      <c r="E2250">
        <v>0.69060495273744504</v>
      </c>
      <c r="F2250">
        <v>0.36705660099071502</v>
      </c>
      <c r="G2250">
        <v>0.11422822776793699</v>
      </c>
      <c r="H2250">
        <v>5.58278712843987E-2</v>
      </c>
      <c r="I2250">
        <v>4.0061080598602701E-2</v>
      </c>
      <c r="J2250">
        <v>3.3014770513786797E-2</v>
      </c>
      <c r="K2250">
        <v>4.03890714372864E-2</v>
      </c>
      <c r="L2250">
        <v>1050.4818582099699</v>
      </c>
      <c r="M2250">
        <v>21.6538691300658</v>
      </c>
      <c r="N2250">
        <v>48.642202056907202</v>
      </c>
      <c r="O2250">
        <v>48.104375412788002</v>
      </c>
      <c r="P2250">
        <v>-0.109380042304259</v>
      </c>
      <c r="Q2250">
        <v>2.8065941702579301E-2</v>
      </c>
      <c r="R2250">
        <v>0.99132382855969903</v>
      </c>
      <c r="S2250" t="s">
        <v>8818</v>
      </c>
      <c r="T2250" t="s">
        <v>13134</v>
      </c>
      <c r="U2250" t="s">
        <v>13134</v>
      </c>
      <c r="V2250" t="s">
        <v>13134</v>
      </c>
      <c r="W2250" t="s">
        <v>15341</v>
      </c>
      <c r="X2250">
        <v>15</v>
      </c>
      <c r="Y2250" t="s">
        <v>21800</v>
      </c>
      <c r="Z2250" t="s">
        <v>28218</v>
      </c>
      <c r="AA2250">
        <v>0.41205943458061561</v>
      </c>
      <c r="AB2250" t="str">
        <f>HYPERLINK("Melting_Curves/meltCurve_P15880_RPS2.pdf", "Melting_Curves/meltCurve_P15880_RPS2.pdf")</f>
        <v>Melting_Curves/meltCurve_P15880_RPS2.pdf</v>
      </c>
    </row>
    <row r="2251" spans="1:28" x14ac:dyDescent="0.25">
      <c r="A2251" t="s">
        <v>2255</v>
      </c>
      <c r="B2251">
        <v>0.99472303558308395</v>
      </c>
      <c r="C2251">
        <v>1.00508873321787</v>
      </c>
      <c r="D2251">
        <v>0.91182179298135702</v>
      </c>
      <c r="E2251">
        <v>0.78697163736827003</v>
      </c>
      <c r="F2251">
        <v>0.48362142741131398</v>
      </c>
      <c r="G2251">
        <v>0.15407053374445001</v>
      </c>
      <c r="H2251">
        <v>9.5542823530709906E-2</v>
      </c>
      <c r="I2251">
        <v>7.3651218448747099E-2</v>
      </c>
      <c r="J2251">
        <v>7.6690139930581699E-2</v>
      </c>
      <c r="K2251">
        <v>6.2313646535273097E-2</v>
      </c>
      <c r="L2251">
        <v>1036.16687586337</v>
      </c>
      <c r="M2251">
        <v>20.969867574090699</v>
      </c>
      <c r="N2251">
        <v>49.676201687423102</v>
      </c>
      <c r="O2251">
        <v>48.969405699719097</v>
      </c>
      <c r="P2251">
        <v>-0.10141335279600899</v>
      </c>
      <c r="Q2251">
        <v>5.2732677954541098E-2</v>
      </c>
      <c r="R2251">
        <v>0.99621800226917601</v>
      </c>
      <c r="S2251" t="s">
        <v>8819</v>
      </c>
      <c r="T2251" t="s">
        <v>13134</v>
      </c>
      <c r="U2251" t="s">
        <v>13134</v>
      </c>
      <c r="V2251" t="s">
        <v>13134</v>
      </c>
      <c r="W2251" t="s">
        <v>15342</v>
      </c>
      <c r="X2251">
        <v>7</v>
      </c>
      <c r="Y2251" t="s">
        <v>21801</v>
      </c>
      <c r="Z2251" t="s">
        <v>28219</v>
      </c>
      <c r="AA2251">
        <v>0.45611189483052661</v>
      </c>
      <c r="AB2251" t="str">
        <f>HYPERLINK("Melting_Curves/meltCurve_P15907_ST6GAL1.pdf", "Melting_Curves/meltCurve_P15907_ST6GAL1.pdf")</f>
        <v>Melting_Curves/meltCurve_P15907_ST6GAL1.pdf</v>
      </c>
    </row>
    <row r="2252" spans="1:28" x14ac:dyDescent="0.25">
      <c r="A2252" t="s">
        <v>2256</v>
      </c>
      <c r="B2252">
        <v>0.99472303558308395</v>
      </c>
      <c r="C2252">
        <v>0.77379217176364901</v>
      </c>
      <c r="D2252">
        <v>0.83541317385338898</v>
      </c>
      <c r="E2252">
        <v>0.487750418335263</v>
      </c>
      <c r="F2252">
        <v>0.22280970852274301</v>
      </c>
      <c r="G2252">
        <v>0.12995474150664399</v>
      </c>
      <c r="H2252">
        <v>9.3989633108723006E-2</v>
      </c>
      <c r="I2252">
        <v>7.4586942362363406E-2</v>
      </c>
      <c r="J2252">
        <v>0.107779336555422</v>
      </c>
      <c r="K2252">
        <v>0.102853648141304</v>
      </c>
      <c r="L2252">
        <v>730.08330043578303</v>
      </c>
      <c r="M2252">
        <v>15.9326029414916</v>
      </c>
      <c r="N2252">
        <v>46.263026255985302</v>
      </c>
      <c r="O2252">
        <v>45.119576771538298</v>
      </c>
      <c r="P2252">
        <v>-8.2082548957223098E-2</v>
      </c>
      <c r="Q2252">
        <v>7.0275054692041095E-2</v>
      </c>
      <c r="R2252">
        <v>0.97331328013787199</v>
      </c>
      <c r="S2252" t="s">
        <v>8820</v>
      </c>
      <c r="T2252" t="s">
        <v>13134</v>
      </c>
      <c r="U2252" t="s">
        <v>13134</v>
      </c>
      <c r="V2252" t="s">
        <v>13134</v>
      </c>
      <c r="W2252" t="s">
        <v>15343</v>
      </c>
      <c r="X2252">
        <v>11</v>
      </c>
      <c r="Y2252" t="s">
        <v>21802</v>
      </c>
      <c r="Z2252" t="s">
        <v>28220</v>
      </c>
      <c r="AA2252">
        <v>0.36288848459948952</v>
      </c>
      <c r="AB2252" t="str">
        <f>HYPERLINK("Melting_Curves/meltCurve_P15923_TCF3.pdf", "Melting_Curves/meltCurve_P15923_TCF3.pdf")</f>
        <v>Melting_Curves/meltCurve_P15923_TCF3.pdf</v>
      </c>
    </row>
    <row r="2253" spans="1:28" x14ac:dyDescent="0.25">
      <c r="A2253" t="s">
        <v>2257</v>
      </c>
      <c r="B2253">
        <v>0.99472303558308395</v>
      </c>
      <c r="C2253">
        <v>0.92338813037436696</v>
      </c>
      <c r="D2253">
        <v>0.89712099174223603</v>
      </c>
      <c r="E2253">
        <v>0.67255729302639</v>
      </c>
      <c r="F2253">
        <v>0.36420913479030698</v>
      </c>
      <c r="G2253">
        <v>0.17969165864523301</v>
      </c>
      <c r="H2253">
        <v>0.137408640187419</v>
      </c>
      <c r="I2253">
        <v>0.107324355668255</v>
      </c>
      <c r="J2253">
        <v>0.125829510611944</v>
      </c>
      <c r="K2253">
        <v>9.2092527675876501E-2</v>
      </c>
      <c r="L2253">
        <v>878.31375351313204</v>
      </c>
      <c r="M2253">
        <v>18.349776408670099</v>
      </c>
      <c r="N2253">
        <v>48.415867477565399</v>
      </c>
      <c r="O2253">
        <v>47.3074947445945</v>
      </c>
      <c r="P2253">
        <v>-8.7840258231221199E-2</v>
      </c>
      <c r="Q2253">
        <v>9.4198924915655097E-2</v>
      </c>
      <c r="R2253">
        <v>0.99680862565689199</v>
      </c>
      <c r="S2253" t="s">
        <v>8821</v>
      </c>
      <c r="T2253" t="s">
        <v>13134</v>
      </c>
      <c r="U2253" t="s">
        <v>13134</v>
      </c>
      <c r="V2253" t="s">
        <v>13134</v>
      </c>
      <c r="W2253" t="s">
        <v>15344</v>
      </c>
      <c r="X2253">
        <v>10</v>
      </c>
      <c r="Y2253" t="s">
        <v>21802</v>
      </c>
      <c r="Z2253" t="s">
        <v>28221</v>
      </c>
      <c r="AA2253">
        <v>0.43623390996210881</v>
      </c>
      <c r="AB2253" t="str">
        <f>HYPERLINK("Melting_Curves/meltCurve_P15923_2_TCF3.pdf", "Melting_Curves/meltCurve_P15923_2_TCF3.pdf")</f>
        <v>Melting_Curves/meltCurve_P15923_2_TCF3.pdf</v>
      </c>
    </row>
    <row r="2254" spans="1:28" x14ac:dyDescent="0.25">
      <c r="A2254" t="s">
        <v>2258</v>
      </c>
      <c r="B2254">
        <v>0.99472303558308395</v>
      </c>
      <c r="C2254">
        <v>1.00418196248155</v>
      </c>
      <c r="D2254">
        <v>0.91383878187003897</v>
      </c>
      <c r="E2254">
        <v>0.82686142474649804</v>
      </c>
      <c r="F2254">
        <v>0.64366326789770301</v>
      </c>
      <c r="G2254">
        <v>0.51769332958248604</v>
      </c>
      <c r="H2254">
        <v>0.40102133431754799</v>
      </c>
      <c r="I2254">
        <v>0.20400869275112901</v>
      </c>
      <c r="J2254">
        <v>9.8382318795814605E-2</v>
      </c>
      <c r="K2254">
        <v>0.101999044776607</v>
      </c>
      <c r="L2254">
        <v>567.89836694789403</v>
      </c>
      <c r="M2254">
        <v>10.5703120711728</v>
      </c>
      <c r="N2254">
        <v>53.725790124327297</v>
      </c>
      <c r="O2254">
        <v>51.909823445132702</v>
      </c>
      <c r="P2254">
        <v>-5.0927118642560401E-2</v>
      </c>
      <c r="Q2254">
        <v>0</v>
      </c>
      <c r="R2254">
        <v>0.99114010651700701</v>
      </c>
      <c r="S2254" t="s">
        <v>8822</v>
      </c>
      <c r="T2254" t="s">
        <v>13134</v>
      </c>
      <c r="U2254" t="s">
        <v>13134</v>
      </c>
      <c r="V2254" t="s">
        <v>13134</v>
      </c>
      <c r="W2254" t="s">
        <v>15345</v>
      </c>
      <c r="X2254">
        <v>9</v>
      </c>
      <c r="Y2254" t="s">
        <v>21803</v>
      </c>
      <c r="Z2254" t="s">
        <v>28222</v>
      </c>
      <c r="AA2254">
        <v>0.57663541291539055</v>
      </c>
      <c r="AB2254" t="str">
        <f>HYPERLINK("Melting_Curves/meltCurve_P15927_RPA2.pdf", "Melting_Curves/meltCurve_P15927_RPA2.pdf")</f>
        <v>Melting_Curves/meltCurve_P15927_RPA2.pdf</v>
      </c>
    </row>
    <row r="2255" spans="1:28" x14ac:dyDescent="0.25">
      <c r="A2255" t="s">
        <v>2259</v>
      </c>
      <c r="B2255">
        <v>0.99472303558308395</v>
      </c>
      <c r="C2255">
        <v>1.11045264938104</v>
      </c>
      <c r="D2255">
        <v>0.98501469783259699</v>
      </c>
      <c r="E2255">
        <v>0.93315864509359603</v>
      </c>
      <c r="F2255">
        <v>0.89420579643436005</v>
      </c>
      <c r="G2255">
        <v>0.65989592002220998</v>
      </c>
      <c r="H2255">
        <v>0.51400926200970598</v>
      </c>
      <c r="I2255">
        <v>0.55991034810985496</v>
      </c>
      <c r="J2255">
        <v>0.67092834135610901</v>
      </c>
      <c r="K2255">
        <v>0.63094351620439204</v>
      </c>
      <c r="L2255">
        <v>2127.8530122788602</v>
      </c>
      <c r="M2255">
        <v>41.399974147734802</v>
      </c>
      <c r="O2255">
        <v>51.277974964945102</v>
      </c>
      <c r="P2255">
        <v>-8.1759153576439203E-2</v>
      </c>
      <c r="Q2255">
        <v>0.59493354391418096</v>
      </c>
      <c r="R2255">
        <v>0.91968892493760201</v>
      </c>
      <c r="S2255" t="s">
        <v>8823</v>
      </c>
      <c r="T2255" t="s">
        <v>13134</v>
      </c>
      <c r="U2255" t="s">
        <v>13134</v>
      </c>
      <c r="V2255" t="s">
        <v>13134</v>
      </c>
      <c r="W2255" t="s">
        <v>15346</v>
      </c>
      <c r="X2255">
        <v>7</v>
      </c>
      <c r="Y2255" t="s">
        <v>21804</v>
      </c>
      <c r="Z2255" t="s">
        <v>28223</v>
      </c>
      <c r="AA2255">
        <v>0.79067200766608114</v>
      </c>
      <c r="AB2255" t="str">
        <f>HYPERLINK("Melting_Curves/meltCurve_P16150_SPN.pdf", "Melting_Curves/meltCurve_P16150_SPN.pdf")</f>
        <v>Melting_Curves/meltCurve_P16150_SPN.pdf</v>
      </c>
    </row>
    <row r="2256" spans="1:28" x14ac:dyDescent="0.25">
      <c r="A2256" t="s">
        <v>2260</v>
      </c>
      <c r="B2256">
        <v>0.99472303558308395</v>
      </c>
      <c r="C2256">
        <v>0.95248519500251505</v>
      </c>
      <c r="D2256">
        <v>1.0771655203150701</v>
      </c>
      <c r="E2256">
        <v>0.99593879022029597</v>
      </c>
      <c r="F2256">
        <v>0.849702269001956</v>
      </c>
      <c r="G2256">
        <v>0.60270168257615397</v>
      </c>
      <c r="H2256">
        <v>0.19435097975244001</v>
      </c>
      <c r="I2256">
        <v>8.3824749228786993E-2</v>
      </c>
      <c r="J2256">
        <v>8.4995584970959798E-2</v>
      </c>
      <c r="K2256">
        <v>7.8866612411473094E-2</v>
      </c>
      <c r="L2256">
        <v>1462.9844257509999</v>
      </c>
      <c r="M2256">
        <v>27.036374226335301</v>
      </c>
      <c r="N2256">
        <v>54.3608503269718</v>
      </c>
      <c r="O2256">
        <v>53.818271239619101</v>
      </c>
      <c r="P2256">
        <v>-0.118273748821849</v>
      </c>
      <c r="Q2256">
        <v>5.8272249666968798E-2</v>
      </c>
      <c r="R2256">
        <v>0.99195119642546103</v>
      </c>
      <c r="S2256" t="s">
        <v>8824</v>
      </c>
      <c r="T2256" t="s">
        <v>13134</v>
      </c>
      <c r="U2256" t="s">
        <v>13134</v>
      </c>
      <c r="V2256" t="s">
        <v>13134</v>
      </c>
      <c r="W2256" t="s">
        <v>15347</v>
      </c>
      <c r="X2256">
        <v>17</v>
      </c>
      <c r="Y2256" t="s">
        <v>21805</v>
      </c>
      <c r="Z2256" t="s">
        <v>28224</v>
      </c>
      <c r="AA2256">
        <v>0.60263462946381519</v>
      </c>
      <c r="AB2256" t="str">
        <f>HYPERLINK("Melting_Curves/meltCurve_P16152_CBR1.pdf", "Melting_Curves/meltCurve_P16152_CBR1.pdf")</f>
        <v>Melting_Curves/meltCurve_P16152_CBR1.pdf</v>
      </c>
    </row>
    <row r="2257" spans="1:28" x14ac:dyDescent="0.25">
      <c r="A2257" t="s">
        <v>2261</v>
      </c>
      <c r="B2257">
        <v>0.99472303558308395</v>
      </c>
      <c r="C2257">
        <v>0.93666457473058995</v>
      </c>
      <c r="D2257">
        <v>0.87433899414992</v>
      </c>
      <c r="E2257">
        <v>0.326760455391225</v>
      </c>
      <c r="F2257">
        <v>0.142284721864089</v>
      </c>
      <c r="G2257">
        <v>7.8863876500869207E-2</v>
      </c>
      <c r="H2257">
        <v>5.2483136962406599E-2</v>
      </c>
      <c r="I2257">
        <v>3.9101473275547902E-2</v>
      </c>
      <c r="J2257">
        <v>4.3175224941106101E-2</v>
      </c>
      <c r="K2257">
        <v>3.9360561431353101E-2</v>
      </c>
      <c r="L2257">
        <v>1365.2293724599101</v>
      </c>
      <c r="M2257">
        <v>30.087670036703599</v>
      </c>
      <c r="N2257">
        <v>45.546176801005799</v>
      </c>
      <c r="O2257">
        <v>45.1760305175181</v>
      </c>
      <c r="P2257">
        <v>-0.157604452974026</v>
      </c>
      <c r="Q2257">
        <v>5.34467651737408E-2</v>
      </c>
      <c r="R2257">
        <v>0.99618429955061905</v>
      </c>
      <c r="S2257" t="s">
        <v>8825</v>
      </c>
      <c r="T2257" t="s">
        <v>13134</v>
      </c>
      <c r="U2257" t="s">
        <v>13134</v>
      </c>
      <c r="V2257" t="s">
        <v>13134</v>
      </c>
      <c r="W2257" t="s">
        <v>15348</v>
      </c>
      <c r="X2257">
        <v>53</v>
      </c>
      <c r="Y2257" t="s">
        <v>21806</v>
      </c>
      <c r="Z2257" t="s">
        <v>28225</v>
      </c>
      <c r="AA2257">
        <v>0.32300557478006209</v>
      </c>
      <c r="AB2257" t="str">
        <f>HYPERLINK("Melting_Curves/meltCurve_P16157_10_ANK1.pdf", "Melting_Curves/meltCurve_P16157_10_ANK1.pdf")</f>
        <v>Melting_Curves/meltCurve_P16157_10_ANK1.pdf</v>
      </c>
    </row>
    <row r="2258" spans="1:28" x14ac:dyDescent="0.25">
      <c r="A2258" t="s">
        <v>2262</v>
      </c>
      <c r="B2258">
        <v>0.99472303558308395</v>
      </c>
      <c r="C2258">
        <v>0.97296643978992003</v>
      </c>
      <c r="D2258">
        <v>0.82458886269186105</v>
      </c>
      <c r="E2258">
        <v>0.77851965943830403</v>
      </c>
      <c r="F2258">
        <v>0.70796740657493096</v>
      </c>
      <c r="G2258">
        <v>0.37595788019076398</v>
      </c>
      <c r="H2258">
        <v>0.14412248205720399</v>
      </c>
      <c r="I2258">
        <v>9.7621490034352401E-2</v>
      </c>
      <c r="J2258">
        <v>8.1314434275960301E-2</v>
      </c>
      <c r="K2258">
        <v>5.9987269402869102E-2</v>
      </c>
      <c r="L2258">
        <v>689.73341643583899</v>
      </c>
      <c r="M2258">
        <v>13.3205378492306</v>
      </c>
      <c r="N2258">
        <v>51.779697225245499</v>
      </c>
      <c r="O2258">
        <v>50.654439049579302</v>
      </c>
      <c r="P2258">
        <v>-6.5752743413806103E-2</v>
      </c>
      <c r="Q2258">
        <v>0</v>
      </c>
      <c r="R2258">
        <v>0.97752189037646497</v>
      </c>
      <c r="S2258" t="s">
        <v>8826</v>
      </c>
      <c r="T2258" t="s">
        <v>13134</v>
      </c>
      <c r="U2258" t="s">
        <v>13134</v>
      </c>
      <c r="V2258" t="s">
        <v>13134</v>
      </c>
      <c r="W2258" t="s">
        <v>15349</v>
      </c>
      <c r="X2258">
        <v>8</v>
      </c>
      <c r="Y2258" t="s">
        <v>21807</v>
      </c>
      <c r="Z2258" t="s">
        <v>28226</v>
      </c>
      <c r="AA2258">
        <v>0.51472651213656617</v>
      </c>
      <c r="AB2258" t="str">
        <f>HYPERLINK("Melting_Curves/meltCurve_P16219_ACADS.pdf", "Melting_Curves/meltCurve_P16219_ACADS.pdf")</f>
        <v>Melting_Curves/meltCurve_P16219_ACADS.pdf</v>
      </c>
    </row>
    <row r="2259" spans="1:28" x14ac:dyDescent="0.25">
      <c r="A2259" t="s">
        <v>2263</v>
      </c>
      <c r="B2259">
        <v>0.99472303558308395</v>
      </c>
      <c r="C2259">
        <v>0.98789516818037004</v>
      </c>
      <c r="D2259">
        <v>0.93670866142283404</v>
      </c>
      <c r="E2259">
        <v>0.87149105185794695</v>
      </c>
      <c r="F2259">
        <v>0.72609710621513901</v>
      </c>
      <c r="G2259">
        <v>0.51422021491919001</v>
      </c>
      <c r="H2259">
        <v>0.38961293258956797</v>
      </c>
      <c r="I2259">
        <v>0.33961481025507501</v>
      </c>
      <c r="J2259">
        <v>0.38791284987871999</v>
      </c>
      <c r="K2259">
        <v>0.44994831867892299</v>
      </c>
      <c r="L2259">
        <v>984.25332092721499</v>
      </c>
      <c r="M2259">
        <v>19.558093638584602</v>
      </c>
      <c r="N2259">
        <v>54.1501970758681</v>
      </c>
      <c r="O2259">
        <v>49.807348166069403</v>
      </c>
      <c r="P2259">
        <v>-6.1413688370578999E-2</v>
      </c>
      <c r="Q2259">
        <v>0.37442892965310098</v>
      </c>
      <c r="R2259">
        <v>0.98100654799426001</v>
      </c>
      <c r="S2259" t="s">
        <v>8827</v>
      </c>
      <c r="T2259" t="s">
        <v>13134</v>
      </c>
      <c r="U2259" t="s">
        <v>13134</v>
      </c>
      <c r="V2259" t="s">
        <v>13134</v>
      </c>
      <c r="W2259" t="s">
        <v>15350</v>
      </c>
      <c r="X2259">
        <v>10</v>
      </c>
      <c r="Y2259" t="s">
        <v>21808</v>
      </c>
      <c r="Z2259" t="s">
        <v>28227</v>
      </c>
      <c r="AA2259">
        <v>0.66082805519568311</v>
      </c>
      <c r="AB2259" t="str">
        <f>HYPERLINK("Melting_Curves/meltCurve_P16284_3_PECAM1.pdf", "Melting_Curves/meltCurve_P16284_3_PECAM1.pdf")</f>
        <v>Melting_Curves/meltCurve_P16284_3_PECAM1.pdf</v>
      </c>
    </row>
    <row r="2260" spans="1:28" x14ac:dyDescent="0.25">
      <c r="A2260" t="s">
        <v>2264</v>
      </c>
      <c r="B2260">
        <v>0.99472303558308395</v>
      </c>
      <c r="C2260">
        <v>1.0990615072590499</v>
      </c>
      <c r="D2260">
        <v>0.99010958269036398</v>
      </c>
      <c r="E2260">
        <v>0.85460970547163195</v>
      </c>
      <c r="F2260">
        <v>0.55260568053283299</v>
      </c>
      <c r="G2260">
        <v>0.21968644172604199</v>
      </c>
      <c r="H2260">
        <v>0.134796667666051</v>
      </c>
      <c r="I2260">
        <v>0.1103128814884</v>
      </c>
      <c r="J2260">
        <v>0.101249282696885</v>
      </c>
      <c r="K2260">
        <v>8.1292389372807097E-2</v>
      </c>
      <c r="L2260">
        <v>1211.59226711109</v>
      </c>
      <c r="M2260">
        <v>24.1712327836083</v>
      </c>
      <c r="N2260">
        <v>50.539783760644497</v>
      </c>
      <c r="O2260">
        <v>49.786068254720597</v>
      </c>
      <c r="P2260">
        <v>-0.110466315761862</v>
      </c>
      <c r="Q2260">
        <v>8.9893503509730799E-2</v>
      </c>
      <c r="R2260">
        <v>0.99316486929644798</v>
      </c>
      <c r="S2260" t="s">
        <v>8828</v>
      </c>
      <c r="T2260" t="s">
        <v>13134</v>
      </c>
      <c r="U2260" t="s">
        <v>13134</v>
      </c>
      <c r="V2260" t="s">
        <v>13134</v>
      </c>
      <c r="W2260" t="s">
        <v>15351</v>
      </c>
      <c r="X2260">
        <v>10</v>
      </c>
      <c r="Y2260" t="s">
        <v>21809</v>
      </c>
      <c r="Z2260" t="s">
        <v>28228</v>
      </c>
      <c r="AA2260">
        <v>0.49657076378436671</v>
      </c>
      <c r="AB2260" t="str">
        <f>HYPERLINK("Melting_Curves/meltCurve_P16298_PPP3CB.pdf", "Melting_Curves/meltCurve_P16298_PPP3CB.pdf")</f>
        <v>Melting_Curves/meltCurve_P16298_PPP3CB.pdf</v>
      </c>
    </row>
    <row r="2261" spans="1:28" x14ac:dyDescent="0.25">
      <c r="A2261" t="s">
        <v>2265</v>
      </c>
      <c r="B2261">
        <v>0.99472303558308395</v>
      </c>
      <c r="C2261">
        <v>0.97071219041606704</v>
      </c>
      <c r="D2261">
        <v>0.90021583491078305</v>
      </c>
      <c r="E2261">
        <v>0.59530496867912897</v>
      </c>
      <c r="F2261">
        <v>0.29707802190868099</v>
      </c>
      <c r="G2261">
        <v>0.165996745431813</v>
      </c>
      <c r="H2261">
        <v>0.10308095567462899</v>
      </c>
      <c r="I2261">
        <v>7.3189544660969802E-2</v>
      </c>
      <c r="J2261">
        <v>8.4223830725777299E-2</v>
      </c>
      <c r="K2261">
        <v>8.4776311149903194E-2</v>
      </c>
      <c r="L2261">
        <v>939.79149678382601</v>
      </c>
      <c r="M2261">
        <v>19.8846696228361</v>
      </c>
      <c r="N2261">
        <v>47.6664408809078</v>
      </c>
      <c r="O2261">
        <v>46.791900715047703</v>
      </c>
      <c r="P2261">
        <v>-9.7998288519337798E-2</v>
      </c>
      <c r="Q2261">
        <v>7.7606293058315498E-2</v>
      </c>
      <c r="R2261">
        <v>0.99951599710988603</v>
      </c>
      <c r="S2261" t="s">
        <v>8829</v>
      </c>
      <c r="T2261" t="s">
        <v>13134</v>
      </c>
      <c r="U2261" t="s">
        <v>13134</v>
      </c>
      <c r="V2261" t="s">
        <v>13134</v>
      </c>
      <c r="W2261" t="s">
        <v>15352</v>
      </c>
      <c r="X2261">
        <v>9</v>
      </c>
      <c r="Y2261" t="s">
        <v>19949</v>
      </c>
      <c r="Z2261" t="s">
        <v>28229</v>
      </c>
      <c r="AA2261">
        <v>0.40535237617947723</v>
      </c>
      <c r="AB2261" t="str">
        <f>HYPERLINK("Melting_Curves/meltCurve_P16333_NCK1.pdf", "Melting_Curves/meltCurve_P16333_NCK1.pdf")</f>
        <v>Melting_Curves/meltCurve_P16333_NCK1.pdf</v>
      </c>
    </row>
    <row r="2262" spans="1:28" x14ac:dyDescent="0.25">
      <c r="A2262" t="s">
        <v>2266</v>
      </c>
      <c r="B2262">
        <v>0.99472303558308395</v>
      </c>
      <c r="C2262">
        <v>0.93368793854287402</v>
      </c>
      <c r="D2262">
        <v>0.86206707177349995</v>
      </c>
      <c r="E2262">
        <v>0.43627948597507898</v>
      </c>
      <c r="F2262">
        <v>0.36918511187401598</v>
      </c>
      <c r="G2262">
        <v>0.23275506186920999</v>
      </c>
      <c r="H2262">
        <v>0.18149324199275499</v>
      </c>
      <c r="I2262">
        <v>0.17494423698904901</v>
      </c>
      <c r="J2262">
        <v>0.22585923240071601</v>
      </c>
      <c r="K2262">
        <v>0.196581986170385</v>
      </c>
      <c r="L2262">
        <v>961.29899336738697</v>
      </c>
      <c r="M2262">
        <v>21.151975686200998</v>
      </c>
      <c r="N2262">
        <v>46.576048391231502</v>
      </c>
      <c r="O2262">
        <v>45.046899372476503</v>
      </c>
      <c r="P2262">
        <v>-9.3849782502904197E-2</v>
      </c>
      <c r="Q2262">
        <v>0.200541918794376</v>
      </c>
      <c r="R2262">
        <v>0.98586816030964097</v>
      </c>
      <c r="S2262" t="s">
        <v>8830</v>
      </c>
      <c r="T2262" t="s">
        <v>13134</v>
      </c>
      <c r="U2262" t="s">
        <v>13134</v>
      </c>
      <c r="V2262" t="s">
        <v>13134</v>
      </c>
      <c r="W2262" t="s">
        <v>15353</v>
      </c>
      <c r="X2262">
        <v>9</v>
      </c>
      <c r="Y2262" t="s">
        <v>21810</v>
      </c>
      <c r="Z2262" t="s">
        <v>28230</v>
      </c>
      <c r="AA2262">
        <v>0.43497020198483072</v>
      </c>
      <c r="AB2262" t="str">
        <f>HYPERLINK("Melting_Curves/meltCurve_P16383_GCFC2.pdf", "Melting_Curves/meltCurve_P16383_GCFC2.pdf")</f>
        <v>Melting_Curves/meltCurve_P16383_GCFC2.pdf</v>
      </c>
    </row>
    <row r="2263" spans="1:28" x14ac:dyDescent="0.25">
      <c r="A2263" t="s">
        <v>2267</v>
      </c>
      <c r="B2263">
        <v>0.99472303558308395</v>
      </c>
      <c r="C2263">
        <v>0.846501984809785</v>
      </c>
      <c r="D2263">
        <v>0.878836420557352</v>
      </c>
      <c r="E2263">
        <v>0.67042355753515104</v>
      </c>
      <c r="F2263">
        <v>0.588664983247289</v>
      </c>
      <c r="G2263">
        <v>0.31406519881752398</v>
      </c>
      <c r="H2263">
        <v>0.22420912993342701</v>
      </c>
      <c r="I2263">
        <v>0.220385878515896</v>
      </c>
      <c r="J2263">
        <v>0.19511265055454999</v>
      </c>
      <c r="K2263">
        <v>0.24816967485997399</v>
      </c>
      <c r="L2263">
        <v>571.21757748264997</v>
      </c>
      <c r="M2263">
        <v>11.733526567020601</v>
      </c>
      <c r="N2263">
        <v>50.287944587847903</v>
      </c>
      <c r="O2263">
        <v>47.332984610516696</v>
      </c>
      <c r="P2263">
        <v>-5.2305999313695901E-2</v>
      </c>
      <c r="Q2263">
        <v>0.156213340760256</v>
      </c>
      <c r="R2263">
        <v>0.970411422439872</v>
      </c>
      <c r="S2263" t="s">
        <v>8831</v>
      </c>
      <c r="T2263" t="s">
        <v>13134</v>
      </c>
      <c r="U2263" t="s">
        <v>13134</v>
      </c>
      <c r="V2263" t="s">
        <v>13134</v>
      </c>
      <c r="W2263" t="s">
        <v>15354</v>
      </c>
      <c r="X2263">
        <v>8</v>
      </c>
      <c r="Y2263" t="s">
        <v>21811</v>
      </c>
      <c r="Z2263" t="s">
        <v>28231</v>
      </c>
      <c r="AA2263">
        <v>0.51109912224659826</v>
      </c>
      <c r="AB2263" t="str">
        <f>HYPERLINK("Melting_Curves/meltCurve_P16401_HIST1H1B.pdf", "Melting_Curves/meltCurve_P16401_HIST1H1B.pdf")</f>
        <v>Melting_Curves/meltCurve_P16401_HIST1H1B.pdf</v>
      </c>
    </row>
    <row r="2264" spans="1:28" x14ac:dyDescent="0.25">
      <c r="A2264" t="s">
        <v>2268</v>
      </c>
      <c r="B2264">
        <v>0.99472303558308395</v>
      </c>
      <c r="C2264">
        <v>0.98815964120415101</v>
      </c>
      <c r="D2264">
        <v>0.964062053713034</v>
      </c>
      <c r="E2264">
        <v>0.86084943992516905</v>
      </c>
      <c r="F2264">
        <v>0.63978239989197705</v>
      </c>
      <c r="G2264">
        <v>0.29412296882621702</v>
      </c>
      <c r="H2264">
        <v>9.5426656352537595E-2</v>
      </c>
      <c r="I2264">
        <v>7.3381747338552697E-2</v>
      </c>
      <c r="J2264">
        <v>8.7007391124280603E-2</v>
      </c>
      <c r="K2264">
        <v>6.5653876311140003E-2</v>
      </c>
      <c r="L2264">
        <v>1091.17066605424</v>
      </c>
      <c r="M2264">
        <v>21.355539992170101</v>
      </c>
      <c r="N2264">
        <v>51.3517159911191</v>
      </c>
      <c r="O2264">
        <v>50.653733593547202</v>
      </c>
      <c r="P2264">
        <v>-0.100074461961356</v>
      </c>
      <c r="Q2264">
        <v>5.0547487836960503E-2</v>
      </c>
      <c r="R2264">
        <v>0.99731145767141105</v>
      </c>
      <c r="S2264" t="s">
        <v>8832</v>
      </c>
      <c r="T2264" t="s">
        <v>13134</v>
      </c>
      <c r="U2264" t="s">
        <v>13134</v>
      </c>
      <c r="V2264" t="s">
        <v>13134</v>
      </c>
      <c r="W2264" t="s">
        <v>15355</v>
      </c>
      <c r="X2264">
        <v>33</v>
      </c>
      <c r="Y2264" t="s">
        <v>21812</v>
      </c>
      <c r="Z2264" t="s">
        <v>28232</v>
      </c>
      <c r="AA2264">
        <v>0.50776170822895106</v>
      </c>
      <c r="AB2264" t="str">
        <f>HYPERLINK("Melting_Curves/meltCurve_P16435_POR.pdf", "Melting_Curves/meltCurve_P16435_POR.pdf")</f>
        <v>Melting_Curves/meltCurve_P16435_POR.pdf</v>
      </c>
    </row>
    <row r="2265" spans="1:28" x14ac:dyDescent="0.25">
      <c r="A2265" t="s">
        <v>2269</v>
      </c>
      <c r="B2265">
        <v>0.99472303558308395</v>
      </c>
      <c r="C2265">
        <v>0.99486518033263904</v>
      </c>
      <c r="D2265">
        <v>0.92775535126989395</v>
      </c>
      <c r="E2265">
        <v>0.49482758071947502</v>
      </c>
      <c r="F2265">
        <v>0.11442536051192601</v>
      </c>
      <c r="G2265">
        <v>6.6686114871096505E-2</v>
      </c>
      <c r="H2265">
        <v>6.4080552437205507E-2</v>
      </c>
      <c r="I2265">
        <v>4.6586546862188702E-2</v>
      </c>
      <c r="J2265">
        <v>7.9088319762314396E-2</v>
      </c>
      <c r="K2265">
        <v>7.5226989989687396E-2</v>
      </c>
      <c r="L2265">
        <v>1585.2465348539399</v>
      </c>
      <c r="M2265">
        <v>34.199930170017801</v>
      </c>
      <c r="N2265">
        <v>46.534576280436497</v>
      </c>
      <c r="O2265">
        <v>46.1947110790829</v>
      </c>
      <c r="P2265">
        <v>-0.17348471389471301</v>
      </c>
      <c r="Q2265">
        <v>6.2682850167042198E-2</v>
      </c>
      <c r="R2265">
        <v>0.99936324801563003</v>
      </c>
      <c r="S2265" t="s">
        <v>8833</v>
      </c>
      <c r="T2265" t="s">
        <v>13134</v>
      </c>
      <c r="U2265" t="s">
        <v>13134</v>
      </c>
      <c r="V2265" t="s">
        <v>13134</v>
      </c>
      <c r="W2265" t="s">
        <v>15356</v>
      </c>
      <c r="X2265">
        <v>8</v>
      </c>
      <c r="Y2265" t="s">
        <v>21813</v>
      </c>
      <c r="Z2265" t="s">
        <v>28233</v>
      </c>
      <c r="AA2265">
        <v>0.35901115907005843</v>
      </c>
      <c r="AB2265" t="str">
        <f>HYPERLINK("Melting_Curves/meltCurve_P16591_3_FER.pdf", "Melting_Curves/meltCurve_P16591_3_FER.pdf")</f>
        <v>Melting_Curves/meltCurve_P16591_3_FER.pdf</v>
      </c>
    </row>
    <row r="2266" spans="1:28" x14ac:dyDescent="0.25">
      <c r="A2266" t="s">
        <v>2270</v>
      </c>
      <c r="B2266">
        <v>0.99472303558308395</v>
      </c>
      <c r="C2266">
        <v>0.979608012245899</v>
      </c>
      <c r="D2266">
        <v>0.78185882622717295</v>
      </c>
      <c r="E2266">
        <v>0.70551391840050104</v>
      </c>
      <c r="F2266">
        <v>0.59090195889965302</v>
      </c>
      <c r="G2266">
        <v>0.17177194997206199</v>
      </c>
      <c r="H2266">
        <v>6.2448921698021402E-2</v>
      </c>
      <c r="I2266">
        <v>4.5789652843532903E-2</v>
      </c>
      <c r="J2266">
        <v>5.2436178906562297E-2</v>
      </c>
      <c r="K2266">
        <v>4.2447653502794301E-2</v>
      </c>
      <c r="L2266">
        <v>704.84645313534202</v>
      </c>
      <c r="M2266">
        <v>14.213950339241901</v>
      </c>
      <c r="N2266">
        <v>49.588375529813</v>
      </c>
      <c r="O2266">
        <v>48.637799328354497</v>
      </c>
      <c r="P2266">
        <v>-7.3069316902535E-2</v>
      </c>
      <c r="Q2266">
        <v>0</v>
      </c>
      <c r="R2266">
        <v>0.97149054108093302</v>
      </c>
      <c r="S2266" t="s">
        <v>8834</v>
      </c>
      <c r="T2266" t="s">
        <v>13134</v>
      </c>
      <c r="U2266" t="s">
        <v>13134</v>
      </c>
      <c r="V2266" t="s">
        <v>13134</v>
      </c>
      <c r="W2266" t="s">
        <v>15357</v>
      </c>
      <c r="X2266">
        <v>36</v>
      </c>
      <c r="Y2266" t="s">
        <v>21814</v>
      </c>
      <c r="Z2266" t="s">
        <v>28234</v>
      </c>
      <c r="AA2266">
        <v>0.44252161093490772</v>
      </c>
      <c r="AB2266" t="str">
        <f>HYPERLINK("Melting_Curves/meltCurve_P16615_ATP2A2.pdf", "Melting_Curves/meltCurve_P16615_ATP2A2.pdf")</f>
        <v>Melting_Curves/meltCurve_P16615_ATP2A2.pdf</v>
      </c>
    </row>
    <row r="2267" spans="1:28" x14ac:dyDescent="0.25">
      <c r="A2267" t="s">
        <v>2271</v>
      </c>
      <c r="B2267">
        <v>0.99472303558308395</v>
      </c>
      <c r="C2267">
        <v>1.2570070297627201</v>
      </c>
      <c r="D2267">
        <v>0.90752015411583298</v>
      </c>
      <c r="E2267">
        <v>0.90031089720149604</v>
      </c>
      <c r="F2267">
        <v>1.1517905503632</v>
      </c>
      <c r="G2267">
        <v>0.541965340947553</v>
      </c>
      <c r="H2267">
        <v>0.39753573357892402</v>
      </c>
      <c r="I2267">
        <v>0.48361131237779098</v>
      </c>
      <c r="J2267">
        <v>0.66574227003334596</v>
      </c>
      <c r="K2267">
        <v>0.44982817611067599</v>
      </c>
      <c r="L2267">
        <v>13322.455152639701</v>
      </c>
      <c r="M2267">
        <v>250</v>
      </c>
      <c r="N2267">
        <v>54.6926195180368</v>
      </c>
      <c r="O2267">
        <v>53.286411487061898</v>
      </c>
      <c r="P2267">
        <v>-0.58741608807114098</v>
      </c>
      <c r="Q2267">
        <v>0.49917928452587601</v>
      </c>
      <c r="R2267">
        <v>0.82651771123378004</v>
      </c>
      <c r="S2267" t="s">
        <v>8835</v>
      </c>
      <c r="T2267" t="s">
        <v>13134</v>
      </c>
      <c r="U2267" t="s">
        <v>13134</v>
      </c>
      <c r="V2267" t="s">
        <v>13134</v>
      </c>
      <c r="W2267" t="s">
        <v>15358</v>
      </c>
      <c r="X2267">
        <v>14</v>
      </c>
      <c r="Y2267" t="s">
        <v>21815</v>
      </c>
      <c r="Z2267" t="s">
        <v>28235</v>
      </c>
      <c r="AA2267">
        <v>0.77116877645522963</v>
      </c>
      <c r="AB2267" t="str">
        <f>HYPERLINK("Melting_Curves/meltCurve_P16930_FAH.pdf", "Melting_Curves/meltCurve_P16930_FAH.pdf")</f>
        <v>Melting_Curves/meltCurve_P16930_FAH.pdf</v>
      </c>
    </row>
    <row r="2268" spans="1:28" x14ac:dyDescent="0.25">
      <c r="A2268" t="s">
        <v>2272</v>
      </c>
      <c r="B2268">
        <v>0.99472303558308395</v>
      </c>
      <c r="C2268">
        <v>0.91984646259527103</v>
      </c>
      <c r="D2268">
        <v>1.0422035894849899</v>
      </c>
      <c r="E2268">
        <v>0.882067111024046</v>
      </c>
      <c r="F2268">
        <v>0.728097828179049</v>
      </c>
      <c r="G2268">
        <v>0.653968904749332</v>
      </c>
      <c r="H2268">
        <v>0.74089702729394802</v>
      </c>
      <c r="I2268">
        <v>0.70320610457039201</v>
      </c>
      <c r="J2268">
        <v>1.374299770166</v>
      </c>
      <c r="K2268">
        <v>0.90049195540945504</v>
      </c>
      <c r="L2268">
        <v>11589.080042089099</v>
      </c>
      <c r="M2268">
        <v>250</v>
      </c>
      <c r="O2268">
        <v>46.353354413869397</v>
      </c>
      <c r="P2268">
        <v>-0.20203464648139</v>
      </c>
      <c r="Q2268">
        <v>0.850160265419589</v>
      </c>
      <c r="R2268">
        <v>8.8632051176366203E-2</v>
      </c>
      <c r="S2268" t="s">
        <v>8836</v>
      </c>
      <c r="T2268" t="s">
        <v>13134</v>
      </c>
      <c r="U2268" t="s">
        <v>13134</v>
      </c>
      <c r="V2268" t="s">
        <v>13134</v>
      </c>
      <c r="W2268" t="s">
        <v>13387</v>
      </c>
      <c r="X2268">
        <v>31</v>
      </c>
      <c r="Y2268" t="s">
        <v>21816</v>
      </c>
      <c r="Z2268" t="s">
        <v>28236</v>
      </c>
      <c r="AA2268">
        <v>0.89690407326351718</v>
      </c>
      <c r="AB2268" t="str">
        <f>HYPERLINK("Melting_Curves/meltCurve_P16949_STMN1.pdf", "Melting_Curves/meltCurve_P16949_STMN1.pdf")</f>
        <v>Melting_Curves/meltCurve_P16949_STMN1.pdf</v>
      </c>
    </row>
    <row r="2269" spans="1:28" x14ac:dyDescent="0.25">
      <c r="A2269" t="s">
        <v>2273</v>
      </c>
      <c r="B2269">
        <v>0.99472303558308395</v>
      </c>
      <c r="C2269">
        <v>1.0441731688891001</v>
      </c>
      <c r="D2269">
        <v>0.81399524451456995</v>
      </c>
      <c r="E2269">
        <v>0.76002290705904096</v>
      </c>
      <c r="F2269">
        <v>0.58265006212613601</v>
      </c>
      <c r="G2269">
        <v>0.338934612906793</v>
      </c>
      <c r="H2269">
        <v>0.28321239887370298</v>
      </c>
      <c r="I2269">
        <v>0.23684345581979899</v>
      </c>
      <c r="J2269">
        <v>0.31889891803418902</v>
      </c>
      <c r="K2269">
        <v>0.37234541980765501</v>
      </c>
      <c r="L2269">
        <v>793.113757659616</v>
      </c>
      <c r="M2269">
        <v>16.465980925244001</v>
      </c>
      <c r="N2269">
        <v>50.698414181070298</v>
      </c>
      <c r="O2269">
        <v>47.473189532048004</v>
      </c>
      <c r="P2269">
        <v>-6.2413319827772297E-2</v>
      </c>
      <c r="Q2269">
        <v>0.28027324365863998</v>
      </c>
      <c r="R2269">
        <v>0.95894662661537999</v>
      </c>
      <c r="S2269" t="s">
        <v>8837</v>
      </c>
      <c r="T2269" t="s">
        <v>13134</v>
      </c>
      <c r="U2269" t="s">
        <v>13134</v>
      </c>
      <c r="V2269" t="s">
        <v>13134</v>
      </c>
      <c r="W2269" t="s">
        <v>15359</v>
      </c>
      <c r="X2269">
        <v>5</v>
      </c>
      <c r="Y2269" t="s">
        <v>21817</v>
      </c>
      <c r="Z2269" t="s">
        <v>28237</v>
      </c>
      <c r="AA2269">
        <v>0.56164576896433138</v>
      </c>
      <c r="AB2269" t="str">
        <f>HYPERLINK("Melting_Curves/meltCurve_P16989_YBX3.pdf", "Melting_Curves/meltCurve_P16989_YBX3.pdf")</f>
        <v>Melting_Curves/meltCurve_P16989_YBX3.pdf</v>
      </c>
    </row>
    <row r="2270" spans="1:28" x14ac:dyDescent="0.25">
      <c r="A2270" t="s">
        <v>2274</v>
      </c>
      <c r="B2270">
        <v>0.99472303558308395</v>
      </c>
      <c r="C2270">
        <v>1.1409431408901201</v>
      </c>
      <c r="D2270">
        <v>1.10851411146873</v>
      </c>
      <c r="E2270">
        <v>0.98418526480424695</v>
      </c>
      <c r="F2270">
        <v>0.70142707074682897</v>
      </c>
      <c r="G2270">
        <v>0.15713701902560001</v>
      </c>
      <c r="H2270">
        <v>3.4519214938545102E-2</v>
      </c>
      <c r="I2270">
        <v>1.16301900002316E-2</v>
      </c>
      <c r="J2270">
        <v>1.0495749241482199E-2</v>
      </c>
      <c r="K2270">
        <v>9.6265176493658695E-3</v>
      </c>
      <c r="L2270">
        <v>1958.50781765293</v>
      </c>
      <c r="M2270">
        <v>38.168213485151199</v>
      </c>
      <c r="N2270">
        <v>51.344341522975199</v>
      </c>
      <c r="O2270">
        <v>51.172300507271601</v>
      </c>
      <c r="P2270">
        <v>-0.184290276268853</v>
      </c>
      <c r="Q2270">
        <v>1.16874184126166E-2</v>
      </c>
      <c r="R2270">
        <v>0.98644159802795295</v>
      </c>
      <c r="S2270" t="s">
        <v>8838</v>
      </c>
      <c r="T2270" t="s">
        <v>13134</v>
      </c>
      <c r="U2270" t="s">
        <v>13134</v>
      </c>
      <c r="V2270" t="s">
        <v>13134</v>
      </c>
      <c r="W2270" t="s">
        <v>15360</v>
      </c>
      <c r="X2270">
        <v>1</v>
      </c>
      <c r="Y2270" t="s">
        <v>21818</v>
      </c>
      <c r="Z2270" t="s">
        <v>28238</v>
      </c>
      <c r="AA2270">
        <v>0.48703982558648218</v>
      </c>
      <c r="AB2270" t="str">
        <f>HYPERLINK("Melting_Curves/meltCurve_P17017_ZNF14.pdf", "Melting_Curves/meltCurve_P17017_ZNF14.pdf")</f>
        <v>Melting_Curves/meltCurve_P17017_ZNF14.pdf</v>
      </c>
    </row>
    <row r="2271" spans="1:28" x14ac:dyDescent="0.25">
      <c r="A2271" t="s">
        <v>2275</v>
      </c>
      <c r="B2271">
        <v>0.99472303558308395</v>
      </c>
      <c r="C2271">
        <v>0.892799865146224</v>
      </c>
      <c r="D2271">
        <v>0.84192931107773905</v>
      </c>
      <c r="E2271">
        <v>0.63012577194283803</v>
      </c>
      <c r="F2271">
        <v>0.41623462712294201</v>
      </c>
      <c r="G2271">
        <v>0.250510646043477</v>
      </c>
      <c r="H2271">
        <v>0.10386791874414</v>
      </c>
      <c r="I2271">
        <v>5.9355228150738099E-2</v>
      </c>
      <c r="J2271">
        <v>6.3220607370299498E-2</v>
      </c>
      <c r="K2271">
        <v>4.2758766264145501E-2</v>
      </c>
      <c r="L2271">
        <v>593.07699597980195</v>
      </c>
      <c r="M2271">
        <v>12.193637859137899</v>
      </c>
      <c r="N2271">
        <v>48.638232757731402</v>
      </c>
      <c r="O2271">
        <v>47.385537715262899</v>
      </c>
      <c r="P2271">
        <v>-6.4346639758343899E-2</v>
      </c>
      <c r="Q2271">
        <v>0</v>
      </c>
      <c r="R2271">
        <v>0.99695317009306805</v>
      </c>
      <c r="S2271" t="s">
        <v>8839</v>
      </c>
      <c r="T2271" t="s">
        <v>13134</v>
      </c>
      <c r="U2271" t="s">
        <v>13134</v>
      </c>
      <c r="V2271" t="s">
        <v>13134</v>
      </c>
      <c r="W2271" t="s">
        <v>15361</v>
      </c>
      <c r="X2271">
        <v>9</v>
      </c>
      <c r="Y2271" t="s">
        <v>21819</v>
      </c>
      <c r="Z2271" t="s">
        <v>28239</v>
      </c>
      <c r="AA2271">
        <v>0.41758170278110901</v>
      </c>
      <c r="AB2271" t="str">
        <f>HYPERLINK("Melting_Curves/meltCurve_P17028_ZNF24.pdf", "Melting_Curves/meltCurve_P17028_ZNF24.pdf")</f>
        <v>Melting_Curves/meltCurve_P17028_ZNF24.pdf</v>
      </c>
    </row>
    <row r="2272" spans="1:28" x14ac:dyDescent="0.25">
      <c r="A2272" t="s">
        <v>2276</v>
      </c>
      <c r="B2272">
        <v>0.99472303558308395</v>
      </c>
      <c r="C2272">
        <v>0.79493365497289203</v>
      </c>
      <c r="D2272">
        <v>0.66583663356028899</v>
      </c>
      <c r="E2272">
        <v>0.52089223002518803</v>
      </c>
      <c r="F2272">
        <v>0.36850267379934398</v>
      </c>
      <c r="G2272">
        <v>0.153823002688597</v>
      </c>
      <c r="H2272">
        <v>0.14205084433086601</v>
      </c>
      <c r="I2272">
        <v>4.5715324061262802E-2</v>
      </c>
      <c r="J2272">
        <v>0.27153116717548798</v>
      </c>
      <c r="K2272">
        <v>0.15771109184542401</v>
      </c>
      <c r="L2272">
        <v>545.11626863126799</v>
      </c>
      <c r="M2272">
        <v>12.082702017493199</v>
      </c>
      <c r="N2272">
        <v>46.138648538699101</v>
      </c>
      <c r="O2272">
        <v>43.932934286551799</v>
      </c>
      <c r="P2272">
        <v>-6.0689802123133803E-2</v>
      </c>
      <c r="Q2272">
        <v>0.11752967287538101</v>
      </c>
      <c r="R2272">
        <v>0.94927403068563698</v>
      </c>
      <c r="S2272" t="s">
        <v>8840</v>
      </c>
      <c r="T2272" t="s">
        <v>13134</v>
      </c>
      <c r="U2272" t="s">
        <v>13134</v>
      </c>
      <c r="V2272" t="s">
        <v>13134</v>
      </c>
      <c r="W2272" t="s">
        <v>15362</v>
      </c>
      <c r="X2272">
        <v>2</v>
      </c>
      <c r="Y2272" t="s">
        <v>21820</v>
      </c>
      <c r="Z2272" t="s">
        <v>28240</v>
      </c>
      <c r="AA2272">
        <v>0.38774746450403019</v>
      </c>
      <c r="AB2272" t="str">
        <f>HYPERLINK("Melting_Curves/meltCurve_P17036_ZNF3.pdf", "Melting_Curves/meltCurve_P17036_ZNF3.pdf")</f>
        <v>Melting_Curves/meltCurve_P17036_ZNF3.pdf</v>
      </c>
    </row>
    <row r="2273" spans="1:28" x14ac:dyDescent="0.25">
      <c r="A2273" t="s">
        <v>2277</v>
      </c>
      <c r="B2273">
        <v>0.99472303558308395</v>
      </c>
      <c r="C2273">
        <v>0.86611670372716398</v>
      </c>
      <c r="D2273">
        <v>0.789967977869525</v>
      </c>
      <c r="E2273">
        <v>0.494144141513149</v>
      </c>
      <c r="F2273">
        <v>0.38329678709530401</v>
      </c>
      <c r="G2273">
        <v>0.241776699132708</v>
      </c>
      <c r="H2273">
        <v>0.20296396701129099</v>
      </c>
      <c r="I2273">
        <v>0.160264633485564</v>
      </c>
      <c r="J2273">
        <v>0.212583525276795</v>
      </c>
      <c r="K2273">
        <v>0.150057432169347</v>
      </c>
      <c r="L2273">
        <v>629.42036477782005</v>
      </c>
      <c r="M2273">
        <v>13.7413883504674</v>
      </c>
      <c r="N2273">
        <v>47.0885963019062</v>
      </c>
      <c r="O2273">
        <v>44.867329804985303</v>
      </c>
      <c r="P2273">
        <v>-6.4613241883458503E-2</v>
      </c>
      <c r="Q2273">
        <v>0.15623923376763199</v>
      </c>
      <c r="R2273">
        <v>0.99143280236900799</v>
      </c>
      <c r="S2273" t="s">
        <v>8841</v>
      </c>
      <c r="T2273" t="s">
        <v>13134</v>
      </c>
      <c r="U2273" t="s">
        <v>13134</v>
      </c>
      <c r="V2273" t="s">
        <v>13134</v>
      </c>
      <c r="W2273" t="s">
        <v>15363</v>
      </c>
      <c r="X2273">
        <v>2</v>
      </c>
      <c r="Y2273" t="s">
        <v>21821</v>
      </c>
      <c r="Z2273" t="s">
        <v>28241</v>
      </c>
      <c r="AA2273">
        <v>0.42694689364629229</v>
      </c>
      <c r="AB2273" t="str">
        <f>HYPERLINK("Melting_Curves/meltCurve_P17039_ZNF30.pdf", "Melting_Curves/meltCurve_P17039_ZNF30.pdf")</f>
        <v>Melting_Curves/meltCurve_P17039_ZNF30.pdf</v>
      </c>
    </row>
    <row r="2274" spans="1:28" x14ac:dyDescent="0.25">
      <c r="A2274" t="s">
        <v>2278</v>
      </c>
      <c r="B2274">
        <v>0.99472303558308395</v>
      </c>
      <c r="C2274">
        <v>0.92694995595982399</v>
      </c>
      <c r="D2274">
        <v>0.93395947046740102</v>
      </c>
      <c r="E2274">
        <v>0.81399967539324303</v>
      </c>
      <c r="F2274">
        <v>0.65583579774777401</v>
      </c>
      <c r="G2274">
        <v>0.49586446803087197</v>
      </c>
      <c r="H2274">
        <v>0.40527133424103001</v>
      </c>
      <c r="I2274">
        <v>0.31686172160449799</v>
      </c>
      <c r="J2274">
        <v>0.208753067171879</v>
      </c>
      <c r="K2274">
        <v>0.15524830424841299</v>
      </c>
      <c r="L2274">
        <v>460.097775222829</v>
      </c>
      <c r="M2274">
        <v>8.4602669848745897</v>
      </c>
      <c r="N2274">
        <v>54.383367747219999</v>
      </c>
      <c r="O2274">
        <v>51.599986624402497</v>
      </c>
      <c r="P2274">
        <v>-4.1027266826648499E-2</v>
      </c>
      <c r="Q2274">
        <v>0</v>
      </c>
      <c r="R2274">
        <v>0.99514589572505896</v>
      </c>
      <c r="S2274" t="s">
        <v>8842</v>
      </c>
      <c r="T2274" t="s">
        <v>13134</v>
      </c>
      <c r="U2274" t="s">
        <v>13134</v>
      </c>
      <c r="V2274" t="s">
        <v>13134</v>
      </c>
      <c r="W2274" t="s">
        <v>15364</v>
      </c>
      <c r="X2274">
        <v>5</v>
      </c>
      <c r="Y2274" t="s">
        <v>21822</v>
      </c>
      <c r="Z2274" t="s">
        <v>28242</v>
      </c>
      <c r="AA2274">
        <v>0.59238578976288858</v>
      </c>
      <c r="AB2274" t="str">
        <f>HYPERLINK("Melting_Curves/meltCurve_P17050_NAGA.pdf", "Melting_Curves/meltCurve_P17050_NAGA.pdf")</f>
        <v>Melting_Curves/meltCurve_P17050_NAGA.pdf</v>
      </c>
    </row>
    <row r="2275" spans="1:28" x14ac:dyDescent="0.25">
      <c r="A2275" t="s">
        <v>2279</v>
      </c>
      <c r="B2275">
        <v>0.99472303558308395</v>
      </c>
      <c r="C2275">
        <v>0.98325286069992801</v>
      </c>
      <c r="D2275">
        <v>0.83472129603387202</v>
      </c>
      <c r="E2275">
        <v>0.74931774884715996</v>
      </c>
      <c r="F2275">
        <v>0.61215758310540502</v>
      </c>
      <c r="G2275">
        <v>0.50788788746831504</v>
      </c>
      <c r="H2275">
        <v>0.38498909016200999</v>
      </c>
      <c r="I2275">
        <v>0.15695004864884801</v>
      </c>
      <c r="J2275">
        <v>7.4015017386599199E-2</v>
      </c>
      <c r="K2275">
        <v>6.9492927238451505E-2</v>
      </c>
      <c r="L2275">
        <v>519.51269374952801</v>
      </c>
      <c r="M2275">
        <v>9.8712842093991604</v>
      </c>
      <c r="N2275">
        <v>52.628683634786498</v>
      </c>
      <c r="O2275">
        <v>50.605341265848303</v>
      </c>
      <c r="P2275">
        <v>-4.8790943878718802E-2</v>
      </c>
      <c r="Q2275">
        <v>0</v>
      </c>
      <c r="R2275">
        <v>0.97807307333303695</v>
      </c>
      <c r="S2275" t="s">
        <v>8843</v>
      </c>
      <c r="T2275" t="s">
        <v>13134</v>
      </c>
      <c r="U2275" t="s">
        <v>13134</v>
      </c>
      <c r="V2275" t="s">
        <v>13134</v>
      </c>
      <c r="W2275" t="s">
        <v>15365</v>
      </c>
      <c r="X2275">
        <v>19</v>
      </c>
      <c r="Y2275" t="s">
        <v>21823</v>
      </c>
      <c r="Z2275" t="s">
        <v>28243</v>
      </c>
      <c r="AA2275">
        <v>0.54507517971876751</v>
      </c>
      <c r="AB2275" t="str">
        <f>HYPERLINK("Melting_Curves/meltCurve_P17066_HSPA6.pdf", "Melting_Curves/meltCurve_P17066_HSPA6.pdf")</f>
        <v>Melting_Curves/meltCurve_P17066_HSPA6.pdf</v>
      </c>
    </row>
    <row r="2276" spans="1:28" x14ac:dyDescent="0.25">
      <c r="A2276" t="s">
        <v>2280</v>
      </c>
      <c r="B2276">
        <v>0.99472303558308395</v>
      </c>
      <c r="C2276">
        <v>0.78990651096584796</v>
      </c>
      <c r="D2276">
        <v>1.90502138003105</v>
      </c>
      <c r="E2276">
        <v>0.70980174784974703</v>
      </c>
      <c r="F2276">
        <v>0.46081392465346199</v>
      </c>
      <c r="G2276">
        <v>1.04087705367091</v>
      </c>
      <c r="H2276">
        <v>0.58377974324327797</v>
      </c>
      <c r="I2276">
        <v>0.29537322133285199</v>
      </c>
      <c r="J2276">
        <v>0.36409060426036299</v>
      </c>
      <c r="K2276">
        <v>0.34384148965786299</v>
      </c>
      <c r="L2276">
        <v>673.01800891378002</v>
      </c>
      <c r="M2276">
        <v>11.8687479557562</v>
      </c>
      <c r="N2276">
        <v>59.075768780598601</v>
      </c>
      <c r="O2276">
        <v>55.167161269667801</v>
      </c>
      <c r="P2276">
        <v>-4.3606189395120898E-2</v>
      </c>
      <c r="Q2276">
        <v>0.18945968755373099</v>
      </c>
      <c r="R2276">
        <v>0.41846282108823002</v>
      </c>
      <c r="S2276" t="s">
        <v>8844</v>
      </c>
      <c r="T2276" t="s">
        <v>13134</v>
      </c>
      <c r="U2276" t="s">
        <v>13134</v>
      </c>
      <c r="V2276" t="s">
        <v>13134</v>
      </c>
      <c r="W2276" t="s">
        <v>15366</v>
      </c>
      <c r="X2276">
        <v>6</v>
      </c>
      <c r="Y2276" t="s">
        <v>21824</v>
      </c>
      <c r="Z2276" t="s">
        <v>28244</v>
      </c>
      <c r="AA2276">
        <v>0.72672908189532748</v>
      </c>
      <c r="AB2276" t="str">
        <f>HYPERLINK("Melting_Curves/meltCurve_P17096_2_HMGA1.pdf", "Melting_Curves/meltCurve_P17096_2_HMGA1.pdf")</f>
        <v>Melting_Curves/meltCurve_P17096_2_HMGA1.pdf</v>
      </c>
    </row>
    <row r="2277" spans="1:28" x14ac:dyDescent="0.25">
      <c r="A2277" t="s">
        <v>2281</v>
      </c>
      <c r="B2277">
        <v>0.99472303558308395</v>
      </c>
      <c r="C2277">
        <v>0.85147052355840502</v>
      </c>
      <c r="D2277">
        <v>0.89157606101521902</v>
      </c>
      <c r="E2277">
        <v>0.75292030999581805</v>
      </c>
      <c r="F2277">
        <v>0.53043051043975498</v>
      </c>
      <c r="G2277">
        <v>0.26013795709359999</v>
      </c>
      <c r="H2277">
        <v>0.100848243619527</v>
      </c>
      <c r="I2277">
        <v>4.12898155876344E-2</v>
      </c>
      <c r="J2277">
        <v>4.7067664407710701E-2</v>
      </c>
      <c r="K2277">
        <v>4.8812123077688299E-2</v>
      </c>
      <c r="L2277">
        <v>711.60995053217505</v>
      </c>
      <c r="M2277">
        <v>14.2194138729553</v>
      </c>
      <c r="N2277">
        <v>50.0449648830946</v>
      </c>
      <c r="O2277">
        <v>49.086359849732801</v>
      </c>
      <c r="P2277">
        <v>-7.2429412087568604E-2</v>
      </c>
      <c r="Q2277">
        <v>0</v>
      </c>
      <c r="R2277">
        <v>0.98552528257142502</v>
      </c>
      <c r="S2277" t="s">
        <v>8845</v>
      </c>
      <c r="T2277" t="s">
        <v>13134</v>
      </c>
      <c r="U2277" t="s">
        <v>13134</v>
      </c>
      <c r="V2277" t="s">
        <v>13134</v>
      </c>
      <c r="W2277" t="s">
        <v>15367</v>
      </c>
      <c r="X2277">
        <v>2</v>
      </c>
      <c r="Y2277" t="s">
        <v>21825</v>
      </c>
      <c r="Z2277" t="s">
        <v>28245</v>
      </c>
      <c r="AA2277">
        <v>0.45733512698582568</v>
      </c>
      <c r="AB2277" t="str">
        <f>HYPERLINK("Melting_Curves/meltCurve_P17152_TMEM11.pdf", "Melting_Curves/meltCurve_P17152_TMEM11.pdf")</f>
        <v>Melting_Curves/meltCurve_P17152_TMEM11.pdf</v>
      </c>
    </row>
    <row r="2278" spans="1:28" x14ac:dyDescent="0.25">
      <c r="A2278" t="s">
        <v>2282</v>
      </c>
      <c r="B2278">
        <v>0.99472303558308395</v>
      </c>
      <c r="C2278">
        <v>0.98127286828044902</v>
      </c>
      <c r="D2278">
        <v>0.94672945728707703</v>
      </c>
      <c r="E2278">
        <v>0.88148896365399998</v>
      </c>
      <c r="F2278">
        <v>0.77444414846664</v>
      </c>
      <c r="G2278">
        <v>0.55627178777681596</v>
      </c>
      <c r="H2278">
        <v>0.445007098035542</v>
      </c>
      <c r="I2278">
        <v>0.53709944612086002</v>
      </c>
      <c r="J2278">
        <v>0.88391287593636303</v>
      </c>
      <c r="K2278">
        <v>0.74504299551918296</v>
      </c>
      <c r="L2278">
        <v>1412.0004277385599</v>
      </c>
      <c r="M2278">
        <v>29.396268882087501</v>
      </c>
      <c r="O2278">
        <v>47.812682301310304</v>
      </c>
      <c r="P2278">
        <v>-5.5555736500920799E-2</v>
      </c>
      <c r="Q2278">
        <v>0.63855957835233401</v>
      </c>
      <c r="R2278">
        <v>0.62149164691066505</v>
      </c>
      <c r="S2278" t="s">
        <v>8846</v>
      </c>
      <c r="T2278" t="s">
        <v>13134</v>
      </c>
      <c r="U2278" t="s">
        <v>13134</v>
      </c>
      <c r="V2278" t="s">
        <v>13134</v>
      </c>
      <c r="W2278" t="s">
        <v>15368</v>
      </c>
      <c r="X2278">
        <v>25</v>
      </c>
      <c r="Y2278" t="s">
        <v>21826</v>
      </c>
      <c r="Z2278" t="s">
        <v>28246</v>
      </c>
      <c r="AA2278">
        <v>0.77372035153613916</v>
      </c>
      <c r="AB2278" t="str">
        <f>HYPERLINK("Melting_Curves/meltCurve_P17174_GOT1.pdf", "Melting_Curves/meltCurve_P17174_GOT1.pdf")</f>
        <v>Melting_Curves/meltCurve_P17174_GOT1.pdf</v>
      </c>
    </row>
    <row r="2279" spans="1:28" x14ac:dyDescent="0.25">
      <c r="A2279" t="s">
        <v>2283</v>
      </c>
      <c r="B2279">
        <v>0.99472303558308395</v>
      </c>
      <c r="C2279">
        <v>0.98765033678921399</v>
      </c>
      <c r="D2279">
        <v>0.95623017223108298</v>
      </c>
      <c r="E2279">
        <v>0.80659969698143696</v>
      </c>
      <c r="F2279">
        <v>0.28017641609185201</v>
      </c>
      <c r="G2279">
        <v>0.13453503535584699</v>
      </c>
      <c r="H2279">
        <v>9.0894077233146103E-2</v>
      </c>
      <c r="I2279">
        <v>7.0041701776609303E-2</v>
      </c>
      <c r="J2279">
        <v>7.0089929096630504E-2</v>
      </c>
      <c r="K2279">
        <v>5.0913257404715598E-2</v>
      </c>
      <c r="L2279">
        <v>1572.8994753650099</v>
      </c>
      <c r="M2279">
        <v>32.493503370935997</v>
      </c>
      <c r="N2279">
        <v>48.643014191456103</v>
      </c>
      <c r="O2279">
        <v>48.224320459345599</v>
      </c>
      <c r="P2279">
        <v>-0.15614556802461399</v>
      </c>
      <c r="Q2279">
        <v>7.3047692083669305E-2</v>
      </c>
      <c r="R2279">
        <v>0.99838642115177301</v>
      </c>
      <c r="S2279" t="s">
        <v>8847</v>
      </c>
      <c r="T2279" t="s">
        <v>13134</v>
      </c>
      <c r="U2279" t="s">
        <v>13134</v>
      </c>
      <c r="V2279" t="s">
        <v>13134</v>
      </c>
      <c r="W2279" t="s">
        <v>15369</v>
      </c>
      <c r="X2279">
        <v>25</v>
      </c>
      <c r="Y2279" t="s">
        <v>21827</v>
      </c>
      <c r="Z2279" t="s">
        <v>28247</v>
      </c>
      <c r="AA2279">
        <v>0.43020570988976442</v>
      </c>
      <c r="AB2279" t="str">
        <f>HYPERLINK("Melting_Curves/meltCurve_P17252_PRKCA.pdf", "Melting_Curves/meltCurve_P17252_PRKCA.pdf")</f>
        <v>Melting_Curves/meltCurve_P17252_PRKCA.pdf</v>
      </c>
    </row>
    <row r="2280" spans="1:28" x14ac:dyDescent="0.25">
      <c r="A2280" t="s">
        <v>2284</v>
      </c>
      <c r="B2280">
        <v>0.99472303558308395</v>
      </c>
      <c r="C2280">
        <v>1.0843405553803001</v>
      </c>
      <c r="D2280">
        <v>0.77382822474539903</v>
      </c>
      <c r="E2280">
        <v>0.674509078644695</v>
      </c>
      <c r="F2280">
        <v>0.51688649425812305</v>
      </c>
      <c r="G2280">
        <v>0.31944749802478101</v>
      </c>
      <c r="H2280">
        <v>0.236480749695506</v>
      </c>
      <c r="I2280">
        <v>0.20966517241087201</v>
      </c>
      <c r="J2280">
        <v>0.27049579560114201</v>
      </c>
      <c r="K2280">
        <v>0.27834639620068702</v>
      </c>
      <c r="L2280">
        <v>721.53695137730699</v>
      </c>
      <c r="M2280">
        <v>15.1933812671578</v>
      </c>
      <c r="N2280">
        <v>49.464955162626403</v>
      </c>
      <c r="O2280">
        <v>46.690316406847202</v>
      </c>
      <c r="P2280">
        <v>-6.2859690514326605E-2</v>
      </c>
      <c r="Q2280">
        <v>0.227385678412553</v>
      </c>
      <c r="R2280">
        <v>0.96462906990437802</v>
      </c>
      <c r="S2280" t="s">
        <v>8848</v>
      </c>
      <c r="T2280" t="s">
        <v>13134</v>
      </c>
      <c r="U2280" t="s">
        <v>13134</v>
      </c>
      <c r="V2280" t="s">
        <v>13134</v>
      </c>
      <c r="W2280" t="s">
        <v>15370</v>
      </c>
      <c r="X2280">
        <v>4</v>
      </c>
      <c r="Y2280" t="s">
        <v>21828</v>
      </c>
      <c r="Z2280" t="s">
        <v>28248</v>
      </c>
      <c r="AA2280">
        <v>0.51437569949721185</v>
      </c>
      <c r="AB2280" t="str">
        <f>HYPERLINK("Melting_Curves/meltCurve_P17275_JUNB.pdf", "Melting_Curves/meltCurve_P17275_JUNB.pdf")</f>
        <v>Melting_Curves/meltCurve_P17275_JUNB.pdf</v>
      </c>
    </row>
    <row r="2281" spans="1:28" x14ac:dyDescent="0.25">
      <c r="A2281" t="s">
        <v>2285</v>
      </c>
      <c r="B2281">
        <v>0.99472303558308395</v>
      </c>
      <c r="C2281">
        <v>0.93417148240745396</v>
      </c>
      <c r="D2281">
        <v>0.69799495573166503</v>
      </c>
      <c r="E2281">
        <v>0.34255103673917803</v>
      </c>
      <c r="F2281">
        <v>0.17690666773705599</v>
      </c>
      <c r="G2281">
        <v>0.110358866185607</v>
      </c>
      <c r="H2281">
        <v>7.4553654164535396E-2</v>
      </c>
      <c r="I2281">
        <v>3.77304490404725E-2</v>
      </c>
      <c r="J2281">
        <v>8.9455151825609897E-2</v>
      </c>
      <c r="K2281">
        <v>3.4683971534939399E-2</v>
      </c>
      <c r="L2281">
        <v>868.30557065896801</v>
      </c>
      <c r="M2281">
        <v>19.418318075456799</v>
      </c>
      <c r="N2281">
        <v>45.009076347451398</v>
      </c>
      <c r="O2281">
        <v>44.249668193547897</v>
      </c>
      <c r="P2281">
        <v>-0.103193041166652</v>
      </c>
      <c r="Q2281">
        <v>5.9426105450854701E-2</v>
      </c>
      <c r="R2281">
        <v>0.997485929015127</v>
      </c>
      <c r="S2281" t="s">
        <v>8849</v>
      </c>
      <c r="T2281" t="s">
        <v>13134</v>
      </c>
      <c r="U2281" t="s">
        <v>13134</v>
      </c>
      <c r="V2281" t="s">
        <v>13134</v>
      </c>
      <c r="W2281" t="s">
        <v>13728</v>
      </c>
      <c r="X2281">
        <v>18</v>
      </c>
      <c r="Y2281" t="s">
        <v>20223</v>
      </c>
      <c r="Z2281" t="s">
        <v>28249</v>
      </c>
      <c r="AA2281">
        <v>0.31454226406357449</v>
      </c>
      <c r="AB2281" t="str">
        <f>HYPERLINK("Melting_Curves/meltCurve_P17480_UBTF.pdf", "Melting_Curves/meltCurve_P17480_UBTF.pdf")</f>
        <v>Melting_Curves/meltCurve_P17480_UBTF.pdf</v>
      </c>
    </row>
    <row r="2282" spans="1:28" x14ac:dyDescent="0.25">
      <c r="A2282" t="s">
        <v>2286</v>
      </c>
      <c r="B2282">
        <v>0.99472303558308395</v>
      </c>
      <c r="C2282">
        <v>0.846138463291501</v>
      </c>
      <c r="D2282">
        <v>0.67388391215339505</v>
      </c>
      <c r="E2282">
        <v>0.36601655614190098</v>
      </c>
      <c r="F2282">
        <v>0.20374594902097601</v>
      </c>
      <c r="G2282">
        <v>0.126202115006423</v>
      </c>
      <c r="H2282">
        <v>9.52533497149924E-2</v>
      </c>
      <c r="I2282">
        <v>8.5700257697269994E-2</v>
      </c>
      <c r="J2282">
        <v>0.13584669935970001</v>
      </c>
      <c r="K2282">
        <v>0.11852127532573301</v>
      </c>
      <c r="L2282">
        <v>758.70179035727597</v>
      </c>
      <c r="M2282">
        <v>17.149999949935399</v>
      </c>
      <c r="N2282">
        <v>44.813315133624101</v>
      </c>
      <c r="O2282">
        <v>43.650819350624801</v>
      </c>
      <c r="P2282">
        <v>-8.8539918918361493E-2</v>
      </c>
      <c r="Q2282">
        <v>9.8633398437940598E-2</v>
      </c>
      <c r="R2282">
        <v>0.99591309440147402</v>
      </c>
      <c r="S2282" t="s">
        <v>8850</v>
      </c>
      <c r="T2282" t="s">
        <v>13134</v>
      </c>
      <c r="U2282" t="s">
        <v>13134</v>
      </c>
      <c r="V2282" t="s">
        <v>13134</v>
      </c>
      <c r="W2282" t="s">
        <v>15371</v>
      </c>
      <c r="X2282">
        <v>4</v>
      </c>
      <c r="Y2282" t="s">
        <v>21829</v>
      </c>
      <c r="Z2282" t="s">
        <v>28250</v>
      </c>
      <c r="AA2282">
        <v>0.33284142663495941</v>
      </c>
      <c r="AB2282" t="str">
        <f>HYPERLINK("Melting_Curves/meltCurve_P17482_HOXB9.pdf", "Melting_Curves/meltCurve_P17482_HOXB9.pdf")</f>
        <v>Melting_Curves/meltCurve_P17482_HOXB9.pdf</v>
      </c>
    </row>
    <row r="2283" spans="1:28" x14ac:dyDescent="0.25">
      <c r="A2283" t="s">
        <v>2287</v>
      </c>
      <c r="B2283">
        <v>0.99472303558308395</v>
      </c>
      <c r="C2283">
        <v>1.0606430865468699</v>
      </c>
      <c r="D2283">
        <v>0.92833928003817801</v>
      </c>
      <c r="E2283">
        <v>0.83690049813682499</v>
      </c>
      <c r="F2283">
        <v>0.70663944684927504</v>
      </c>
      <c r="G2283">
        <v>0.44019767774902502</v>
      </c>
      <c r="H2283">
        <v>0.33731752036172702</v>
      </c>
      <c r="I2283">
        <v>0.37503080121292098</v>
      </c>
      <c r="J2283">
        <v>0.48521815254256001</v>
      </c>
      <c r="K2283">
        <v>0.45903852253866101</v>
      </c>
      <c r="L2283">
        <v>1124.2508936649201</v>
      </c>
      <c r="M2283">
        <v>22.807918453569901</v>
      </c>
      <c r="N2283">
        <v>53.156488619573999</v>
      </c>
      <c r="O2283">
        <v>48.917893880455097</v>
      </c>
      <c r="P2283">
        <v>-6.9385213692350498E-2</v>
      </c>
      <c r="Q2283">
        <v>0.404748340246673</v>
      </c>
      <c r="R2283">
        <v>0.95270822478124495</v>
      </c>
      <c r="S2283" t="s">
        <v>8851</v>
      </c>
      <c r="T2283" t="s">
        <v>13134</v>
      </c>
      <c r="U2283" t="s">
        <v>13134</v>
      </c>
      <c r="V2283" t="s">
        <v>13134</v>
      </c>
      <c r="W2283" t="s">
        <v>15372</v>
      </c>
      <c r="X2283">
        <v>4</v>
      </c>
      <c r="Y2283" t="s">
        <v>21830</v>
      </c>
      <c r="Z2283" t="s">
        <v>28251</v>
      </c>
      <c r="AA2283">
        <v>0.65479885319216791</v>
      </c>
      <c r="AB2283" t="str">
        <f>HYPERLINK("Melting_Curves/meltCurve_P17535_JUND.pdf", "Melting_Curves/meltCurve_P17535_JUND.pdf")</f>
        <v>Melting_Curves/meltCurve_P17535_JUND.pdf</v>
      </c>
    </row>
    <row r="2284" spans="1:28" x14ac:dyDescent="0.25">
      <c r="A2284" t="s">
        <v>2288</v>
      </c>
      <c r="B2284">
        <v>0.99472303558308395</v>
      </c>
      <c r="C2284">
        <v>1.04898768902927</v>
      </c>
      <c r="D2284">
        <v>0.85840165720889805</v>
      </c>
      <c r="E2284">
        <v>0.64290787590029796</v>
      </c>
      <c r="F2284">
        <v>0.499184501937535</v>
      </c>
      <c r="G2284">
        <v>0.23293462282937399</v>
      </c>
      <c r="H2284">
        <v>0.16382714147274299</v>
      </c>
      <c r="I2284">
        <v>0.11825198441456</v>
      </c>
      <c r="J2284">
        <v>0.11922995568580901</v>
      </c>
      <c r="K2284">
        <v>0.151236825001447</v>
      </c>
      <c r="L2284">
        <v>740.89028444609596</v>
      </c>
      <c r="M2284">
        <v>15.2955052689996</v>
      </c>
      <c r="N2284">
        <v>49.176391912503497</v>
      </c>
      <c r="O2284">
        <v>47.633120083201597</v>
      </c>
      <c r="P2284">
        <v>-7.2052351111784194E-2</v>
      </c>
      <c r="Q2284">
        <v>0.102545196916913</v>
      </c>
      <c r="R2284">
        <v>0.98740716700827402</v>
      </c>
      <c r="S2284" t="s">
        <v>8852</v>
      </c>
      <c r="T2284" t="s">
        <v>13134</v>
      </c>
      <c r="U2284" t="s">
        <v>13134</v>
      </c>
      <c r="V2284" t="s">
        <v>13134</v>
      </c>
      <c r="W2284" t="s">
        <v>15373</v>
      </c>
      <c r="X2284">
        <v>3</v>
      </c>
      <c r="Y2284" t="s">
        <v>21831</v>
      </c>
      <c r="Z2284" t="s">
        <v>28252</v>
      </c>
      <c r="AA2284">
        <v>0.46368169014459898</v>
      </c>
      <c r="AB2284" t="str">
        <f>HYPERLINK("Melting_Curves/meltCurve_P17544_4_ATF7.pdf", "Melting_Curves/meltCurve_P17544_4_ATF7.pdf")</f>
        <v>Melting_Curves/meltCurve_P17544_4_ATF7.pdf</v>
      </c>
    </row>
    <row r="2285" spans="1:28" x14ac:dyDescent="0.25">
      <c r="A2285" t="s">
        <v>2289</v>
      </c>
      <c r="B2285">
        <v>0.99472303558308395</v>
      </c>
      <c r="C2285">
        <v>0.74538691124661705</v>
      </c>
      <c r="D2285">
        <v>0.690121102710609</v>
      </c>
      <c r="E2285">
        <v>0.55935368768371097</v>
      </c>
      <c r="F2285">
        <v>0.49672890523979402</v>
      </c>
      <c r="G2285">
        <v>0.163035265673873</v>
      </c>
      <c r="H2285">
        <v>6.8415027982990595E-2</v>
      </c>
      <c r="I2285">
        <v>5.9012794777046601E-2</v>
      </c>
      <c r="J2285">
        <v>4.5053966499958999E-2</v>
      </c>
      <c r="K2285">
        <v>4.7369235498033103E-2</v>
      </c>
      <c r="L2285">
        <v>467.86432209683397</v>
      </c>
      <c r="M2285">
        <v>9.9324149630991094</v>
      </c>
      <c r="N2285">
        <v>47.104790106930899</v>
      </c>
      <c r="O2285">
        <v>45.3146600798474</v>
      </c>
      <c r="P2285">
        <v>-5.48242729780377E-2</v>
      </c>
      <c r="Q2285">
        <v>0</v>
      </c>
      <c r="R2285">
        <v>0.95531143684509301</v>
      </c>
      <c r="S2285" t="s">
        <v>8853</v>
      </c>
      <c r="T2285" t="s">
        <v>13134</v>
      </c>
      <c r="U2285" t="s">
        <v>13134</v>
      </c>
      <c r="V2285" t="s">
        <v>13134</v>
      </c>
      <c r="W2285" t="s">
        <v>15374</v>
      </c>
      <c r="X2285">
        <v>8</v>
      </c>
      <c r="Y2285" t="s">
        <v>21832</v>
      </c>
      <c r="Z2285" t="s">
        <v>28253</v>
      </c>
      <c r="AA2285">
        <v>0.38006899372734931</v>
      </c>
      <c r="AB2285" t="str">
        <f>HYPERLINK("Melting_Curves/meltCurve_P17568_NDUFB7.pdf", "Melting_Curves/meltCurve_P17568_NDUFB7.pdf")</f>
        <v>Melting_Curves/meltCurve_P17568_NDUFB7.pdf</v>
      </c>
    </row>
    <row r="2286" spans="1:28" x14ac:dyDescent="0.25">
      <c r="A2286" t="s">
        <v>2290</v>
      </c>
      <c r="B2286">
        <v>0.99472303558308395</v>
      </c>
      <c r="C2286">
        <v>1.0461024645770001</v>
      </c>
      <c r="D2286">
        <v>0.97692999377423595</v>
      </c>
      <c r="E2286">
        <v>0.85230448434652395</v>
      </c>
      <c r="F2286">
        <v>0.57354345134046902</v>
      </c>
      <c r="G2286">
        <v>0.27753986369008399</v>
      </c>
      <c r="H2286">
        <v>8.7014672866611506E-2</v>
      </c>
      <c r="I2286">
        <v>6.3793351260031994E-2</v>
      </c>
      <c r="J2286">
        <v>6.6555118707086594E-2</v>
      </c>
      <c r="K2286">
        <v>5.3150460506479598E-2</v>
      </c>
      <c r="L2286">
        <v>1051.5271885483901</v>
      </c>
      <c r="M2286">
        <v>20.741628770407601</v>
      </c>
      <c r="N2286">
        <v>50.900714822708899</v>
      </c>
      <c r="O2286">
        <v>50.232278939493803</v>
      </c>
      <c r="P2286">
        <v>-9.91094339198383E-2</v>
      </c>
      <c r="Q2286">
        <v>3.9930285546108099E-2</v>
      </c>
      <c r="R2286">
        <v>0.99754713082250102</v>
      </c>
      <c r="S2286" t="s">
        <v>8854</v>
      </c>
      <c r="T2286" t="s">
        <v>13134</v>
      </c>
      <c r="U2286" t="s">
        <v>13134</v>
      </c>
      <c r="V2286" t="s">
        <v>13134</v>
      </c>
      <c r="W2286" t="s">
        <v>15375</v>
      </c>
      <c r="X2286">
        <v>11</v>
      </c>
      <c r="Y2286" t="s">
        <v>21833</v>
      </c>
      <c r="Z2286" t="s">
        <v>28254</v>
      </c>
      <c r="AA2286">
        <v>0.49008902669768978</v>
      </c>
      <c r="AB2286" t="str">
        <f>HYPERLINK("Melting_Curves/meltCurve_P17612_PRKACA.pdf", "Melting_Curves/meltCurve_P17612_PRKACA.pdf")</f>
        <v>Melting_Curves/meltCurve_P17612_PRKACA.pdf</v>
      </c>
    </row>
    <row r="2287" spans="1:28" x14ac:dyDescent="0.25">
      <c r="A2287" t="s">
        <v>2291</v>
      </c>
      <c r="B2287">
        <v>0.99472303558308395</v>
      </c>
      <c r="C2287">
        <v>1.01775917614224</v>
      </c>
      <c r="D2287">
        <v>0.984853398435933</v>
      </c>
      <c r="E2287">
        <v>0.91622735162006097</v>
      </c>
      <c r="F2287">
        <v>0.70437616216592003</v>
      </c>
      <c r="G2287">
        <v>0.41982203389027001</v>
      </c>
      <c r="H2287">
        <v>8.9848989729998496E-2</v>
      </c>
      <c r="I2287">
        <v>5.3735327862867298E-2</v>
      </c>
      <c r="J2287">
        <v>5.3033273515345702E-2</v>
      </c>
      <c r="K2287">
        <v>4.57520503503933E-2</v>
      </c>
      <c r="L2287">
        <v>1113.0396161870001</v>
      </c>
      <c r="M2287">
        <v>21.256061097077598</v>
      </c>
      <c r="N2287">
        <v>52.4485619404822</v>
      </c>
      <c r="O2287">
        <v>51.906544171947203</v>
      </c>
      <c r="P2287">
        <v>-0.100642581526903</v>
      </c>
      <c r="Q2287">
        <v>1.6962677411629799E-2</v>
      </c>
      <c r="R2287">
        <v>0.99574330493669805</v>
      </c>
      <c r="S2287" t="s">
        <v>8855</v>
      </c>
      <c r="T2287" t="s">
        <v>13134</v>
      </c>
      <c r="U2287" t="s">
        <v>13134</v>
      </c>
      <c r="V2287" t="s">
        <v>13134</v>
      </c>
      <c r="W2287" t="s">
        <v>15376</v>
      </c>
      <c r="X2287">
        <v>24</v>
      </c>
      <c r="Y2287" t="s">
        <v>21834</v>
      </c>
      <c r="Z2287" t="s">
        <v>28255</v>
      </c>
      <c r="AA2287">
        <v>0.5318450152117854</v>
      </c>
      <c r="AB2287" t="str">
        <f>HYPERLINK("Melting_Curves/meltCurve_P17655_CAPN2.pdf", "Melting_Curves/meltCurve_P17655_CAPN2.pdf")</f>
        <v>Melting_Curves/meltCurve_P17655_CAPN2.pdf</v>
      </c>
    </row>
    <row r="2288" spans="1:28" x14ac:dyDescent="0.25">
      <c r="A2288" t="s">
        <v>2292</v>
      </c>
      <c r="B2288">
        <v>0.99472303558308395</v>
      </c>
      <c r="C2288">
        <v>1.16714434439782</v>
      </c>
      <c r="D2288">
        <v>1.04891218047521</v>
      </c>
      <c r="E2288">
        <v>0.82593115687513496</v>
      </c>
      <c r="F2288">
        <v>0.455603743044113</v>
      </c>
      <c r="G2288">
        <v>0.230322631828664</v>
      </c>
      <c r="H2288">
        <v>0.198387769619842</v>
      </c>
      <c r="I2288">
        <v>0.168416247668873</v>
      </c>
      <c r="J2288">
        <v>0.157752375505707</v>
      </c>
      <c r="K2288">
        <v>0.221576025532978</v>
      </c>
      <c r="L2288">
        <v>1444.2109492966899</v>
      </c>
      <c r="M2288">
        <v>29.5203000164847</v>
      </c>
      <c r="N2288">
        <v>49.689708877316697</v>
      </c>
      <c r="O2288">
        <v>48.699775499067002</v>
      </c>
      <c r="P2288">
        <v>-0.123810856776276</v>
      </c>
      <c r="Q2288">
        <v>0.18300017776387301</v>
      </c>
      <c r="R2288">
        <v>0.97716263347473797</v>
      </c>
      <c r="S2288" t="s">
        <v>8856</v>
      </c>
      <c r="T2288" t="s">
        <v>13134</v>
      </c>
      <c r="U2288" t="s">
        <v>13134</v>
      </c>
      <c r="V2288" t="s">
        <v>13134</v>
      </c>
      <c r="W2288" t="s">
        <v>15377</v>
      </c>
      <c r="X2288">
        <v>5</v>
      </c>
      <c r="Y2288" t="s">
        <v>21835</v>
      </c>
      <c r="Z2288" t="s">
        <v>28256</v>
      </c>
      <c r="AA2288">
        <v>0.51277506928801064</v>
      </c>
      <c r="AB2288" t="str">
        <f>HYPERLINK("Melting_Curves/meltCurve_P17661_DES.pdf", "Melting_Curves/meltCurve_P17661_DES.pdf")</f>
        <v>Melting_Curves/meltCurve_P17661_DES.pdf</v>
      </c>
    </row>
    <row r="2289" spans="1:28" x14ac:dyDescent="0.25">
      <c r="A2289" t="s">
        <v>2293</v>
      </c>
      <c r="B2289">
        <v>0.99472303558308395</v>
      </c>
      <c r="C2289">
        <v>0.92957105252898597</v>
      </c>
      <c r="D2289">
        <v>0.787348598360193</v>
      </c>
      <c r="E2289">
        <v>0.53694709632983795</v>
      </c>
      <c r="F2289">
        <v>0.39156572755875002</v>
      </c>
      <c r="G2289">
        <v>0.210258425837657</v>
      </c>
      <c r="H2289">
        <v>0.130955908162326</v>
      </c>
      <c r="I2289">
        <v>9.8724387815015094E-2</v>
      </c>
      <c r="J2289">
        <v>0.12792012169191999</v>
      </c>
      <c r="K2289">
        <v>9.5740907895888794E-2</v>
      </c>
      <c r="L2289">
        <v>628.63220693375399</v>
      </c>
      <c r="M2289">
        <v>13.3880971596049</v>
      </c>
      <c r="N2289">
        <v>47.549734764805301</v>
      </c>
      <c r="O2289">
        <v>45.9440841303295</v>
      </c>
      <c r="P2289">
        <v>-6.7240577726322096E-2</v>
      </c>
      <c r="Q2289">
        <v>7.7144389708857203E-2</v>
      </c>
      <c r="R2289">
        <v>0.99628867330298698</v>
      </c>
      <c r="S2289" t="s">
        <v>8857</v>
      </c>
      <c r="T2289" t="s">
        <v>13134</v>
      </c>
      <c r="U2289" t="s">
        <v>13134</v>
      </c>
      <c r="V2289" t="s">
        <v>13134</v>
      </c>
      <c r="W2289" t="s">
        <v>15378</v>
      </c>
      <c r="X2289">
        <v>2</v>
      </c>
      <c r="Y2289" t="s">
        <v>21836</v>
      </c>
      <c r="Z2289" t="s">
        <v>28257</v>
      </c>
      <c r="AA2289">
        <v>0.40873766145125351</v>
      </c>
      <c r="AB2289" t="str">
        <f>HYPERLINK("Melting_Curves/meltCurve_P17676_CEBPB.pdf", "Melting_Curves/meltCurve_P17676_CEBPB.pdf")</f>
        <v>Melting_Curves/meltCurve_P17676_CEBPB.pdf</v>
      </c>
    </row>
    <row r="2290" spans="1:28" x14ac:dyDescent="0.25">
      <c r="A2290" t="s">
        <v>2294</v>
      </c>
      <c r="B2290">
        <v>0.99472303558308395</v>
      </c>
      <c r="C2290">
        <v>0.97265786261616904</v>
      </c>
      <c r="D2290">
        <v>0.94233134493167903</v>
      </c>
      <c r="E2290">
        <v>0.81389243004096201</v>
      </c>
      <c r="F2290">
        <v>0.34192795094075601</v>
      </c>
      <c r="G2290">
        <v>0.137348579184665</v>
      </c>
      <c r="H2290">
        <v>7.6168284010114301E-2</v>
      </c>
      <c r="I2290">
        <v>6.8310906849352496E-2</v>
      </c>
      <c r="J2290">
        <v>7.2553281313453094E-2</v>
      </c>
      <c r="K2290">
        <v>4.8391778347933803E-2</v>
      </c>
      <c r="L2290">
        <v>1363.8768855995199</v>
      </c>
      <c r="M2290">
        <v>27.970817181902898</v>
      </c>
      <c r="N2290">
        <v>48.996141064592202</v>
      </c>
      <c r="O2290">
        <v>48.5134942011669</v>
      </c>
      <c r="P2290">
        <v>-0.13507738366525901</v>
      </c>
      <c r="Q2290">
        <v>6.2877261236342297E-2</v>
      </c>
      <c r="R2290">
        <v>0.99832928233387597</v>
      </c>
      <c r="S2290" t="s">
        <v>8858</v>
      </c>
      <c r="T2290" t="s">
        <v>13134</v>
      </c>
      <c r="U2290" t="s">
        <v>13134</v>
      </c>
      <c r="V2290" t="s">
        <v>13134</v>
      </c>
      <c r="W2290" t="s">
        <v>15379</v>
      </c>
      <c r="X2290">
        <v>16</v>
      </c>
      <c r="Y2290" t="s">
        <v>21837</v>
      </c>
      <c r="Z2290" t="s">
        <v>28258</v>
      </c>
      <c r="AA2290">
        <v>0.43672193543139221</v>
      </c>
      <c r="AB2290" t="str">
        <f>HYPERLINK("Melting_Curves/meltCurve_P17706_2_PTPN2.pdf", "Melting_Curves/meltCurve_P17706_2_PTPN2.pdf")</f>
        <v>Melting_Curves/meltCurve_P17706_2_PTPN2.pdf</v>
      </c>
    </row>
    <row r="2291" spans="1:28" x14ac:dyDescent="0.25">
      <c r="A2291" t="s">
        <v>2295</v>
      </c>
      <c r="B2291">
        <v>0.99472303558308395</v>
      </c>
      <c r="C2291">
        <v>0.91872953588214701</v>
      </c>
      <c r="D2291">
        <v>0.96739200227994604</v>
      </c>
      <c r="E2291">
        <v>0.78363799062945405</v>
      </c>
      <c r="F2291">
        <v>0.60391960239500098</v>
      </c>
      <c r="G2291">
        <v>0.325452931818414</v>
      </c>
      <c r="H2291">
        <v>0.17109854810594899</v>
      </c>
      <c r="I2291">
        <v>0.129833706622388</v>
      </c>
      <c r="J2291">
        <v>0.12738301398458199</v>
      </c>
      <c r="K2291">
        <v>0.109956204403167</v>
      </c>
      <c r="L2291">
        <v>810.45835886600696</v>
      </c>
      <c r="M2291">
        <v>16.031314470944899</v>
      </c>
      <c r="N2291">
        <v>51.1212839773657</v>
      </c>
      <c r="O2291">
        <v>49.787689143265197</v>
      </c>
      <c r="P2291">
        <v>-7.3952125109317604E-2</v>
      </c>
      <c r="Q2291">
        <v>8.1393138206180798E-2</v>
      </c>
      <c r="R2291">
        <v>0.99332527777675805</v>
      </c>
      <c r="S2291" t="s">
        <v>8859</v>
      </c>
      <c r="T2291" t="s">
        <v>13134</v>
      </c>
      <c r="U2291" t="s">
        <v>13134</v>
      </c>
      <c r="V2291" t="s">
        <v>13134</v>
      </c>
      <c r="W2291" t="s">
        <v>15380</v>
      </c>
      <c r="X2291">
        <v>3</v>
      </c>
      <c r="Y2291" t="s">
        <v>21838</v>
      </c>
      <c r="Z2291" t="s">
        <v>28259</v>
      </c>
      <c r="AA2291">
        <v>0.51358089495039783</v>
      </c>
      <c r="AB2291" t="str">
        <f>HYPERLINK("Melting_Curves/meltCurve_P17707_AMD1.pdf", "Melting_Curves/meltCurve_P17707_AMD1.pdf")</f>
        <v>Melting_Curves/meltCurve_P17707_AMD1.pdf</v>
      </c>
    </row>
    <row r="2292" spans="1:28" x14ac:dyDescent="0.25">
      <c r="A2292" t="s">
        <v>2296</v>
      </c>
      <c r="B2292">
        <v>0.99472303558308395</v>
      </c>
      <c r="C2292">
        <v>0.906767144182137</v>
      </c>
      <c r="D2292">
        <v>0.87845488807961103</v>
      </c>
      <c r="E2292">
        <v>0.79236901986667696</v>
      </c>
      <c r="F2292">
        <v>0.63262442578818301</v>
      </c>
      <c r="G2292">
        <v>0.507169055547951</v>
      </c>
      <c r="H2292">
        <v>0.39046469453250299</v>
      </c>
      <c r="I2292">
        <v>0.36886427263368798</v>
      </c>
      <c r="J2292">
        <v>0.31800810636834398</v>
      </c>
      <c r="K2292">
        <v>0.110886258404988</v>
      </c>
      <c r="L2292">
        <v>395.76502761454202</v>
      </c>
      <c r="M2292">
        <v>7.2662065317553699</v>
      </c>
      <c r="N2292">
        <v>54.466509029662497</v>
      </c>
      <c r="O2292">
        <v>50.795492742292602</v>
      </c>
      <c r="P2292">
        <v>-3.5819862703090802E-2</v>
      </c>
      <c r="Q2292">
        <v>0</v>
      </c>
      <c r="R2292">
        <v>0.97619485325737498</v>
      </c>
      <c r="S2292" t="s">
        <v>8860</v>
      </c>
      <c r="T2292" t="s">
        <v>13134</v>
      </c>
      <c r="U2292" t="s">
        <v>13134</v>
      </c>
      <c r="V2292" t="s">
        <v>13134</v>
      </c>
      <c r="W2292" t="s">
        <v>15381</v>
      </c>
      <c r="X2292">
        <v>32</v>
      </c>
      <c r="Y2292" t="s">
        <v>21839</v>
      </c>
      <c r="Z2292" t="s">
        <v>28260</v>
      </c>
      <c r="AA2292">
        <v>0.59054885845884053</v>
      </c>
      <c r="AB2292" t="str">
        <f>HYPERLINK("Melting_Curves/meltCurve_P17812_CTPS1.pdf", "Melting_Curves/meltCurve_P17812_CTPS1.pdf")</f>
        <v>Melting_Curves/meltCurve_P17812_CTPS1.pdf</v>
      </c>
    </row>
    <row r="2293" spans="1:28" x14ac:dyDescent="0.25">
      <c r="A2293" t="s">
        <v>2297</v>
      </c>
      <c r="B2293">
        <v>0.99472303558308395</v>
      </c>
      <c r="C2293">
        <v>0.85653067637839697</v>
      </c>
      <c r="D2293">
        <v>0.87616797321310402</v>
      </c>
      <c r="E2293">
        <v>0.68173354266606001</v>
      </c>
      <c r="F2293">
        <v>0.26988029963909199</v>
      </c>
      <c r="G2293">
        <v>8.0442206516856796E-2</v>
      </c>
      <c r="H2293">
        <v>7.5863073688447705E-2</v>
      </c>
      <c r="I2293">
        <v>4.3853635969624903E-2</v>
      </c>
      <c r="J2293">
        <v>8.4148175173014705E-2</v>
      </c>
      <c r="K2293">
        <v>7.91231201854284E-2</v>
      </c>
      <c r="L2293">
        <v>1035.9332628730899</v>
      </c>
      <c r="M2293">
        <v>21.758325706866099</v>
      </c>
      <c r="N2293">
        <v>47.852441584167202</v>
      </c>
      <c r="O2293">
        <v>47.214196995588701</v>
      </c>
      <c r="P2293">
        <v>-0.109221406093057</v>
      </c>
      <c r="Q2293">
        <v>5.20078090488027E-2</v>
      </c>
      <c r="R2293">
        <v>0.98289515534361305</v>
      </c>
      <c r="S2293" t="s">
        <v>8861</v>
      </c>
      <c r="T2293" t="s">
        <v>13134</v>
      </c>
      <c r="U2293" t="s">
        <v>13134</v>
      </c>
      <c r="V2293" t="s">
        <v>13134</v>
      </c>
      <c r="W2293" t="s">
        <v>15382</v>
      </c>
      <c r="X2293">
        <v>48</v>
      </c>
      <c r="Y2293" t="s">
        <v>20854</v>
      </c>
      <c r="Z2293" t="s">
        <v>28261</v>
      </c>
      <c r="AA2293">
        <v>0.39787485663200711</v>
      </c>
      <c r="AB2293" t="str">
        <f>HYPERLINK("Melting_Curves/meltCurve_P17844_DDX5.pdf", "Melting_Curves/meltCurve_P17844_DDX5.pdf")</f>
        <v>Melting_Curves/meltCurve_P17844_DDX5.pdf</v>
      </c>
    </row>
    <row r="2294" spans="1:28" x14ac:dyDescent="0.25">
      <c r="A2294" t="s">
        <v>2298</v>
      </c>
      <c r="B2294">
        <v>0.99472303558308395</v>
      </c>
      <c r="C2294">
        <v>0.89936040290630703</v>
      </c>
      <c r="D2294">
        <v>0.89567755305265695</v>
      </c>
      <c r="E2294">
        <v>0.79604327964655197</v>
      </c>
      <c r="F2294">
        <v>0.77374440400311495</v>
      </c>
      <c r="G2294">
        <v>0.57000041871627705</v>
      </c>
      <c r="H2294">
        <v>0.40889232938202003</v>
      </c>
      <c r="I2294">
        <v>0.46118477953918102</v>
      </c>
      <c r="J2294">
        <v>0.43670624077056402</v>
      </c>
      <c r="K2294">
        <v>0.36723494130117501</v>
      </c>
      <c r="L2294">
        <v>468.654840613506</v>
      </c>
      <c r="M2294">
        <v>9.0845024187428507</v>
      </c>
      <c r="N2294">
        <v>57.305735159341303</v>
      </c>
      <c r="O2294">
        <v>49.272869875706697</v>
      </c>
      <c r="P2294">
        <v>-3.2379690271212902E-2</v>
      </c>
      <c r="Q2294">
        <v>0.298003295599226</v>
      </c>
      <c r="R2294">
        <v>0.96006074381769102</v>
      </c>
      <c r="S2294" t="s">
        <v>8862</v>
      </c>
      <c r="T2294" t="s">
        <v>13134</v>
      </c>
      <c r="U2294" t="s">
        <v>13134</v>
      </c>
      <c r="V2294" t="s">
        <v>13134</v>
      </c>
      <c r="W2294" t="s">
        <v>15383</v>
      </c>
      <c r="X2294">
        <v>26</v>
      </c>
      <c r="Y2294" t="s">
        <v>21840</v>
      </c>
      <c r="Z2294" t="s">
        <v>28262</v>
      </c>
      <c r="AA2294">
        <v>0.66025317637856029</v>
      </c>
      <c r="AB2294" t="str">
        <f>HYPERLINK("Melting_Curves/meltCurve_P17858_PFKL.pdf", "Melting_Curves/meltCurve_P17858_PFKL.pdf")</f>
        <v>Melting_Curves/meltCurve_P17858_PFKL.pdf</v>
      </c>
    </row>
    <row r="2295" spans="1:28" x14ac:dyDescent="0.25">
      <c r="A2295" t="s">
        <v>2299</v>
      </c>
      <c r="B2295">
        <v>0.99472303558308395</v>
      </c>
      <c r="C2295">
        <v>0.91944177705808505</v>
      </c>
      <c r="D2295">
        <v>0.74740592263544803</v>
      </c>
      <c r="E2295">
        <v>0.63903031155481405</v>
      </c>
      <c r="F2295">
        <v>0.95109045708151796</v>
      </c>
      <c r="G2295">
        <v>0.39380098324094598</v>
      </c>
      <c r="H2295">
        <v>0.39994159135525698</v>
      </c>
      <c r="I2295">
        <v>0.392287431571056</v>
      </c>
      <c r="J2295">
        <v>0.18364058009067699</v>
      </c>
      <c r="K2295">
        <v>0.11654593062048101</v>
      </c>
      <c r="L2295">
        <v>400.51876827119401</v>
      </c>
      <c r="M2295">
        <v>7.3920821998838004</v>
      </c>
      <c r="N2295">
        <v>54.182127274158802</v>
      </c>
      <c r="O2295">
        <v>50.640592296410397</v>
      </c>
      <c r="P2295">
        <v>-3.6548229130389603E-2</v>
      </c>
      <c r="Q2295">
        <v>0</v>
      </c>
      <c r="R2295">
        <v>0.827820261820018</v>
      </c>
      <c r="S2295" t="s">
        <v>8863</v>
      </c>
      <c r="T2295" t="s">
        <v>13134</v>
      </c>
      <c r="U2295" t="s">
        <v>13134</v>
      </c>
      <c r="V2295" t="s">
        <v>13134</v>
      </c>
      <c r="W2295" t="s">
        <v>15384</v>
      </c>
      <c r="X2295">
        <v>37</v>
      </c>
      <c r="Y2295" t="s">
        <v>21841</v>
      </c>
      <c r="Z2295" t="s">
        <v>28263</v>
      </c>
      <c r="AA2295">
        <v>0.58404728763805847</v>
      </c>
      <c r="AB2295" t="str">
        <f>HYPERLINK("Melting_Curves/meltCurve_P17987_TCP1.pdf", "Melting_Curves/meltCurve_P17987_TCP1.pdf")</f>
        <v>Melting_Curves/meltCurve_P17987_TCP1.pdf</v>
      </c>
    </row>
    <row r="2296" spans="1:28" x14ac:dyDescent="0.25">
      <c r="A2296" t="s">
        <v>2300</v>
      </c>
      <c r="B2296">
        <v>0.99472303558308395</v>
      </c>
      <c r="C2296">
        <v>1.0216799308023401</v>
      </c>
      <c r="D2296">
        <v>0.89126957262731898</v>
      </c>
      <c r="E2296">
        <v>0.72971238472493205</v>
      </c>
      <c r="F2296">
        <v>0.23228468083438</v>
      </c>
      <c r="G2296">
        <v>0.105369471400888</v>
      </c>
      <c r="H2296">
        <v>6.6060100455172494E-2</v>
      </c>
      <c r="I2296">
        <v>4.3482994588994399E-2</v>
      </c>
      <c r="J2296">
        <v>5.8524544056364203E-2</v>
      </c>
      <c r="K2296">
        <v>5.25936707014358E-2</v>
      </c>
      <c r="L2296">
        <v>1347.9543978752299</v>
      </c>
      <c r="M2296">
        <v>28.147208825503199</v>
      </c>
      <c r="N2296">
        <v>48.0768860386776</v>
      </c>
      <c r="O2296">
        <v>47.649683796837699</v>
      </c>
      <c r="P2296">
        <v>-0.14000527898606099</v>
      </c>
      <c r="Q2296">
        <v>5.1962695835586201E-2</v>
      </c>
      <c r="R2296">
        <v>0.995565916002083</v>
      </c>
      <c r="S2296" t="s">
        <v>8864</v>
      </c>
      <c r="T2296" t="s">
        <v>13134</v>
      </c>
      <c r="U2296" t="s">
        <v>13134</v>
      </c>
      <c r="V2296" t="s">
        <v>13134</v>
      </c>
      <c r="W2296" t="s">
        <v>15385</v>
      </c>
      <c r="X2296">
        <v>18</v>
      </c>
      <c r="Y2296" t="s">
        <v>21842</v>
      </c>
      <c r="Z2296" t="s">
        <v>28264</v>
      </c>
      <c r="AA2296">
        <v>0.40245073508205859</v>
      </c>
      <c r="AB2296" t="str">
        <f>HYPERLINK("Melting_Curves/meltCurve_P18031_PTPN1.pdf", "Melting_Curves/meltCurve_P18031_PTPN1.pdf")</f>
        <v>Melting_Curves/meltCurve_P18031_PTPN1.pdf</v>
      </c>
    </row>
    <row r="2297" spans="1:28" x14ac:dyDescent="0.25">
      <c r="A2297" t="s">
        <v>2301</v>
      </c>
      <c r="B2297">
        <v>0.99472303558308395</v>
      </c>
      <c r="C2297">
        <v>0.95045597502559898</v>
      </c>
      <c r="D2297">
        <v>0.76690594393997902</v>
      </c>
      <c r="E2297">
        <v>0.60366613856656004</v>
      </c>
      <c r="F2297">
        <v>0.422580393829324</v>
      </c>
      <c r="G2297">
        <v>0.17459405236644501</v>
      </c>
      <c r="H2297">
        <v>0.118051159346573</v>
      </c>
      <c r="I2297">
        <v>8.4443632698436494E-2</v>
      </c>
      <c r="J2297">
        <v>0.10681355373203499</v>
      </c>
      <c r="K2297">
        <v>7.7530907257876897E-2</v>
      </c>
      <c r="L2297">
        <v>621.88846316291404</v>
      </c>
      <c r="M2297">
        <v>13.0452077768121</v>
      </c>
      <c r="N2297">
        <v>48.019830277687198</v>
      </c>
      <c r="O2297">
        <v>46.593261163836097</v>
      </c>
      <c r="P2297">
        <v>-6.6849411250492305E-2</v>
      </c>
      <c r="Q2297">
        <v>4.5108162865194298E-2</v>
      </c>
      <c r="R2297">
        <v>0.99245583058421205</v>
      </c>
      <c r="S2297" t="s">
        <v>8865</v>
      </c>
      <c r="T2297" t="s">
        <v>13134</v>
      </c>
      <c r="U2297" t="s">
        <v>13134</v>
      </c>
      <c r="V2297" t="s">
        <v>13134</v>
      </c>
      <c r="W2297" t="s">
        <v>15386</v>
      </c>
      <c r="X2297">
        <v>12</v>
      </c>
      <c r="Y2297" t="s">
        <v>21843</v>
      </c>
      <c r="Z2297" t="s">
        <v>28265</v>
      </c>
      <c r="AA2297">
        <v>0.41148269615934091</v>
      </c>
      <c r="AB2297" t="str">
        <f>HYPERLINK("Melting_Curves/meltCurve_P18074_ERCC2.pdf", "Melting_Curves/meltCurve_P18074_ERCC2.pdf")</f>
        <v>Melting_Curves/meltCurve_P18074_ERCC2.pdf</v>
      </c>
    </row>
    <row r="2298" spans="1:28" x14ac:dyDescent="0.25">
      <c r="A2298" t="s">
        <v>2302</v>
      </c>
      <c r="B2298">
        <v>0.99472303558308395</v>
      </c>
      <c r="C2298">
        <v>0.95310091035619604</v>
      </c>
      <c r="D2298">
        <v>0.96621807885115896</v>
      </c>
      <c r="E2298">
        <v>0.78263451896015201</v>
      </c>
      <c r="F2298">
        <v>0.59440593999320401</v>
      </c>
      <c r="G2298">
        <v>0.33238653526906597</v>
      </c>
      <c r="H2298">
        <v>0.21097950478881999</v>
      </c>
      <c r="I2298">
        <v>0.13993736682475999</v>
      </c>
      <c r="J2298">
        <v>0.114311669636741</v>
      </c>
      <c r="K2298">
        <v>0.109902748092904</v>
      </c>
      <c r="L2298">
        <v>772.56350105761499</v>
      </c>
      <c r="M2298">
        <v>15.258478279350401</v>
      </c>
      <c r="N2298">
        <v>51.218406511153397</v>
      </c>
      <c r="O2298">
        <v>49.785984997969102</v>
      </c>
      <c r="P2298">
        <v>-7.0483975665463397E-2</v>
      </c>
      <c r="Q2298">
        <v>8.0174947480490102E-2</v>
      </c>
      <c r="R2298">
        <v>0.99767935343207903</v>
      </c>
      <c r="S2298" t="s">
        <v>8866</v>
      </c>
      <c r="T2298" t="s">
        <v>13134</v>
      </c>
      <c r="U2298" t="s">
        <v>13134</v>
      </c>
      <c r="V2298" t="s">
        <v>13134</v>
      </c>
      <c r="W2298" t="s">
        <v>15387</v>
      </c>
      <c r="X2298">
        <v>8</v>
      </c>
      <c r="Y2298" t="s">
        <v>21844</v>
      </c>
      <c r="Z2298" t="s">
        <v>28266</v>
      </c>
      <c r="AA2298">
        <v>0.51649985255069653</v>
      </c>
      <c r="AB2298" t="str">
        <f>HYPERLINK("Melting_Curves/meltCurve_P18084_ITGB5.pdf", "Melting_Curves/meltCurve_P18084_ITGB5.pdf")</f>
        <v>Melting_Curves/meltCurve_P18084_ITGB5.pdf</v>
      </c>
    </row>
    <row r="2299" spans="1:28" x14ac:dyDescent="0.25">
      <c r="A2299" t="s">
        <v>2303</v>
      </c>
      <c r="B2299">
        <v>0.99472303558308395</v>
      </c>
      <c r="C2299">
        <v>0.92973408976481198</v>
      </c>
      <c r="D2299">
        <v>1.0589099912482001</v>
      </c>
      <c r="E2299">
        <v>0.965209526133463</v>
      </c>
      <c r="F2299">
        <v>0.74587736926225101</v>
      </c>
      <c r="G2299">
        <v>0.47894586148705398</v>
      </c>
      <c r="H2299">
        <v>0.140839928999069</v>
      </c>
      <c r="I2299">
        <v>7.5224790478426201E-2</v>
      </c>
      <c r="J2299">
        <v>6.3062007006749396E-2</v>
      </c>
      <c r="K2299">
        <v>6.8876999758065993E-2</v>
      </c>
      <c r="L2299">
        <v>1192.04083998438</v>
      </c>
      <c r="M2299">
        <v>22.520361176094202</v>
      </c>
      <c r="N2299">
        <v>53.1261054247991</v>
      </c>
      <c r="O2299">
        <v>52.519629435620701</v>
      </c>
      <c r="P2299">
        <v>-0.10296166456480001</v>
      </c>
      <c r="Q2299">
        <v>3.9553880968767503E-2</v>
      </c>
      <c r="R2299">
        <v>0.99126429055709697</v>
      </c>
      <c r="S2299" t="s">
        <v>8867</v>
      </c>
      <c r="T2299" t="s">
        <v>13134</v>
      </c>
      <c r="U2299" t="s">
        <v>13134</v>
      </c>
      <c r="V2299" t="s">
        <v>13134</v>
      </c>
      <c r="W2299" t="s">
        <v>15388</v>
      </c>
      <c r="X2299">
        <v>7</v>
      </c>
      <c r="Y2299" t="s">
        <v>21845</v>
      </c>
      <c r="Z2299" t="s">
        <v>28267</v>
      </c>
      <c r="AA2299">
        <v>0.55971296161992712</v>
      </c>
      <c r="AB2299" t="str">
        <f>HYPERLINK("Melting_Curves/meltCurve_P18085_ARF4.pdf", "Melting_Curves/meltCurve_P18085_ARF4.pdf")</f>
        <v>Melting_Curves/meltCurve_P18085_ARF4.pdf</v>
      </c>
    </row>
    <row r="2300" spans="1:28" x14ac:dyDescent="0.25">
      <c r="A2300" t="s">
        <v>2304</v>
      </c>
      <c r="B2300">
        <v>0.99472303558308395</v>
      </c>
      <c r="C2300">
        <v>0.87260905382819198</v>
      </c>
      <c r="D2300">
        <v>0.854775629394676</v>
      </c>
      <c r="E2300">
        <v>0.80924186235473505</v>
      </c>
      <c r="F2300">
        <v>0.96410578602888597</v>
      </c>
      <c r="G2300">
        <v>0.33949764878961097</v>
      </c>
      <c r="H2300">
        <v>0.226149205945435</v>
      </c>
      <c r="I2300">
        <v>0.18060546110975501</v>
      </c>
      <c r="J2300">
        <v>0.17764614570829501</v>
      </c>
      <c r="K2300">
        <v>0.167709784460573</v>
      </c>
      <c r="L2300">
        <v>3260.3565655560501</v>
      </c>
      <c r="M2300">
        <v>62.041270109910698</v>
      </c>
      <c r="N2300">
        <v>52.949506304571898</v>
      </c>
      <c r="O2300">
        <v>52.496898676937299</v>
      </c>
      <c r="P2300">
        <v>-0.24038635918493401</v>
      </c>
      <c r="Q2300">
        <v>0.18637811509528299</v>
      </c>
      <c r="R2300">
        <v>0.93733836042513496</v>
      </c>
      <c r="S2300" t="s">
        <v>8868</v>
      </c>
      <c r="T2300" t="s">
        <v>13134</v>
      </c>
      <c r="U2300" t="s">
        <v>13134</v>
      </c>
      <c r="V2300" t="s">
        <v>13134</v>
      </c>
      <c r="W2300" t="s">
        <v>15389</v>
      </c>
      <c r="X2300">
        <v>7</v>
      </c>
      <c r="Y2300" t="s">
        <v>21846</v>
      </c>
      <c r="Z2300" t="s">
        <v>28268</v>
      </c>
      <c r="AA2300">
        <v>0.60936635360146951</v>
      </c>
      <c r="AB2300" t="str">
        <f>HYPERLINK("Melting_Curves/meltCurve_P18124_RPL7.pdf", "Melting_Curves/meltCurve_P18124_RPL7.pdf")</f>
        <v>Melting_Curves/meltCurve_P18124_RPL7.pdf</v>
      </c>
    </row>
    <row r="2301" spans="1:28" x14ac:dyDescent="0.25">
      <c r="A2301" t="s">
        <v>2305</v>
      </c>
      <c r="B2301">
        <v>0.99472303558308395</v>
      </c>
      <c r="C2301">
        <v>1.0252648630879599</v>
      </c>
      <c r="D2301">
        <v>0.92006711331381097</v>
      </c>
      <c r="E2301">
        <v>0.71223588518111203</v>
      </c>
      <c r="F2301">
        <v>0.467775022840207</v>
      </c>
      <c r="G2301">
        <v>0.320722803795495</v>
      </c>
      <c r="H2301">
        <v>0.21330638408820701</v>
      </c>
      <c r="I2301">
        <v>0.19491531016376201</v>
      </c>
      <c r="J2301">
        <v>0.28730742319283598</v>
      </c>
      <c r="K2301">
        <v>0.18532118213752299</v>
      </c>
      <c r="L2301">
        <v>905.12999011503598</v>
      </c>
      <c r="M2301">
        <v>18.802493205560101</v>
      </c>
      <c r="N2301">
        <v>49.5662403859261</v>
      </c>
      <c r="O2301">
        <v>47.604221059847298</v>
      </c>
      <c r="P2301">
        <v>-7.8104139070310302E-2</v>
      </c>
      <c r="Q2301">
        <v>0.209055462217791</v>
      </c>
      <c r="R2301">
        <v>0.99092625670062595</v>
      </c>
      <c r="S2301" t="s">
        <v>8869</v>
      </c>
      <c r="T2301" t="s">
        <v>13134</v>
      </c>
      <c r="U2301" t="s">
        <v>13134</v>
      </c>
      <c r="V2301" t="s">
        <v>13134</v>
      </c>
      <c r="W2301" t="s">
        <v>15390</v>
      </c>
      <c r="X2301">
        <v>7</v>
      </c>
      <c r="Y2301" t="s">
        <v>21847</v>
      </c>
      <c r="Z2301" t="s">
        <v>28269</v>
      </c>
      <c r="AA2301">
        <v>0.51439371271789203</v>
      </c>
      <c r="AB2301" t="str">
        <f>HYPERLINK("Melting_Curves/meltCurve_P18146_EGR1.pdf", "Melting_Curves/meltCurve_P18146_EGR1.pdf")</f>
        <v>Melting_Curves/meltCurve_P18146_EGR1.pdf</v>
      </c>
    </row>
    <row r="2302" spans="1:28" x14ac:dyDescent="0.25">
      <c r="A2302" t="s">
        <v>2306</v>
      </c>
      <c r="B2302">
        <v>0.99472303558308395</v>
      </c>
      <c r="C2302">
        <v>0.98409007562633699</v>
      </c>
      <c r="D2302">
        <v>0.92830764144595201</v>
      </c>
      <c r="E2302">
        <v>0.87625804744879099</v>
      </c>
      <c r="F2302">
        <v>0.80940806396682896</v>
      </c>
      <c r="G2302">
        <v>0.61730331700993402</v>
      </c>
      <c r="H2302">
        <v>0.49500276303270602</v>
      </c>
      <c r="I2302">
        <v>0.43655851001184598</v>
      </c>
      <c r="J2302">
        <v>0.31445624392591398</v>
      </c>
      <c r="K2302">
        <v>0.17343389622581101</v>
      </c>
      <c r="L2302">
        <v>496.64679156541598</v>
      </c>
      <c r="M2302">
        <v>8.6217669992177992</v>
      </c>
      <c r="N2302">
        <v>57.6038228728398</v>
      </c>
      <c r="O2302">
        <v>54.756254078863101</v>
      </c>
      <c r="P2302">
        <v>-3.9397922400412101E-2</v>
      </c>
      <c r="Q2302">
        <v>0</v>
      </c>
      <c r="R2302">
        <v>0.98868520803095195</v>
      </c>
      <c r="S2302" t="s">
        <v>8870</v>
      </c>
      <c r="T2302" t="s">
        <v>13134</v>
      </c>
      <c r="U2302" t="s">
        <v>13134</v>
      </c>
      <c r="V2302" t="s">
        <v>13134</v>
      </c>
      <c r="W2302" t="s">
        <v>15391</v>
      </c>
      <c r="X2302">
        <v>81</v>
      </c>
      <c r="Y2302" t="s">
        <v>21848</v>
      </c>
      <c r="Z2302" t="s">
        <v>28270</v>
      </c>
      <c r="AA2302">
        <v>0.67419171758952645</v>
      </c>
      <c r="AB2302" t="str">
        <f>HYPERLINK("Melting_Curves/meltCurve_P18206_2_VCL.pdf", "Melting_Curves/meltCurve_P18206_2_VCL.pdf")</f>
        <v>Melting_Curves/meltCurve_P18206_2_VCL.pdf</v>
      </c>
    </row>
    <row r="2303" spans="1:28" x14ac:dyDescent="0.25">
      <c r="A2303" t="s">
        <v>2307</v>
      </c>
      <c r="B2303">
        <v>0.99472303558308395</v>
      </c>
      <c r="C2303">
        <v>0.83304625396182497</v>
      </c>
      <c r="D2303">
        <v>0.63012110940223198</v>
      </c>
      <c r="E2303">
        <v>0.43887187977358999</v>
      </c>
      <c r="F2303">
        <v>0.28749757237249501</v>
      </c>
      <c r="G2303">
        <v>0.13204958098328101</v>
      </c>
      <c r="H2303">
        <v>8.3408623414817307E-2</v>
      </c>
      <c r="I2303">
        <v>7.3661677577720505E-2</v>
      </c>
      <c r="J2303">
        <v>9.8665097207763994E-2</v>
      </c>
      <c r="K2303">
        <v>0.10453558536023599</v>
      </c>
      <c r="L2303">
        <v>585.76912716975301</v>
      </c>
      <c r="M2303">
        <v>13.0578090532742</v>
      </c>
      <c r="N2303">
        <v>45.337074379505601</v>
      </c>
      <c r="O2303">
        <v>43.8466714044133</v>
      </c>
      <c r="P2303">
        <v>-6.9681408034344694E-2</v>
      </c>
      <c r="Q2303">
        <v>6.4232797307550493E-2</v>
      </c>
      <c r="R2303">
        <v>0.99196201238665105</v>
      </c>
      <c r="S2303" t="s">
        <v>8871</v>
      </c>
      <c r="T2303" t="s">
        <v>13134</v>
      </c>
      <c r="U2303" t="s">
        <v>13134</v>
      </c>
      <c r="V2303" t="s">
        <v>13134</v>
      </c>
      <c r="W2303" t="s">
        <v>15392</v>
      </c>
      <c r="X2303">
        <v>3</v>
      </c>
      <c r="Y2303" t="s">
        <v>21849</v>
      </c>
      <c r="Z2303" t="s">
        <v>28271</v>
      </c>
      <c r="AA2303">
        <v>0.33872545103688478</v>
      </c>
      <c r="AB2303" t="str">
        <f>HYPERLINK("Melting_Curves/meltCurve_P18583_6_SON.pdf", "Melting_Curves/meltCurve_P18583_6_SON.pdf")</f>
        <v>Melting_Curves/meltCurve_P18583_6_SON.pdf</v>
      </c>
    </row>
    <row r="2304" spans="1:28" x14ac:dyDescent="0.25">
      <c r="A2304" t="s">
        <v>2308</v>
      </c>
      <c r="B2304">
        <v>0.99472303558308395</v>
      </c>
      <c r="C2304">
        <v>0.96982240060469405</v>
      </c>
      <c r="D2304">
        <v>0.87915736546231704</v>
      </c>
      <c r="E2304">
        <v>0.67995873758964098</v>
      </c>
      <c r="F2304">
        <v>0.40648745271695802</v>
      </c>
      <c r="G2304">
        <v>0.25645800786480499</v>
      </c>
      <c r="H2304">
        <v>0.207805660053758</v>
      </c>
      <c r="I2304">
        <v>0.18807670726092299</v>
      </c>
      <c r="J2304">
        <v>0.26651517186304202</v>
      </c>
      <c r="K2304">
        <v>0.21086665670577201</v>
      </c>
      <c r="L2304">
        <v>923.39594284138104</v>
      </c>
      <c r="M2304">
        <v>19.508214145061402</v>
      </c>
      <c r="N2304">
        <v>48.653928263835901</v>
      </c>
      <c r="O2304">
        <v>46.844739127009902</v>
      </c>
      <c r="P2304">
        <v>-8.2718314607217999E-2</v>
      </c>
      <c r="Q2304">
        <v>0.205508263156743</v>
      </c>
      <c r="R2304">
        <v>0.99444686360226098</v>
      </c>
      <c r="S2304" t="s">
        <v>8872</v>
      </c>
      <c r="T2304" t="s">
        <v>13134</v>
      </c>
      <c r="U2304" t="s">
        <v>13134</v>
      </c>
      <c r="V2304" t="s">
        <v>13134</v>
      </c>
      <c r="W2304" t="s">
        <v>15393</v>
      </c>
      <c r="X2304">
        <v>18</v>
      </c>
      <c r="Y2304" t="s">
        <v>21850</v>
      </c>
      <c r="Z2304" t="s">
        <v>28272</v>
      </c>
      <c r="AA2304">
        <v>0.49010170445879919</v>
      </c>
      <c r="AB2304" t="str">
        <f>HYPERLINK("Melting_Curves/meltCurve_P18615_NELFE.pdf", "Melting_Curves/meltCurve_P18615_NELFE.pdf")</f>
        <v>Melting_Curves/meltCurve_P18615_NELFE.pdf</v>
      </c>
    </row>
    <row r="2305" spans="1:28" x14ac:dyDescent="0.25">
      <c r="A2305" t="s">
        <v>2309</v>
      </c>
      <c r="B2305">
        <v>0.99472303558308395</v>
      </c>
      <c r="C2305">
        <v>1.02115807082147</v>
      </c>
      <c r="D2305">
        <v>0.95891221432763996</v>
      </c>
      <c r="E2305">
        <v>0.92574939151460001</v>
      </c>
      <c r="F2305">
        <v>0.83680231794340298</v>
      </c>
      <c r="G2305">
        <v>0.62337019623222301</v>
      </c>
      <c r="H2305">
        <v>0.65969817846956602</v>
      </c>
      <c r="I2305">
        <v>0.63062446385849802</v>
      </c>
      <c r="J2305">
        <v>0.89937663384934197</v>
      </c>
      <c r="K2305">
        <v>0.62888743002413605</v>
      </c>
      <c r="L2305">
        <v>1617.4013356156199</v>
      </c>
      <c r="M2305">
        <v>32.8510918577607</v>
      </c>
      <c r="O2305">
        <v>49.052955896628099</v>
      </c>
      <c r="P2305">
        <v>-5.2012886082636003E-2</v>
      </c>
      <c r="Q2305">
        <v>0.68934068988563002</v>
      </c>
      <c r="R2305">
        <v>0.73888698029683197</v>
      </c>
      <c r="S2305" t="s">
        <v>8873</v>
      </c>
      <c r="T2305" t="s">
        <v>13134</v>
      </c>
      <c r="U2305" t="s">
        <v>13134</v>
      </c>
      <c r="V2305" t="s">
        <v>13134</v>
      </c>
      <c r="W2305" t="s">
        <v>15394</v>
      </c>
      <c r="X2305">
        <v>27</v>
      </c>
      <c r="Y2305" t="s">
        <v>21851</v>
      </c>
      <c r="Z2305" t="s">
        <v>28273</v>
      </c>
      <c r="AA2305">
        <v>0.81760061508619741</v>
      </c>
      <c r="AB2305" t="str">
        <f>HYPERLINK("Melting_Curves/meltCurve_P18669_PGAM1.pdf", "Melting_Curves/meltCurve_P18669_PGAM1.pdf")</f>
        <v>Melting_Curves/meltCurve_P18669_PGAM1.pdf</v>
      </c>
    </row>
    <row r="2306" spans="1:28" x14ac:dyDescent="0.25">
      <c r="A2306" t="s">
        <v>2310</v>
      </c>
      <c r="B2306">
        <v>0.99472303558308395</v>
      </c>
      <c r="C2306">
        <v>1.0132763750508</v>
      </c>
      <c r="D2306">
        <v>0.95742774659885299</v>
      </c>
      <c r="E2306">
        <v>0.60632558622510901</v>
      </c>
      <c r="F2306">
        <v>9.7289893605212105E-2</v>
      </c>
      <c r="G2306">
        <v>6.4832809726332805E-2</v>
      </c>
      <c r="H2306">
        <v>3.48614474948791E-2</v>
      </c>
      <c r="I2306">
        <v>2.5488141946078499E-2</v>
      </c>
      <c r="J2306">
        <v>2.7929904072704501E-2</v>
      </c>
      <c r="K2306">
        <v>2.3335798018486401E-2</v>
      </c>
      <c r="L2306">
        <v>1823.4566065684101</v>
      </c>
      <c r="M2306">
        <v>38.770924783618398</v>
      </c>
      <c r="N2306">
        <v>47.111227395141398</v>
      </c>
      <c r="O2306">
        <v>46.906958563282302</v>
      </c>
      <c r="P2306">
        <v>-0.2000818680292</v>
      </c>
      <c r="Q2306">
        <v>3.1727213309984202E-2</v>
      </c>
      <c r="R2306">
        <v>0.99918840065765502</v>
      </c>
      <c r="S2306" t="s">
        <v>8874</v>
      </c>
      <c r="T2306" t="s">
        <v>13134</v>
      </c>
      <c r="U2306" t="s">
        <v>13134</v>
      </c>
      <c r="V2306" t="s">
        <v>13134</v>
      </c>
      <c r="W2306" t="s">
        <v>15395</v>
      </c>
      <c r="X2306">
        <v>16</v>
      </c>
      <c r="Y2306" t="s">
        <v>21852</v>
      </c>
      <c r="Z2306" t="s">
        <v>28274</v>
      </c>
      <c r="AA2306">
        <v>0.35885629614801401</v>
      </c>
      <c r="AB2306" t="str">
        <f>HYPERLINK("Melting_Curves/meltCurve_P18754_2_RCC1.pdf", "Melting_Curves/meltCurve_P18754_2_RCC1.pdf")</f>
        <v>Melting_Curves/meltCurve_P18754_2_RCC1.pdf</v>
      </c>
    </row>
    <row r="2307" spans="1:28" x14ac:dyDescent="0.25">
      <c r="A2307" t="s">
        <v>2311</v>
      </c>
      <c r="B2307">
        <v>0.99472303558308395</v>
      </c>
      <c r="C2307">
        <v>0.94874814429730803</v>
      </c>
      <c r="D2307">
        <v>1.0813452081166699</v>
      </c>
      <c r="E2307">
        <v>0.82228345251368695</v>
      </c>
      <c r="F2307">
        <v>0.58640445315738898</v>
      </c>
      <c r="G2307">
        <v>0.44070818975289899</v>
      </c>
      <c r="H2307">
        <v>0.373493068609837</v>
      </c>
      <c r="I2307">
        <v>0.44341753066508399</v>
      </c>
      <c r="J2307">
        <v>0.66022424808751801</v>
      </c>
      <c r="K2307">
        <v>0.46681903164692401</v>
      </c>
      <c r="L2307">
        <v>1717.52758006209</v>
      </c>
      <c r="M2307">
        <v>36.005870130866803</v>
      </c>
      <c r="N2307">
        <v>52.360491662582199</v>
      </c>
      <c r="O2307">
        <v>47.554900393868799</v>
      </c>
      <c r="P2307">
        <v>-9.84860770858145E-2</v>
      </c>
      <c r="Q2307">
        <v>0.47969813542107798</v>
      </c>
      <c r="R2307">
        <v>0.90176744929186203</v>
      </c>
      <c r="S2307" t="s">
        <v>8875</v>
      </c>
      <c r="T2307" t="s">
        <v>13134</v>
      </c>
      <c r="U2307" t="s">
        <v>13134</v>
      </c>
      <c r="V2307" t="s">
        <v>13134</v>
      </c>
      <c r="W2307" t="s">
        <v>15396</v>
      </c>
      <c r="X2307">
        <v>6</v>
      </c>
      <c r="Y2307" t="s">
        <v>21853</v>
      </c>
      <c r="Z2307" t="s">
        <v>28275</v>
      </c>
      <c r="AA2307">
        <v>0.66741658085535271</v>
      </c>
      <c r="AB2307" t="str">
        <f>HYPERLINK("Melting_Curves/meltCurve_P18846_ATF1.pdf", "Melting_Curves/meltCurve_P18846_ATF1.pdf")</f>
        <v>Melting_Curves/meltCurve_P18846_ATF1.pdf</v>
      </c>
    </row>
    <row r="2308" spans="1:28" x14ac:dyDescent="0.25">
      <c r="A2308" t="s">
        <v>2312</v>
      </c>
      <c r="B2308">
        <v>0.99472303558308395</v>
      </c>
      <c r="C2308">
        <v>0.94618674912307299</v>
      </c>
      <c r="D2308">
        <v>0.77992538002820899</v>
      </c>
      <c r="E2308">
        <v>0.72423981747709998</v>
      </c>
      <c r="F2308">
        <v>0.68639480255460505</v>
      </c>
      <c r="G2308">
        <v>0.39207480713073301</v>
      </c>
      <c r="H2308">
        <v>0.33681851375657801</v>
      </c>
      <c r="I2308">
        <v>0.58453624010803196</v>
      </c>
      <c r="J2308">
        <v>1.1170449102518001</v>
      </c>
      <c r="K2308">
        <v>1.2415088004647199</v>
      </c>
      <c r="L2308">
        <v>1609.58414608355</v>
      </c>
      <c r="M2308">
        <v>38.8972641193984</v>
      </c>
      <c r="O2308">
        <v>41.271479061201099</v>
      </c>
      <c r="P2308">
        <v>-6.4599629177975904E-2</v>
      </c>
      <c r="Q2308">
        <v>0.725829994055332</v>
      </c>
      <c r="R2308">
        <v>0.11787316623630199</v>
      </c>
      <c r="S2308" t="s">
        <v>8876</v>
      </c>
      <c r="T2308" t="s">
        <v>13134</v>
      </c>
      <c r="U2308" t="s">
        <v>13134</v>
      </c>
      <c r="V2308" t="s">
        <v>13134</v>
      </c>
      <c r="W2308" t="s">
        <v>15397</v>
      </c>
      <c r="X2308">
        <v>8</v>
      </c>
      <c r="Y2308" t="s">
        <v>21854</v>
      </c>
      <c r="Z2308" t="s">
        <v>28276</v>
      </c>
      <c r="AA2308">
        <v>0.76676640739171675</v>
      </c>
      <c r="AB2308" t="str">
        <f>HYPERLINK("Melting_Curves/meltCurve_P18859_ATP5J.pdf", "Melting_Curves/meltCurve_P18859_ATP5J.pdf")</f>
        <v>Melting_Curves/meltCurve_P18859_ATP5J.pdf</v>
      </c>
    </row>
    <row r="2309" spans="1:28" x14ac:dyDescent="0.25">
      <c r="A2309" t="s">
        <v>2313</v>
      </c>
      <c r="B2309">
        <v>0.99472303558308395</v>
      </c>
      <c r="C2309">
        <v>0.85994493335242905</v>
      </c>
      <c r="D2309">
        <v>0.86721271763639296</v>
      </c>
      <c r="E2309">
        <v>0.56579669061948201</v>
      </c>
      <c r="F2309">
        <v>0.142666376802074</v>
      </c>
      <c r="G2309">
        <v>8.1588945429137097E-2</v>
      </c>
      <c r="H2309">
        <v>5.03876257727758E-2</v>
      </c>
      <c r="I2309">
        <v>3.5126109900248698E-2</v>
      </c>
      <c r="J2309">
        <v>3.9190291182314999E-2</v>
      </c>
      <c r="K2309">
        <v>3.4634173001084102E-2</v>
      </c>
      <c r="L2309">
        <v>1037.42099357601</v>
      </c>
      <c r="M2309">
        <v>22.226105399478602</v>
      </c>
      <c r="N2309">
        <v>46.797971159746297</v>
      </c>
      <c r="O2309">
        <v>46.302869613114098</v>
      </c>
      <c r="P2309">
        <v>-0.11662366882700601</v>
      </c>
      <c r="Q2309">
        <v>2.8188769531886499E-2</v>
      </c>
      <c r="R2309">
        <v>0.98722645319719904</v>
      </c>
      <c r="S2309" t="s">
        <v>8877</v>
      </c>
      <c r="T2309" t="s">
        <v>13134</v>
      </c>
      <c r="U2309" t="s">
        <v>13134</v>
      </c>
      <c r="V2309" t="s">
        <v>13134</v>
      </c>
      <c r="W2309" t="s">
        <v>15398</v>
      </c>
      <c r="X2309">
        <v>20</v>
      </c>
      <c r="Y2309" t="s">
        <v>21855</v>
      </c>
      <c r="Z2309" t="s">
        <v>28277</v>
      </c>
      <c r="AA2309">
        <v>0.35192176772730932</v>
      </c>
      <c r="AB2309" t="str">
        <f>HYPERLINK("Melting_Curves/meltCurve_P19174_2_PLCG1.pdf", "Melting_Curves/meltCurve_P19174_2_PLCG1.pdf")</f>
        <v>Melting_Curves/meltCurve_P19174_2_PLCG1.pdf</v>
      </c>
    </row>
    <row r="2310" spans="1:28" x14ac:dyDescent="0.25">
      <c r="A2310" t="s">
        <v>2314</v>
      </c>
      <c r="B2310">
        <v>0.99472303558308395</v>
      </c>
      <c r="C2310">
        <v>0.86951905946978103</v>
      </c>
      <c r="D2310">
        <v>0.84550101250351795</v>
      </c>
      <c r="E2310">
        <v>0.73197683071139996</v>
      </c>
      <c r="F2310">
        <v>0.63439099696314005</v>
      </c>
      <c r="G2310">
        <v>0.21781531630967499</v>
      </c>
      <c r="H2310">
        <v>0.11242738592635</v>
      </c>
      <c r="I2310">
        <v>8.7258289099481606E-2</v>
      </c>
      <c r="J2310">
        <v>0.100136908867727</v>
      </c>
      <c r="K2310">
        <v>0.10977567280766699</v>
      </c>
      <c r="L2310">
        <v>672.19917411524796</v>
      </c>
      <c r="M2310">
        <v>13.430162843082901</v>
      </c>
      <c r="N2310">
        <v>50.2555275792961</v>
      </c>
      <c r="O2310">
        <v>48.980831621576499</v>
      </c>
      <c r="P2310">
        <v>-6.6739105675127502E-2</v>
      </c>
      <c r="Q2310">
        <v>2.6540996551950202E-2</v>
      </c>
      <c r="R2310">
        <v>0.964906661518381</v>
      </c>
      <c r="S2310" t="s">
        <v>8878</v>
      </c>
      <c r="T2310" t="s">
        <v>13134</v>
      </c>
      <c r="U2310" t="s">
        <v>13134</v>
      </c>
      <c r="V2310" t="s">
        <v>13134</v>
      </c>
      <c r="W2310" t="s">
        <v>15399</v>
      </c>
      <c r="X2310">
        <v>22</v>
      </c>
      <c r="Y2310" t="s">
        <v>21856</v>
      </c>
      <c r="Z2310" t="s">
        <v>28278</v>
      </c>
      <c r="AA2310">
        <v>0.47368295814562339</v>
      </c>
      <c r="AB2310" t="str">
        <f>HYPERLINK("Melting_Curves/meltCurve_P19338_NCL.pdf", "Melting_Curves/meltCurve_P19338_NCL.pdf")</f>
        <v>Melting_Curves/meltCurve_P19338_NCL.pdf</v>
      </c>
    </row>
    <row r="2311" spans="1:28" x14ac:dyDescent="0.25">
      <c r="A2311" t="s">
        <v>2315</v>
      </c>
      <c r="B2311">
        <v>0.99472303558308395</v>
      </c>
      <c r="C2311">
        <v>0.95251783147718105</v>
      </c>
      <c r="D2311">
        <v>0.99829276453023497</v>
      </c>
      <c r="E2311">
        <v>0.86924122642434898</v>
      </c>
      <c r="F2311">
        <v>0.55224033713974596</v>
      </c>
      <c r="G2311">
        <v>0.18688296987738701</v>
      </c>
      <c r="H2311">
        <v>7.6045464244718294E-2</v>
      </c>
      <c r="I2311">
        <v>4.4403947017441603E-2</v>
      </c>
      <c r="J2311">
        <v>5.05823122030074E-2</v>
      </c>
      <c r="K2311">
        <v>4.7747550339733602E-2</v>
      </c>
      <c r="L2311">
        <v>1263.57163537511</v>
      </c>
      <c r="M2311">
        <v>25.094569837601799</v>
      </c>
      <c r="N2311">
        <v>50.5133336128889</v>
      </c>
      <c r="O2311">
        <v>50.035906817980198</v>
      </c>
      <c r="P2311">
        <v>-0.120567116429827</v>
      </c>
      <c r="Q2311">
        <v>3.8420642043140801E-2</v>
      </c>
      <c r="R2311">
        <v>0.998174448456006</v>
      </c>
      <c r="S2311" t="s">
        <v>8879</v>
      </c>
      <c r="T2311" t="s">
        <v>13134</v>
      </c>
      <c r="U2311" t="s">
        <v>13134</v>
      </c>
      <c r="V2311" t="s">
        <v>13134</v>
      </c>
      <c r="W2311" t="s">
        <v>15400</v>
      </c>
      <c r="X2311">
        <v>57</v>
      </c>
      <c r="Y2311" t="s">
        <v>21857</v>
      </c>
      <c r="Z2311" t="s">
        <v>28279</v>
      </c>
      <c r="AA2311">
        <v>0.47477920251399308</v>
      </c>
      <c r="AB2311" t="str">
        <f>HYPERLINK("Melting_Curves/meltCurve_P19367_2_HK1.pdf", "Melting_Curves/meltCurve_P19367_2_HK1.pdf")</f>
        <v>Melting_Curves/meltCurve_P19367_2_HK1.pdf</v>
      </c>
    </row>
    <row r="2312" spans="1:28" x14ac:dyDescent="0.25">
      <c r="A2312" t="s">
        <v>2316</v>
      </c>
      <c r="B2312">
        <v>0.99472303558308395</v>
      </c>
      <c r="C2312">
        <v>0.95338385217263499</v>
      </c>
      <c r="D2312">
        <v>0.69883396861821301</v>
      </c>
      <c r="E2312">
        <v>0.42112681321219603</v>
      </c>
      <c r="F2312">
        <v>0.29422690588099298</v>
      </c>
      <c r="G2312">
        <v>0.123147677656534</v>
      </c>
      <c r="H2312">
        <v>5.5003102902222302E-2</v>
      </c>
      <c r="I2312">
        <v>3.6186355942359603E-2</v>
      </c>
      <c r="J2312">
        <v>4.1202747270208603E-2</v>
      </c>
      <c r="K2312">
        <v>4.6780342125208103E-2</v>
      </c>
      <c r="L2312">
        <v>675.16948004890696</v>
      </c>
      <c r="M2312">
        <v>14.7443816572037</v>
      </c>
      <c r="N2312">
        <v>45.9676987788445</v>
      </c>
      <c r="O2312">
        <v>44.974057110762701</v>
      </c>
      <c r="P2312">
        <v>-7.9719053895648206E-2</v>
      </c>
      <c r="Q2312">
        <v>2.74527700509976E-2</v>
      </c>
      <c r="R2312">
        <v>0.99305099241464301</v>
      </c>
      <c r="S2312" t="s">
        <v>8880</v>
      </c>
      <c r="T2312" t="s">
        <v>13134</v>
      </c>
      <c r="U2312" t="s">
        <v>13134</v>
      </c>
      <c r="V2312" t="s">
        <v>13134</v>
      </c>
      <c r="W2312" t="s">
        <v>15401</v>
      </c>
      <c r="X2312">
        <v>5</v>
      </c>
      <c r="Y2312" t="s">
        <v>21858</v>
      </c>
      <c r="Z2312" t="s">
        <v>28280</v>
      </c>
      <c r="AA2312">
        <v>0.33577267053473647</v>
      </c>
      <c r="AB2312" t="str">
        <f>HYPERLINK("Melting_Curves/meltCurve_P19387_POLR2C.pdf", "Melting_Curves/meltCurve_P19387_POLR2C.pdf")</f>
        <v>Melting_Curves/meltCurve_P19387_POLR2C.pdf</v>
      </c>
    </row>
    <row r="2313" spans="1:28" x14ac:dyDescent="0.25">
      <c r="A2313" t="s">
        <v>2317</v>
      </c>
      <c r="B2313">
        <v>0.99472303558308395</v>
      </c>
      <c r="C2313">
        <v>0.89761369579749395</v>
      </c>
      <c r="D2313">
        <v>0.689537969604197</v>
      </c>
      <c r="E2313">
        <v>0.42636567476965798</v>
      </c>
      <c r="F2313">
        <v>0.30682911850207001</v>
      </c>
      <c r="G2313">
        <v>0.18667858591064601</v>
      </c>
      <c r="H2313">
        <v>9.8496648201538195E-2</v>
      </c>
      <c r="I2313">
        <v>0.104296189007918</v>
      </c>
      <c r="J2313">
        <v>0.10360609727283999</v>
      </c>
      <c r="K2313">
        <v>0.103786803432751</v>
      </c>
      <c r="L2313">
        <v>645.48401622072504</v>
      </c>
      <c r="M2313">
        <v>14.273395602540299</v>
      </c>
      <c r="N2313">
        <v>45.848562820405803</v>
      </c>
      <c r="O2313">
        <v>44.362990076676901</v>
      </c>
      <c r="P2313">
        <v>-7.3326287811568705E-2</v>
      </c>
      <c r="Q2313">
        <v>8.8493404997122299E-2</v>
      </c>
      <c r="R2313">
        <v>0.995496455331491</v>
      </c>
      <c r="S2313" t="s">
        <v>8881</v>
      </c>
      <c r="T2313" t="s">
        <v>13134</v>
      </c>
      <c r="U2313" t="s">
        <v>13134</v>
      </c>
      <c r="V2313" t="s">
        <v>13134</v>
      </c>
      <c r="W2313" t="s">
        <v>15402</v>
      </c>
      <c r="X2313">
        <v>8</v>
      </c>
      <c r="Y2313" t="s">
        <v>21859</v>
      </c>
      <c r="Z2313" t="s">
        <v>28281</v>
      </c>
      <c r="AA2313">
        <v>0.36203998196812748</v>
      </c>
      <c r="AB2313" t="str">
        <f>HYPERLINK("Melting_Curves/meltCurve_P19388_POLR2E.pdf", "Melting_Curves/meltCurve_P19388_POLR2E.pdf")</f>
        <v>Melting_Curves/meltCurve_P19388_POLR2E.pdf</v>
      </c>
    </row>
    <row r="2314" spans="1:28" x14ac:dyDescent="0.25">
      <c r="A2314" t="s">
        <v>2318</v>
      </c>
      <c r="B2314">
        <v>0.99472303558308395</v>
      </c>
      <c r="C2314">
        <v>0.78496092310733401</v>
      </c>
      <c r="D2314">
        <v>0.64786868746652004</v>
      </c>
      <c r="E2314">
        <v>0.33719033336354798</v>
      </c>
      <c r="F2314">
        <v>0.283810571660773</v>
      </c>
      <c r="G2314">
        <v>0.15249320035276301</v>
      </c>
      <c r="H2314">
        <v>0.121695940985213</v>
      </c>
      <c r="I2314">
        <v>4.4364490719023597E-2</v>
      </c>
      <c r="J2314">
        <v>7.7843861752672994E-2</v>
      </c>
      <c r="K2314">
        <v>5.3212096798976302E-2</v>
      </c>
      <c r="L2314">
        <v>565.43349428806505</v>
      </c>
      <c r="M2314">
        <v>12.717325658103499</v>
      </c>
      <c r="N2314">
        <v>44.844257211520201</v>
      </c>
      <c r="O2314">
        <v>43.405300154354201</v>
      </c>
      <c r="P2314">
        <v>-6.9495271701130096E-2</v>
      </c>
      <c r="Q2314">
        <v>5.1409819054597197E-2</v>
      </c>
      <c r="R2314">
        <v>0.98735467162510404</v>
      </c>
      <c r="S2314" t="s">
        <v>8882</v>
      </c>
      <c r="T2314" t="s">
        <v>13134</v>
      </c>
      <c r="U2314" t="s">
        <v>13134</v>
      </c>
      <c r="V2314" t="s">
        <v>13134</v>
      </c>
      <c r="W2314" t="s">
        <v>15403</v>
      </c>
      <c r="X2314">
        <v>1</v>
      </c>
      <c r="Y2314" t="s">
        <v>21860</v>
      </c>
      <c r="Z2314" t="s">
        <v>28282</v>
      </c>
      <c r="AA2314">
        <v>0.31928056859540987</v>
      </c>
      <c r="AB2314" t="str">
        <f>HYPERLINK("Melting_Curves/meltCurve_P19419_ELK1.pdf", "Melting_Curves/meltCurve_P19419_ELK1.pdf")</f>
        <v>Melting_Curves/meltCurve_P19419_ELK1.pdf</v>
      </c>
    </row>
    <row r="2315" spans="1:28" x14ac:dyDescent="0.25">
      <c r="A2315" t="s">
        <v>2319</v>
      </c>
      <c r="B2315">
        <v>0.99472303558308395</v>
      </c>
      <c r="C2315">
        <v>0.94461823373000797</v>
      </c>
      <c r="D2315">
        <v>0.67215083888392402</v>
      </c>
      <c r="E2315">
        <v>0.45975947501452502</v>
      </c>
      <c r="F2315">
        <v>0.24830717809400399</v>
      </c>
      <c r="G2315">
        <v>0.113804670650323</v>
      </c>
      <c r="H2315">
        <v>8.7053676572501903E-2</v>
      </c>
      <c r="I2315">
        <v>6.4682506553653804E-2</v>
      </c>
      <c r="J2315">
        <v>6.2764475078083901E-2</v>
      </c>
      <c r="K2315">
        <v>3.02490628940793E-2</v>
      </c>
      <c r="L2315">
        <v>680.90779318194905</v>
      </c>
      <c r="M2315">
        <v>14.9326161881011</v>
      </c>
      <c r="N2315">
        <v>45.8506246257271</v>
      </c>
      <c r="O2315">
        <v>44.804360883081301</v>
      </c>
      <c r="P2315">
        <v>-8.0047722131211294E-2</v>
      </c>
      <c r="Q2315">
        <v>3.93864713539709E-2</v>
      </c>
      <c r="R2315">
        <v>0.99499297955898403</v>
      </c>
      <c r="S2315" t="s">
        <v>8883</v>
      </c>
      <c r="T2315" t="s">
        <v>13134</v>
      </c>
      <c r="U2315" t="s">
        <v>13134</v>
      </c>
      <c r="V2315" t="s">
        <v>13134</v>
      </c>
      <c r="W2315" t="s">
        <v>15404</v>
      </c>
      <c r="X2315">
        <v>5</v>
      </c>
      <c r="Y2315" t="s">
        <v>21861</v>
      </c>
      <c r="Z2315" t="s">
        <v>28283</v>
      </c>
      <c r="AA2315">
        <v>0.33732206495785533</v>
      </c>
      <c r="AB2315" t="str">
        <f>HYPERLINK("Melting_Curves/meltCurve_P19447_ERCC3.pdf", "Melting_Curves/meltCurve_P19447_ERCC3.pdf")</f>
        <v>Melting_Curves/meltCurve_P19447_ERCC3.pdf</v>
      </c>
    </row>
    <row r="2316" spans="1:28" x14ac:dyDescent="0.25">
      <c r="A2316" t="s">
        <v>2320</v>
      </c>
      <c r="B2316">
        <v>0.99472303558308395</v>
      </c>
      <c r="C2316">
        <v>0.73971976898465297</v>
      </c>
      <c r="D2316">
        <v>0.78105670798736904</v>
      </c>
      <c r="E2316">
        <v>0.37824940285424702</v>
      </c>
      <c r="F2316">
        <v>0.24356382846362101</v>
      </c>
      <c r="G2316">
        <v>0.110071803038869</v>
      </c>
      <c r="H2316">
        <v>6.8222734205630006E-2</v>
      </c>
      <c r="I2316">
        <v>4.3861912920779803E-2</v>
      </c>
      <c r="J2316">
        <v>5.1396078485642899E-2</v>
      </c>
      <c r="K2316">
        <v>5.1355814111392402E-2</v>
      </c>
      <c r="L2316">
        <v>604.39100194578702</v>
      </c>
      <c r="M2316">
        <v>13.3440185715708</v>
      </c>
      <c r="N2316">
        <v>45.443014547053899</v>
      </c>
      <c r="O2316">
        <v>44.312095955068699</v>
      </c>
      <c r="P2316">
        <v>-7.3674182061518698E-2</v>
      </c>
      <c r="Q2316">
        <v>2.1543322550428599E-2</v>
      </c>
      <c r="R2316">
        <v>0.97443229052974201</v>
      </c>
      <c r="S2316" t="s">
        <v>8884</v>
      </c>
      <c r="T2316" t="s">
        <v>13134</v>
      </c>
      <c r="U2316" t="s">
        <v>13134</v>
      </c>
      <c r="V2316" t="s">
        <v>13134</v>
      </c>
      <c r="W2316" t="s">
        <v>15405</v>
      </c>
      <c r="X2316">
        <v>6</v>
      </c>
      <c r="Y2316" t="s">
        <v>21862</v>
      </c>
      <c r="Z2316" t="s">
        <v>28284</v>
      </c>
      <c r="AA2316">
        <v>0.32087002460596031</v>
      </c>
      <c r="AB2316" t="str">
        <f>HYPERLINK("Melting_Curves/meltCurve_P19525_2_EIF2AK2.pdf", "Melting_Curves/meltCurve_P19525_2_EIF2AK2.pdf")</f>
        <v>Melting_Curves/meltCurve_P19525_2_EIF2AK2.pdf</v>
      </c>
    </row>
    <row r="2317" spans="1:28" x14ac:dyDescent="0.25">
      <c r="A2317" t="s">
        <v>2321</v>
      </c>
      <c r="B2317">
        <v>0.99472303558308395</v>
      </c>
      <c r="C2317">
        <v>0.78153636365892099</v>
      </c>
      <c r="D2317">
        <v>1.01662270761399</v>
      </c>
      <c r="E2317">
        <v>0.62637949364207801</v>
      </c>
      <c r="F2317">
        <v>0.269765927761976</v>
      </c>
      <c r="G2317">
        <v>0.237458256053654</v>
      </c>
      <c r="H2317">
        <v>0.204682788223749</v>
      </c>
      <c r="I2317">
        <v>8.7749695595970206E-2</v>
      </c>
      <c r="J2317">
        <v>0.107667359574718</v>
      </c>
      <c r="K2317">
        <v>3.3550967797444098E-2</v>
      </c>
      <c r="L2317">
        <v>1000.98313301104</v>
      </c>
      <c r="M2317">
        <v>21.089434327590801</v>
      </c>
      <c r="N2317">
        <v>47.9980126939505</v>
      </c>
      <c r="O2317">
        <v>47.043150924772</v>
      </c>
      <c r="P2317">
        <v>-0.100352662461429</v>
      </c>
      <c r="Q2317">
        <v>0.104616909269932</v>
      </c>
      <c r="R2317">
        <v>0.94602620974229501</v>
      </c>
      <c r="S2317" t="s">
        <v>8885</v>
      </c>
      <c r="T2317" t="s">
        <v>13134</v>
      </c>
      <c r="U2317" t="s">
        <v>13134</v>
      </c>
      <c r="V2317" t="s">
        <v>13134</v>
      </c>
      <c r="W2317" t="s">
        <v>15406</v>
      </c>
      <c r="X2317">
        <v>2</v>
      </c>
      <c r="Y2317" t="s">
        <v>21863</v>
      </c>
      <c r="Z2317" t="s">
        <v>28285</v>
      </c>
      <c r="AA2317">
        <v>0.4275120905691836</v>
      </c>
      <c r="AB2317" t="str">
        <f>HYPERLINK("Melting_Curves/meltCurve_P19532_TFE3.pdf", "Melting_Curves/meltCurve_P19532_TFE3.pdf")</f>
        <v>Melting_Curves/meltCurve_P19532_TFE3.pdf</v>
      </c>
    </row>
    <row r="2318" spans="1:28" x14ac:dyDescent="0.25">
      <c r="A2318" t="s">
        <v>2322</v>
      </c>
      <c r="B2318">
        <v>0.99472303558308395</v>
      </c>
      <c r="C2318">
        <v>0.924890881816542</v>
      </c>
      <c r="D2318">
        <v>1.01985210067516</v>
      </c>
      <c r="E2318">
        <v>0.95704455353306195</v>
      </c>
      <c r="F2318">
        <v>0.74124463566500998</v>
      </c>
      <c r="G2318">
        <v>0.28170607777396001</v>
      </c>
      <c r="H2318">
        <v>6.0195600280926499E-2</v>
      </c>
      <c r="I2318">
        <v>3.6896967540920603E-2</v>
      </c>
      <c r="J2318">
        <v>3.1936481633522203E-2</v>
      </c>
      <c r="K2318">
        <v>3.0392855851560902E-2</v>
      </c>
      <c r="L2318">
        <v>1555.7437748094701</v>
      </c>
      <c r="M2318">
        <v>29.9724676746124</v>
      </c>
      <c r="N2318">
        <v>51.991342629423698</v>
      </c>
      <c r="O2318">
        <v>51.676345286231999</v>
      </c>
      <c r="P2318">
        <v>-0.14151163722566601</v>
      </c>
      <c r="Q2318">
        <v>2.4070138050818701E-2</v>
      </c>
      <c r="R2318">
        <v>0.99643777229365105</v>
      </c>
      <c r="S2318" t="s">
        <v>8886</v>
      </c>
      <c r="T2318" t="s">
        <v>13134</v>
      </c>
      <c r="U2318" t="s">
        <v>13134</v>
      </c>
      <c r="V2318" t="s">
        <v>13134</v>
      </c>
      <c r="W2318" t="s">
        <v>15407</v>
      </c>
      <c r="X2318">
        <v>12</v>
      </c>
      <c r="Y2318" t="s">
        <v>21864</v>
      </c>
      <c r="Z2318" t="s">
        <v>28286</v>
      </c>
      <c r="AA2318">
        <v>0.51513138019238103</v>
      </c>
      <c r="AB2318" t="str">
        <f>HYPERLINK("Melting_Curves/meltCurve_P19623_SRM.pdf", "Melting_Curves/meltCurve_P19623_SRM.pdf")</f>
        <v>Melting_Curves/meltCurve_P19623_SRM.pdf</v>
      </c>
    </row>
    <row r="2319" spans="1:28" x14ac:dyDescent="0.25">
      <c r="A2319" t="s">
        <v>2323</v>
      </c>
      <c r="B2319">
        <v>0.99472303558308395</v>
      </c>
      <c r="C2319">
        <v>1.01275684784969</v>
      </c>
      <c r="D2319">
        <v>0.823948901070369</v>
      </c>
      <c r="E2319">
        <v>0.79531459756291401</v>
      </c>
      <c r="F2319">
        <v>0.75109776984060395</v>
      </c>
      <c r="G2319">
        <v>0.30084582919227199</v>
      </c>
      <c r="H2319">
        <v>0.14537993626467299</v>
      </c>
      <c r="I2319">
        <v>7.5807630095320294E-2</v>
      </c>
      <c r="J2319">
        <v>0.100033381856408</v>
      </c>
      <c r="K2319">
        <v>0.119846339630196</v>
      </c>
      <c r="L2319">
        <v>895.42237786684802</v>
      </c>
      <c r="M2319">
        <v>17.4078087198933</v>
      </c>
      <c r="N2319">
        <v>51.765913360019603</v>
      </c>
      <c r="O2319">
        <v>50.7735616419629</v>
      </c>
      <c r="P2319">
        <v>-8.1242634953732407E-2</v>
      </c>
      <c r="Q2319">
        <v>5.2207910462366898E-2</v>
      </c>
      <c r="R2319">
        <v>0.96397982037991803</v>
      </c>
      <c r="S2319" t="s">
        <v>8887</v>
      </c>
      <c r="T2319" t="s">
        <v>13134</v>
      </c>
      <c r="U2319" t="s">
        <v>13134</v>
      </c>
      <c r="V2319" t="s">
        <v>13134</v>
      </c>
      <c r="W2319" t="s">
        <v>13637</v>
      </c>
      <c r="X2319">
        <v>17</v>
      </c>
      <c r="Y2319" t="s">
        <v>21865</v>
      </c>
      <c r="Z2319" t="s">
        <v>28287</v>
      </c>
      <c r="AA2319">
        <v>0.52364124772447329</v>
      </c>
      <c r="AB2319" t="str">
        <f>HYPERLINK("Melting_Curves/meltCurve_P19784_CSNK2A2.pdf", "Melting_Curves/meltCurve_P19784_CSNK2A2.pdf")</f>
        <v>Melting_Curves/meltCurve_P19784_CSNK2A2.pdf</v>
      </c>
    </row>
    <row r="2320" spans="1:28" x14ac:dyDescent="0.25">
      <c r="A2320" t="s">
        <v>2324</v>
      </c>
      <c r="B2320">
        <v>0.99472303558308395</v>
      </c>
      <c r="C2320">
        <v>0.948842969640184</v>
      </c>
      <c r="D2320">
        <v>0.79886782025730096</v>
      </c>
      <c r="E2320">
        <v>0.45173493010872301</v>
      </c>
      <c r="F2320">
        <v>0.24225825774180701</v>
      </c>
      <c r="G2320">
        <v>0.13436803679193901</v>
      </c>
      <c r="H2320">
        <v>8.3426678341683699E-2</v>
      </c>
      <c r="I2320">
        <v>4.6611515226126499E-2</v>
      </c>
      <c r="J2320">
        <v>4.6997231605227702E-2</v>
      </c>
      <c r="K2320">
        <v>4.4732395296165003E-2</v>
      </c>
      <c r="L2320">
        <v>805.15882397225505</v>
      </c>
      <c r="M2320">
        <v>17.478226536120101</v>
      </c>
      <c r="N2320">
        <v>46.323317483310603</v>
      </c>
      <c r="O2320">
        <v>45.476049633352702</v>
      </c>
      <c r="P2320">
        <v>-9.1651227375547401E-2</v>
      </c>
      <c r="Q2320">
        <v>4.61950419369868E-2</v>
      </c>
      <c r="R2320">
        <v>0.99885289582520898</v>
      </c>
      <c r="S2320" t="s">
        <v>8888</v>
      </c>
      <c r="T2320" t="s">
        <v>13134</v>
      </c>
      <c r="U2320" t="s">
        <v>13134</v>
      </c>
      <c r="V2320" t="s">
        <v>13134</v>
      </c>
      <c r="W2320" t="s">
        <v>15408</v>
      </c>
      <c r="X2320">
        <v>8</v>
      </c>
      <c r="Y2320" t="s">
        <v>21866</v>
      </c>
      <c r="Z2320" t="s">
        <v>28288</v>
      </c>
      <c r="AA2320">
        <v>0.35077937686901522</v>
      </c>
      <c r="AB2320" t="str">
        <f>HYPERLINK("Melting_Curves/meltCurve_P19838_NFKB1.pdf", "Melting_Curves/meltCurve_P19838_NFKB1.pdf")</f>
        <v>Melting_Curves/meltCurve_P19838_NFKB1.pdf</v>
      </c>
    </row>
    <row r="2321" spans="1:28" x14ac:dyDescent="0.25">
      <c r="A2321" t="s">
        <v>2325</v>
      </c>
      <c r="B2321">
        <v>0.99472303558308395</v>
      </c>
      <c r="C2321">
        <v>0.987964031413606</v>
      </c>
      <c r="D2321">
        <v>0.86615917894105199</v>
      </c>
      <c r="E2321">
        <v>0.81916323938175195</v>
      </c>
      <c r="F2321">
        <v>0.728130339732591</v>
      </c>
      <c r="G2321">
        <v>0.48840333167925598</v>
      </c>
      <c r="H2321">
        <v>0.23730553612129601</v>
      </c>
      <c r="I2321">
        <v>6.2128501753381499E-2</v>
      </c>
      <c r="J2321">
        <v>5.5338541312484398E-2</v>
      </c>
      <c r="K2321">
        <v>6.0146921262534001E-2</v>
      </c>
      <c r="L2321">
        <v>759.14780527899597</v>
      </c>
      <c r="M2321">
        <v>14.338473285606501</v>
      </c>
      <c r="N2321">
        <v>52.94481888939</v>
      </c>
      <c r="O2321">
        <v>51.946912290214101</v>
      </c>
      <c r="P2321">
        <v>-6.9013722291826701E-2</v>
      </c>
      <c r="Q2321">
        <v>0</v>
      </c>
      <c r="R2321">
        <v>0.98431614853211402</v>
      </c>
      <c r="S2321" t="s">
        <v>8889</v>
      </c>
      <c r="T2321" t="s">
        <v>13134</v>
      </c>
      <c r="U2321" t="s">
        <v>13134</v>
      </c>
      <c r="V2321" t="s">
        <v>13134</v>
      </c>
      <c r="W2321" t="s">
        <v>15409</v>
      </c>
      <c r="X2321">
        <v>26</v>
      </c>
      <c r="Y2321" t="s">
        <v>21867</v>
      </c>
      <c r="Z2321" t="s">
        <v>28289</v>
      </c>
      <c r="AA2321">
        <v>0.55019034278390699</v>
      </c>
      <c r="AB2321" t="str">
        <f>HYPERLINK("Melting_Curves/meltCurve_P20020_6_ATP2B1.pdf", "Melting_Curves/meltCurve_P20020_6_ATP2B1.pdf")</f>
        <v>Melting_Curves/meltCurve_P20020_6_ATP2B1.pdf</v>
      </c>
    </row>
    <row r="2322" spans="1:28" x14ac:dyDescent="0.25">
      <c r="A2322" t="s">
        <v>2326</v>
      </c>
      <c r="B2322">
        <v>0.99472303558308395</v>
      </c>
      <c r="C2322">
        <v>0.96365665823303304</v>
      </c>
      <c r="D2322">
        <v>0.99423090470476505</v>
      </c>
      <c r="E2322">
        <v>0.871492414282801</v>
      </c>
      <c r="F2322">
        <v>0.65264485145878903</v>
      </c>
      <c r="G2322">
        <v>0.47099809785382601</v>
      </c>
      <c r="H2322">
        <v>0.170618770851034</v>
      </c>
      <c r="I2322">
        <v>8.5075901256984193E-2</v>
      </c>
      <c r="J2322">
        <v>7.0628902576855598E-2</v>
      </c>
      <c r="K2322">
        <v>6.0498825345654997E-2</v>
      </c>
      <c r="L2322">
        <v>830.14500973652605</v>
      </c>
      <c r="M2322">
        <v>15.804981741183999</v>
      </c>
      <c r="N2322">
        <v>52.578468296397702</v>
      </c>
      <c r="O2322">
        <v>51.704962105261501</v>
      </c>
      <c r="P2322">
        <v>-7.5807892866753296E-2</v>
      </c>
      <c r="Q2322">
        <v>8.0792429392959105E-3</v>
      </c>
      <c r="R2322">
        <v>0.99437996689163199</v>
      </c>
      <c r="S2322" t="s">
        <v>8890</v>
      </c>
      <c r="T2322" t="s">
        <v>13134</v>
      </c>
      <c r="U2322" t="s">
        <v>13134</v>
      </c>
      <c r="V2322" t="s">
        <v>13134</v>
      </c>
      <c r="W2322" t="s">
        <v>15410</v>
      </c>
      <c r="X2322">
        <v>28</v>
      </c>
      <c r="Y2322" t="s">
        <v>21868</v>
      </c>
      <c r="Z2322" t="s">
        <v>28290</v>
      </c>
      <c r="AA2322">
        <v>0.53869907157977182</v>
      </c>
      <c r="AB2322" t="str">
        <f>HYPERLINK("Melting_Curves/meltCurve_P20042_EIF2S2.pdf", "Melting_Curves/meltCurve_P20042_EIF2S2.pdf")</f>
        <v>Melting_Curves/meltCurve_P20042_EIF2S2.pdf</v>
      </c>
    </row>
    <row r="2323" spans="1:28" x14ac:dyDescent="0.25">
      <c r="A2323" t="s">
        <v>2327</v>
      </c>
      <c r="B2323">
        <v>0.99472303558308395</v>
      </c>
      <c r="C2323">
        <v>1.0937904717871501</v>
      </c>
      <c r="D2323">
        <v>0.89282541880825395</v>
      </c>
      <c r="E2323">
        <v>0.89791372719052498</v>
      </c>
      <c r="F2323">
        <v>0.809804002191026</v>
      </c>
      <c r="G2323">
        <v>0.48401398349167901</v>
      </c>
      <c r="H2323">
        <v>0.44396932996206601</v>
      </c>
      <c r="I2323">
        <v>0.35829515416184698</v>
      </c>
      <c r="J2323">
        <v>0.44558218219628198</v>
      </c>
      <c r="K2323">
        <v>0.51442601438887603</v>
      </c>
      <c r="L2323">
        <v>1661.0819647868</v>
      </c>
      <c r="M2323">
        <v>32.6511658202418</v>
      </c>
      <c r="N2323">
        <v>54.188516591092203</v>
      </c>
      <c r="O2323">
        <v>50.6838969674764</v>
      </c>
      <c r="P2323">
        <v>-9.1453324645231204E-2</v>
      </c>
      <c r="Q2323">
        <v>0.43215636011639402</v>
      </c>
      <c r="R2323">
        <v>0.93867771431912705</v>
      </c>
      <c r="S2323" t="s">
        <v>8891</v>
      </c>
      <c r="T2323" t="s">
        <v>13134</v>
      </c>
      <c r="U2323" t="s">
        <v>13134</v>
      </c>
      <c r="V2323" t="s">
        <v>13134</v>
      </c>
      <c r="W2323" t="s">
        <v>15411</v>
      </c>
      <c r="X2323">
        <v>1</v>
      </c>
      <c r="Y2323" t="s">
        <v>21869</v>
      </c>
      <c r="Z2323" t="s">
        <v>28291</v>
      </c>
      <c r="AA2323">
        <v>0.6977470534014224</v>
      </c>
      <c r="AB2323" t="str">
        <f>HYPERLINK("Melting_Curves/meltCurve_P20138_2_CD33.pdf", "Melting_Curves/meltCurve_P20138_2_CD33.pdf")</f>
        <v>Melting_Curves/meltCurve_P20138_2_CD33.pdf</v>
      </c>
    </row>
    <row r="2324" spans="1:28" x14ac:dyDescent="0.25">
      <c r="A2324" t="s">
        <v>2328</v>
      </c>
      <c r="B2324">
        <v>0.99472303558308395</v>
      </c>
      <c r="C2324">
        <v>0.98496248957852806</v>
      </c>
      <c r="D2324">
        <v>1.02668196589636</v>
      </c>
      <c r="E2324">
        <v>0.86003617194257898</v>
      </c>
      <c r="F2324">
        <v>0.65338631709219697</v>
      </c>
      <c r="G2324">
        <v>0.59473080072833495</v>
      </c>
      <c r="H2324">
        <v>0.36140125934482398</v>
      </c>
      <c r="I2324">
        <v>0.39324704092470902</v>
      </c>
      <c r="J2324">
        <v>0.38951070045128</v>
      </c>
      <c r="K2324">
        <v>0.19915350937633899</v>
      </c>
      <c r="L2324">
        <v>680.65318008287704</v>
      </c>
      <c r="M2324">
        <v>13.113352380725299</v>
      </c>
      <c r="N2324">
        <v>54.852069093612997</v>
      </c>
      <c r="O2324">
        <v>50.742784118620001</v>
      </c>
      <c r="P2324">
        <v>-4.8281649222601503E-2</v>
      </c>
      <c r="Q2324">
        <v>0.25281442790588499</v>
      </c>
      <c r="R2324">
        <v>0.96274521965992998</v>
      </c>
      <c r="S2324" t="s">
        <v>8892</v>
      </c>
      <c r="T2324" t="s">
        <v>13134</v>
      </c>
      <c r="U2324" t="s">
        <v>13134</v>
      </c>
      <c r="V2324" t="s">
        <v>13134</v>
      </c>
      <c r="W2324" t="s">
        <v>15412</v>
      </c>
      <c r="X2324">
        <v>8</v>
      </c>
      <c r="Y2324" t="s">
        <v>21870</v>
      </c>
      <c r="Z2324" t="s">
        <v>28292</v>
      </c>
      <c r="AA2324">
        <v>0.64062874893110433</v>
      </c>
      <c r="AB2324" t="str">
        <f>HYPERLINK("Melting_Curves/meltCurve_P20248_CCNA2.pdf", "Melting_Curves/meltCurve_P20248_CCNA2.pdf")</f>
        <v>Melting_Curves/meltCurve_P20248_CCNA2.pdf</v>
      </c>
    </row>
    <row r="2325" spans="1:28" x14ac:dyDescent="0.25">
      <c r="A2325" t="s">
        <v>2329</v>
      </c>
      <c r="B2325">
        <v>0.99472303558308395</v>
      </c>
      <c r="C2325">
        <v>1.14555430546605</v>
      </c>
      <c r="D2325">
        <v>1.06849045634746</v>
      </c>
      <c r="E2325">
        <v>0.99668870406312804</v>
      </c>
      <c r="F2325">
        <v>0.90533536013511595</v>
      </c>
      <c r="G2325">
        <v>0.74173127142301598</v>
      </c>
      <c r="H2325">
        <v>0.85193974077947299</v>
      </c>
      <c r="I2325">
        <v>1.1026498325926299</v>
      </c>
      <c r="J2325">
        <v>1.43413193464679</v>
      </c>
      <c r="K2325">
        <v>1.0432261700416301</v>
      </c>
      <c r="L2325">
        <v>15000</v>
      </c>
      <c r="M2325">
        <v>245.620225090476</v>
      </c>
      <c r="O2325">
        <v>61.065840829223298</v>
      </c>
      <c r="P2325">
        <v>0.240003535578965</v>
      </c>
      <c r="Q2325">
        <v>1.23867770129515</v>
      </c>
      <c r="R2325">
        <v>0.36795606649003798</v>
      </c>
      <c r="S2325" t="s">
        <v>8893</v>
      </c>
      <c r="T2325" t="s">
        <v>13134</v>
      </c>
      <c r="U2325" t="s">
        <v>13134</v>
      </c>
      <c r="V2325" t="s">
        <v>13134</v>
      </c>
      <c r="W2325" t="s">
        <v>15413</v>
      </c>
      <c r="X2325">
        <v>14</v>
      </c>
      <c r="Y2325" t="s">
        <v>21871</v>
      </c>
      <c r="Z2325" t="s">
        <v>28293</v>
      </c>
      <c r="AA2325">
        <v>1.0471530036047461</v>
      </c>
      <c r="AB2325" t="str">
        <f>HYPERLINK("Melting_Curves/meltCurve_P20290_BTF3.pdf", "Melting_Curves/meltCurve_P20290_BTF3.pdf")</f>
        <v>Melting_Curves/meltCurve_P20290_BTF3.pdf</v>
      </c>
    </row>
    <row r="2326" spans="1:28" x14ac:dyDescent="0.25">
      <c r="A2326" t="s">
        <v>2330</v>
      </c>
      <c r="B2326">
        <v>0.99472303558308395</v>
      </c>
      <c r="C2326">
        <v>0.96804620824790599</v>
      </c>
      <c r="D2326">
        <v>1.0882767506898701</v>
      </c>
      <c r="E2326">
        <v>0.88283953186323705</v>
      </c>
      <c r="F2326">
        <v>0.51019908009545101</v>
      </c>
      <c r="G2326">
        <v>0.52208539185838299</v>
      </c>
      <c r="H2326">
        <v>0.32237396357666598</v>
      </c>
      <c r="I2326">
        <v>0.37316877473374999</v>
      </c>
      <c r="J2326">
        <v>1.04206502430143</v>
      </c>
      <c r="K2326">
        <v>0.76042901503804605</v>
      </c>
      <c r="L2326">
        <v>11692.9453278212</v>
      </c>
      <c r="M2326">
        <v>250</v>
      </c>
      <c r="O2326">
        <v>46.768788181587603</v>
      </c>
      <c r="P2326">
        <v>-0.55006386557520204</v>
      </c>
      <c r="Q2326">
        <v>0.58838687343137397</v>
      </c>
      <c r="R2326">
        <v>0.51014286268938602</v>
      </c>
      <c r="S2326" t="s">
        <v>8894</v>
      </c>
      <c r="T2326" t="s">
        <v>13134</v>
      </c>
      <c r="U2326" t="s">
        <v>13134</v>
      </c>
      <c r="V2326" t="s">
        <v>13134</v>
      </c>
      <c r="W2326" t="s">
        <v>15414</v>
      </c>
      <c r="X2326">
        <v>12</v>
      </c>
      <c r="Y2326" t="s">
        <v>21871</v>
      </c>
      <c r="Z2326" t="s">
        <v>28294</v>
      </c>
      <c r="AA2326">
        <v>0.7224937754357339</v>
      </c>
      <c r="AB2326" t="str">
        <f>HYPERLINK("Melting_Curves/meltCurve_P20290_2_BTF3.pdf", "Melting_Curves/meltCurve_P20290_2_BTF3.pdf")</f>
        <v>Melting_Curves/meltCurve_P20290_2_BTF3.pdf</v>
      </c>
    </row>
    <row r="2327" spans="1:28" x14ac:dyDescent="0.25">
      <c r="A2327" t="s">
        <v>2331</v>
      </c>
      <c r="B2327">
        <v>0.99472303558308395</v>
      </c>
      <c r="C2327">
        <v>1.1728772330195401</v>
      </c>
      <c r="D2327">
        <v>0.84901610033757902</v>
      </c>
      <c r="E2327">
        <v>0.79216999456963</v>
      </c>
      <c r="F2327">
        <v>0.61960358889648104</v>
      </c>
      <c r="G2327">
        <v>0.42273497557356798</v>
      </c>
      <c r="H2327">
        <v>0.34860485845696998</v>
      </c>
      <c r="I2327">
        <v>0.33837715932748802</v>
      </c>
      <c r="J2327">
        <v>0.42848625155933701</v>
      </c>
      <c r="K2327">
        <v>0.38570579215040501</v>
      </c>
      <c r="L2327">
        <v>909.37896470024202</v>
      </c>
      <c r="M2327">
        <v>18.788290103664</v>
      </c>
      <c r="N2327">
        <v>51.976816200750903</v>
      </c>
      <c r="O2327">
        <v>47.863047192064101</v>
      </c>
      <c r="P2327">
        <v>-6.2544575449397496E-2</v>
      </c>
      <c r="Q2327">
        <v>0.36269892481385502</v>
      </c>
      <c r="R2327">
        <v>0.93461837756514199</v>
      </c>
      <c r="S2327" t="s">
        <v>8895</v>
      </c>
      <c r="T2327" t="s">
        <v>13134</v>
      </c>
      <c r="U2327" t="s">
        <v>13134</v>
      </c>
      <c r="V2327" t="s">
        <v>13134</v>
      </c>
      <c r="W2327" t="s">
        <v>15415</v>
      </c>
      <c r="X2327">
        <v>4</v>
      </c>
      <c r="Y2327" t="s">
        <v>21872</v>
      </c>
      <c r="Z2327" t="s">
        <v>28295</v>
      </c>
      <c r="AA2327">
        <v>0.61431153791618243</v>
      </c>
      <c r="AB2327" t="str">
        <f>HYPERLINK("Melting_Curves/meltCurve_P20333_TNFRSF1B.pdf", "Melting_Curves/meltCurve_P20333_TNFRSF1B.pdf")</f>
        <v>Melting_Curves/meltCurve_P20333_TNFRSF1B.pdf</v>
      </c>
    </row>
    <row r="2328" spans="1:28" x14ac:dyDescent="0.25">
      <c r="A2328" t="s">
        <v>2332</v>
      </c>
      <c r="B2328">
        <v>0.99472303558308395</v>
      </c>
      <c r="C2328">
        <v>1.2152958742746101</v>
      </c>
      <c r="D2328">
        <v>1.0811159698513699</v>
      </c>
      <c r="E2328">
        <v>1.0548372639100501</v>
      </c>
      <c r="F2328">
        <v>0.83357804145997405</v>
      </c>
      <c r="G2328">
        <v>0.66884083370581204</v>
      </c>
      <c r="H2328">
        <v>0.49714142266626599</v>
      </c>
      <c r="I2328">
        <v>0.468757073570719</v>
      </c>
      <c r="J2328">
        <v>0.51813495947872001</v>
      </c>
      <c r="K2328">
        <v>0.33757972139600401</v>
      </c>
      <c r="L2328">
        <v>1243.4035806847801</v>
      </c>
      <c r="M2328">
        <v>23.512371646900199</v>
      </c>
      <c r="N2328">
        <v>57.598387965163901</v>
      </c>
      <c r="O2328">
        <v>52.504868377400904</v>
      </c>
      <c r="P2328">
        <v>-6.4144196036009002E-2</v>
      </c>
      <c r="Q2328">
        <v>0.42705485769538398</v>
      </c>
      <c r="R2328">
        <v>0.90999582321169903</v>
      </c>
      <c r="S2328" t="s">
        <v>8896</v>
      </c>
      <c r="T2328" t="s">
        <v>13134</v>
      </c>
      <c r="U2328" t="s">
        <v>13134</v>
      </c>
      <c r="V2328" t="s">
        <v>13134</v>
      </c>
      <c r="W2328" t="s">
        <v>15416</v>
      </c>
      <c r="X2328">
        <v>4</v>
      </c>
      <c r="Y2328" t="s">
        <v>21873</v>
      </c>
      <c r="Z2328" t="s">
        <v>28296</v>
      </c>
      <c r="AA2328">
        <v>0.73601294232641779</v>
      </c>
      <c r="AB2328" t="str">
        <f>HYPERLINK("Melting_Curves/meltCurve_P20336_RAB3A.pdf", "Melting_Curves/meltCurve_P20336_RAB3A.pdf")</f>
        <v>Melting_Curves/meltCurve_P20336_RAB3A.pdf</v>
      </c>
    </row>
    <row r="2329" spans="1:28" x14ac:dyDescent="0.25">
      <c r="A2329" t="s">
        <v>2333</v>
      </c>
      <c r="B2329">
        <v>0.99472303558308395</v>
      </c>
      <c r="C2329">
        <v>1.01112476239022</v>
      </c>
      <c r="D2329">
        <v>0.93697769991636504</v>
      </c>
      <c r="E2329">
        <v>0.88913105117312796</v>
      </c>
      <c r="F2329">
        <v>0.69231134850431197</v>
      </c>
      <c r="G2329">
        <v>0.49066177986033999</v>
      </c>
      <c r="H2329">
        <v>0.41880544195675701</v>
      </c>
      <c r="I2329">
        <v>0.454089333002481</v>
      </c>
      <c r="J2329">
        <v>0.55072007423536495</v>
      </c>
      <c r="K2329">
        <v>0.41290559749379002</v>
      </c>
      <c r="L2329">
        <v>1223.84401032242</v>
      </c>
      <c r="M2329">
        <v>24.805092429397</v>
      </c>
      <c r="N2329">
        <v>54.457223148875102</v>
      </c>
      <c r="O2329">
        <v>49.021105494708998</v>
      </c>
      <c r="P2329">
        <v>-6.9396259184065903E-2</v>
      </c>
      <c r="Q2329">
        <v>0.45142974888676601</v>
      </c>
      <c r="R2329">
        <v>0.96933297117412098</v>
      </c>
      <c r="S2329" t="s">
        <v>8897</v>
      </c>
      <c r="T2329" t="s">
        <v>13134</v>
      </c>
      <c r="U2329" t="s">
        <v>13134</v>
      </c>
      <c r="V2329" t="s">
        <v>13134</v>
      </c>
      <c r="W2329" t="s">
        <v>15417</v>
      </c>
      <c r="X2329">
        <v>12</v>
      </c>
      <c r="Y2329" t="s">
        <v>21874</v>
      </c>
      <c r="Z2329" t="s">
        <v>28297</v>
      </c>
      <c r="AA2329">
        <v>0.6818794107694488</v>
      </c>
      <c r="AB2329" t="str">
        <f>HYPERLINK("Melting_Curves/meltCurve_P20338_RAB4A.pdf", "Melting_Curves/meltCurve_P20338_RAB4A.pdf")</f>
        <v>Melting_Curves/meltCurve_P20338_RAB4A.pdf</v>
      </c>
    </row>
    <row r="2330" spans="1:28" x14ac:dyDescent="0.25">
      <c r="A2330" t="s">
        <v>2334</v>
      </c>
      <c r="B2330">
        <v>0.99472303558308395</v>
      </c>
      <c r="C2330">
        <v>0.95152394655972405</v>
      </c>
      <c r="D2330">
        <v>0.93365170938921405</v>
      </c>
      <c r="E2330">
        <v>0.86958901702839597</v>
      </c>
      <c r="F2330">
        <v>0.73532177684991196</v>
      </c>
      <c r="G2330">
        <v>0.56508839351526696</v>
      </c>
      <c r="H2330">
        <v>0.51511930917774995</v>
      </c>
      <c r="I2330">
        <v>0.54825526748634201</v>
      </c>
      <c r="J2330">
        <v>0.65593547132367602</v>
      </c>
      <c r="K2330">
        <v>0.54183276588250995</v>
      </c>
      <c r="L2330">
        <v>1010.0829436287499</v>
      </c>
      <c r="M2330">
        <v>20.842140395415299</v>
      </c>
      <c r="O2330">
        <v>48.023966134118702</v>
      </c>
      <c r="P2330">
        <v>-4.8234394270590099E-2</v>
      </c>
      <c r="Q2330">
        <v>0.55545013970472201</v>
      </c>
      <c r="R2330">
        <v>0.94103151701621102</v>
      </c>
      <c r="S2330" t="s">
        <v>8898</v>
      </c>
      <c r="T2330" t="s">
        <v>13134</v>
      </c>
      <c r="U2330" t="s">
        <v>13134</v>
      </c>
      <c r="V2330" t="s">
        <v>13134</v>
      </c>
      <c r="W2330" t="s">
        <v>15418</v>
      </c>
      <c r="X2330">
        <v>15</v>
      </c>
      <c r="Y2330" t="s">
        <v>21875</v>
      </c>
      <c r="Z2330" t="s">
        <v>28298</v>
      </c>
      <c r="AA2330">
        <v>0.73073479171046773</v>
      </c>
      <c r="AB2330" t="str">
        <f>HYPERLINK("Melting_Curves/meltCurve_P20340_RAB6A.pdf", "Melting_Curves/meltCurve_P20340_RAB6A.pdf")</f>
        <v>Melting_Curves/meltCurve_P20340_RAB6A.pdf</v>
      </c>
    </row>
    <row r="2331" spans="1:28" x14ac:dyDescent="0.25">
      <c r="A2331" t="s">
        <v>2335</v>
      </c>
      <c r="B2331">
        <v>0.99472303558308395</v>
      </c>
      <c r="C2331">
        <v>0.85533087992466195</v>
      </c>
      <c r="D2331">
        <v>0.83188525379961797</v>
      </c>
      <c r="E2331">
        <v>0.69990679090270203</v>
      </c>
      <c r="F2331">
        <v>0.82935412541692999</v>
      </c>
      <c r="G2331">
        <v>0.40034006579475301</v>
      </c>
      <c r="H2331">
        <v>0.318801896934443</v>
      </c>
      <c r="I2331">
        <v>0.41191908598252203</v>
      </c>
      <c r="J2331">
        <v>0.54864465281265795</v>
      </c>
      <c r="K2331">
        <v>0.553411678800518</v>
      </c>
      <c r="L2331">
        <v>528.86839511747996</v>
      </c>
      <c r="M2331">
        <v>11.3326117130204</v>
      </c>
      <c r="N2331">
        <v>56.653118941642902</v>
      </c>
      <c r="O2331">
        <v>45.285513205206598</v>
      </c>
      <c r="P2331">
        <v>-3.5536089114099403E-2</v>
      </c>
      <c r="Q2331">
        <v>0.43215674318018898</v>
      </c>
      <c r="R2331">
        <v>0.73565027090062396</v>
      </c>
      <c r="S2331" t="s">
        <v>8899</v>
      </c>
      <c r="T2331" t="s">
        <v>13134</v>
      </c>
      <c r="U2331" t="s">
        <v>13134</v>
      </c>
      <c r="V2331" t="s">
        <v>13134</v>
      </c>
      <c r="W2331" t="s">
        <v>15419</v>
      </c>
      <c r="X2331">
        <v>15</v>
      </c>
      <c r="Y2331" t="s">
        <v>21875</v>
      </c>
      <c r="Z2331" t="s">
        <v>28299</v>
      </c>
      <c r="AA2331">
        <v>0.635927004928029</v>
      </c>
      <c r="AB2331" t="str">
        <f>HYPERLINK("Melting_Curves/meltCurve_P20340_2_RAB6A.pdf", "Melting_Curves/meltCurve_P20340_2_RAB6A.pdf")</f>
        <v>Melting_Curves/meltCurve_P20340_2_RAB6A.pdf</v>
      </c>
    </row>
    <row r="2332" spans="1:28" x14ac:dyDescent="0.25">
      <c r="A2332" t="s">
        <v>2336</v>
      </c>
      <c r="B2332">
        <v>0.99472303558308395</v>
      </c>
      <c r="C2332">
        <v>0.98743650040869002</v>
      </c>
      <c r="D2332">
        <v>0.81603006004228396</v>
      </c>
      <c r="E2332">
        <v>0.65526624943165501</v>
      </c>
      <c r="F2332">
        <v>0.326019246042344</v>
      </c>
      <c r="G2332">
        <v>0.12943008516125301</v>
      </c>
      <c r="H2332">
        <v>0.103262557215288</v>
      </c>
      <c r="I2332">
        <v>7.3508355763445804E-2</v>
      </c>
      <c r="J2332">
        <v>7.9267395775497906E-2</v>
      </c>
      <c r="K2332">
        <v>7.3592517601785201E-2</v>
      </c>
      <c r="L2332">
        <v>833.35828923699501</v>
      </c>
      <c r="M2332">
        <v>17.512216446309299</v>
      </c>
      <c r="N2332">
        <v>47.913427931845497</v>
      </c>
      <c r="O2332">
        <v>46.979736322736599</v>
      </c>
      <c r="P2332">
        <v>-8.7958571095568303E-2</v>
      </c>
      <c r="Q2332">
        <v>5.6191817525558303E-2</v>
      </c>
      <c r="R2332">
        <v>0.99503826196721001</v>
      </c>
      <c r="S2332" t="s">
        <v>8900</v>
      </c>
      <c r="T2332" t="s">
        <v>13134</v>
      </c>
      <c r="U2332" t="s">
        <v>13134</v>
      </c>
      <c r="V2332" t="s">
        <v>13134</v>
      </c>
      <c r="W2332" t="s">
        <v>15420</v>
      </c>
      <c r="X2332">
        <v>17</v>
      </c>
      <c r="Y2332" t="s">
        <v>21876</v>
      </c>
      <c r="Z2332" t="s">
        <v>28300</v>
      </c>
      <c r="AA2332">
        <v>0.40517075525826279</v>
      </c>
      <c r="AB2332" t="str">
        <f>HYPERLINK("Melting_Curves/meltCurve_P20585_MSH3.pdf", "Melting_Curves/meltCurve_P20585_MSH3.pdf")</f>
        <v>Melting_Curves/meltCurve_P20585_MSH3.pdf</v>
      </c>
    </row>
    <row r="2333" spans="1:28" x14ac:dyDescent="0.25">
      <c r="A2333" t="s">
        <v>2337</v>
      </c>
      <c r="B2333">
        <v>0.99472303558308395</v>
      </c>
      <c r="C2333">
        <v>1.0785799653969901</v>
      </c>
      <c r="D2333">
        <v>0.73484013899442602</v>
      </c>
      <c r="E2333">
        <v>0.63636783898689797</v>
      </c>
      <c r="F2333">
        <v>0.84467517056486296</v>
      </c>
      <c r="G2333">
        <v>0.29045129232577999</v>
      </c>
      <c r="H2333">
        <v>0.26437746890182401</v>
      </c>
      <c r="I2333">
        <v>0.15798433395603101</v>
      </c>
      <c r="J2333">
        <v>0.28738435379246902</v>
      </c>
      <c r="K2333">
        <v>0.55308918276212604</v>
      </c>
      <c r="L2333">
        <v>633.44631376194195</v>
      </c>
      <c r="M2333">
        <v>13.1565782635034</v>
      </c>
      <c r="N2333">
        <v>51.461106320653201</v>
      </c>
      <c r="O2333">
        <v>47.0751681755237</v>
      </c>
      <c r="P2333">
        <v>-4.9914757861655501E-2</v>
      </c>
      <c r="Q2333">
        <v>0.28572629657508303</v>
      </c>
      <c r="R2333">
        <v>0.74045637422347499</v>
      </c>
      <c r="S2333" t="s">
        <v>8901</v>
      </c>
      <c r="T2333" t="s">
        <v>13134</v>
      </c>
      <c r="U2333" t="s">
        <v>13134</v>
      </c>
      <c r="V2333" t="s">
        <v>13134</v>
      </c>
      <c r="W2333" t="s">
        <v>15421</v>
      </c>
      <c r="X2333">
        <v>10</v>
      </c>
      <c r="Y2333" t="s">
        <v>21877</v>
      </c>
      <c r="Z2333" t="s">
        <v>28301</v>
      </c>
      <c r="AA2333">
        <v>0.570471779283793</v>
      </c>
      <c r="AB2333" t="str">
        <f>HYPERLINK("Melting_Curves/meltCurve_P20618_PSMB1.pdf", "Melting_Curves/meltCurve_P20618_PSMB1.pdf")</f>
        <v>Melting_Curves/meltCurve_P20618_PSMB1.pdf</v>
      </c>
    </row>
    <row r="2334" spans="1:28" x14ac:dyDescent="0.25">
      <c r="A2334" t="s">
        <v>2338</v>
      </c>
      <c r="B2334">
        <v>0.99472303558308395</v>
      </c>
      <c r="C2334">
        <v>0.96292256164771395</v>
      </c>
      <c r="D2334">
        <v>0.99941269325737603</v>
      </c>
      <c r="E2334">
        <v>0.92192487723024197</v>
      </c>
      <c r="F2334">
        <v>0.70384959017467397</v>
      </c>
      <c r="G2334">
        <v>0.63862753943774497</v>
      </c>
      <c r="H2334">
        <v>0.58264543743917796</v>
      </c>
      <c r="I2334">
        <v>0.56566228031393495</v>
      </c>
      <c r="J2334">
        <v>0.734286260294717</v>
      </c>
      <c r="K2334">
        <v>0.66891133437773098</v>
      </c>
      <c r="L2334">
        <v>1868.4934493451501</v>
      </c>
      <c r="M2334">
        <v>38.773610016937802</v>
      </c>
      <c r="O2334">
        <v>48.062175208124899</v>
      </c>
      <c r="P2334">
        <v>-7.3186667359974006E-2</v>
      </c>
      <c r="Q2334">
        <v>0.63712410916335105</v>
      </c>
      <c r="R2334">
        <v>0.92651499399729798</v>
      </c>
      <c r="S2334" t="s">
        <v>8902</v>
      </c>
      <c r="T2334" t="s">
        <v>13134</v>
      </c>
      <c r="U2334" t="s">
        <v>13134</v>
      </c>
      <c r="V2334" t="s">
        <v>13134</v>
      </c>
      <c r="W2334" t="s">
        <v>15422</v>
      </c>
      <c r="X2334">
        <v>14</v>
      </c>
      <c r="Y2334" t="s">
        <v>21878</v>
      </c>
      <c r="Z2334" t="s">
        <v>28302</v>
      </c>
      <c r="AA2334">
        <v>0.77376169927194338</v>
      </c>
      <c r="AB2334" t="str">
        <f>HYPERLINK("Melting_Curves/meltCurve_P20645_M6PR.pdf", "Melting_Curves/meltCurve_P20645_M6PR.pdf")</f>
        <v>Melting_Curves/meltCurve_P20645_M6PR.pdf</v>
      </c>
    </row>
    <row r="2335" spans="1:28" x14ac:dyDescent="0.25">
      <c r="A2335" t="s">
        <v>2339</v>
      </c>
      <c r="B2335">
        <v>0.99472303558308395</v>
      </c>
      <c r="C2335">
        <v>0.92806844341771899</v>
      </c>
      <c r="D2335">
        <v>0.90076562373156499</v>
      </c>
      <c r="E2335">
        <v>0.79092200999820605</v>
      </c>
      <c r="F2335">
        <v>0.61491097839920705</v>
      </c>
      <c r="G2335">
        <v>0.43070768218741701</v>
      </c>
      <c r="H2335">
        <v>0.33073204270371398</v>
      </c>
      <c r="I2335">
        <v>0.34110558468914198</v>
      </c>
      <c r="J2335">
        <v>0.430968258007348</v>
      </c>
      <c r="K2335">
        <v>0.397972590231228</v>
      </c>
      <c r="L2335">
        <v>824.98573668433301</v>
      </c>
      <c r="M2335">
        <v>17.0754608166495</v>
      </c>
      <c r="N2335">
        <v>52.175641603133997</v>
      </c>
      <c r="O2335">
        <v>47.666069075872798</v>
      </c>
      <c r="P2335">
        <v>-5.7436417534148403E-2</v>
      </c>
      <c r="Q2335">
        <v>0.35870498162056702</v>
      </c>
      <c r="R2335">
        <v>0.97297722575438805</v>
      </c>
      <c r="S2335" t="s">
        <v>8903</v>
      </c>
      <c r="T2335" t="s">
        <v>13134</v>
      </c>
      <c r="U2335" t="s">
        <v>13134</v>
      </c>
      <c r="V2335" t="s">
        <v>13134</v>
      </c>
      <c r="W2335" t="s">
        <v>15423</v>
      </c>
      <c r="X2335">
        <v>8</v>
      </c>
      <c r="Y2335" t="s">
        <v>21879</v>
      </c>
      <c r="Z2335" t="s">
        <v>28303</v>
      </c>
      <c r="AA2335">
        <v>0.61180479114409303</v>
      </c>
      <c r="AB2335" t="str">
        <f>HYPERLINK("Melting_Curves/meltCurve_P20674_COX5A.pdf", "Melting_Curves/meltCurve_P20674_COX5A.pdf")</f>
        <v>Melting_Curves/meltCurve_P20674_COX5A.pdf</v>
      </c>
    </row>
    <row r="2336" spans="1:28" x14ac:dyDescent="0.25">
      <c r="A2336" t="s">
        <v>2340</v>
      </c>
      <c r="B2336">
        <v>0.99472303558308395</v>
      </c>
      <c r="C2336">
        <v>0.97562619130197903</v>
      </c>
      <c r="D2336">
        <v>0.96765093956426396</v>
      </c>
      <c r="E2336">
        <v>0.82940317603359603</v>
      </c>
      <c r="F2336">
        <v>0.53403691579304802</v>
      </c>
      <c r="G2336">
        <v>0.16114300406123699</v>
      </c>
      <c r="H2336">
        <v>9.37475820444469E-2</v>
      </c>
      <c r="I2336">
        <v>6.2958989908980897E-2</v>
      </c>
      <c r="J2336">
        <v>7.4397511016235096E-2</v>
      </c>
      <c r="K2336">
        <v>6.3397557942710597E-2</v>
      </c>
      <c r="L2336">
        <v>1192.7704782380599</v>
      </c>
      <c r="M2336">
        <v>23.8783314964071</v>
      </c>
      <c r="N2336">
        <v>50.192446540777702</v>
      </c>
      <c r="O2336">
        <v>49.6056131203216</v>
      </c>
      <c r="P2336">
        <v>-0.113839014853254</v>
      </c>
      <c r="Q2336">
        <v>5.4043960586208799E-2</v>
      </c>
      <c r="R2336">
        <v>0.99733688702772405</v>
      </c>
      <c r="S2336" t="s">
        <v>8904</v>
      </c>
      <c r="T2336" t="s">
        <v>13134</v>
      </c>
      <c r="U2336" t="s">
        <v>13134</v>
      </c>
      <c r="V2336" t="s">
        <v>13134</v>
      </c>
      <c r="W2336" t="s">
        <v>15424</v>
      </c>
      <c r="X2336">
        <v>57</v>
      </c>
      <c r="Y2336" t="s">
        <v>21880</v>
      </c>
      <c r="Z2336" t="s">
        <v>28304</v>
      </c>
      <c r="AA2336">
        <v>0.47146481755747699</v>
      </c>
      <c r="AB2336" t="str">
        <f>HYPERLINK("Melting_Curves/meltCurve_P20700_LMNB1.pdf", "Melting_Curves/meltCurve_P20700_LMNB1.pdf")</f>
        <v>Melting_Curves/meltCurve_P20700_LMNB1.pdf</v>
      </c>
    </row>
    <row r="2337" spans="1:28" x14ac:dyDescent="0.25">
      <c r="A2337" t="s">
        <v>2341</v>
      </c>
      <c r="B2337">
        <v>0.99472303558308395</v>
      </c>
      <c r="C2337">
        <v>0.88390167152349097</v>
      </c>
      <c r="D2337">
        <v>1.0299355436041699</v>
      </c>
      <c r="E2337">
        <v>0.88117356308759398</v>
      </c>
      <c r="F2337">
        <v>0.66830904587773499</v>
      </c>
      <c r="G2337">
        <v>0.57262760257232703</v>
      </c>
      <c r="H2337">
        <v>0.59085949121699299</v>
      </c>
      <c r="I2337">
        <v>0.55472590530897503</v>
      </c>
      <c r="J2337">
        <v>0.87022470378703598</v>
      </c>
      <c r="K2337">
        <v>0.68622148763442803</v>
      </c>
      <c r="L2337">
        <v>3138.0107945848599</v>
      </c>
      <c r="M2337">
        <v>66.693282645210203</v>
      </c>
      <c r="O2337">
        <v>47.009128053239301</v>
      </c>
      <c r="P2337">
        <v>-0.121923134942777</v>
      </c>
      <c r="Q2337">
        <v>0.65624731678438197</v>
      </c>
      <c r="R2337">
        <v>0.71272036363842295</v>
      </c>
      <c r="S2337" t="s">
        <v>8905</v>
      </c>
      <c r="T2337" t="s">
        <v>13134</v>
      </c>
      <c r="U2337" t="s">
        <v>13134</v>
      </c>
      <c r="V2337" t="s">
        <v>13134</v>
      </c>
      <c r="W2337" t="s">
        <v>15425</v>
      </c>
      <c r="X2337">
        <v>6</v>
      </c>
      <c r="Y2337" t="s">
        <v>21881</v>
      </c>
      <c r="Z2337" t="s">
        <v>28305</v>
      </c>
      <c r="AA2337">
        <v>0.77182025300173995</v>
      </c>
      <c r="AB2337" t="str">
        <f>HYPERLINK("Melting_Curves/meltCurve_P20962_PTMS.pdf", "Melting_Curves/meltCurve_P20962_PTMS.pdf")</f>
        <v>Melting_Curves/meltCurve_P20962_PTMS.pdf</v>
      </c>
    </row>
    <row r="2338" spans="1:28" x14ac:dyDescent="0.25">
      <c r="A2338" t="s">
        <v>2342</v>
      </c>
      <c r="B2338">
        <v>0.99472303558308395</v>
      </c>
      <c r="C2338">
        <v>0.89720216079394299</v>
      </c>
      <c r="D2338">
        <v>0.81903518929471897</v>
      </c>
      <c r="E2338">
        <v>0.49497022412980801</v>
      </c>
      <c r="F2338">
        <v>0.23365379656691501</v>
      </c>
      <c r="G2338">
        <v>9.9648222657743799E-2</v>
      </c>
      <c r="H2338">
        <v>5.5920647189643298E-2</v>
      </c>
      <c r="I2338">
        <v>3.59662225718839E-2</v>
      </c>
      <c r="J2338">
        <v>4.7954711870357603E-2</v>
      </c>
      <c r="K2338">
        <v>3.8528237888932199E-2</v>
      </c>
      <c r="L2338">
        <v>796.18486321619105</v>
      </c>
      <c r="M2338">
        <v>17.1663417483893</v>
      </c>
      <c r="N2338">
        <v>46.529453842295098</v>
      </c>
      <c r="O2338">
        <v>45.764895153792303</v>
      </c>
      <c r="P2338">
        <v>-9.1274193803460898E-2</v>
      </c>
      <c r="Q2338">
        <v>2.6722048293012599E-2</v>
      </c>
      <c r="R2338">
        <v>0.99787514200093097</v>
      </c>
      <c r="S2338" t="s">
        <v>8906</v>
      </c>
      <c r="T2338" t="s">
        <v>13134</v>
      </c>
      <c r="U2338" t="s">
        <v>13134</v>
      </c>
      <c r="V2338" t="s">
        <v>13134</v>
      </c>
      <c r="W2338" t="s">
        <v>15426</v>
      </c>
      <c r="X2338">
        <v>28</v>
      </c>
      <c r="Y2338" t="s">
        <v>20881</v>
      </c>
      <c r="Z2338" t="s">
        <v>28306</v>
      </c>
      <c r="AA2338">
        <v>0.34825429632764821</v>
      </c>
      <c r="AB2338" t="str">
        <f>HYPERLINK("Melting_Curves/meltCurve_P21127_8_CDK11B.pdf", "Melting_Curves/meltCurve_P21127_8_CDK11B.pdf")</f>
        <v>Melting_Curves/meltCurve_P21127_8_CDK11B.pdf</v>
      </c>
    </row>
    <row r="2339" spans="1:28" x14ac:dyDescent="0.25">
      <c r="A2339" t="s">
        <v>2343</v>
      </c>
      <c r="B2339">
        <v>0.99472303558308395</v>
      </c>
      <c r="C2339">
        <v>0.89667037225929902</v>
      </c>
      <c r="D2339">
        <v>0.79325178964332799</v>
      </c>
      <c r="E2339">
        <v>0.71842234222228096</v>
      </c>
      <c r="F2339">
        <v>0.72915356571704404</v>
      </c>
      <c r="G2339">
        <v>0.37457061110971601</v>
      </c>
      <c r="H2339">
        <v>0.24957917107288199</v>
      </c>
      <c r="I2339">
        <v>0.182720183949652</v>
      </c>
      <c r="J2339">
        <v>0.145251731253563</v>
      </c>
      <c r="K2339">
        <v>9.0338562361492902E-2</v>
      </c>
      <c r="L2339">
        <v>487.55374605006898</v>
      </c>
      <c r="M2339">
        <v>9.4006863562343401</v>
      </c>
      <c r="N2339">
        <v>51.863632839881497</v>
      </c>
      <c r="O2339">
        <v>49.679146653378602</v>
      </c>
      <c r="P2339">
        <v>-4.7336126769480701E-2</v>
      </c>
      <c r="Q2339">
        <v>0</v>
      </c>
      <c r="R2339">
        <v>0.96562267555538495</v>
      </c>
      <c r="S2339" t="s">
        <v>8907</v>
      </c>
      <c r="T2339" t="s">
        <v>13134</v>
      </c>
      <c r="U2339" t="s">
        <v>13134</v>
      </c>
      <c r="V2339" t="s">
        <v>13134</v>
      </c>
      <c r="W2339" t="s">
        <v>15427</v>
      </c>
      <c r="X2339">
        <v>25</v>
      </c>
      <c r="Y2339" t="s">
        <v>21882</v>
      </c>
      <c r="Z2339" t="s">
        <v>28307</v>
      </c>
      <c r="AA2339">
        <v>0.52346897934796344</v>
      </c>
      <c r="AB2339" t="str">
        <f>HYPERLINK("Melting_Curves/meltCurve_P21281_ATP6V1B2.pdf", "Melting_Curves/meltCurve_P21281_ATP6V1B2.pdf")</f>
        <v>Melting_Curves/meltCurve_P21281_ATP6V1B2.pdf</v>
      </c>
    </row>
    <row r="2340" spans="1:28" x14ac:dyDescent="0.25">
      <c r="A2340" t="s">
        <v>2344</v>
      </c>
      <c r="B2340">
        <v>0.99472303558308395</v>
      </c>
      <c r="C2340">
        <v>0.82210517232309899</v>
      </c>
      <c r="D2340">
        <v>0.84689752363686199</v>
      </c>
      <c r="E2340">
        <v>0.58961221954018395</v>
      </c>
      <c r="F2340">
        <v>0.32538292560144799</v>
      </c>
      <c r="G2340">
        <v>0.12015958536691999</v>
      </c>
      <c r="H2340">
        <v>6.2257984124600402E-2</v>
      </c>
      <c r="I2340">
        <v>3.61668879446971E-2</v>
      </c>
      <c r="J2340">
        <v>4.3159801974023103E-2</v>
      </c>
      <c r="K2340">
        <v>3.2781143838105299E-2</v>
      </c>
      <c r="L2340">
        <v>671.80253912892601</v>
      </c>
      <c r="M2340">
        <v>14.150108689477699</v>
      </c>
      <c r="N2340">
        <v>47.476843381521498</v>
      </c>
      <c r="O2340">
        <v>46.558795736216197</v>
      </c>
      <c r="P2340">
        <v>-7.5989426713031896E-2</v>
      </c>
      <c r="Q2340">
        <v>0</v>
      </c>
      <c r="R2340">
        <v>0.98718335530275503</v>
      </c>
      <c r="S2340" t="s">
        <v>8908</v>
      </c>
      <c r="T2340" t="s">
        <v>13134</v>
      </c>
      <c r="U2340" t="s">
        <v>13134</v>
      </c>
      <c r="V2340" t="s">
        <v>13134</v>
      </c>
      <c r="W2340" t="s">
        <v>15428</v>
      </c>
      <c r="X2340">
        <v>13</v>
      </c>
      <c r="Y2340" t="s">
        <v>21883</v>
      </c>
      <c r="Z2340" t="s">
        <v>28308</v>
      </c>
      <c r="AA2340">
        <v>0.37385021057575529</v>
      </c>
      <c r="AB2340" t="str">
        <f>HYPERLINK("Melting_Curves/meltCurve_P21283_ATP6V1C1.pdf", "Melting_Curves/meltCurve_P21283_ATP6V1C1.pdf")</f>
        <v>Melting_Curves/meltCurve_P21283_ATP6V1C1.pdf</v>
      </c>
    </row>
    <row r="2341" spans="1:28" x14ac:dyDescent="0.25">
      <c r="A2341" t="s">
        <v>2345</v>
      </c>
      <c r="B2341">
        <v>0.99472303558308395</v>
      </c>
      <c r="C2341">
        <v>1.00866486257285</v>
      </c>
      <c r="D2341">
        <v>0.83329087828339798</v>
      </c>
      <c r="E2341">
        <v>0.75779667427426201</v>
      </c>
      <c r="F2341">
        <v>0.59502595980255801</v>
      </c>
      <c r="G2341">
        <v>0.41103810586523398</v>
      </c>
      <c r="H2341">
        <v>0.342450143822144</v>
      </c>
      <c r="I2341">
        <v>0.38416750486721302</v>
      </c>
      <c r="J2341">
        <v>0.52287962310461</v>
      </c>
      <c r="K2341">
        <v>0.37266745619417901</v>
      </c>
      <c r="L2341">
        <v>788.46909632833103</v>
      </c>
      <c r="M2341">
        <v>16.701062640655799</v>
      </c>
      <c r="N2341">
        <v>51.915905288391897</v>
      </c>
      <c r="O2341">
        <v>46.549430885297298</v>
      </c>
      <c r="P2341">
        <v>-5.47226411620442E-2</v>
      </c>
      <c r="Q2341">
        <v>0.38994569906584298</v>
      </c>
      <c r="R2341">
        <v>0.94482658919302498</v>
      </c>
      <c r="S2341" t="s">
        <v>8909</v>
      </c>
      <c r="T2341" t="s">
        <v>13134</v>
      </c>
      <c r="U2341" t="s">
        <v>13134</v>
      </c>
      <c r="V2341" t="s">
        <v>13134</v>
      </c>
      <c r="W2341" t="s">
        <v>15429</v>
      </c>
      <c r="X2341">
        <v>9</v>
      </c>
      <c r="Y2341" t="s">
        <v>21884</v>
      </c>
      <c r="Z2341" t="s">
        <v>28309</v>
      </c>
      <c r="AA2341">
        <v>0.6088372638446895</v>
      </c>
      <c r="AB2341" t="str">
        <f>HYPERLINK("Melting_Curves/meltCurve_P21291_CSRP1.pdf", "Melting_Curves/meltCurve_P21291_CSRP1.pdf")</f>
        <v>Melting_Curves/meltCurve_P21291_CSRP1.pdf</v>
      </c>
    </row>
    <row r="2342" spans="1:28" x14ac:dyDescent="0.25">
      <c r="A2342" t="s">
        <v>2346</v>
      </c>
      <c r="B2342">
        <v>0.99472303558308395</v>
      </c>
      <c r="C2342">
        <v>0.99829494732994295</v>
      </c>
      <c r="D2342">
        <v>0.86443520638528504</v>
      </c>
      <c r="E2342">
        <v>0.71067131453061405</v>
      </c>
      <c r="F2342">
        <v>0.24370708293099999</v>
      </c>
      <c r="G2342">
        <v>8.0220851362720294E-2</v>
      </c>
      <c r="H2342">
        <v>4.3865094049899897E-2</v>
      </c>
      <c r="I2342">
        <v>3.3887200777995903E-2</v>
      </c>
      <c r="J2342">
        <v>3.5481106972510501E-2</v>
      </c>
      <c r="K2342">
        <v>3.0896705093227401E-2</v>
      </c>
      <c r="L2342">
        <v>1161.90459281018</v>
      </c>
      <c r="M2342">
        <v>24.261141188344201</v>
      </c>
      <c r="N2342">
        <v>47.995522439039</v>
      </c>
      <c r="O2342">
        <v>47.569768503431199</v>
      </c>
      <c r="P2342">
        <v>-0.124241993364983</v>
      </c>
      <c r="Q2342">
        <v>2.5590224453877701E-2</v>
      </c>
      <c r="R2342">
        <v>0.99503941663311402</v>
      </c>
      <c r="S2342" t="s">
        <v>8910</v>
      </c>
      <c r="T2342" t="s">
        <v>13134</v>
      </c>
      <c r="U2342" t="s">
        <v>13134</v>
      </c>
      <c r="V2342" t="s">
        <v>13134</v>
      </c>
      <c r="W2342" t="s">
        <v>15430</v>
      </c>
      <c r="X2342">
        <v>107</v>
      </c>
      <c r="Y2342" t="s">
        <v>21885</v>
      </c>
      <c r="Z2342" t="s">
        <v>28310</v>
      </c>
      <c r="AA2342">
        <v>0.38814997833775322</v>
      </c>
      <c r="AB2342" t="str">
        <f>HYPERLINK("Melting_Curves/meltCurve_P21333_2_FLNA.pdf", "Melting_Curves/meltCurve_P21333_2_FLNA.pdf")</f>
        <v>Melting_Curves/meltCurve_P21333_2_FLNA.pdf</v>
      </c>
    </row>
    <row r="2343" spans="1:28" x14ac:dyDescent="0.25">
      <c r="A2343" t="s">
        <v>2347</v>
      </c>
      <c r="B2343">
        <v>0.99472303558308395</v>
      </c>
      <c r="C2343">
        <v>1.0255795475579399</v>
      </c>
      <c r="D2343">
        <v>0.758348906994186</v>
      </c>
      <c r="E2343">
        <v>0.59831041059978296</v>
      </c>
      <c r="F2343">
        <v>0.38774754615922202</v>
      </c>
      <c r="G2343">
        <v>0.15926455340210099</v>
      </c>
      <c r="H2343">
        <v>0.108073047820165</v>
      </c>
      <c r="I2343">
        <v>8.5399370952076295E-2</v>
      </c>
      <c r="J2343">
        <v>0.16252711813406401</v>
      </c>
      <c r="K2343">
        <v>7.75660663742401E-2</v>
      </c>
      <c r="L2343">
        <v>722.31491746997494</v>
      </c>
      <c r="M2343">
        <v>15.304681935513299</v>
      </c>
      <c r="N2343">
        <v>47.734872159524201</v>
      </c>
      <c r="O2343">
        <v>46.411935201416902</v>
      </c>
      <c r="P2343">
        <v>-7.5902570717595305E-2</v>
      </c>
      <c r="Q2343">
        <v>7.9378115765123797E-2</v>
      </c>
      <c r="R2343">
        <v>0.98353354422950801</v>
      </c>
      <c r="S2343" t="s">
        <v>8911</v>
      </c>
      <c r="T2343" t="s">
        <v>13134</v>
      </c>
      <c r="U2343" t="s">
        <v>13134</v>
      </c>
      <c r="V2343" t="s">
        <v>13134</v>
      </c>
      <c r="W2343" t="s">
        <v>15431</v>
      </c>
      <c r="X2343">
        <v>8</v>
      </c>
      <c r="Y2343" t="s">
        <v>21886</v>
      </c>
      <c r="Z2343" t="s">
        <v>28311</v>
      </c>
      <c r="AA2343">
        <v>0.41216786935339028</v>
      </c>
      <c r="AB2343" t="str">
        <f>HYPERLINK("Melting_Curves/meltCurve_P21359_2_NF1.pdf", "Melting_Curves/meltCurve_P21359_2_NF1.pdf")</f>
        <v>Melting_Curves/meltCurve_P21359_2_NF1.pdf</v>
      </c>
    </row>
    <row r="2344" spans="1:28" x14ac:dyDescent="0.25">
      <c r="A2344" t="s">
        <v>2348</v>
      </c>
      <c r="B2344">
        <v>0.99472303558308395</v>
      </c>
      <c r="C2344">
        <v>0.94562463323944901</v>
      </c>
      <c r="D2344">
        <v>0.99598766849045095</v>
      </c>
      <c r="E2344">
        <v>0.891968339159805</v>
      </c>
      <c r="F2344">
        <v>0.66022253482939997</v>
      </c>
      <c r="G2344">
        <v>0.397774144700836</v>
      </c>
      <c r="H2344">
        <v>0.105975764105271</v>
      </c>
      <c r="I2344">
        <v>4.8948030432916498E-2</v>
      </c>
      <c r="J2344">
        <v>5.8309236546658601E-2</v>
      </c>
      <c r="K2344">
        <v>4.8445311095497698E-2</v>
      </c>
      <c r="L2344">
        <v>1004.04314372183</v>
      </c>
      <c r="M2344">
        <v>19.306930643619101</v>
      </c>
      <c r="N2344">
        <v>52.089471500831998</v>
      </c>
      <c r="O2344">
        <v>51.456029940598398</v>
      </c>
      <c r="P2344">
        <v>-9.23486295449477E-2</v>
      </c>
      <c r="Q2344">
        <v>1.55421711727369E-2</v>
      </c>
      <c r="R2344">
        <v>0.99484369970487796</v>
      </c>
      <c r="S2344" t="s">
        <v>8912</v>
      </c>
      <c r="T2344" t="s">
        <v>13134</v>
      </c>
      <c r="U2344" t="s">
        <v>13134</v>
      </c>
      <c r="V2344" t="s">
        <v>13134</v>
      </c>
      <c r="W2344" t="s">
        <v>15432</v>
      </c>
      <c r="X2344">
        <v>34</v>
      </c>
      <c r="Y2344" t="s">
        <v>21887</v>
      </c>
      <c r="Z2344" t="s">
        <v>28312</v>
      </c>
      <c r="AA2344">
        <v>0.52133501034913843</v>
      </c>
      <c r="AB2344" t="str">
        <f>HYPERLINK("Melting_Curves/meltCurve_P21399_ACO1.pdf", "Melting_Curves/meltCurve_P21399_ACO1.pdf")</f>
        <v>Melting_Curves/meltCurve_P21399_ACO1.pdf</v>
      </c>
    </row>
    <row r="2345" spans="1:28" x14ac:dyDescent="0.25">
      <c r="A2345" t="s">
        <v>2349</v>
      </c>
      <c r="B2345">
        <v>0.99472303558308395</v>
      </c>
      <c r="C2345">
        <v>1.0723746970945001</v>
      </c>
      <c r="D2345">
        <v>0.901248317769898</v>
      </c>
      <c r="E2345">
        <v>0.82150089514950198</v>
      </c>
      <c r="F2345">
        <v>0.57971338706903597</v>
      </c>
      <c r="G2345">
        <v>0.239706454550148</v>
      </c>
      <c r="H2345">
        <v>0.119135874956334</v>
      </c>
      <c r="I2345">
        <v>7.30139000610147E-2</v>
      </c>
      <c r="J2345">
        <v>6.27960019039151E-2</v>
      </c>
      <c r="K2345">
        <v>2.8930459093563302E-2</v>
      </c>
      <c r="L2345">
        <v>927.44883255287095</v>
      </c>
      <c r="M2345">
        <v>18.341938103739398</v>
      </c>
      <c r="N2345">
        <v>50.713580012982597</v>
      </c>
      <c r="O2345">
        <v>49.974850797205299</v>
      </c>
      <c r="P2345">
        <v>-8.9350012419441099E-2</v>
      </c>
      <c r="Q2345">
        <v>2.6264727779093801E-2</v>
      </c>
      <c r="R2345">
        <v>0.992325458154798</v>
      </c>
      <c r="S2345" t="s">
        <v>8913</v>
      </c>
      <c r="T2345" t="s">
        <v>13134</v>
      </c>
      <c r="U2345" t="s">
        <v>13134</v>
      </c>
      <c r="V2345" t="s">
        <v>13134</v>
      </c>
      <c r="W2345" t="s">
        <v>15433</v>
      </c>
      <c r="X2345">
        <v>5</v>
      </c>
      <c r="Y2345" t="s">
        <v>21888</v>
      </c>
      <c r="Z2345" t="s">
        <v>28313</v>
      </c>
      <c r="AA2345">
        <v>0.48130336897897552</v>
      </c>
      <c r="AB2345" t="str">
        <f>HYPERLINK("Melting_Curves/meltCurve_P21580_TNFAIP3.pdf", "Melting_Curves/meltCurve_P21580_TNFAIP3.pdf")</f>
        <v>Melting_Curves/meltCurve_P21580_TNFAIP3.pdf</v>
      </c>
    </row>
    <row r="2346" spans="1:28" x14ac:dyDescent="0.25">
      <c r="A2346" t="s">
        <v>2350</v>
      </c>
      <c r="B2346">
        <v>0.99472303558308395</v>
      </c>
      <c r="C2346">
        <v>1.046451531457</v>
      </c>
      <c r="D2346">
        <v>0.93320272554533401</v>
      </c>
      <c r="E2346">
        <v>0.84193842944127995</v>
      </c>
      <c r="F2346">
        <v>0.66569865401004702</v>
      </c>
      <c r="G2346">
        <v>0.47930776575625</v>
      </c>
      <c r="H2346">
        <v>0.17404630661723999</v>
      </c>
      <c r="I2346">
        <v>0.107001240562333</v>
      </c>
      <c r="J2346">
        <v>0.120708098611516</v>
      </c>
      <c r="K2346">
        <v>0.14212027347855899</v>
      </c>
      <c r="L2346">
        <v>829.64658127259304</v>
      </c>
      <c r="M2346">
        <v>15.9543351285323</v>
      </c>
      <c r="N2346">
        <v>52.488213059551498</v>
      </c>
      <c r="O2346">
        <v>51.2049244584055</v>
      </c>
      <c r="P2346">
        <v>-7.2542551636950198E-2</v>
      </c>
      <c r="Q2346">
        <v>6.8781935975329306E-2</v>
      </c>
      <c r="R2346">
        <v>0.98709855732723895</v>
      </c>
      <c r="S2346" t="s">
        <v>8914</v>
      </c>
      <c r="T2346" t="s">
        <v>13134</v>
      </c>
      <c r="U2346" t="s">
        <v>13134</v>
      </c>
      <c r="V2346" t="s">
        <v>13134</v>
      </c>
      <c r="W2346" t="s">
        <v>15434</v>
      </c>
      <c r="X2346">
        <v>3</v>
      </c>
      <c r="Y2346" t="s">
        <v>21889</v>
      </c>
      <c r="Z2346" t="s">
        <v>28314</v>
      </c>
      <c r="AA2346">
        <v>0.5509790274616605</v>
      </c>
      <c r="AB2346" t="str">
        <f>HYPERLINK("Melting_Curves/meltCurve_P21695_2_GPD1.pdf", "Melting_Curves/meltCurve_P21695_2_GPD1.pdf")</f>
        <v>Melting_Curves/meltCurve_P21695_2_GPD1.pdf</v>
      </c>
    </row>
    <row r="2347" spans="1:28" x14ac:dyDescent="0.25">
      <c r="A2347" t="s">
        <v>2351</v>
      </c>
      <c r="B2347">
        <v>0.99472303558308395</v>
      </c>
      <c r="C2347">
        <v>1.1072555697089601</v>
      </c>
      <c r="D2347">
        <v>1.0577305671623101</v>
      </c>
      <c r="E2347">
        <v>1.0067311563405399</v>
      </c>
      <c r="F2347">
        <v>0.85936231432261401</v>
      </c>
      <c r="G2347">
        <v>0.68730894525003905</v>
      </c>
      <c r="H2347">
        <v>0.36186436557959001</v>
      </c>
      <c r="I2347">
        <v>0.38766671674834702</v>
      </c>
      <c r="J2347">
        <v>0.33364288519523499</v>
      </c>
      <c r="K2347">
        <v>0.37187711130543899</v>
      </c>
      <c r="L2347">
        <v>1500.2171531343199</v>
      </c>
      <c r="M2347">
        <v>28.077982399633498</v>
      </c>
      <c r="N2347">
        <v>55.728256463365597</v>
      </c>
      <c r="O2347">
        <v>53.161554397375099</v>
      </c>
      <c r="P2347">
        <v>-8.6764284475255707E-2</v>
      </c>
      <c r="Q2347">
        <v>0.34290362374216998</v>
      </c>
      <c r="R2347">
        <v>0.97327245970810905</v>
      </c>
      <c r="S2347" t="s">
        <v>8915</v>
      </c>
      <c r="T2347" t="s">
        <v>13134</v>
      </c>
      <c r="U2347" t="s">
        <v>13134</v>
      </c>
      <c r="V2347" t="s">
        <v>13134</v>
      </c>
      <c r="W2347" t="s">
        <v>15435</v>
      </c>
      <c r="X2347">
        <v>1</v>
      </c>
      <c r="Y2347" t="s">
        <v>21890</v>
      </c>
      <c r="Z2347" t="s">
        <v>28315</v>
      </c>
      <c r="AA2347">
        <v>0.70750962902391301</v>
      </c>
      <c r="AB2347" t="str">
        <f>HYPERLINK("Melting_Curves/meltCurve_P21731_TBXA2R.pdf", "Melting_Curves/meltCurve_P21731_TBXA2R.pdf")</f>
        <v>Melting_Curves/meltCurve_P21731_TBXA2R.pdf</v>
      </c>
    </row>
    <row r="2348" spans="1:28" x14ac:dyDescent="0.25">
      <c r="A2348" t="s">
        <v>2352</v>
      </c>
      <c r="B2348">
        <v>0.99472303558308395</v>
      </c>
      <c r="C2348">
        <v>1.0479160495917199</v>
      </c>
      <c r="D2348">
        <v>0.87794819146325898</v>
      </c>
      <c r="E2348">
        <v>0.88826943540185899</v>
      </c>
      <c r="F2348">
        <v>0.82485688861601503</v>
      </c>
      <c r="G2348">
        <v>0.46294289299344499</v>
      </c>
      <c r="H2348">
        <v>0.34391203356169098</v>
      </c>
      <c r="I2348">
        <v>0.28731190778545801</v>
      </c>
      <c r="J2348">
        <v>0.23506253728101201</v>
      </c>
      <c r="K2348">
        <v>0.45975648869115099</v>
      </c>
      <c r="L2348">
        <v>1520.43504828647</v>
      </c>
      <c r="M2348">
        <v>29.467576568587901</v>
      </c>
      <c r="N2348">
        <v>53.449523462065002</v>
      </c>
      <c r="O2348">
        <v>51.361001948934799</v>
      </c>
      <c r="P2348">
        <v>-9.7542150629988805E-2</v>
      </c>
      <c r="Q2348">
        <v>0.31995381936259998</v>
      </c>
      <c r="R2348">
        <v>0.939315019333823</v>
      </c>
      <c r="S2348" t="s">
        <v>8916</v>
      </c>
      <c r="T2348" t="s">
        <v>13134</v>
      </c>
      <c r="U2348" t="s">
        <v>13134</v>
      </c>
      <c r="V2348" t="s">
        <v>13134</v>
      </c>
      <c r="W2348" t="s">
        <v>15436</v>
      </c>
      <c r="X2348">
        <v>23</v>
      </c>
      <c r="Y2348" t="s">
        <v>21891</v>
      </c>
      <c r="Z2348" t="s">
        <v>28316</v>
      </c>
      <c r="AA2348">
        <v>0.65525937447142002</v>
      </c>
      <c r="AB2348" t="str">
        <f>HYPERLINK("Melting_Curves/meltCurve_P21796_VDAC1.pdf", "Melting_Curves/meltCurve_P21796_VDAC1.pdf")</f>
        <v>Melting_Curves/meltCurve_P21796_VDAC1.pdf</v>
      </c>
    </row>
    <row r="2349" spans="1:28" x14ac:dyDescent="0.25">
      <c r="A2349" t="s">
        <v>2353</v>
      </c>
      <c r="B2349">
        <v>0.99472303558308395</v>
      </c>
      <c r="C2349">
        <v>0.955538281309533</v>
      </c>
      <c r="D2349">
        <v>0.96376773903210899</v>
      </c>
      <c r="E2349">
        <v>0.90236452627817698</v>
      </c>
      <c r="F2349">
        <v>0.61059396862846604</v>
      </c>
      <c r="G2349">
        <v>0.52799126468825497</v>
      </c>
      <c r="H2349">
        <v>0.261137058795676</v>
      </c>
      <c r="I2349">
        <v>0.22912221859009199</v>
      </c>
      <c r="J2349">
        <v>7.7737987882907394E-2</v>
      </c>
      <c r="K2349">
        <v>8.6372671487627395E-2</v>
      </c>
      <c r="L2349">
        <v>647.96414382665796</v>
      </c>
      <c r="M2349">
        <v>12.143723325451299</v>
      </c>
      <c r="N2349">
        <v>53.362756838387199</v>
      </c>
      <c r="O2349">
        <v>51.972856463506297</v>
      </c>
      <c r="P2349">
        <v>-5.8395262776922502E-2</v>
      </c>
      <c r="Q2349">
        <v>5.4700690128563797E-4</v>
      </c>
      <c r="R2349">
        <v>0.98699437009818103</v>
      </c>
      <c r="S2349" t="s">
        <v>8917</v>
      </c>
      <c r="T2349" t="s">
        <v>13134</v>
      </c>
      <c r="U2349" t="s">
        <v>13134</v>
      </c>
      <c r="V2349" t="s">
        <v>13134</v>
      </c>
      <c r="W2349" t="s">
        <v>15437</v>
      </c>
      <c r="X2349">
        <v>21</v>
      </c>
      <c r="Y2349" t="s">
        <v>21892</v>
      </c>
      <c r="Z2349" t="s">
        <v>28317</v>
      </c>
      <c r="AA2349">
        <v>0.56540871242463775</v>
      </c>
      <c r="AB2349" t="str">
        <f>HYPERLINK("Melting_Curves/meltCurve_P21912_SDHB.pdf", "Melting_Curves/meltCurve_P21912_SDHB.pdf")</f>
        <v>Melting_Curves/meltCurve_P21912_SDHB.pdf</v>
      </c>
    </row>
    <row r="2350" spans="1:28" x14ac:dyDescent="0.25">
      <c r="A2350" t="s">
        <v>2354</v>
      </c>
      <c r="B2350">
        <v>0.99472303558308395</v>
      </c>
      <c r="C2350">
        <v>1.0008688227023701</v>
      </c>
      <c r="D2350">
        <v>1.07471174179422</v>
      </c>
      <c r="E2350">
        <v>0.93971460011299202</v>
      </c>
      <c r="F2350">
        <v>0.63667215778498598</v>
      </c>
      <c r="G2350">
        <v>0.48627076035635602</v>
      </c>
      <c r="H2350">
        <v>0.21930178935014399</v>
      </c>
      <c r="I2350">
        <v>0.112989419788723</v>
      </c>
      <c r="J2350">
        <v>0.109912607735519</v>
      </c>
      <c r="K2350">
        <v>8.6959749624827401E-2</v>
      </c>
      <c r="L2350">
        <v>930.95867911577704</v>
      </c>
      <c r="M2350">
        <v>17.752667464860998</v>
      </c>
      <c r="N2350">
        <v>52.850624688870802</v>
      </c>
      <c r="O2350">
        <v>51.7886615696736</v>
      </c>
      <c r="P2350">
        <v>-8.0187444614611705E-2</v>
      </c>
      <c r="Q2350">
        <v>6.4347019896364294E-2</v>
      </c>
      <c r="R2350">
        <v>0.987776507878524</v>
      </c>
      <c r="S2350" t="s">
        <v>8918</v>
      </c>
      <c r="T2350" t="s">
        <v>13134</v>
      </c>
      <c r="U2350" t="s">
        <v>13134</v>
      </c>
      <c r="V2350" t="s">
        <v>13134</v>
      </c>
      <c r="W2350" t="s">
        <v>15438</v>
      </c>
      <c r="X2350">
        <v>21</v>
      </c>
      <c r="Y2350" t="s">
        <v>21893</v>
      </c>
      <c r="Z2350" t="s">
        <v>28318</v>
      </c>
      <c r="AA2350">
        <v>0.56010923146354841</v>
      </c>
      <c r="AB2350" t="str">
        <f>HYPERLINK("Melting_Curves/meltCurve_P21964_2_COMT.pdf", "Melting_Curves/meltCurve_P21964_2_COMT.pdf")</f>
        <v>Melting_Curves/meltCurve_P21964_2_COMT.pdf</v>
      </c>
    </row>
    <row r="2351" spans="1:28" x14ac:dyDescent="0.25">
      <c r="A2351" t="s">
        <v>2355</v>
      </c>
      <c r="B2351">
        <v>0.99472303558308395</v>
      </c>
      <c r="C2351">
        <v>0.98647262205933695</v>
      </c>
      <c r="D2351">
        <v>0.97849649081331003</v>
      </c>
      <c r="E2351">
        <v>0.91856762293436101</v>
      </c>
      <c r="F2351">
        <v>0.69368221856925605</v>
      </c>
      <c r="G2351">
        <v>0.36950505456892002</v>
      </c>
      <c r="H2351">
        <v>8.9449620767660803E-2</v>
      </c>
      <c r="I2351">
        <v>4.74318196172984E-2</v>
      </c>
      <c r="J2351">
        <v>4.6236550216361798E-2</v>
      </c>
      <c r="K2351">
        <v>3.5388655077053702E-2</v>
      </c>
      <c r="L2351">
        <v>1141.08574655644</v>
      </c>
      <c r="M2351">
        <v>21.911435318093801</v>
      </c>
      <c r="N2351">
        <v>52.153611554909297</v>
      </c>
      <c r="O2351">
        <v>51.649230788543001</v>
      </c>
      <c r="P2351">
        <v>-0.104385368238039</v>
      </c>
      <c r="Q2351">
        <v>1.58012300700082E-2</v>
      </c>
      <c r="R2351">
        <v>0.99810575623973796</v>
      </c>
      <c r="S2351" t="s">
        <v>8919</v>
      </c>
      <c r="T2351" t="s">
        <v>13134</v>
      </c>
      <c r="U2351" t="s">
        <v>13134</v>
      </c>
      <c r="V2351" t="s">
        <v>13134</v>
      </c>
      <c r="W2351" t="s">
        <v>15439</v>
      </c>
      <c r="X2351">
        <v>23</v>
      </c>
      <c r="Y2351" t="s">
        <v>21894</v>
      </c>
      <c r="Z2351" t="s">
        <v>28319</v>
      </c>
      <c r="AA2351">
        <v>0.52138795862073928</v>
      </c>
      <c r="AB2351" t="str">
        <f>HYPERLINK("Melting_Curves/meltCurve_P21980_TGM2.pdf", "Melting_Curves/meltCurve_P21980_TGM2.pdf")</f>
        <v>Melting_Curves/meltCurve_P21980_TGM2.pdf</v>
      </c>
    </row>
    <row r="2352" spans="1:28" x14ac:dyDescent="0.25">
      <c r="A2352" t="s">
        <v>2356</v>
      </c>
      <c r="B2352">
        <v>0.99472303558308395</v>
      </c>
      <c r="C2352">
        <v>0.92602209750128395</v>
      </c>
      <c r="D2352">
        <v>0.91797732837206503</v>
      </c>
      <c r="E2352">
        <v>0.79705651347944295</v>
      </c>
      <c r="F2352">
        <v>0.53383541377044896</v>
      </c>
      <c r="G2352">
        <v>0.20346760467615599</v>
      </c>
      <c r="H2352">
        <v>9.0204456316881398E-2</v>
      </c>
      <c r="I2352">
        <v>6.0420047016742598E-2</v>
      </c>
      <c r="J2352">
        <v>7.5461644685516902E-2</v>
      </c>
      <c r="K2352">
        <v>6.7958918187131998E-2</v>
      </c>
      <c r="L2352">
        <v>950.92847854986906</v>
      </c>
      <c r="M2352">
        <v>19.0513684507786</v>
      </c>
      <c r="N2352">
        <v>50.139097086854697</v>
      </c>
      <c r="O2352">
        <v>49.373727633992402</v>
      </c>
      <c r="P2352">
        <v>-9.2513878390246496E-2</v>
      </c>
      <c r="Q2352">
        <v>4.0997996110257402E-2</v>
      </c>
      <c r="R2352">
        <v>0.99334251935822104</v>
      </c>
      <c r="S2352" t="s">
        <v>8920</v>
      </c>
      <c r="T2352" t="s">
        <v>13134</v>
      </c>
      <c r="U2352" t="s">
        <v>13134</v>
      </c>
      <c r="V2352" t="s">
        <v>13134</v>
      </c>
      <c r="W2352" t="s">
        <v>15440</v>
      </c>
      <c r="X2352">
        <v>20</v>
      </c>
      <c r="Y2352" t="s">
        <v>21895</v>
      </c>
      <c r="Z2352" t="s">
        <v>28320</v>
      </c>
      <c r="AA2352">
        <v>0.46755709623566022</v>
      </c>
      <c r="AB2352" t="str">
        <f>HYPERLINK("Melting_Curves/meltCurve_P22033_MUT.pdf", "Melting_Curves/meltCurve_P22033_MUT.pdf")</f>
        <v>Melting_Curves/meltCurve_P22033_MUT.pdf</v>
      </c>
    </row>
    <row r="2353" spans="1:28" x14ac:dyDescent="0.25">
      <c r="A2353" t="s">
        <v>2357</v>
      </c>
      <c r="B2353">
        <v>0.99472303558308395</v>
      </c>
      <c r="C2353">
        <v>1.06222636987066</v>
      </c>
      <c r="D2353">
        <v>0.90154341921645798</v>
      </c>
      <c r="E2353">
        <v>0.87725190973451295</v>
      </c>
      <c r="F2353">
        <v>0.52653800662330497</v>
      </c>
      <c r="G2353">
        <v>0.11970458020962101</v>
      </c>
      <c r="H2353">
        <v>7.3781496709606306E-2</v>
      </c>
      <c r="I2353">
        <v>5.7862141179293003E-2</v>
      </c>
      <c r="J2353">
        <v>7.4754383921876694E-2</v>
      </c>
      <c r="K2353">
        <v>6.2096346962818197E-2</v>
      </c>
      <c r="L2353">
        <v>1451.8967134264699</v>
      </c>
      <c r="M2353">
        <v>29.041175163376199</v>
      </c>
      <c r="N2353">
        <v>50.190496539322702</v>
      </c>
      <c r="O2353">
        <v>49.7591657651137</v>
      </c>
      <c r="P2353">
        <v>-0.13808500449641201</v>
      </c>
      <c r="Q2353">
        <v>5.36273204775847E-2</v>
      </c>
      <c r="R2353">
        <v>0.99117305582662396</v>
      </c>
      <c r="S2353" t="s">
        <v>8921</v>
      </c>
      <c r="T2353" t="s">
        <v>13134</v>
      </c>
      <c r="U2353" t="s">
        <v>13134</v>
      </c>
      <c r="V2353" t="s">
        <v>13134</v>
      </c>
      <c r="W2353" t="s">
        <v>15441</v>
      </c>
      <c r="X2353">
        <v>29</v>
      </c>
      <c r="Y2353" t="s">
        <v>21896</v>
      </c>
      <c r="Z2353" t="s">
        <v>28321</v>
      </c>
      <c r="AA2353">
        <v>0.4697359444665461</v>
      </c>
      <c r="AB2353" t="str">
        <f>HYPERLINK("Melting_Curves/meltCurve_P22059_OSBP.pdf", "Melting_Curves/meltCurve_P22059_OSBP.pdf")</f>
        <v>Melting_Curves/meltCurve_P22059_OSBP.pdf</v>
      </c>
    </row>
    <row r="2354" spans="1:28" x14ac:dyDescent="0.25">
      <c r="A2354" t="s">
        <v>2358</v>
      </c>
      <c r="B2354">
        <v>0.99472303558308395</v>
      </c>
      <c r="C2354">
        <v>0.99261268135124703</v>
      </c>
      <c r="D2354">
        <v>0.99285453618179498</v>
      </c>
      <c r="E2354">
        <v>0.872840484599681</v>
      </c>
      <c r="F2354">
        <v>0.55317728465500404</v>
      </c>
      <c r="G2354">
        <v>0.20005241577548399</v>
      </c>
      <c r="H2354">
        <v>6.3105608466032095E-2</v>
      </c>
      <c r="I2354">
        <v>3.9537762851483603E-2</v>
      </c>
      <c r="J2354">
        <v>4.4157663132430698E-2</v>
      </c>
      <c r="K2354">
        <v>3.5278190112276099E-2</v>
      </c>
      <c r="L2354">
        <v>1233.9475234886199</v>
      </c>
      <c r="M2354">
        <v>24.457908033133499</v>
      </c>
      <c r="N2354">
        <v>50.573310233990298</v>
      </c>
      <c r="O2354">
        <v>50.118228887572897</v>
      </c>
      <c r="P2354">
        <v>-0.118523766425701</v>
      </c>
      <c r="Q2354">
        <v>2.8516350891738401E-2</v>
      </c>
      <c r="R2354">
        <v>0.99961322396318397</v>
      </c>
      <c r="S2354" t="s">
        <v>8922</v>
      </c>
      <c r="T2354" t="s">
        <v>13134</v>
      </c>
      <c r="U2354" t="s">
        <v>13134</v>
      </c>
      <c r="V2354" t="s">
        <v>13134</v>
      </c>
      <c r="W2354" t="s">
        <v>15442</v>
      </c>
      <c r="X2354">
        <v>50</v>
      </c>
      <c r="Y2354" t="s">
        <v>19974</v>
      </c>
      <c r="Z2354" t="s">
        <v>28322</v>
      </c>
      <c r="AA2354">
        <v>0.47301847163714161</v>
      </c>
      <c r="AB2354" t="str">
        <f>HYPERLINK("Melting_Curves/meltCurve_P22102_GART.pdf", "Melting_Curves/meltCurve_P22102_GART.pdf")</f>
        <v>Melting_Curves/meltCurve_P22102_GART.pdf</v>
      </c>
    </row>
    <row r="2355" spans="1:28" x14ac:dyDescent="0.25">
      <c r="A2355" t="s">
        <v>2359</v>
      </c>
      <c r="B2355">
        <v>0.99472303558308395</v>
      </c>
      <c r="C2355">
        <v>0.92702122689910305</v>
      </c>
      <c r="D2355">
        <v>0.761383726556357</v>
      </c>
      <c r="E2355">
        <v>0.71618571096425698</v>
      </c>
      <c r="F2355">
        <v>0.90570349425574803</v>
      </c>
      <c r="G2355">
        <v>0.50874837491414204</v>
      </c>
      <c r="H2355">
        <v>0.33206969245865797</v>
      </c>
      <c r="I2355">
        <v>0.25340079894237899</v>
      </c>
      <c r="J2355">
        <v>0.43677209079865598</v>
      </c>
      <c r="K2355">
        <v>0.65441204964228195</v>
      </c>
      <c r="L2355">
        <v>492.50192238583003</v>
      </c>
      <c r="M2355">
        <v>10.169901046527301</v>
      </c>
      <c r="N2355">
        <v>56.724136599905499</v>
      </c>
      <c r="O2355">
        <v>46.666911379197103</v>
      </c>
      <c r="P2355">
        <v>-3.3410586481660197E-2</v>
      </c>
      <c r="Q2355">
        <v>0.38703116327581299</v>
      </c>
      <c r="R2355">
        <v>0.65814837094048895</v>
      </c>
      <c r="S2355" t="s">
        <v>8923</v>
      </c>
      <c r="T2355" t="s">
        <v>13134</v>
      </c>
      <c r="U2355" t="s">
        <v>13134</v>
      </c>
      <c r="V2355" t="s">
        <v>13134</v>
      </c>
      <c r="W2355" t="s">
        <v>15443</v>
      </c>
      <c r="X2355">
        <v>33</v>
      </c>
      <c r="Y2355" t="s">
        <v>21897</v>
      </c>
      <c r="Z2355" t="s">
        <v>28323</v>
      </c>
      <c r="AA2355">
        <v>0.64386707639025453</v>
      </c>
      <c r="AB2355" t="str">
        <f>HYPERLINK("Melting_Curves/meltCurve_P22234_PAICS.pdf", "Melting_Curves/meltCurve_P22234_PAICS.pdf")</f>
        <v>Melting_Curves/meltCurve_P22234_PAICS.pdf</v>
      </c>
    </row>
    <row r="2356" spans="1:28" x14ac:dyDescent="0.25">
      <c r="A2356" t="s">
        <v>2360</v>
      </c>
      <c r="B2356">
        <v>0.99472303558308395</v>
      </c>
      <c r="C2356">
        <v>0.99103794023082503</v>
      </c>
      <c r="D2356">
        <v>0.96514772740528498</v>
      </c>
      <c r="E2356">
        <v>0.92331983113492699</v>
      </c>
      <c r="F2356">
        <v>0.72006803691690202</v>
      </c>
      <c r="G2356">
        <v>0.52028147945554504</v>
      </c>
      <c r="H2356">
        <v>0.24421746125555099</v>
      </c>
      <c r="I2356">
        <v>0.16836902040564</v>
      </c>
      <c r="J2356">
        <v>0.18201519068243499</v>
      </c>
      <c r="K2356">
        <v>0.13422585424629799</v>
      </c>
      <c r="L2356">
        <v>931.98545229480305</v>
      </c>
      <c r="M2356">
        <v>17.688273973644801</v>
      </c>
      <c r="N2356">
        <v>53.476991902928802</v>
      </c>
      <c r="O2356">
        <v>52.029844944684498</v>
      </c>
      <c r="P2356">
        <v>-7.52496484715343E-2</v>
      </c>
      <c r="Q2356">
        <v>0.114663059182973</v>
      </c>
      <c r="R2356">
        <v>0.99570181634167598</v>
      </c>
      <c r="S2356" t="s">
        <v>8924</v>
      </c>
      <c r="T2356" t="s">
        <v>13134</v>
      </c>
      <c r="U2356" t="s">
        <v>13134</v>
      </c>
      <c r="V2356" t="s">
        <v>13134</v>
      </c>
      <c r="W2356" t="s">
        <v>15444</v>
      </c>
      <c r="X2356">
        <v>18</v>
      </c>
      <c r="Y2356" t="s">
        <v>21898</v>
      </c>
      <c r="Z2356" t="s">
        <v>28324</v>
      </c>
      <c r="AA2356">
        <v>0.59103542722626845</v>
      </c>
      <c r="AB2356" t="str">
        <f>HYPERLINK("Melting_Curves/meltCurve_P22307_SCP2.pdf", "Melting_Curves/meltCurve_P22307_SCP2.pdf")</f>
        <v>Melting_Curves/meltCurve_P22307_SCP2.pdf</v>
      </c>
    </row>
    <row r="2357" spans="1:28" x14ac:dyDescent="0.25">
      <c r="A2357" t="s">
        <v>2361</v>
      </c>
      <c r="B2357">
        <v>0.99472303558308395</v>
      </c>
      <c r="C2357">
        <v>0.902210258267517</v>
      </c>
      <c r="D2357">
        <v>1.21106944625831</v>
      </c>
      <c r="E2357">
        <v>1.0852726575252101</v>
      </c>
      <c r="F2357">
        <v>0.88658324448783499</v>
      </c>
      <c r="G2357">
        <v>0.79353512601364495</v>
      </c>
      <c r="H2357">
        <v>0.27380996988439299</v>
      </c>
      <c r="I2357">
        <v>0.191305808964049</v>
      </c>
      <c r="J2357">
        <v>0.167334895679943</v>
      </c>
      <c r="K2357">
        <v>0.121429937567477</v>
      </c>
      <c r="L2357">
        <v>2214.7267258541901</v>
      </c>
      <c r="M2357">
        <v>40.156851400022703</v>
      </c>
      <c r="N2357">
        <v>55.6390070722274</v>
      </c>
      <c r="O2357">
        <v>55.015664276636002</v>
      </c>
      <c r="P2357">
        <v>-0.155434977397754</v>
      </c>
      <c r="Q2357">
        <v>0.14820608383928</v>
      </c>
      <c r="R2357">
        <v>0.95476755530565405</v>
      </c>
      <c r="S2357" t="s">
        <v>8925</v>
      </c>
      <c r="T2357" t="s">
        <v>13134</v>
      </c>
      <c r="U2357" t="s">
        <v>13134</v>
      </c>
      <c r="V2357" t="s">
        <v>13134</v>
      </c>
      <c r="W2357" t="s">
        <v>15445</v>
      </c>
      <c r="X2357">
        <v>16</v>
      </c>
      <c r="Y2357" t="s">
        <v>21898</v>
      </c>
      <c r="Z2357" t="s">
        <v>28325</v>
      </c>
      <c r="AA2357">
        <v>0.66676747353444887</v>
      </c>
      <c r="AB2357" t="str">
        <f>HYPERLINK("Melting_Curves/meltCurve_P22307_2_SCP2.pdf", "Melting_Curves/meltCurve_P22307_2_SCP2.pdf")</f>
        <v>Melting_Curves/meltCurve_P22307_2_SCP2.pdf</v>
      </c>
    </row>
    <row r="2358" spans="1:28" x14ac:dyDescent="0.25">
      <c r="A2358" t="s">
        <v>2362</v>
      </c>
      <c r="B2358">
        <v>0.99472303558308395</v>
      </c>
      <c r="C2358">
        <v>0.96389621389927904</v>
      </c>
      <c r="D2358">
        <v>0.99872480334632097</v>
      </c>
      <c r="E2358">
        <v>0.82200239404926601</v>
      </c>
      <c r="F2358">
        <v>0.17145732134958899</v>
      </c>
      <c r="G2358">
        <v>9.2285528196330999E-2</v>
      </c>
      <c r="H2358">
        <v>5.5581139040735403E-2</v>
      </c>
      <c r="I2358">
        <v>3.94601153189445E-2</v>
      </c>
      <c r="J2358">
        <v>4.8650648180423098E-2</v>
      </c>
      <c r="K2358">
        <v>4.6788762877111603E-2</v>
      </c>
      <c r="L2358">
        <v>2191.0333652967802</v>
      </c>
      <c r="M2358">
        <v>45.564543627566302</v>
      </c>
      <c r="N2358">
        <v>48.207902571843299</v>
      </c>
      <c r="O2358">
        <v>47.994018181988302</v>
      </c>
      <c r="P2358">
        <v>-0.22446716432014099</v>
      </c>
      <c r="Q2358">
        <v>5.4258702388867701E-2</v>
      </c>
      <c r="R2358">
        <v>0.99859398710604996</v>
      </c>
      <c r="S2358" t="s">
        <v>8926</v>
      </c>
      <c r="T2358" t="s">
        <v>13134</v>
      </c>
      <c r="U2358" t="s">
        <v>13134</v>
      </c>
      <c r="V2358" t="s">
        <v>13134</v>
      </c>
      <c r="W2358" t="s">
        <v>15446</v>
      </c>
      <c r="X2358">
        <v>51</v>
      </c>
      <c r="Y2358" t="s">
        <v>21899</v>
      </c>
      <c r="Z2358" t="s">
        <v>28326</v>
      </c>
      <c r="AA2358">
        <v>0.40617141848386651</v>
      </c>
      <c r="AB2358" t="str">
        <f>HYPERLINK("Melting_Curves/meltCurve_P22314_UBA1.pdf", "Melting_Curves/meltCurve_P22314_UBA1.pdf")</f>
        <v>Melting_Curves/meltCurve_P22314_UBA1.pdf</v>
      </c>
    </row>
    <row r="2359" spans="1:28" x14ac:dyDescent="0.25">
      <c r="A2359" t="s">
        <v>2363</v>
      </c>
      <c r="B2359">
        <v>0.99472303558308395</v>
      </c>
      <c r="C2359">
        <v>1.0287441179913801</v>
      </c>
      <c r="D2359">
        <v>0.93836401895052102</v>
      </c>
      <c r="E2359">
        <v>0.82246484017214805</v>
      </c>
      <c r="F2359">
        <v>0.66915695196644398</v>
      </c>
      <c r="G2359">
        <v>0.446421712608986</v>
      </c>
      <c r="H2359">
        <v>0.31776738634271001</v>
      </c>
      <c r="I2359">
        <v>0.35604904876472798</v>
      </c>
      <c r="J2359">
        <v>0.42794425929248098</v>
      </c>
      <c r="K2359">
        <v>0.344332497202684</v>
      </c>
      <c r="L2359">
        <v>965.50572056318094</v>
      </c>
      <c r="M2359">
        <v>19.533076660567499</v>
      </c>
      <c r="N2359">
        <v>52.631611113679099</v>
      </c>
      <c r="O2359">
        <v>48.919939859241197</v>
      </c>
      <c r="P2359">
        <v>-6.5120128207614397E-2</v>
      </c>
      <c r="Q2359">
        <v>0.34765854655823197</v>
      </c>
      <c r="R2359">
        <v>0.97996386630058296</v>
      </c>
      <c r="S2359" t="s">
        <v>8927</v>
      </c>
      <c r="T2359" t="s">
        <v>13134</v>
      </c>
      <c r="U2359" t="s">
        <v>13134</v>
      </c>
      <c r="V2359" t="s">
        <v>13134</v>
      </c>
      <c r="W2359" t="s">
        <v>15447</v>
      </c>
      <c r="X2359">
        <v>2</v>
      </c>
      <c r="Y2359" t="s">
        <v>21900</v>
      </c>
      <c r="Z2359" t="s">
        <v>28327</v>
      </c>
      <c r="AA2359">
        <v>0.62689673071268992</v>
      </c>
      <c r="AB2359" t="str">
        <f>HYPERLINK("Melting_Curves/meltCurve_P22466_GAL.pdf", "Melting_Curves/meltCurve_P22466_GAL.pdf")</f>
        <v>Melting_Curves/meltCurve_P22466_GAL.pdf</v>
      </c>
    </row>
    <row r="2360" spans="1:28" x14ac:dyDescent="0.25">
      <c r="A2360" t="s">
        <v>2364</v>
      </c>
      <c r="B2360">
        <v>0.99472303558308395</v>
      </c>
      <c r="C2360">
        <v>1.1342496632187999</v>
      </c>
      <c r="D2360">
        <v>0.98261036599018803</v>
      </c>
      <c r="E2360">
        <v>0.65235275225670697</v>
      </c>
      <c r="F2360">
        <v>0.75322594300252599</v>
      </c>
      <c r="G2360">
        <v>0.557598235326068</v>
      </c>
      <c r="H2360">
        <v>0.42201167811273999</v>
      </c>
      <c r="I2360">
        <v>0.52003812152371098</v>
      </c>
      <c r="J2360">
        <v>0.89818351191589396</v>
      </c>
      <c r="K2360">
        <v>0.64726708876976802</v>
      </c>
      <c r="L2360">
        <v>3231.3491825809201</v>
      </c>
      <c r="M2360">
        <v>72.150295897179404</v>
      </c>
      <c r="O2360">
        <v>44.751999880705498</v>
      </c>
      <c r="P2360">
        <v>-0.14799760639155801</v>
      </c>
      <c r="Q2360">
        <v>0.63281169116104996</v>
      </c>
      <c r="R2360">
        <v>0.66857956262080298</v>
      </c>
      <c r="S2360" t="s">
        <v>8928</v>
      </c>
      <c r="T2360" t="s">
        <v>13134</v>
      </c>
      <c r="U2360" t="s">
        <v>13134</v>
      </c>
      <c r="V2360" t="s">
        <v>13134</v>
      </c>
      <c r="W2360" t="s">
        <v>15448</v>
      </c>
      <c r="X2360">
        <v>2</v>
      </c>
      <c r="Y2360" t="s">
        <v>21901</v>
      </c>
      <c r="Z2360" t="s">
        <v>28328</v>
      </c>
      <c r="AA2360">
        <v>0.72846106924764764</v>
      </c>
      <c r="AB2360" t="str">
        <f>HYPERLINK("Melting_Curves/meltCurve_P22532_SPRR2D.pdf", "Melting_Curves/meltCurve_P22532_SPRR2D.pdf")</f>
        <v>Melting_Curves/meltCurve_P22532_SPRR2D.pdf</v>
      </c>
    </row>
    <row r="2361" spans="1:28" x14ac:dyDescent="0.25">
      <c r="A2361" t="s">
        <v>2365</v>
      </c>
      <c r="B2361">
        <v>0.99472303558308395</v>
      </c>
      <c r="C2361">
        <v>1.0008666633924901</v>
      </c>
      <c r="D2361">
        <v>0.997698433209532</v>
      </c>
      <c r="E2361">
        <v>0.84421308287118701</v>
      </c>
      <c r="F2361">
        <v>0.317730452952037</v>
      </c>
      <c r="G2361">
        <v>0.122271893983497</v>
      </c>
      <c r="H2361">
        <v>7.0968086062569505E-2</v>
      </c>
      <c r="I2361">
        <v>5.7902217600619997E-2</v>
      </c>
      <c r="J2361">
        <v>6.1202562804074399E-2</v>
      </c>
      <c r="K2361">
        <v>5.3782399354832998E-2</v>
      </c>
      <c r="L2361">
        <v>1644.5034809502899</v>
      </c>
      <c r="M2361">
        <v>33.705948670566002</v>
      </c>
      <c r="N2361">
        <v>48.985104287806301</v>
      </c>
      <c r="O2361">
        <v>48.618931151257897</v>
      </c>
      <c r="P2361">
        <v>-0.16241481858314299</v>
      </c>
      <c r="Q2361">
        <v>6.2906959687875394E-2</v>
      </c>
      <c r="R2361">
        <v>0.999607482236747</v>
      </c>
      <c r="S2361" t="s">
        <v>8929</v>
      </c>
      <c r="T2361" t="s">
        <v>13134</v>
      </c>
      <c r="U2361" t="s">
        <v>13134</v>
      </c>
      <c r="V2361" t="s">
        <v>13134</v>
      </c>
      <c r="W2361" t="s">
        <v>14391</v>
      </c>
      <c r="X2361">
        <v>24</v>
      </c>
      <c r="Y2361" t="s">
        <v>20878</v>
      </c>
      <c r="Z2361" t="s">
        <v>28329</v>
      </c>
      <c r="AA2361">
        <v>0.43563467490786051</v>
      </c>
      <c r="AB2361" t="str">
        <f>HYPERLINK("Melting_Curves/meltCurve_P22570_FDXR.pdf", "Melting_Curves/meltCurve_P22570_FDXR.pdf")</f>
        <v>Melting_Curves/meltCurve_P22570_FDXR.pdf</v>
      </c>
    </row>
    <row r="2362" spans="1:28" x14ac:dyDescent="0.25">
      <c r="A2362" t="s">
        <v>2366</v>
      </c>
      <c r="B2362">
        <v>0.99472303558308395</v>
      </c>
      <c r="C2362">
        <v>0.96802634667657805</v>
      </c>
      <c r="D2362">
        <v>0.97371942855286397</v>
      </c>
      <c r="E2362">
        <v>0.86617762230420603</v>
      </c>
      <c r="F2362">
        <v>0.41061559992042002</v>
      </c>
      <c r="G2362">
        <v>0.16583078114150701</v>
      </c>
      <c r="H2362">
        <v>0.122534135181914</v>
      </c>
      <c r="I2362">
        <v>0.16022580580883</v>
      </c>
      <c r="J2362">
        <v>0.16152160444888999</v>
      </c>
      <c r="K2362">
        <v>0.16960074982954301</v>
      </c>
      <c r="L2362">
        <v>1674.8216128877</v>
      </c>
      <c r="M2362">
        <v>34.219701468097</v>
      </c>
      <c r="N2362">
        <v>49.4519745204625</v>
      </c>
      <c r="O2362">
        <v>48.776939464167597</v>
      </c>
      <c r="P2362">
        <v>-0.14936472882218901</v>
      </c>
      <c r="Q2362">
        <v>0.148381946135732</v>
      </c>
      <c r="R2362">
        <v>0.99749209003601202</v>
      </c>
      <c r="S2362" t="s">
        <v>8930</v>
      </c>
      <c r="T2362" t="s">
        <v>13134</v>
      </c>
      <c r="U2362" t="s">
        <v>13134</v>
      </c>
      <c r="V2362" t="s">
        <v>13134</v>
      </c>
      <c r="W2362" t="s">
        <v>15449</v>
      </c>
      <c r="X2362">
        <v>18</v>
      </c>
      <c r="Y2362" t="s">
        <v>21902</v>
      </c>
      <c r="Z2362" t="s">
        <v>28330</v>
      </c>
      <c r="AA2362">
        <v>0.49135959610735119</v>
      </c>
      <c r="AB2362" t="str">
        <f>HYPERLINK("Melting_Curves/meltCurve_P22626_2_HNRNPA2B1.pdf", "Melting_Curves/meltCurve_P22626_2_HNRNPA2B1.pdf")</f>
        <v>Melting_Curves/meltCurve_P22626_2_HNRNPA2B1.pdf</v>
      </c>
    </row>
    <row r="2363" spans="1:28" x14ac:dyDescent="0.25">
      <c r="A2363" t="s">
        <v>2367</v>
      </c>
      <c r="B2363">
        <v>0.99472303558308395</v>
      </c>
      <c r="C2363">
        <v>0.88932033306342095</v>
      </c>
      <c r="D2363">
        <v>0.87421478475451297</v>
      </c>
      <c r="E2363">
        <v>0.68658504989817404</v>
      </c>
      <c r="F2363">
        <v>0.449693146664909</v>
      </c>
      <c r="G2363">
        <v>0.159015869917258</v>
      </c>
      <c r="H2363">
        <v>7.4865781314513394E-2</v>
      </c>
      <c r="I2363">
        <v>5.9418696004282998E-2</v>
      </c>
      <c r="J2363">
        <v>5.6520407157482098E-2</v>
      </c>
      <c r="K2363">
        <v>4.6668406527797003E-2</v>
      </c>
      <c r="L2363">
        <v>733.41468645345105</v>
      </c>
      <c r="M2363">
        <v>15.021044597646</v>
      </c>
      <c r="N2363">
        <v>48.894345551991897</v>
      </c>
      <c r="O2363">
        <v>47.984977004568499</v>
      </c>
      <c r="P2363">
        <v>-7.7451655377645895E-2</v>
      </c>
      <c r="Q2363">
        <v>1.0417322121035801E-2</v>
      </c>
      <c r="R2363">
        <v>0.991280497120127</v>
      </c>
      <c r="S2363" t="s">
        <v>8931</v>
      </c>
      <c r="T2363" t="s">
        <v>13134</v>
      </c>
      <c r="U2363" t="s">
        <v>13134</v>
      </c>
      <c r="V2363" t="s">
        <v>13134</v>
      </c>
      <c r="W2363" t="s">
        <v>15450</v>
      </c>
      <c r="X2363">
        <v>4</v>
      </c>
      <c r="Y2363" t="s">
        <v>21903</v>
      </c>
      <c r="Z2363" t="s">
        <v>28331</v>
      </c>
      <c r="AA2363">
        <v>0.42183855220559607</v>
      </c>
      <c r="AB2363" t="str">
        <f>HYPERLINK("Melting_Curves/meltCurve_P22670_RFX1.pdf", "Melting_Curves/meltCurve_P22670_RFX1.pdf")</f>
        <v>Melting_Curves/meltCurve_P22670_RFX1.pdf</v>
      </c>
    </row>
    <row r="2364" spans="1:28" x14ac:dyDescent="0.25">
      <c r="A2364" t="s">
        <v>2368</v>
      </c>
      <c r="B2364">
        <v>0.99472303558308395</v>
      </c>
      <c r="C2364">
        <v>1.05880743146554</v>
      </c>
      <c r="D2364">
        <v>0.98342114278553405</v>
      </c>
      <c r="E2364">
        <v>0.90466240626440897</v>
      </c>
      <c r="F2364">
        <v>0.74297292407097704</v>
      </c>
      <c r="G2364">
        <v>0.53051973424395904</v>
      </c>
      <c r="H2364">
        <v>0.21972812444429499</v>
      </c>
      <c r="I2364">
        <v>7.5278412733895503E-2</v>
      </c>
      <c r="J2364">
        <v>6.9890759727579799E-2</v>
      </c>
      <c r="K2364">
        <v>6.3088897198391503E-2</v>
      </c>
      <c r="L2364">
        <v>930.84030038284004</v>
      </c>
      <c r="M2364">
        <v>17.385045788732899</v>
      </c>
      <c r="N2364">
        <v>53.589893566793002</v>
      </c>
      <c r="O2364">
        <v>52.849218351129799</v>
      </c>
      <c r="P2364">
        <v>-8.1617265225876603E-2</v>
      </c>
      <c r="Q2364">
        <v>7.6150103738304303E-3</v>
      </c>
      <c r="R2364">
        <v>0.99386142117395004</v>
      </c>
      <c r="S2364" t="s">
        <v>8932</v>
      </c>
      <c r="T2364" t="s">
        <v>13134</v>
      </c>
      <c r="U2364" t="s">
        <v>13134</v>
      </c>
      <c r="V2364" t="s">
        <v>13134</v>
      </c>
      <c r="W2364" t="s">
        <v>15451</v>
      </c>
      <c r="X2364">
        <v>20</v>
      </c>
      <c r="Y2364" t="s">
        <v>21904</v>
      </c>
      <c r="Z2364" t="s">
        <v>28332</v>
      </c>
      <c r="AA2364">
        <v>0.56942924767005587</v>
      </c>
      <c r="AB2364" t="str">
        <f>HYPERLINK("Melting_Curves/meltCurve_P22681_CBL.pdf", "Melting_Curves/meltCurve_P22681_CBL.pdf")</f>
        <v>Melting_Curves/meltCurve_P22681_CBL.pdf</v>
      </c>
    </row>
    <row r="2365" spans="1:28" x14ac:dyDescent="0.25">
      <c r="A2365" t="s">
        <v>2369</v>
      </c>
      <c r="B2365">
        <v>0.99472303558308395</v>
      </c>
      <c r="C2365">
        <v>1.02487974768641</v>
      </c>
      <c r="D2365">
        <v>1.0156669178744699</v>
      </c>
      <c r="E2365">
        <v>0.72224964760236199</v>
      </c>
      <c r="F2365">
        <v>0.427992441440534</v>
      </c>
      <c r="G2365">
        <v>0.454257150021597</v>
      </c>
      <c r="H2365">
        <v>0.23745357361414199</v>
      </c>
      <c r="I2365">
        <v>0.109264216018579</v>
      </c>
      <c r="J2365">
        <v>0</v>
      </c>
      <c r="K2365">
        <v>0</v>
      </c>
      <c r="L2365">
        <v>646.89402553467596</v>
      </c>
      <c r="M2365">
        <v>12.7033112339669</v>
      </c>
      <c r="N2365">
        <v>50.923261238953401</v>
      </c>
      <c r="O2365">
        <v>49.710787690427502</v>
      </c>
      <c r="P2365">
        <v>-6.3898416146561901E-2</v>
      </c>
      <c r="Q2365">
        <v>0</v>
      </c>
      <c r="R2365">
        <v>0.96682974376036301</v>
      </c>
      <c r="S2365" t="s">
        <v>8933</v>
      </c>
      <c r="T2365" t="s">
        <v>13134</v>
      </c>
      <c r="U2365" t="s">
        <v>13134</v>
      </c>
      <c r="V2365" t="s">
        <v>13134</v>
      </c>
      <c r="W2365" t="s">
        <v>15452</v>
      </c>
      <c r="X2365">
        <v>4</v>
      </c>
      <c r="Y2365" t="s">
        <v>21905</v>
      </c>
      <c r="Z2365" t="s">
        <v>28333</v>
      </c>
      <c r="AA2365">
        <v>0.48878497160212292</v>
      </c>
      <c r="AB2365" t="str">
        <f>HYPERLINK("Melting_Curves/meltCurve_P22692_IGFBP4.pdf", "Melting_Curves/meltCurve_P22692_IGFBP4.pdf")</f>
        <v>Melting_Curves/meltCurve_P22692_IGFBP4.pdf</v>
      </c>
    </row>
    <row r="2366" spans="1:28" x14ac:dyDescent="0.25">
      <c r="A2366" t="s">
        <v>2370</v>
      </c>
      <c r="B2366">
        <v>0.99472303558308395</v>
      </c>
      <c r="C2366">
        <v>0.73600240307662401</v>
      </c>
      <c r="D2366">
        <v>0.74459588372096597</v>
      </c>
      <c r="E2366">
        <v>0.54399171609444597</v>
      </c>
      <c r="F2366">
        <v>0.37647780443501999</v>
      </c>
      <c r="G2366">
        <v>0.20389674047900699</v>
      </c>
      <c r="H2366">
        <v>0.14432281129545799</v>
      </c>
      <c r="I2366">
        <v>5.35054287502124E-2</v>
      </c>
      <c r="J2366">
        <v>5.0550091179911397E-2</v>
      </c>
      <c r="K2366">
        <v>5.63802972193835E-2</v>
      </c>
      <c r="L2366">
        <v>463.02278199856698</v>
      </c>
      <c r="M2366">
        <v>9.8524956604857792</v>
      </c>
      <c r="N2366">
        <v>46.995506332900597</v>
      </c>
      <c r="O2366">
        <v>45.182248860859303</v>
      </c>
      <c r="P2366">
        <v>-5.4543367726204203E-2</v>
      </c>
      <c r="Q2366">
        <v>0</v>
      </c>
      <c r="R2366">
        <v>0.97966122397382804</v>
      </c>
      <c r="S2366" t="s">
        <v>8934</v>
      </c>
      <c r="T2366" t="s">
        <v>13134</v>
      </c>
      <c r="U2366" t="s">
        <v>13134</v>
      </c>
      <c r="V2366" t="s">
        <v>13134</v>
      </c>
      <c r="W2366" t="s">
        <v>15453</v>
      </c>
      <c r="X2366">
        <v>15</v>
      </c>
      <c r="Y2366" t="s">
        <v>21906</v>
      </c>
      <c r="Z2366" t="s">
        <v>28334</v>
      </c>
      <c r="AA2366">
        <v>0.37725235595717488</v>
      </c>
      <c r="AB2366" t="str">
        <f>HYPERLINK("Melting_Curves/meltCurve_P22695_UQCRC2.pdf", "Melting_Curves/meltCurve_P22695_UQCRC2.pdf")</f>
        <v>Melting_Curves/meltCurve_P22695_UQCRC2.pdf</v>
      </c>
    </row>
    <row r="2367" spans="1:28" x14ac:dyDescent="0.25">
      <c r="A2367" t="s">
        <v>2371</v>
      </c>
      <c r="B2367">
        <v>0.99472303558308395</v>
      </c>
      <c r="C2367">
        <v>0.993565894608195</v>
      </c>
      <c r="D2367">
        <v>0.95389930072611995</v>
      </c>
      <c r="E2367">
        <v>0.78730252896562103</v>
      </c>
      <c r="F2367">
        <v>0.45198938193119198</v>
      </c>
      <c r="G2367">
        <v>0.181886205739029</v>
      </c>
      <c r="H2367">
        <v>8.4580856430929899E-2</v>
      </c>
      <c r="I2367">
        <v>5.2725154873503301E-2</v>
      </c>
      <c r="J2367">
        <v>5.54829309295942E-2</v>
      </c>
      <c r="K2367">
        <v>4.1427983454440702E-2</v>
      </c>
      <c r="L2367">
        <v>1030.8067677566401</v>
      </c>
      <c r="M2367">
        <v>20.8440275282809</v>
      </c>
      <c r="N2367">
        <v>49.640102620640803</v>
      </c>
      <c r="O2367">
        <v>49.004919853674501</v>
      </c>
      <c r="P2367">
        <v>-0.10232898059268999</v>
      </c>
      <c r="Q2367">
        <v>3.7713060316427099E-2</v>
      </c>
      <c r="R2367">
        <v>0.99983474038461195</v>
      </c>
      <c r="S2367" t="s">
        <v>8935</v>
      </c>
      <c r="T2367" t="s">
        <v>13134</v>
      </c>
      <c r="U2367" t="s">
        <v>13134</v>
      </c>
      <c r="V2367" t="s">
        <v>13134</v>
      </c>
      <c r="W2367" t="s">
        <v>15454</v>
      </c>
      <c r="X2367">
        <v>21</v>
      </c>
      <c r="Y2367" t="s">
        <v>21907</v>
      </c>
      <c r="Z2367" t="s">
        <v>28335</v>
      </c>
      <c r="AA2367">
        <v>0.44893845651517672</v>
      </c>
      <c r="AB2367" t="str">
        <f>HYPERLINK("Melting_Curves/meltCurve_P22830_FECH.pdf", "Melting_Curves/meltCurve_P22830_FECH.pdf")</f>
        <v>Melting_Curves/meltCurve_P22830_FECH.pdf</v>
      </c>
    </row>
    <row r="2368" spans="1:28" x14ac:dyDescent="0.25">
      <c r="A2368" t="s">
        <v>2372</v>
      </c>
      <c r="B2368">
        <v>0.99472303558308395</v>
      </c>
      <c r="C2368">
        <v>1.0429503633500501</v>
      </c>
      <c r="D2368">
        <v>0.87102034536913098</v>
      </c>
      <c r="E2368">
        <v>0.64468077947515101</v>
      </c>
      <c r="F2368">
        <v>0.228321505981083</v>
      </c>
      <c r="G2368">
        <v>9.8408815868936794E-2</v>
      </c>
      <c r="H2368">
        <v>6.6940340201718906E-2</v>
      </c>
      <c r="I2368">
        <v>4.61314903830485E-2</v>
      </c>
      <c r="J2368">
        <v>6.06103339927615E-2</v>
      </c>
      <c r="K2368">
        <v>3.7758614637996603E-2</v>
      </c>
      <c r="L2368">
        <v>1117.07167700585</v>
      </c>
      <c r="M2368">
        <v>23.564097306157802</v>
      </c>
      <c r="N2368">
        <v>47.594817530869399</v>
      </c>
      <c r="O2368">
        <v>47.0682121697402</v>
      </c>
      <c r="P2368">
        <v>-0.119566838166577</v>
      </c>
      <c r="Q2368">
        <v>4.4699017073719302E-2</v>
      </c>
      <c r="R2368">
        <v>0.995833092792893</v>
      </c>
      <c r="S2368" t="s">
        <v>8936</v>
      </c>
      <c r="T2368" t="s">
        <v>13134</v>
      </c>
      <c r="U2368" t="s">
        <v>13134</v>
      </c>
      <c r="V2368" t="s">
        <v>13134</v>
      </c>
      <c r="W2368" t="s">
        <v>15455</v>
      </c>
      <c r="X2368">
        <v>6</v>
      </c>
      <c r="Y2368" t="s">
        <v>21908</v>
      </c>
      <c r="Z2368" t="s">
        <v>28336</v>
      </c>
      <c r="AA2368">
        <v>0.38512998952982092</v>
      </c>
      <c r="AB2368" t="str">
        <f>HYPERLINK("Melting_Curves/meltCurve_P23025_XPA.pdf", "Melting_Curves/meltCurve_P23025_XPA.pdf")</f>
        <v>Melting_Curves/meltCurve_P23025_XPA.pdf</v>
      </c>
    </row>
    <row r="2369" spans="1:28" x14ac:dyDescent="0.25">
      <c r="A2369" t="s">
        <v>2373</v>
      </c>
      <c r="B2369">
        <v>0.99472303558308395</v>
      </c>
      <c r="C2369">
        <v>0.96292160469003796</v>
      </c>
      <c r="D2369">
        <v>1.04792954662171</v>
      </c>
      <c r="E2369">
        <v>0.92068636803500603</v>
      </c>
      <c r="F2369">
        <v>0.65923089813239599</v>
      </c>
      <c r="G2369">
        <v>0.42938400092579598</v>
      </c>
      <c r="H2369">
        <v>0.205848264311801</v>
      </c>
      <c r="I2369">
        <v>0.165144899754678</v>
      </c>
      <c r="J2369">
        <v>0.18189358816281101</v>
      </c>
      <c r="K2369">
        <v>0.14235500707910301</v>
      </c>
      <c r="L2369">
        <v>1074.7794148970399</v>
      </c>
      <c r="M2369">
        <v>20.861681129535</v>
      </c>
      <c r="N2369">
        <v>52.364370856459601</v>
      </c>
      <c r="O2369">
        <v>51.052926198017403</v>
      </c>
      <c r="P2369">
        <v>-8.7558818045561607E-2</v>
      </c>
      <c r="Q2369">
        <v>0.14292417517238501</v>
      </c>
      <c r="R2369">
        <v>0.99358708865348999</v>
      </c>
      <c r="S2369" t="s">
        <v>8937</v>
      </c>
      <c r="T2369" t="s">
        <v>13134</v>
      </c>
      <c r="U2369" t="s">
        <v>13134</v>
      </c>
      <c r="V2369" t="s">
        <v>13134</v>
      </c>
      <c r="W2369" t="s">
        <v>15456</v>
      </c>
      <c r="X2369">
        <v>30</v>
      </c>
      <c r="Y2369" t="s">
        <v>21909</v>
      </c>
      <c r="Z2369" t="s">
        <v>28337</v>
      </c>
      <c r="AA2369">
        <v>0.56813851063968357</v>
      </c>
      <c r="AB2369" t="str">
        <f>HYPERLINK("Melting_Curves/meltCurve_P23193_TCEA1.pdf", "Melting_Curves/meltCurve_P23193_TCEA1.pdf")</f>
        <v>Melting_Curves/meltCurve_P23193_TCEA1.pdf</v>
      </c>
    </row>
    <row r="2370" spans="1:28" x14ac:dyDescent="0.25">
      <c r="A2370" t="s">
        <v>2374</v>
      </c>
      <c r="B2370">
        <v>0.99472303558308395</v>
      </c>
      <c r="C2370">
        <v>0.93047913960545503</v>
      </c>
      <c r="D2370">
        <v>0.93738960231989499</v>
      </c>
      <c r="E2370">
        <v>0.469752686884576</v>
      </c>
      <c r="F2370">
        <v>0.19325410176050301</v>
      </c>
      <c r="G2370">
        <v>8.1495179525157793E-2</v>
      </c>
      <c r="H2370">
        <v>5.2239436102949503E-2</v>
      </c>
      <c r="I2370">
        <v>4.2374805401956803E-2</v>
      </c>
      <c r="J2370">
        <v>5.15790275776042E-2</v>
      </c>
      <c r="K2370">
        <v>4.4784203306679198E-2</v>
      </c>
      <c r="L2370">
        <v>1222.2507301811499</v>
      </c>
      <c r="M2370">
        <v>26.3500688068027</v>
      </c>
      <c r="N2370">
        <v>46.575190531670003</v>
      </c>
      <c r="O2370">
        <v>46.1204198031215</v>
      </c>
      <c r="P2370">
        <v>-0.13555288933974999</v>
      </c>
      <c r="Q2370">
        <v>5.09796399418063E-2</v>
      </c>
      <c r="R2370">
        <v>0.99559596938029304</v>
      </c>
      <c r="S2370" t="s">
        <v>8938</v>
      </c>
      <c r="T2370" t="s">
        <v>13134</v>
      </c>
      <c r="U2370" t="s">
        <v>13134</v>
      </c>
      <c r="V2370" t="s">
        <v>13134</v>
      </c>
      <c r="W2370" t="s">
        <v>15457</v>
      </c>
      <c r="X2370">
        <v>46</v>
      </c>
      <c r="Y2370" t="s">
        <v>21910</v>
      </c>
      <c r="Z2370" t="s">
        <v>28338</v>
      </c>
      <c r="AA2370">
        <v>0.35496814559690681</v>
      </c>
      <c r="AB2370" t="str">
        <f>HYPERLINK("Melting_Curves/meltCurve_P23246_SFPQ.pdf", "Melting_Curves/meltCurve_P23246_SFPQ.pdf")</f>
        <v>Melting_Curves/meltCurve_P23246_SFPQ.pdf</v>
      </c>
    </row>
    <row r="2371" spans="1:28" x14ac:dyDescent="0.25">
      <c r="A2371" t="s">
        <v>2375</v>
      </c>
      <c r="B2371">
        <v>0.99472303558308395</v>
      </c>
      <c r="C2371">
        <v>0.91488034900544102</v>
      </c>
      <c r="D2371">
        <v>0.87676588378416398</v>
      </c>
      <c r="E2371">
        <v>0.70052582723392398</v>
      </c>
      <c r="F2371">
        <v>0.59257735884870499</v>
      </c>
      <c r="G2371">
        <v>0.47463531541465398</v>
      </c>
      <c r="H2371">
        <v>0.22731312072741799</v>
      </c>
      <c r="I2371">
        <v>0.12933274491649499</v>
      </c>
      <c r="J2371">
        <v>7.8449488676102103E-2</v>
      </c>
      <c r="K2371">
        <v>7.0679156047347896E-2</v>
      </c>
      <c r="L2371">
        <v>535.20971586666099</v>
      </c>
      <c r="M2371">
        <v>10.393745058186701</v>
      </c>
      <c r="N2371">
        <v>51.493442616903401</v>
      </c>
      <c r="O2371">
        <v>49.696672266408001</v>
      </c>
      <c r="P2371">
        <v>-5.2307834798006603E-2</v>
      </c>
      <c r="Q2371">
        <v>0</v>
      </c>
      <c r="R2371">
        <v>0.98702006054915403</v>
      </c>
      <c r="S2371" t="s">
        <v>8939</v>
      </c>
      <c r="T2371" t="s">
        <v>13134</v>
      </c>
      <c r="U2371" t="s">
        <v>13134</v>
      </c>
      <c r="V2371" t="s">
        <v>13134</v>
      </c>
      <c r="W2371" t="s">
        <v>15458</v>
      </c>
      <c r="X2371">
        <v>15</v>
      </c>
      <c r="Y2371" t="s">
        <v>21911</v>
      </c>
      <c r="Z2371" t="s">
        <v>28339</v>
      </c>
      <c r="AA2371">
        <v>0.51105136098044002</v>
      </c>
      <c r="AB2371" t="str">
        <f>HYPERLINK("Melting_Curves/meltCurve_P23258_TUBG1.pdf", "Melting_Curves/meltCurve_P23258_TUBG1.pdf")</f>
        <v>Melting_Curves/meltCurve_P23258_TUBG1.pdf</v>
      </c>
    </row>
    <row r="2372" spans="1:28" x14ac:dyDescent="0.25">
      <c r="A2372" t="s">
        <v>2376</v>
      </c>
      <c r="B2372">
        <v>0.99472303558308395</v>
      </c>
      <c r="C2372">
        <v>0.96896104561088903</v>
      </c>
      <c r="D2372">
        <v>0.95182522635908695</v>
      </c>
      <c r="E2372">
        <v>0.85101013967966199</v>
      </c>
      <c r="F2372">
        <v>0.57465508682133903</v>
      </c>
      <c r="G2372">
        <v>0.140232469954647</v>
      </c>
      <c r="H2372">
        <v>7.0594058873667306E-2</v>
      </c>
      <c r="I2372">
        <v>4.4775109193114102E-2</v>
      </c>
      <c r="J2372">
        <v>4.93159354873388E-2</v>
      </c>
      <c r="K2372">
        <v>5.0988869627125302E-2</v>
      </c>
      <c r="L2372">
        <v>1310.28388259947</v>
      </c>
      <c r="M2372">
        <v>26.040537593116401</v>
      </c>
      <c r="N2372">
        <v>50.458022058227797</v>
      </c>
      <c r="O2372">
        <v>50.023153290952997</v>
      </c>
      <c r="P2372">
        <v>-0.12557881719165601</v>
      </c>
      <c r="Q2372">
        <v>3.5077151354560798E-2</v>
      </c>
      <c r="R2372">
        <v>0.99520186883084105</v>
      </c>
      <c r="S2372" t="s">
        <v>8940</v>
      </c>
      <c r="T2372" t="s">
        <v>13134</v>
      </c>
      <c r="U2372" t="s">
        <v>13134</v>
      </c>
      <c r="V2372" t="s">
        <v>13134</v>
      </c>
      <c r="W2372" t="s">
        <v>15459</v>
      </c>
      <c r="X2372">
        <v>18</v>
      </c>
      <c r="Y2372" t="s">
        <v>21912</v>
      </c>
      <c r="Z2372" t="s">
        <v>28340</v>
      </c>
      <c r="AA2372">
        <v>0.47124277793327368</v>
      </c>
      <c r="AB2372" t="str">
        <f>HYPERLINK("Melting_Curves/meltCurve_P23284_PPIB.pdf", "Melting_Curves/meltCurve_P23284_PPIB.pdf")</f>
        <v>Melting_Curves/meltCurve_P23284_PPIB.pdf</v>
      </c>
    </row>
    <row r="2373" spans="1:28" x14ac:dyDescent="0.25">
      <c r="A2373" t="s">
        <v>2377</v>
      </c>
      <c r="B2373">
        <v>0.99472303558308395</v>
      </c>
      <c r="C2373">
        <v>0.96095032053398499</v>
      </c>
      <c r="D2373">
        <v>0.92040965448793299</v>
      </c>
      <c r="E2373">
        <v>0.79716700676633201</v>
      </c>
      <c r="F2373">
        <v>0.63218311590936405</v>
      </c>
      <c r="G2373">
        <v>0.36264150932211198</v>
      </c>
      <c r="H2373">
        <v>0.130267295296596</v>
      </c>
      <c r="I2373">
        <v>7.0763157167871404E-2</v>
      </c>
      <c r="J2373">
        <v>6.0342107116320501E-2</v>
      </c>
      <c r="K2373">
        <v>5.5981356456367502E-2</v>
      </c>
      <c r="L2373">
        <v>762.12342660694105</v>
      </c>
      <c r="M2373">
        <v>14.8041362168237</v>
      </c>
      <c r="N2373">
        <v>51.4804387374542</v>
      </c>
      <c r="O2373">
        <v>50.568474811373498</v>
      </c>
      <c r="P2373">
        <v>-7.3196356723089301E-2</v>
      </c>
      <c r="Q2373">
        <v>0</v>
      </c>
      <c r="R2373">
        <v>0.994944944401984</v>
      </c>
      <c r="S2373" t="s">
        <v>8941</v>
      </c>
      <c r="T2373" t="s">
        <v>13134</v>
      </c>
      <c r="U2373" t="s">
        <v>13134</v>
      </c>
      <c r="V2373" t="s">
        <v>13134</v>
      </c>
      <c r="W2373" t="s">
        <v>15460</v>
      </c>
      <c r="X2373">
        <v>17</v>
      </c>
      <c r="Y2373" t="s">
        <v>21913</v>
      </c>
      <c r="Z2373" t="s">
        <v>28341</v>
      </c>
      <c r="AA2373">
        <v>0.50268647688671109</v>
      </c>
      <c r="AB2373" t="str">
        <f>HYPERLINK("Melting_Curves/meltCurve_P23368_ME2.pdf", "Melting_Curves/meltCurve_P23368_ME2.pdf")</f>
        <v>Melting_Curves/meltCurve_P23368_ME2.pdf</v>
      </c>
    </row>
    <row r="2374" spans="1:28" x14ac:dyDescent="0.25">
      <c r="A2374" t="s">
        <v>2378</v>
      </c>
      <c r="B2374">
        <v>0.99472303558308395</v>
      </c>
      <c r="C2374">
        <v>0.95610417375388501</v>
      </c>
      <c r="D2374">
        <v>0.99000056011408499</v>
      </c>
      <c r="E2374">
        <v>0.93794837580917201</v>
      </c>
      <c r="F2374">
        <v>0.75926830824379998</v>
      </c>
      <c r="G2374">
        <v>0.54852785471632903</v>
      </c>
      <c r="H2374">
        <v>0.35622368286901201</v>
      </c>
      <c r="I2374">
        <v>0.24824556676776799</v>
      </c>
      <c r="J2374">
        <v>0.287962373377253</v>
      </c>
      <c r="K2374">
        <v>0.24186275017461401</v>
      </c>
      <c r="L2374">
        <v>976.863790568186</v>
      </c>
      <c r="M2374">
        <v>18.600212630548601</v>
      </c>
      <c r="N2374">
        <v>54.3166069534877</v>
      </c>
      <c r="O2374">
        <v>51.923199140355202</v>
      </c>
      <c r="P2374">
        <v>-6.8975918112610807E-2</v>
      </c>
      <c r="Q2374">
        <v>0.229837906991782</v>
      </c>
      <c r="R2374">
        <v>0.99531973423642806</v>
      </c>
      <c r="S2374" t="s">
        <v>8942</v>
      </c>
      <c r="T2374" t="s">
        <v>13134</v>
      </c>
      <c r="U2374" t="s">
        <v>13134</v>
      </c>
      <c r="V2374" t="s">
        <v>13134</v>
      </c>
      <c r="W2374" t="s">
        <v>15461</v>
      </c>
      <c r="X2374">
        <v>25</v>
      </c>
      <c r="Y2374" t="s">
        <v>20505</v>
      </c>
      <c r="Z2374" t="s">
        <v>28342</v>
      </c>
      <c r="AA2374">
        <v>0.63917079307451263</v>
      </c>
      <c r="AB2374" t="str">
        <f>HYPERLINK("Melting_Curves/meltCurve_P23381_WARS.pdf", "Melting_Curves/meltCurve_P23381_WARS.pdf")</f>
        <v>Melting_Curves/meltCurve_P23381_WARS.pdf</v>
      </c>
    </row>
    <row r="2375" spans="1:28" x14ac:dyDescent="0.25">
      <c r="A2375" t="s">
        <v>2379</v>
      </c>
      <c r="B2375">
        <v>0.99472303558308395</v>
      </c>
      <c r="C2375">
        <v>0.82981401615919304</v>
      </c>
      <c r="D2375">
        <v>0.93976927742222904</v>
      </c>
      <c r="E2375">
        <v>0.663315584501602</v>
      </c>
      <c r="F2375">
        <v>0.47719879639352503</v>
      </c>
      <c r="G2375">
        <v>0.17584254566902499</v>
      </c>
      <c r="H2375">
        <v>9.2897779881907894E-2</v>
      </c>
      <c r="I2375">
        <v>6.0034017837878997E-2</v>
      </c>
      <c r="J2375">
        <v>7.3178232398726104E-2</v>
      </c>
      <c r="K2375">
        <v>6.3591501850508395E-2</v>
      </c>
      <c r="L2375">
        <v>734.17033921034101</v>
      </c>
      <c r="M2375">
        <v>15.008112409096</v>
      </c>
      <c r="N2375">
        <v>49.077825374856801</v>
      </c>
      <c r="O2375">
        <v>48.074382625086798</v>
      </c>
      <c r="P2375">
        <v>-7.6195242572566102E-2</v>
      </c>
      <c r="Q2375">
        <v>2.3815972145864599E-2</v>
      </c>
      <c r="R2375">
        <v>0.97845108474059705</v>
      </c>
      <c r="S2375" t="s">
        <v>8943</v>
      </c>
      <c r="T2375" t="s">
        <v>13134</v>
      </c>
      <c r="U2375" t="s">
        <v>13134</v>
      </c>
      <c r="V2375" t="s">
        <v>13134</v>
      </c>
      <c r="W2375" t="s">
        <v>15462</v>
      </c>
      <c r="X2375">
        <v>22</v>
      </c>
      <c r="Y2375" t="s">
        <v>21914</v>
      </c>
      <c r="Z2375" t="s">
        <v>28343</v>
      </c>
      <c r="AA2375">
        <v>0.43265453169415979</v>
      </c>
      <c r="AB2375" t="str">
        <f>HYPERLINK("Melting_Curves/meltCurve_P23396_RPS3.pdf", "Melting_Curves/meltCurve_P23396_RPS3.pdf")</f>
        <v>Melting_Curves/meltCurve_P23396_RPS3.pdf</v>
      </c>
    </row>
    <row r="2376" spans="1:28" x14ac:dyDescent="0.25">
      <c r="A2376" t="s">
        <v>2380</v>
      </c>
      <c r="B2376">
        <v>0.99472303558308395</v>
      </c>
      <c r="C2376">
        <v>1.1387723823929601</v>
      </c>
      <c r="D2376">
        <v>1.0192990751158799</v>
      </c>
      <c r="E2376">
        <v>1.06103767471154</v>
      </c>
      <c r="F2376">
        <v>0.51215926661132105</v>
      </c>
      <c r="G2376">
        <v>0.29632740908667399</v>
      </c>
      <c r="H2376">
        <v>0.14581753933363101</v>
      </c>
      <c r="I2376">
        <v>0</v>
      </c>
      <c r="J2376">
        <v>0</v>
      </c>
      <c r="K2376">
        <v>0</v>
      </c>
      <c r="L2376">
        <v>1241.4378195530501</v>
      </c>
      <c r="M2376">
        <v>24.282806941300802</v>
      </c>
      <c r="N2376">
        <v>51.191392194021603</v>
      </c>
      <c r="O2376">
        <v>50.781209303660198</v>
      </c>
      <c r="P2376">
        <v>-0.11767150843428199</v>
      </c>
      <c r="Q2376">
        <v>1.5696731115027798E-2</v>
      </c>
      <c r="R2376">
        <v>0.97123704880793704</v>
      </c>
      <c r="S2376" t="s">
        <v>8944</v>
      </c>
      <c r="T2376" t="s">
        <v>13134</v>
      </c>
      <c r="U2376" t="s">
        <v>13134</v>
      </c>
      <c r="V2376" t="s">
        <v>13134</v>
      </c>
      <c r="W2376" t="s">
        <v>15463</v>
      </c>
      <c r="X2376">
        <v>1</v>
      </c>
      <c r="Y2376" t="s">
        <v>21915</v>
      </c>
      <c r="Z2376" t="s">
        <v>28344</v>
      </c>
      <c r="AA2376">
        <v>0.48828102648972183</v>
      </c>
      <c r="AB2376" t="str">
        <f>HYPERLINK("Melting_Curves/meltCurve_P23409_MYF6.pdf", "Melting_Curves/meltCurve_P23409_MYF6.pdf")</f>
        <v>Melting_Curves/meltCurve_P23409_MYF6.pdf</v>
      </c>
    </row>
    <row r="2377" spans="1:28" x14ac:dyDescent="0.25">
      <c r="A2377" t="s">
        <v>2381</v>
      </c>
      <c r="B2377">
        <v>0.99472303558308395</v>
      </c>
      <c r="C2377">
        <v>0.88922958059750301</v>
      </c>
      <c r="D2377">
        <v>1.0142117844759</v>
      </c>
      <c r="E2377">
        <v>0.984570573551665</v>
      </c>
      <c r="F2377">
        <v>0.82320235779762296</v>
      </c>
      <c r="G2377">
        <v>0.73275435812718004</v>
      </c>
      <c r="H2377">
        <v>0.78915802796175305</v>
      </c>
      <c r="I2377">
        <v>0.72684851274953499</v>
      </c>
      <c r="J2377">
        <v>0.86773430617041802</v>
      </c>
      <c r="K2377">
        <v>0.63416654431872499</v>
      </c>
      <c r="L2377">
        <v>2598.5848786336601</v>
      </c>
      <c r="M2377">
        <v>52.681694701583702</v>
      </c>
      <c r="O2377">
        <v>49.255219289895898</v>
      </c>
      <c r="P2377">
        <v>-6.6909217337658006E-2</v>
      </c>
      <c r="Q2377">
        <v>0.74977068018747595</v>
      </c>
      <c r="R2377">
        <v>0.71358171323039898</v>
      </c>
      <c r="S2377" t="s">
        <v>8945</v>
      </c>
      <c r="T2377" t="s">
        <v>13134</v>
      </c>
      <c r="U2377" t="s">
        <v>13134</v>
      </c>
      <c r="V2377" t="s">
        <v>13134</v>
      </c>
      <c r="W2377" t="s">
        <v>15464</v>
      </c>
      <c r="X2377">
        <v>4</v>
      </c>
      <c r="Y2377" t="s">
        <v>21916</v>
      </c>
      <c r="Z2377" t="s">
        <v>28345</v>
      </c>
      <c r="AA2377">
        <v>0.85307291338024649</v>
      </c>
      <c r="AB2377" t="str">
        <f>HYPERLINK("Melting_Curves/meltCurve_P23434_GCSH.pdf", "Melting_Curves/meltCurve_P23434_GCSH.pdf")</f>
        <v>Melting_Curves/meltCurve_P23434_GCSH.pdf</v>
      </c>
    </row>
    <row r="2378" spans="1:28" x14ac:dyDescent="0.25">
      <c r="A2378" t="s">
        <v>2382</v>
      </c>
      <c r="B2378">
        <v>0.99472303558308395</v>
      </c>
      <c r="C2378">
        <v>0.91103852355367898</v>
      </c>
      <c r="D2378">
        <v>0.94651817146311201</v>
      </c>
      <c r="E2378">
        <v>0.91587974446336395</v>
      </c>
      <c r="F2378">
        <v>0.77401458552642299</v>
      </c>
      <c r="G2378">
        <v>0.57970615437709005</v>
      </c>
      <c r="H2378">
        <v>0.39960416356735801</v>
      </c>
      <c r="I2378">
        <v>0.19909523258171699</v>
      </c>
      <c r="J2378">
        <v>5.8593291274136601E-2</v>
      </c>
      <c r="K2378">
        <v>8.2610074858008295E-2</v>
      </c>
      <c r="L2378">
        <v>755.92802362721704</v>
      </c>
      <c r="M2378">
        <v>13.754286655738801</v>
      </c>
      <c r="N2378">
        <v>54.959449702555801</v>
      </c>
      <c r="O2378">
        <v>53.836753219643803</v>
      </c>
      <c r="P2378">
        <v>-6.3879396207435907E-2</v>
      </c>
      <c r="Q2378">
        <v>0</v>
      </c>
      <c r="R2378">
        <v>0.98874060768927696</v>
      </c>
      <c r="S2378" t="s">
        <v>8946</v>
      </c>
      <c r="T2378" t="s">
        <v>13134</v>
      </c>
      <c r="U2378" t="s">
        <v>13134</v>
      </c>
      <c r="V2378" t="s">
        <v>13134</v>
      </c>
      <c r="W2378" t="s">
        <v>15465</v>
      </c>
      <c r="X2378">
        <v>3</v>
      </c>
      <c r="Y2378" t="s">
        <v>21917</v>
      </c>
      <c r="Z2378" t="s">
        <v>28346</v>
      </c>
      <c r="AA2378">
        <v>0.61318689700273121</v>
      </c>
      <c r="AB2378" t="str">
        <f>HYPERLINK("Melting_Curves/meltCurve_P23458_JAK1.pdf", "Melting_Curves/meltCurve_P23458_JAK1.pdf")</f>
        <v>Melting_Curves/meltCurve_P23458_JAK1.pdf</v>
      </c>
    </row>
    <row r="2379" spans="1:28" x14ac:dyDescent="0.25">
      <c r="A2379" t="s">
        <v>2383</v>
      </c>
      <c r="B2379">
        <v>0.99472303558308395</v>
      </c>
      <c r="C2379">
        <v>1.0662200608030401</v>
      </c>
      <c r="D2379">
        <v>0.99745559474963297</v>
      </c>
      <c r="E2379">
        <v>0.98211708397684105</v>
      </c>
      <c r="F2379">
        <v>0.54321169396012103</v>
      </c>
      <c r="G2379">
        <v>0.44583283749493702</v>
      </c>
      <c r="H2379">
        <v>0.36791647221215501</v>
      </c>
      <c r="I2379">
        <v>0.31996771517384898</v>
      </c>
      <c r="J2379">
        <v>0.352528231097895</v>
      </c>
      <c r="K2379">
        <v>0.250481647432377</v>
      </c>
      <c r="L2379">
        <v>1995.76925743471</v>
      </c>
      <c r="M2379">
        <v>40.3913327225617</v>
      </c>
      <c r="N2379">
        <v>50.835509937728602</v>
      </c>
      <c r="O2379">
        <v>49.290178170400701</v>
      </c>
      <c r="P2379">
        <v>-0.13545649200134499</v>
      </c>
      <c r="Q2379">
        <v>0.33880258504651301</v>
      </c>
      <c r="R2379">
        <v>0.97791188535145801</v>
      </c>
      <c r="S2379" t="s">
        <v>8947</v>
      </c>
      <c r="T2379" t="s">
        <v>13134</v>
      </c>
      <c r="U2379" t="s">
        <v>13134</v>
      </c>
      <c r="V2379" t="s">
        <v>13134</v>
      </c>
      <c r="W2379" t="s">
        <v>15466</v>
      </c>
      <c r="X2379">
        <v>14</v>
      </c>
      <c r="Y2379" t="s">
        <v>21918</v>
      </c>
      <c r="Z2379" t="s">
        <v>28347</v>
      </c>
      <c r="AA2379">
        <v>0.61454987271591655</v>
      </c>
      <c r="AB2379" t="str">
        <f>HYPERLINK("Melting_Curves/meltCurve_P23497_SP100.pdf", "Melting_Curves/meltCurve_P23497_SP100.pdf")</f>
        <v>Melting_Curves/meltCurve_P23497_SP100.pdf</v>
      </c>
    </row>
    <row r="2380" spans="1:28" x14ac:dyDescent="0.25">
      <c r="A2380" t="s">
        <v>2384</v>
      </c>
      <c r="B2380">
        <v>0.99472303558308395</v>
      </c>
      <c r="C2380">
        <v>1.0477860979172</v>
      </c>
      <c r="D2380">
        <v>0.87691052496776001</v>
      </c>
      <c r="E2380">
        <v>0.870291264697867</v>
      </c>
      <c r="F2380">
        <v>0.70151451110611895</v>
      </c>
      <c r="G2380">
        <v>0.479006711355285</v>
      </c>
      <c r="H2380">
        <v>0.45157592065434099</v>
      </c>
      <c r="I2380">
        <v>0.51491337235686196</v>
      </c>
      <c r="J2380">
        <v>0.70055385377472601</v>
      </c>
      <c r="K2380">
        <v>0.52836892089855703</v>
      </c>
      <c r="L2380">
        <v>1206.3845138356</v>
      </c>
      <c r="M2380">
        <v>25.0543342607609</v>
      </c>
      <c r="O2380">
        <v>47.847121241980098</v>
      </c>
      <c r="P2380">
        <v>-6.1003735744157801E-2</v>
      </c>
      <c r="Q2380">
        <v>0.53400251117637798</v>
      </c>
      <c r="R2380">
        <v>0.86709459576301295</v>
      </c>
      <c r="S2380" t="s">
        <v>8948</v>
      </c>
      <c r="T2380" t="s">
        <v>13134</v>
      </c>
      <c r="U2380" t="s">
        <v>13134</v>
      </c>
      <c r="V2380" t="s">
        <v>13134</v>
      </c>
      <c r="W2380" t="s">
        <v>15467</v>
      </c>
      <c r="X2380">
        <v>2</v>
      </c>
      <c r="Y2380" t="s">
        <v>21919</v>
      </c>
      <c r="Z2380" t="s">
        <v>28348</v>
      </c>
      <c r="AA2380">
        <v>0.71117232324924196</v>
      </c>
      <c r="AB2380" t="str">
        <f>HYPERLINK("Melting_Curves/meltCurve_P23511_2_NFYA.pdf", "Melting_Curves/meltCurve_P23511_2_NFYA.pdf")</f>
        <v>Melting_Curves/meltCurve_P23511_2_NFYA.pdf</v>
      </c>
    </row>
    <row r="2381" spans="1:28" x14ac:dyDescent="0.25">
      <c r="A2381" t="s">
        <v>2385</v>
      </c>
      <c r="B2381">
        <v>0.99472303558308395</v>
      </c>
      <c r="C2381">
        <v>0.94823904459688901</v>
      </c>
      <c r="D2381">
        <v>0.86544637934765301</v>
      </c>
      <c r="E2381">
        <v>0.81261234849906605</v>
      </c>
      <c r="F2381">
        <v>0.81869328720035395</v>
      </c>
      <c r="G2381">
        <v>0.59445631637656404</v>
      </c>
      <c r="H2381">
        <v>0.46946606994455897</v>
      </c>
      <c r="I2381">
        <v>0.36177776433193998</v>
      </c>
      <c r="J2381">
        <v>0.32066388406514501</v>
      </c>
      <c r="K2381">
        <v>0.15926387410708101</v>
      </c>
      <c r="L2381">
        <v>458.27596735944502</v>
      </c>
      <c r="M2381">
        <v>8.0905509937495097</v>
      </c>
      <c r="N2381">
        <v>56.643356593217</v>
      </c>
      <c r="O2381">
        <v>53.4977167149396</v>
      </c>
      <c r="P2381">
        <v>-3.7848925941996597E-2</v>
      </c>
      <c r="Q2381">
        <v>0</v>
      </c>
      <c r="R2381">
        <v>0.97663853961310398</v>
      </c>
      <c r="S2381" t="s">
        <v>8949</v>
      </c>
      <c r="T2381" t="s">
        <v>13134</v>
      </c>
      <c r="U2381" t="s">
        <v>13134</v>
      </c>
      <c r="V2381" t="s">
        <v>13134</v>
      </c>
      <c r="W2381" t="s">
        <v>15468</v>
      </c>
      <c r="X2381">
        <v>29</v>
      </c>
      <c r="Y2381" t="s">
        <v>21920</v>
      </c>
      <c r="Z2381" t="s">
        <v>28349</v>
      </c>
      <c r="AA2381">
        <v>0.64777663421812204</v>
      </c>
      <c r="AB2381" t="str">
        <f>HYPERLINK("Melting_Curves/meltCurve_P23526_AHCY.pdf", "Melting_Curves/meltCurve_P23526_AHCY.pdf")</f>
        <v>Melting_Curves/meltCurve_P23526_AHCY.pdf</v>
      </c>
    </row>
    <row r="2382" spans="1:28" x14ac:dyDescent="0.25">
      <c r="A2382" t="s">
        <v>2386</v>
      </c>
      <c r="B2382">
        <v>0.99472303558308395</v>
      </c>
      <c r="C2382">
        <v>0.852455059838785</v>
      </c>
      <c r="D2382">
        <v>1.07714287560126</v>
      </c>
      <c r="E2382">
        <v>0.90169776288292502</v>
      </c>
      <c r="F2382">
        <v>0.52538733634218204</v>
      </c>
      <c r="G2382">
        <v>0.32241244589203699</v>
      </c>
      <c r="H2382">
        <v>0.104563962038761</v>
      </c>
      <c r="I2382">
        <v>7.2322681639747199E-2</v>
      </c>
      <c r="J2382">
        <v>7.9755352574057706E-2</v>
      </c>
      <c r="K2382">
        <v>6.3650902270059803E-2</v>
      </c>
      <c r="L2382">
        <v>1107.64372877451</v>
      </c>
      <c r="M2382">
        <v>21.875684231330599</v>
      </c>
      <c r="N2382">
        <v>50.9409553873218</v>
      </c>
      <c r="O2382">
        <v>50.216146435579503</v>
      </c>
      <c r="P2382">
        <v>-0.102175978376927</v>
      </c>
      <c r="Q2382">
        <v>6.1832258139360698E-2</v>
      </c>
      <c r="R2382">
        <v>0.97663776072499597</v>
      </c>
      <c r="S2382" t="s">
        <v>8950</v>
      </c>
      <c r="T2382" t="s">
        <v>13134</v>
      </c>
      <c r="U2382" t="s">
        <v>13134</v>
      </c>
      <c r="V2382" t="s">
        <v>13134</v>
      </c>
      <c r="W2382" t="s">
        <v>15469</v>
      </c>
      <c r="X2382">
        <v>17</v>
      </c>
      <c r="Y2382" t="s">
        <v>21921</v>
      </c>
      <c r="Z2382" t="s">
        <v>28350</v>
      </c>
      <c r="AA2382">
        <v>0.49872391906916103</v>
      </c>
      <c r="AB2382" t="str">
        <f>HYPERLINK("Melting_Curves/meltCurve_P23528_CFL1.pdf", "Melting_Curves/meltCurve_P23528_CFL1.pdf")</f>
        <v>Melting_Curves/meltCurve_P23528_CFL1.pdf</v>
      </c>
    </row>
    <row r="2383" spans="1:28" x14ac:dyDescent="0.25">
      <c r="A2383" t="s">
        <v>2387</v>
      </c>
      <c r="B2383">
        <v>0.99472303558308395</v>
      </c>
      <c r="C2383">
        <v>1.0550480225766199</v>
      </c>
      <c r="D2383">
        <v>0.90070569033871495</v>
      </c>
      <c r="E2383">
        <v>0.86036052163085197</v>
      </c>
      <c r="F2383">
        <v>0.75343428154644299</v>
      </c>
      <c r="G2383">
        <v>0.48834225283683302</v>
      </c>
      <c r="H2383">
        <v>0.28556090760120401</v>
      </c>
      <c r="I2383">
        <v>9.6384562298035895E-2</v>
      </c>
      <c r="J2383">
        <v>8.1632125321447604E-2</v>
      </c>
      <c r="K2383">
        <v>8.2314021191895306E-2</v>
      </c>
      <c r="L2383">
        <v>768.87669162138604</v>
      </c>
      <c r="M2383">
        <v>14.362751320196701</v>
      </c>
      <c r="N2383">
        <v>53.532710840557399</v>
      </c>
      <c r="O2383">
        <v>52.527018909249598</v>
      </c>
      <c r="P2383">
        <v>-6.8367060211399405E-2</v>
      </c>
      <c r="Q2383">
        <v>0</v>
      </c>
      <c r="R2383">
        <v>0.98977237626374204</v>
      </c>
      <c r="S2383" t="s">
        <v>8951</v>
      </c>
      <c r="T2383" t="s">
        <v>13134</v>
      </c>
      <c r="U2383" t="s">
        <v>13134</v>
      </c>
      <c r="V2383" t="s">
        <v>13134</v>
      </c>
      <c r="W2383" t="s">
        <v>15470</v>
      </c>
      <c r="X2383">
        <v>23</v>
      </c>
      <c r="Y2383" t="s">
        <v>21922</v>
      </c>
      <c r="Z2383" t="s">
        <v>28351</v>
      </c>
      <c r="AA2383">
        <v>0.56870643004932631</v>
      </c>
      <c r="AB2383" t="str">
        <f>HYPERLINK("Melting_Curves/meltCurve_P23634_7_ATP2B4.pdf", "Melting_Curves/meltCurve_P23634_7_ATP2B4.pdf")</f>
        <v>Melting_Curves/meltCurve_P23634_7_ATP2B4.pdf</v>
      </c>
    </row>
    <row r="2384" spans="1:28" x14ac:dyDescent="0.25">
      <c r="A2384" t="s">
        <v>2388</v>
      </c>
      <c r="B2384">
        <v>0.99472303558308395</v>
      </c>
      <c r="C2384">
        <v>1.1327038105652001</v>
      </c>
      <c r="D2384">
        <v>0.85174977620447101</v>
      </c>
      <c r="E2384">
        <v>0.47525716695535197</v>
      </c>
      <c r="F2384">
        <v>0.18274390573257099</v>
      </c>
      <c r="G2384">
        <v>0.16064064451993601</v>
      </c>
      <c r="H2384">
        <v>0.14885058655147199</v>
      </c>
      <c r="I2384">
        <v>0.104442355587565</v>
      </c>
      <c r="J2384">
        <v>0.20139934790077399</v>
      </c>
      <c r="K2384">
        <v>0.102335806037859</v>
      </c>
      <c r="L2384">
        <v>1353.1599683096399</v>
      </c>
      <c r="M2384">
        <v>29.5528518679237</v>
      </c>
      <c r="N2384">
        <v>46.298210270301098</v>
      </c>
      <c r="O2384">
        <v>45.579669103978603</v>
      </c>
      <c r="P2384">
        <v>-0.13955985092915901</v>
      </c>
      <c r="Q2384">
        <v>0.13902739355937599</v>
      </c>
      <c r="R2384">
        <v>0.98017963623978999</v>
      </c>
      <c r="S2384" t="s">
        <v>8952</v>
      </c>
      <c r="T2384" t="s">
        <v>13134</v>
      </c>
      <c r="U2384" t="s">
        <v>13134</v>
      </c>
      <c r="V2384" t="s">
        <v>13134</v>
      </c>
      <c r="W2384" t="s">
        <v>15471</v>
      </c>
      <c r="X2384">
        <v>1</v>
      </c>
      <c r="Y2384" t="s">
        <v>21923</v>
      </c>
      <c r="Z2384" t="s">
        <v>28352</v>
      </c>
      <c r="AA2384">
        <v>0.39627581311094717</v>
      </c>
      <c r="AB2384" t="str">
        <f>HYPERLINK("Melting_Curves/meltCurve_P23677_ITPKA.pdf", "Melting_Curves/meltCurve_P23677_ITPKA.pdf")</f>
        <v>Melting_Curves/meltCurve_P23677_ITPKA.pdf</v>
      </c>
    </row>
    <row r="2385" spans="1:28" x14ac:dyDescent="0.25">
      <c r="A2385" t="s">
        <v>2389</v>
      </c>
      <c r="B2385">
        <v>0.99472303558308395</v>
      </c>
      <c r="C2385">
        <v>0.90894833953201704</v>
      </c>
      <c r="D2385">
        <v>0.86978710321142905</v>
      </c>
      <c r="E2385">
        <v>0.660552997242145</v>
      </c>
      <c r="F2385">
        <v>0.35975328134926199</v>
      </c>
      <c r="G2385">
        <v>0.194029622666954</v>
      </c>
      <c r="H2385">
        <v>6.77450790133408E-2</v>
      </c>
      <c r="I2385">
        <v>7.8647821566492304E-2</v>
      </c>
      <c r="J2385">
        <v>4.15914749688591E-2</v>
      </c>
      <c r="K2385">
        <v>9.1103163809244603E-2</v>
      </c>
      <c r="L2385">
        <v>768.07989070374504</v>
      </c>
      <c r="M2385">
        <v>15.97509324424</v>
      </c>
      <c r="N2385">
        <v>48.335692245899601</v>
      </c>
      <c r="O2385">
        <v>47.345360832834501</v>
      </c>
      <c r="P2385">
        <v>-8.09405813844878E-2</v>
      </c>
      <c r="Q2385">
        <v>4.0541835603015101E-2</v>
      </c>
      <c r="R2385">
        <v>0.99480614528581601</v>
      </c>
      <c r="S2385" t="s">
        <v>8953</v>
      </c>
      <c r="T2385" t="s">
        <v>13134</v>
      </c>
      <c r="U2385" t="s">
        <v>13134</v>
      </c>
      <c r="V2385" t="s">
        <v>13134</v>
      </c>
      <c r="W2385" t="s">
        <v>15472</v>
      </c>
      <c r="X2385">
        <v>3</v>
      </c>
      <c r="Y2385" t="s">
        <v>21924</v>
      </c>
      <c r="Z2385" t="s">
        <v>28353</v>
      </c>
      <c r="AA2385">
        <v>0.41384690363050958</v>
      </c>
      <c r="AB2385" t="str">
        <f>HYPERLINK("Melting_Curves/meltCurve_P23743_DGKA.pdf", "Melting_Curves/meltCurve_P23743_DGKA.pdf")</f>
        <v>Melting_Curves/meltCurve_P23743_DGKA.pdf</v>
      </c>
    </row>
    <row r="2386" spans="1:28" x14ac:dyDescent="0.25">
      <c r="A2386" t="s">
        <v>2390</v>
      </c>
      <c r="B2386">
        <v>0.99472303558308395</v>
      </c>
      <c r="C2386">
        <v>0.990648925157117</v>
      </c>
      <c r="D2386">
        <v>1.0185757009438201</v>
      </c>
      <c r="E2386">
        <v>0.62739193967951601</v>
      </c>
      <c r="F2386">
        <v>0.18694798991981301</v>
      </c>
      <c r="G2386">
        <v>0.108483253751811</v>
      </c>
      <c r="H2386">
        <v>5.88221456730268E-2</v>
      </c>
      <c r="I2386">
        <v>4.23795345457895E-2</v>
      </c>
      <c r="J2386">
        <v>4.7233712466638801E-2</v>
      </c>
      <c r="K2386">
        <v>3.9712456390009997E-2</v>
      </c>
      <c r="L2386">
        <v>1553.99048142182</v>
      </c>
      <c r="M2386">
        <v>32.855082079227998</v>
      </c>
      <c r="N2386">
        <v>47.468930236092</v>
      </c>
      <c r="O2386">
        <v>47.124136687985299</v>
      </c>
      <c r="P2386">
        <v>-0.16459537649116801</v>
      </c>
      <c r="Q2386">
        <v>5.5685839316071503E-2</v>
      </c>
      <c r="R2386">
        <v>0.997221944809356</v>
      </c>
      <c r="S2386" t="s">
        <v>8954</v>
      </c>
      <c r="T2386" t="s">
        <v>13134</v>
      </c>
      <c r="U2386" t="s">
        <v>13134</v>
      </c>
      <c r="V2386" t="s">
        <v>13134</v>
      </c>
      <c r="W2386" t="s">
        <v>15473</v>
      </c>
      <c r="X2386">
        <v>19</v>
      </c>
      <c r="Y2386" t="s">
        <v>21925</v>
      </c>
      <c r="Z2386" t="s">
        <v>28354</v>
      </c>
      <c r="AA2386">
        <v>0.38444156212962538</v>
      </c>
      <c r="AB2386" t="str">
        <f>HYPERLINK("Melting_Curves/meltCurve_P23786_CPT2.pdf", "Melting_Curves/meltCurve_P23786_CPT2.pdf")</f>
        <v>Melting_Curves/meltCurve_P23786_CPT2.pdf</v>
      </c>
    </row>
    <row r="2387" spans="1:28" x14ac:dyDescent="0.25">
      <c r="A2387" t="s">
        <v>2391</v>
      </c>
      <c r="B2387">
        <v>0.99472303558308395</v>
      </c>
      <c r="C2387">
        <v>0.98847076957172297</v>
      </c>
      <c r="D2387">
        <v>1.04799780732891</v>
      </c>
      <c r="E2387">
        <v>0.93677205631099203</v>
      </c>
      <c r="F2387">
        <v>0.68169052793597895</v>
      </c>
      <c r="G2387">
        <v>0.58628140003105</v>
      </c>
      <c r="H2387">
        <v>0.27032492607144598</v>
      </c>
      <c r="I2387">
        <v>0.109949240372929</v>
      </c>
      <c r="J2387">
        <v>7.6716661156743499E-2</v>
      </c>
      <c r="K2387">
        <v>8.1476475812040802E-2</v>
      </c>
      <c r="L2387">
        <v>835.69142267493305</v>
      </c>
      <c r="M2387">
        <v>15.497592687205</v>
      </c>
      <c r="N2387">
        <v>53.9623797552103</v>
      </c>
      <c r="O2387">
        <v>53.050041952081003</v>
      </c>
      <c r="P2387">
        <v>-7.2638566672448807E-2</v>
      </c>
      <c r="Q2387">
        <v>5.4879286263648502E-3</v>
      </c>
      <c r="R2387">
        <v>0.98731971947179398</v>
      </c>
      <c r="S2387" t="s">
        <v>8955</v>
      </c>
      <c r="T2387" t="s">
        <v>13134</v>
      </c>
      <c r="U2387" t="s">
        <v>13134</v>
      </c>
      <c r="V2387" t="s">
        <v>13134</v>
      </c>
      <c r="W2387" t="s">
        <v>15474</v>
      </c>
      <c r="X2387">
        <v>16</v>
      </c>
      <c r="Y2387" t="s">
        <v>21926</v>
      </c>
      <c r="Z2387" t="s">
        <v>28355</v>
      </c>
      <c r="AA2387">
        <v>0.58236539672677046</v>
      </c>
      <c r="AB2387" t="str">
        <f>HYPERLINK("Melting_Curves/meltCurve_P23919_DTYMK.pdf", "Melting_Curves/meltCurve_P23919_DTYMK.pdf")</f>
        <v>Melting_Curves/meltCurve_P23919_DTYMK.pdf</v>
      </c>
    </row>
    <row r="2388" spans="1:28" x14ac:dyDescent="0.25">
      <c r="A2388" t="s">
        <v>2392</v>
      </c>
      <c r="B2388">
        <v>0.99472303558308395</v>
      </c>
      <c r="C2388">
        <v>0.92522063638322805</v>
      </c>
      <c r="D2388">
        <v>0.97623747321280996</v>
      </c>
      <c r="E2388">
        <v>0.907342081310621</v>
      </c>
      <c r="F2388">
        <v>0.71135699770933003</v>
      </c>
      <c r="G2388">
        <v>0.45211319954016299</v>
      </c>
      <c r="H2388">
        <v>0.16087481809838</v>
      </c>
      <c r="I2388">
        <v>7.7043068294757697E-2</v>
      </c>
      <c r="J2388">
        <v>9.7855736403041793E-2</v>
      </c>
      <c r="K2388">
        <v>7.0423912198610397E-2</v>
      </c>
      <c r="L2388">
        <v>999.14688800581598</v>
      </c>
      <c r="M2388">
        <v>19.024119906471199</v>
      </c>
      <c r="N2388">
        <v>52.759537721510597</v>
      </c>
      <c r="O2388">
        <v>51.950012640412801</v>
      </c>
      <c r="P2388">
        <v>-8.7765897735948201E-2</v>
      </c>
      <c r="Q2388">
        <v>4.1373032012699498E-2</v>
      </c>
      <c r="R2388">
        <v>0.99310491168199599</v>
      </c>
      <c r="S2388" t="s">
        <v>8956</v>
      </c>
      <c r="T2388" t="s">
        <v>13134</v>
      </c>
      <c r="U2388" t="s">
        <v>13134</v>
      </c>
      <c r="V2388" t="s">
        <v>13134</v>
      </c>
      <c r="W2388" t="s">
        <v>13738</v>
      </c>
      <c r="X2388">
        <v>30</v>
      </c>
      <c r="Y2388" t="s">
        <v>20233</v>
      </c>
      <c r="Z2388" t="s">
        <v>28356</v>
      </c>
      <c r="AA2388">
        <v>0.5504778872352325</v>
      </c>
      <c r="AB2388" t="str">
        <f>HYPERLINK("Melting_Curves/meltCurve_P23921_RRM1.pdf", "Melting_Curves/meltCurve_P23921_RRM1.pdf")</f>
        <v>Melting_Curves/meltCurve_P23921_RRM1.pdf</v>
      </c>
    </row>
    <row r="2389" spans="1:28" x14ac:dyDescent="0.25">
      <c r="A2389" t="s">
        <v>2393</v>
      </c>
      <c r="B2389">
        <v>0.99472303558308395</v>
      </c>
      <c r="C2389">
        <v>0.82105609431917603</v>
      </c>
      <c r="D2389">
        <v>0.83757174380321298</v>
      </c>
      <c r="E2389">
        <v>0.52535432408483096</v>
      </c>
      <c r="F2389">
        <v>0.29881461374878299</v>
      </c>
      <c r="G2389">
        <v>0.18456917130807701</v>
      </c>
      <c r="H2389">
        <v>0.120933693945822</v>
      </c>
      <c r="I2389">
        <v>8.5751902255537693E-2</v>
      </c>
      <c r="J2389">
        <v>0.125893050679837</v>
      </c>
      <c r="K2389">
        <v>0.102486663183641</v>
      </c>
      <c r="L2389">
        <v>676.031590813246</v>
      </c>
      <c r="M2389">
        <v>14.571383700715201</v>
      </c>
      <c r="N2389">
        <v>46.961174868651199</v>
      </c>
      <c r="O2389">
        <v>45.546927367763899</v>
      </c>
      <c r="P2389">
        <v>-7.3540038445317493E-2</v>
      </c>
      <c r="Q2389">
        <v>8.0624349665279801E-2</v>
      </c>
      <c r="R2389">
        <v>0.98625450202550402</v>
      </c>
      <c r="S2389" t="s">
        <v>8957</v>
      </c>
      <c r="T2389" t="s">
        <v>13134</v>
      </c>
      <c r="U2389" t="s">
        <v>13134</v>
      </c>
      <c r="V2389" t="s">
        <v>13134</v>
      </c>
      <c r="W2389" t="s">
        <v>15475</v>
      </c>
      <c r="X2389">
        <v>6</v>
      </c>
      <c r="Y2389" t="s">
        <v>21927</v>
      </c>
      <c r="Z2389" t="s">
        <v>28357</v>
      </c>
      <c r="AA2389">
        <v>0.39066886705213139</v>
      </c>
      <c r="AB2389" t="str">
        <f>HYPERLINK("Melting_Curves/meltCurve_P24468_NR2F2.pdf", "Melting_Curves/meltCurve_P24468_NR2F2.pdf")</f>
        <v>Melting_Curves/meltCurve_P24468_NR2F2.pdf</v>
      </c>
    </row>
    <row r="2390" spans="1:28" x14ac:dyDescent="0.25">
      <c r="A2390" t="s">
        <v>2394</v>
      </c>
      <c r="B2390">
        <v>0.99472303558308395</v>
      </c>
      <c r="C2390">
        <v>0.81443420369121799</v>
      </c>
      <c r="D2390">
        <v>0.76173360215233399</v>
      </c>
      <c r="E2390">
        <v>0.63871483168126497</v>
      </c>
      <c r="F2390">
        <v>0.340750751962271</v>
      </c>
      <c r="G2390">
        <v>8.2336564169942797E-2</v>
      </c>
      <c r="H2390">
        <v>5.4545183531250797E-2</v>
      </c>
      <c r="I2390">
        <v>3.6731706374450702E-2</v>
      </c>
      <c r="J2390">
        <v>4.5507570227214501E-2</v>
      </c>
      <c r="K2390">
        <v>5.1107407746659901E-2</v>
      </c>
      <c r="L2390">
        <v>628.278250165087</v>
      </c>
      <c r="M2390">
        <v>13.2764810246421</v>
      </c>
      <c r="N2390">
        <v>47.322647598922003</v>
      </c>
      <c r="O2390">
        <v>46.2876765217122</v>
      </c>
      <c r="P2390">
        <v>-7.1718019714405695E-2</v>
      </c>
      <c r="Q2390">
        <v>0</v>
      </c>
      <c r="R2390">
        <v>0.97651357405885297</v>
      </c>
      <c r="S2390" t="s">
        <v>8958</v>
      </c>
      <c r="T2390" t="s">
        <v>13134</v>
      </c>
      <c r="U2390" t="s">
        <v>13134</v>
      </c>
      <c r="V2390" t="s">
        <v>13134</v>
      </c>
      <c r="W2390" t="s">
        <v>15476</v>
      </c>
      <c r="X2390">
        <v>10</v>
      </c>
      <c r="Y2390" t="s">
        <v>21928</v>
      </c>
      <c r="Z2390" t="s">
        <v>28358</v>
      </c>
      <c r="AA2390">
        <v>0.37161022056742449</v>
      </c>
      <c r="AB2390" t="str">
        <f>HYPERLINK("Melting_Curves/meltCurve_P24534_EEF1B2.pdf", "Melting_Curves/meltCurve_P24534_EEF1B2.pdf")</f>
        <v>Melting_Curves/meltCurve_P24534_EEF1B2.pdf</v>
      </c>
    </row>
    <row r="2391" spans="1:28" x14ac:dyDescent="0.25">
      <c r="A2391" t="s">
        <v>2395</v>
      </c>
      <c r="B2391">
        <v>0.99472303558308395</v>
      </c>
      <c r="C2391">
        <v>0.91867007929410904</v>
      </c>
      <c r="D2391">
        <v>0.97320916908908495</v>
      </c>
      <c r="E2391">
        <v>0.72887200059160495</v>
      </c>
      <c r="F2391">
        <v>0.22640407491967299</v>
      </c>
      <c r="G2391">
        <v>0.108132017396944</v>
      </c>
      <c r="H2391">
        <v>5.85706002365734E-2</v>
      </c>
      <c r="I2391">
        <v>4.33323644173913E-2</v>
      </c>
      <c r="J2391">
        <v>4.7814436751636297E-2</v>
      </c>
      <c r="K2391">
        <v>4.3975209405232203E-2</v>
      </c>
      <c r="L2391">
        <v>1485.9727864939</v>
      </c>
      <c r="M2391">
        <v>31.002201636043399</v>
      </c>
      <c r="N2391">
        <v>48.097633480201402</v>
      </c>
      <c r="O2391">
        <v>47.733097449329797</v>
      </c>
      <c r="P2391">
        <v>-0.15411578802057199</v>
      </c>
      <c r="Q2391">
        <v>5.0856845066329502E-2</v>
      </c>
      <c r="R2391">
        <v>0.99559282008143501</v>
      </c>
      <c r="S2391" t="s">
        <v>8959</v>
      </c>
      <c r="T2391" t="s">
        <v>13134</v>
      </c>
      <c r="U2391" t="s">
        <v>13134</v>
      </c>
      <c r="V2391" t="s">
        <v>13134</v>
      </c>
      <c r="W2391" t="s">
        <v>15477</v>
      </c>
      <c r="X2391">
        <v>14</v>
      </c>
      <c r="Y2391" t="s">
        <v>21929</v>
      </c>
      <c r="Z2391" t="s">
        <v>28359</v>
      </c>
      <c r="AA2391">
        <v>0.40195459336476058</v>
      </c>
      <c r="AB2391" t="str">
        <f>HYPERLINK("Melting_Curves/meltCurve_P24666_ACP1.pdf", "Melting_Curves/meltCurve_P24666_ACP1.pdf")</f>
        <v>Melting_Curves/meltCurve_P24666_ACP1.pdf</v>
      </c>
    </row>
    <row r="2392" spans="1:28" x14ac:dyDescent="0.25">
      <c r="A2392" t="s">
        <v>2396</v>
      </c>
      <c r="B2392">
        <v>0.99472303558308395</v>
      </c>
      <c r="C2392">
        <v>1.14274192982038</v>
      </c>
      <c r="D2392">
        <v>1.0245430618693101</v>
      </c>
      <c r="E2392">
        <v>0.976869749591741</v>
      </c>
      <c r="F2392">
        <v>0.86236323401619897</v>
      </c>
      <c r="G2392">
        <v>0.336861100285684</v>
      </c>
      <c r="H2392">
        <v>0.16480851923474199</v>
      </c>
      <c r="I2392">
        <v>0</v>
      </c>
      <c r="J2392">
        <v>0.21541329475949</v>
      </c>
      <c r="K2392">
        <v>8.9201969505748796E-2</v>
      </c>
      <c r="L2392">
        <v>2034.7127139178999</v>
      </c>
      <c r="M2392">
        <v>38.860052348508397</v>
      </c>
      <c r="N2392">
        <v>52.6909703136714</v>
      </c>
      <c r="O2392">
        <v>52.221949786232997</v>
      </c>
      <c r="P2392">
        <v>-0.16588778965152401</v>
      </c>
      <c r="Q2392">
        <v>0.108291495322865</v>
      </c>
      <c r="R2392">
        <v>0.97517719775146905</v>
      </c>
      <c r="S2392" t="s">
        <v>8960</v>
      </c>
      <c r="T2392" t="s">
        <v>13134</v>
      </c>
      <c r="U2392" t="s">
        <v>13134</v>
      </c>
      <c r="V2392" t="s">
        <v>13134</v>
      </c>
      <c r="W2392" t="s">
        <v>15478</v>
      </c>
      <c r="X2392">
        <v>9</v>
      </c>
      <c r="Y2392" t="s">
        <v>21929</v>
      </c>
      <c r="Z2392" t="s">
        <v>28360</v>
      </c>
      <c r="AA2392">
        <v>0.56825435350071207</v>
      </c>
      <c r="AB2392" t="str">
        <f>HYPERLINK("Melting_Curves/meltCurve_P24666_2_ACP1.pdf", "Melting_Curves/meltCurve_P24666_2_ACP1.pdf")</f>
        <v>Melting_Curves/meltCurve_P24666_2_ACP1.pdf</v>
      </c>
    </row>
    <row r="2393" spans="1:28" x14ac:dyDescent="0.25">
      <c r="A2393" t="s">
        <v>2397</v>
      </c>
      <c r="B2393">
        <v>0.99472303558308395</v>
      </c>
      <c r="C2393">
        <v>0.97938798255538895</v>
      </c>
      <c r="D2393">
        <v>0.93128222854425902</v>
      </c>
      <c r="E2393">
        <v>0.85091284722669702</v>
      </c>
      <c r="F2393">
        <v>0.65893173731717902</v>
      </c>
      <c r="G2393">
        <v>0.51828694203315795</v>
      </c>
      <c r="H2393">
        <v>0.228286859216177</v>
      </c>
      <c r="I2393">
        <v>6.3041823130188093E-2</v>
      </c>
      <c r="J2393">
        <v>5.7390795391165803E-2</v>
      </c>
      <c r="K2393">
        <v>5.2367072306882402E-2</v>
      </c>
      <c r="L2393">
        <v>764.70972963997599</v>
      </c>
      <c r="M2393">
        <v>14.462637501335999</v>
      </c>
      <c r="N2393">
        <v>52.874848634371801</v>
      </c>
      <c r="O2393">
        <v>51.894800132354597</v>
      </c>
      <c r="P2393">
        <v>-6.9680999912602001E-2</v>
      </c>
      <c r="Q2393">
        <v>0</v>
      </c>
      <c r="R2393">
        <v>0.99072432626277196</v>
      </c>
      <c r="S2393" t="s">
        <v>8961</v>
      </c>
      <c r="T2393" t="s">
        <v>13134</v>
      </c>
      <c r="U2393" t="s">
        <v>13134</v>
      </c>
      <c r="V2393" t="s">
        <v>13134</v>
      </c>
      <c r="W2393" t="s">
        <v>15479</v>
      </c>
      <c r="X2393">
        <v>26</v>
      </c>
      <c r="Y2393" t="s">
        <v>20221</v>
      </c>
      <c r="Z2393" t="s">
        <v>28361</v>
      </c>
      <c r="AA2393">
        <v>0.54782735658431325</v>
      </c>
      <c r="AB2393" t="str">
        <f>HYPERLINK("Melting_Curves/meltCurve_P24752_ACAT1.pdf", "Melting_Curves/meltCurve_P24752_ACAT1.pdf")</f>
        <v>Melting_Curves/meltCurve_P24752_ACAT1.pdf</v>
      </c>
    </row>
    <row r="2394" spans="1:28" x14ac:dyDescent="0.25">
      <c r="A2394" t="s">
        <v>2398</v>
      </c>
      <c r="B2394">
        <v>0.99472303558308395</v>
      </c>
      <c r="C2394">
        <v>0.93776918040824098</v>
      </c>
      <c r="D2394">
        <v>0.73044614966325205</v>
      </c>
      <c r="E2394">
        <v>0.56766116104021502</v>
      </c>
      <c r="F2394">
        <v>0.661943260346888</v>
      </c>
      <c r="G2394">
        <v>0.24419029161983399</v>
      </c>
      <c r="H2394">
        <v>0.140297358278926</v>
      </c>
      <c r="I2394">
        <v>9.9803353714761303E-2</v>
      </c>
      <c r="J2394">
        <v>9.9093555951648996E-2</v>
      </c>
      <c r="K2394">
        <v>9.2647182881926193E-2</v>
      </c>
      <c r="L2394">
        <v>483.75426224181803</v>
      </c>
      <c r="M2394">
        <v>9.80551430217246</v>
      </c>
      <c r="N2394">
        <v>49.3349122003292</v>
      </c>
      <c r="O2394">
        <v>47.414305510830303</v>
      </c>
      <c r="P2394">
        <v>-5.1728354382811301E-2</v>
      </c>
      <c r="Q2394">
        <v>0</v>
      </c>
      <c r="R2394">
        <v>0.94580504262860499</v>
      </c>
      <c r="S2394" t="s">
        <v>8962</v>
      </c>
      <c r="T2394" t="s">
        <v>13134</v>
      </c>
      <c r="U2394" t="s">
        <v>13134</v>
      </c>
      <c r="V2394" t="s">
        <v>13134</v>
      </c>
      <c r="W2394" t="s">
        <v>15480</v>
      </c>
      <c r="X2394">
        <v>24</v>
      </c>
      <c r="Y2394" t="s">
        <v>21930</v>
      </c>
      <c r="Z2394" t="s">
        <v>28362</v>
      </c>
      <c r="AA2394">
        <v>0.44800035794270948</v>
      </c>
      <c r="AB2394" t="str">
        <f>HYPERLINK("Melting_Curves/meltCurve_P24928_POLR2A.pdf", "Melting_Curves/meltCurve_P24928_POLR2A.pdf")</f>
        <v>Melting_Curves/meltCurve_P24928_POLR2A.pdf</v>
      </c>
    </row>
    <row r="2395" spans="1:28" x14ac:dyDescent="0.25">
      <c r="A2395" t="s">
        <v>2399</v>
      </c>
      <c r="B2395">
        <v>0.99472303558308395</v>
      </c>
      <c r="C2395">
        <v>1.84444573575931</v>
      </c>
      <c r="D2395">
        <v>1.1763238794783999</v>
      </c>
      <c r="E2395">
        <v>1.0143985348810201</v>
      </c>
      <c r="F2395">
        <v>1.2748728727593499</v>
      </c>
      <c r="G2395">
        <v>0.79222336029647999</v>
      </c>
      <c r="H2395">
        <v>0.32371396776123901</v>
      </c>
      <c r="I2395">
        <v>0.52944488027360204</v>
      </c>
      <c r="J2395">
        <v>0.28973650925181199</v>
      </c>
      <c r="K2395">
        <v>0.130033821149656</v>
      </c>
      <c r="L2395">
        <v>13494.370208898299</v>
      </c>
      <c r="M2395">
        <v>250</v>
      </c>
      <c r="N2395">
        <v>54.196847611837597</v>
      </c>
      <c r="O2395">
        <v>53.974008086381701</v>
      </c>
      <c r="P2395">
        <v>-0.78946277956526301</v>
      </c>
      <c r="Q2395">
        <v>0.31823223807590501</v>
      </c>
      <c r="R2395">
        <v>0.644992231739414</v>
      </c>
      <c r="S2395" t="s">
        <v>8963</v>
      </c>
      <c r="T2395" t="s">
        <v>13134</v>
      </c>
      <c r="U2395" t="s">
        <v>13134</v>
      </c>
      <c r="V2395" t="s">
        <v>13134</v>
      </c>
      <c r="W2395" t="s">
        <v>15481</v>
      </c>
      <c r="X2395">
        <v>6</v>
      </c>
      <c r="Y2395" t="s">
        <v>21931</v>
      </c>
      <c r="Z2395" t="s">
        <v>28363</v>
      </c>
      <c r="AA2395">
        <v>0.70412012543611802</v>
      </c>
      <c r="AB2395" t="str">
        <f>HYPERLINK("Melting_Curves/meltCurve_P25054_2_APC.pdf", "Melting_Curves/meltCurve_P25054_2_APC.pdf")</f>
        <v>Melting_Curves/meltCurve_P25054_2_APC.pdf</v>
      </c>
    </row>
    <row r="2396" spans="1:28" x14ac:dyDescent="0.25">
      <c r="A2396" t="s">
        <v>2400</v>
      </c>
      <c r="B2396">
        <v>0.99472303558308395</v>
      </c>
      <c r="C2396">
        <v>0.96415350696191204</v>
      </c>
      <c r="D2396">
        <v>0.98681769942360797</v>
      </c>
      <c r="E2396">
        <v>0.86721049950011697</v>
      </c>
      <c r="F2396">
        <v>0.62653435479633801</v>
      </c>
      <c r="G2396">
        <v>0.25202980856108198</v>
      </c>
      <c r="H2396">
        <v>8.2471118771543797E-2</v>
      </c>
      <c r="I2396">
        <v>5.82515203431739E-2</v>
      </c>
      <c r="J2396">
        <v>6.7580455378221493E-2</v>
      </c>
      <c r="K2396">
        <v>5.4015703465384597E-2</v>
      </c>
      <c r="L2396">
        <v>1179.3384689525101</v>
      </c>
      <c r="M2396">
        <v>23.1491012707347</v>
      </c>
      <c r="N2396">
        <v>51.137522479312999</v>
      </c>
      <c r="O2396">
        <v>50.569714656674698</v>
      </c>
      <c r="P2396">
        <v>-0.109675902909428</v>
      </c>
      <c r="Q2396">
        <v>4.1659912478062902E-2</v>
      </c>
      <c r="R2396">
        <v>0.99759818380118304</v>
      </c>
      <c r="S2396" t="s">
        <v>8964</v>
      </c>
      <c r="T2396" t="s">
        <v>13134</v>
      </c>
      <c r="U2396" t="s">
        <v>13134</v>
      </c>
      <c r="V2396" t="s">
        <v>13134</v>
      </c>
      <c r="W2396" t="s">
        <v>15482</v>
      </c>
      <c r="X2396">
        <v>23</v>
      </c>
      <c r="Y2396" t="s">
        <v>21932</v>
      </c>
      <c r="Z2396" t="s">
        <v>28364</v>
      </c>
      <c r="AA2396">
        <v>0.49687083244723768</v>
      </c>
      <c r="AB2396" t="str">
        <f>HYPERLINK("Melting_Curves/meltCurve_P25098_ADRBK1.pdf", "Melting_Curves/meltCurve_P25098_ADRBK1.pdf")</f>
        <v>Melting_Curves/meltCurve_P25098_ADRBK1.pdf</v>
      </c>
    </row>
    <row r="2397" spans="1:28" x14ac:dyDescent="0.25">
      <c r="A2397" t="s">
        <v>2401</v>
      </c>
      <c r="B2397">
        <v>0.99472303558308395</v>
      </c>
      <c r="C2397">
        <v>0.95278198184233298</v>
      </c>
      <c r="D2397">
        <v>0.74908090607236699</v>
      </c>
      <c r="E2397">
        <v>0.73748524679879801</v>
      </c>
      <c r="F2397">
        <v>0.58561441873717701</v>
      </c>
      <c r="G2397">
        <v>0.330020208436344</v>
      </c>
      <c r="H2397">
        <v>0.21924195124535201</v>
      </c>
      <c r="I2397">
        <v>0.239988371803668</v>
      </c>
      <c r="J2397">
        <v>0.309750301788627</v>
      </c>
      <c r="K2397">
        <v>0.35641257070753501</v>
      </c>
      <c r="L2397">
        <v>619.43925101351795</v>
      </c>
      <c r="M2397">
        <v>12.993063709758999</v>
      </c>
      <c r="N2397">
        <v>50.310199090797703</v>
      </c>
      <c r="O2397">
        <v>46.587667904943103</v>
      </c>
      <c r="P2397">
        <v>-5.2521021448267903E-2</v>
      </c>
      <c r="Q2397">
        <v>0.246859789857372</v>
      </c>
      <c r="R2397">
        <v>0.94038888686066702</v>
      </c>
      <c r="S2397" t="s">
        <v>8965</v>
      </c>
      <c r="T2397" t="s">
        <v>13134</v>
      </c>
      <c r="U2397" t="s">
        <v>13134</v>
      </c>
      <c r="V2397" t="s">
        <v>13134</v>
      </c>
      <c r="W2397" t="s">
        <v>15483</v>
      </c>
      <c r="X2397">
        <v>2</v>
      </c>
      <c r="Y2397" t="s">
        <v>21933</v>
      </c>
      <c r="Z2397" t="s">
        <v>28365</v>
      </c>
      <c r="AA2397">
        <v>0.53602868789730418</v>
      </c>
      <c r="AB2397" t="str">
        <f>HYPERLINK("Melting_Curves/meltCurve_P25116_F2R.pdf", "Melting_Curves/meltCurve_P25116_F2R.pdf")</f>
        <v>Melting_Curves/meltCurve_P25116_F2R.pdf</v>
      </c>
    </row>
    <row r="2398" spans="1:28" x14ac:dyDescent="0.25">
      <c r="A2398" t="s">
        <v>2402</v>
      </c>
      <c r="B2398">
        <v>0.99472303558308395</v>
      </c>
      <c r="C2398">
        <v>0.91737498733867495</v>
      </c>
      <c r="D2398">
        <v>0.78950195413979596</v>
      </c>
      <c r="E2398">
        <v>0.66231936049217</v>
      </c>
      <c r="F2398">
        <v>0.74183765653433698</v>
      </c>
      <c r="G2398">
        <v>0.39540328060408497</v>
      </c>
      <c r="H2398">
        <v>0.124376219434395</v>
      </c>
      <c r="I2398">
        <v>5.4743705948569997E-2</v>
      </c>
      <c r="J2398">
        <v>5.7688858409284699E-2</v>
      </c>
      <c r="K2398">
        <v>4.9042995246953797E-2</v>
      </c>
      <c r="L2398">
        <v>601.43219154007295</v>
      </c>
      <c r="M2398">
        <v>11.767090330353099</v>
      </c>
      <c r="N2398">
        <v>51.111376827549599</v>
      </c>
      <c r="O2398">
        <v>49.702224531164603</v>
      </c>
      <c r="P2398">
        <v>-5.9203339512242097E-2</v>
      </c>
      <c r="Q2398">
        <v>0</v>
      </c>
      <c r="R2398">
        <v>0.94312572378186799</v>
      </c>
      <c r="S2398" t="s">
        <v>8966</v>
      </c>
      <c r="T2398" t="s">
        <v>13134</v>
      </c>
      <c r="U2398" t="s">
        <v>13134</v>
      </c>
      <c r="V2398" t="s">
        <v>13134</v>
      </c>
      <c r="W2398" t="s">
        <v>15484</v>
      </c>
      <c r="X2398">
        <v>44</v>
      </c>
      <c r="Y2398" t="s">
        <v>21934</v>
      </c>
      <c r="Z2398" t="s">
        <v>28366</v>
      </c>
      <c r="AA2398">
        <v>0.49666449326772782</v>
      </c>
      <c r="AB2398" t="str">
        <f>HYPERLINK("Melting_Curves/meltCurve_P25205_MCM3.pdf", "Melting_Curves/meltCurve_P25205_MCM3.pdf")</f>
        <v>Melting_Curves/meltCurve_P25205_MCM3.pdf</v>
      </c>
    </row>
    <row r="2399" spans="1:28" x14ac:dyDescent="0.25">
      <c r="A2399" t="s">
        <v>2403</v>
      </c>
      <c r="B2399">
        <v>0.99472303558308395</v>
      </c>
      <c r="C2399">
        <v>0.91113124854066296</v>
      </c>
      <c r="D2399">
        <v>1.04027476536552</v>
      </c>
      <c r="E2399">
        <v>1.00700384926251</v>
      </c>
      <c r="F2399">
        <v>0.65472430296066897</v>
      </c>
      <c r="G2399">
        <v>0.44113950622792603</v>
      </c>
      <c r="H2399">
        <v>0.25421688133702802</v>
      </c>
      <c r="I2399">
        <v>0.161853755866633</v>
      </c>
      <c r="J2399">
        <v>0.16168693657175501</v>
      </c>
      <c r="K2399">
        <v>0.13496555724425699</v>
      </c>
      <c r="L2399">
        <v>1108.33988692296</v>
      </c>
      <c r="M2399">
        <v>21.3739496695359</v>
      </c>
      <c r="N2399">
        <v>52.675195822968703</v>
      </c>
      <c r="O2399">
        <v>51.407203197323703</v>
      </c>
      <c r="P2399">
        <v>-8.9229153510942502E-2</v>
      </c>
      <c r="Q2399">
        <v>0.14158943867447199</v>
      </c>
      <c r="R2399">
        <v>0.98413132775019196</v>
      </c>
      <c r="S2399" t="s">
        <v>8967</v>
      </c>
      <c r="T2399" t="s">
        <v>13134</v>
      </c>
      <c r="U2399" t="s">
        <v>13134</v>
      </c>
      <c r="V2399" t="s">
        <v>13134</v>
      </c>
      <c r="W2399" t="s">
        <v>15485</v>
      </c>
      <c r="X2399">
        <v>10</v>
      </c>
      <c r="Y2399" t="s">
        <v>21935</v>
      </c>
      <c r="Z2399" t="s">
        <v>28367</v>
      </c>
      <c r="AA2399">
        <v>0.57661766065542197</v>
      </c>
      <c r="AB2399" t="str">
        <f>HYPERLINK("Melting_Curves/meltCurve_P25398_RPS12.pdf", "Melting_Curves/meltCurve_P25398_RPS12.pdf")</f>
        <v>Melting_Curves/meltCurve_P25398_RPS12.pdf</v>
      </c>
    </row>
    <row r="2400" spans="1:28" x14ac:dyDescent="0.25">
      <c r="A2400" t="s">
        <v>2404</v>
      </c>
      <c r="B2400">
        <v>0.99472303558308395</v>
      </c>
      <c r="C2400">
        <v>0.90932452724908497</v>
      </c>
      <c r="D2400">
        <v>0.69671868752599997</v>
      </c>
      <c r="E2400">
        <v>0.41418519779037699</v>
      </c>
      <c r="F2400">
        <v>0.19042056408142199</v>
      </c>
      <c r="G2400">
        <v>0.10864418415685501</v>
      </c>
      <c r="H2400">
        <v>6.42080604768865E-2</v>
      </c>
      <c r="I2400">
        <v>5.4610553526532303E-2</v>
      </c>
      <c r="J2400">
        <v>7.30256452629202E-2</v>
      </c>
      <c r="K2400">
        <v>4.9973359643062099E-2</v>
      </c>
      <c r="L2400">
        <v>758.51399690220705</v>
      </c>
      <c r="M2400">
        <v>16.809851798285901</v>
      </c>
      <c r="N2400">
        <v>45.400751754537097</v>
      </c>
      <c r="O2400">
        <v>44.4991021720163</v>
      </c>
      <c r="P2400">
        <v>-8.9832897917671295E-2</v>
      </c>
      <c r="Q2400">
        <v>4.8837516710146502E-2</v>
      </c>
      <c r="R2400">
        <v>0.99904412354261896</v>
      </c>
      <c r="S2400" t="s">
        <v>8968</v>
      </c>
      <c r="T2400" t="s">
        <v>13134</v>
      </c>
      <c r="U2400" t="s">
        <v>13134</v>
      </c>
      <c r="V2400" t="s">
        <v>13134</v>
      </c>
      <c r="W2400" t="s">
        <v>15486</v>
      </c>
      <c r="X2400">
        <v>11</v>
      </c>
      <c r="Y2400" t="s">
        <v>21936</v>
      </c>
      <c r="Z2400" t="s">
        <v>28368</v>
      </c>
      <c r="AA2400">
        <v>0.32429195158282659</v>
      </c>
      <c r="AB2400" t="str">
        <f>HYPERLINK("Melting_Curves/meltCurve_P25490_YY1.pdf", "Melting_Curves/meltCurve_P25490_YY1.pdf")</f>
        <v>Melting_Curves/meltCurve_P25490_YY1.pdf</v>
      </c>
    </row>
    <row r="2401" spans="1:28" x14ac:dyDescent="0.25">
      <c r="A2401" t="s">
        <v>2405</v>
      </c>
      <c r="B2401">
        <v>0.99472303558308395</v>
      </c>
      <c r="C2401">
        <v>0.91421226146669099</v>
      </c>
      <c r="D2401">
        <v>0.91236994500248503</v>
      </c>
      <c r="E2401">
        <v>0.61497521979065095</v>
      </c>
      <c r="F2401">
        <v>0.183086406362474</v>
      </c>
      <c r="G2401">
        <v>7.7350274281423201E-2</v>
      </c>
      <c r="H2401">
        <v>3.9666544859941998E-2</v>
      </c>
      <c r="I2401">
        <v>2.9086837157730701E-2</v>
      </c>
      <c r="J2401">
        <v>3.6901941640656202E-2</v>
      </c>
      <c r="K2401">
        <v>2.51043655762727E-2</v>
      </c>
      <c r="L2401">
        <v>1191.6873751633</v>
      </c>
      <c r="M2401">
        <v>25.232353949871001</v>
      </c>
      <c r="N2401">
        <v>47.3341579426056</v>
      </c>
      <c r="O2401">
        <v>46.9348978942283</v>
      </c>
      <c r="P2401">
        <v>-0.13072378176081101</v>
      </c>
      <c r="Q2401">
        <v>2.7371394814268198E-2</v>
      </c>
      <c r="R2401">
        <v>0.995640660420268</v>
      </c>
      <c r="S2401" t="s">
        <v>8969</v>
      </c>
      <c r="T2401" t="s">
        <v>13134</v>
      </c>
      <c r="U2401" t="s">
        <v>13134</v>
      </c>
      <c r="V2401" t="s">
        <v>13134</v>
      </c>
      <c r="W2401" t="s">
        <v>15487</v>
      </c>
      <c r="X2401">
        <v>17</v>
      </c>
      <c r="Y2401" t="s">
        <v>21937</v>
      </c>
      <c r="Z2401" t="s">
        <v>28369</v>
      </c>
      <c r="AA2401">
        <v>0.36703546684273258</v>
      </c>
      <c r="AB2401" t="str">
        <f>HYPERLINK("Melting_Curves/meltCurve_P25685_DNAJB1.pdf", "Melting_Curves/meltCurve_P25685_DNAJB1.pdf")</f>
        <v>Melting_Curves/meltCurve_P25685_DNAJB1.pdf</v>
      </c>
    </row>
    <row r="2402" spans="1:28" x14ac:dyDescent="0.25">
      <c r="A2402" t="s">
        <v>2406</v>
      </c>
      <c r="B2402">
        <v>0.99472303558308395</v>
      </c>
      <c r="C2402">
        <v>0.85129450257736605</v>
      </c>
      <c r="D2402">
        <v>0.67342457736836603</v>
      </c>
      <c r="E2402">
        <v>0.58193902611542403</v>
      </c>
      <c r="F2402">
        <v>0.58914272873612095</v>
      </c>
      <c r="G2402">
        <v>0.259999989556842</v>
      </c>
      <c r="H2402">
        <v>0.188340497854526</v>
      </c>
      <c r="I2402">
        <v>0.175181030264421</v>
      </c>
      <c r="J2402">
        <v>0.298978631846812</v>
      </c>
      <c r="K2402">
        <v>0.209116725874439</v>
      </c>
      <c r="L2402">
        <v>452.38423922790003</v>
      </c>
      <c r="M2402">
        <v>9.6811816409809008</v>
      </c>
      <c r="N2402">
        <v>48.523767576846197</v>
      </c>
      <c r="O2402">
        <v>44.865104686023102</v>
      </c>
      <c r="P2402">
        <v>-4.5849842623762203E-2</v>
      </c>
      <c r="Q2402">
        <v>0.15054736409723601</v>
      </c>
      <c r="R2402">
        <v>0.93038260197172795</v>
      </c>
      <c r="S2402" t="s">
        <v>8970</v>
      </c>
      <c r="T2402" t="s">
        <v>13134</v>
      </c>
      <c r="U2402" t="s">
        <v>13134</v>
      </c>
      <c r="V2402" t="s">
        <v>13134</v>
      </c>
      <c r="W2402" t="s">
        <v>15488</v>
      </c>
      <c r="X2402">
        <v>39</v>
      </c>
      <c r="Y2402" t="s">
        <v>21938</v>
      </c>
      <c r="Z2402" t="s">
        <v>28370</v>
      </c>
      <c r="AA2402">
        <v>0.46510840246721202</v>
      </c>
      <c r="AB2402" t="str">
        <f>HYPERLINK("Melting_Curves/meltCurve_P25705_ATP5A1.pdf", "Melting_Curves/meltCurve_P25705_ATP5A1.pdf")</f>
        <v>Melting_Curves/meltCurve_P25705_ATP5A1.pdf</v>
      </c>
    </row>
    <row r="2403" spans="1:28" x14ac:dyDescent="0.25">
      <c r="A2403" t="s">
        <v>2407</v>
      </c>
      <c r="B2403">
        <v>0.99472303558308395</v>
      </c>
      <c r="C2403">
        <v>1.3117316261844101</v>
      </c>
      <c r="D2403">
        <v>1.0970455675591499</v>
      </c>
      <c r="E2403">
        <v>1.0793080906782799</v>
      </c>
      <c r="F2403">
        <v>0.78647159684126899</v>
      </c>
      <c r="G2403">
        <v>0.59325278120025704</v>
      </c>
      <c r="H2403">
        <v>0.38906268345987599</v>
      </c>
      <c r="I2403">
        <v>0.45722537029085902</v>
      </c>
      <c r="J2403">
        <v>0.52505938295266097</v>
      </c>
      <c r="K2403">
        <v>0.37520292905710001</v>
      </c>
      <c r="L2403">
        <v>1691.1393613221201</v>
      </c>
      <c r="M2403">
        <v>32.881188866925797</v>
      </c>
      <c r="N2403">
        <v>54.944991221187998</v>
      </c>
      <c r="O2403">
        <v>51.242702528573403</v>
      </c>
      <c r="P2403">
        <v>-9.0008400162935306E-2</v>
      </c>
      <c r="Q2403">
        <v>0.43891897058835999</v>
      </c>
      <c r="R2403">
        <v>0.86840492601836305</v>
      </c>
      <c r="S2403" t="s">
        <v>8971</v>
      </c>
      <c r="T2403" t="s">
        <v>13134</v>
      </c>
      <c r="U2403" t="s">
        <v>13134</v>
      </c>
      <c r="V2403" t="s">
        <v>13134</v>
      </c>
      <c r="W2403" t="s">
        <v>15489</v>
      </c>
      <c r="X2403">
        <v>1</v>
      </c>
      <c r="Y2403" t="s">
        <v>21939</v>
      </c>
      <c r="Z2403" t="s">
        <v>28371</v>
      </c>
      <c r="AA2403">
        <v>0.7117725195370741</v>
      </c>
      <c r="AB2403" t="str">
        <f>HYPERLINK("Melting_Curves/meltCurve_P25774_2_CTSS.pdf", "Melting_Curves/meltCurve_P25774_2_CTSS.pdf")</f>
        <v>Melting_Curves/meltCurve_P25774_2_CTSS.pdf</v>
      </c>
    </row>
    <row r="2404" spans="1:28" x14ac:dyDescent="0.25">
      <c r="A2404" t="s">
        <v>2408</v>
      </c>
      <c r="B2404">
        <v>0.99472303558308395</v>
      </c>
      <c r="C2404">
        <v>1.0519578656783899</v>
      </c>
      <c r="D2404">
        <v>0.76372008606049402</v>
      </c>
      <c r="E2404">
        <v>0.66184355084923596</v>
      </c>
      <c r="F2404">
        <v>0.959770783237056</v>
      </c>
      <c r="G2404">
        <v>0.30593704230247498</v>
      </c>
      <c r="H2404">
        <v>0.19960616725886099</v>
      </c>
      <c r="I2404">
        <v>0.118999025817128</v>
      </c>
      <c r="J2404">
        <v>0.21093281871375999</v>
      </c>
      <c r="K2404">
        <v>0.34482029558267202</v>
      </c>
      <c r="L2404">
        <v>778.90547196301395</v>
      </c>
      <c r="M2404">
        <v>15.2445989863084</v>
      </c>
      <c r="N2404">
        <v>52.445802771313097</v>
      </c>
      <c r="O2404">
        <v>50.238864500210703</v>
      </c>
      <c r="P2404">
        <v>-6.3541071290549395E-2</v>
      </c>
      <c r="Q2404">
        <v>0.16247618444019701</v>
      </c>
      <c r="R2404">
        <v>0.80083818258190698</v>
      </c>
      <c r="S2404" t="s">
        <v>8972</v>
      </c>
      <c r="T2404" t="s">
        <v>13134</v>
      </c>
      <c r="U2404" t="s">
        <v>13134</v>
      </c>
      <c r="V2404" t="s">
        <v>13134</v>
      </c>
      <c r="W2404" t="s">
        <v>15490</v>
      </c>
      <c r="X2404">
        <v>18</v>
      </c>
      <c r="Y2404" t="s">
        <v>21940</v>
      </c>
      <c r="Z2404" t="s">
        <v>28372</v>
      </c>
      <c r="AA2404">
        <v>0.57238116190836241</v>
      </c>
      <c r="AB2404" t="str">
        <f>HYPERLINK("Melting_Curves/meltCurve_P25786_PSMA1.pdf", "Melting_Curves/meltCurve_P25786_PSMA1.pdf")</f>
        <v>Melting_Curves/meltCurve_P25786_PSMA1.pdf</v>
      </c>
    </row>
    <row r="2405" spans="1:28" x14ac:dyDescent="0.25">
      <c r="A2405" t="s">
        <v>2409</v>
      </c>
      <c r="B2405">
        <v>0.99472303558308395</v>
      </c>
      <c r="C2405">
        <v>1.0774829781990201</v>
      </c>
      <c r="D2405">
        <v>0.76174594709772703</v>
      </c>
      <c r="E2405">
        <v>0.73826537302468398</v>
      </c>
      <c r="F2405">
        <v>1.10344065593644</v>
      </c>
      <c r="G2405">
        <v>0.409156584190284</v>
      </c>
      <c r="H2405">
        <v>0.27266317593343498</v>
      </c>
      <c r="I2405">
        <v>0.14952174141244301</v>
      </c>
      <c r="J2405">
        <v>0.25441302699586299</v>
      </c>
      <c r="K2405">
        <v>0.47225861758307403</v>
      </c>
      <c r="L2405">
        <v>13365.103542449</v>
      </c>
      <c r="M2405">
        <v>250</v>
      </c>
      <c r="N2405">
        <v>53.643729861946099</v>
      </c>
      <c r="O2405">
        <v>53.456993137906501</v>
      </c>
      <c r="P2405">
        <v>-0.83336369816172895</v>
      </c>
      <c r="Q2405">
        <v>0.28721412199827301</v>
      </c>
      <c r="R2405">
        <v>0.83051250576529101</v>
      </c>
      <c r="S2405" t="s">
        <v>8973</v>
      </c>
      <c r="T2405" t="s">
        <v>13134</v>
      </c>
      <c r="U2405" t="s">
        <v>13134</v>
      </c>
      <c r="V2405" t="s">
        <v>13134</v>
      </c>
      <c r="W2405" t="s">
        <v>15491</v>
      </c>
      <c r="X2405">
        <v>12</v>
      </c>
      <c r="Y2405" t="s">
        <v>21941</v>
      </c>
      <c r="Z2405" t="s">
        <v>28373</v>
      </c>
      <c r="AA2405">
        <v>0.67837268934347639</v>
      </c>
      <c r="AB2405" t="str">
        <f>HYPERLINK("Melting_Curves/meltCurve_P25787_PSMA2.pdf", "Melting_Curves/meltCurve_P25787_PSMA2.pdf")</f>
        <v>Melting_Curves/meltCurve_P25787_PSMA2.pdf</v>
      </c>
    </row>
    <row r="2406" spans="1:28" x14ac:dyDescent="0.25">
      <c r="A2406" t="s">
        <v>2410</v>
      </c>
      <c r="B2406">
        <v>0.99472303558308395</v>
      </c>
      <c r="C2406">
        <v>0.985989683468663</v>
      </c>
      <c r="D2406">
        <v>0.76462223243828997</v>
      </c>
      <c r="E2406">
        <v>0.71595718206974301</v>
      </c>
      <c r="F2406">
        <v>0.91933463847652397</v>
      </c>
      <c r="G2406">
        <v>0.375369459662383</v>
      </c>
      <c r="H2406">
        <v>0.231484348284346</v>
      </c>
      <c r="I2406">
        <v>0.18047929257071901</v>
      </c>
      <c r="J2406">
        <v>0.22362581748612201</v>
      </c>
      <c r="K2406">
        <v>0.37577023199979598</v>
      </c>
      <c r="L2406">
        <v>681.21119158447698</v>
      </c>
      <c r="M2406">
        <v>13.3375809610971</v>
      </c>
      <c r="N2406">
        <v>52.928175995204498</v>
      </c>
      <c r="O2406">
        <v>49.967385473490197</v>
      </c>
      <c r="P2406">
        <v>-5.4288677749800202E-2</v>
      </c>
      <c r="Q2406">
        <v>0.18659023226190799</v>
      </c>
      <c r="R2406">
        <v>0.828269767433226</v>
      </c>
      <c r="S2406" t="s">
        <v>8974</v>
      </c>
      <c r="T2406" t="s">
        <v>13134</v>
      </c>
      <c r="U2406" t="s">
        <v>13134</v>
      </c>
      <c r="V2406" t="s">
        <v>13134</v>
      </c>
      <c r="W2406" t="s">
        <v>15492</v>
      </c>
      <c r="X2406">
        <v>17</v>
      </c>
      <c r="Y2406" t="s">
        <v>21942</v>
      </c>
      <c r="Z2406" t="s">
        <v>28374</v>
      </c>
      <c r="AA2406">
        <v>0.58702995493434629</v>
      </c>
      <c r="AB2406" t="str">
        <f>HYPERLINK("Melting_Curves/meltCurve_P25788_2_PSMA3.pdf", "Melting_Curves/meltCurve_P25788_2_PSMA3.pdf")</f>
        <v>Melting_Curves/meltCurve_P25788_2_PSMA3.pdf</v>
      </c>
    </row>
    <row r="2407" spans="1:28" x14ac:dyDescent="0.25">
      <c r="A2407" t="s">
        <v>2411</v>
      </c>
      <c r="B2407">
        <v>0.99472303558308395</v>
      </c>
      <c r="C2407">
        <v>0.86119026635706497</v>
      </c>
      <c r="D2407">
        <v>0.78694771647470396</v>
      </c>
      <c r="E2407">
        <v>0.57063208162868295</v>
      </c>
      <c r="F2407">
        <v>0.666623186304375</v>
      </c>
      <c r="G2407">
        <v>0.26219439054451299</v>
      </c>
      <c r="H2407">
        <v>0.174606084681587</v>
      </c>
      <c r="I2407">
        <v>9.3657458998839996E-2</v>
      </c>
      <c r="J2407">
        <v>0.15617740387409901</v>
      </c>
      <c r="K2407">
        <v>0.26335760925852297</v>
      </c>
      <c r="L2407">
        <v>490.04957167320799</v>
      </c>
      <c r="M2407">
        <v>10.1072257054636</v>
      </c>
      <c r="N2407">
        <v>49.4349311589744</v>
      </c>
      <c r="O2407">
        <v>46.701873155842001</v>
      </c>
      <c r="P2407">
        <v>-4.93530422271743E-2</v>
      </c>
      <c r="Q2407">
        <v>8.8254777833277995E-2</v>
      </c>
      <c r="R2407">
        <v>0.91679706257511895</v>
      </c>
      <c r="S2407" t="s">
        <v>8975</v>
      </c>
      <c r="T2407" t="s">
        <v>13134</v>
      </c>
      <c r="U2407" t="s">
        <v>13134</v>
      </c>
      <c r="V2407" t="s">
        <v>13134</v>
      </c>
      <c r="W2407" t="s">
        <v>15493</v>
      </c>
      <c r="X2407">
        <v>10</v>
      </c>
      <c r="Y2407" t="s">
        <v>21943</v>
      </c>
      <c r="Z2407" t="s">
        <v>28375</v>
      </c>
      <c r="AA2407">
        <v>0.47214102078997572</v>
      </c>
      <c r="AB2407" t="str">
        <f>HYPERLINK("Melting_Curves/meltCurve_P25789_PSMA4.pdf", "Melting_Curves/meltCurve_P25789_PSMA4.pdf")</f>
        <v>Melting_Curves/meltCurve_P25789_PSMA4.pdf</v>
      </c>
    </row>
    <row r="2408" spans="1:28" x14ac:dyDescent="0.25">
      <c r="A2408" t="s">
        <v>2412</v>
      </c>
      <c r="B2408">
        <v>0.99472303558308395</v>
      </c>
      <c r="C2408">
        <v>0.94182457122532404</v>
      </c>
      <c r="D2408">
        <v>0.82866991374391596</v>
      </c>
      <c r="E2408">
        <v>0.74751489568117602</v>
      </c>
      <c r="F2408">
        <v>0.70989515091128397</v>
      </c>
      <c r="G2408">
        <v>0.36398097797146001</v>
      </c>
      <c r="H2408">
        <v>0.143734677313823</v>
      </c>
      <c r="I2408">
        <v>9.2365320290712302E-2</v>
      </c>
      <c r="J2408">
        <v>9.9929117597705203E-2</v>
      </c>
      <c r="K2408">
        <v>6.3409877546716301E-2</v>
      </c>
      <c r="L2408">
        <v>646.39991440495703</v>
      </c>
      <c r="M2408">
        <v>12.5393889700135</v>
      </c>
      <c r="N2408">
        <v>51.549554384286203</v>
      </c>
      <c r="O2408">
        <v>50.291188768703698</v>
      </c>
      <c r="P2408">
        <v>-6.2346602427325599E-2</v>
      </c>
      <c r="Q2408">
        <v>0</v>
      </c>
      <c r="R2408">
        <v>0.973238261150835</v>
      </c>
      <c r="S2408" t="s">
        <v>8976</v>
      </c>
      <c r="T2408" t="s">
        <v>13134</v>
      </c>
      <c r="U2408" t="s">
        <v>13134</v>
      </c>
      <c r="V2408" t="s">
        <v>13134</v>
      </c>
      <c r="W2408" t="s">
        <v>15494</v>
      </c>
      <c r="X2408">
        <v>3</v>
      </c>
      <c r="Y2408" t="s">
        <v>21944</v>
      </c>
      <c r="Z2408" t="s">
        <v>28376</v>
      </c>
      <c r="AA2408">
        <v>0.50883011713314186</v>
      </c>
      <c r="AB2408" t="str">
        <f>HYPERLINK("Melting_Curves/meltCurve_P25791_LMO2.pdf", "Melting_Curves/meltCurve_P25791_LMO2.pdf")</f>
        <v>Melting_Curves/meltCurve_P25791_LMO2.pdf</v>
      </c>
    </row>
    <row r="2409" spans="1:28" x14ac:dyDescent="0.25">
      <c r="A2409" t="s">
        <v>2413</v>
      </c>
      <c r="B2409">
        <v>0.99472303558308395</v>
      </c>
      <c r="C2409">
        <v>1.02122029529034</v>
      </c>
      <c r="D2409">
        <v>1.0126370181729101</v>
      </c>
      <c r="E2409">
        <v>0.95896064380370605</v>
      </c>
      <c r="F2409">
        <v>0.63868092427554202</v>
      </c>
      <c r="G2409">
        <v>0.56792176721260401</v>
      </c>
      <c r="H2409">
        <v>0.33488747270949498</v>
      </c>
      <c r="I2409">
        <v>0.18343184808723201</v>
      </c>
      <c r="J2409">
        <v>0.16937844672963001</v>
      </c>
      <c r="K2409">
        <v>8.7300444291624799E-2</v>
      </c>
      <c r="L2409">
        <v>738.11862260794805</v>
      </c>
      <c r="M2409">
        <v>13.7393115582019</v>
      </c>
      <c r="N2409">
        <v>54.127619344263401</v>
      </c>
      <c r="O2409">
        <v>52.623364258856199</v>
      </c>
      <c r="P2409">
        <v>-6.2096111137878503E-2</v>
      </c>
      <c r="Q2409">
        <v>4.8790526600670799E-2</v>
      </c>
      <c r="R2409">
        <v>0.98468429458770101</v>
      </c>
      <c r="S2409" t="s">
        <v>8977</v>
      </c>
      <c r="T2409" t="s">
        <v>13134</v>
      </c>
      <c r="U2409" t="s">
        <v>13134</v>
      </c>
      <c r="V2409" t="s">
        <v>13134</v>
      </c>
      <c r="W2409" t="s">
        <v>15495</v>
      </c>
      <c r="X2409">
        <v>2</v>
      </c>
      <c r="Y2409" t="s">
        <v>21945</v>
      </c>
      <c r="Z2409" t="s">
        <v>28377</v>
      </c>
      <c r="AA2409">
        <v>0.59591373135359427</v>
      </c>
      <c r="AB2409" t="str">
        <f>HYPERLINK("Melting_Curves/meltCurve_P25815_S100P.pdf", "Melting_Curves/meltCurve_P25815_S100P.pdf")</f>
        <v>Melting_Curves/meltCurve_P25815_S100P.pdf</v>
      </c>
    </row>
    <row r="2410" spans="1:28" x14ac:dyDescent="0.25">
      <c r="A2410" t="s">
        <v>2414</v>
      </c>
      <c r="B2410">
        <v>0.99472303558308395</v>
      </c>
      <c r="C2410">
        <v>0.96207332695040804</v>
      </c>
      <c r="D2410">
        <v>1.0696903326704901</v>
      </c>
      <c r="E2410">
        <v>0.95788992175309995</v>
      </c>
      <c r="F2410">
        <v>0.542191622149088</v>
      </c>
      <c r="G2410">
        <v>9.2516101010969007E-2</v>
      </c>
      <c r="H2410">
        <v>5.7672716355062E-2</v>
      </c>
      <c r="I2410">
        <v>3.2171121974053599E-2</v>
      </c>
      <c r="J2410">
        <v>3.7873976955986197E-2</v>
      </c>
      <c r="K2410">
        <v>3.0545473522536799E-2</v>
      </c>
      <c r="L2410">
        <v>2087.6758878649698</v>
      </c>
      <c r="M2410">
        <v>41.4958031758391</v>
      </c>
      <c r="N2410">
        <v>50.403404921727002</v>
      </c>
      <c r="O2410">
        <v>50.194107048452899</v>
      </c>
      <c r="P2410">
        <v>-0.19907087556146699</v>
      </c>
      <c r="Q2410">
        <v>3.68021187304612E-2</v>
      </c>
      <c r="R2410">
        <v>0.99658977089585399</v>
      </c>
      <c r="S2410" t="s">
        <v>8978</v>
      </c>
      <c r="T2410" t="s">
        <v>13134</v>
      </c>
      <c r="U2410" t="s">
        <v>13134</v>
      </c>
      <c r="V2410" t="s">
        <v>13134</v>
      </c>
      <c r="W2410" t="s">
        <v>15496</v>
      </c>
      <c r="X2410">
        <v>71</v>
      </c>
      <c r="Y2410" t="s">
        <v>21946</v>
      </c>
      <c r="Z2410" t="s">
        <v>28378</v>
      </c>
      <c r="AA2410">
        <v>0.46726699015381201</v>
      </c>
      <c r="AB2410" t="str">
        <f>HYPERLINK("Melting_Curves/meltCurve_P26038_MSN.pdf", "Melting_Curves/meltCurve_P26038_MSN.pdf")</f>
        <v>Melting_Curves/meltCurve_P26038_MSN.pdf</v>
      </c>
    </row>
    <row r="2411" spans="1:28" x14ac:dyDescent="0.25">
      <c r="A2411" t="s">
        <v>2415</v>
      </c>
      <c r="B2411">
        <v>0.99472303558308395</v>
      </c>
      <c r="C2411">
        <v>0.97836216648738805</v>
      </c>
      <c r="D2411">
        <v>0.867685225146412</v>
      </c>
      <c r="E2411">
        <v>0.77378053692786697</v>
      </c>
      <c r="F2411">
        <v>0.57101991238140903</v>
      </c>
      <c r="G2411">
        <v>0.27616982655835098</v>
      </c>
      <c r="H2411">
        <v>8.31844181209455E-2</v>
      </c>
      <c r="I2411">
        <v>6.3675072696339E-2</v>
      </c>
      <c r="J2411">
        <v>8.1689960530606107E-2</v>
      </c>
      <c r="K2411">
        <v>6.78024063429018E-2</v>
      </c>
      <c r="L2411">
        <v>778.74785209222398</v>
      </c>
      <c r="M2411">
        <v>15.4746882626151</v>
      </c>
      <c r="N2411">
        <v>50.450699692051998</v>
      </c>
      <c r="O2411">
        <v>49.506049829054199</v>
      </c>
      <c r="P2411">
        <v>-7.6662800740638207E-2</v>
      </c>
      <c r="Q2411">
        <v>1.9060532244706899E-2</v>
      </c>
      <c r="R2411">
        <v>0.99102620228814997</v>
      </c>
      <c r="S2411" t="s">
        <v>8979</v>
      </c>
      <c r="T2411" t="s">
        <v>13134</v>
      </c>
      <c r="U2411" t="s">
        <v>13134</v>
      </c>
      <c r="V2411" t="s">
        <v>13134</v>
      </c>
      <c r="W2411" t="s">
        <v>15497</v>
      </c>
      <c r="X2411">
        <v>19</v>
      </c>
      <c r="Y2411" t="s">
        <v>21947</v>
      </c>
      <c r="Z2411" t="s">
        <v>28379</v>
      </c>
      <c r="AA2411">
        <v>0.47412790703506957</v>
      </c>
      <c r="AB2411" t="str">
        <f>HYPERLINK("Melting_Curves/meltCurve_P26196_DDX6.pdf", "Melting_Curves/meltCurve_P26196_DDX6.pdf")</f>
        <v>Melting_Curves/meltCurve_P26196_DDX6.pdf</v>
      </c>
    </row>
    <row r="2412" spans="1:28" x14ac:dyDescent="0.25">
      <c r="A2412" t="s">
        <v>2416</v>
      </c>
      <c r="B2412">
        <v>0.99472303558308395</v>
      </c>
      <c r="C2412">
        <v>0.945843450702755</v>
      </c>
      <c r="D2412">
        <v>0.939035879841428</v>
      </c>
      <c r="E2412">
        <v>0.82568921393266004</v>
      </c>
      <c r="F2412">
        <v>0.65078338020033</v>
      </c>
      <c r="G2412">
        <v>0.27437649536220299</v>
      </c>
      <c r="H2412">
        <v>6.9427884909413498E-2</v>
      </c>
      <c r="I2412">
        <v>4.78876229606396E-2</v>
      </c>
      <c r="J2412">
        <v>5.1915210812617102E-2</v>
      </c>
      <c r="K2412">
        <v>4.6052860197234799E-2</v>
      </c>
      <c r="L2412">
        <v>1008.1990280252001</v>
      </c>
      <c r="M2412">
        <v>19.710490186573601</v>
      </c>
      <c r="N2412">
        <v>51.225150710280701</v>
      </c>
      <c r="O2412">
        <v>50.6326031620046</v>
      </c>
      <c r="P2412">
        <v>-9.5944388430346805E-2</v>
      </c>
      <c r="Q2412">
        <v>1.41805086324864E-2</v>
      </c>
      <c r="R2412">
        <v>0.99222845404864202</v>
      </c>
      <c r="S2412" t="s">
        <v>8980</v>
      </c>
      <c r="T2412" t="s">
        <v>13134</v>
      </c>
      <c r="U2412" t="s">
        <v>13134</v>
      </c>
      <c r="V2412" t="s">
        <v>13134</v>
      </c>
      <c r="W2412" t="s">
        <v>15498</v>
      </c>
      <c r="X2412">
        <v>72</v>
      </c>
      <c r="Y2412" t="s">
        <v>20283</v>
      </c>
      <c r="Z2412" t="s">
        <v>28380</v>
      </c>
      <c r="AA2412">
        <v>0.49237159075636788</v>
      </c>
      <c r="AB2412" t="str">
        <f>HYPERLINK("Melting_Curves/meltCurve_P26358_DNMT1.pdf", "Melting_Curves/meltCurve_P26358_DNMT1.pdf")</f>
        <v>Melting_Curves/meltCurve_P26358_DNMT1.pdf</v>
      </c>
    </row>
    <row r="2413" spans="1:28" x14ac:dyDescent="0.25">
      <c r="A2413" t="s">
        <v>2417</v>
      </c>
      <c r="B2413">
        <v>0.99472303558308395</v>
      </c>
      <c r="C2413">
        <v>1.1186836609700099</v>
      </c>
      <c r="D2413">
        <v>1.02678816746605</v>
      </c>
      <c r="E2413">
        <v>0.86489175515347705</v>
      </c>
      <c r="F2413">
        <v>0.59731433809741097</v>
      </c>
      <c r="G2413">
        <v>0.295800476687757</v>
      </c>
      <c r="H2413">
        <v>0.14198670367053601</v>
      </c>
      <c r="I2413">
        <v>8.1268720456874097E-2</v>
      </c>
      <c r="J2413">
        <v>8.9529450317852394E-2</v>
      </c>
      <c r="K2413">
        <v>9.00110669482867E-2</v>
      </c>
      <c r="L2413">
        <v>1109.96378598767</v>
      </c>
      <c r="M2413">
        <v>21.852662740996202</v>
      </c>
      <c r="N2413">
        <v>51.177173097730901</v>
      </c>
      <c r="O2413">
        <v>50.373454248470999</v>
      </c>
      <c r="P2413">
        <v>-0.10025275417601499</v>
      </c>
      <c r="Q2413">
        <v>7.5634478787830903E-2</v>
      </c>
      <c r="R2413">
        <v>0.98976323070844296</v>
      </c>
      <c r="S2413" t="s">
        <v>8981</v>
      </c>
      <c r="T2413" t="s">
        <v>13134</v>
      </c>
      <c r="U2413" t="s">
        <v>13134</v>
      </c>
      <c r="V2413" t="s">
        <v>13134</v>
      </c>
      <c r="W2413" t="s">
        <v>15499</v>
      </c>
      <c r="X2413">
        <v>73</v>
      </c>
      <c r="Y2413" t="s">
        <v>20283</v>
      </c>
      <c r="Z2413" t="s">
        <v>28381</v>
      </c>
      <c r="AA2413">
        <v>0.51103272888547757</v>
      </c>
      <c r="AB2413" t="str">
        <f>HYPERLINK("Melting_Curves/meltCurve_P26358_2_DNMT1.pdf", "Melting_Curves/meltCurve_P26358_2_DNMT1.pdf")</f>
        <v>Melting_Curves/meltCurve_P26358_2_DNMT1.pdf</v>
      </c>
    </row>
    <row r="2414" spans="1:28" x14ac:dyDescent="0.25">
      <c r="A2414" t="s">
        <v>2418</v>
      </c>
      <c r="B2414">
        <v>0.99472303558308395</v>
      </c>
      <c r="C2414">
        <v>0.86681285817651998</v>
      </c>
      <c r="D2414">
        <v>1.06825763426228</v>
      </c>
      <c r="E2414">
        <v>0.74542272492647299</v>
      </c>
      <c r="F2414">
        <v>0.29036642148076802</v>
      </c>
      <c r="G2414">
        <v>7.14501262041944E-2</v>
      </c>
      <c r="H2414">
        <v>3.3656864080083997E-2</v>
      </c>
      <c r="I2414">
        <v>1.6674677788164099E-2</v>
      </c>
      <c r="J2414">
        <v>1.7411585330842E-2</v>
      </c>
      <c r="K2414">
        <v>1.3359903182392101E-2</v>
      </c>
      <c r="L2414">
        <v>1407.1875629789999</v>
      </c>
      <c r="M2414">
        <v>29.0338862703064</v>
      </c>
      <c r="N2414">
        <v>48.5279149678762</v>
      </c>
      <c r="O2414">
        <v>48.238916693198902</v>
      </c>
      <c r="P2414">
        <v>-0.14778111674105501</v>
      </c>
      <c r="Q2414">
        <v>1.7872459244375801E-2</v>
      </c>
      <c r="R2414">
        <v>0.98563903687083998</v>
      </c>
      <c r="S2414" t="s">
        <v>8982</v>
      </c>
      <c r="T2414" t="s">
        <v>13134</v>
      </c>
      <c r="U2414" t="s">
        <v>13134</v>
      </c>
      <c r="V2414" t="s">
        <v>13134</v>
      </c>
      <c r="W2414" t="s">
        <v>15500</v>
      </c>
      <c r="X2414">
        <v>9</v>
      </c>
      <c r="Y2414" t="s">
        <v>21948</v>
      </c>
      <c r="Z2414" t="s">
        <v>28382</v>
      </c>
      <c r="AA2414">
        <v>0.39954077972119029</v>
      </c>
      <c r="AB2414" t="str">
        <f>HYPERLINK("Melting_Curves/meltCurve_P26368_2_U2AF2.pdf", "Melting_Curves/meltCurve_P26368_2_U2AF2.pdf")</f>
        <v>Melting_Curves/meltCurve_P26368_2_U2AF2.pdf</v>
      </c>
    </row>
    <row r="2415" spans="1:28" x14ac:dyDescent="0.25">
      <c r="A2415" t="s">
        <v>2419</v>
      </c>
      <c r="B2415">
        <v>0.99472303558308395</v>
      </c>
      <c r="C2415">
        <v>0.897677978642898</v>
      </c>
      <c r="D2415">
        <v>0.94566740254278303</v>
      </c>
      <c r="E2415">
        <v>0.85136540459657795</v>
      </c>
      <c r="F2415">
        <v>0.78474132992319701</v>
      </c>
      <c r="G2415">
        <v>0.26733039704987899</v>
      </c>
      <c r="H2415">
        <v>0.17223778257637401</v>
      </c>
      <c r="I2415">
        <v>0.12049256375779301</v>
      </c>
      <c r="J2415">
        <v>9.4692276896802194E-2</v>
      </c>
      <c r="K2415">
        <v>0.104682023062579</v>
      </c>
      <c r="L2415">
        <v>1560.8564959431901</v>
      </c>
      <c r="M2415">
        <v>30.225696233319201</v>
      </c>
      <c r="N2415">
        <v>52.041279419234598</v>
      </c>
      <c r="O2415">
        <v>51.415590520908097</v>
      </c>
      <c r="P2415">
        <v>-0.131692956788585</v>
      </c>
      <c r="Q2415">
        <v>0.103937487158636</v>
      </c>
      <c r="R2415">
        <v>0.97771801405172898</v>
      </c>
      <c r="S2415" t="s">
        <v>8983</v>
      </c>
      <c r="T2415" t="s">
        <v>13134</v>
      </c>
      <c r="U2415" t="s">
        <v>13134</v>
      </c>
      <c r="V2415" t="s">
        <v>13134</v>
      </c>
      <c r="W2415" t="s">
        <v>15501</v>
      </c>
      <c r="X2415">
        <v>7</v>
      </c>
      <c r="Y2415" t="s">
        <v>21949</v>
      </c>
      <c r="Z2415" t="s">
        <v>28383</v>
      </c>
      <c r="AA2415">
        <v>0.54676667615152919</v>
      </c>
      <c r="AB2415" t="str">
        <f>HYPERLINK("Melting_Curves/meltCurve_P26373_RPL13.pdf", "Melting_Curves/meltCurve_P26373_RPL13.pdf")</f>
        <v>Melting_Curves/meltCurve_P26373_RPL13.pdf</v>
      </c>
    </row>
    <row r="2416" spans="1:28" x14ac:dyDescent="0.25">
      <c r="A2416" t="s">
        <v>2420</v>
      </c>
      <c r="B2416">
        <v>0.99472303558308395</v>
      </c>
      <c r="C2416">
        <v>1.00449624492148</v>
      </c>
      <c r="D2416">
        <v>0.98526888858133099</v>
      </c>
      <c r="E2416">
        <v>0.941191346299454</v>
      </c>
      <c r="F2416">
        <v>0.71365342953956201</v>
      </c>
      <c r="G2416">
        <v>0.53842605206804905</v>
      </c>
      <c r="H2416">
        <v>0.20033132900321601</v>
      </c>
      <c r="I2416">
        <v>7.3495788707486506E-2</v>
      </c>
      <c r="J2416">
        <v>6.5480419189744496E-2</v>
      </c>
      <c r="K2416">
        <v>6.0305761944867697E-2</v>
      </c>
      <c r="L2416">
        <v>948.31263999765599</v>
      </c>
      <c r="M2416">
        <v>17.7437682700645</v>
      </c>
      <c r="N2416">
        <v>53.492561455622798</v>
      </c>
      <c r="O2416">
        <v>52.779857096039201</v>
      </c>
      <c r="P2416">
        <v>-8.33903376753896E-2</v>
      </c>
      <c r="Q2416">
        <v>7.8544152402644993E-3</v>
      </c>
      <c r="R2416">
        <v>0.99412352737962295</v>
      </c>
      <c r="S2416" t="s">
        <v>8984</v>
      </c>
      <c r="T2416" t="s">
        <v>13134</v>
      </c>
      <c r="U2416" t="s">
        <v>13134</v>
      </c>
      <c r="V2416" t="s">
        <v>13134</v>
      </c>
      <c r="W2416" t="s">
        <v>15502</v>
      </c>
      <c r="X2416">
        <v>19</v>
      </c>
      <c r="Y2416" t="s">
        <v>21950</v>
      </c>
      <c r="Z2416" t="s">
        <v>28384</v>
      </c>
      <c r="AA2416">
        <v>0.56604854013736217</v>
      </c>
      <c r="AB2416" t="str">
        <f>HYPERLINK("Melting_Curves/meltCurve_P26374_CHML.pdf", "Melting_Curves/meltCurve_P26374_CHML.pdf")</f>
        <v>Melting_Curves/meltCurve_P26374_CHML.pdf</v>
      </c>
    </row>
    <row r="2417" spans="1:28" x14ac:dyDescent="0.25">
      <c r="A2417" t="s">
        <v>2421</v>
      </c>
      <c r="B2417">
        <v>0.99472303558308395</v>
      </c>
      <c r="C2417">
        <v>0.86183952371668204</v>
      </c>
      <c r="D2417">
        <v>0.95109223829668599</v>
      </c>
      <c r="E2417">
        <v>0.85483800593127501</v>
      </c>
      <c r="F2417">
        <v>0.67081250746853505</v>
      </c>
      <c r="G2417">
        <v>0.443101492599353</v>
      </c>
      <c r="H2417">
        <v>0.24574417806785101</v>
      </c>
      <c r="I2417">
        <v>0.14790289343032001</v>
      </c>
      <c r="J2417">
        <v>0.126606967564317</v>
      </c>
      <c r="K2417">
        <v>0.100731172506993</v>
      </c>
      <c r="L2417">
        <v>700.276319495964</v>
      </c>
      <c r="M2417">
        <v>13.3651568776069</v>
      </c>
      <c r="N2417">
        <v>52.711118178287897</v>
      </c>
      <c r="O2417">
        <v>51.264363438922103</v>
      </c>
      <c r="P2417">
        <v>-6.2682644433690898E-2</v>
      </c>
      <c r="Q2417">
        <v>3.8432174195339099E-2</v>
      </c>
      <c r="R2417">
        <v>0.98619545142075005</v>
      </c>
      <c r="S2417" t="s">
        <v>8985</v>
      </c>
      <c r="T2417" t="s">
        <v>13134</v>
      </c>
      <c r="U2417" t="s">
        <v>13134</v>
      </c>
      <c r="V2417" t="s">
        <v>13134</v>
      </c>
      <c r="W2417" t="s">
        <v>15503</v>
      </c>
      <c r="X2417">
        <v>1</v>
      </c>
      <c r="Y2417" t="s">
        <v>21951</v>
      </c>
      <c r="Z2417" t="s">
        <v>28385</v>
      </c>
      <c r="AA2417">
        <v>0.55199835002490938</v>
      </c>
      <c r="AB2417" t="str">
        <f>HYPERLINK("Melting_Curves/meltCurve_P26447_S100A4.pdf", "Melting_Curves/meltCurve_P26447_S100A4.pdf")</f>
        <v>Melting_Curves/meltCurve_P26447_S100A4.pdf</v>
      </c>
    </row>
    <row r="2418" spans="1:28" x14ac:dyDescent="0.25">
      <c r="A2418" t="s">
        <v>2422</v>
      </c>
      <c r="B2418">
        <v>0.99472303558308395</v>
      </c>
      <c r="C2418">
        <v>0.94081960198660997</v>
      </c>
      <c r="D2418">
        <v>0.89714225293810401</v>
      </c>
      <c r="E2418">
        <v>0.78954205085074802</v>
      </c>
      <c r="F2418">
        <v>0.57754554764938704</v>
      </c>
      <c r="G2418">
        <v>0.195079242530111</v>
      </c>
      <c r="H2418">
        <v>7.7002590449863406E-2</v>
      </c>
      <c r="I2418">
        <v>3.48891913014341E-2</v>
      </c>
      <c r="J2418">
        <v>3.9595992761931098E-2</v>
      </c>
      <c r="K2418">
        <v>4.1697555693766597E-2</v>
      </c>
      <c r="L2418">
        <v>903.74380794979197</v>
      </c>
      <c r="M2418">
        <v>17.959043971044402</v>
      </c>
      <c r="N2418">
        <v>50.342405743648698</v>
      </c>
      <c r="O2418">
        <v>49.710994922425002</v>
      </c>
      <c r="P2418">
        <v>-9.0002058095971504E-2</v>
      </c>
      <c r="Q2418">
        <v>3.5397128000899899E-3</v>
      </c>
      <c r="R2418">
        <v>0.99097256792655897</v>
      </c>
      <c r="S2418" t="s">
        <v>8986</v>
      </c>
      <c r="T2418" t="s">
        <v>13134</v>
      </c>
      <c r="U2418" t="s">
        <v>13134</v>
      </c>
      <c r="V2418" t="s">
        <v>13134</v>
      </c>
      <c r="W2418" t="s">
        <v>15504</v>
      </c>
      <c r="X2418">
        <v>6</v>
      </c>
      <c r="Y2418" t="s">
        <v>21952</v>
      </c>
      <c r="Z2418" t="s">
        <v>28386</v>
      </c>
      <c r="AA2418">
        <v>0.46174133515499588</v>
      </c>
      <c r="AB2418" t="str">
        <f>HYPERLINK("Melting_Curves/meltCurve_P26572_MGAT1.pdf", "Melting_Curves/meltCurve_P26572_MGAT1.pdf")</f>
        <v>Melting_Curves/meltCurve_P26572_MGAT1.pdf</v>
      </c>
    </row>
    <row r="2419" spans="1:28" x14ac:dyDescent="0.25">
      <c r="A2419" t="s">
        <v>2423</v>
      </c>
      <c r="B2419">
        <v>0.99472303558308395</v>
      </c>
      <c r="C2419">
        <v>0.93898566672205097</v>
      </c>
      <c r="D2419">
        <v>1.0448818336013901</v>
      </c>
      <c r="E2419">
        <v>0.91674723340313302</v>
      </c>
      <c r="F2419">
        <v>0.56355632191662697</v>
      </c>
      <c r="G2419">
        <v>0.48494413437457501</v>
      </c>
      <c r="H2419">
        <v>0.36333655038196799</v>
      </c>
      <c r="I2419">
        <v>0.386511876450991</v>
      </c>
      <c r="J2419">
        <v>0.47971643131338199</v>
      </c>
      <c r="K2419">
        <v>0.28756602297843298</v>
      </c>
      <c r="L2419">
        <v>1595.47900009914</v>
      </c>
      <c r="M2419">
        <v>32.530813036692898</v>
      </c>
      <c r="N2419">
        <v>51.429819298390797</v>
      </c>
      <c r="O2419">
        <v>48.860942154654701</v>
      </c>
      <c r="P2419">
        <v>-0.101638179560916</v>
      </c>
      <c r="Q2419">
        <v>0.38936496165443002</v>
      </c>
      <c r="R2419">
        <v>0.96086186052880695</v>
      </c>
      <c r="S2419" t="s">
        <v>8987</v>
      </c>
      <c r="T2419" t="s">
        <v>13134</v>
      </c>
      <c r="U2419" t="s">
        <v>13134</v>
      </c>
      <c r="V2419" t="s">
        <v>13134</v>
      </c>
      <c r="W2419" t="s">
        <v>15505</v>
      </c>
      <c r="X2419">
        <v>20</v>
      </c>
      <c r="Y2419" t="s">
        <v>21953</v>
      </c>
      <c r="Z2419" t="s">
        <v>28387</v>
      </c>
      <c r="AA2419">
        <v>0.63767361123362754</v>
      </c>
      <c r="AB2419" t="str">
        <f>HYPERLINK("Melting_Curves/meltCurve_P26583_HMGB2.pdf", "Melting_Curves/meltCurve_P26583_HMGB2.pdf")</f>
        <v>Melting_Curves/meltCurve_P26583_HMGB2.pdf</v>
      </c>
    </row>
    <row r="2420" spans="1:28" x14ac:dyDescent="0.25">
      <c r="A2420" t="s">
        <v>2424</v>
      </c>
      <c r="B2420">
        <v>0.99472303558308395</v>
      </c>
      <c r="C2420">
        <v>0.79397366786726298</v>
      </c>
      <c r="D2420">
        <v>1.07462948224082</v>
      </c>
      <c r="E2420">
        <v>0.71190989434428398</v>
      </c>
      <c r="F2420">
        <v>0.165507142452093</v>
      </c>
      <c r="G2420">
        <v>8.0767873867031603E-2</v>
      </c>
      <c r="H2420">
        <v>5.3544552778625201E-2</v>
      </c>
      <c r="I2420">
        <v>3.2941615070004301E-2</v>
      </c>
      <c r="J2420">
        <v>4.0498343872910798E-2</v>
      </c>
      <c r="K2420">
        <v>3.43690238898193E-2</v>
      </c>
      <c r="L2420">
        <v>1886.18729964314</v>
      </c>
      <c r="M2420">
        <v>39.590084986974396</v>
      </c>
      <c r="N2420">
        <v>47.761728286618599</v>
      </c>
      <c r="O2420">
        <v>47.521846959535601</v>
      </c>
      <c r="P2420">
        <v>-0.19850691096599099</v>
      </c>
      <c r="Q2420">
        <v>4.6893164648359E-2</v>
      </c>
      <c r="R2420">
        <v>0.97055151370290105</v>
      </c>
      <c r="S2420" t="s">
        <v>8988</v>
      </c>
      <c r="T2420" t="s">
        <v>13134</v>
      </c>
      <c r="U2420" t="s">
        <v>13134</v>
      </c>
      <c r="V2420" t="s">
        <v>13134</v>
      </c>
      <c r="W2420" t="s">
        <v>15506</v>
      </c>
      <c r="X2420">
        <v>17</v>
      </c>
      <c r="Y2420" t="s">
        <v>20926</v>
      </c>
      <c r="Z2420" t="s">
        <v>28388</v>
      </c>
      <c r="AA2420">
        <v>0.38822620710278621</v>
      </c>
      <c r="AB2420" t="str">
        <f>HYPERLINK("Melting_Curves/meltCurve_P26599_PTBP1.pdf", "Melting_Curves/meltCurve_P26599_PTBP1.pdf")</f>
        <v>Melting_Curves/meltCurve_P26599_PTBP1.pdf</v>
      </c>
    </row>
    <row r="2421" spans="1:28" x14ac:dyDescent="0.25">
      <c r="A2421" t="s">
        <v>2425</v>
      </c>
      <c r="B2421">
        <v>0.99472303558308395</v>
      </c>
      <c r="C2421">
        <v>0.98890682749341896</v>
      </c>
      <c r="D2421">
        <v>0.93172716996805205</v>
      </c>
      <c r="E2421">
        <v>0.79312479851102602</v>
      </c>
      <c r="F2421">
        <v>0.48477686839797202</v>
      </c>
      <c r="G2421">
        <v>0.14265999150848799</v>
      </c>
      <c r="H2421">
        <v>6.8615332882915006E-2</v>
      </c>
      <c r="I2421">
        <v>4.9365863257440898E-2</v>
      </c>
      <c r="J2421">
        <v>5.5738327696927097E-2</v>
      </c>
      <c r="K2421">
        <v>4.8671860145213998E-2</v>
      </c>
      <c r="L2421">
        <v>1078.51525347816</v>
      </c>
      <c r="M2421">
        <v>21.762506475628001</v>
      </c>
      <c r="N2421">
        <v>49.716018234096502</v>
      </c>
      <c r="O2421">
        <v>49.145647873290898</v>
      </c>
      <c r="P2421">
        <v>-0.10701639272145699</v>
      </c>
      <c r="Q2421">
        <v>3.33342560496208E-2</v>
      </c>
      <c r="R2421">
        <v>0.99721946237839598</v>
      </c>
      <c r="S2421" t="s">
        <v>8989</v>
      </c>
      <c r="T2421" t="s">
        <v>13134</v>
      </c>
      <c r="U2421" t="s">
        <v>13134</v>
      </c>
      <c r="V2421" t="s">
        <v>13134</v>
      </c>
      <c r="W2421" t="s">
        <v>15507</v>
      </c>
      <c r="X2421">
        <v>48</v>
      </c>
      <c r="Y2421" t="s">
        <v>21954</v>
      </c>
      <c r="Z2421" t="s">
        <v>28389</v>
      </c>
      <c r="AA2421">
        <v>0.44892202490879368</v>
      </c>
      <c r="AB2421" t="str">
        <f>HYPERLINK("Melting_Curves/meltCurve_P26639_TARS.pdf", "Melting_Curves/meltCurve_P26639_TARS.pdf")</f>
        <v>Melting_Curves/meltCurve_P26639_TARS.pdf</v>
      </c>
    </row>
    <row r="2422" spans="1:28" x14ac:dyDescent="0.25">
      <c r="A2422" t="s">
        <v>2426</v>
      </c>
      <c r="B2422">
        <v>0.99472303558308395</v>
      </c>
      <c r="C2422">
        <v>0.90945360802388997</v>
      </c>
      <c r="D2422">
        <v>0.67057079053951196</v>
      </c>
      <c r="E2422">
        <v>0.54289945601475398</v>
      </c>
      <c r="F2422">
        <v>0.28936528395635602</v>
      </c>
      <c r="G2422">
        <v>7.3211877568573294E-2</v>
      </c>
      <c r="H2422">
        <v>4.7726308969411602E-2</v>
      </c>
      <c r="I2422">
        <v>3.3407441416222899E-2</v>
      </c>
      <c r="J2422">
        <v>4.0638131799220899E-2</v>
      </c>
      <c r="K2422">
        <v>3.3139245456641299E-2</v>
      </c>
      <c r="L2422">
        <v>622.99961774192195</v>
      </c>
      <c r="M2422">
        <v>13.4365663646313</v>
      </c>
      <c r="N2422">
        <v>46.3659834639151</v>
      </c>
      <c r="O2422">
        <v>45.375106750671897</v>
      </c>
      <c r="P2422">
        <v>-7.4041993656772304E-2</v>
      </c>
      <c r="Q2422">
        <v>0</v>
      </c>
      <c r="R2422">
        <v>0.98875764266886002</v>
      </c>
      <c r="S2422" t="s">
        <v>8990</v>
      </c>
      <c r="T2422" t="s">
        <v>13134</v>
      </c>
      <c r="U2422" t="s">
        <v>13134</v>
      </c>
      <c r="V2422" t="s">
        <v>13134</v>
      </c>
      <c r="W2422" t="s">
        <v>15508</v>
      </c>
      <c r="X2422">
        <v>57</v>
      </c>
      <c r="Y2422" t="s">
        <v>21955</v>
      </c>
      <c r="Z2422" t="s">
        <v>28390</v>
      </c>
      <c r="AA2422">
        <v>0.34009851453676371</v>
      </c>
      <c r="AB2422" t="str">
        <f>HYPERLINK("Melting_Curves/meltCurve_P26640_VARS.pdf", "Melting_Curves/meltCurve_P26640_VARS.pdf")</f>
        <v>Melting_Curves/meltCurve_P26640_VARS.pdf</v>
      </c>
    </row>
    <row r="2423" spans="1:28" x14ac:dyDescent="0.25">
      <c r="A2423" t="s">
        <v>2427</v>
      </c>
      <c r="B2423">
        <v>0.99472303558308395</v>
      </c>
      <c r="C2423">
        <v>0.88041524198429799</v>
      </c>
      <c r="D2423">
        <v>0.73561969375364999</v>
      </c>
      <c r="E2423">
        <v>0.56041930065724199</v>
      </c>
      <c r="F2423">
        <v>0.23805446397654501</v>
      </c>
      <c r="G2423">
        <v>5.9081971246419798E-2</v>
      </c>
      <c r="H2423">
        <v>3.8179145509039697E-2</v>
      </c>
      <c r="I2423">
        <v>2.6736051952095399E-2</v>
      </c>
      <c r="J2423">
        <v>3.1251715064630599E-2</v>
      </c>
      <c r="K2423">
        <v>2.6830252606288602E-2</v>
      </c>
      <c r="L2423">
        <v>697.30694556258197</v>
      </c>
      <c r="M2423">
        <v>14.9976909613211</v>
      </c>
      <c r="N2423">
        <v>46.494284447405498</v>
      </c>
      <c r="O2423">
        <v>45.691166730428698</v>
      </c>
      <c r="P2423">
        <v>-8.2068419597302905E-2</v>
      </c>
      <c r="Q2423">
        <v>0</v>
      </c>
      <c r="R2423">
        <v>0.991279821545622</v>
      </c>
      <c r="S2423" t="s">
        <v>8991</v>
      </c>
      <c r="T2423" t="s">
        <v>13134</v>
      </c>
      <c r="U2423" t="s">
        <v>13134</v>
      </c>
      <c r="V2423" t="s">
        <v>13134</v>
      </c>
      <c r="W2423" t="s">
        <v>15509</v>
      </c>
      <c r="X2423">
        <v>25</v>
      </c>
      <c r="Y2423" t="s">
        <v>21956</v>
      </c>
      <c r="Z2423" t="s">
        <v>28391</v>
      </c>
      <c r="AA2423">
        <v>0.33925878145105082</v>
      </c>
      <c r="AB2423" t="str">
        <f>HYPERLINK("Melting_Curves/meltCurve_P26641_EEF1G.pdf", "Melting_Curves/meltCurve_P26641_EEF1G.pdf")</f>
        <v>Melting_Curves/meltCurve_P26641_EEF1G.pdf</v>
      </c>
    </row>
    <row r="2424" spans="1:28" x14ac:dyDescent="0.25">
      <c r="A2424" t="s">
        <v>2428</v>
      </c>
      <c r="B2424">
        <v>0.99472303558308395</v>
      </c>
      <c r="C2424">
        <v>0.91511172373070404</v>
      </c>
      <c r="D2424">
        <v>0.97819934343521198</v>
      </c>
      <c r="E2424">
        <v>0.88034356203553599</v>
      </c>
      <c r="F2424">
        <v>0.65846802365479196</v>
      </c>
      <c r="G2424">
        <v>0.392667146083297</v>
      </c>
      <c r="H2424">
        <v>0.16981265808576901</v>
      </c>
      <c r="I2424">
        <v>0.11130727004522201</v>
      </c>
      <c r="J2424">
        <v>0.10983904772964601</v>
      </c>
      <c r="K2424">
        <v>0.102108485949469</v>
      </c>
      <c r="L2424">
        <v>950.91807319335305</v>
      </c>
      <c r="M2424">
        <v>18.415797817749699</v>
      </c>
      <c r="N2424">
        <v>52.086135783600596</v>
      </c>
      <c r="O2424">
        <v>51.038684865385498</v>
      </c>
      <c r="P2424">
        <v>-8.3572804323713695E-2</v>
      </c>
      <c r="Q2424">
        <v>7.3566369914865398E-2</v>
      </c>
      <c r="R2424">
        <v>0.99390609928433504</v>
      </c>
      <c r="S2424" t="s">
        <v>8992</v>
      </c>
      <c r="T2424" t="s">
        <v>13134</v>
      </c>
      <c r="U2424" t="s">
        <v>13134</v>
      </c>
      <c r="V2424" t="s">
        <v>13134</v>
      </c>
      <c r="W2424" t="s">
        <v>15510</v>
      </c>
      <c r="X2424">
        <v>7</v>
      </c>
      <c r="Y2424" t="s">
        <v>21957</v>
      </c>
      <c r="Z2424" t="s">
        <v>28392</v>
      </c>
      <c r="AA2424">
        <v>0.53922677787689943</v>
      </c>
      <c r="AB2424" t="str">
        <f>HYPERLINK("Melting_Curves/meltCurve_P26885_FKBP2.pdf", "Melting_Curves/meltCurve_P26885_FKBP2.pdf")</f>
        <v>Melting_Curves/meltCurve_P26885_FKBP2.pdf</v>
      </c>
    </row>
    <row r="2425" spans="1:28" x14ac:dyDescent="0.25">
      <c r="A2425" t="s">
        <v>2429</v>
      </c>
      <c r="B2425">
        <v>0.99472303558308395</v>
      </c>
      <c r="C2425">
        <v>1.02265421761605</v>
      </c>
      <c r="D2425">
        <v>1.0394005635044099</v>
      </c>
      <c r="E2425">
        <v>0.91242244347912804</v>
      </c>
      <c r="F2425">
        <v>0.60684074852034997</v>
      </c>
      <c r="G2425">
        <v>0.48644298630958299</v>
      </c>
      <c r="H2425">
        <v>0.160303252449607</v>
      </c>
      <c r="I2425">
        <v>7.27309569715891E-2</v>
      </c>
      <c r="J2425">
        <v>6.6587773166583597E-2</v>
      </c>
      <c r="K2425">
        <v>6.7778742849147103E-2</v>
      </c>
      <c r="L2425">
        <v>893.35776946936005</v>
      </c>
      <c r="M2425">
        <v>17.064937724749502</v>
      </c>
      <c r="N2425">
        <v>52.485809356546199</v>
      </c>
      <c r="O2425">
        <v>51.647445911784303</v>
      </c>
      <c r="P2425">
        <v>-8.0830098934677894E-2</v>
      </c>
      <c r="Q2425">
        <v>2.1522428458696102E-2</v>
      </c>
      <c r="R2425">
        <v>0.98717656848216695</v>
      </c>
      <c r="S2425" t="s">
        <v>8993</v>
      </c>
      <c r="T2425" t="s">
        <v>13134</v>
      </c>
      <c r="U2425" t="s">
        <v>13134</v>
      </c>
      <c r="V2425" t="s">
        <v>13134</v>
      </c>
      <c r="W2425" t="s">
        <v>15511</v>
      </c>
      <c r="X2425">
        <v>13</v>
      </c>
      <c r="Y2425" t="s">
        <v>21958</v>
      </c>
      <c r="Z2425" t="s">
        <v>28393</v>
      </c>
      <c r="AA2425">
        <v>0.53789469673307666</v>
      </c>
      <c r="AB2425" t="str">
        <f>HYPERLINK("Melting_Curves/meltCurve_P27144_AK4.pdf", "Melting_Curves/meltCurve_P27144_AK4.pdf")</f>
        <v>Melting_Curves/meltCurve_P27144_AK4.pdf</v>
      </c>
    </row>
    <row r="2426" spans="1:28" x14ac:dyDescent="0.25">
      <c r="A2426" t="s">
        <v>2430</v>
      </c>
      <c r="B2426">
        <v>0.99472303558308395</v>
      </c>
      <c r="C2426">
        <v>1.0011654099949301</v>
      </c>
      <c r="D2426">
        <v>1.0127453071238</v>
      </c>
      <c r="E2426">
        <v>0.96403897685188</v>
      </c>
      <c r="F2426">
        <v>0.68544580607050098</v>
      </c>
      <c r="G2426">
        <v>0.276223492628901</v>
      </c>
      <c r="H2426">
        <v>6.9599713293312396E-2</v>
      </c>
      <c r="I2426">
        <v>3.8732660496717898E-2</v>
      </c>
      <c r="J2426">
        <v>3.6864873655535403E-2</v>
      </c>
      <c r="K2426">
        <v>3.5362955108112902E-2</v>
      </c>
      <c r="L2426">
        <v>1436.0918544026299</v>
      </c>
      <c r="M2426">
        <v>27.828717329090299</v>
      </c>
      <c r="N2426">
        <v>51.713390982614101</v>
      </c>
      <c r="O2426">
        <v>51.340405251426901</v>
      </c>
      <c r="P2426">
        <v>-0.131661676080021</v>
      </c>
      <c r="Q2426">
        <v>2.84130913955793E-2</v>
      </c>
      <c r="R2426">
        <v>0.99953541665046697</v>
      </c>
      <c r="S2426" t="s">
        <v>8994</v>
      </c>
      <c r="T2426" t="s">
        <v>13134</v>
      </c>
      <c r="U2426" t="s">
        <v>13134</v>
      </c>
      <c r="V2426" t="s">
        <v>13134</v>
      </c>
      <c r="W2426" t="s">
        <v>15512</v>
      </c>
      <c r="X2426">
        <v>26</v>
      </c>
      <c r="Y2426" t="s">
        <v>21959</v>
      </c>
      <c r="Z2426" t="s">
        <v>28394</v>
      </c>
      <c r="AA2426">
        <v>0.50844829554252768</v>
      </c>
      <c r="AB2426" t="str">
        <f>HYPERLINK("Melting_Curves/meltCurve_P27348_YWHAQ.pdf", "Melting_Curves/meltCurve_P27348_YWHAQ.pdf")</f>
        <v>Melting_Curves/meltCurve_P27348_YWHAQ.pdf</v>
      </c>
    </row>
    <row r="2427" spans="1:28" x14ac:dyDescent="0.25">
      <c r="A2427" t="s">
        <v>2431</v>
      </c>
      <c r="B2427">
        <v>0.99472303558308395</v>
      </c>
      <c r="C2427">
        <v>0.93290400315492406</v>
      </c>
      <c r="D2427">
        <v>1.0889685119563299</v>
      </c>
      <c r="E2427">
        <v>0.86941832175672895</v>
      </c>
      <c r="F2427">
        <v>0.41652618669811597</v>
      </c>
      <c r="G2427">
        <v>9.7107948288929796E-2</v>
      </c>
      <c r="H2427">
        <v>4.69023659320758E-2</v>
      </c>
      <c r="I2427">
        <v>3.7904680275234102E-2</v>
      </c>
      <c r="J2427">
        <v>3.7914482579451299E-2</v>
      </c>
      <c r="K2427">
        <v>2.8340602376614898E-2</v>
      </c>
      <c r="L2427">
        <v>1595.22410917605</v>
      </c>
      <c r="M2427">
        <v>32.2222526276596</v>
      </c>
      <c r="N2427">
        <v>49.6137255101481</v>
      </c>
      <c r="O2427">
        <v>49.317396487843602</v>
      </c>
      <c r="P2427">
        <v>-0.15786820590695899</v>
      </c>
      <c r="Q2427">
        <v>3.3511307662945002E-2</v>
      </c>
      <c r="R2427">
        <v>0.99264286931409795</v>
      </c>
      <c r="S2427" t="s">
        <v>8995</v>
      </c>
      <c r="T2427" t="s">
        <v>13134</v>
      </c>
      <c r="U2427" t="s">
        <v>13134</v>
      </c>
      <c r="V2427" t="s">
        <v>13134</v>
      </c>
      <c r="W2427" t="s">
        <v>15513</v>
      </c>
      <c r="X2427">
        <v>10</v>
      </c>
      <c r="Y2427" t="s">
        <v>21960</v>
      </c>
      <c r="Z2427" t="s">
        <v>28395</v>
      </c>
      <c r="AA2427">
        <v>0.44153899538608948</v>
      </c>
      <c r="AB2427" t="str">
        <f>HYPERLINK("Melting_Curves/meltCurve_P27361_MAPK3.pdf", "Melting_Curves/meltCurve_P27361_MAPK3.pdf")</f>
        <v>Melting_Curves/meltCurve_P27361_MAPK3.pdf</v>
      </c>
    </row>
    <row r="2428" spans="1:28" x14ac:dyDescent="0.25">
      <c r="A2428" t="s">
        <v>2432</v>
      </c>
      <c r="B2428">
        <v>0.99472303558308395</v>
      </c>
      <c r="C2428">
        <v>1.00940839478686</v>
      </c>
      <c r="D2428">
        <v>0.88352380352037796</v>
      </c>
      <c r="E2428">
        <v>0.64639569993143897</v>
      </c>
      <c r="F2428">
        <v>0.33487950260487098</v>
      </c>
      <c r="G2428">
        <v>0.12776280455054601</v>
      </c>
      <c r="H2428">
        <v>5.4549667074442497E-2</v>
      </c>
      <c r="I2428">
        <v>4.0490988560401703E-2</v>
      </c>
      <c r="J2428">
        <v>4.0746262535042599E-2</v>
      </c>
      <c r="K2428">
        <v>3.9605251827646001E-2</v>
      </c>
      <c r="L2428">
        <v>903.943660053484</v>
      </c>
      <c r="M2428">
        <v>18.8325480311596</v>
      </c>
      <c r="N2428">
        <v>48.131390198474598</v>
      </c>
      <c r="O2428">
        <v>47.467600443595799</v>
      </c>
      <c r="P2428">
        <v>-9.6686891335412306E-2</v>
      </c>
      <c r="Q2428">
        <v>2.5239139427224298E-2</v>
      </c>
      <c r="R2428">
        <v>0.99884254949559503</v>
      </c>
      <c r="S2428" t="s">
        <v>8996</v>
      </c>
      <c r="T2428" t="s">
        <v>13134</v>
      </c>
      <c r="U2428" t="s">
        <v>13134</v>
      </c>
      <c r="V2428" t="s">
        <v>13134</v>
      </c>
      <c r="W2428" t="s">
        <v>15514</v>
      </c>
      <c r="X2428">
        <v>11</v>
      </c>
      <c r="Y2428" t="s">
        <v>21961</v>
      </c>
      <c r="Z2428" t="s">
        <v>28396</v>
      </c>
      <c r="AA2428">
        <v>0.39695457962211361</v>
      </c>
      <c r="AB2428" t="str">
        <f>HYPERLINK("Melting_Curves/meltCurve_P27540_2_ARNT.pdf", "Melting_Curves/meltCurve_P27540_2_ARNT.pdf")</f>
        <v>Melting_Curves/meltCurve_P27540_2_ARNT.pdf</v>
      </c>
    </row>
    <row r="2429" spans="1:28" x14ac:dyDescent="0.25">
      <c r="A2429" t="s">
        <v>2433</v>
      </c>
      <c r="B2429">
        <v>0.99472303558308395</v>
      </c>
      <c r="C2429">
        <v>0.91692822487304404</v>
      </c>
      <c r="D2429">
        <v>0.97657016557596499</v>
      </c>
      <c r="E2429">
        <v>0.81847691103752296</v>
      </c>
      <c r="F2429">
        <v>0.63809113440342502</v>
      </c>
      <c r="G2429">
        <v>0.454149935953303</v>
      </c>
      <c r="H2429">
        <v>0.17171925291498499</v>
      </c>
      <c r="I2429">
        <v>9.1830225794346201E-2</v>
      </c>
      <c r="J2429">
        <v>8.2719708778570003E-2</v>
      </c>
      <c r="K2429">
        <v>8.1657901864264498E-2</v>
      </c>
      <c r="L2429">
        <v>736.459730558655</v>
      </c>
      <c r="M2429">
        <v>14.1198895118523</v>
      </c>
      <c r="N2429">
        <v>52.222078924494902</v>
      </c>
      <c r="O2429">
        <v>51.144873181653402</v>
      </c>
      <c r="P2429">
        <v>-6.8431432631059094E-2</v>
      </c>
      <c r="Q2429">
        <v>8.6413493413909793E-3</v>
      </c>
      <c r="R2429">
        <v>0.99007584569140705</v>
      </c>
      <c r="S2429" t="s">
        <v>8997</v>
      </c>
      <c r="T2429" t="s">
        <v>13134</v>
      </c>
      <c r="U2429" t="s">
        <v>13134</v>
      </c>
      <c r="V2429" t="s">
        <v>13134</v>
      </c>
      <c r="W2429" t="s">
        <v>15515</v>
      </c>
      <c r="X2429">
        <v>14</v>
      </c>
      <c r="Y2429" t="s">
        <v>21962</v>
      </c>
      <c r="Z2429" t="s">
        <v>28397</v>
      </c>
      <c r="AA2429">
        <v>0.52957992265625309</v>
      </c>
      <c r="AB2429" t="str">
        <f>HYPERLINK("Melting_Curves/meltCurve_P27635_RPL10.pdf", "Melting_Curves/meltCurve_P27635_RPL10.pdf")</f>
        <v>Melting_Curves/meltCurve_P27635_RPL10.pdf</v>
      </c>
    </row>
    <row r="2430" spans="1:28" x14ac:dyDescent="0.25">
      <c r="A2430" t="s">
        <v>2434</v>
      </c>
      <c r="B2430">
        <v>0.99472303558308395</v>
      </c>
      <c r="C2430">
        <v>0.88638471100977201</v>
      </c>
      <c r="D2430">
        <v>0.87437853916883901</v>
      </c>
      <c r="E2430">
        <v>0.61082609188949899</v>
      </c>
      <c r="F2430">
        <v>0.34451537909257202</v>
      </c>
      <c r="G2430">
        <v>0.13088590413786</v>
      </c>
      <c r="H2430">
        <v>7.3117432520585807E-2</v>
      </c>
      <c r="I2430">
        <v>4.9977243794682998E-2</v>
      </c>
      <c r="J2430">
        <v>6.0186897333164402E-2</v>
      </c>
      <c r="K2430">
        <v>5.6216142331834598E-2</v>
      </c>
      <c r="L2430">
        <v>773.73057217238102</v>
      </c>
      <c r="M2430">
        <v>16.227585067811201</v>
      </c>
      <c r="N2430">
        <v>47.858756614277198</v>
      </c>
      <c r="O2430">
        <v>46.973525773690703</v>
      </c>
      <c r="P2430">
        <v>-8.3831753513333607E-2</v>
      </c>
      <c r="Q2430">
        <v>2.9410521537656099E-2</v>
      </c>
      <c r="R2430">
        <v>0.99434447310037699</v>
      </c>
      <c r="S2430" t="s">
        <v>8998</v>
      </c>
      <c r="T2430" t="s">
        <v>13134</v>
      </c>
      <c r="U2430" t="s">
        <v>13134</v>
      </c>
      <c r="V2430" t="s">
        <v>13134</v>
      </c>
      <c r="W2430" t="s">
        <v>15516</v>
      </c>
      <c r="X2430">
        <v>22</v>
      </c>
      <c r="Y2430" t="s">
        <v>21963</v>
      </c>
      <c r="Z2430" t="s">
        <v>28398</v>
      </c>
      <c r="AA2430">
        <v>0.39369713163170328</v>
      </c>
      <c r="AB2430" t="str">
        <f>HYPERLINK("Melting_Curves/meltCurve_P27694_RPA1.pdf", "Melting_Curves/meltCurve_P27694_RPA1.pdf")</f>
        <v>Melting_Curves/meltCurve_P27694_RPA1.pdf</v>
      </c>
    </row>
    <row r="2431" spans="1:28" x14ac:dyDescent="0.25">
      <c r="A2431" t="s">
        <v>2435</v>
      </c>
      <c r="B2431">
        <v>0.99472303558308395</v>
      </c>
      <c r="C2431">
        <v>0.96583337085865195</v>
      </c>
      <c r="D2431">
        <v>1.04522461441012</v>
      </c>
      <c r="E2431">
        <v>0.87006146181105704</v>
      </c>
      <c r="F2431">
        <v>0.257533994319258</v>
      </c>
      <c r="G2431">
        <v>5.0862052865062402E-2</v>
      </c>
      <c r="H2431">
        <v>2.5596208800676E-2</v>
      </c>
      <c r="I2431">
        <v>1.8552166436396199E-2</v>
      </c>
      <c r="J2431">
        <v>1.91823351648104E-2</v>
      </c>
      <c r="K2431">
        <v>1.6942410237350099E-2</v>
      </c>
      <c r="L2431">
        <v>1976.5097969188</v>
      </c>
      <c r="M2431">
        <v>40.514638331351598</v>
      </c>
      <c r="N2431">
        <v>48.8372729302354</v>
      </c>
      <c r="O2431">
        <v>48.6666750648521</v>
      </c>
      <c r="P2431">
        <v>-0.20371379890830099</v>
      </c>
      <c r="Q2431">
        <v>2.1187984532304398E-2</v>
      </c>
      <c r="R2431">
        <v>0.99815636056356605</v>
      </c>
      <c r="S2431" t="s">
        <v>8999</v>
      </c>
      <c r="T2431" t="s">
        <v>13134</v>
      </c>
      <c r="U2431" t="s">
        <v>13134</v>
      </c>
      <c r="V2431" t="s">
        <v>13134</v>
      </c>
      <c r="W2431" t="s">
        <v>15517</v>
      </c>
      <c r="X2431">
        <v>18</v>
      </c>
      <c r="Y2431" t="s">
        <v>21964</v>
      </c>
      <c r="Z2431" t="s">
        <v>28399</v>
      </c>
      <c r="AA2431">
        <v>0.40891685949812401</v>
      </c>
      <c r="AB2431" t="str">
        <f>HYPERLINK("Melting_Curves/meltCurve_P27695_APEX1.pdf", "Melting_Curves/meltCurve_P27695_APEX1.pdf")</f>
        <v>Melting_Curves/meltCurve_P27695_APEX1.pdf</v>
      </c>
    </row>
    <row r="2432" spans="1:28" x14ac:dyDescent="0.25">
      <c r="A2432" t="s">
        <v>2436</v>
      </c>
      <c r="B2432">
        <v>0.99472303558308395</v>
      </c>
      <c r="C2432">
        <v>0.99500923040312195</v>
      </c>
      <c r="D2432">
        <v>0.94853486875388304</v>
      </c>
      <c r="E2432">
        <v>0.75336566671972205</v>
      </c>
      <c r="F2432">
        <v>0.39661438295705798</v>
      </c>
      <c r="G2432">
        <v>0.14219522255205699</v>
      </c>
      <c r="H2432">
        <v>7.3280269235208806E-2</v>
      </c>
      <c r="I2432">
        <v>5.5738945013738599E-2</v>
      </c>
      <c r="J2432">
        <v>6.5829810847595094E-2</v>
      </c>
      <c r="K2432">
        <v>6.9203066778707495E-2</v>
      </c>
      <c r="L2432">
        <v>1101.9077890644701</v>
      </c>
      <c r="M2432">
        <v>22.574702471326201</v>
      </c>
      <c r="N2432">
        <v>49.053560394557799</v>
      </c>
      <c r="O2432">
        <v>48.433456165804103</v>
      </c>
      <c r="P2432">
        <v>-0.110387701301275</v>
      </c>
      <c r="Q2432">
        <v>5.2683396969737901E-2</v>
      </c>
      <c r="R2432">
        <v>0.99940392701976699</v>
      </c>
      <c r="S2432" t="s">
        <v>9000</v>
      </c>
      <c r="T2432" t="s">
        <v>13134</v>
      </c>
      <c r="U2432" t="s">
        <v>13134</v>
      </c>
      <c r="V2432" t="s">
        <v>13134</v>
      </c>
      <c r="W2432" t="s">
        <v>15518</v>
      </c>
      <c r="X2432">
        <v>22</v>
      </c>
      <c r="Y2432" t="s">
        <v>20905</v>
      </c>
      <c r="Z2432" t="s">
        <v>28400</v>
      </c>
      <c r="AA2432">
        <v>0.43560485167450452</v>
      </c>
      <c r="AB2432" t="str">
        <f>HYPERLINK("Melting_Curves/meltCurve_P27797_CALR.pdf", "Melting_Curves/meltCurve_P27797_CALR.pdf")</f>
        <v>Melting_Curves/meltCurve_P27797_CALR.pdf</v>
      </c>
    </row>
    <row r="2433" spans="1:28" x14ac:dyDescent="0.25">
      <c r="A2433" t="s">
        <v>2437</v>
      </c>
      <c r="B2433">
        <v>0.99472303558308395</v>
      </c>
      <c r="C2433">
        <v>0.98575717019953901</v>
      </c>
      <c r="D2433">
        <v>0.792713682751779</v>
      </c>
      <c r="E2433">
        <v>0.69186442145167804</v>
      </c>
      <c r="F2433">
        <v>0.33810714751037801</v>
      </c>
      <c r="G2433">
        <v>0.146618699116151</v>
      </c>
      <c r="H2433">
        <v>7.5879772219708999E-2</v>
      </c>
      <c r="I2433">
        <v>3.0638874763999801E-2</v>
      </c>
      <c r="J2433">
        <v>8.5137377850728793E-2</v>
      </c>
      <c r="K2433">
        <v>4.3497263177431397E-2</v>
      </c>
      <c r="L2433">
        <v>783.99552450820602</v>
      </c>
      <c r="M2433">
        <v>16.327701004935101</v>
      </c>
      <c r="N2433">
        <v>48.176047018117998</v>
      </c>
      <c r="O2433">
        <v>47.313360148980301</v>
      </c>
      <c r="P2433">
        <v>-8.4006738360207903E-2</v>
      </c>
      <c r="Q2433">
        <v>2.6353363148203E-2</v>
      </c>
      <c r="R2433">
        <v>0.99050876029608304</v>
      </c>
      <c r="S2433" t="s">
        <v>9001</v>
      </c>
      <c r="T2433" t="s">
        <v>13134</v>
      </c>
      <c r="U2433" t="s">
        <v>13134</v>
      </c>
      <c r="V2433" t="s">
        <v>13134</v>
      </c>
      <c r="W2433" t="s">
        <v>15519</v>
      </c>
      <c r="X2433">
        <v>3</v>
      </c>
      <c r="Y2433" t="s">
        <v>21965</v>
      </c>
      <c r="Z2433" t="s">
        <v>28401</v>
      </c>
      <c r="AA2433">
        <v>0.40241582090945788</v>
      </c>
      <c r="AB2433" t="str">
        <f>HYPERLINK("Melting_Curves/meltCurve_P27815_6_PDE4A.pdf", "Melting_Curves/meltCurve_P27815_6_PDE4A.pdf")</f>
        <v>Melting_Curves/meltCurve_P27815_6_PDE4A.pdf</v>
      </c>
    </row>
    <row r="2434" spans="1:28" x14ac:dyDescent="0.25">
      <c r="A2434" t="s">
        <v>2438</v>
      </c>
      <c r="B2434">
        <v>0.99472303558308395</v>
      </c>
      <c r="C2434">
        <v>0.85413355338657204</v>
      </c>
      <c r="D2434">
        <v>0.93589539468000804</v>
      </c>
      <c r="E2434">
        <v>0.56890920618656804</v>
      </c>
      <c r="F2434">
        <v>0.36186234687757002</v>
      </c>
      <c r="G2434">
        <v>0.113084207300631</v>
      </c>
      <c r="H2434">
        <v>6.22263326414517E-2</v>
      </c>
      <c r="I2434">
        <v>3.9724506094298798E-2</v>
      </c>
      <c r="J2434">
        <v>4.4884935733557299E-2</v>
      </c>
      <c r="K2434">
        <v>5.37711534055327E-2</v>
      </c>
      <c r="L2434">
        <v>806.66286378970506</v>
      </c>
      <c r="M2434">
        <v>16.914950099225901</v>
      </c>
      <c r="N2434">
        <v>47.8273898072771</v>
      </c>
      <c r="O2434">
        <v>47.037758375499102</v>
      </c>
      <c r="P2434">
        <v>-8.7764568676757193E-2</v>
      </c>
      <c r="Q2434">
        <v>2.3824874408466201E-2</v>
      </c>
      <c r="R2434">
        <v>0.98431016080433598</v>
      </c>
      <c r="S2434" t="s">
        <v>9002</v>
      </c>
      <c r="T2434" t="s">
        <v>13134</v>
      </c>
      <c r="U2434" t="s">
        <v>13134</v>
      </c>
      <c r="V2434" t="s">
        <v>13134</v>
      </c>
      <c r="W2434" t="s">
        <v>15520</v>
      </c>
      <c r="X2434">
        <v>30</v>
      </c>
      <c r="Y2434" t="s">
        <v>21966</v>
      </c>
      <c r="Z2434" t="s">
        <v>28402</v>
      </c>
      <c r="AA2434">
        <v>0.3891563102154082</v>
      </c>
      <c r="AB2434" t="str">
        <f>HYPERLINK("Melting_Curves/meltCurve_P27824_CANX.pdf", "Melting_Curves/meltCurve_P27824_CANX.pdf")</f>
        <v>Melting_Curves/meltCurve_P27824_CANX.pdf</v>
      </c>
    </row>
    <row r="2435" spans="1:28" x14ac:dyDescent="0.25">
      <c r="A2435" t="s">
        <v>2439</v>
      </c>
      <c r="B2435">
        <v>0.99472303558308395</v>
      </c>
      <c r="C2435">
        <v>1.00939944213067</v>
      </c>
      <c r="D2435">
        <v>0.90765005583649405</v>
      </c>
      <c r="E2435">
        <v>0.72986703936057595</v>
      </c>
      <c r="F2435">
        <v>0.446962408624825</v>
      </c>
      <c r="G2435">
        <v>0.12812831313235801</v>
      </c>
      <c r="H2435">
        <v>8.8503724118759494E-2</v>
      </c>
      <c r="I2435">
        <v>6.8157363746724597E-2</v>
      </c>
      <c r="J2435">
        <v>0.102320131852824</v>
      </c>
      <c r="K2435">
        <v>6.6125362578068697E-2</v>
      </c>
      <c r="L2435">
        <v>988.66597012394197</v>
      </c>
      <c r="M2435">
        <v>20.2499485210204</v>
      </c>
      <c r="N2435">
        <v>49.120558478074599</v>
      </c>
      <c r="O2435">
        <v>48.354488688218403</v>
      </c>
      <c r="P2435">
        <v>-9.8657798492924401E-2</v>
      </c>
      <c r="Q2435">
        <v>5.7696576607033701E-2</v>
      </c>
      <c r="R2435">
        <v>0.99452411245443095</v>
      </c>
      <c r="S2435" t="s">
        <v>9003</v>
      </c>
      <c r="T2435" t="s">
        <v>13134</v>
      </c>
      <c r="U2435" t="s">
        <v>13134</v>
      </c>
      <c r="V2435" t="s">
        <v>13134</v>
      </c>
      <c r="W2435" t="s">
        <v>15521</v>
      </c>
      <c r="X2435">
        <v>9</v>
      </c>
      <c r="Y2435" t="s">
        <v>21967</v>
      </c>
      <c r="Z2435" t="s">
        <v>28403</v>
      </c>
      <c r="AA2435">
        <v>0.44119274132331782</v>
      </c>
      <c r="AB2435" t="str">
        <f>HYPERLINK("Melting_Curves/meltCurve_P27986_PIK3R1.pdf", "Melting_Curves/meltCurve_P27986_PIK3R1.pdf")</f>
        <v>Melting_Curves/meltCurve_P27986_PIK3R1.pdf</v>
      </c>
    </row>
    <row r="2436" spans="1:28" x14ac:dyDescent="0.25">
      <c r="A2436" t="s">
        <v>2440</v>
      </c>
      <c r="B2436">
        <v>0.99472303558308395</v>
      </c>
      <c r="C2436">
        <v>0.87492391431896499</v>
      </c>
      <c r="D2436">
        <v>0.78610587172799795</v>
      </c>
      <c r="E2436">
        <v>0.77699571131726597</v>
      </c>
      <c r="F2436">
        <v>1.55817137082226</v>
      </c>
      <c r="G2436">
        <v>0.86246602138153095</v>
      </c>
      <c r="H2436">
        <v>0.82717188311956202</v>
      </c>
      <c r="I2436">
        <v>0.58953458391834401</v>
      </c>
      <c r="J2436">
        <v>1.12659007651734</v>
      </c>
      <c r="K2436">
        <v>1.35369898282047</v>
      </c>
      <c r="L2436">
        <v>15000</v>
      </c>
      <c r="M2436">
        <v>233.424685635537</v>
      </c>
      <c r="O2436">
        <v>64.255838738084705</v>
      </c>
      <c r="P2436">
        <v>0.32124781645514</v>
      </c>
      <c r="Q2436">
        <v>1.35372519052875</v>
      </c>
      <c r="R2436">
        <v>0.17408787570579601</v>
      </c>
      <c r="S2436" t="s">
        <v>9004</v>
      </c>
      <c r="T2436" t="s">
        <v>13134</v>
      </c>
      <c r="U2436" t="s">
        <v>13134</v>
      </c>
      <c r="V2436" t="s">
        <v>13134</v>
      </c>
      <c r="W2436" t="s">
        <v>15522</v>
      </c>
      <c r="X2436">
        <v>2</v>
      </c>
      <c r="Y2436" t="s">
        <v>21968</v>
      </c>
      <c r="Z2436" t="s">
        <v>28404</v>
      </c>
      <c r="AA2436">
        <v>1.0322548444128721</v>
      </c>
      <c r="AB2436" t="str">
        <f>HYPERLINK("Melting_Curves/meltCurve_P28065_PSMB9.pdf", "Melting_Curves/meltCurve_P28065_PSMB9.pdf")</f>
        <v>Melting_Curves/meltCurve_P28065_PSMB9.pdf</v>
      </c>
    </row>
    <row r="2437" spans="1:28" x14ac:dyDescent="0.25">
      <c r="A2437" t="s">
        <v>2441</v>
      </c>
      <c r="B2437">
        <v>0.99472303558308395</v>
      </c>
      <c r="C2437">
        <v>0.94032258698572302</v>
      </c>
      <c r="D2437">
        <v>0.83069062708409402</v>
      </c>
      <c r="E2437">
        <v>0.68004626295038295</v>
      </c>
      <c r="F2437">
        <v>0.58061371090365899</v>
      </c>
      <c r="G2437">
        <v>0.21609535612785299</v>
      </c>
      <c r="H2437">
        <v>0.117424743109594</v>
      </c>
      <c r="I2437">
        <v>8.0643024413714195E-2</v>
      </c>
      <c r="J2437">
        <v>0.100800163229082</v>
      </c>
      <c r="K2437">
        <v>0.150975359340667</v>
      </c>
      <c r="L2437">
        <v>663.68073357573599</v>
      </c>
      <c r="M2437">
        <v>13.480735847064199</v>
      </c>
      <c r="N2437">
        <v>49.636007875690098</v>
      </c>
      <c r="O2437">
        <v>48.186316829539599</v>
      </c>
      <c r="P2437">
        <v>-6.6314955326902597E-2</v>
      </c>
      <c r="Q2437">
        <v>5.1985587782972402E-2</v>
      </c>
      <c r="R2437">
        <v>0.975416716544385</v>
      </c>
      <c r="S2437" t="s">
        <v>9005</v>
      </c>
      <c r="T2437" t="s">
        <v>13134</v>
      </c>
      <c r="U2437" t="s">
        <v>13134</v>
      </c>
      <c r="V2437" t="s">
        <v>13134</v>
      </c>
      <c r="W2437" t="s">
        <v>15523</v>
      </c>
      <c r="X2437">
        <v>15</v>
      </c>
      <c r="Y2437" t="s">
        <v>21969</v>
      </c>
      <c r="Z2437" t="s">
        <v>28405</v>
      </c>
      <c r="AA2437">
        <v>0.46226489347411059</v>
      </c>
      <c r="AB2437" t="str">
        <f>HYPERLINK("Melting_Curves/meltCurve_P28066_PSMA5.pdf", "Melting_Curves/meltCurve_P28066_PSMA5.pdf")</f>
        <v>Melting_Curves/meltCurve_P28066_PSMA5.pdf</v>
      </c>
    </row>
    <row r="2438" spans="1:28" x14ac:dyDescent="0.25">
      <c r="A2438" t="s">
        <v>2442</v>
      </c>
      <c r="B2438">
        <v>0.99472303558308395</v>
      </c>
      <c r="C2438">
        <v>1.0429510976332499</v>
      </c>
      <c r="D2438">
        <v>0.75140592259328598</v>
      </c>
      <c r="E2438">
        <v>0.67097402413726404</v>
      </c>
      <c r="F2438">
        <v>0.89911948714240897</v>
      </c>
      <c r="G2438">
        <v>0.37987827453042</v>
      </c>
      <c r="H2438">
        <v>0.36881134755046602</v>
      </c>
      <c r="I2438">
        <v>0.22304198419506099</v>
      </c>
      <c r="J2438">
        <v>0.43730214062660899</v>
      </c>
      <c r="K2438">
        <v>0.68572836568854401</v>
      </c>
      <c r="L2438">
        <v>607.80935678497099</v>
      </c>
      <c r="M2438">
        <v>12.805859795275</v>
      </c>
      <c r="N2438">
        <v>54.804112979888203</v>
      </c>
      <c r="O2438">
        <v>46.350628961656398</v>
      </c>
      <c r="P2438">
        <v>-4.0756306495801697E-2</v>
      </c>
      <c r="Q2438">
        <v>0.41004300173430502</v>
      </c>
      <c r="R2438">
        <v>0.64206665543267205</v>
      </c>
      <c r="S2438" t="s">
        <v>9006</v>
      </c>
      <c r="T2438" t="s">
        <v>13134</v>
      </c>
      <c r="U2438" t="s">
        <v>13134</v>
      </c>
      <c r="V2438" t="s">
        <v>13134</v>
      </c>
      <c r="W2438" t="s">
        <v>15524</v>
      </c>
      <c r="X2438">
        <v>5</v>
      </c>
      <c r="Y2438" t="s">
        <v>21970</v>
      </c>
      <c r="Z2438" t="s">
        <v>28406</v>
      </c>
      <c r="AA2438">
        <v>0.6329330791674681</v>
      </c>
      <c r="AB2438" t="str">
        <f>HYPERLINK("Melting_Curves/meltCurve_P28070_PSMB4.pdf", "Melting_Curves/meltCurve_P28070_PSMB4.pdf")</f>
        <v>Melting_Curves/meltCurve_P28070_PSMB4.pdf</v>
      </c>
    </row>
    <row r="2439" spans="1:28" x14ac:dyDescent="0.25">
      <c r="A2439" t="s">
        <v>2443</v>
      </c>
      <c r="B2439">
        <v>0.99472303558308395</v>
      </c>
      <c r="C2439">
        <v>0.97605794184416905</v>
      </c>
      <c r="D2439">
        <v>0.72600828640131698</v>
      </c>
      <c r="E2439">
        <v>0.65143240963646598</v>
      </c>
      <c r="F2439">
        <v>1.1049965036782301</v>
      </c>
      <c r="G2439">
        <v>0.39517031053206497</v>
      </c>
      <c r="H2439">
        <v>0.51358295040686197</v>
      </c>
      <c r="I2439">
        <v>0.23823149728216</v>
      </c>
      <c r="J2439">
        <v>0.61013294950807295</v>
      </c>
      <c r="K2439">
        <v>1.25537224625322</v>
      </c>
      <c r="L2439">
        <v>2406.3908663939501</v>
      </c>
      <c r="M2439">
        <v>57.788303417638197</v>
      </c>
      <c r="O2439">
        <v>41.5917084218054</v>
      </c>
      <c r="P2439">
        <v>-0.110721550565441</v>
      </c>
      <c r="Q2439">
        <v>0.68124371419169605</v>
      </c>
      <c r="R2439">
        <v>0.14956610214327101</v>
      </c>
      <c r="S2439" t="s">
        <v>9007</v>
      </c>
      <c r="T2439" t="s">
        <v>13134</v>
      </c>
      <c r="U2439" t="s">
        <v>13134</v>
      </c>
      <c r="V2439" t="s">
        <v>13134</v>
      </c>
      <c r="W2439" t="s">
        <v>15525</v>
      </c>
      <c r="X2439">
        <v>7</v>
      </c>
      <c r="Y2439" t="s">
        <v>21971</v>
      </c>
      <c r="Z2439" t="s">
        <v>28407</v>
      </c>
      <c r="AA2439">
        <v>0.73100234655159901</v>
      </c>
      <c r="AB2439" t="str">
        <f>HYPERLINK("Melting_Curves/meltCurve_P28072_PSMB6.pdf", "Melting_Curves/meltCurve_P28072_PSMB6.pdf")</f>
        <v>Melting_Curves/meltCurve_P28072_PSMB6.pdf</v>
      </c>
    </row>
    <row r="2440" spans="1:28" x14ac:dyDescent="0.25">
      <c r="A2440" t="s">
        <v>2444</v>
      </c>
      <c r="B2440">
        <v>0.99472303558308395</v>
      </c>
      <c r="C2440">
        <v>0.90331171948759703</v>
      </c>
      <c r="D2440">
        <v>0.76289028464644104</v>
      </c>
      <c r="E2440">
        <v>0.66228301170477499</v>
      </c>
      <c r="F2440">
        <v>0.69779672749067601</v>
      </c>
      <c r="G2440">
        <v>0.27555651804997799</v>
      </c>
      <c r="H2440">
        <v>0.21947523423065199</v>
      </c>
      <c r="I2440">
        <v>0.160682330655921</v>
      </c>
      <c r="J2440">
        <v>0.26614122080540897</v>
      </c>
      <c r="K2440">
        <v>0.43236810211306398</v>
      </c>
      <c r="L2440">
        <v>566.88658453841003</v>
      </c>
      <c r="M2440">
        <v>11.8904444494858</v>
      </c>
      <c r="N2440">
        <v>50.2366905295466</v>
      </c>
      <c r="O2440">
        <v>46.387303777090303</v>
      </c>
      <c r="P2440">
        <v>-4.9530696986766903E-2</v>
      </c>
      <c r="Q2440">
        <v>0.22727137114558499</v>
      </c>
      <c r="R2440">
        <v>0.86317009383018295</v>
      </c>
      <c r="S2440" t="s">
        <v>9008</v>
      </c>
      <c r="T2440" t="s">
        <v>13134</v>
      </c>
      <c r="U2440" t="s">
        <v>13134</v>
      </c>
      <c r="V2440" t="s">
        <v>13134</v>
      </c>
      <c r="W2440" t="s">
        <v>15526</v>
      </c>
      <c r="X2440">
        <v>12</v>
      </c>
      <c r="Y2440" t="s">
        <v>21972</v>
      </c>
      <c r="Z2440" t="s">
        <v>28408</v>
      </c>
      <c r="AA2440">
        <v>0.52717535057095399</v>
      </c>
      <c r="AB2440" t="str">
        <f>HYPERLINK("Melting_Curves/meltCurve_P28074_PSMB5.pdf", "Melting_Curves/meltCurve_P28074_PSMB5.pdf")</f>
        <v>Melting_Curves/meltCurve_P28074_PSMB5.pdf</v>
      </c>
    </row>
    <row r="2441" spans="1:28" x14ac:dyDescent="0.25">
      <c r="A2441" t="s">
        <v>2445</v>
      </c>
      <c r="B2441">
        <v>0.99472303558308395</v>
      </c>
      <c r="C2441">
        <v>0.97010117390109796</v>
      </c>
      <c r="D2441">
        <v>0.65012842901814805</v>
      </c>
      <c r="E2441">
        <v>0.36858750118273997</v>
      </c>
      <c r="F2441">
        <v>0.23816305048744299</v>
      </c>
      <c r="G2441">
        <v>0.101856226926792</v>
      </c>
      <c r="H2441">
        <v>9.5246921476849697E-2</v>
      </c>
      <c r="I2441">
        <v>7.09204987918758E-2</v>
      </c>
      <c r="J2441">
        <v>6.9743374878174794E-2</v>
      </c>
      <c r="K2441">
        <v>6.2059076264647801E-2</v>
      </c>
      <c r="L2441">
        <v>797.485341925086</v>
      </c>
      <c r="M2441">
        <v>17.830684819722201</v>
      </c>
      <c r="N2441">
        <v>45.1145047781133</v>
      </c>
      <c r="O2441">
        <v>44.174266133221103</v>
      </c>
      <c r="P2441">
        <v>-9.3724450147305904E-2</v>
      </c>
      <c r="Q2441">
        <v>7.1264669563707597E-2</v>
      </c>
      <c r="R2441">
        <v>0.992287836289238</v>
      </c>
      <c r="S2441" t="s">
        <v>9009</v>
      </c>
      <c r="T2441" t="s">
        <v>13134</v>
      </c>
      <c r="U2441" t="s">
        <v>13134</v>
      </c>
      <c r="V2441" t="s">
        <v>13134</v>
      </c>
      <c r="W2441" t="s">
        <v>15527</v>
      </c>
      <c r="X2441">
        <v>6</v>
      </c>
      <c r="Y2441" t="s">
        <v>21973</v>
      </c>
      <c r="Z2441" t="s">
        <v>28409</v>
      </c>
      <c r="AA2441">
        <v>0.32604567012408259</v>
      </c>
      <c r="AB2441" t="str">
        <f>HYPERLINK("Melting_Curves/meltCurve_P28289_TMOD1.pdf", "Melting_Curves/meltCurve_P28289_TMOD1.pdf")</f>
        <v>Melting_Curves/meltCurve_P28289_TMOD1.pdf</v>
      </c>
    </row>
    <row r="2442" spans="1:28" x14ac:dyDescent="0.25">
      <c r="A2442" t="s">
        <v>2446</v>
      </c>
      <c r="B2442">
        <v>0.99472303558308395</v>
      </c>
      <c r="C2442">
        <v>0.93473162611660099</v>
      </c>
      <c r="D2442">
        <v>0.76238343749610304</v>
      </c>
      <c r="E2442">
        <v>0.61165256913103105</v>
      </c>
      <c r="F2442">
        <v>0.36460162122686901</v>
      </c>
      <c r="G2442">
        <v>0.12875661713070599</v>
      </c>
      <c r="H2442">
        <v>9.8144442285790098E-2</v>
      </c>
      <c r="I2442">
        <v>7.1023609385272399E-2</v>
      </c>
      <c r="J2442">
        <v>8.8397435625517398E-2</v>
      </c>
      <c r="K2442">
        <v>9.1488759665239006E-2</v>
      </c>
      <c r="L2442">
        <v>677.177047606668</v>
      </c>
      <c r="M2442">
        <v>14.330040887104699</v>
      </c>
      <c r="N2442">
        <v>47.581178493778197</v>
      </c>
      <c r="O2442">
        <v>46.364104094862299</v>
      </c>
      <c r="P2442">
        <v>-7.3671239052437706E-2</v>
      </c>
      <c r="Q2442">
        <v>4.6677728888694398E-2</v>
      </c>
      <c r="R2442">
        <v>0.99152094350207098</v>
      </c>
      <c r="S2442" t="s">
        <v>9010</v>
      </c>
      <c r="T2442" t="s">
        <v>13134</v>
      </c>
      <c r="U2442" t="s">
        <v>13134</v>
      </c>
      <c r="V2442" t="s">
        <v>13134</v>
      </c>
      <c r="W2442" t="s">
        <v>15528</v>
      </c>
      <c r="X2442">
        <v>21</v>
      </c>
      <c r="Y2442" t="s">
        <v>21974</v>
      </c>
      <c r="Z2442" t="s">
        <v>28410</v>
      </c>
      <c r="AA2442">
        <v>0.39569122519187699</v>
      </c>
      <c r="AB2442" t="str">
        <f>HYPERLINK("Melting_Curves/meltCurve_P28331_NDUFS1.pdf", "Melting_Curves/meltCurve_P28331_NDUFS1.pdf")</f>
        <v>Melting_Curves/meltCurve_P28331_NDUFS1.pdf</v>
      </c>
    </row>
    <row r="2443" spans="1:28" x14ac:dyDescent="0.25">
      <c r="A2443" t="s">
        <v>2447</v>
      </c>
      <c r="B2443">
        <v>0.99472303558308395</v>
      </c>
      <c r="C2443">
        <v>0.97792929304989595</v>
      </c>
      <c r="D2443">
        <v>0.97704143710933</v>
      </c>
      <c r="E2443">
        <v>0.87741459779491604</v>
      </c>
      <c r="F2443">
        <v>0.66641042833032105</v>
      </c>
      <c r="G2443">
        <v>0.57689194070341998</v>
      </c>
      <c r="H2443">
        <v>0.38033981393136401</v>
      </c>
      <c r="I2443">
        <v>0.16103901336342</v>
      </c>
      <c r="J2443">
        <v>9.6769695860228003E-2</v>
      </c>
      <c r="K2443">
        <v>0.10130299646201101</v>
      </c>
      <c r="L2443">
        <v>659.46807751825804</v>
      </c>
      <c r="M2443">
        <v>12.159050447033801</v>
      </c>
      <c r="N2443">
        <v>54.236791616600598</v>
      </c>
      <c r="O2443">
        <v>52.832299832226802</v>
      </c>
      <c r="P2443">
        <v>-5.7549244632301599E-2</v>
      </c>
      <c r="Q2443">
        <v>0</v>
      </c>
      <c r="R2443">
        <v>0.99047659433996205</v>
      </c>
      <c r="S2443" t="s">
        <v>9011</v>
      </c>
      <c r="T2443" t="s">
        <v>13134</v>
      </c>
      <c r="U2443" t="s">
        <v>13134</v>
      </c>
      <c r="V2443" t="s">
        <v>13134</v>
      </c>
      <c r="W2443" t="s">
        <v>15529</v>
      </c>
      <c r="X2443">
        <v>21</v>
      </c>
      <c r="Y2443" t="s">
        <v>21975</v>
      </c>
      <c r="Z2443" t="s">
        <v>28411</v>
      </c>
      <c r="AA2443">
        <v>0.59162945941286416</v>
      </c>
      <c r="AB2443" t="str">
        <f>HYPERLINK("Melting_Curves/meltCurve_P28482_MAPK1.pdf", "Melting_Curves/meltCurve_P28482_MAPK1.pdf")</f>
        <v>Melting_Curves/meltCurve_P28482_MAPK1.pdf</v>
      </c>
    </row>
    <row r="2444" spans="1:28" x14ac:dyDescent="0.25">
      <c r="A2444" t="s">
        <v>2448</v>
      </c>
      <c r="B2444">
        <v>0.99472303558308395</v>
      </c>
      <c r="C2444">
        <v>0.92558212425584296</v>
      </c>
      <c r="D2444">
        <v>0.81093492147725998</v>
      </c>
      <c r="E2444">
        <v>0.278884211355241</v>
      </c>
      <c r="F2444">
        <v>0.122701479622614</v>
      </c>
      <c r="G2444">
        <v>7.3422831034154395E-2</v>
      </c>
      <c r="H2444">
        <v>4.6465936480286699E-2</v>
      </c>
      <c r="I2444">
        <v>3.3505848447472397E-2</v>
      </c>
      <c r="J2444">
        <v>3.5134936684594303E-2</v>
      </c>
      <c r="K2444">
        <v>2.1620796608038999E-2</v>
      </c>
      <c r="L2444">
        <v>1243.5851576443099</v>
      </c>
      <c r="M2444">
        <v>27.673543065941001</v>
      </c>
      <c r="N2444">
        <v>45.082309941615499</v>
      </c>
      <c r="O2444">
        <v>44.705020811253398</v>
      </c>
      <c r="P2444">
        <v>-0.14818380274763901</v>
      </c>
      <c r="Q2444">
        <v>4.24793280647036E-2</v>
      </c>
      <c r="R2444">
        <v>0.99647046872002498</v>
      </c>
      <c r="S2444" t="s">
        <v>9012</v>
      </c>
      <c r="T2444" t="s">
        <v>13134</v>
      </c>
      <c r="U2444" t="s">
        <v>13134</v>
      </c>
      <c r="V2444" t="s">
        <v>13134</v>
      </c>
      <c r="W2444" t="s">
        <v>15530</v>
      </c>
      <c r="X2444">
        <v>10</v>
      </c>
      <c r="Y2444" t="s">
        <v>21976</v>
      </c>
      <c r="Z2444" t="s">
        <v>28412</v>
      </c>
      <c r="AA2444">
        <v>0.30218026851090041</v>
      </c>
      <c r="AB2444" t="str">
        <f>HYPERLINK("Melting_Curves/meltCurve_P28702_RXRB.pdf", "Melting_Curves/meltCurve_P28702_RXRB.pdf")</f>
        <v>Melting_Curves/meltCurve_P28702_RXRB.pdf</v>
      </c>
    </row>
    <row r="2445" spans="1:28" x14ac:dyDescent="0.25">
      <c r="A2445" t="s">
        <v>2449</v>
      </c>
      <c r="B2445">
        <v>0.99472303558308395</v>
      </c>
      <c r="C2445">
        <v>1.04969107906204</v>
      </c>
      <c r="D2445">
        <v>0.86701490055599795</v>
      </c>
      <c r="E2445">
        <v>0.75606337071226004</v>
      </c>
      <c r="F2445">
        <v>0.49656091118987999</v>
      </c>
      <c r="G2445">
        <v>0.19664160511902901</v>
      </c>
      <c r="H2445">
        <v>0.12187795514429201</v>
      </c>
      <c r="I2445">
        <v>7.7772084137145106E-2</v>
      </c>
      <c r="J2445">
        <v>0.104887976893742</v>
      </c>
      <c r="K2445">
        <v>8.1465482203932904E-2</v>
      </c>
      <c r="L2445">
        <v>875.93463085026201</v>
      </c>
      <c r="M2445">
        <v>17.7664534723319</v>
      </c>
      <c r="N2445">
        <v>49.676131089786502</v>
      </c>
      <c r="O2445">
        <v>48.690805193165701</v>
      </c>
      <c r="P2445">
        <v>-8.5523314972403605E-2</v>
      </c>
      <c r="Q2445">
        <v>6.2506264241864798E-2</v>
      </c>
      <c r="R2445">
        <v>0.99124965478621396</v>
      </c>
      <c r="S2445" t="s">
        <v>9013</v>
      </c>
      <c r="T2445" t="s">
        <v>13134</v>
      </c>
      <c r="U2445" t="s">
        <v>13134</v>
      </c>
      <c r="V2445" t="s">
        <v>13134</v>
      </c>
      <c r="W2445" t="s">
        <v>15531</v>
      </c>
      <c r="X2445">
        <v>7</v>
      </c>
      <c r="Y2445" t="s">
        <v>21977</v>
      </c>
      <c r="Z2445" t="s">
        <v>28413</v>
      </c>
      <c r="AA2445">
        <v>0.46217169838522859</v>
      </c>
      <c r="AB2445" t="str">
        <f>HYPERLINK("Melting_Curves/meltCurve_P28715_ERCC5.pdf", "Melting_Curves/meltCurve_P28715_ERCC5.pdf")</f>
        <v>Melting_Curves/meltCurve_P28715_ERCC5.pdf</v>
      </c>
    </row>
    <row r="2446" spans="1:28" x14ac:dyDescent="0.25">
      <c r="A2446" t="s">
        <v>2450</v>
      </c>
      <c r="B2446">
        <v>0.99472303558308395</v>
      </c>
      <c r="C2446">
        <v>0.90124198986795101</v>
      </c>
      <c r="D2446">
        <v>0.92415130988439798</v>
      </c>
      <c r="E2446">
        <v>0.46425598076291402</v>
      </c>
      <c r="F2446">
        <v>0.32421879607259402</v>
      </c>
      <c r="G2446">
        <v>0.277108083107312</v>
      </c>
      <c r="H2446">
        <v>0.118154680277234</v>
      </c>
      <c r="I2446">
        <v>0.193414665178123</v>
      </c>
      <c r="J2446">
        <v>0.18928105967189299</v>
      </c>
      <c r="K2446">
        <v>0.20382709820917</v>
      </c>
      <c r="L2446">
        <v>1104.09032504683</v>
      </c>
      <c r="M2446">
        <v>24.104678899379799</v>
      </c>
      <c r="N2446">
        <v>46.752335479002902</v>
      </c>
      <c r="O2446">
        <v>45.492229102130501</v>
      </c>
      <c r="P2446">
        <v>-0.106853160722905</v>
      </c>
      <c r="Q2446">
        <v>0.19336609280383399</v>
      </c>
      <c r="R2446">
        <v>0.97685871178498396</v>
      </c>
      <c r="S2446" t="s">
        <v>9014</v>
      </c>
      <c r="T2446" t="s">
        <v>13134</v>
      </c>
      <c r="U2446" t="s">
        <v>13134</v>
      </c>
      <c r="V2446" t="s">
        <v>13134</v>
      </c>
      <c r="W2446" t="s">
        <v>15532</v>
      </c>
      <c r="X2446">
        <v>7</v>
      </c>
      <c r="Y2446" t="s">
        <v>21978</v>
      </c>
      <c r="Z2446" t="s">
        <v>28414</v>
      </c>
      <c r="AA2446">
        <v>0.43727436818753102</v>
      </c>
      <c r="AB2446" t="str">
        <f>HYPERLINK("Melting_Curves/meltCurve_P28799_GRN.pdf", "Melting_Curves/meltCurve_P28799_GRN.pdf")</f>
        <v>Melting_Curves/meltCurve_P28799_GRN.pdf</v>
      </c>
    </row>
    <row r="2447" spans="1:28" x14ac:dyDescent="0.25">
      <c r="A2447" t="s">
        <v>2451</v>
      </c>
      <c r="B2447">
        <v>0.99472303558308395</v>
      </c>
      <c r="C2447">
        <v>0.99243854101142404</v>
      </c>
      <c r="D2447">
        <v>0.73941445889410096</v>
      </c>
      <c r="E2447">
        <v>0.72115888000209705</v>
      </c>
      <c r="F2447">
        <v>0.94249206791553397</v>
      </c>
      <c r="G2447">
        <v>0.37678430392239898</v>
      </c>
      <c r="H2447">
        <v>0.21219805685628201</v>
      </c>
      <c r="I2447">
        <v>0.12118846623589</v>
      </c>
      <c r="J2447">
        <v>0.234633397197785</v>
      </c>
      <c r="K2447">
        <v>0.13936365776217599</v>
      </c>
      <c r="L2447">
        <v>621.20396946985295</v>
      </c>
      <c r="M2447">
        <v>11.7995816235953</v>
      </c>
      <c r="N2447">
        <v>53.026000414210401</v>
      </c>
      <c r="O2447">
        <v>51.202423316916096</v>
      </c>
      <c r="P2447">
        <v>-5.52925454340982E-2</v>
      </c>
      <c r="Q2447">
        <v>4.0513770333035097E-2</v>
      </c>
      <c r="R2447">
        <v>0.86442277011588298</v>
      </c>
      <c r="S2447" t="s">
        <v>9015</v>
      </c>
      <c r="T2447" t="s">
        <v>13134</v>
      </c>
      <c r="U2447" t="s">
        <v>13134</v>
      </c>
      <c r="V2447" t="s">
        <v>13134</v>
      </c>
      <c r="W2447" t="s">
        <v>15533</v>
      </c>
      <c r="X2447">
        <v>30</v>
      </c>
      <c r="Y2447" t="s">
        <v>21979</v>
      </c>
      <c r="Z2447" t="s">
        <v>28415</v>
      </c>
      <c r="AA2447">
        <v>0.5623263502019149</v>
      </c>
      <c r="AB2447" t="str">
        <f>HYPERLINK("Melting_Curves/meltCurve_P28838_2_LAP3.pdf", "Melting_Curves/meltCurve_P28838_2_LAP3.pdf")</f>
        <v>Melting_Curves/meltCurve_P28838_2_LAP3.pdf</v>
      </c>
    </row>
    <row r="2448" spans="1:28" x14ac:dyDescent="0.25">
      <c r="A2448" t="s">
        <v>2452</v>
      </c>
      <c r="B2448">
        <v>0.99472303558308395</v>
      </c>
      <c r="C2448">
        <v>1.0338167303766801</v>
      </c>
      <c r="D2448">
        <v>0.94798604580601997</v>
      </c>
      <c r="E2448">
        <v>0.89171588626149501</v>
      </c>
      <c r="F2448">
        <v>0.6240948356032</v>
      </c>
      <c r="G2448">
        <v>0.41872613978163697</v>
      </c>
      <c r="H2448">
        <v>0.33158566017066099</v>
      </c>
      <c r="I2448">
        <v>0.33739135476044202</v>
      </c>
      <c r="J2448">
        <v>0.44681039486059299</v>
      </c>
      <c r="K2448">
        <v>0.387218230719586</v>
      </c>
      <c r="L2448">
        <v>1387.5169039176101</v>
      </c>
      <c r="M2448">
        <v>28.129042184702101</v>
      </c>
      <c r="N2448">
        <v>51.834612078158202</v>
      </c>
      <c r="O2448">
        <v>49.079562438425597</v>
      </c>
      <c r="P2448">
        <v>-9.0013424853242999E-2</v>
      </c>
      <c r="Q2448">
        <v>0.37178347463276901</v>
      </c>
      <c r="R2448">
        <v>0.98311545988073901</v>
      </c>
      <c r="S2448" t="s">
        <v>9016</v>
      </c>
      <c r="T2448" t="s">
        <v>13134</v>
      </c>
      <c r="U2448" t="s">
        <v>13134</v>
      </c>
      <c r="V2448" t="s">
        <v>13134</v>
      </c>
      <c r="W2448" t="s">
        <v>15534</v>
      </c>
      <c r="X2448">
        <v>13</v>
      </c>
      <c r="Y2448" t="s">
        <v>21980</v>
      </c>
      <c r="Z2448" t="s">
        <v>28416</v>
      </c>
      <c r="AA2448">
        <v>0.63424381961771747</v>
      </c>
      <c r="AB2448" t="str">
        <f>HYPERLINK("Melting_Curves/meltCurve_P28908_TNFRSF8.pdf", "Melting_Curves/meltCurve_P28908_TNFRSF8.pdf")</f>
        <v>Melting_Curves/meltCurve_P28908_TNFRSF8.pdf</v>
      </c>
    </row>
    <row r="2449" spans="1:28" x14ac:dyDescent="0.25">
      <c r="A2449" t="s">
        <v>2453</v>
      </c>
      <c r="B2449">
        <v>0.99472303558308395</v>
      </c>
      <c r="C2449">
        <v>0.92377081738835798</v>
      </c>
      <c r="D2449">
        <v>1.0092749565030501</v>
      </c>
      <c r="E2449">
        <v>0.78437837763617502</v>
      </c>
      <c r="F2449">
        <v>0.31125060204709998</v>
      </c>
      <c r="G2449">
        <v>0.14296774869119999</v>
      </c>
      <c r="H2449">
        <v>9.9475141605321796E-2</v>
      </c>
      <c r="I2449">
        <v>8.2312926033811101E-2</v>
      </c>
      <c r="J2449">
        <v>8.4574874704453004E-2</v>
      </c>
      <c r="K2449">
        <v>7.1306524599313401E-2</v>
      </c>
      <c r="L2449">
        <v>1472.35193913022</v>
      </c>
      <c r="M2449">
        <v>30.410871973447701</v>
      </c>
      <c r="N2449">
        <v>48.713135296239997</v>
      </c>
      <c r="O2449">
        <v>48.207420892635199</v>
      </c>
      <c r="P2449">
        <v>-0.14433065866704101</v>
      </c>
      <c r="Q2449">
        <v>8.4832030800664704E-2</v>
      </c>
      <c r="R2449">
        <v>0.99560272692944396</v>
      </c>
      <c r="S2449" t="s">
        <v>9017</v>
      </c>
      <c r="T2449" t="s">
        <v>13134</v>
      </c>
      <c r="U2449" t="s">
        <v>13134</v>
      </c>
      <c r="V2449" t="s">
        <v>13134</v>
      </c>
      <c r="W2449" t="s">
        <v>15535</v>
      </c>
      <c r="X2449">
        <v>13</v>
      </c>
      <c r="Y2449" t="s">
        <v>21981</v>
      </c>
      <c r="Z2449" t="s">
        <v>28417</v>
      </c>
      <c r="AA2449">
        <v>0.43837823315556468</v>
      </c>
      <c r="AB2449" t="str">
        <f>HYPERLINK("Melting_Curves/meltCurve_P29083_GTF2E1.pdf", "Melting_Curves/meltCurve_P29083_GTF2E1.pdf")</f>
        <v>Melting_Curves/meltCurve_P29083_GTF2E1.pdf</v>
      </c>
    </row>
    <row r="2450" spans="1:28" x14ac:dyDescent="0.25">
      <c r="A2450" t="s">
        <v>2454</v>
      </c>
      <c r="B2450">
        <v>0.99472303558308395</v>
      </c>
      <c r="C2450">
        <v>1.06307639531908</v>
      </c>
      <c r="D2450">
        <v>0.98343812817195997</v>
      </c>
      <c r="E2450">
        <v>0.79646416478655402</v>
      </c>
      <c r="F2450">
        <v>0.25469806271086198</v>
      </c>
      <c r="G2450">
        <v>0.107463461100261</v>
      </c>
      <c r="H2450">
        <v>6.3085122275019098E-2</v>
      </c>
      <c r="I2450">
        <v>4.7172138724592902E-2</v>
      </c>
      <c r="J2450">
        <v>5.9231829018037703E-2</v>
      </c>
      <c r="K2450">
        <v>4.3489632146919401E-2</v>
      </c>
      <c r="L2450">
        <v>1658.0859508527799</v>
      </c>
      <c r="M2450">
        <v>34.309367847059796</v>
      </c>
      <c r="N2450">
        <v>48.4965750553012</v>
      </c>
      <c r="O2450">
        <v>48.164202445682001</v>
      </c>
      <c r="P2450">
        <v>-0.16804761417717601</v>
      </c>
      <c r="Q2450">
        <v>5.6368696092341797E-2</v>
      </c>
      <c r="R2450">
        <v>0.997326556737968</v>
      </c>
      <c r="S2450" t="s">
        <v>9018</v>
      </c>
      <c r="T2450" t="s">
        <v>13134</v>
      </c>
      <c r="U2450" t="s">
        <v>13134</v>
      </c>
      <c r="V2450" t="s">
        <v>13134</v>
      </c>
      <c r="W2450" t="s">
        <v>15536</v>
      </c>
      <c r="X2450">
        <v>14</v>
      </c>
      <c r="Y2450" t="s">
        <v>21982</v>
      </c>
      <c r="Z2450" t="s">
        <v>28418</v>
      </c>
      <c r="AA2450">
        <v>0.41696195392222762</v>
      </c>
      <c r="AB2450" t="str">
        <f>HYPERLINK("Melting_Curves/meltCurve_P29084_GTF2E2.pdf", "Melting_Curves/meltCurve_P29084_GTF2E2.pdf")</f>
        <v>Melting_Curves/meltCurve_P29084_GTF2E2.pdf</v>
      </c>
    </row>
    <row r="2451" spans="1:28" x14ac:dyDescent="0.25">
      <c r="A2451" t="s">
        <v>2455</v>
      </c>
      <c r="B2451">
        <v>0.99472303558308395</v>
      </c>
      <c r="C2451">
        <v>1.0762516038494701</v>
      </c>
      <c r="D2451">
        <v>0.96635551415977905</v>
      </c>
      <c r="E2451">
        <v>0.91433764976048704</v>
      </c>
      <c r="F2451">
        <v>0.758585378587884</v>
      </c>
      <c r="G2451">
        <v>0.60955851808694905</v>
      </c>
      <c r="H2451">
        <v>0.52352908460469205</v>
      </c>
      <c r="I2451">
        <v>0.63478854693380204</v>
      </c>
      <c r="J2451">
        <v>0.87636321097452896</v>
      </c>
      <c r="K2451">
        <v>0.68396753346035999</v>
      </c>
      <c r="L2451">
        <v>1687.96006609504</v>
      </c>
      <c r="M2451">
        <v>35.027530442645499</v>
      </c>
      <c r="O2451">
        <v>48.033267184763297</v>
      </c>
      <c r="P2451">
        <v>-6.0581336624878503E-2</v>
      </c>
      <c r="Q2451">
        <v>0.66770031743610303</v>
      </c>
      <c r="R2451">
        <v>0.75348442138365901</v>
      </c>
      <c r="S2451" t="s">
        <v>9019</v>
      </c>
      <c r="T2451" t="s">
        <v>13134</v>
      </c>
      <c r="U2451" t="s">
        <v>13134</v>
      </c>
      <c r="V2451" t="s">
        <v>13134</v>
      </c>
      <c r="W2451" t="s">
        <v>15537</v>
      </c>
      <c r="X2451">
        <v>15</v>
      </c>
      <c r="Y2451" t="s">
        <v>20049</v>
      </c>
      <c r="Z2451" t="s">
        <v>28419</v>
      </c>
      <c r="AA2451">
        <v>0.79308915236908761</v>
      </c>
      <c r="AB2451" t="str">
        <f>HYPERLINK("Melting_Curves/meltCurve_P29218_IMPA1.pdf", "Melting_Curves/meltCurve_P29218_IMPA1.pdf")</f>
        <v>Melting_Curves/meltCurve_P29218_IMPA1.pdf</v>
      </c>
    </row>
    <row r="2452" spans="1:28" x14ac:dyDescent="0.25">
      <c r="A2452" t="s">
        <v>2456</v>
      </c>
      <c r="B2452">
        <v>0.99472303558308395</v>
      </c>
      <c r="C2452">
        <v>1.0336342559529701</v>
      </c>
      <c r="D2452">
        <v>1.0208567270875</v>
      </c>
      <c r="E2452">
        <v>0.54340147197308797</v>
      </c>
      <c r="F2452">
        <v>0.25685920773900101</v>
      </c>
      <c r="G2452">
        <v>0.16089928121060701</v>
      </c>
      <c r="H2452">
        <v>0.14635906048084699</v>
      </c>
      <c r="I2452">
        <v>7.2879527732167895E-2</v>
      </c>
      <c r="J2452">
        <v>3.9317556779392401E-2</v>
      </c>
      <c r="K2452">
        <v>7.1063627675509805E-2</v>
      </c>
      <c r="L2452">
        <v>1335.5644575394999</v>
      </c>
      <c r="M2452">
        <v>28.472494409000198</v>
      </c>
      <c r="N2452">
        <v>47.2603196459348</v>
      </c>
      <c r="O2452">
        <v>46.677620243118803</v>
      </c>
      <c r="P2452">
        <v>-0.13788367499640999</v>
      </c>
      <c r="Q2452">
        <v>9.5824864373542096E-2</v>
      </c>
      <c r="R2452">
        <v>0.987309982556698</v>
      </c>
      <c r="S2452" t="s">
        <v>9020</v>
      </c>
      <c r="T2452" t="s">
        <v>13134</v>
      </c>
      <c r="U2452" t="s">
        <v>13134</v>
      </c>
      <c r="V2452" t="s">
        <v>13134</v>
      </c>
      <c r="W2452" t="s">
        <v>15538</v>
      </c>
      <c r="X2452">
        <v>2</v>
      </c>
      <c r="Y2452" t="s">
        <v>21983</v>
      </c>
      <c r="Z2452" t="s">
        <v>28420</v>
      </c>
      <c r="AA2452">
        <v>0.40025024332777148</v>
      </c>
      <c r="AB2452" t="str">
        <f>HYPERLINK("Melting_Curves/meltCurve_P29350_PTPN6.pdf", "Melting_Curves/meltCurve_P29350_PTPN6.pdf")</f>
        <v>Melting_Curves/meltCurve_P29350_PTPN6.pdf</v>
      </c>
    </row>
    <row r="2453" spans="1:28" x14ac:dyDescent="0.25">
      <c r="A2453" t="s">
        <v>2457</v>
      </c>
      <c r="B2453">
        <v>0.99472303558308395</v>
      </c>
      <c r="C2453">
        <v>0.92020266646110904</v>
      </c>
      <c r="D2453">
        <v>0.95184700606778205</v>
      </c>
      <c r="E2453">
        <v>0.89152758995202896</v>
      </c>
      <c r="F2453">
        <v>0.69814430995336296</v>
      </c>
      <c r="G2453">
        <v>0.45765546458566198</v>
      </c>
      <c r="H2453">
        <v>0.291207911935844</v>
      </c>
      <c r="I2453">
        <v>0.14199088393456499</v>
      </c>
      <c r="J2453">
        <v>0.10037816706074899</v>
      </c>
      <c r="K2453">
        <v>7.8748701658356096E-2</v>
      </c>
      <c r="L2453">
        <v>724.93280513079503</v>
      </c>
      <c r="M2453">
        <v>13.635903709294199</v>
      </c>
      <c r="N2453">
        <v>53.271320612598203</v>
      </c>
      <c r="O2453">
        <v>52.059255186217001</v>
      </c>
      <c r="P2453">
        <v>-6.4601103981131405E-2</v>
      </c>
      <c r="Q2453">
        <v>1.3606798231239701E-2</v>
      </c>
      <c r="R2453">
        <v>0.99546279329638598</v>
      </c>
      <c r="S2453" t="s">
        <v>9021</v>
      </c>
      <c r="T2453" t="s">
        <v>13134</v>
      </c>
      <c r="U2453" t="s">
        <v>13134</v>
      </c>
      <c r="V2453" t="s">
        <v>13134</v>
      </c>
      <c r="W2453" t="s">
        <v>15539</v>
      </c>
      <c r="X2453">
        <v>13</v>
      </c>
      <c r="Y2453" t="s">
        <v>21984</v>
      </c>
      <c r="Z2453" t="s">
        <v>28421</v>
      </c>
      <c r="AA2453">
        <v>0.56386051522952607</v>
      </c>
      <c r="AB2453" t="str">
        <f>HYPERLINK("Melting_Curves/meltCurve_P29353_7_SHC1.pdf", "Melting_Curves/meltCurve_P29353_7_SHC1.pdf")</f>
        <v>Melting_Curves/meltCurve_P29353_7_SHC1.pdf</v>
      </c>
    </row>
    <row r="2454" spans="1:28" x14ac:dyDescent="0.25">
      <c r="A2454" t="s">
        <v>2458</v>
      </c>
      <c r="B2454">
        <v>0.99472303558308395</v>
      </c>
      <c r="C2454">
        <v>0.92876295258500796</v>
      </c>
      <c r="D2454">
        <v>0.93968062925648499</v>
      </c>
      <c r="E2454">
        <v>0.77034261088872003</v>
      </c>
      <c r="F2454">
        <v>0.442854710132491</v>
      </c>
      <c r="G2454">
        <v>0.135643456076216</v>
      </c>
      <c r="H2454">
        <v>7.2046400948409195E-2</v>
      </c>
      <c r="I2454">
        <v>4.52995013812399E-2</v>
      </c>
      <c r="J2454">
        <v>4.3792744110752402E-2</v>
      </c>
      <c r="K2454">
        <v>4.2911999376724498E-2</v>
      </c>
      <c r="L2454">
        <v>1030.7079129308499</v>
      </c>
      <c r="M2454">
        <v>20.930565299526201</v>
      </c>
      <c r="N2454">
        <v>49.380889612323003</v>
      </c>
      <c r="O2454">
        <v>48.8012380579218</v>
      </c>
      <c r="P2454">
        <v>-0.104207455300536</v>
      </c>
      <c r="Q2454">
        <v>2.8155139619327599E-2</v>
      </c>
      <c r="R2454">
        <v>0.99606785457927405</v>
      </c>
      <c r="S2454" t="s">
        <v>9022</v>
      </c>
      <c r="T2454" t="s">
        <v>13134</v>
      </c>
      <c r="U2454" t="s">
        <v>13134</v>
      </c>
      <c r="V2454" t="s">
        <v>13134</v>
      </c>
      <c r="W2454" t="s">
        <v>15540</v>
      </c>
      <c r="X2454">
        <v>9</v>
      </c>
      <c r="Y2454" t="s">
        <v>21985</v>
      </c>
      <c r="Z2454" t="s">
        <v>28422</v>
      </c>
      <c r="AA2454">
        <v>0.43659056646243161</v>
      </c>
      <c r="AB2454" t="str">
        <f>HYPERLINK("Melting_Curves/meltCurve_P29372_5_MPG.pdf", "Melting_Curves/meltCurve_P29372_5_MPG.pdf")</f>
        <v>Melting_Curves/meltCurve_P29372_5_MPG.pdf</v>
      </c>
    </row>
    <row r="2455" spans="1:28" x14ac:dyDescent="0.25">
      <c r="A2455" t="s">
        <v>2459</v>
      </c>
      <c r="B2455">
        <v>0.99472303558308395</v>
      </c>
      <c r="C2455">
        <v>0.95501992749152398</v>
      </c>
      <c r="D2455">
        <v>0.98137232488132597</v>
      </c>
      <c r="E2455">
        <v>0.915824259379171</v>
      </c>
      <c r="F2455">
        <v>0.82058996904971504</v>
      </c>
      <c r="G2455">
        <v>0.62595570647412901</v>
      </c>
      <c r="H2455">
        <v>0.30406551343100502</v>
      </c>
      <c r="I2455">
        <v>0.462732211977609</v>
      </c>
      <c r="J2455">
        <v>0.540684709414051</v>
      </c>
      <c r="K2455">
        <v>0.42332328483295401</v>
      </c>
      <c r="L2455">
        <v>1451.5538566048499</v>
      </c>
      <c r="M2455">
        <v>28.1468939474263</v>
      </c>
      <c r="N2455">
        <v>55.588380759335102</v>
      </c>
      <c r="O2455">
        <v>51.3124527407358</v>
      </c>
      <c r="P2455">
        <v>-7.7534276944851294E-2</v>
      </c>
      <c r="Q2455">
        <v>0.43461747815537199</v>
      </c>
      <c r="R2455">
        <v>0.92456877639693402</v>
      </c>
      <c r="S2455" t="s">
        <v>9023</v>
      </c>
      <c r="T2455" t="s">
        <v>13134</v>
      </c>
      <c r="U2455" t="s">
        <v>13134</v>
      </c>
      <c r="V2455" t="s">
        <v>13134</v>
      </c>
      <c r="W2455" t="s">
        <v>15541</v>
      </c>
      <c r="X2455">
        <v>40</v>
      </c>
      <c r="Y2455" t="s">
        <v>21986</v>
      </c>
      <c r="Z2455" t="s">
        <v>28423</v>
      </c>
      <c r="AA2455">
        <v>0.7132280825917493</v>
      </c>
      <c r="AB2455" t="str">
        <f>HYPERLINK("Melting_Curves/meltCurve_P29401_TKT.pdf", "Melting_Curves/meltCurve_P29401_TKT.pdf")</f>
        <v>Melting_Curves/meltCurve_P29401_TKT.pdf</v>
      </c>
    </row>
    <row r="2456" spans="1:28" x14ac:dyDescent="0.25">
      <c r="A2456" t="s">
        <v>2460</v>
      </c>
      <c r="B2456">
        <v>0.99472303558308395</v>
      </c>
      <c r="C2456">
        <v>0.94968719870507301</v>
      </c>
      <c r="D2456">
        <v>0.88794676638164205</v>
      </c>
      <c r="E2456">
        <v>0.66360318368176097</v>
      </c>
      <c r="F2456">
        <v>0.33524096048688401</v>
      </c>
      <c r="G2456">
        <v>0.18166177056024299</v>
      </c>
      <c r="H2456">
        <v>0.10205970338569199</v>
      </c>
      <c r="I2456">
        <v>8.5224519415069394E-2</v>
      </c>
      <c r="J2456">
        <v>0.107048123042102</v>
      </c>
      <c r="K2456">
        <v>9.1423939382482597E-2</v>
      </c>
      <c r="L2456">
        <v>901.55893189625294</v>
      </c>
      <c r="M2456">
        <v>18.873532950198399</v>
      </c>
      <c r="N2456">
        <v>48.218178368859803</v>
      </c>
      <c r="O2456">
        <v>47.241822610004299</v>
      </c>
      <c r="P2456">
        <v>-9.1819994564497895E-2</v>
      </c>
      <c r="Q2456">
        <v>8.0708752172878401E-2</v>
      </c>
      <c r="R2456">
        <v>0.99849761923378</v>
      </c>
      <c r="S2456" t="s">
        <v>9024</v>
      </c>
      <c r="T2456" t="s">
        <v>13134</v>
      </c>
      <c r="U2456" t="s">
        <v>13134</v>
      </c>
      <c r="V2456" t="s">
        <v>13134</v>
      </c>
      <c r="W2456" t="s">
        <v>15542</v>
      </c>
      <c r="X2456">
        <v>16</v>
      </c>
      <c r="Y2456" t="s">
        <v>21987</v>
      </c>
      <c r="Z2456" t="s">
        <v>28424</v>
      </c>
      <c r="AA2456">
        <v>0.42415248682104489</v>
      </c>
      <c r="AB2456" t="str">
        <f>HYPERLINK("Melting_Curves/meltCurve_P29590_2_PML.pdf", "Melting_Curves/meltCurve_P29590_2_PML.pdf")</f>
        <v>Melting_Curves/meltCurve_P29590_2_PML.pdf</v>
      </c>
    </row>
    <row r="2457" spans="1:28" x14ac:dyDescent="0.25">
      <c r="A2457" t="s">
        <v>2461</v>
      </c>
      <c r="B2457">
        <v>0.99472303558308395</v>
      </c>
      <c r="C2457">
        <v>0.92549059957381397</v>
      </c>
      <c r="D2457">
        <v>0.66934600095078101</v>
      </c>
      <c r="E2457">
        <v>0.52407592620960997</v>
      </c>
      <c r="F2457">
        <v>0.230700753753281</v>
      </c>
      <c r="G2457">
        <v>0.15500638645436501</v>
      </c>
      <c r="H2457">
        <v>5.5124713658935301E-2</v>
      </c>
      <c r="I2457">
        <v>6.5002873428276597E-2</v>
      </c>
      <c r="J2457">
        <v>6.0864377762291602E-2</v>
      </c>
      <c r="K2457">
        <v>2.7501350731227999E-2</v>
      </c>
      <c r="L2457">
        <v>635.067334348533</v>
      </c>
      <c r="M2457">
        <v>13.797359385456501</v>
      </c>
      <c r="N2457">
        <v>46.188002197404401</v>
      </c>
      <c r="O2457">
        <v>45.093593880141903</v>
      </c>
      <c r="P2457">
        <v>-7.4720289715533697E-2</v>
      </c>
      <c r="Q2457">
        <v>2.3310377186216001E-2</v>
      </c>
      <c r="R2457">
        <v>0.99164924487308503</v>
      </c>
      <c r="S2457" t="s">
        <v>9025</v>
      </c>
      <c r="T2457" t="s">
        <v>13134</v>
      </c>
      <c r="U2457" t="s">
        <v>13134</v>
      </c>
      <c r="V2457" t="s">
        <v>13134</v>
      </c>
      <c r="W2457" t="s">
        <v>15543</v>
      </c>
      <c r="X2457">
        <v>15</v>
      </c>
      <c r="Y2457" t="s">
        <v>20217</v>
      </c>
      <c r="Z2457" t="s">
        <v>28425</v>
      </c>
      <c r="AA2457">
        <v>0.34352983924428238</v>
      </c>
      <c r="AB2457" t="str">
        <f>HYPERLINK("Melting_Curves/meltCurve_P29692_3_EEF1D.pdf", "Melting_Curves/meltCurve_P29692_3_EEF1D.pdf")</f>
        <v>Melting_Curves/meltCurve_P29692_3_EEF1D.pdf</v>
      </c>
    </row>
    <row r="2458" spans="1:28" x14ac:dyDescent="0.25">
      <c r="A2458" t="s">
        <v>2462</v>
      </c>
      <c r="B2458">
        <v>0.99472303558308395</v>
      </c>
      <c r="C2458">
        <v>1.00322434771562</v>
      </c>
      <c r="D2458">
        <v>1.03608210407796</v>
      </c>
      <c r="E2458">
        <v>0.88878742154855095</v>
      </c>
      <c r="F2458">
        <v>0.55921954206223301</v>
      </c>
      <c r="G2458">
        <v>0.59868869498439903</v>
      </c>
      <c r="H2458">
        <v>0.55602055511727</v>
      </c>
      <c r="I2458">
        <v>0.54489039712007603</v>
      </c>
      <c r="J2458">
        <v>0.82052371022360004</v>
      </c>
      <c r="K2458">
        <v>0.69361227989687801</v>
      </c>
      <c r="L2458">
        <v>11689.5676005164</v>
      </c>
      <c r="M2458">
        <v>250</v>
      </c>
      <c r="O2458">
        <v>46.7552782074034</v>
      </c>
      <c r="P2458">
        <v>-0.49616609195030897</v>
      </c>
      <c r="Q2458">
        <v>0.62882586197011603</v>
      </c>
      <c r="R2458">
        <v>0.83610194163080398</v>
      </c>
      <c r="S2458" t="s">
        <v>9026</v>
      </c>
      <c r="T2458" t="s">
        <v>13134</v>
      </c>
      <c r="U2458" t="s">
        <v>13134</v>
      </c>
      <c r="V2458" t="s">
        <v>13134</v>
      </c>
      <c r="W2458" t="s">
        <v>15544</v>
      </c>
      <c r="X2458">
        <v>5</v>
      </c>
      <c r="Y2458" t="s">
        <v>21988</v>
      </c>
      <c r="Z2458" t="s">
        <v>28426</v>
      </c>
      <c r="AA2458">
        <v>0.74959024070519642</v>
      </c>
      <c r="AB2458" t="str">
        <f>HYPERLINK("Melting_Curves/meltCurve_P29966_MARCKS.pdf", "Melting_Curves/meltCurve_P29966_MARCKS.pdf")</f>
        <v>Melting_Curves/meltCurve_P29966_MARCKS.pdf</v>
      </c>
    </row>
    <row r="2459" spans="1:28" x14ac:dyDescent="0.25">
      <c r="A2459" t="s">
        <v>2463</v>
      </c>
      <c r="B2459">
        <v>0.99472303558308395</v>
      </c>
      <c r="C2459">
        <v>0.859821546516646</v>
      </c>
      <c r="D2459">
        <v>1.05880194660926</v>
      </c>
      <c r="E2459">
        <v>0.85896363563118805</v>
      </c>
      <c r="F2459">
        <v>0.474822513950174</v>
      </c>
      <c r="G2459">
        <v>0.118948672859174</v>
      </c>
      <c r="H2459">
        <v>9.0447307349967407E-2</v>
      </c>
      <c r="I2459">
        <v>5.0112144029662103E-2</v>
      </c>
      <c r="J2459">
        <v>0.11227432009512001</v>
      </c>
      <c r="K2459">
        <v>5.5828007868761402E-2</v>
      </c>
      <c r="L2459">
        <v>1505.8447248965499</v>
      </c>
      <c r="M2459">
        <v>30.3363099388745</v>
      </c>
      <c r="N2459">
        <v>49.876747799968598</v>
      </c>
      <c r="O2459">
        <v>49.4241611530217</v>
      </c>
      <c r="P2459">
        <v>-0.143094090853494</v>
      </c>
      <c r="Q2459">
        <v>6.7485618440196293E-2</v>
      </c>
      <c r="R2459">
        <v>0.98282843095995498</v>
      </c>
      <c r="S2459" t="s">
        <v>9027</v>
      </c>
      <c r="T2459" t="s">
        <v>13134</v>
      </c>
      <c r="U2459" t="s">
        <v>13134</v>
      </c>
      <c r="V2459" t="s">
        <v>13134</v>
      </c>
      <c r="W2459" t="s">
        <v>15545</v>
      </c>
      <c r="X2459">
        <v>9</v>
      </c>
      <c r="Y2459" t="s">
        <v>21989</v>
      </c>
      <c r="Z2459" t="s">
        <v>28427</v>
      </c>
      <c r="AA2459">
        <v>0.46589709243542932</v>
      </c>
      <c r="AB2459" t="str">
        <f>HYPERLINK("Melting_Curves/meltCurve_P29992_GNA11.pdf", "Melting_Curves/meltCurve_P29992_GNA11.pdf")</f>
        <v>Melting_Curves/meltCurve_P29992_GNA11.pdf</v>
      </c>
    </row>
    <row r="2460" spans="1:28" x14ac:dyDescent="0.25">
      <c r="A2460" t="s">
        <v>2464</v>
      </c>
      <c r="B2460">
        <v>0.99472303558308395</v>
      </c>
      <c r="C2460">
        <v>1.0424558437154201</v>
      </c>
      <c r="D2460">
        <v>0.92452426392555898</v>
      </c>
      <c r="E2460">
        <v>0.80695267949503002</v>
      </c>
      <c r="F2460">
        <v>0.54823527881761203</v>
      </c>
      <c r="G2460">
        <v>0.20659642893792601</v>
      </c>
      <c r="H2460">
        <v>5.1249900079716602E-2</v>
      </c>
      <c r="I2460">
        <v>3.6469462562621603E-2</v>
      </c>
      <c r="J2460">
        <v>3.9289611662278602E-2</v>
      </c>
      <c r="K2460">
        <v>3.6443765341415198E-2</v>
      </c>
      <c r="L2460">
        <v>1004.21671861563</v>
      </c>
      <c r="M2460">
        <v>19.977167720555101</v>
      </c>
      <c r="N2460">
        <v>50.322845142686397</v>
      </c>
      <c r="O2460">
        <v>49.772648619444297</v>
      </c>
      <c r="P2460">
        <v>-9.9269333180283401E-2</v>
      </c>
      <c r="Q2460">
        <v>1.07234112951008E-2</v>
      </c>
      <c r="R2460">
        <v>0.99534699058862397</v>
      </c>
      <c r="S2460" t="s">
        <v>9028</v>
      </c>
      <c r="T2460" t="s">
        <v>13134</v>
      </c>
      <c r="U2460" t="s">
        <v>13134</v>
      </c>
      <c r="V2460" t="s">
        <v>13134</v>
      </c>
      <c r="W2460" t="s">
        <v>15546</v>
      </c>
      <c r="X2460">
        <v>14</v>
      </c>
      <c r="Y2460" t="s">
        <v>21990</v>
      </c>
      <c r="Z2460" t="s">
        <v>28428</v>
      </c>
      <c r="AA2460">
        <v>0.46129616757721259</v>
      </c>
      <c r="AB2460" t="str">
        <f>HYPERLINK("Melting_Curves/meltCurve_P30038_ALDH4A1.pdf", "Melting_Curves/meltCurve_P30038_ALDH4A1.pdf")</f>
        <v>Melting_Curves/meltCurve_P30038_ALDH4A1.pdf</v>
      </c>
    </row>
    <row r="2461" spans="1:28" x14ac:dyDescent="0.25">
      <c r="A2461" t="s">
        <v>2465</v>
      </c>
      <c r="B2461">
        <v>0.99472303558308395</v>
      </c>
      <c r="C2461">
        <v>0.88263811558448302</v>
      </c>
      <c r="D2461">
        <v>0.97271525278388904</v>
      </c>
      <c r="E2461">
        <v>0.91531204940322897</v>
      </c>
      <c r="F2461">
        <v>0.68592004664800699</v>
      </c>
      <c r="G2461">
        <v>0.41197144721422102</v>
      </c>
      <c r="H2461">
        <v>0.21880707609036101</v>
      </c>
      <c r="I2461">
        <v>0.17739373536234099</v>
      </c>
      <c r="J2461">
        <v>0.19354889216277599</v>
      </c>
      <c r="K2461">
        <v>0.14875265222154399</v>
      </c>
      <c r="L2461">
        <v>1054.46973298996</v>
      </c>
      <c r="M2461">
        <v>20.470849615806401</v>
      </c>
      <c r="N2461">
        <v>52.423772393394501</v>
      </c>
      <c r="O2461">
        <v>51.026791573984802</v>
      </c>
      <c r="P2461">
        <v>-8.5258875780851007E-2</v>
      </c>
      <c r="Q2461">
        <v>0.14994095083739001</v>
      </c>
      <c r="R2461">
        <v>0.98735680390190095</v>
      </c>
      <c r="S2461" t="s">
        <v>9029</v>
      </c>
      <c r="T2461" t="s">
        <v>13134</v>
      </c>
      <c r="U2461" t="s">
        <v>13134</v>
      </c>
      <c r="V2461" t="s">
        <v>13134</v>
      </c>
      <c r="W2461" t="s">
        <v>15547</v>
      </c>
      <c r="X2461">
        <v>15</v>
      </c>
      <c r="Y2461" t="s">
        <v>21991</v>
      </c>
      <c r="Z2461" t="s">
        <v>28429</v>
      </c>
      <c r="AA2461">
        <v>0.57176163097132127</v>
      </c>
      <c r="AB2461" t="str">
        <f>HYPERLINK("Melting_Curves/meltCurve_P30040_ERP29.pdf", "Melting_Curves/meltCurve_P30040_ERP29.pdf")</f>
        <v>Melting_Curves/meltCurve_P30040_ERP29.pdf</v>
      </c>
    </row>
    <row r="2462" spans="1:28" x14ac:dyDescent="0.25">
      <c r="A2462" t="s">
        <v>2466</v>
      </c>
      <c r="B2462">
        <v>0.99472303558308395</v>
      </c>
      <c r="C2462">
        <v>0.98202116593306099</v>
      </c>
      <c r="D2462">
        <v>1.0375642110011201</v>
      </c>
      <c r="E2462">
        <v>0.98102789561246395</v>
      </c>
      <c r="F2462">
        <v>0.78233694445685897</v>
      </c>
      <c r="G2462">
        <v>0.58364683246285098</v>
      </c>
      <c r="H2462">
        <v>0.127282825192753</v>
      </c>
      <c r="I2462">
        <v>5.7006104764549002E-2</v>
      </c>
      <c r="J2462">
        <v>4.7776696079647803E-2</v>
      </c>
      <c r="K2462">
        <v>4.77465270256777E-2</v>
      </c>
      <c r="L2462">
        <v>1296.4779745912399</v>
      </c>
      <c r="M2462">
        <v>24.0904051766965</v>
      </c>
      <c r="N2462">
        <v>53.880935629479602</v>
      </c>
      <c r="O2462">
        <v>53.450467295373898</v>
      </c>
      <c r="P2462">
        <v>-0.111095101372437</v>
      </c>
      <c r="Q2462">
        <v>1.40485330958745E-2</v>
      </c>
      <c r="R2462">
        <v>0.99007432666280504</v>
      </c>
      <c r="S2462" t="s">
        <v>9030</v>
      </c>
      <c r="T2462" t="s">
        <v>13134</v>
      </c>
      <c r="U2462" t="s">
        <v>13134</v>
      </c>
      <c r="V2462" t="s">
        <v>13134</v>
      </c>
      <c r="W2462" t="s">
        <v>15548</v>
      </c>
      <c r="X2462">
        <v>24</v>
      </c>
      <c r="Y2462" t="s">
        <v>21992</v>
      </c>
      <c r="Z2462" t="s">
        <v>28430</v>
      </c>
      <c r="AA2462">
        <v>0.57591330217990289</v>
      </c>
      <c r="AB2462" t="str">
        <f>HYPERLINK("Melting_Curves/meltCurve_P30041_PRDX6.pdf", "Melting_Curves/meltCurve_P30041_PRDX6.pdf")</f>
        <v>Melting_Curves/meltCurve_P30041_PRDX6.pdf</v>
      </c>
    </row>
    <row r="2463" spans="1:28" x14ac:dyDescent="0.25">
      <c r="A2463" t="s">
        <v>2467</v>
      </c>
      <c r="B2463">
        <v>0.99472303558308395</v>
      </c>
      <c r="C2463">
        <v>1.0627663192983601</v>
      </c>
      <c r="D2463">
        <v>1.00264922336156</v>
      </c>
      <c r="E2463">
        <v>0.96648778415647296</v>
      </c>
      <c r="F2463">
        <v>0.72069635822269695</v>
      </c>
      <c r="G2463">
        <v>0.64626247624577104</v>
      </c>
      <c r="H2463">
        <v>0.55193782773010103</v>
      </c>
      <c r="I2463">
        <v>0.66735836596304099</v>
      </c>
      <c r="J2463">
        <v>0.87153737542411502</v>
      </c>
      <c r="K2463">
        <v>0.55302883329845998</v>
      </c>
      <c r="L2463">
        <v>2487.1989124071301</v>
      </c>
      <c r="M2463">
        <v>51.0810889800916</v>
      </c>
      <c r="O2463">
        <v>48.6167473845628</v>
      </c>
      <c r="P2463">
        <v>-8.9880729364562803E-2</v>
      </c>
      <c r="Q2463">
        <v>0.65782215794308396</v>
      </c>
      <c r="R2463">
        <v>0.79423317640688695</v>
      </c>
      <c r="S2463" t="s">
        <v>9031</v>
      </c>
      <c r="T2463" t="s">
        <v>13134</v>
      </c>
      <c r="U2463" t="s">
        <v>13134</v>
      </c>
      <c r="V2463" t="s">
        <v>13134</v>
      </c>
      <c r="W2463" t="s">
        <v>15549</v>
      </c>
      <c r="X2463">
        <v>15</v>
      </c>
      <c r="Y2463" t="s">
        <v>21993</v>
      </c>
      <c r="Z2463" t="s">
        <v>28431</v>
      </c>
      <c r="AA2463">
        <v>0.79187497125194795</v>
      </c>
      <c r="AB2463" t="str">
        <f>HYPERLINK("Melting_Curves/meltCurve_P30042_C21orf33.pdf", "Melting_Curves/meltCurve_P30042_C21orf33.pdf")</f>
        <v>Melting_Curves/meltCurve_P30042_C21orf33.pdf</v>
      </c>
    </row>
    <row r="2464" spans="1:28" x14ac:dyDescent="0.25">
      <c r="A2464" t="s">
        <v>2468</v>
      </c>
      <c r="B2464">
        <v>0.99472303558308395</v>
      </c>
      <c r="C2464">
        <v>0.95553309320497404</v>
      </c>
      <c r="D2464">
        <v>1.10121438594395</v>
      </c>
      <c r="E2464">
        <v>0.912339966007777</v>
      </c>
      <c r="F2464">
        <v>0.37801614920489401</v>
      </c>
      <c r="G2464">
        <v>0.120190282795176</v>
      </c>
      <c r="H2464">
        <v>6.7412261873591298E-2</v>
      </c>
      <c r="I2464">
        <v>4.6126466644953401E-2</v>
      </c>
      <c r="J2464">
        <v>6.5344608174994406E-2</v>
      </c>
      <c r="K2464">
        <v>5.0086432096779897E-2</v>
      </c>
      <c r="L2464">
        <v>1899.4740694253601</v>
      </c>
      <c r="M2464">
        <v>38.485646977089203</v>
      </c>
      <c r="N2464">
        <v>49.521398545119901</v>
      </c>
      <c r="O2464">
        <v>49.222695204234199</v>
      </c>
      <c r="P2464">
        <v>-0.18363785586682899</v>
      </c>
      <c r="Q2464">
        <v>6.0519523900528199E-2</v>
      </c>
      <c r="R2464">
        <v>0.99281804990222799</v>
      </c>
      <c r="S2464" t="s">
        <v>9032</v>
      </c>
      <c r="T2464" t="s">
        <v>13134</v>
      </c>
      <c r="U2464" t="s">
        <v>13134</v>
      </c>
      <c r="V2464" t="s">
        <v>13134</v>
      </c>
      <c r="W2464" t="s">
        <v>15550</v>
      </c>
      <c r="X2464">
        <v>11</v>
      </c>
      <c r="Y2464" t="s">
        <v>21994</v>
      </c>
      <c r="Z2464" t="s">
        <v>28432</v>
      </c>
      <c r="AA2464">
        <v>0.45090375885787548</v>
      </c>
      <c r="AB2464" t="str">
        <f>HYPERLINK("Melting_Curves/meltCurve_P30043_BLVRB.pdf", "Melting_Curves/meltCurve_P30043_BLVRB.pdf")</f>
        <v>Melting_Curves/meltCurve_P30043_BLVRB.pdf</v>
      </c>
    </row>
    <row r="2465" spans="1:28" x14ac:dyDescent="0.25">
      <c r="A2465" t="s">
        <v>2469</v>
      </c>
      <c r="B2465">
        <v>0.99472303558308395</v>
      </c>
      <c r="C2465">
        <v>0.99315290603179796</v>
      </c>
      <c r="D2465">
        <v>0.98162717239977104</v>
      </c>
      <c r="E2465">
        <v>0.92710062979065599</v>
      </c>
      <c r="F2465">
        <v>0.79222409509541503</v>
      </c>
      <c r="G2465">
        <v>0.66954319187314904</v>
      </c>
      <c r="H2465">
        <v>0.52574919008718801</v>
      </c>
      <c r="I2465">
        <v>0.40981680254167702</v>
      </c>
      <c r="J2465">
        <v>0.21890447584356901</v>
      </c>
      <c r="K2465">
        <v>0.161127126816621</v>
      </c>
      <c r="L2465">
        <v>603.68292054475103</v>
      </c>
      <c r="M2465">
        <v>10.4835489202316</v>
      </c>
      <c r="N2465">
        <v>57.583832098816202</v>
      </c>
      <c r="O2465">
        <v>55.606919682861196</v>
      </c>
      <c r="P2465">
        <v>-4.7151524842682001E-2</v>
      </c>
      <c r="Q2465">
        <v>0</v>
      </c>
      <c r="R2465">
        <v>0.99333302809429802</v>
      </c>
      <c r="S2465" t="s">
        <v>9033</v>
      </c>
      <c r="T2465" t="s">
        <v>13134</v>
      </c>
      <c r="U2465" t="s">
        <v>13134</v>
      </c>
      <c r="V2465" t="s">
        <v>13134</v>
      </c>
      <c r="W2465" t="s">
        <v>15551</v>
      </c>
      <c r="X2465">
        <v>8</v>
      </c>
      <c r="Y2465" t="s">
        <v>21995</v>
      </c>
      <c r="Z2465" t="s">
        <v>28433</v>
      </c>
      <c r="AA2465">
        <v>0.6828100601050463</v>
      </c>
      <c r="AB2465" t="str">
        <f>HYPERLINK("Melting_Curves/meltCurve_P30044_2_PRDX5.pdf", "Melting_Curves/meltCurve_P30044_2_PRDX5.pdf")</f>
        <v>Melting_Curves/meltCurve_P30044_2_PRDX5.pdf</v>
      </c>
    </row>
    <row r="2466" spans="1:28" x14ac:dyDescent="0.25">
      <c r="A2466" t="s">
        <v>2470</v>
      </c>
      <c r="B2466">
        <v>0.99472303558308395</v>
      </c>
      <c r="C2466">
        <v>1.05842670376185</v>
      </c>
      <c r="D2466">
        <v>1.07662949510794</v>
      </c>
      <c r="E2466">
        <v>0.87634891336188503</v>
      </c>
      <c r="F2466">
        <v>0.76197240774938702</v>
      </c>
      <c r="G2466">
        <v>0.61290396874092101</v>
      </c>
      <c r="H2466">
        <v>0.39712774888547597</v>
      </c>
      <c r="I2466">
        <v>0.72399925542785704</v>
      </c>
      <c r="J2466">
        <v>0.86101738477826195</v>
      </c>
      <c r="K2466">
        <v>0.63080620579619995</v>
      </c>
      <c r="L2466">
        <v>1597.62157536482</v>
      </c>
      <c r="M2466">
        <v>33.230137355303398</v>
      </c>
      <c r="O2466">
        <v>47.904381053281298</v>
      </c>
      <c r="P2466">
        <v>-6.0882965646694598E-2</v>
      </c>
      <c r="Q2466">
        <v>0.64892736766926695</v>
      </c>
      <c r="R2466">
        <v>0.69184911995253695</v>
      </c>
      <c r="S2466" t="s">
        <v>9034</v>
      </c>
      <c r="T2466" t="s">
        <v>13134</v>
      </c>
      <c r="U2466" t="s">
        <v>13134</v>
      </c>
      <c r="V2466" t="s">
        <v>13134</v>
      </c>
      <c r="W2466" t="s">
        <v>15552</v>
      </c>
      <c r="X2466">
        <v>6</v>
      </c>
      <c r="Y2466" t="s">
        <v>21996</v>
      </c>
      <c r="Z2466" t="s">
        <v>28434</v>
      </c>
      <c r="AA2466">
        <v>0.78025606676157411</v>
      </c>
      <c r="AB2466" t="str">
        <f>HYPERLINK("Melting_Curves/meltCurve_P30046_DDT.pdf", "Melting_Curves/meltCurve_P30046_DDT.pdf")</f>
        <v>Melting_Curves/meltCurve_P30046_DDT.pdf</v>
      </c>
    </row>
    <row r="2467" spans="1:28" x14ac:dyDescent="0.25">
      <c r="A2467" t="s">
        <v>2471</v>
      </c>
      <c r="B2467">
        <v>0.99472303558308395</v>
      </c>
      <c r="C2467">
        <v>1.0527372588513599</v>
      </c>
      <c r="D2467">
        <v>0.76519372195451296</v>
      </c>
      <c r="E2467">
        <v>0.70699232854279204</v>
      </c>
      <c r="F2467">
        <v>0.56630792259184004</v>
      </c>
      <c r="G2467">
        <v>0.25223584501505503</v>
      </c>
      <c r="H2467">
        <v>0.17497274677788399</v>
      </c>
      <c r="I2467">
        <v>0.18127011961078399</v>
      </c>
      <c r="J2467">
        <v>0.30303247052172499</v>
      </c>
      <c r="K2467">
        <v>0.31697676027689797</v>
      </c>
      <c r="L2467">
        <v>760.60569352196796</v>
      </c>
      <c r="M2467">
        <v>15.9324640994998</v>
      </c>
      <c r="N2467">
        <v>49.551414571004202</v>
      </c>
      <c r="O2467">
        <v>47.006276601374097</v>
      </c>
      <c r="P2467">
        <v>-6.6032461555575406E-2</v>
      </c>
      <c r="Q2467">
        <v>0.22078779448698499</v>
      </c>
      <c r="R2467">
        <v>0.93554212077101995</v>
      </c>
      <c r="S2467" t="s">
        <v>9035</v>
      </c>
      <c r="T2467" t="s">
        <v>13134</v>
      </c>
      <c r="U2467" t="s">
        <v>13134</v>
      </c>
      <c r="V2467" t="s">
        <v>13134</v>
      </c>
      <c r="W2467" t="s">
        <v>15553</v>
      </c>
      <c r="X2467">
        <v>4</v>
      </c>
      <c r="Y2467" t="s">
        <v>21997</v>
      </c>
      <c r="Z2467" t="s">
        <v>28435</v>
      </c>
      <c r="AA2467">
        <v>0.51527302586301016</v>
      </c>
      <c r="AB2467" t="str">
        <f>HYPERLINK("Melting_Curves/meltCurve_P30049_ATP5D.pdf", "Melting_Curves/meltCurve_P30049_ATP5D.pdf")</f>
        <v>Melting_Curves/meltCurve_P30049_ATP5D.pdf</v>
      </c>
    </row>
    <row r="2468" spans="1:28" x14ac:dyDescent="0.25">
      <c r="A2468" t="s">
        <v>2472</v>
      </c>
      <c r="B2468">
        <v>0.99472303558308395</v>
      </c>
      <c r="C2468">
        <v>0.86690938743683199</v>
      </c>
      <c r="D2468">
        <v>1.00439732733383</v>
      </c>
      <c r="E2468">
        <v>0.72067455300336003</v>
      </c>
      <c r="F2468">
        <v>0.65508770642801395</v>
      </c>
      <c r="G2468">
        <v>0.32499178181206101</v>
      </c>
      <c r="H2468">
        <v>0.26961945789616398</v>
      </c>
      <c r="I2468">
        <v>0.172593001167377</v>
      </c>
      <c r="J2468">
        <v>0.108730729921999</v>
      </c>
      <c r="K2468">
        <v>0.15546361855805901</v>
      </c>
      <c r="L2468">
        <v>671.41788816052599</v>
      </c>
      <c r="M2468">
        <v>13.2163252997687</v>
      </c>
      <c r="N2468">
        <v>51.535638569506197</v>
      </c>
      <c r="O2468">
        <v>49.681315835807901</v>
      </c>
      <c r="P2468">
        <v>-6.0813762578576798E-2</v>
      </c>
      <c r="Q2468">
        <v>8.5734485762676504E-2</v>
      </c>
      <c r="R2468">
        <v>0.97040593477508197</v>
      </c>
      <c r="S2468" t="s">
        <v>9036</v>
      </c>
      <c r="T2468" t="s">
        <v>13134</v>
      </c>
      <c r="U2468" t="s">
        <v>13134</v>
      </c>
      <c r="V2468" t="s">
        <v>13134</v>
      </c>
      <c r="W2468" t="s">
        <v>15554</v>
      </c>
      <c r="X2468">
        <v>8</v>
      </c>
      <c r="Y2468" t="s">
        <v>21998</v>
      </c>
      <c r="Z2468" t="s">
        <v>28436</v>
      </c>
      <c r="AA2468">
        <v>0.52810883957371657</v>
      </c>
      <c r="AB2468" t="str">
        <f>HYPERLINK("Melting_Curves/meltCurve_P30050_RPL12.pdf", "Melting_Curves/meltCurve_P30050_RPL12.pdf")</f>
        <v>Melting_Curves/meltCurve_P30050_RPL12.pdf</v>
      </c>
    </row>
    <row r="2469" spans="1:28" x14ac:dyDescent="0.25">
      <c r="A2469" t="s">
        <v>2473</v>
      </c>
      <c r="B2469">
        <v>0.99472303558308395</v>
      </c>
      <c r="C2469">
        <v>0.98610256445710098</v>
      </c>
      <c r="D2469">
        <v>0.84465580151837805</v>
      </c>
      <c r="E2469">
        <v>0.80439167378840204</v>
      </c>
      <c r="F2469">
        <v>0.726630854584985</v>
      </c>
      <c r="G2469">
        <v>0.18824261033143699</v>
      </c>
      <c r="H2469">
        <v>5.64419800557125E-2</v>
      </c>
      <c r="I2469">
        <v>3.8041866468261201E-2</v>
      </c>
      <c r="J2469">
        <v>3.7486014511853301E-2</v>
      </c>
      <c r="K2469">
        <v>3.1496234112469601E-2</v>
      </c>
      <c r="L2469">
        <v>1230.56956701165</v>
      </c>
      <c r="M2469">
        <v>24.003121190085999</v>
      </c>
      <c r="N2469">
        <v>51.3097217471067</v>
      </c>
      <c r="O2469">
        <v>50.915200668639102</v>
      </c>
      <c r="P2469">
        <v>-0.116695876858379</v>
      </c>
      <c r="Q2469">
        <v>9.8787556818594295E-3</v>
      </c>
      <c r="R2469">
        <v>0.97060146938345204</v>
      </c>
      <c r="S2469" t="s">
        <v>9037</v>
      </c>
      <c r="T2469" t="s">
        <v>13134</v>
      </c>
      <c r="U2469" t="s">
        <v>13134</v>
      </c>
      <c r="V2469" t="s">
        <v>13134</v>
      </c>
      <c r="W2469" t="s">
        <v>15555</v>
      </c>
      <c r="X2469">
        <v>16</v>
      </c>
      <c r="Y2469" t="s">
        <v>21999</v>
      </c>
      <c r="Z2469" t="s">
        <v>28437</v>
      </c>
      <c r="AA2469">
        <v>0.49017498224721567</v>
      </c>
      <c r="AB2469" t="str">
        <f>HYPERLINK("Melting_Curves/meltCurve_P30084_ECHS1.pdf", "Melting_Curves/meltCurve_P30084_ECHS1.pdf")</f>
        <v>Melting_Curves/meltCurve_P30084_ECHS1.pdf</v>
      </c>
    </row>
    <row r="2470" spans="1:28" x14ac:dyDescent="0.25">
      <c r="A2470" t="s">
        <v>2474</v>
      </c>
      <c r="B2470">
        <v>0.99472303558308395</v>
      </c>
      <c r="C2470">
        <v>0.90179470450494903</v>
      </c>
      <c r="D2470">
        <v>1.0461043120945901</v>
      </c>
      <c r="E2470">
        <v>0.927308841563798</v>
      </c>
      <c r="F2470">
        <v>0.64988920417370299</v>
      </c>
      <c r="G2470">
        <v>0.27157403322122198</v>
      </c>
      <c r="H2470">
        <v>8.3839640144422398E-2</v>
      </c>
      <c r="I2470">
        <v>5.3970728071181001E-2</v>
      </c>
      <c r="J2470">
        <v>5.9673310111711099E-2</v>
      </c>
      <c r="K2470">
        <v>4.9157835865044103E-2</v>
      </c>
      <c r="L2470">
        <v>1336.21461220845</v>
      </c>
      <c r="M2470">
        <v>26.057152939750502</v>
      </c>
      <c r="N2470">
        <v>51.461954113963799</v>
      </c>
      <c r="O2470">
        <v>50.980987759712498</v>
      </c>
      <c r="P2470">
        <v>-0.12216197166338499</v>
      </c>
      <c r="Q2470">
        <v>4.3968382916933897E-2</v>
      </c>
      <c r="R2470">
        <v>0.99256511187214003</v>
      </c>
      <c r="S2470" t="s">
        <v>9038</v>
      </c>
      <c r="T2470" t="s">
        <v>13134</v>
      </c>
      <c r="U2470" t="s">
        <v>13134</v>
      </c>
      <c r="V2470" t="s">
        <v>13134</v>
      </c>
      <c r="W2470" t="s">
        <v>15556</v>
      </c>
      <c r="X2470">
        <v>13</v>
      </c>
      <c r="Y2470" t="s">
        <v>22000</v>
      </c>
      <c r="Z2470" t="s">
        <v>28438</v>
      </c>
      <c r="AA2470">
        <v>0.50686796120438671</v>
      </c>
      <c r="AB2470" t="str">
        <f>HYPERLINK("Melting_Curves/meltCurve_P30085_CMPK1.pdf", "Melting_Curves/meltCurve_P30085_CMPK1.pdf")</f>
        <v>Melting_Curves/meltCurve_P30085_CMPK1.pdf</v>
      </c>
    </row>
    <row r="2471" spans="1:28" x14ac:dyDescent="0.25">
      <c r="A2471" t="s">
        <v>2475</v>
      </c>
      <c r="B2471">
        <v>0.99472303558308395</v>
      </c>
      <c r="C2471">
        <v>1.0151921989324499</v>
      </c>
      <c r="D2471">
        <v>1.05444666456378</v>
      </c>
      <c r="E2471">
        <v>1.0035119958399401</v>
      </c>
      <c r="F2471">
        <v>0.76660771708849496</v>
      </c>
      <c r="G2471">
        <v>0.72395477117052898</v>
      </c>
      <c r="H2471">
        <v>0.51783394870769095</v>
      </c>
      <c r="I2471">
        <v>0.46500614233681098</v>
      </c>
      <c r="J2471">
        <v>0.28323681349955598</v>
      </c>
      <c r="K2471">
        <v>0.17971849582485699</v>
      </c>
      <c r="L2471">
        <v>612.25722084588699</v>
      </c>
      <c r="M2471">
        <v>10.462615620832301</v>
      </c>
      <c r="N2471">
        <v>58.518562023033603</v>
      </c>
      <c r="O2471">
        <v>56.501966472603698</v>
      </c>
      <c r="P2471">
        <v>-4.6312083404185203E-2</v>
      </c>
      <c r="Q2471">
        <v>0</v>
      </c>
      <c r="R2471">
        <v>0.97349054959956904</v>
      </c>
      <c r="S2471" t="s">
        <v>9039</v>
      </c>
      <c r="T2471" t="s">
        <v>13134</v>
      </c>
      <c r="U2471" t="s">
        <v>13134</v>
      </c>
      <c r="V2471" t="s">
        <v>13134</v>
      </c>
      <c r="W2471" t="s">
        <v>15557</v>
      </c>
      <c r="X2471">
        <v>18</v>
      </c>
      <c r="Y2471" t="s">
        <v>22001</v>
      </c>
      <c r="Z2471" t="s">
        <v>28439</v>
      </c>
      <c r="AA2471">
        <v>0.70659536853037719</v>
      </c>
      <c r="AB2471" t="str">
        <f>HYPERLINK("Melting_Curves/meltCurve_P30086_PEBP1.pdf", "Melting_Curves/meltCurve_P30086_PEBP1.pdf")</f>
        <v>Melting_Curves/meltCurve_P30086_PEBP1.pdf</v>
      </c>
    </row>
    <row r="2472" spans="1:28" x14ac:dyDescent="0.25">
      <c r="A2472" t="s">
        <v>2476</v>
      </c>
      <c r="B2472">
        <v>0.99472303558308395</v>
      </c>
      <c r="C2472">
        <v>0.90113733175969501</v>
      </c>
      <c r="D2472">
        <v>0.92157612248254595</v>
      </c>
      <c r="E2472">
        <v>0.80851168895423198</v>
      </c>
      <c r="F2472">
        <v>0.67504105119940006</v>
      </c>
      <c r="G2472">
        <v>0.25043797129555101</v>
      </c>
      <c r="H2472">
        <v>9.9885027924889694E-2</v>
      </c>
      <c r="I2472">
        <v>6.1698538699799299E-2</v>
      </c>
      <c r="J2472">
        <v>6.4880268239838695E-2</v>
      </c>
      <c r="K2472">
        <v>5.4219026284170697E-2</v>
      </c>
      <c r="L2472">
        <v>970.15767833634595</v>
      </c>
      <c r="M2472">
        <v>18.991681637837399</v>
      </c>
      <c r="N2472">
        <v>51.2156361183076</v>
      </c>
      <c r="O2472">
        <v>50.527053533963603</v>
      </c>
      <c r="P2472">
        <v>-9.1721553697384606E-2</v>
      </c>
      <c r="Q2472">
        <v>2.3944702859365799E-2</v>
      </c>
      <c r="R2472">
        <v>0.98326751077807795</v>
      </c>
      <c r="S2472" t="s">
        <v>9040</v>
      </c>
      <c r="T2472" t="s">
        <v>13134</v>
      </c>
      <c r="U2472" t="s">
        <v>13134</v>
      </c>
      <c r="V2472" t="s">
        <v>13134</v>
      </c>
      <c r="W2472" t="s">
        <v>15558</v>
      </c>
      <c r="X2472">
        <v>33</v>
      </c>
      <c r="Y2472" t="s">
        <v>22002</v>
      </c>
      <c r="Z2472" t="s">
        <v>28440</v>
      </c>
      <c r="AA2472">
        <v>0.49603937982082608</v>
      </c>
      <c r="AB2472" t="str">
        <f>HYPERLINK("Melting_Curves/meltCurve_P30153_PPP2R1A.pdf", "Melting_Curves/meltCurve_P30153_PPP2R1A.pdf")</f>
        <v>Melting_Curves/meltCurve_P30153_PPP2R1A.pdf</v>
      </c>
    </row>
    <row r="2473" spans="1:28" x14ac:dyDescent="0.25">
      <c r="A2473" t="s">
        <v>2477</v>
      </c>
      <c r="B2473">
        <v>0.99472303558308395</v>
      </c>
      <c r="C2473">
        <v>0.96120612487458901</v>
      </c>
      <c r="D2473">
        <v>0.86350077388620605</v>
      </c>
      <c r="E2473">
        <v>0.422433981577225</v>
      </c>
      <c r="F2473">
        <v>0.145421524667142</v>
      </c>
      <c r="G2473">
        <v>7.9506060278467405E-2</v>
      </c>
      <c r="H2473">
        <v>5.0218383231442003E-2</v>
      </c>
      <c r="I2473">
        <v>3.8863677389607998E-2</v>
      </c>
      <c r="J2473">
        <v>4.6489168251254397E-2</v>
      </c>
      <c r="K2473">
        <v>3.45320136648797E-2</v>
      </c>
      <c r="L2473">
        <v>1159.6437465818201</v>
      </c>
      <c r="M2473">
        <v>25.273780245313102</v>
      </c>
      <c r="N2473">
        <v>46.0497947261848</v>
      </c>
      <c r="O2473">
        <v>45.598919584035301</v>
      </c>
      <c r="P2473">
        <v>-0.13251618106974999</v>
      </c>
      <c r="Q2473">
        <v>4.3670462409860597E-2</v>
      </c>
      <c r="R2473">
        <v>0.99945199902900606</v>
      </c>
      <c r="S2473" t="s">
        <v>9041</v>
      </c>
      <c r="T2473" t="s">
        <v>13134</v>
      </c>
      <c r="U2473" t="s">
        <v>13134</v>
      </c>
      <c r="V2473" t="s">
        <v>13134</v>
      </c>
      <c r="W2473" t="s">
        <v>15559</v>
      </c>
      <c r="X2473">
        <v>17</v>
      </c>
      <c r="Y2473" t="s">
        <v>22003</v>
      </c>
      <c r="Z2473" t="s">
        <v>28441</v>
      </c>
      <c r="AA2473">
        <v>0.33458630303735842</v>
      </c>
      <c r="AB2473" t="str">
        <f>HYPERLINK("Melting_Curves/meltCurve_P30154_PPP2R1B.pdf", "Melting_Curves/meltCurve_P30154_PPP2R1B.pdf")</f>
        <v>Melting_Curves/meltCurve_P30154_PPP2R1B.pdf</v>
      </c>
    </row>
    <row r="2474" spans="1:28" x14ac:dyDescent="0.25">
      <c r="A2474" t="s">
        <v>2478</v>
      </c>
      <c r="B2474">
        <v>0.99472303558308395</v>
      </c>
      <c r="C2474">
        <v>0.79430240124895302</v>
      </c>
      <c r="D2474">
        <v>0.78856630386736704</v>
      </c>
      <c r="E2474">
        <v>0.51996547383571201</v>
      </c>
      <c r="F2474">
        <v>0.378696242034681</v>
      </c>
      <c r="G2474">
        <v>0.18125871439920299</v>
      </c>
      <c r="H2474">
        <v>9.9116896340000496E-2</v>
      </c>
      <c r="I2474">
        <v>6.7379869561452199E-2</v>
      </c>
      <c r="J2474">
        <v>8.1936492445644299E-2</v>
      </c>
      <c r="K2474">
        <v>6.4390096454052997E-2</v>
      </c>
      <c r="L2474">
        <v>520.97744064449603</v>
      </c>
      <c r="M2474">
        <v>11.068414557884999</v>
      </c>
      <c r="N2474">
        <v>47.1546427858854</v>
      </c>
      <c r="O2474">
        <v>45.610713965146502</v>
      </c>
      <c r="P2474">
        <v>-6.0082784157731897E-2</v>
      </c>
      <c r="Q2474">
        <v>9.96926954415462E-3</v>
      </c>
      <c r="R2474">
        <v>0.98629973813356797</v>
      </c>
      <c r="S2474" t="s">
        <v>9042</v>
      </c>
      <c r="T2474" t="s">
        <v>13134</v>
      </c>
      <c r="U2474" t="s">
        <v>13134</v>
      </c>
      <c r="V2474" t="s">
        <v>13134</v>
      </c>
      <c r="W2474" t="s">
        <v>15560</v>
      </c>
      <c r="X2474">
        <v>11</v>
      </c>
      <c r="Y2474" t="s">
        <v>22004</v>
      </c>
      <c r="Z2474" t="s">
        <v>28442</v>
      </c>
      <c r="AA2474">
        <v>0.37897381067176311</v>
      </c>
      <c r="AB2474" t="str">
        <f>HYPERLINK("Melting_Curves/meltCurve_P30260_CDC27.pdf", "Melting_Curves/meltCurve_P30260_CDC27.pdf")</f>
        <v>Melting_Curves/meltCurve_P30260_CDC27.pdf</v>
      </c>
    </row>
    <row r="2475" spans="1:28" x14ac:dyDescent="0.25">
      <c r="A2475" t="s">
        <v>2479</v>
      </c>
      <c r="B2475">
        <v>0.99472303558308395</v>
      </c>
      <c r="C2475">
        <v>0.71303730662139897</v>
      </c>
      <c r="D2475">
        <v>1.0538948795148699</v>
      </c>
      <c r="E2475">
        <v>0.82857988278444406</v>
      </c>
      <c r="F2475">
        <v>0.65436607311835704</v>
      </c>
      <c r="G2475">
        <v>0.34422348068832698</v>
      </c>
      <c r="H2475">
        <v>7.7079140338918606E-2</v>
      </c>
      <c r="I2475">
        <v>0.111954672872056</v>
      </c>
      <c r="J2475">
        <v>4.8054248615368597E-2</v>
      </c>
      <c r="K2475">
        <v>7.5647114494252904E-2</v>
      </c>
      <c r="L2475">
        <v>977.05936506080695</v>
      </c>
      <c r="M2475">
        <v>19.016782275505999</v>
      </c>
      <c r="N2475">
        <v>51.585173131781801</v>
      </c>
      <c r="O2475">
        <v>50.820764608881703</v>
      </c>
      <c r="P2475">
        <v>-9.0125273321763802E-2</v>
      </c>
      <c r="Q2475">
        <v>3.6629170048411097E-2</v>
      </c>
      <c r="R2475">
        <v>0.933595805209679</v>
      </c>
      <c r="S2475" t="s">
        <v>9043</v>
      </c>
      <c r="T2475" t="s">
        <v>13134</v>
      </c>
      <c r="U2475" t="s">
        <v>13134</v>
      </c>
      <c r="V2475" t="s">
        <v>13134</v>
      </c>
      <c r="W2475" t="s">
        <v>15561</v>
      </c>
      <c r="X2475">
        <v>2</v>
      </c>
      <c r="Y2475" t="s">
        <v>22005</v>
      </c>
      <c r="Z2475" t="s">
        <v>28443</v>
      </c>
      <c r="AA2475">
        <v>0.5119833876001374</v>
      </c>
      <c r="AB2475" t="str">
        <f>HYPERLINK("Melting_Curves/meltCurve_P30281_CCND3.pdf", "Melting_Curves/meltCurve_P30281_CCND3.pdf")</f>
        <v>Melting_Curves/meltCurve_P30281_CCND3.pdf</v>
      </c>
    </row>
    <row r="2476" spans="1:28" x14ac:dyDescent="0.25">
      <c r="A2476" t="s">
        <v>2480</v>
      </c>
      <c r="B2476">
        <v>0.99472303558308395</v>
      </c>
      <c r="C2476">
        <v>1.06236761969141</v>
      </c>
      <c r="D2476">
        <v>0.84892359040384202</v>
      </c>
      <c r="E2476">
        <v>0.67039726161734503</v>
      </c>
      <c r="F2476">
        <v>0.56028420651256905</v>
      </c>
      <c r="G2476">
        <v>0.39449639762764699</v>
      </c>
      <c r="H2476">
        <v>0.23756752130532699</v>
      </c>
      <c r="I2476">
        <v>0.12716503737270199</v>
      </c>
      <c r="J2476">
        <v>0.10633279072415</v>
      </c>
      <c r="K2476">
        <v>0.108475205176777</v>
      </c>
      <c r="L2476">
        <v>554.25948406138195</v>
      </c>
      <c r="M2476">
        <v>10.9403259385911</v>
      </c>
      <c r="N2476">
        <v>50.9130098538567</v>
      </c>
      <c r="O2476">
        <v>49.057604858113599</v>
      </c>
      <c r="P2476">
        <v>-5.43077472639159E-2</v>
      </c>
      <c r="Q2476">
        <v>2.6248232716988999E-2</v>
      </c>
      <c r="R2476">
        <v>0.98416827337826196</v>
      </c>
      <c r="S2476" t="s">
        <v>9044</v>
      </c>
      <c r="T2476" t="s">
        <v>13134</v>
      </c>
      <c r="U2476" t="s">
        <v>13134</v>
      </c>
      <c r="V2476" t="s">
        <v>13134</v>
      </c>
      <c r="W2476" t="s">
        <v>15562</v>
      </c>
      <c r="X2476">
        <v>7</v>
      </c>
      <c r="Y2476" t="s">
        <v>22006</v>
      </c>
      <c r="Z2476" t="s">
        <v>28444</v>
      </c>
      <c r="AA2476">
        <v>0.49822353132011082</v>
      </c>
      <c r="AB2476" t="str">
        <f>HYPERLINK("Melting_Curves/meltCurve_P30291_WEE1.pdf", "Melting_Curves/meltCurve_P30291_WEE1.pdf")</f>
        <v>Melting_Curves/meltCurve_P30291_WEE1.pdf</v>
      </c>
    </row>
    <row r="2477" spans="1:28" x14ac:dyDescent="0.25">
      <c r="A2477" t="s">
        <v>2481</v>
      </c>
      <c r="B2477">
        <v>0.99472303558308395</v>
      </c>
      <c r="C2477">
        <v>0.898247482479408</v>
      </c>
      <c r="D2477">
        <v>0.67748960343331399</v>
      </c>
      <c r="E2477">
        <v>0.44422333964043798</v>
      </c>
      <c r="F2477">
        <v>0.267490663815108</v>
      </c>
      <c r="G2477">
        <v>0.17811401097664001</v>
      </c>
      <c r="H2477">
        <v>0.13669350179734499</v>
      </c>
      <c r="I2477">
        <v>0.13266895244124999</v>
      </c>
      <c r="J2477">
        <v>0.14108236053833101</v>
      </c>
      <c r="K2477">
        <v>9.5249965375157494E-2</v>
      </c>
      <c r="L2477">
        <v>685.53806522818695</v>
      </c>
      <c r="M2477">
        <v>15.267789841530201</v>
      </c>
      <c r="N2477">
        <v>45.664321419830003</v>
      </c>
      <c r="O2477">
        <v>44.151772728080402</v>
      </c>
      <c r="P2477">
        <v>-7.67205153514572E-2</v>
      </c>
      <c r="Q2477">
        <v>0.112634197001574</v>
      </c>
      <c r="R2477">
        <v>0.99757523785152702</v>
      </c>
      <c r="S2477" t="s">
        <v>9045</v>
      </c>
      <c r="T2477" t="s">
        <v>13134</v>
      </c>
      <c r="U2477" t="s">
        <v>13134</v>
      </c>
      <c r="V2477" t="s">
        <v>13134</v>
      </c>
      <c r="W2477" t="s">
        <v>15563</v>
      </c>
      <c r="X2477">
        <v>6</v>
      </c>
      <c r="Y2477" t="s">
        <v>22007</v>
      </c>
      <c r="Z2477" t="s">
        <v>28445</v>
      </c>
      <c r="AA2477">
        <v>0.36677998344538509</v>
      </c>
      <c r="AB2477" t="str">
        <f>HYPERLINK("Melting_Curves/meltCurve_P30307_CDC25C.pdf", "Melting_Curves/meltCurve_P30307_CDC25C.pdf")</f>
        <v>Melting_Curves/meltCurve_P30307_CDC25C.pdf</v>
      </c>
    </row>
    <row r="2478" spans="1:28" x14ac:dyDescent="0.25">
      <c r="A2478" t="s">
        <v>2482</v>
      </c>
      <c r="B2478">
        <v>0.99472303558308395</v>
      </c>
      <c r="C2478">
        <v>0.81303548815756799</v>
      </c>
      <c r="D2478">
        <v>1.0845863786077401</v>
      </c>
      <c r="E2478">
        <v>0.80748486739257896</v>
      </c>
      <c r="F2478">
        <v>0.44198175308607301</v>
      </c>
      <c r="G2478">
        <v>0.234285659412244</v>
      </c>
      <c r="H2478">
        <v>9.9332248647844901E-2</v>
      </c>
      <c r="I2478">
        <v>5.8285492179802799E-2</v>
      </c>
      <c r="J2478">
        <v>7.6215228838992594E-2</v>
      </c>
      <c r="K2478">
        <v>4.7713986828061203E-2</v>
      </c>
      <c r="L2478">
        <v>1107.0605582555399</v>
      </c>
      <c r="M2478">
        <v>22.3317876671689</v>
      </c>
      <c r="N2478">
        <v>49.853112163838901</v>
      </c>
      <c r="O2478">
        <v>49.180929043998503</v>
      </c>
      <c r="P2478">
        <v>-0.10683462634892101</v>
      </c>
      <c r="Q2478">
        <v>5.8899249201055097E-2</v>
      </c>
      <c r="R2478">
        <v>0.968977668546676</v>
      </c>
      <c r="S2478" t="s">
        <v>9046</v>
      </c>
      <c r="T2478" t="s">
        <v>13134</v>
      </c>
      <c r="U2478" t="s">
        <v>13134</v>
      </c>
      <c r="V2478" t="s">
        <v>13134</v>
      </c>
      <c r="W2478" t="s">
        <v>15564</v>
      </c>
      <c r="X2478">
        <v>15</v>
      </c>
      <c r="Y2478" t="s">
        <v>22008</v>
      </c>
      <c r="Z2478" t="s">
        <v>28446</v>
      </c>
      <c r="AA2478">
        <v>0.46346701652876632</v>
      </c>
      <c r="AB2478" t="str">
        <f>HYPERLINK("Melting_Curves/meltCurve_P30405_PPIF.pdf", "Melting_Curves/meltCurve_P30405_PPIF.pdf")</f>
        <v>Melting_Curves/meltCurve_P30405_PPIF.pdf</v>
      </c>
    </row>
    <row r="2479" spans="1:28" x14ac:dyDescent="0.25">
      <c r="A2479" t="s">
        <v>2483</v>
      </c>
      <c r="B2479">
        <v>0.99472303558308395</v>
      </c>
      <c r="C2479">
        <v>0.91898345554312499</v>
      </c>
      <c r="D2479">
        <v>1.0832152887245901</v>
      </c>
      <c r="E2479">
        <v>0.92160553602745099</v>
      </c>
      <c r="F2479">
        <v>0.62327915635707598</v>
      </c>
      <c r="G2479">
        <v>0.22960799092343601</v>
      </c>
      <c r="H2479">
        <v>5.3500331301616098E-2</v>
      </c>
      <c r="I2479">
        <v>3.3669965807682702E-2</v>
      </c>
      <c r="J2479">
        <v>2.7896603525383298E-2</v>
      </c>
      <c r="K2479">
        <v>2.7892268901735601E-2</v>
      </c>
      <c r="L2479">
        <v>1386.2269554587899</v>
      </c>
      <c r="M2479">
        <v>27.133822112841099</v>
      </c>
      <c r="N2479">
        <v>51.170968741909299</v>
      </c>
      <c r="O2479">
        <v>50.813451016033603</v>
      </c>
      <c r="P2479">
        <v>-0.13064421320630701</v>
      </c>
      <c r="Q2479">
        <v>2.1380967698296598E-2</v>
      </c>
      <c r="R2479">
        <v>0.992085553106689</v>
      </c>
      <c r="S2479" t="s">
        <v>9047</v>
      </c>
      <c r="T2479" t="s">
        <v>13134</v>
      </c>
      <c r="U2479" t="s">
        <v>13134</v>
      </c>
      <c r="V2479" t="s">
        <v>13134</v>
      </c>
      <c r="W2479" t="s">
        <v>15565</v>
      </c>
      <c r="X2479">
        <v>16</v>
      </c>
      <c r="Y2479" t="s">
        <v>22009</v>
      </c>
      <c r="Z2479" t="s">
        <v>28447</v>
      </c>
      <c r="AA2479">
        <v>0.4883645975074743</v>
      </c>
      <c r="AB2479" t="str">
        <f>HYPERLINK("Melting_Curves/meltCurve_P30419_NMT1.pdf", "Melting_Curves/meltCurve_P30419_NMT1.pdf")</f>
        <v>Melting_Curves/meltCurve_P30419_NMT1.pdf</v>
      </c>
    </row>
    <row r="2480" spans="1:28" x14ac:dyDescent="0.25">
      <c r="A2480" t="s">
        <v>2484</v>
      </c>
      <c r="B2480">
        <v>0.99472303558308395</v>
      </c>
      <c r="C2480">
        <v>1.0091802792486999</v>
      </c>
      <c r="D2480">
        <v>0.98520013168171405</v>
      </c>
      <c r="E2480">
        <v>0.82732088950353999</v>
      </c>
      <c r="F2480">
        <v>0.26088149109127301</v>
      </c>
      <c r="G2480">
        <v>0.12100850718449099</v>
      </c>
      <c r="H2480">
        <v>8.0556690008378798E-2</v>
      </c>
      <c r="I2480">
        <v>6.7601327018140006E-2</v>
      </c>
      <c r="J2480">
        <v>7.6197335153139603E-2</v>
      </c>
      <c r="K2480">
        <v>5.9727240645601198E-2</v>
      </c>
      <c r="L2480">
        <v>1806.8438707623</v>
      </c>
      <c r="M2480">
        <v>37.329171968490598</v>
      </c>
      <c r="N2480">
        <v>48.614864704708999</v>
      </c>
      <c r="O2480">
        <v>48.264722554856398</v>
      </c>
      <c r="P2480">
        <v>-0.17884173678134499</v>
      </c>
      <c r="Q2480">
        <v>7.5069509456557895E-2</v>
      </c>
      <c r="R2480">
        <v>0.99935678404200001</v>
      </c>
      <c r="S2480" t="s">
        <v>9048</v>
      </c>
      <c r="T2480" t="s">
        <v>13134</v>
      </c>
      <c r="U2480" t="s">
        <v>13134</v>
      </c>
      <c r="V2480" t="s">
        <v>13134</v>
      </c>
      <c r="W2480" t="s">
        <v>15566</v>
      </c>
      <c r="X2480">
        <v>22</v>
      </c>
      <c r="Y2480" t="s">
        <v>22010</v>
      </c>
      <c r="Z2480" t="s">
        <v>28448</v>
      </c>
      <c r="AA2480">
        <v>0.43019214614790308</v>
      </c>
      <c r="AB2480" t="str">
        <f>HYPERLINK("Melting_Curves/meltCurve_P30519_HMOX2.pdf", "Melting_Curves/meltCurve_P30519_HMOX2.pdf")</f>
        <v>Melting_Curves/meltCurve_P30519_HMOX2.pdf</v>
      </c>
    </row>
    <row r="2481" spans="1:28" x14ac:dyDescent="0.25">
      <c r="A2481" t="s">
        <v>2485</v>
      </c>
      <c r="B2481">
        <v>0.99472303558308395</v>
      </c>
      <c r="C2481">
        <v>0.91296838132777003</v>
      </c>
      <c r="D2481">
        <v>0.99094718704360496</v>
      </c>
      <c r="E2481">
        <v>0.91995978575369997</v>
      </c>
      <c r="F2481">
        <v>0.77071812848221899</v>
      </c>
      <c r="G2481">
        <v>0.66689652469688698</v>
      </c>
      <c r="H2481">
        <v>0.47057588572415099</v>
      </c>
      <c r="I2481">
        <v>0.17827881564286699</v>
      </c>
      <c r="J2481">
        <v>8.7820343634828699E-2</v>
      </c>
      <c r="K2481">
        <v>0.109823758897104</v>
      </c>
      <c r="L2481">
        <v>784.62520899125798</v>
      </c>
      <c r="M2481">
        <v>14.0511211703919</v>
      </c>
      <c r="N2481">
        <v>55.840754954565398</v>
      </c>
      <c r="O2481">
        <v>54.7462089953559</v>
      </c>
      <c r="P2481">
        <v>-6.4173196302921398E-2</v>
      </c>
      <c r="Q2481">
        <v>0</v>
      </c>
      <c r="R2481">
        <v>0.98161921236226901</v>
      </c>
      <c r="S2481" t="s">
        <v>9049</v>
      </c>
      <c r="T2481" t="s">
        <v>13134</v>
      </c>
      <c r="U2481" t="s">
        <v>13134</v>
      </c>
      <c r="V2481" t="s">
        <v>13134</v>
      </c>
      <c r="W2481" t="s">
        <v>15567</v>
      </c>
      <c r="X2481">
        <v>22</v>
      </c>
      <c r="Y2481" t="s">
        <v>22011</v>
      </c>
      <c r="Z2481" t="s">
        <v>28449</v>
      </c>
      <c r="AA2481">
        <v>0.63983102224550092</v>
      </c>
      <c r="AB2481" t="str">
        <f>HYPERLINK("Melting_Curves/meltCurve_P30520_ADSS.pdf", "Melting_Curves/meltCurve_P30520_ADSS.pdf")</f>
        <v>Melting_Curves/meltCurve_P30520_ADSS.pdf</v>
      </c>
    </row>
    <row r="2482" spans="1:28" x14ac:dyDescent="0.25">
      <c r="A2482" t="s">
        <v>2486</v>
      </c>
      <c r="B2482">
        <v>0.99472303558308395</v>
      </c>
      <c r="C2482">
        <v>0.94910911355922101</v>
      </c>
      <c r="D2482">
        <v>1.0355860217316499</v>
      </c>
      <c r="E2482">
        <v>0.89936223105757296</v>
      </c>
      <c r="F2482">
        <v>0.654713074202808</v>
      </c>
      <c r="G2482">
        <v>0.55678460290738097</v>
      </c>
      <c r="H2482">
        <v>0.452798474792317</v>
      </c>
      <c r="I2482">
        <v>0.43327089944651898</v>
      </c>
      <c r="J2482">
        <v>0.57823026557123003</v>
      </c>
      <c r="K2482">
        <v>0.478563615117857</v>
      </c>
      <c r="L2482">
        <v>1412.12177300908</v>
      </c>
      <c r="M2482">
        <v>28.823940073564099</v>
      </c>
      <c r="N2482">
        <v>56.617974838425603</v>
      </c>
      <c r="O2482">
        <v>48.757272514647497</v>
      </c>
      <c r="P2482">
        <v>-7.5418973742722495E-2</v>
      </c>
      <c r="Q2482">
        <v>0.48970244971119598</v>
      </c>
      <c r="R2482">
        <v>0.96389596862621896</v>
      </c>
      <c r="S2482" t="s">
        <v>9050</v>
      </c>
      <c r="T2482" t="s">
        <v>13134</v>
      </c>
      <c r="U2482" t="s">
        <v>13134</v>
      </c>
      <c r="V2482" t="s">
        <v>13134</v>
      </c>
      <c r="W2482" t="s">
        <v>15568</v>
      </c>
      <c r="X2482">
        <v>25</v>
      </c>
      <c r="Y2482" t="s">
        <v>22012</v>
      </c>
      <c r="Z2482" t="s">
        <v>28450</v>
      </c>
      <c r="AA2482">
        <v>0.69700553587003355</v>
      </c>
      <c r="AB2482" t="str">
        <f>HYPERLINK("Melting_Curves/meltCurve_P30533_LRPAP1.pdf", "Melting_Curves/meltCurve_P30533_LRPAP1.pdf")</f>
        <v>Melting_Curves/meltCurve_P30533_LRPAP1.pdf</v>
      </c>
    </row>
    <row r="2483" spans="1:28" x14ac:dyDescent="0.25">
      <c r="A2483" t="s">
        <v>2487</v>
      </c>
      <c r="B2483">
        <v>0.99472303558308395</v>
      </c>
      <c r="C2483">
        <v>0.95251785927156796</v>
      </c>
      <c r="D2483">
        <v>0.83176002905197499</v>
      </c>
      <c r="E2483">
        <v>0.80356042460091504</v>
      </c>
      <c r="F2483">
        <v>0.83848065913544201</v>
      </c>
      <c r="G2483">
        <v>0.59736061368555404</v>
      </c>
      <c r="H2483">
        <v>0.441966863005541</v>
      </c>
      <c r="I2483">
        <v>0.33167113972004503</v>
      </c>
      <c r="J2483">
        <v>7.7798857330504997E-2</v>
      </c>
      <c r="K2483">
        <v>0.13527417950508799</v>
      </c>
      <c r="L2483">
        <v>586.01643584435499</v>
      </c>
      <c r="M2483">
        <v>10.5424465724297</v>
      </c>
      <c r="N2483">
        <v>55.5863580700439</v>
      </c>
      <c r="O2483">
        <v>53.698121854273197</v>
      </c>
      <c r="P2483">
        <v>-4.9101506764805E-2</v>
      </c>
      <c r="Q2483">
        <v>0</v>
      </c>
      <c r="R2483">
        <v>0.95335163350541097</v>
      </c>
      <c r="S2483" t="s">
        <v>9051</v>
      </c>
      <c r="T2483" t="s">
        <v>13134</v>
      </c>
      <c r="U2483" t="s">
        <v>13134</v>
      </c>
      <c r="V2483" t="s">
        <v>13134</v>
      </c>
      <c r="W2483" t="s">
        <v>15569</v>
      </c>
      <c r="X2483">
        <v>22</v>
      </c>
      <c r="Y2483" t="s">
        <v>22013</v>
      </c>
      <c r="Z2483" t="s">
        <v>28451</v>
      </c>
      <c r="AA2483">
        <v>0.62932541952618348</v>
      </c>
      <c r="AB2483" t="str">
        <f>HYPERLINK("Melting_Curves/meltCurve_P30566_ADSL.pdf", "Melting_Curves/meltCurve_P30566_ADSL.pdf")</f>
        <v>Melting_Curves/meltCurve_P30566_ADSL.pdf</v>
      </c>
    </row>
    <row r="2484" spans="1:28" x14ac:dyDescent="0.25">
      <c r="A2484" t="s">
        <v>2488</v>
      </c>
      <c r="B2484">
        <v>0.99472303558308395</v>
      </c>
      <c r="C2484">
        <v>0.97473992535963705</v>
      </c>
      <c r="D2484">
        <v>0.85105251016976102</v>
      </c>
      <c r="E2484">
        <v>0.78729578964212599</v>
      </c>
      <c r="F2484">
        <v>0.81073160316032999</v>
      </c>
      <c r="G2484">
        <v>0.50838757719876504</v>
      </c>
      <c r="H2484">
        <v>0.319804366551381</v>
      </c>
      <c r="I2484">
        <v>0.14802262367074101</v>
      </c>
      <c r="J2484">
        <v>7.4301991125625494E-2</v>
      </c>
      <c r="K2484">
        <v>9.7719882178697703E-2</v>
      </c>
      <c r="L2484">
        <v>671.23297362243795</v>
      </c>
      <c r="M2484">
        <v>12.4711826407076</v>
      </c>
      <c r="N2484">
        <v>53.822714286682903</v>
      </c>
      <c r="O2484">
        <v>52.495034349008797</v>
      </c>
      <c r="P2484">
        <v>-5.9404532566542899E-2</v>
      </c>
      <c r="Q2484">
        <v>0</v>
      </c>
      <c r="R2484">
        <v>0.97331676440640602</v>
      </c>
      <c r="S2484" t="s">
        <v>9052</v>
      </c>
      <c r="T2484" t="s">
        <v>13134</v>
      </c>
      <c r="U2484" t="s">
        <v>13134</v>
      </c>
      <c r="V2484" t="s">
        <v>13134</v>
      </c>
      <c r="W2484" t="s">
        <v>15570</v>
      </c>
      <c r="X2484">
        <v>31</v>
      </c>
      <c r="Y2484" t="s">
        <v>22014</v>
      </c>
      <c r="Z2484" t="s">
        <v>28452</v>
      </c>
      <c r="AA2484">
        <v>0.5790680765541919</v>
      </c>
      <c r="AB2484" t="str">
        <f>HYPERLINK("Melting_Curves/meltCurve_P30613_PKLR.pdf", "Melting_Curves/meltCurve_P30613_PKLR.pdf")</f>
        <v>Melting_Curves/meltCurve_P30613_PKLR.pdf</v>
      </c>
    </row>
    <row r="2485" spans="1:28" x14ac:dyDescent="0.25">
      <c r="A2485" t="s">
        <v>2489</v>
      </c>
      <c r="B2485">
        <v>0.99472303558308395</v>
      </c>
      <c r="C2485">
        <v>1.02995658285072</v>
      </c>
      <c r="D2485">
        <v>0.99952683755709204</v>
      </c>
      <c r="E2485">
        <v>0.90197801452101101</v>
      </c>
      <c r="F2485">
        <v>0.656446841309407</v>
      </c>
      <c r="G2485">
        <v>0.42096280257153301</v>
      </c>
      <c r="H2485">
        <v>0.27628404414127999</v>
      </c>
      <c r="I2485">
        <v>0.18408295310417</v>
      </c>
      <c r="J2485">
        <v>0.25707983178487498</v>
      </c>
      <c r="K2485">
        <v>0.27502548564437401</v>
      </c>
      <c r="L2485">
        <v>1139.6502935113699</v>
      </c>
      <c r="M2485">
        <v>22.455750243610101</v>
      </c>
      <c r="N2485">
        <v>52.197655565425599</v>
      </c>
      <c r="O2485">
        <v>50.353605483205797</v>
      </c>
      <c r="P2485">
        <v>-8.5663160071673905E-2</v>
      </c>
      <c r="Q2485">
        <v>0.231669461532091</v>
      </c>
      <c r="R2485">
        <v>0.99295955229020605</v>
      </c>
      <c r="S2485" t="s">
        <v>9053</v>
      </c>
      <c r="T2485" t="s">
        <v>13134</v>
      </c>
      <c r="U2485" t="s">
        <v>13134</v>
      </c>
      <c r="V2485" t="s">
        <v>13134</v>
      </c>
      <c r="W2485" t="s">
        <v>15571</v>
      </c>
      <c r="X2485">
        <v>58</v>
      </c>
      <c r="Y2485" t="s">
        <v>22015</v>
      </c>
      <c r="Z2485" t="s">
        <v>28453</v>
      </c>
      <c r="AA2485">
        <v>0.59208301548245512</v>
      </c>
      <c r="AB2485" t="str">
        <f>HYPERLINK("Melting_Curves/meltCurve_P30622_1_CLIP1.pdf", "Melting_Curves/meltCurve_P30622_1_CLIP1.pdf")</f>
        <v>Melting_Curves/meltCurve_P30622_1_CLIP1.pdf</v>
      </c>
    </row>
    <row r="2486" spans="1:28" x14ac:dyDescent="0.25">
      <c r="A2486" t="s">
        <v>2490</v>
      </c>
      <c r="B2486">
        <v>0.99472303558308395</v>
      </c>
      <c r="C2486">
        <v>0.96218825439892297</v>
      </c>
      <c r="D2486">
        <v>1.0328037558615399</v>
      </c>
      <c r="E2486">
        <v>1.0283118641937901</v>
      </c>
      <c r="F2486">
        <v>0.88720171335215703</v>
      </c>
      <c r="G2486">
        <v>0.72221758765071198</v>
      </c>
      <c r="H2486">
        <v>0.72556282532768102</v>
      </c>
      <c r="I2486">
        <v>0.811484493815537</v>
      </c>
      <c r="J2486">
        <v>1.0824733787432601</v>
      </c>
      <c r="K2486">
        <v>0.75572317496472097</v>
      </c>
      <c r="L2486">
        <v>12524.3791187842</v>
      </c>
      <c r="M2486">
        <v>250</v>
      </c>
      <c r="O2486">
        <v>50.094315045006297</v>
      </c>
      <c r="P2486">
        <v>-0.225209840437987</v>
      </c>
      <c r="Q2486">
        <v>0.81949229315707295</v>
      </c>
      <c r="R2486">
        <v>0.44524942476934798</v>
      </c>
      <c r="S2486" t="s">
        <v>9054</v>
      </c>
      <c r="T2486" t="s">
        <v>13134</v>
      </c>
      <c r="U2486" t="s">
        <v>13134</v>
      </c>
      <c r="V2486" t="s">
        <v>13134</v>
      </c>
      <c r="W2486" t="s">
        <v>15572</v>
      </c>
      <c r="X2486">
        <v>5</v>
      </c>
      <c r="Y2486" t="s">
        <v>22016</v>
      </c>
      <c r="Z2486" t="s">
        <v>28454</v>
      </c>
      <c r="AA2486">
        <v>0.89831491893543258</v>
      </c>
      <c r="AB2486" t="str">
        <f>HYPERLINK("Melting_Curves/meltCurve_P30711_GSTT1.pdf", "Melting_Curves/meltCurve_P30711_GSTT1.pdf")</f>
        <v>Melting_Curves/meltCurve_P30711_GSTT1.pdf</v>
      </c>
    </row>
    <row r="2487" spans="1:28" x14ac:dyDescent="0.25">
      <c r="A2487" t="s">
        <v>2491</v>
      </c>
      <c r="B2487">
        <v>0.99472303558308395</v>
      </c>
      <c r="C2487">
        <v>0.99158632869915997</v>
      </c>
      <c r="D2487">
        <v>1.0659218803403401</v>
      </c>
      <c r="E2487">
        <v>0.96983477097420601</v>
      </c>
      <c r="F2487">
        <v>0.71270599164340898</v>
      </c>
      <c r="G2487">
        <v>0.31752125158046302</v>
      </c>
      <c r="H2487">
        <v>8.7309278600448695E-2</v>
      </c>
      <c r="I2487">
        <v>6.6173201433264106E-2</v>
      </c>
      <c r="J2487">
        <v>7.1065365207270706E-2</v>
      </c>
      <c r="K2487">
        <v>5.71982294185246E-2</v>
      </c>
      <c r="L2487">
        <v>1456.0954883966299</v>
      </c>
      <c r="M2487">
        <v>28.111457088329999</v>
      </c>
      <c r="N2487">
        <v>52.009271636882303</v>
      </c>
      <c r="O2487">
        <v>51.537211853215602</v>
      </c>
      <c r="P2487">
        <v>-0.128982547780887</v>
      </c>
      <c r="Q2487">
        <v>5.4143951326261902E-2</v>
      </c>
      <c r="R2487">
        <v>0.99664982177112704</v>
      </c>
      <c r="S2487" t="s">
        <v>9055</v>
      </c>
      <c r="T2487" t="s">
        <v>13134</v>
      </c>
      <c r="U2487" t="s">
        <v>13134</v>
      </c>
      <c r="V2487" t="s">
        <v>13134</v>
      </c>
      <c r="W2487" t="s">
        <v>15573</v>
      </c>
      <c r="X2487">
        <v>17</v>
      </c>
      <c r="Y2487" t="s">
        <v>22017</v>
      </c>
      <c r="Z2487" t="s">
        <v>28455</v>
      </c>
      <c r="AA2487">
        <v>0.52741913805593987</v>
      </c>
      <c r="AB2487" t="str">
        <f>HYPERLINK("Melting_Curves/meltCurve_P30740_SERPINB1.pdf", "Melting_Curves/meltCurve_P30740_SERPINB1.pdf")</f>
        <v>Melting_Curves/meltCurve_P30740_SERPINB1.pdf</v>
      </c>
    </row>
    <row r="2488" spans="1:28" x14ac:dyDescent="0.25">
      <c r="A2488" t="s">
        <v>2492</v>
      </c>
      <c r="B2488">
        <v>0.99472303558308395</v>
      </c>
      <c r="C2488">
        <v>1.04986604427872</v>
      </c>
      <c r="D2488">
        <v>1.00461417958875</v>
      </c>
      <c r="E2488">
        <v>0.76956150472041795</v>
      </c>
      <c r="F2488">
        <v>0.74965036624530001</v>
      </c>
      <c r="G2488">
        <v>0.50405601883613105</v>
      </c>
      <c r="H2488">
        <v>0.29534184591442197</v>
      </c>
      <c r="I2488">
        <v>0.40493361011345302</v>
      </c>
      <c r="J2488">
        <v>0.47310720802357398</v>
      </c>
      <c r="K2488">
        <v>0.49032200364806999</v>
      </c>
      <c r="L2488">
        <v>987.69732538576898</v>
      </c>
      <c r="M2488">
        <v>20.012769298620501</v>
      </c>
      <c r="N2488">
        <v>54.054501468501698</v>
      </c>
      <c r="O2488">
        <v>48.868502323389698</v>
      </c>
      <c r="P2488">
        <v>-6.0172570165623697E-2</v>
      </c>
      <c r="Q2488">
        <v>0.412285652436155</v>
      </c>
      <c r="R2488">
        <v>0.92283398113623005</v>
      </c>
      <c r="S2488" t="s">
        <v>9056</v>
      </c>
      <c r="T2488" t="s">
        <v>13134</v>
      </c>
      <c r="U2488" t="s">
        <v>13134</v>
      </c>
      <c r="V2488" t="s">
        <v>13134</v>
      </c>
      <c r="W2488" t="s">
        <v>15574</v>
      </c>
      <c r="X2488">
        <v>2</v>
      </c>
      <c r="Y2488" t="s">
        <v>22018</v>
      </c>
      <c r="Z2488" t="s">
        <v>28456</v>
      </c>
      <c r="AA2488">
        <v>0.66203034780036008</v>
      </c>
      <c r="AB2488" t="str">
        <f>HYPERLINK("Melting_Curves/meltCurve_P30825_SLC7A1.pdf", "Melting_Curves/meltCurve_P30825_SLC7A1.pdf")</f>
        <v>Melting_Curves/meltCurve_P30825_SLC7A1.pdf</v>
      </c>
    </row>
    <row r="2489" spans="1:28" x14ac:dyDescent="0.25">
      <c r="A2489" t="s">
        <v>2493</v>
      </c>
      <c r="B2489">
        <v>0.99472303558308395</v>
      </c>
      <c r="C2489">
        <v>0.96330645565211304</v>
      </c>
      <c r="D2489">
        <v>0.81524576688346095</v>
      </c>
      <c r="E2489">
        <v>0.73407963282244804</v>
      </c>
      <c r="F2489">
        <v>0.64853173324373004</v>
      </c>
      <c r="G2489">
        <v>0.34191749156471501</v>
      </c>
      <c r="H2489">
        <v>0.13440216826146201</v>
      </c>
      <c r="I2489">
        <v>9.1281785451457195E-2</v>
      </c>
      <c r="J2489">
        <v>9.2638646917477099E-2</v>
      </c>
      <c r="K2489">
        <v>9.5214332276669297E-2</v>
      </c>
      <c r="L2489">
        <v>606.58462293771197</v>
      </c>
      <c r="M2489">
        <v>11.9003449880746</v>
      </c>
      <c r="N2489">
        <v>50.972019579708501</v>
      </c>
      <c r="O2489">
        <v>49.5966170623322</v>
      </c>
      <c r="P2489">
        <v>-6.0000604179371898E-2</v>
      </c>
      <c r="Q2489">
        <v>0</v>
      </c>
      <c r="R2489">
        <v>0.97928861371517695</v>
      </c>
      <c r="S2489" t="s">
        <v>9057</v>
      </c>
      <c r="T2489" t="s">
        <v>13134</v>
      </c>
      <c r="U2489" t="s">
        <v>13134</v>
      </c>
      <c r="V2489" t="s">
        <v>13134</v>
      </c>
      <c r="W2489" t="s">
        <v>15575</v>
      </c>
      <c r="X2489">
        <v>19</v>
      </c>
      <c r="Y2489" t="s">
        <v>22019</v>
      </c>
      <c r="Z2489" t="s">
        <v>28457</v>
      </c>
      <c r="AA2489">
        <v>0.49204253901061618</v>
      </c>
      <c r="AB2489" t="str">
        <f>HYPERLINK("Melting_Curves/meltCurve_P30837_ALDH1B1.pdf", "Melting_Curves/meltCurve_P30837_ALDH1B1.pdf")</f>
        <v>Melting_Curves/meltCurve_P30837_ALDH1B1.pdf</v>
      </c>
    </row>
    <row r="2490" spans="1:28" x14ac:dyDescent="0.25">
      <c r="A2490" t="s">
        <v>2494</v>
      </c>
      <c r="B2490">
        <v>0.99472303558308395</v>
      </c>
      <c r="C2490">
        <v>0.97258455342222205</v>
      </c>
      <c r="D2490">
        <v>0.95444727441757204</v>
      </c>
      <c r="E2490">
        <v>0.873607444192946</v>
      </c>
      <c r="F2490">
        <v>0.57853542881101006</v>
      </c>
      <c r="G2490">
        <v>0.50425224017785297</v>
      </c>
      <c r="H2490">
        <v>0.32766854178987598</v>
      </c>
      <c r="I2490">
        <v>0.22480087051685699</v>
      </c>
      <c r="J2490">
        <v>9.0521096387847694E-2</v>
      </c>
      <c r="K2490">
        <v>8.74487927312248E-2</v>
      </c>
      <c r="L2490">
        <v>591.09601189204102</v>
      </c>
      <c r="M2490">
        <v>11.101015568485399</v>
      </c>
      <c r="N2490">
        <v>53.247022283217198</v>
      </c>
      <c r="O2490">
        <v>51.606721069080201</v>
      </c>
      <c r="P2490">
        <v>-5.3794507572907199E-2</v>
      </c>
      <c r="Q2490">
        <v>0</v>
      </c>
      <c r="R2490">
        <v>0.98905859842620203</v>
      </c>
      <c r="S2490" t="s">
        <v>9058</v>
      </c>
      <c r="T2490" t="s">
        <v>13134</v>
      </c>
      <c r="U2490" t="s">
        <v>13134</v>
      </c>
      <c r="V2490" t="s">
        <v>13134</v>
      </c>
      <c r="W2490" t="s">
        <v>15576</v>
      </c>
      <c r="X2490">
        <v>28</v>
      </c>
      <c r="Y2490" t="s">
        <v>22020</v>
      </c>
      <c r="Z2490" t="s">
        <v>28458</v>
      </c>
      <c r="AA2490">
        <v>0.56249122250839356</v>
      </c>
      <c r="AB2490" t="str">
        <f>HYPERLINK("Melting_Curves/meltCurve_P31040_SDHA.pdf", "Melting_Curves/meltCurve_P31040_SDHA.pdf")</f>
        <v>Melting_Curves/meltCurve_P31040_SDHA.pdf</v>
      </c>
    </row>
    <row r="2491" spans="1:28" x14ac:dyDescent="0.25">
      <c r="A2491" t="s">
        <v>2495</v>
      </c>
      <c r="B2491">
        <v>0.99472303558308395</v>
      </c>
      <c r="C2491">
        <v>1.06217997361931</v>
      </c>
      <c r="D2491">
        <v>0.93896647220972895</v>
      </c>
      <c r="E2491">
        <v>0.72414604663626603</v>
      </c>
      <c r="F2491">
        <v>0.233520726866354</v>
      </c>
      <c r="G2491">
        <v>0.14916061776164299</v>
      </c>
      <c r="H2491">
        <v>0.104138154784022</v>
      </c>
      <c r="I2491">
        <v>7.73549151647345E-2</v>
      </c>
      <c r="J2491">
        <v>8.5909888622449401E-2</v>
      </c>
      <c r="K2491">
        <v>6.3771534210423197E-2</v>
      </c>
      <c r="L2491">
        <v>1480.7741970096899</v>
      </c>
      <c r="M2491">
        <v>31.000674772270202</v>
      </c>
      <c r="N2491">
        <v>48.060382117148102</v>
      </c>
      <c r="O2491">
        <v>47.568432788562703</v>
      </c>
      <c r="P2491">
        <v>-0.1488331407247</v>
      </c>
      <c r="Q2491">
        <v>8.6507849834719097E-2</v>
      </c>
      <c r="R2491">
        <v>0.99533603346104005</v>
      </c>
      <c r="S2491" t="s">
        <v>9059</v>
      </c>
      <c r="T2491" t="s">
        <v>13134</v>
      </c>
      <c r="U2491" t="s">
        <v>13134</v>
      </c>
      <c r="V2491" t="s">
        <v>13134</v>
      </c>
      <c r="W2491" t="s">
        <v>15577</v>
      </c>
      <c r="X2491">
        <v>8</v>
      </c>
      <c r="Y2491" t="s">
        <v>22021</v>
      </c>
      <c r="Z2491" t="s">
        <v>28459</v>
      </c>
      <c r="AA2491">
        <v>0.41936809929664781</v>
      </c>
      <c r="AB2491" t="str">
        <f>HYPERLINK("Melting_Curves/meltCurve_P31146_CORO1A.pdf", "Melting_Curves/meltCurve_P31146_CORO1A.pdf")</f>
        <v>Melting_Curves/meltCurve_P31146_CORO1A.pdf</v>
      </c>
    </row>
    <row r="2492" spans="1:28" x14ac:dyDescent="0.25">
      <c r="A2492" t="s">
        <v>2496</v>
      </c>
      <c r="B2492">
        <v>0.99472303558308395</v>
      </c>
      <c r="C2492">
        <v>0.993145172961023</v>
      </c>
      <c r="D2492">
        <v>0.96576576124786395</v>
      </c>
      <c r="E2492">
        <v>0.90994265117495898</v>
      </c>
      <c r="F2492">
        <v>0.75774680610581202</v>
      </c>
      <c r="G2492">
        <v>0.45912341390280198</v>
      </c>
      <c r="H2492">
        <v>0.103959826349146</v>
      </c>
      <c r="I2492">
        <v>6.2407644755439702E-2</v>
      </c>
      <c r="J2492">
        <v>6.6044533348157006E-2</v>
      </c>
      <c r="K2492">
        <v>5.7334278326618401E-2</v>
      </c>
      <c r="L2492">
        <v>1174.1947496011501</v>
      </c>
      <c r="M2492">
        <v>22.246936727612201</v>
      </c>
      <c r="N2492">
        <v>52.914719331030099</v>
      </c>
      <c r="O2492">
        <v>52.359157950417497</v>
      </c>
      <c r="P2492">
        <v>-0.103301705318807</v>
      </c>
      <c r="Q2492">
        <v>2.7520172012174E-2</v>
      </c>
      <c r="R2492">
        <v>0.994161693387144</v>
      </c>
      <c r="S2492" t="s">
        <v>9060</v>
      </c>
      <c r="T2492" t="s">
        <v>13134</v>
      </c>
      <c r="U2492" t="s">
        <v>13134</v>
      </c>
      <c r="V2492" t="s">
        <v>13134</v>
      </c>
      <c r="W2492" t="s">
        <v>15578</v>
      </c>
      <c r="X2492">
        <v>25</v>
      </c>
      <c r="Y2492" t="s">
        <v>22022</v>
      </c>
      <c r="Z2492" t="s">
        <v>28460</v>
      </c>
      <c r="AA2492">
        <v>0.5495101085692865</v>
      </c>
      <c r="AB2492" t="str">
        <f>HYPERLINK("Melting_Curves/meltCurve_P31150_GDI1.pdf", "Melting_Curves/meltCurve_P31150_GDI1.pdf")</f>
        <v>Melting_Curves/meltCurve_P31150_GDI1.pdf</v>
      </c>
    </row>
    <row r="2493" spans="1:28" x14ac:dyDescent="0.25">
      <c r="A2493" t="s">
        <v>2497</v>
      </c>
      <c r="B2493">
        <v>0.99472303558308395</v>
      </c>
      <c r="C2493">
        <v>0.94061969562213299</v>
      </c>
      <c r="D2493">
        <v>0.87309880216662705</v>
      </c>
      <c r="E2493">
        <v>0.82009496867609399</v>
      </c>
      <c r="F2493">
        <v>0.81751604613297602</v>
      </c>
      <c r="G2493">
        <v>0.55114840484247296</v>
      </c>
      <c r="H2493">
        <v>0.435624166970561</v>
      </c>
      <c r="I2493">
        <v>0.34746561446572599</v>
      </c>
      <c r="J2493">
        <v>0.24765449219163599</v>
      </c>
      <c r="K2493">
        <v>0.20796287481050099</v>
      </c>
      <c r="L2493">
        <v>464.338279473358</v>
      </c>
      <c r="M2493">
        <v>8.2878451009028904</v>
      </c>
      <c r="N2493">
        <v>56.026418579218799</v>
      </c>
      <c r="O2493">
        <v>53.0487987383625</v>
      </c>
      <c r="P2493">
        <v>-3.9096347566926898E-2</v>
      </c>
      <c r="Q2493">
        <v>0</v>
      </c>
      <c r="R2493">
        <v>0.98218826479715404</v>
      </c>
      <c r="S2493" t="s">
        <v>9061</v>
      </c>
      <c r="T2493" t="s">
        <v>13134</v>
      </c>
      <c r="U2493" t="s">
        <v>13134</v>
      </c>
      <c r="V2493" t="s">
        <v>13134</v>
      </c>
      <c r="W2493" t="s">
        <v>15579</v>
      </c>
      <c r="X2493">
        <v>27</v>
      </c>
      <c r="Y2493" t="s">
        <v>22023</v>
      </c>
      <c r="Z2493" t="s">
        <v>28461</v>
      </c>
      <c r="AA2493">
        <v>0.63373454989950273</v>
      </c>
      <c r="AB2493" t="str">
        <f>HYPERLINK("Melting_Curves/meltCurve_P31153_MAT2A.pdf", "Melting_Curves/meltCurve_P31153_MAT2A.pdf")</f>
        <v>Melting_Curves/meltCurve_P31153_MAT2A.pdf</v>
      </c>
    </row>
    <row r="2494" spans="1:28" x14ac:dyDescent="0.25">
      <c r="A2494" t="s">
        <v>2498</v>
      </c>
      <c r="B2494">
        <v>0.99472303558308395</v>
      </c>
      <c r="C2494">
        <v>0.99108379971397098</v>
      </c>
      <c r="D2494">
        <v>0.81544578511106003</v>
      </c>
      <c r="E2494">
        <v>0.72421312644162805</v>
      </c>
      <c r="F2494">
        <v>0.49604995170356497</v>
      </c>
      <c r="G2494">
        <v>0.18691872945826299</v>
      </c>
      <c r="H2494">
        <v>8.3180058656798395E-2</v>
      </c>
      <c r="I2494">
        <v>6.9269707220064605E-2</v>
      </c>
      <c r="J2494">
        <v>5.9460579134894699E-2</v>
      </c>
      <c r="K2494">
        <v>0.144546878053882</v>
      </c>
      <c r="L2494">
        <v>774.91575949332503</v>
      </c>
      <c r="M2494">
        <v>15.826711054365299</v>
      </c>
      <c r="N2494">
        <v>49.286739681379103</v>
      </c>
      <c r="O2494">
        <v>48.2008344910342</v>
      </c>
      <c r="P2494">
        <v>-7.8035587444599305E-2</v>
      </c>
      <c r="Q2494">
        <v>4.9436732234597797E-2</v>
      </c>
      <c r="R2494">
        <v>0.98236093896622001</v>
      </c>
      <c r="S2494" t="s">
        <v>9062</v>
      </c>
      <c r="T2494" t="s">
        <v>13134</v>
      </c>
      <c r="U2494" t="s">
        <v>13134</v>
      </c>
      <c r="V2494" t="s">
        <v>13134</v>
      </c>
      <c r="W2494" t="s">
        <v>15580</v>
      </c>
      <c r="X2494">
        <v>11</v>
      </c>
      <c r="Y2494" t="s">
        <v>22024</v>
      </c>
      <c r="Z2494" t="s">
        <v>28462</v>
      </c>
      <c r="AA2494">
        <v>0.44725869568211613</v>
      </c>
      <c r="AB2494" t="str">
        <f>HYPERLINK("Melting_Curves/meltCurve_P31321_PRKAR1B.pdf", "Melting_Curves/meltCurve_P31321_PRKAR1B.pdf")</f>
        <v>Melting_Curves/meltCurve_P31321_PRKAR1B.pdf</v>
      </c>
    </row>
    <row r="2495" spans="1:28" x14ac:dyDescent="0.25">
      <c r="A2495" t="s">
        <v>2499</v>
      </c>
      <c r="B2495">
        <v>0.99472303558308395</v>
      </c>
      <c r="C2495">
        <v>0.90844365945122596</v>
      </c>
      <c r="D2495">
        <v>0.87510772655580005</v>
      </c>
      <c r="E2495">
        <v>0.60313666240508201</v>
      </c>
      <c r="F2495">
        <v>0.25758177556614797</v>
      </c>
      <c r="G2495">
        <v>0.106061111395251</v>
      </c>
      <c r="H2495">
        <v>5.3643683860546701E-2</v>
      </c>
      <c r="I2495">
        <v>4.9270003398247497E-2</v>
      </c>
      <c r="J2495">
        <v>4.4076297871368901E-2</v>
      </c>
      <c r="K2495">
        <v>3.8497747823332797E-2</v>
      </c>
      <c r="L2495">
        <v>905.04909379315302</v>
      </c>
      <c r="M2495">
        <v>19.1397308449605</v>
      </c>
      <c r="N2495">
        <v>47.437928125270403</v>
      </c>
      <c r="O2495">
        <v>46.779283091711797</v>
      </c>
      <c r="P2495">
        <v>-9.9258295584365802E-2</v>
      </c>
      <c r="Q2495">
        <v>2.9651529027508599E-2</v>
      </c>
      <c r="R2495">
        <v>0.99662061577491701</v>
      </c>
      <c r="S2495" t="s">
        <v>9063</v>
      </c>
      <c r="T2495" t="s">
        <v>13134</v>
      </c>
      <c r="U2495" t="s">
        <v>13134</v>
      </c>
      <c r="V2495" t="s">
        <v>13134</v>
      </c>
      <c r="W2495" t="s">
        <v>15581</v>
      </c>
      <c r="X2495">
        <v>21</v>
      </c>
      <c r="Y2495" t="s">
        <v>22025</v>
      </c>
      <c r="Z2495" t="s">
        <v>28463</v>
      </c>
      <c r="AA2495">
        <v>0.37620590379886509</v>
      </c>
      <c r="AB2495" t="str">
        <f>HYPERLINK("Melting_Curves/meltCurve_P31323_PRKAR2B.pdf", "Melting_Curves/meltCurve_P31323_PRKAR2B.pdf")</f>
        <v>Melting_Curves/meltCurve_P31323_PRKAR2B.pdf</v>
      </c>
    </row>
    <row r="2496" spans="1:28" x14ac:dyDescent="0.25">
      <c r="A2496" t="s">
        <v>2500</v>
      </c>
      <c r="B2496">
        <v>0.99472303558308395</v>
      </c>
      <c r="C2496">
        <v>0.93865822346877803</v>
      </c>
      <c r="D2496">
        <v>0.96568704046412401</v>
      </c>
      <c r="E2496">
        <v>0.81937296844316998</v>
      </c>
      <c r="F2496">
        <v>0.67348184575713899</v>
      </c>
      <c r="G2496">
        <v>0.53039914852248804</v>
      </c>
      <c r="H2496">
        <v>0.45617605992119098</v>
      </c>
      <c r="I2496">
        <v>0.50467509708840297</v>
      </c>
      <c r="J2496">
        <v>0.69086255107483996</v>
      </c>
      <c r="K2496">
        <v>0.40891478952494498</v>
      </c>
      <c r="L2496">
        <v>1010.5901129305699</v>
      </c>
      <c r="M2496">
        <v>21.074319813044799</v>
      </c>
      <c r="O2496">
        <v>47.528104087181603</v>
      </c>
      <c r="P2496">
        <v>-5.4492895371609201E-2</v>
      </c>
      <c r="Q2496">
        <v>0.50843000511803105</v>
      </c>
      <c r="R2496">
        <v>0.88309243250749903</v>
      </c>
      <c r="S2496" t="s">
        <v>9064</v>
      </c>
      <c r="T2496" t="s">
        <v>13134</v>
      </c>
      <c r="U2496" t="s">
        <v>13134</v>
      </c>
      <c r="V2496" t="s">
        <v>13134</v>
      </c>
      <c r="W2496" t="s">
        <v>15582</v>
      </c>
      <c r="X2496">
        <v>27</v>
      </c>
      <c r="Y2496" t="s">
        <v>22026</v>
      </c>
      <c r="Z2496" t="s">
        <v>28464</v>
      </c>
      <c r="AA2496">
        <v>0.69375651364124913</v>
      </c>
      <c r="AB2496" t="str">
        <f>HYPERLINK("Melting_Curves/meltCurve_P31350_RRM2.pdf", "Melting_Curves/meltCurve_P31350_RRM2.pdf")</f>
        <v>Melting_Curves/meltCurve_P31350_RRM2.pdf</v>
      </c>
    </row>
    <row r="2497" spans="1:28" x14ac:dyDescent="0.25">
      <c r="A2497" t="s">
        <v>2501</v>
      </c>
      <c r="B2497">
        <v>0.99472303558308395</v>
      </c>
      <c r="C2497">
        <v>0.53281226178081298</v>
      </c>
      <c r="D2497">
        <v>0.92933778470065198</v>
      </c>
      <c r="E2497">
        <v>0.65238863645177103</v>
      </c>
      <c r="F2497">
        <v>0.27495774991412603</v>
      </c>
      <c r="G2497">
        <v>0.25614857028170801</v>
      </c>
      <c r="H2497">
        <v>0.26706110452860998</v>
      </c>
      <c r="I2497">
        <v>0.139990130980959</v>
      </c>
      <c r="J2497">
        <v>0.117544819221278</v>
      </c>
      <c r="K2497">
        <v>0.10074068643286301</v>
      </c>
      <c r="L2497">
        <v>384.88310117321299</v>
      </c>
      <c r="M2497">
        <v>8.0304655217487504</v>
      </c>
      <c r="N2497">
        <v>47.927853097142297</v>
      </c>
      <c r="O2497">
        <v>45.229902568654403</v>
      </c>
      <c r="P2497">
        <v>-4.443642004205E-2</v>
      </c>
      <c r="Q2497">
        <v>0</v>
      </c>
      <c r="R2497">
        <v>0.82442692094989301</v>
      </c>
      <c r="S2497" t="s">
        <v>9065</v>
      </c>
      <c r="T2497" t="s">
        <v>13134</v>
      </c>
      <c r="U2497" t="s">
        <v>13134</v>
      </c>
      <c r="V2497" t="s">
        <v>13134</v>
      </c>
      <c r="W2497" t="s">
        <v>15583</v>
      </c>
      <c r="X2497">
        <v>2</v>
      </c>
      <c r="Y2497" t="s">
        <v>22027</v>
      </c>
      <c r="Z2497" t="s">
        <v>28465</v>
      </c>
      <c r="AA2497">
        <v>0.41635223081837458</v>
      </c>
      <c r="AB2497" t="str">
        <f>HYPERLINK("Melting_Curves/meltCurve_P31641_SLC6A6.pdf", "Melting_Curves/meltCurve_P31641_SLC6A6.pdf")</f>
        <v>Melting_Curves/meltCurve_P31641_SLC6A6.pdf</v>
      </c>
    </row>
    <row r="2498" spans="1:28" x14ac:dyDescent="0.25">
      <c r="A2498" t="s">
        <v>2502</v>
      </c>
      <c r="B2498">
        <v>0.99472303558308395</v>
      </c>
      <c r="C2498">
        <v>0.91560525836792095</v>
      </c>
      <c r="D2498">
        <v>0.79992176419678196</v>
      </c>
      <c r="E2498">
        <v>0.68979399257818996</v>
      </c>
      <c r="F2498">
        <v>0.498052553898297</v>
      </c>
      <c r="G2498">
        <v>0.27224632724750403</v>
      </c>
      <c r="H2498">
        <v>0.14896181115385401</v>
      </c>
      <c r="I2498">
        <v>7.5110122389092496E-2</v>
      </c>
      <c r="J2498">
        <v>8.3740569568427001E-2</v>
      </c>
      <c r="K2498">
        <v>7.2406635541824901E-2</v>
      </c>
      <c r="L2498">
        <v>556.08991759525395</v>
      </c>
      <c r="M2498">
        <v>11.240933486943099</v>
      </c>
      <c r="N2498">
        <v>49.470104939533897</v>
      </c>
      <c r="O2498">
        <v>47.98196844089</v>
      </c>
      <c r="P2498">
        <v>-5.85867070758994E-2</v>
      </c>
      <c r="Q2498">
        <v>0</v>
      </c>
      <c r="R2498">
        <v>0.99407232952042102</v>
      </c>
      <c r="S2498" t="s">
        <v>9066</v>
      </c>
      <c r="T2498" t="s">
        <v>13134</v>
      </c>
      <c r="U2498" t="s">
        <v>13134</v>
      </c>
      <c r="V2498" t="s">
        <v>13134</v>
      </c>
      <c r="W2498" t="s">
        <v>15584</v>
      </c>
      <c r="X2498">
        <v>22</v>
      </c>
      <c r="Y2498" t="s">
        <v>22028</v>
      </c>
      <c r="Z2498" t="s">
        <v>28466</v>
      </c>
      <c r="AA2498">
        <v>0.44699023430786478</v>
      </c>
      <c r="AB2498" t="str">
        <f>HYPERLINK("Melting_Curves/meltCurve_P31689_DNAJA1.pdf", "Melting_Curves/meltCurve_P31689_DNAJA1.pdf")</f>
        <v>Melting_Curves/meltCurve_P31689_DNAJA1.pdf</v>
      </c>
    </row>
    <row r="2499" spans="1:28" x14ac:dyDescent="0.25">
      <c r="A2499" t="s">
        <v>2503</v>
      </c>
      <c r="B2499">
        <v>0.99472303558308395</v>
      </c>
      <c r="C2499">
        <v>0.84712087959994498</v>
      </c>
      <c r="D2499">
        <v>0.87584496441355997</v>
      </c>
      <c r="E2499">
        <v>0.61834834197371402</v>
      </c>
      <c r="F2499">
        <v>0.25920275054145903</v>
      </c>
      <c r="G2499">
        <v>0.124739782943558</v>
      </c>
      <c r="H2499">
        <v>9.0781626020224604E-2</v>
      </c>
      <c r="I2499">
        <v>6.1556032240860203E-2</v>
      </c>
      <c r="J2499">
        <v>0.10514395273915</v>
      </c>
      <c r="K2499">
        <v>6.4522738817945804E-2</v>
      </c>
      <c r="L2499">
        <v>884.46698572922605</v>
      </c>
      <c r="M2499">
        <v>18.766068631458499</v>
      </c>
      <c r="N2499">
        <v>47.458245440161399</v>
      </c>
      <c r="O2499">
        <v>46.605783590886098</v>
      </c>
      <c r="P2499">
        <v>-9.4561828256279998E-2</v>
      </c>
      <c r="Q2499">
        <v>6.0657323967256101E-2</v>
      </c>
      <c r="R2499">
        <v>0.98552615533619103</v>
      </c>
      <c r="S2499" t="s">
        <v>9067</v>
      </c>
      <c r="T2499" t="s">
        <v>13134</v>
      </c>
      <c r="U2499" t="s">
        <v>13134</v>
      </c>
      <c r="V2499" t="s">
        <v>13134</v>
      </c>
      <c r="W2499" t="s">
        <v>15585</v>
      </c>
      <c r="X2499">
        <v>6</v>
      </c>
      <c r="Y2499" t="s">
        <v>22029</v>
      </c>
      <c r="Z2499" t="s">
        <v>28467</v>
      </c>
      <c r="AA2499">
        <v>0.39179563013469648</v>
      </c>
      <c r="AB2499" t="str">
        <f>HYPERLINK("Melting_Curves/meltCurve_P31749_AKT1.pdf", "Melting_Curves/meltCurve_P31749_AKT1.pdf")</f>
        <v>Melting_Curves/meltCurve_P31749_AKT1.pdf</v>
      </c>
    </row>
    <row r="2500" spans="1:28" x14ac:dyDescent="0.25">
      <c r="A2500" t="s">
        <v>2504</v>
      </c>
      <c r="B2500">
        <v>0.99472303558308395</v>
      </c>
      <c r="C2500">
        <v>1.0009289141534801</v>
      </c>
      <c r="D2500">
        <v>1.02266791792451</v>
      </c>
      <c r="E2500">
        <v>0.70980098007024695</v>
      </c>
      <c r="F2500">
        <v>0.289313191682183</v>
      </c>
      <c r="G2500">
        <v>0.13396440451793701</v>
      </c>
      <c r="H2500">
        <v>8.4923320860513699E-2</v>
      </c>
      <c r="I2500">
        <v>6.4544280426912806E-2</v>
      </c>
      <c r="J2500">
        <v>6.7061556772126801E-2</v>
      </c>
      <c r="K2500">
        <v>6.8705024284653096E-2</v>
      </c>
      <c r="L2500">
        <v>1354.89742937091</v>
      </c>
      <c r="M2500">
        <v>28.203499977901998</v>
      </c>
      <c r="N2500">
        <v>48.308676172244702</v>
      </c>
      <c r="O2500">
        <v>47.800473804709902</v>
      </c>
      <c r="P2500">
        <v>-0.13680211073763701</v>
      </c>
      <c r="Q2500">
        <v>7.2575934615102797E-2</v>
      </c>
      <c r="R2500">
        <v>0.99768702857395997</v>
      </c>
      <c r="S2500" t="s">
        <v>9068</v>
      </c>
      <c r="T2500" t="s">
        <v>13134</v>
      </c>
      <c r="U2500" t="s">
        <v>13134</v>
      </c>
      <c r="V2500" t="s">
        <v>13134</v>
      </c>
      <c r="W2500" t="s">
        <v>15586</v>
      </c>
      <c r="X2500">
        <v>9</v>
      </c>
      <c r="Y2500" t="s">
        <v>22030</v>
      </c>
      <c r="Z2500" t="s">
        <v>28468</v>
      </c>
      <c r="AA2500">
        <v>0.42009040209830723</v>
      </c>
      <c r="AB2500" t="str">
        <f>HYPERLINK("Melting_Curves/meltCurve_P31751_AKT2.pdf", "Melting_Curves/meltCurve_P31751_AKT2.pdf")</f>
        <v>Melting_Curves/meltCurve_P31751_AKT2.pdf</v>
      </c>
    </row>
    <row r="2501" spans="1:28" x14ac:dyDescent="0.25">
      <c r="A2501" t="s">
        <v>2505</v>
      </c>
      <c r="B2501">
        <v>0.99472303558308395</v>
      </c>
      <c r="C2501">
        <v>0.97555236576235704</v>
      </c>
      <c r="D2501">
        <v>0.78287682713532802</v>
      </c>
      <c r="E2501">
        <v>0.64299397446718898</v>
      </c>
      <c r="F2501">
        <v>0.492190392202077</v>
      </c>
      <c r="G2501">
        <v>0.24030520551743101</v>
      </c>
      <c r="H2501">
        <v>0.15109789431874199</v>
      </c>
      <c r="I2501">
        <v>8.3371247815801894E-2</v>
      </c>
      <c r="J2501">
        <v>7.3782538964624694E-2</v>
      </c>
      <c r="K2501">
        <v>7.7490691988787802E-2</v>
      </c>
      <c r="L2501">
        <v>571.11766555981205</v>
      </c>
      <c r="M2501">
        <v>11.659985957811999</v>
      </c>
      <c r="N2501">
        <v>49.084258968494602</v>
      </c>
      <c r="O2501">
        <v>47.6067995324495</v>
      </c>
      <c r="P2501">
        <v>-6.05050740441214E-2</v>
      </c>
      <c r="Q2501">
        <v>1.2116464378206E-2</v>
      </c>
      <c r="R2501">
        <v>0.99218673312709105</v>
      </c>
      <c r="S2501" t="s">
        <v>9069</v>
      </c>
      <c r="T2501" t="s">
        <v>13134</v>
      </c>
      <c r="U2501" t="s">
        <v>13134</v>
      </c>
      <c r="V2501" t="s">
        <v>13134</v>
      </c>
      <c r="W2501" t="s">
        <v>15587</v>
      </c>
      <c r="X2501">
        <v>17</v>
      </c>
      <c r="Y2501" t="s">
        <v>22031</v>
      </c>
      <c r="Z2501" t="s">
        <v>28469</v>
      </c>
      <c r="AA2501">
        <v>0.43716244345645389</v>
      </c>
      <c r="AB2501" t="str">
        <f>HYPERLINK("Melting_Curves/meltCurve_P31930_UQCRC1.pdf", "Melting_Curves/meltCurve_P31930_UQCRC1.pdf")</f>
        <v>Melting_Curves/meltCurve_P31930_UQCRC1.pdf</v>
      </c>
    </row>
    <row r="2502" spans="1:28" x14ac:dyDescent="0.25">
      <c r="A2502" t="s">
        <v>2506</v>
      </c>
      <c r="B2502">
        <v>0.99472303558308395</v>
      </c>
      <c r="C2502">
        <v>1.0196960893618401</v>
      </c>
      <c r="D2502">
        <v>0.93314782956602904</v>
      </c>
      <c r="E2502">
        <v>0.94584223751304797</v>
      </c>
      <c r="F2502">
        <v>0.80033656325709002</v>
      </c>
      <c r="G2502">
        <v>0.66909093615906001</v>
      </c>
      <c r="H2502">
        <v>0.5220593497546</v>
      </c>
      <c r="I2502">
        <v>0.48015683854506302</v>
      </c>
      <c r="J2502">
        <v>0.26065100356473397</v>
      </c>
      <c r="K2502">
        <v>0.15233270676131799</v>
      </c>
      <c r="L2502">
        <v>574.55900725413801</v>
      </c>
      <c r="M2502">
        <v>9.8913627231750407</v>
      </c>
      <c r="N2502">
        <v>58.086942218162399</v>
      </c>
      <c r="O2502">
        <v>55.862227849707899</v>
      </c>
      <c r="P2502">
        <v>-4.4289213135826101E-2</v>
      </c>
      <c r="Q2502">
        <v>0</v>
      </c>
      <c r="R2502">
        <v>0.98046641080319896</v>
      </c>
      <c r="S2502" t="s">
        <v>9070</v>
      </c>
      <c r="T2502" t="s">
        <v>13134</v>
      </c>
      <c r="U2502" t="s">
        <v>13134</v>
      </c>
      <c r="V2502" t="s">
        <v>13134</v>
      </c>
      <c r="W2502" t="s">
        <v>15588</v>
      </c>
      <c r="X2502">
        <v>8</v>
      </c>
      <c r="Y2502" t="s">
        <v>22032</v>
      </c>
      <c r="Z2502" t="s">
        <v>28470</v>
      </c>
      <c r="AA2502">
        <v>0.69308143640236242</v>
      </c>
      <c r="AB2502" t="str">
        <f>HYPERLINK("Melting_Curves/meltCurve_P31937_HIBADH.pdf", "Melting_Curves/meltCurve_P31937_HIBADH.pdf")</f>
        <v>Melting_Curves/meltCurve_P31937_HIBADH.pdf</v>
      </c>
    </row>
    <row r="2503" spans="1:28" x14ac:dyDescent="0.25">
      <c r="A2503" t="s">
        <v>2507</v>
      </c>
      <c r="B2503">
        <v>0.99472303558308395</v>
      </c>
      <c r="C2503">
        <v>0.92260695525608905</v>
      </c>
      <c r="D2503">
        <v>0.96126700580445001</v>
      </c>
      <c r="E2503">
        <v>0.90020301513099499</v>
      </c>
      <c r="F2503">
        <v>0.76257788048084596</v>
      </c>
      <c r="G2503">
        <v>0.57423683531983905</v>
      </c>
      <c r="H2503">
        <v>0.29079751373437601</v>
      </c>
      <c r="I2503">
        <v>9.3643462302272606E-2</v>
      </c>
      <c r="J2503">
        <v>6.9678617589479103E-2</v>
      </c>
      <c r="K2503">
        <v>8.1282140459753904E-2</v>
      </c>
      <c r="L2503">
        <v>852.16661708224603</v>
      </c>
      <c r="M2503">
        <v>15.726729522543099</v>
      </c>
      <c r="N2503">
        <v>54.185876320717199</v>
      </c>
      <c r="O2503">
        <v>53.3324541723984</v>
      </c>
      <c r="P2503">
        <v>-7.3726446613694596E-2</v>
      </c>
      <c r="Q2503">
        <v>0</v>
      </c>
      <c r="R2503">
        <v>0.99051941579408698</v>
      </c>
      <c r="S2503" t="s">
        <v>9071</v>
      </c>
      <c r="T2503" t="s">
        <v>13134</v>
      </c>
      <c r="U2503" t="s">
        <v>13134</v>
      </c>
      <c r="V2503" t="s">
        <v>13134</v>
      </c>
      <c r="W2503" t="s">
        <v>15589</v>
      </c>
      <c r="X2503">
        <v>46</v>
      </c>
      <c r="Y2503" t="s">
        <v>22033</v>
      </c>
      <c r="Z2503" t="s">
        <v>28471</v>
      </c>
      <c r="AA2503">
        <v>0.58817583086940972</v>
      </c>
      <c r="AB2503" t="str">
        <f>HYPERLINK("Melting_Curves/meltCurve_P31939_ATIC.pdf", "Melting_Curves/meltCurve_P31939_ATIC.pdf")</f>
        <v>Melting_Curves/meltCurve_P31939_ATIC.pdf</v>
      </c>
    </row>
    <row r="2504" spans="1:28" x14ac:dyDescent="0.25">
      <c r="A2504" t="s">
        <v>2508</v>
      </c>
      <c r="B2504">
        <v>0.99472303558308395</v>
      </c>
      <c r="C2504">
        <v>0.96350347861312002</v>
      </c>
      <c r="D2504">
        <v>0.84344916977061901</v>
      </c>
      <c r="E2504">
        <v>0.332692089826644</v>
      </c>
      <c r="F2504">
        <v>0.12043910074632901</v>
      </c>
      <c r="G2504">
        <v>5.7024229970715899E-2</v>
      </c>
      <c r="H2504">
        <v>4.35591908747519E-2</v>
      </c>
      <c r="I2504">
        <v>4.07282717177481E-2</v>
      </c>
      <c r="J2504">
        <v>4.5255747878496899E-2</v>
      </c>
      <c r="K2504">
        <v>4.6221835763760398E-2</v>
      </c>
      <c r="L2504">
        <v>1303.1281403283101</v>
      </c>
      <c r="M2504">
        <v>28.758453179334499</v>
      </c>
      <c r="N2504">
        <v>45.466931965200601</v>
      </c>
      <c r="O2504">
        <v>45.095474685611798</v>
      </c>
      <c r="P2504">
        <v>-0.15203076102230101</v>
      </c>
      <c r="Q2504">
        <v>4.64235936838365E-2</v>
      </c>
      <c r="R2504">
        <v>0.99935827604778604</v>
      </c>
      <c r="S2504" t="s">
        <v>9072</v>
      </c>
      <c r="T2504" t="s">
        <v>13134</v>
      </c>
      <c r="U2504" t="s">
        <v>13134</v>
      </c>
      <c r="V2504" t="s">
        <v>13134</v>
      </c>
      <c r="W2504" t="s">
        <v>15590</v>
      </c>
      <c r="X2504">
        <v>8</v>
      </c>
      <c r="Y2504" t="s">
        <v>22034</v>
      </c>
      <c r="Z2504" t="s">
        <v>28472</v>
      </c>
      <c r="AA2504">
        <v>0.3165227859880651</v>
      </c>
      <c r="AB2504" t="str">
        <f>HYPERLINK("Melting_Curves/meltCurve_P31942_2_HNRNPH3.pdf", "Melting_Curves/meltCurve_P31942_2_HNRNPH3.pdf")</f>
        <v>Melting_Curves/meltCurve_P31942_2_HNRNPH3.pdf</v>
      </c>
    </row>
    <row r="2505" spans="1:28" x14ac:dyDescent="0.25">
      <c r="A2505" t="s">
        <v>2509</v>
      </c>
      <c r="B2505">
        <v>0.99472303558308395</v>
      </c>
      <c r="C2505">
        <v>0.88688696899305197</v>
      </c>
      <c r="D2505">
        <v>1.0565829843769701</v>
      </c>
      <c r="E2505">
        <v>0.93850790389916505</v>
      </c>
      <c r="F2505">
        <v>0.78947422973568704</v>
      </c>
      <c r="G2505">
        <v>0.45842264317095299</v>
      </c>
      <c r="H2505">
        <v>0.113628949592367</v>
      </c>
      <c r="I2505">
        <v>7.2688216131748001E-2</v>
      </c>
      <c r="J2505">
        <v>5.8283647386996602E-2</v>
      </c>
      <c r="K2505">
        <v>5.9008003762318899E-2</v>
      </c>
      <c r="L2505">
        <v>1320.4517696304499</v>
      </c>
      <c r="M2505">
        <v>24.939607092478099</v>
      </c>
      <c r="N2505">
        <v>53.114312757995499</v>
      </c>
      <c r="O2505">
        <v>52.6090729030375</v>
      </c>
      <c r="P2505">
        <v>-0.114011821124075</v>
      </c>
      <c r="Q2505">
        <v>3.7999968335572898E-2</v>
      </c>
      <c r="R2505">
        <v>0.98755678272340897</v>
      </c>
      <c r="S2505" t="s">
        <v>9073</v>
      </c>
      <c r="T2505" t="s">
        <v>13134</v>
      </c>
      <c r="U2505" t="s">
        <v>13134</v>
      </c>
      <c r="V2505" t="s">
        <v>13134</v>
      </c>
      <c r="W2505" t="s">
        <v>15591</v>
      </c>
      <c r="X2505">
        <v>18</v>
      </c>
      <c r="Y2505" t="s">
        <v>22035</v>
      </c>
      <c r="Z2505" t="s">
        <v>28473</v>
      </c>
      <c r="AA2505">
        <v>0.55787382774319971</v>
      </c>
      <c r="AB2505" t="str">
        <f>HYPERLINK("Melting_Curves/meltCurve_P31946_YWHAB.pdf", "Melting_Curves/meltCurve_P31946_YWHAB.pdf")</f>
        <v>Melting_Curves/meltCurve_P31946_YWHAB.pdf</v>
      </c>
    </row>
    <row r="2506" spans="1:28" x14ac:dyDescent="0.25">
      <c r="A2506" t="s">
        <v>2510</v>
      </c>
      <c r="B2506">
        <v>0.99472303558308395</v>
      </c>
      <c r="C2506">
        <v>0.93007040659052598</v>
      </c>
      <c r="D2506">
        <v>1.07642458886687</v>
      </c>
      <c r="E2506">
        <v>0.89681862517408795</v>
      </c>
      <c r="F2506">
        <v>0.49641529222714398</v>
      </c>
      <c r="G2506">
        <v>0.36110338368301698</v>
      </c>
      <c r="H2506">
        <v>0.154285542278397</v>
      </c>
      <c r="I2506">
        <v>9.3090177107922598E-2</v>
      </c>
      <c r="J2506">
        <v>0.10580598141642999</v>
      </c>
      <c r="K2506">
        <v>7.6166739632419003E-2</v>
      </c>
      <c r="L2506">
        <v>1039.7762225358399</v>
      </c>
      <c r="M2506">
        <v>20.588956666326901</v>
      </c>
      <c r="N2506">
        <v>50.971717501029801</v>
      </c>
      <c r="O2506">
        <v>50.032464717341703</v>
      </c>
      <c r="P2506">
        <v>-9.3984604480773906E-2</v>
      </c>
      <c r="Q2506">
        <v>8.6472304683752693E-2</v>
      </c>
      <c r="R2506">
        <v>0.98233468201601604</v>
      </c>
      <c r="S2506" t="s">
        <v>9074</v>
      </c>
      <c r="T2506" t="s">
        <v>13134</v>
      </c>
      <c r="U2506" t="s">
        <v>13134</v>
      </c>
      <c r="V2506" t="s">
        <v>13134</v>
      </c>
      <c r="W2506" t="s">
        <v>15592</v>
      </c>
      <c r="X2506">
        <v>12</v>
      </c>
      <c r="Y2506" t="s">
        <v>22036</v>
      </c>
      <c r="Z2506" t="s">
        <v>28474</v>
      </c>
      <c r="AA2506">
        <v>0.50902935785711911</v>
      </c>
      <c r="AB2506" t="str">
        <f>HYPERLINK("Melting_Curves/meltCurve_P31947_2_SFN.pdf", "Melting_Curves/meltCurve_P31947_2_SFN.pdf")</f>
        <v>Melting_Curves/meltCurve_P31947_2_SFN.pdf</v>
      </c>
    </row>
    <row r="2507" spans="1:28" x14ac:dyDescent="0.25">
      <c r="A2507" t="s">
        <v>2511</v>
      </c>
      <c r="B2507">
        <v>0.99472303558308395</v>
      </c>
      <c r="C2507">
        <v>0.935063673457877</v>
      </c>
      <c r="D2507">
        <v>0.92147270369640499</v>
      </c>
      <c r="E2507">
        <v>0.86098939316711198</v>
      </c>
      <c r="F2507">
        <v>0.61525661344065297</v>
      </c>
      <c r="G2507">
        <v>0.45089366720567098</v>
      </c>
      <c r="H2507">
        <v>0.27200697687369502</v>
      </c>
      <c r="I2507">
        <v>0.13858217393875299</v>
      </c>
      <c r="J2507">
        <v>0.15493827672361599</v>
      </c>
      <c r="K2507">
        <v>0.13583748992612399</v>
      </c>
      <c r="L2507">
        <v>689.50957306508701</v>
      </c>
      <c r="M2507">
        <v>13.300611618287499</v>
      </c>
      <c r="N2507">
        <v>52.466485243656201</v>
      </c>
      <c r="O2507">
        <v>50.710624933031497</v>
      </c>
      <c r="P2507">
        <v>-6.0769572087789402E-2</v>
      </c>
      <c r="Q2507">
        <v>7.3376451092134004E-2</v>
      </c>
      <c r="R2507">
        <v>0.99369884936744501</v>
      </c>
      <c r="S2507" t="s">
        <v>9075</v>
      </c>
      <c r="T2507" t="s">
        <v>13134</v>
      </c>
      <c r="U2507" t="s">
        <v>13134</v>
      </c>
      <c r="V2507" t="s">
        <v>13134</v>
      </c>
      <c r="W2507" t="s">
        <v>15593</v>
      </c>
      <c r="X2507">
        <v>65</v>
      </c>
      <c r="Y2507" t="s">
        <v>22037</v>
      </c>
      <c r="Z2507" t="s">
        <v>28475</v>
      </c>
      <c r="AA2507">
        <v>0.55214510147502061</v>
      </c>
      <c r="AB2507" t="str">
        <f>HYPERLINK("Melting_Curves/meltCurve_P31948_STIP1.pdf", "Melting_Curves/meltCurve_P31948_STIP1.pdf")</f>
        <v>Melting_Curves/meltCurve_P31948_STIP1.pdf</v>
      </c>
    </row>
    <row r="2508" spans="1:28" x14ac:dyDescent="0.25">
      <c r="A2508" t="s">
        <v>2512</v>
      </c>
      <c r="B2508">
        <v>0.99472303558308395</v>
      </c>
      <c r="C2508">
        <v>0.84730118502325202</v>
      </c>
      <c r="D2508">
        <v>1.0475577985587701</v>
      </c>
      <c r="E2508">
        <v>0.94459100174566302</v>
      </c>
      <c r="F2508">
        <v>0.52961682681992905</v>
      </c>
      <c r="G2508">
        <v>0.59766088392039796</v>
      </c>
      <c r="H2508">
        <v>0.41654733349158302</v>
      </c>
      <c r="I2508">
        <v>0.35964511829386803</v>
      </c>
      <c r="J2508">
        <v>0.25779411656225798</v>
      </c>
      <c r="K2508">
        <v>0.17383215870032101</v>
      </c>
      <c r="L2508">
        <v>549.68656267389099</v>
      </c>
      <c r="M2508">
        <v>10.275110558948599</v>
      </c>
      <c r="N2508">
        <v>54.921716562233499</v>
      </c>
      <c r="O2508">
        <v>51.589418259820398</v>
      </c>
      <c r="P2508">
        <v>-4.3986423098563002E-2</v>
      </c>
      <c r="Q2508">
        <v>0.116996475154187</v>
      </c>
      <c r="R2508">
        <v>0.91782186596553506</v>
      </c>
      <c r="S2508" t="s">
        <v>9076</v>
      </c>
      <c r="T2508" t="s">
        <v>13134</v>
      </c>
      <c r="U2508" t="s">
        <v>13134</v>
      </c>
      <c r="V2508" t="s">
        <v>13134</v>
      </c>
      <c r="W2508" t="s">
        <v>15594</v>
      </c>
      <c r="X2508">
        <v>7</v>
      </c>
      <c r="Y2508" t="s">
        <v>22038</v>
      </c>
      <c r="Z2508" t="s">
        <v>28476</v>
      </c>
      <c r="AA2508">
        <v>0.62031336301326212</v>
      </c>
      <c r="AB2508" t="str">
        <f>HYPERLINK("Melting_Curves/meltCurve_P31949_S100A11.pdf", "Melting_Curves/meltCurve_P31949_S100A11.pdf")</f>
        <v>Melting_Curves/meltCurve_P31949_S100A11.pdf</v>
      </c>
    </row>
    <row r="2509" spans="1:28" x14ac:dyDescent="0.25">
      <c r="A2509" t="s">
        <v>2513</v>
      </c>
      <c r="B2509">
        <v>0.99472303558308395</v>
      </c>
      <c r="C2509">
        <v>1.0261211856629899</v>
      </c>
      <c r="D2509">
        <v>0.97483887272763203</v>
      </c>
      <c r="E2509">
        <v>0.73550454431051104</v>
      </c>
      <c r="F2509">
        <v>0.33281817166715499</v>
      </c>
      <c r="G2509">
        <v>9.8528816703159799E-2</v>
      </c>
      <c r="H2509">
        <v>6.2044985538005797E-2</v>
      </c>
      <c r="I2509">
        <v>4.4518304855137698E-2</v>
      </c>
      <c r="J2509">
        <v>7.4722604166293893E-2</v>
      </c>
      <c r="K2509">
        <v>5.7958679661778201E-2</v>
      </c>
      <c r="L2509">
        <v>1266.5543102904501</v>
      </c>
      <c r="M2509">
        <v>26.171541324681499</v>
      </c>
      <c r="N2509">
        <v>48.599511236085696</v>
      </c>
      <c r="O2509">
        <v>48.114438702761902</v>
      </c>
      <c r="P2509">
        <v>-0.128875541134884</v>
      </c>
      <c r="Q2509">
        <v>5.2298107374690803E-2</v>
      </c>
      <c r="R2509">
        <v>0.998690142057163</v>
      </c>
      <c r="S2509" t="s">
        <v>9077</v>
      </c>
      <c r="T2509" t="s">
        <v>13134</v>
      </c>
      <c r="U2509" t="s">
        <v>13134</v>
      </c>
      <c r="V2509" t="s">
        <v>13134</v>
      </c>
      <c r="W2509" t="s">
        <v>15595</v>
      </c>
      <c r="X2509">
        <v>13</v>
      </c>
      <c r="Y2509" t="s">
        <v>22039</v>
      </c>
      <c r="Z2509" t="s">
        <v>28477</v>
      </c>
      <c r="AA2509">
        <v>0.4196663753460142</v>
      </c>
      <c r="AB2509" t="str">
        <f>HYPERLINK("Melting_Curves/meltCurve_P32019_2_INPP5B.pdf", "Melting_Curves/meltCurve_P32019_2_INPP5B.pdf")</f>
        <v>Melting_Curves/meltCurve_P32019_2_INPP5B.pdf</v>
      </c>
    </row>
    <row r="2510" spans="1:28" x14ac:dyDescent="0.25">
      <c r="A2510" t="s">
        <v>2514</v>
      </c>
      <c r="B2510">
        <v>0.99472303558308395</v>
      </c>
      <c r="C2510">
        <v>0.93500721401577103</v>
      </c>
      <c r="D2510">
        <v>0.97229125890951795</v>
      </c>
      <c r="E2510">
        <v>0.89851030623159001</v>
      </c>
      <c r="F2510">
        <v>0.80202145002451697</v>
      </c>
      <c r="G2510">
        <v>0.61781410190791997</v>
      </c>
      <c r="H2510">
        <v>0.27007160893736099</v>
      </c>
      <c r="I2510">
        <v>9.1359328881668297E-2</v>
      </c>
      <c r="J2510">
        <v>9.5156184357686802E-2</v>
      </c>
      <c r="K2510">
        <v>7.7325450283497493E-2</v>
      </c>
      <c r="L2510">
        <v>969.00352560036902</v>
      </c>
      <c r="M2510">
        <v>17.802164285311399</v>
      </c>
      <c r="N2510">
        <v>54.529325361614603</v>
      </c>
      <c r="O2510">
        <v>53.7588767094947</v>
      </c>
      <c r="P2510">
        <v>-8.1493907580356004E-2</v>
      </c>
      <c r="Q2510">
        <v>1.5671337182043998E-2</v>
      </c>
      <c r="R2510">
        <v>0.98916091688927499</v>
      </c>
      <c r="S2510" t="s">
        <v>9078</v>
      </c>
      <c r="T2510" t="s">
        <v>13134</v>
      </c>
      <c r="U2510" t="s">
        <v>13134</v>
      </c>
      <c r="V2510" t="s">
        <v>13134</v>
      </c>
      <c r="W2510" t="s">
        <v>15596</v>
      </c>
      <c r="X2510">
        <v>15</v>
      </c>
      <c r="Y2510" t="s">
        <v>22040</v>
      </c>
      <c r="Z2510" t="s">
        <v>28478</v>
      </c>
      <c r="AA2510">
        <v>0.60082377196662284</v>
      </c>
      <c r="AB2510" t="str">
        <f>HYPERLINK("Melting_Curves/meltCurve_P32119_PRDX2.pdf", "Melting_Curves/meltCurve_P32119_PRDX2.pdf")</f>
        <v>Melting_Curves/meltCurve_P32119_PRDX2.pdf</v>
      </c>
    </row>
    <row r="2511" spans="1:28" x14ac:dyDescent="0.25">
      <c r="A2511" t="s">
        <v>2515</v>
      </c>
      <c r="B2511">
        <v>0.99472303558308395</v>
      </c>
      <c r="C2511">
        <v>0.85728288780767004</v>
      </c>
      <c r="D2511">
        <v>0.89319253197201398</v>
      </c>
      <c r="E2511">
        <v>0.757614408972063</v>
      </c>
      <c r="F2511">
        <v>0.46286784285841398</v>
      </c>
      <c r="G2511">
        <v>0.116326260503442</v>
      </c>
      <c r="H2511">
        <v>7.1209952508477406E-2</v>
      </c>
      <c r="I2511">
        <v>5.1469285526150203E-2</v>
      </c>
      <c r="J2511">
        <v>6.1696534982434999E-2</v>
      </c>
      <c r="K2511">
        <v>5.8086999849606698E-2</v>
      </c>
      <c r="L2511">
        <v>930.14597363504595</v>
      </c>
      <c r="M2511">
        <v>18.937780162566099</v>
      </c>
      <c r="N2511">
        <v>49.266428865232001</v>
      </c>
      <c r="O2511">
        <v>48.578058765322403</v>
      </c>
      <c r="P2511">
        <v>-9.4724476605239499E-2</v>
      </c>
      <c r="Q2511">
        <v>2.8113021931761701E-2</v>
      </c>
      <c r="R2511">
        <v>0.98124719113248204</v>
      </c>
      <c r="S2511" t="s">
        <v>9079</v>
      </c>
      <c r="T2511" t="s">
        <v>13134</v>
      </c>
      <c r="U2511" t="s">
        <v>13134</v>
      </c>
      <c r="V2511" t="s">
        <v>13134</v>
      </c>
      <c r="W2511" t="s">
        <v>15597</v>
      </c>
      <c r="X2511">
        <v>3</v>
      </c>
      <c r="Y2511" t="s">
        <v>22041</v>
      </c>
      <c r="Z2511" t="s">
        <v>28479</v>
      </c>
      <c r="AA2511">
        <v>0.43474665250853489</v>
      </c>
      <c r="AB2511" t="str">
        <f>HYPERLINK("Melting_Curves/meltCurve_P32121_5_ARRB2.pdf", "Melting_Curves/meltCurve_P32121_5_ARRB2.pdf")</f>
        <v>Melting_Curves/meltCurve_P32121_5_ARRB2.pdf</v>
      </c>
    </row>
    <row r="2512" spans="1:28" x14ac:dyDescent="0.25">
      <c r="A2512" t="s">
        <v>2516</v>
      </c>
      <c r="B2512">
        <v>0.99472303558308395</v>
      </c>
      <c r="C2512">
        <v>0.96408428727803597</v>
      </c>
      <c r="D2512">
        <v>0.86771474720918496</v>
      </c>
      <c r="E2512">
        <v>0.70964435384606595</v>
      </c>
      <c r="F2512">
        <v>0.51695780820455695</v>
      </c>
      <c r="G2512">
        <v>0.296342773780709</v>
      </c>
      <c r="H2512">
        <v>0.22410545738658699</v>
      </c>
      <c r="I2512">
        <v>0.167418555596373</v>
      </c>
      <c r="J2512">
        <v>0.18923325460006901</v>
      </c>
      <c r="K2512">
        <v>0.226410117724929</v>
      </c>
      <c r="L2512">
        <v>727.25478517362797</v>
      </c>
      <c r="M2512">
        <v>14.986846762057899</v>
      </c>
      <c r="N2512">
        <v>49.863555965174797</v>
      </c>
      <c r="O2512">
        <v>47.686811096208601</v>
      </c>
      <c r="P2512">
        <v>-6.5573142007410296E-2</v>
      </c>
      <c r="Q2512">
        <v>0.165493108843245</v>
      </c>
      <c r="R2512">
        <v>0.99376277701252402</v>
      </c>
      <c r="S2512" t="s">
        <v>9080</v>
      </c>
      <c r="T2512" t="s">
        <v>13134</v>
      </c>
      <c r="U2512" t="s">
        <v>13134</v>
      </c>
      <c r="V2512" t="s">
        <v>13134</v>
      </c>
      <c r="W2512" t="s">
        <v>15598</v>
      </c>
      <c r="X2512">
        <v>8</v>
      </c>
      <c r="Y2512" t="s">
        <v>22042</v>
      </c>
      <c r="Z2512" t="s">
        <v>28480</v>
      </c>
      <c r="AA2512">
        <v>0.50430361400941781</v>
      </c>
      <c r="AB2512" t="str">
        <f>HYPERLINK("Melting_Curves/meltCurve_P32189_1_GK.pdf", "Melting_Curves/meltCurve_P32189_1_GK.pdf")</f>
        <v>Melting_Curves/meltCurve_P32189_1_GK.pdf</v>
      </c>
    </row>
    <row r="2513" spans="1:28" x14ac:dyDescent="0.25">
      <c r="A2513" t="s">
        <v>2517</v>
      </c>
      <c r="B2513">
        <v>0.99472303558308395</v>
      </c>
      <c r="C2513">
        <v>1.0861507390035501</v>
      </c>
      <c r="D2513">
        <v>0.92952276198484096</v>
      </c>
      <c r="E2513">
        <v>0.97363859729308</v>
      </c>
      <c r="F2513">
        <v>0.94137898486101101</v>
      </c>
      <c r="G2513">
        <v>0.76256084613621999</v>
      </c>
      <c r="H2513">
        <v>0.59380024663453601</v>
      </c>
      <c r="I2513">
        <v>0.70035088523536004</v>
      </c>
      <c r="J2513">
        <v>0.74149250763922103</v>
      </c>
      <c r="K2513">
        <v>0.28928321173399901</v>
      </c>
      <c r="L2513">
        <v>460.33966952120801</v>
      </c>
      <c r="M2513">
        <v>7.0462899920775497</v>
      </c>
      <c r="N2513">
        <v>65.330786840762102</v>
      </c>
      <c r="O2513">
        <v>60.680335365942597</v>
      </c>
      <c r="P2513">
        <v>-2.9082904203798301E-2</v>
      </c>
      <c r="Q2513">
        <v>0</v>
      </c>
      <c r="R2513">
        <v>0.77735229048299004</v>
      </c>
      <c r="S2513" t="s">
        <v>9081</v>
      </c>
      <c r="T2513" t="s">
        <v>13134</v>
      </c>
      <c r="U2513" t="s">
        <v>13134</v>
      </c>
      <c r="V2513" t="s">
        <v>13134</v>
      </c>
      <c r="W2513" t="s">
        <v>15599</v>
      </c>
      <c r="X2513">
        <v>7</v>
      </c>
      <c r="Y2513" t="s">
        <v>22043</v>
      </c>
      <c r="Z2513" t="s">
        <v>28481</v>
      </c>
      <c r="AA2513">
        <v>0.80757163059661896</v>
      </c>
      <c r="AB2513" t="str">
        <f>HYPERLINK("Melting_Curves/meltCurve_P32321_DCTD.pdf", "Melting_Curves/meltCurve_P32321_DCTD.pdf")</f>
        <v>Melting_Curves/meltCurve_P32321_DCTD.pdf</v>
      </c>
    </row>
    <row r="2514" spans="1:28" x14ac:dyDescent="0.25">
      <c r="A2514" t="s">
        <v>2518</v>
      </c>
      <c r="B2514">
        <v>0.99472303558308395</v>
      </c>
      <c r="C2514">
        <v>0.90117939315235096</v>
      </c>
      <c r="D2514">
        <v>0.86757984104812602</v>
      </c>
      <c r="E2514">
        <v>0.73937020185400004</v>
      </c>
      <c r="F2514">
        <v>0.818864266328862</v>
      </c>
      <c r="G2514">
        <v>0.55318128597670202</v>
      </c>
      <c r="H2514">
        <v>0.27400695947495102</v>
      </c>
      <c r="I2514">
        <v>0.26055130621137201</v>
      </c>
      <c r="J2514">
        <v>0.28329186648105997</v>
      </c>
      <c r="K2514">
        <v>0.309936982877002</v>
      </c>
      <c r="L2514">
        <v>526.40264014054696</v>
      </c>
      <c r="M2514">
        <v>10.065921612277799</v>
      </c>
      <c r="N2514">
        <v>54.2906251497607</v>
      </c>
      <c r="O2514">
        <v>50.357313952859201</v>
      </c>
      <c r="P2514">
        <v>-4.2266713047339498E-2</v>
      </c>
      <c r="Q2514">
        <v>0.15460123622826399</v>
      </c>
      <c r="R2514">
        <v>0.923964317692332</v>
      </c>
      <c r="S2514" t="s">
        <v>9082</v>
      </c>
      <c r="T2514" t="s">
        <v>13134</v>
      </c>
      <c r="U2514" t="s">
        <v>13134</v>
      </c>
      <c r="V2514" t="s">
        <v>13134</v>
      </c>
      <c r="W2514" t="s">
        <v>15600</v>
      </c>
      <c r="X2514">
        <v>14</v>
      </c>
      <c r="Y2514" t="s">
        <v>22044</v>
      </c>
      <c r="Z2514" t="s">
        <v>28482</v>
      </c>
      <c r="AA2514">
        <v>0.60708795063843046</v>
      </c>
      <c r="AB2514" t="str">
        <f>HYPERLINK("Melting_Curves/meltCurve_P32322_PYCR1.pdf", "Melting_Curves/meltCurve_P32322_PYCR1.pdf")</f>
        <v>Melting_Curves/meltCurve_P32322_PYCR1.pdf</v>
      </c>
    </row>
    <row r="2515" spans="1:28" x14ac:dyDescent="0.25">
      <c r="A2515" t="s">
        <v>2519</v>
      </c>
      <c r="B2515">
        <v>0.99472303558308395</v>
      </c>
      <c r="C2515">
        <v>0.76026240574157899</v>
      </c>
      <c r="D2515">
        <v>0.34554594778805903</v>
      </c>
      <c r="E2515">
        <v>0.15875529272952099</v>
      </c>
      <c r="F2515">
        <v>9.7122450133348595E-2</v>
      </c>
      <c r="G2515">
        <v>5.9873845928393399E-2</v>
      </c>
      <c r="H2515">
        <v>3.8508302914552997E-2</v>
      </c>
      <c r="I2515">
        <v>3.2897285223925002E-2</v>
      </c>
      <c r="J2515">
        <v>3.68904105717325E-2</v>
      </c>
      <c r="K2515">
        <v>2.85161680142027E-2</v>
      </c>
      <c r="L2515">
        <v>981.64297206877302</v>
      </c>
      <c r="M2515">
        <v>23.5125327308068</v>
      </c>
      <c r="N2515">
        <v>41.9294078408955</v>
      </c>
      <c r="O2515">
        <v>41.451293276871802</v>
      </c>
      <c r="P2515">
        <v>-0.13501556626535799</v>
      </c>
      <c r="Q2515">
        <v>4.79164588926368E-2</v>
      </c>
      <c r="R2515">
        <v>0.99523835560117702</v>
      </c>
      <c r="S2515" t="s">
        <v>9083</v>
      </c>
      <c r="T2515" t="s">
        <v>13134</v>
      </c>
      <c r="U2515" t="s">
        <v>13134</v>
      </c>
      <c r="V2515" t="s">
        <v>13134</v>
      </c>
      <c r="W2515" t="s">
        <v>15601</v>
      </c>
      <c r="X2515">
        <v>4</v>
      </c>
      <c r="Y2515" t="s">
        <v>22045</v>
      </c>
      <c r="Z2515" t="s">
        <v>28483</v>
      </c>
      <c r="AA2515">
        <v>0.20869311399623269</v>
      </c>
      <c r="AB2515" t="str">
        <f>HYPERLINK("Melting_Curves/meltCurve_P32519_2_ELF1.pdf", "Melting_Curves/meltCurve_P32519_2_ELF1.pdf")</f>
        <v>Melting_Curves/meltCurve_P32519_2_ELF1.pdf</v>
      </c>
    </row>
    <row r="2516" spans="1:28" x14ac:dyDescent="0.25">
      <c r="A2516" t="s">
        <v>2520</v>
      </c>
      <c r="B2516">
        <v>0.99472303558308395</v>
      </c>
      <c r="C2516">
        <v>0.94462306574638</v>
      </c>
      <c r="D2516">
        <v>0.73667202963074396</v>
      </c>
      <c r="E2516">
        <v>0.54796238919318196</v>
      </c>
      <c r="F2516">
        <v>0.30627734963327502</v>
      </c>
      <c r="G2516">
        <v>0.123084182602803</v>
      </c>
      <c r="H2516">
        <v>8.9772673313823603E-2</v>
      </c>
      <c r="I2516">
        <v>7.12255321853279E-2</v>
      </c>
      <c r="J2516">
        <v>8.0750856260733903E-2</v>
      </c>
      <c r="K2516">
        <v>6.4843945914897297E-2</v>
      </c>
      <c r="L2516">
        <v>684.29955812693197</v>
      </c>
      <c r="M2516">
        <v>14.698735134431001</v>
      </c>
      <c r="N2516">
        <v>46.856320270410997</v>
      </c>
      <c r="O2516">
        <v>45.718763614794803</v>
      </c>
      <c r="P2516">
        <v>-7.6759491837945504E-2</v>
      </c>
      <c r="Q2516">
        <v>4.5097385488437697E-2</v>
      </c>
      <c r="R2516">
        <v>0.99550574881519405</v>
      </c>
      <c r="S2516" t="s">
        <v>9084</v>
      </c>
      <c r="T2516" t="s">
        <v>13134</v>
      </c>
      <c r="U2516" t="s">
        <v>13134</v>
      </c>
      <c r="V2516" t="s">
        <v>13134</v>
      </c>
      <c r="W2516" t="s">
        <v>15602</v>
      </c>
      <c r="X2516">
        <v>5</v>
      </c>
      <c r="Y2516" t="s">
        <v>22046</v>
      </c>
      <c r="Z2516" t="s">
        <v>28484</v>
      </c>
      <c r="AA2516">
        <v>0.37177293144484019</v>
      </c>
      <c r="AB2516" t="str">
        <f>HYPERLINK("Melting_Curves/meltCurve_P32780_GTF2H1.pdf", "Melting_Curves/meltCurve_P32780_GTF2H1.pdf")</f>
        <v>Melting_Curves/meltCurve_P32780_GTF2H1.pdf</v>
      </c>
    </row>
    <row r="2517" spans="1:28" x14ac:dyDescent="0.25">
      <c r="A2517" t="s">
        <v>2521</v>
      </c>
      <c r="B2517">
        <v>0.99472303558308395</v>
      </c>
      <c r="C2517">
        <v>1.08857989308678</v>
      </c>
      <c r="D2517">
        <v>0.93428690909169099</v>
      </c>
      <c r="E2517">
        <v>0.88224748682238197</v>
      </c>
      <c r="F2517">
        <v>0.59175137582789705</v>
      </c>
      <c r="G2517">
        <v>0.38586114047534698</v>
      </c>
      <c r="H2517">
        <v>0.212893379673981</v>
      </c>
      <c r="I2517">
        <v>0.117144166547585</v>
      </c>
      <c r="J2517">
        <v>0.112445891798872</v>
      </c>
      <c r="K2517">
        <v>0.119444769505041</v>
      </c>
      <c r="L2517">
        <v>891.74506400465896</v>
      </c>
      <c r="M2517">
        <v>17.4313137342975</v>
      </c>
      <c r="N2517">
        <v>51.746644620848301</v>
      </c>
      <c r="O2517">
        <v>50.498595779358297</v>
      </c>
      <c r="P2517">
        <v>-7.8535252489350907E-2</v>
      </c>
      <c r="Q2517">
        <v>8.9982832517224096E-2</v>
      </c>
      <c r="R2517">
        <v>0.99108510618108503</v>
      </c>
      <c r="S2517" t="s">
        <v>9085</v>
      </c>
      <c r="T2517" t="s">
        <v>13134</v>
      </c>
      <c r="U2517" t="s">
        <v>13134</v>
      </c>
      <c r="V2517" t="s">
        <v>13134</v>
      </c>
      <c r="W2517" t="s">
        <v>15603</v>
      </c>
      <c r="X2517">
        <v>5</v>
      </c>
      <c r="Y2517" t="s">
        <v>22047</v>
      </c>
      <c r="Z2517" t="s">
        <v>28485</v>
      </c>
      <c r="AA2517">
        <v>0.53420548626231201</v>
      </c>
      <c r="AB2517" t="str">
        <f>HYPERLINK("Melting_Curves/meltCurve_P32856_3_STX2.pdf", "Melting_Curves/meltCurve_P32856_3_STX2.pdf")</f>
        <v>Melting_Curves/meltCurve_P32856_3_STX2.pdf</v>
      </c>
    </row>
    <row r="2518" spans="1:28" x14ac:dyDescent="0.25">
      <c r="A2518" t="s">
        <v>2522</v>
      </c>
      <c r="B2518">
        <v>0.99472303558308395</v>
      </c>
      <c r="C2518">
        <v>0.92805885735205795</v>
      </c>
      <c r="D2518">
        <v>0.77204055888847101</v>
      </c>
      <c r="E2518">
        <v>0.69676580992792703</v>
      </c>
      <c r="F2518">
        <v>0.62819569658970398</v>
      </c>
      <c r="G2518">
        <v>0.42236421486139403</v>
      </c>
      <c r="H2518">
        <v>0.35026483050595703</v>
      </c>
      <c r="I2518">
        <v>0.33826911501441298</v>
      </c>
      <c r="J2518">
        <v>0.51545390189936602</v>
      </c>
      <c r="K2518">
        <v>0.41076212100917597</v>
      </c>
      <c r="L2518">
        <v>573.49001005800596</v>
      </c>
      <c r="M2518">
        <v>12.4077246878573</v>
      </c>
      <c r="N2518">
        <v>52.2495615566244</v>
      </c>
      <c r="O2518">
        <v>45.0690541206448</v>
      </c>
      <c r="P2518">
        <v>-4.26431445417128E-2</v>
      </c>
      <c r="Q2518">
        <v>0.38055413659640902</v>
      </c>
      <c r="R2518">
        <v>0.92535853094096598</v>
      </c>
      <c r="S2518" t="s">
        <v>9086</v>
      </c>
      <c r="T2518" t="s">
        <v>13134</v>
      </c>
      <c r="U2518" t="s">
        <v>13134</v>
      </c>
      <c r="V2518" t="s">
        <v>13134</v>
      </c>
      <c r="W2518" t="s">
        <v>15604</v>
      </c>
      <c r="X2518">
        <v>11</v>
      </c>
      <c r="Y2518" t="s">
        <v>22048</v>
      </c>
      <c r="Z2518" t="s">
        <v>28486</v>
      </c>
      <c r="AA2518">
        <v>0.59091105890201567</v>
      </c>
      <c r="AB2518" t="str">
        <f>HYPERLINK("Melting_Curves/meltCurve_P32929_CTH.pdf", "Melting_Curves/meltCurve_P32929_CTH.pdf")</f>
        <v>Melting_Curves/meltCurve_P32929_CTH.pdf</v>
      </c>
    </row>
    <row r="2519" spans="1:28" x14ac:dyDescent="0.25">
      <c r="A2519" t="s">
        <v>2523</v>
      </c>
      <c r="B2519">
        <v>0.99472303558308395</v>
      </c>
      <c r="C2519">
        <v>0.87877618619117404</v>
      </c>
      <c r="D2519">
        <v>1.01219435089437</v>
      </c>
      <c r="E2519">
        <v>0.74924155416650995</v>
      </c>
      <c r="F2519">
        <v>0.69099740315862701</v>
      </c>
      <c r="G2519">
        <v>0.38279685990338902</v>
      </c>
      <c r="H2519">
        <v>0.19563009536339601</v>
      </c>
      <c r="I2519">
        <v>7.4998858774170396E-2</v>
      </c>
      <c r="J2519">
        <v>7.3547758840305705E-2</v>
      </c>
      <c r="K2519">
        <v>8.2165162585364798E-2</v>
      </c>
      <c r="L2519">
        <v>718.95200788295097</v>
      </c>
      <c r="M2519">
        <v>13.8293556042566</v>
      </c>
      <c r="N2519">
        <v>51.999239066137797</v>
      </c>
      <c r="O2519">
        <v>50.936513845384702</v>
      </c>
      <c r="P2519">
        <v>-6.7777794584053502E-2</v>
      </c>
      <c r="Q2519">
        <v>1.5773810237956301E-3</v>
      </c>
      <c r="R2519">
        <v>0.97791297389639298</v>
      </c>
      <c r="S2519" t="s">
        <v>9087</v>
      </c>
      <c r="T2519" t="s">
        <v>13134</v>
      </c>
      <c r="U2519" t="s">
        <v>13134</v>
      </c>
      <c r="V2519" t="s">
        <v>13134</v>
      </c>
      <c r="W2519" t="s">
        <v>15605</v>
      </c>
      <c r="X2519">
        <v>6</v>
      </c>
      <c r="Y2519" t="s">
        <v>22049</v>
      </c>
      <c r="Z2519" t="s">
        <v>28487</v>
      </c>
      <c r="AA2519">
        <v>0.52125611851372089</v>
      </c>
      <c r="AB2519" t="str">
        <f>HYPERLINK("Melting_Curves/meltCurve_P32969_RPL9.pdf", "Melting_Curves/meltCurve_P32969_RPL9.pdf")</f>
        <v>Melting_Curves/meltCurve_P32969_RPL9.pdf</v>
      </c>
    </row>
    <row r="2520" spans="1:28" x14ac:dyDescent="0.25">
      <c r="A2520" t="s">
        <v>2524</v>
      </c>
      <c r="B2520">
        <v>0.99472303558308395</v>
      </c>
      <c r="C2520">
        <v>0.91109464876937896</v>
      </c>
      <c r="D2520">
        <v>0.96135757759333296</v>
      </c>
      <c r="E2520">
        <v>0.80694735013422203</v>
      </c>
      <c r="F2520">
        <v>0.39526893787457801</v>
      </c>
      <c r="G2520">
        <v>0.15175654143050299</v>
      </c>
      <c r="H2520">
        <v>7.4667847986805994E-2</v>
      </c>
      <c r="I2520">
        <v>5.5623272285360598E-2</v>
      </c>
      <c r="J2520">
        <v>7.5263203794652095E-2</v>
      </c>
      <c r="K2520">
        <v>4.5266405151652603E-2</v>
      </c>
      <c r="L2520">
        <v>1205.8244606148501</v>
      </c>
      <c r="M2520">
        <v>24.5723805198772</v>
      </c>
      <c r="N2520">
        <v>49.297618432040402</v>
      </c>
      <c r="O2520">
        <v>48.750805460121597</v>
      </c>
      <c r="P2520">
        <v>-0.119320064315563</v>
      </c>
      <c r="Q2520">
        <v>5.3105096335367301E-2</v>
      </c>
      <c r="R2520">
        <v>0.99494055417059801</v>
      </c>
      <c r="S2520" t="s">
        <v>9088</v>
      </c>
      <c r="T2520" t="s">
        <v>13134</v>
      </c>
      <c r="U2520" t="s">
        <v>13134</v>
      </c>
      <c r="V2520" t="s">
        <v>13134</v>
      </c>
      <c r="W2520" t="s">
        <v>15606</v>
      </c>
      <c r="X2520">
        <v>15</v>
      </c>
      <c r="Y2520" t="s">
        <v>22050</v>
      </c>
      <c r="Z2520" t="s">
        <v>28488</v>
      </c>
      <c r="AA2520">
        <v>0.44261524334791569</v>
      </c>
      <c r="AB2520" t="str">
        <f>HYPERLINK("Melting_Curves/meltCurve_P33121_2_ACSL1.pdf", "Melting_Curves/meltCurve_P33121_2_ACSL1.pdf")</f>
        <v>Melting_Curves/meltCurve_P33121_2_ACSL1.pdf</v>
      </c>
    </row>
    <row r="2521" spans="1:28" x14ac:dyDescent="0.25">
      <c r="A2521" t="s">
        <v>2525</v>
      </c>
      <c r="B2521">
        <v>0.99472303558308395</v>
      </c>
      <c r="C2521">
        <v>0.99069693720267504</v>
      </c>
      <c r="D2521">
        <v>0.83162762410268098</v>
      </c>
      <c r="E2521">
        <v>0.76591173774744803</v>
      </c>
      <c r="F2521">
        <v>0.68122393402203896</v>
      </c>
      <c r="G2521">
        <v>0.11362738574181</v>
      </c>
      <c r="H2521">
        <v>8.2870556521637606E-2</v>
      </c>
      <c r="I2521">
        <v>5.4910120680956603E-2</v>
      </c>
      <c r="J2521">
        <v>5.8174175356526699E-2</v>
      </c>
      <c r="K2521">
        <v>4.8293655093920501E-2</v>
      </c>
      <c r="L2521">
        <v>987.69669618022203</v>
      </c>
      <c r="M2521">
        <v>19.574032944390801</v>
      </c>
      <c r="N2521">
        <v>50.540298371030097</v>
      </c>
      <c r="O2521">
        <v>49.9417470394744</v>
      </c>
      <c r="P2521">
        <v>-9.6479154591463903E-2</v>
      </c>
      <c r="Q2521">
        <v>1.5396542759422E-2</v>
      </c>
      <c r="R2521">
        <v>0.96029980959598005</v>
      </c>
      <c r="S2521" t="s">
        <v>9089</v>
      </c>
      <c r="T2521" t="s">
        <v>13134</v>
      </c>
      <c r="U2521" t="s">
        <v>13134</v>
      </c>
      <c r="V2521" t="s">
        <v>13134</v>
      </c>
      <c r="W2521" t="s">
        <v>15607</v>
      </c>
      <c r="X2521">
        <v>62</v>
      </c>
      <c r="Y2521" t="s">
        <v>22051</v>
      </c>
      <c r="Z2521" t="s">
        <v>28489</v>
      </c>
      <c r="AA2521">
        <v>0.4705655188606046</v>
      </c>
      <c r="AB2521" t="str">
        <f>HYPERLINK("Melting_Curves/meltCurve_P33176_KIF5B.pdf", "Melting_Curves/meltCurve_P33176_KIF5B.pdf")</f>
        <v>Melting_Curves/meltCurve_P33176_KIF5B.pdf</v>
      </c>
    </row>
    <row r="2522" spans="1:28" x14ac:dyDescent="0.25">
      <c r="A2522" t="s">
        <v>2526</v>
      </c>
      <c r="B2522">
        <v>0.99472303558308395</v>
      </c>
      <c r="C2522">
        <v>0.95225748600207505</v>
      </c>
      <c r="D2522">
        <v>0.88500047597917697</v>
      </c>
      <c r="E2522">
        <v>0.665215273528318</v>
      </c>
      <c r="F2522">
        <v>0.57705720209066602</v>
      </c>
      <c r="G2522">
        <v>0.35314765455076702</v>
      </c>
      <c r="H2522">
        <v>0.21038982950805299</v>
      </c>
      <c r="I2522">
        <v>0.15478353525914301</v>
      </c>
      <c r="J2522">
        <v>0.176961436471756</v>
      </c>
      <c r="K2522">
        <v>0.141321998960249</v>
      </c>
      <c r="L2522">
        <v>585.10686324663902</v>
      </c>
      <c r="M2522">
        <v>11.7687710850978</v>
      </c>
      <c r="N2522">
        <v>50.556302319426898</v>
      </c>
      <c r="O2522">
        <v>48.3465715121242</v>
      </c>
      <c r="P2522">
        <v>-5.5469885551989097E-2</v>
      </c>
      <c r="Q2522">
        <v>8.8747042226944794E-2</v>
      </c>
      <c r="R2522">
        <v>0.99181856065905305</v>
      </c>
      <c r="S2522" t="s">
        <v>9090</v>
      </c>
      <c r="T2522" t="s">
        <v>13134</v>
      </c>
      <c r="U2522" t="s">
        <v>13134</v>
      </c>
      <c r="V2522" t="s">
        <v>13134</v>
      </c>
      <c r="W2522" t="s">
        <v>15608</v>
      </c>
      <c r="X2522">
        <v>18</v>
      </c>
      <c r="Y2522" t="s">
        <v>22052</v>
      </c>
      <c r="Z2522" t="s">
        <v>28490</v>
      </c>
      <c r="AA2522">
        <v>0.50161089410249049</v>
      </c>
      <c r="AB2522" t="str">
        <f>HYPERLINK("Melting_Curves/meltCurve_P33240_2_CSTF2.pdf", "Melting_Curves/meltCurve_P33240_2_CSTF2.pdf")</f>
        <v>Melting_Curves/meltCurve_P33240_2_CSTF2.pdf</v>
      </c>
    </row>
    <row r="2523" spans="1:28" x14ac:dyDescent="0.25">
      <c r="A2523" t="s">
        <v>2527</v>
      </c>
      <c r="B2523">
        <v>0.99472303558308395</v>
      </c>
      <c r="C2523">
        <v>1.28338755208077</v>
      </c>
      <c r="D2523">
        <v>0.90974559916346498</v>
      </c>
      <c r="E2523">
        <v>1.1726517692320799</v>
      </c>
      <c r="F2523">
        <v>0.59649831650636598</v>
      </c>
      <c r="G2523">
        <v>0.73191550060245603</v>
      </c>
      <c r="H2523">
        <v>0.28273999525569998</v>
      </c>
      <c r="I2523">
        <v>0.168493568923552</v>
      </c>
      <c r="J2523">
        <v>0.16164767065257599</v>
      </c>
      <c r="K2523">
        <v>0.11708591570176501</v>
      </c>
      <c r="L2523">
        <v>943.39468766919504</v>
      </c>
      <c r="M2523">
        <v>17.351904362545699</v>
      </c>
      <c r="N2523">
        <v>54.889642199449803</v>
      </c>
      <c r="O2523">
        <v>53.661667720507303</v>
      </c>
      <c r="P2523">
        <v>-7.4702822719296305E-2</v>
      </c>
      <c r="Q2523">
        <v>7.5963145182136801E-2</v>
      </c>
      <c r="R2523">
        <v>0.87724904925270597</v>
      </c>
      <c r="S2523" t="s">
        <v>9091</v>
      </c>
      <c r="T2523" t="s">
        <v>13134</v>
      </c>
      <c r="U2523" t="s">
        <v>13134</v>
      </c>
      <c r="V2523" t="s">
        <v>13134</v>
      </c>
      <c r="W2523" t="s">
        <v>15609</v>
      </c>
      <c r="X2523">
        <v>13</v>
      </c>
      <c r="Y2523" t="s">
        <v>22053</v>
      </c>
      <c r="Z2523" t="s">
        <v>28491</v>
      </c>
      <c r="AA2523">
        <v>0.62370080935526928</v>
      </c>
      <c r="AB2523" t="str">
        <f>HYPERLINK("Melting_Curves/meltCurve_P33316_DUT.pdf", "Melting_Curves/meltCurve_P33316_DUT.pdf")</f>
        <v>Melting_Curves/meltCurve_P33316_DUT.pdf</v>
      </c>
    </row>
    <row r="2524" spans="1:28" x14ac:dyDescent="0.25">
      <c r="A2524" t="s">
        <v>2528</v>
      </c>
      <c r="B2524">
        <v>0.99472303558308395</v>
      </c>
      <c r="C2524">
        <v>1.0305675741073199</v>
      </c>
      <c r="D2524">
        <v>1.02299459391752</v>
      </c>
      <c r="E2524">
        <v>0.99955960883672501</v>
      </c>
      <c r="F2524">
        <v>0.87497812069478298</v>
      </c>
      <c r="G2524">
        <v>0.65836084381151305</v>
      </c>
      <c r="H2524">
        <v>0.32405323743520797</v>
      </c>
      <c r="I2524">
        <v>0.18283874229706301</v>
      </c>
      <c r="J2524">
        <v>0.14819016375542199</v>
      </c>
      <c r="K2524">
        <v>0.136707060501704</v>
      </c>
      <c r="L2524">
        <v>1285.3359272377299</v>
      </c>
      <c r="M2524">
        <v>23.524110719830201</v>
      </c>
      <c r="N2524">
        <v>55.279557329226002</v>
      </c>
      <c r="O2524">
        <v>54.248833952283803</v>
      </c>
      <c r="P2524">
        <v>-9.5478685851617798E-2</v>
      </c>
      <c r="Q2524">
        <v>0.11928339298351801</v>
      </c>
      <c r="R2524">
        <v>0.99783540626449496</v>
      </c>
      <c r="S2524" t="s">
        <v>9092</v>
      </c>
      <c r="T2524" t="s">
        <v>13134</v>
      </c>
      <c r="U2524" t="s">
        <v>13134</v>
      </c>
      <c r="V2524" t="s">
        <v>13134</v>
      </c>
      <c r="W2524" t="s">
        <v>15610</v>
      </c>
      <c r="X2524">
        <v>14</v>
      </c>
      <c r="Y2524" t="s">
        <v>22053</v>
      </c>
      <c r="Z2524" t="s">
        <v>28492</v>
      </c>
      <c r="AA2524">
        <v>0.64541266441211342</v>
      </c>
      <c r="AB2524" t="str">
        <f>HYPERLINK("Melting_Curves/meltCurve_P33316_2_DUT.pdf", "Melting_Curves/meltCurve_P33316_2_DUT.pdf")</f>
        <v>Melting_Curves/meltCurve_P33316_2_DUT.pdf</v>
      </c>
    </row>
    <row r="2525" spans="1:28" x14ac:dyDescent="0.25">
      <c r="A2525" t="s">
        <v>2529</v>
      </c>
      <c r="B2525">
        <v>0.99472303558308395</v>
      </c>
      <c r="C2525">
        <v>1.0180397129231</v>
      </c>
      <c r="D2525">
        <v>0.964794664318673</v>
      </c>
      <c r="E2525">
        <v>0.73233080797324901</v>
      </c>
      <c r="F2525">
        <v>0.48846029001180702</v>
      </c>
      <c r="G2525">
        <v>0.24610877658642299</v>
      </c>
      <c r="H2525">
        <v>0.17359383902686701</v>
      </c>
      <c r="I2525">
        <v>0.123967102587988</v>
      </c>
      <c r="J2525">
        <v>0.21233239639301599</v>
      </c>
      <c r="K2525">
        <v>0.168412204985183</v>
      </c>
      <c r="L2525">
        <v>999.83891713820299</v>
      </c>
      <c r="M2525">
        <v>20.516252746338399</v>
      </c>
      <c r="N2525">
        <v>49.6330135633591</v>
      </c>
      <c r="O2525">
        <v>48.278074348225402</v>
      </c>
      <c r="P2525">
        <v>-8.9755129014446003E-2</v>
      </c>
      <c r="Q2525">
        <v>0.15519128830007001</v>
      </c>
      <c r="R2525">
        <v>0.99351707271821899</v>
      </c>
      <c r="S2525" t="s">
        <v>9093</v>
      </c>
      <c r="T2525" t="s">
        <v>13134</v>
      </c>
      <c r="U2525" t="s">
        <v>13134</v>
      </c>
      <c r="V2525" t="s">
        <v>13134</v>
      </c>
      <c r="W2525" t="s">
        <v>15611</v>
      </c>
      <c r="X2525">
        <v>2</v>
      </c>
      <c r="Y2525" t="s">
        <v>22054</v>
      </c>
      <c r="Z2525" t="s">
        <v>28493</v>
      </c>
      <c r="AA2525">
        <v>0.49623589069531238</v>
      </c>
      <c r="AB2525" t="str">
        <f>HYPERLINK("Melting_Curves/meltCurve_P33552_CKS2.pdf", "Melting_Curves/meltCurve_P33552_CKS2.pdf")</f>
        <v>Melting_Curves/meltCurve_P33552_CKS2.pdf</v>
      </c>
    </row>
    <row r="2526" spans="1:28" x14ac:dyDescent="0.25">
      <c r="A2526" t="s">
        <v>2530</v>
      </c>
      <c r="B2526">
        <v>0.99472303558308395</v>
      </c>
      <c r="C2526">
        <v>1.0358993385833799</v>
      </c>
      <c r="D2526">
        <v>0.90707463128892296</v>
      </c>
      <c r="E2526">
        <v>0.82486051898572299</v>
      </c>
      <c r="F2526">
        <v>0.59766035518362803</v>
      </c>
      <c r="G2526">
        <v>0.406967962250324</v>
      </c>
      <c r="H2526">
        <v>0.197281649162661</v>
      </c>
      <c r="I2526">
        <v>0.14080481181747301</v>
      </c>
      <c r="J2526">
        <v>0.164746958903701</v>
      </c>
      <c r="K2526">
        <v>0.14678378594444699</v>
      </c>
      <c r="L2526">
        <v>788.62140630071599</v>
      </c>
      <c r="M2526">
        <v>15.5160531585841</v>
      </c>
      <c r="N2526">
        <v>51.6352826666417</v>
      </c>
      <c r="O2526">
        <v>50.004376331716998</v>
      </c>
      <c r="P2526">
        <v>-6.9208099025700506E-2</v>
      </c>
      <c r="Q2526">
        <v>0.107917467053642</v>
      </c>
      <c r="R2526">
        <v>0.99319244431388298</v>
      </c>
      <c r="S2526" t="s">
        <v>9094</v>
      </c>
      <c r="T2526" t="s">
        <v>13134</v>
      </c>
      <c r="U2526" t="s">
        <v>13134</v>
      </c>
      <c r="V2526" t="s">
        <v>13134</v>
      </c>
      <c r="W2526" t="s">
        <v>15612</v>
      </c>
      <c r="X2526">
        <v>6</v>
      </c>
      <c r="Y2526" t="s">
        <v>22055</v>
      </c>
      <c r="Z2526" t="s">
        <v>28494</v>
      </c>
      <c r="AA2526">
        <v>0.53633316509166062</v>
      </c>
      <c r="AB2526" t="str">
        <f>HYPERLINK("Melting_Curves/meltCurve_P33908_MAN1A1.pdf", "Melting_Curves/meltCurve_P33908_MAN1A1.pdf")</f>
        <v>Melting_Curves/meltCurve_P33908_MAN1A1.pdf</v>
      </c>
    </row>
    <row r="2527" spans="1:28" x14ac:dyDescent="0.25">
      <c r="A2527" t="s">
        <v>2531</v>
      </c>
      <c r="B2527">
        <v>0.99472303558308395</v>
      </c>
      <c r="C2527">
        <v>0.86720073719712598</v>
      </c>
      <c r="D2527">
        <v>0.79781255803211704</v>
      </c>
      <c r="E2527">
        <v>0.41208506778237802</v>
      </c>
      <c r="F2527">
        <v>0.17187613347752001</v>
      </c>
      <c r="G2527">
        <v>9.7255891146454804E-2</v>
      </c>
      <c r="H2527">
        <v>5.4273089367826897E-2</v>
      </c>
      <c r="I2527">
        <v>3.0221863197289801E-2</v>
      </c>
      <c r="J2527">
        <v>3.6560367968325097E-2</v>
      </c>
      <c r="K2527">
        <v>3.8670159757959899E-2</v>
      </c>
      <c r="L2527">
        <v>828.29990969619701</v>
      </c>
      <c r="M2527">
        <v>18.1629973926227</v>
      </c>
      <c r="N2527">
        <v>45.757394825392602</v>
      </c>
      <c r="O2527">
        <v>45.061668408028403</v>
      </c>
      <c r="P2527">
        <v>-9.7790206212391706E-2</v>
      </c>
      <c r="Q2527">
        <v>2.9591787051484401E-2</v>
      </c>
      <c r="R2527">
        <v>0.99527668974350303</v>
      </c>
      <c r="S2527" t="s">
        <v>9095</v>
      </c>
      <c r="T2527" t="s">
        <v>13134</v>
      </c>
      <c r="U2527" t="s">
        <v>13134</v>
      </c>
      <c r="V2527" t="s">
        <v>13134</v>
      </c>
      <c r="W2527" t="s">
        <v>15613</v>
      </c>
      <c r="X2527">
        <v>11</v>
      </c>
      <c r="Y2527" t="s">
        <v>22056</v>
      </c>
      <c r="Z2527" t="s">
        <v>28495</v>
      </c>
      <c r="AA2527">
        <v>0.32336182957746451</v>
      </c>
      <c r="AB2527" t="str">
        <f>HYPERLINK("Melting_Curves/meltCurve_P33981_2_TTK.pdf", "Melting_Curves/meltCurve_P33981_2_TTK.pdf")</f>
        <v>Melting_Curves/meltCurve_P33981_2_TTK.pdf</v>
      </c>
    </row>
    <row r="2528" spans="1:28" x14ac:dyDescent="0.25">
      <c r="A2528" t="s">
        <v>2532</v>
      </c>
      <c r="B2528">
        <v>0.99472303558308395</v>
      </c>
      <c r="C2528">
        <v>0.93734855810519802</v>
      </c>
      <c r="D2528">
        <v>0.77893663968701199</v>
      </c>
      <c r="E2528">
        <v>0.63367189911010302</v>
      </c>
      <c r="F2528">
        <v>0.52790127257183095</v>
      </c>
      <c r="G2528">
        <v>0.124514419120036</v>
      </c>
      <c r="H2528">
        <v>6.94311305800068E-2</v>
      </c>
      <c r="I2528">
        <v>3.9708360233033799E-2</v>
      </c>
      <c r="J2528">
        <v>4.7745774916637097E-2</v>
      </c>
      <c r="K2528">
        <v>3.82742574476784E-2</v>
      </c>
      <c r="L2528">
        <v>647.42150216552</v>
      </c>
      <c r="M2528">
        <v>13.3206999093478</v>
      </c>
      <c r="N2528">
        <v>48.602664052024799</v>
      </c>
      <c r="O2528">
        <v>47.546490156499701</v>
      </c>
      <c r="P2528">
        <v>-7.0051649114787701E-2</v>
      </c>
      <c r="Q2528">
        <v>0</v>
      </c>
      <c r="R2528">
        <v>0.97603421863432505</v>
      </c>
      <c r="S2528" t="s">
        <v>9096</v>
      </c>
      <c r="T2528" t="s">
        <v>13134</v>
      </c>
      <c r="U2528" t="s">
        <v>13134</v>
      </c>
      <c r="V2528" t="s">
        <v>13134</v>
      </c>
      <c r="W2528" t="s">
        <v>15614</v>
      </c>
      <c r="X2528">
        <v>41</v>
      </c>
      <c r="Y2528" t="s">
        <v>22057</v>
      </c>
      <c r="Z2528" t="s">
        <v>28496</v>
      </c>
      <c r="AA2528">
        <v>0.41288495603960051</v>
      </c>
      <c r="AB2528" t="str">
        <f>HYPERLINK("Melting_Curves/meltCurve_P33991_MCM4.pdf", "Melting_Curves/meltCurve_P33991_MCM4.pdf")</f>
        <v>Melting_Curves/meltCurve_P33991_MCM4.pdf</v>
      </c>
    </row>
    <row r="2529" spans="1:28" x14ac:dyDescent="0.25">
      <c r="A2529" t="s">
        <v>2533</v>
      </c>
      <c r="B2529">
        <v>0.99472303558308395</v>
      </c>
      <c r="C2529">
        <v>0.93271195582095701</v>
      </c>
      <c r="D2529">
        <v>0.82629151837723103</v>
      </c>
      <c r="E2529">
        <v>0.69054762324627195</v>
      </c>
      <c r="F2529">
        <v>0.70550149207244806</v>
      </c>
      <c r="G2529">
        <v>0.34214237479818699</v>
      </c>
      <c r="H2529">
        <v>9.3522019309115204E-2</v>
      </c>
      <c r="I2529">
        <v>5.3229859765851699E-2</v>
      </c>
      <c r="J2529">
        <v>5.1674438636603703E-2</v>
      </c>
      <c r="K2529">
        <v>4.8729909771175001E-2</v>
      </c>
      <c r="L2529">
        <v>666.47746496254001</v>
      </c>
      <c r="M2529">
        <v>13.085836481289601</v>
      </c>
      <c r="N2529">
        <v>50.931209231984198</v>
      </c>
      <c r="O2529">
        <v>49.785819168048</v>
      </c>
      <c r="P2529">
        <v>-6.5721957436326903E-2</v>
      </c>
      <c r="Q2529">
        <v>0</v>
      </c>
      <c r="R2529">
        <v>0.96227697694353698</v>
      </c>
      <c r="S2529" t="s">
        <v>9097</v>
      </c>
      <c r="T2529" t="s">
        <v>13134</v>
      </c>
      <c r="U2529" t="s">
        <v>13134</v>
      </c>
      <c r="V2529" t="s">
        <v>13134</v>
      </c>
      <c r="W2529" t="s">
        <v>15615</v>
      </c>
      <c r="X2529">
        <v>41</v>
      </c>
      <c r="Y2529" t="s">
        <v>22058</v>
      </c>
      <c r="Z2529" t="s">
        <v>28497</v>
      </c>
      <c r="AA2529">
        <v>0.48823910778400009</v>
      </c>
      <c r="AB2529" t="str">
        <f>HYPERLINK("Melting_Curves/meltCurve_P33992_MCM5.pdf", "Melting_Curves/meltCurve_P33992_MCM5.pdf")</f>
        <v>Melting_Curves/meltCurve_P33992_MCM5.pdf</v>
      </c>
    </row>
    <row r="2530" spans="1:28" x14ac:dyDescent="0.25">
      <c r="A2530" t="s">
        <v>2534</v>
      </c>
      <c r="B2530">
        <v>0.99472303558308395</v>
      </c>
      <c r="C2530">
        <v>0.88444584213063404</v>
      </c>
      <c r="D2530">
        <v>0.68714171331776297</v>
      </c>
      <c r="E2530">
        <v>0.52243140100742302</v>
      </c>
      <c r="F2530">
        <v>0.37978018259221902</v>
      </c>
      <c r="G2530">
        <v>7.2108281469904195E-2</v>
      </c>
      <c r="H2530">
        <v>4.89216638908982E-2</v>
      </c>
      <c r="I2530">
        <v>3.5038598770916002E-2</v>
      </c>
      <c r="J2530">
        <v>3.7355750735198999E-2</v>
      </c>
      <c r="K2530">
        <v>3.1844463318504997E-2</v>
      </c>
      <c r="L2530">
        <v>586.88581509850997</v>
      </c>
      <c r="M2530">
        <v>12.5936857846416</v>
      </c>
      <c r="N2530">
        <v>46.601592513012498</v>
      </c>
      <c r="O2530">
        <v>45.473383622318302</v>
      </c>
      <c r="P2530">
        <v>-6.92503851161968E-2</v>
      </c>
      <c r="Q2530">
        <v>0</v>
      </c>
      <c r="R2530">
        <v>0.98344701895406905</v>
      </c>
      <c r="S2530" t="s">
        <v>9098</v>
      </c>
      <c r="T2530" t="s">
        <v>13134</v>
      </c>
      <c r="U2530" t="s">
        <v>13134</v>
      </c>
      <c r="V2530" t="s">
        <v>13134</v>
      </c>
      <c r="W2530" t="s">
        <v>15616</v>
      </c>
      <c r="X2530">
        <v>35</v>
      </c>
      <c r="Y2530" t="s">
        <v>22059</v>
      </c>
      <c r="Z2530" t="s">
        <v>28498</v>
      </c>
      <c r="AA2530">
        <v>0.35096644737192589</v>
      </c>
      <c r="AB2530" t="str">
        <f>HYPERLINK("Melting_Curves/meltCurve_P33993_MCM7.pdf", "Melting_Curves/meltCurve_P33993_MCM7.pdf")</f>
        <v>Melting_Curves/meltCurve_P33993_MCM7.pdf</v>
      </c>
    </row>
    <row r="2531" spans="1:28" x14ac:dyDescent="0.25">
      <c r="A2531" t="s">
        <v>2535</v>
      </c>
      <c r="B2531">
        <v>0.99472303558308395</v>
      </c>
      <c r="C2531">
        <v>0.91784532368640903</v>
      </c>
      <c r="D2531">
        <v>0.90202848377794698</v>
      </c>
      <c r="E2531">
        <v>0.81455777031826504</v>
      </c>
      <c r="F2531">
        <v>0.74867462963762699</v>
      </c>
      <c r="G2531">
        <v>0.51995621355016097</v>
      </c>
      <c r="H2531">
        <v>0.46766029583795599</v>
      </c>
      <c r="I2531">
        <v>0.455162184834359</v>
      </c>
      <c r="J2531">
        <v>0.65607799188375004</v>
      </c>
      <c r="K2531">
        <v>0.63887293271628298</v>
      </c>
      <c r="L2531">
        <v>801.70176713518504</v>
      </c>
      <c r="M2531">
        <v>16.9251033744981</v>
      </c>
      <c r="O2531">
        <v>46.721189802192598</v>
      </c>
      <c r="P2531">
        <v>-4.1444278440750403E-2</v>
      </c>
      <c r="Q2531">
        <v>0.54240657745559395</v>
      </c>
      <c r="R2531">
        <v>0.83477267915026698</v>
      </c>
      <c r="S2531" t="s">
        <v>9099</v>
      </c>
      <c r="T2531" t="s">
        <v>13134</v>
      </c>
      <c r="U2531" t="s">
        <v>13134</v>
      </c>
      <c r="V2531" t="s">
        <v>13134</v>
      </c>
      <c r="W2531" t="s">
        <v>15617</v>
      </c>
      <c r="X2531">
        <v>4</v>
      </c>
      <c r="Y2531" t="s">
        <v>22060</v>
      </c>
      <c r="Z2531" t="s">
        <v>28499</v>
      </c>
      <c r="AA2531">
        <v>0.70876897559234908</v>
      </c>
      <c r="AB2531" t="str">
        <f>HYPERLINK("Melting_Curves/meltCurve_P34059_GALNS.pdf", "Melting_Curves/meltCurve_P34059_GALNS.pdf")</f>
        <v>Melting_Curves/meltCurve_P34059_GALNS.pdf</v>
      </c>
    </row>
    <row r="2532" spans="1:28" x14ac:dyDescent="0.25">
      <c r="A2532" t="s">
        <v>2536</v>
      </c>
      <c r="B2532">
        <v>0.99472303558308395</v>
      </c>
      <c r="C2532">
        <v>0.99651749468295203</v>
      </c>
      <c r="D2532">
        <v>0.90123691011238105</v>
      </c>
      <c r="E2532">
        <v>0.80861141654541702</v>
      </c>
      <c r="F2532">
        <v>0.73778890631162397</v>
      </c>
      <c r="G2532">
        <v>0.50622878780125602</v>
      </c>
      <c r="H2532">
        <v>0.41775720564350499</v>
      </c>
      <c r="I2532">
        <v>0.35045357742023497</v>
      </c>
      <c r="J2532">
        <v>0.58534443713992601</v>
      </c>
      <c r="K2532">
        <v>0.25392015780852401</v>
      </c>
      <c r="L2532">
        <v>650.93236059995502</v>
      </c>
      <c r="M2532">
        <v>12.9520644154509</v>
      </c>
      <c r="N2532">
        <v>55.246053532664803</v>
      </c>
      <c r="O2532">
        <v>49.104242330997899</v>
      </c>
      <c r="P2532">
        <v>-4.3215309646065403E-2</v>
      </c>
      <c r="Q2532">
        <v>0.34476089291249101</v>
      </c>
      <c r="R2532">
        <v>0.90042849715973905</v>
      </c>
      <c r="S2532" t="s">
        <v>9100</v>
      </c>
      <c r="T2532" t="s">
        <v>13134</v>
      </c>
      <c r="U2532" t="s">
        <v>13134</v>
      </c>
      <c r="V2532" t="s">
        <v>13134</v>
      </c>
      <c r="W2532" t="s">
        <v>15618</v>
      </c>
      <c r="X2532">
        <v>14</v>
      </c>
      <c r="Y2532" t="s">
        <v>22061</v>
      </c>
      <c r="Z2532" t="s">
        <v>28500</v>
      </c>
      <c r="AA2532">
        <v>0.65079246780775934</v>
      </c>
      <c r="AB2532" t="str">
        <f>HYPERLINK("Melting_Curves/meltCurve_P34896_2_SHMT1.pdf", "Melting_Curves/meltCurve_P34896_2_SHMT1.pdf")</f>
        <v>Melting_Curves/meltCurve_P34896_2_SHMT1.pdf</v>
      </c>
    </row>
    <row r="2533" spans="1:28" x14ac:dyDescent="0.25">
      <c r="A2533" t="s">
        <v>2537</v>
      </c>
      <c r="B2533">
        <v>0.99472303558308395</v>
      </c>
      <c r="C2533">
        <v>0.92170668832516001</v>
      </c>
      <c r="D2533">
        <v>0.87324213257215599</v>
      </c>
      <c r="E2533">
        <v>0.78309476908485098</v>
      </c>
      <c r="F2533">
        <v>0.74325960591889395</v>
      </c>
      <c r="G2533">
        <v>0.53423878143254799</v>
      </c>
      <c r="H2533">
        <v>0.31274435309294801</v>
      </c>
      <c r="I2533">
        <v>0.280753700507065</v>
      </c>
      <c r="J2533">
        <v>0.201037191982786</v>
      </c>
      <c r="K2533">
        <v>0.118890142991503</v>
      </c>
      <c r="L2533">
        <v>497.00027968904499</v>
      </c>
      <c r="M2533">
        <v>9.1863490773567005</v>
      </c>
      <c r="N2533">
        <v>54.102047341917903</v>
      </c>
      <c r="O2533">
        <v>51.723413134278502</v>
      </c>
      <c r="P2533">
        <v>-4.4431145420633297E-2</v>
      </c>
      <c r="Q2533">
        <v>0</v>
      </c>
      <c r="R2533">
        <v>0.98470874434405298</v>
      </c>
      <c r="S2533" t="s">
        <v>9101</v>
      </c>
      <c r="T2533" t="s">
        <v>13134</v>
      </c>
      <c r="U2533" t="s">
        <v>13134</v>
      </c>
      <c r="V2533" t="s">
        <v>13134</v>
      </c>
      <c r="W2533" t="s">
        <v>15619</v>
      </c>
      <c r="X2533">
        <v>35</v>
      </c>
      <c r="Y2533" t="s">
        <v>22062</v>
      </c>
      <c r="Z2533" t="s">
        <v>28501</v>
      </c>
      <c r="AA2533">
        <v>0.58625243939797467</v>
      </c>
      <c r="AB2533" t="str">
        <f>HYPERLINK("Melting_Curves/meltCurve_P34897_3_SHMT2.pdf", "Melting_Curves/meltCurve_P34897_3_SHMT2.pdf")</f>
        <v>Melting_Curves/meltCurve_P34897_3_SHMT2.pdf</v>
      </c>
    </row>
    <row r="2534" spans="1:28" x14ac:dyDescent="0.25">
      <c r="A2534" t="s">
        <v>2538</v>
      </c>
      <c r="B2534">
        <v>0.99472303558308395</v>
      </c>
      <c r="C2534">
        <v>0.97963682101085503</v>
      </c>
      <c r="D2534">
        <v>0.93964403006800201</v>
      </c>
      <c r="E2534">
        <v>0.86872580764794505</v>
      </c>
      <c r="F2534">
        <v>0.77140788010919104</v>
      </c>
      <c r="G2534">
        <v>0.493563696604368</v>
      </c>
      <c r="H2534">
        <v>0.29637549919045397</v>
      </c>
      <c r="I2534">
        <v>0.117645962305946</v>
      </c>
      <c r="J2534">
        <v>9.1491544902386701E-2</v>
      </c>
      <c r="K2534">
        <v>8.0670191528329702E-2</v>
      </c>
      <c r="L2534">
        <v>775.462821116344</v>
      </c>
      <c r="M2534">
        <v>14.425761822482199</v>
      </c>
      <c r="N2534">
        <v>53.774769441550099</v>
      </c>
      <c r="O2534">
        <v>52.754092496814899</v>
      </c>
      <c r="P2534">
        <v>-6.8194253050449002E-2</v>
      </c>
      <c r="Q2534">
        <v>2.5892363208591201E-3</v>
      </c>
      <c r="R2534">
        <v>0.99578785695251104</v>
      </c>
      <c r="S2534" t="s">
        <v>9102</v>
      </c>
      <c r="T2534" t="s">
        <v>13134</v>
      </c>
      <c r="U2534" t="s">
        <v>13134</v>
      </c>
      <c r="V2534" t="s">
        <v>13134</v>
      </c>
      <c r="W2534" t="s">
        <v>15620</v>
      </c>
      <c r="X2534">
        <v>17</v>
      </c>
      <c r="Y2534" t="s">
        <v>22063</v>
      </c>
      <c r="Z2534" t="s">
        <v>28502</v>
      </c>
      <c r="AA2534">
        <v>0.57674065503890404</v>
      </c>
      <c r="AB2534" t="str">
        <f>HYPERLINK("Melting_Curves/meltCurve_P34913_EPHX2.pdf", "Melting_Curves/meltCurve_P34913_EPHX2.pdf")</f>
        <v>Melting_Curves/meltCurve_P34913_EPHX2.pdf</v>
      </c>
    </row>
    <row r="2535" spans="1:28" x14ac:dyDescent="0.25">
      <c r="A2535" t="s">
        <v>2539</v>
      </c>
      <c r="B2535">
        <v>0.99472303558308395</v>
      </c>
      <c r="C2535">
        <v>0.96819464889977003</v>
      </c>
      <c r="D2535">
        <v>1.023124552733</v>
      </c>
      <c r="E2535">
        <v>0.93850196929582497</v>
      </c>
      <c r="F2535">
        <v>0.61926251749174099</v>
      </c>
      <c r="G2535">
        <v>9.4860706366301395E-2</v>
      </c>
      <c r="H2535">
        <v>6.2605739015262798E-2</v>
      </c>
      <c r="I2535">
        <v>4.2285572033112097E-2</v>
      </c>
      <c r="J2535">
        <v>4.7796163125381499E-2</v>
      </c>
      <c r="K2535">
        <v>4.1059571526578402E-2</v>
      </c>
      <c r="L2535">
        <v>2206.7891631635698</v>
      </c>
      <c r="M2535">
        <v>43.580993879058198</v>
      </c>
      <c r="N2535">
        <v>50.742414838981603</v>
      </c>
      <c r="O2535">
        <v>50.530234432045603</v>
      </c>
      <c r="P2535">
        <v>-0.206246614981792</v>
      </c>
      <c r="Q2535">
        <v>4.3466104735701103E-2</v>
      </c>
      <c r="R2535">
        <v>0.99804167435630498</v>
      </c>
      <c r="S2535" t="s">
        <v>9103</v>
      </c>
      <c r="T2535" t="s">
        <v>13134</v>
      </c>
      <c r="U2535" t="s">
        <v>13134</v>
      </c>
      <c r="V2535" t="s">
        <v>13134</v>
      </c>
      <c r="W2535" t="s">
        <v>15621</v>
      </c>
      <c r="X2535">
        <v>74</v>
      </c>
      <c r="Y2535" t="s">
        <v>22064</v>
      </c>
      <c r="Z2535" t="s">
        <v>28503</v>
      </c>
      <c r="AA2535">
        <v>0.48107432913908571</v>
      </c>
      <c r="AB2535" t="str">
        <f>HYPERLINK("Melting_Curves/meltCurve_P34932_HSPA4.pdf", "Melting_Curves/meltCurve_P34932_HSPA4.pdf")</f>
        <v>Melting_Curves/meltCurve_P34932_HSPA4.pdf</v>
      </c>
    </row>
    <row r="2536" spans="1:28" x14ac:dyDescent="0.25">
      <c r="A2536" t="s">
        <v>2540</v>
      </c>
      <c r="B2536">
        <v>0.99472303558308395</v>
      </c>
      <c r="C2536">
        <v>0.987155231557164</v>
      </c>
      <c r="D2536">
        <v>1.0372102616563601</v>
      </c>
      <c r="E2536">
        <v>0.93740247816278099</v>
      </c>
      <c r="F2536">
        <v>0.381809318116069</v>
      </c>
      <c r="G2536">
        <v>0.123214285446149</v>
      </c>
      <c r="H2536">
        <v>5.4763988556059899E-2</v>
      </c>
      <c r="I2536">
        <v>3.7470910221978099E-2</v>
      </c>
      <c r="J2536">
        <v>4.1845534047300501E-2</v>
      </c>
      <c r="K2536">
        <v>4.09103773565846E-2</v>
      </c>
      <c r="L2536">
        <v>1963.7787317048501</v>
      </c>
      <c r="M2536">
        <v>39.692794188213298</v>
      </c>
      <c r="N2536">
        <v>49.605616574150503</v>
      </c>
      <c r="O2536">
        <v>49.349360606500902</v>
      </c>
      <c r="P2536">
        <v>-0.19106264276731999</v>
      </c>
      <c r="Q2536">
        <v>4.9822598449090399E-2</v>
      </c>
      <c r="R2536">
        <v>0.99812292577305595</v>
      </c>
      <c r="S2536" t="s">
        <v>9104</v>
      </c>
      <c r="T2536" t="s">
        <v>13134</v>
      </c>
      <c r="U2536" t="s">
        <v>13134</v>
      </c>
      <c r="V2536" t="s">
        <v>13134</v>
      </c>
      <c r="W2536" t="s">
        <v>15622</v>
      </c>
      <c r="X2536">
        <v>7</v>
      </c>
      <c r="Y2536" t="s">
        <v>22065</v>
      </c>
      <c r="Z2536" t="s">
        <v>28504</v>
      </c>
      <c r="AA2536">
        <v>0.44821922459980368</v>
      </c>
      <c r="AB2536" t="str">
        <f>HYPERLINK("Melting_Curves/meltCurve_P35219_CA8.pdf", "Melting_Curves/meltCurve_P35219_CA8.pdf")</f>
        <v>Melting_Curves/meltCurve_P35219_CA8.pdf</v>
      </c>
    </row>
    <row r="2537" spans="1:28" x14ac:dyDescent="0.25">
      <c r="A2537" t="s">
        <v>2541</v>
      </c>
      <c r="B2537">
        <v>0.99472303558308395</v>
      </c>
      <c r="C2537">
        <v>1.01167221582331</v>
      </c>
      <c r="D2537">
        <v>0.96458120832740402</v>
      </c>
      <c r="E2537">
        <v>0.89695339139420804</v>
      </c>
      <c r="F2537">
        <v>0.73700657046392504</v>
      </c>
      <c r="G2537">
        <v>0.42870765643005398</v>
      </c>
      <c r="H2537">
        <v>0.147317434401776</v>
      </c>
      <c r="I2537">
        <v>7.6897341707459696E-2</v>
      </c>
      <c r="J2537">
        <v>7.8563077889003893E-2</v>
      </c>
      <c r="K2537">
        <v>6.27160566669413E-2</v>
      </c>
      <c r="L2537">
        <v>1061.06891830166</v>
      </c>
      <c r="M2537">
        <v>20.203384516638899</v>
      </c>
      <c r="N2537">
        <v>52.719977184397202</v>
      </c>
      <c r="O2537">
        <v>52.012939871095803</v>
      </c>
      <c r="P2537">
        <v>-9.3517531276765806E-2</v>
      </c>
      <c r="Q2537">
        <v>3.6998996381475503E-2</v>
      </c>
      <c r="R2537">
        <v>0.99709509691572196</v>
      </c>
      <c r="S2537" t="s">
        <v>9105</v>
      </c>
      <c r="T2537" t="s">
        <v>13134</v>
      </c>
      <c r="U2537" t="s">
        <v>13134</v>
      </c>
      <c r="V2537" t="s">
        <v>13134</v>
      </c>
      <c r="W2537" t="s">
        <v>15623</v>
      </c>
      <c r="X2537">
        <v>28</v>
      </c>
      <c r="Y2537" t="s">
        <v>22066</v>
      </c>
      <c r="Z2537" t="s">
        <v>28505</v>
      </c>
      <c r="AA2537">
        <v>0.54728133515073585</v>
      </c>
      <c r="AB2537" t="str">
        <f>HYPERLINK("Melting_Curves/meltCurve_P35221_CTNNA1.pdf", "Melting_Curves/meltCurve_P35221_CTNNA1.pdf")</f>
        <v>Melting_Curves/meltCurve_P35221_CTNNA1.pdf</v>
      </c>
    </row>
    <row r="2538" spans="1:28" x14ac:dyDescent="0.25">
      <c r="A2538" t="s">
        <v>2542</v>
      </c>
      <c r="B2538">
        <v>0.99472303558308395</v>
      </c>
      <c r="C2538">
        <v>0.93130735738742498</v>
      </c>
      <c r="D2538">
        <v>0.67569053187948303</v>
      </c>
      <c r="E2538">
        <v>0.57048615301092298</v>
      </c>
      <c r="F2538">
        <v>0.52524199308222597</v>
      </c>
      <c r="G2538">
        <v>0.20760175312909801</v>
      </c>
      <c r="H2538">
        <v>0.135639664593521</v>
      </c>
      <c r="I2538">
        <v>7.0327728839479395E-2</v>
      </c>
      <c r="J2538">
        <v>8.8899075874828606E-2</v>
      </c>
      <c r="K2538">
        <v>0.110005965681138</v>
      </c>
      <c r="L2538">
        <v>482.66782241867497</v>
      </c>
      <c r="M2538">
        <v>10.0315759532663</v>
      </c>
      <c r="N2538">
        <v>48.174945435290503</v>
      </c>
      <c r="O2538">
        <v>46.320126959783103</v>
      </c>
      <c r="P2538">
        <v>-5.3831885911211699E-2</v>
      </c>
      <c r="Q2538">
        <v>6.2173979716281802E-3</v>
      </c>
      <c r="R2538">
        <v>0.96840084717448005</v>
      </c>
      <c r="S2538" t="s">
        <v>9106</v>
      </c>
      <c r="T2538" t="s">
        <v>13134</v>
      </c>
      <c r="U2538" t="s">
        <v>13134</v>
      </c>
      <c r="V2538" t="s">
        <v>13134</v>
      </c>
      <c r="W2538" t="s">
        <v>15624</v>
      </c>
      <c r="X2538">
        <v>20</v>
      </c>
      <c r="Y2538" t="s">
        <v>22067</v>
      </c>
      <c r="Z2538" t="s">
        <v>28506</v>
      </c>
      <c r="AA2538">
        <v>0.41382371148745611</v>
      </c>
      <c r="AB2538" t="str">
        <f>HYPERLINK("Melting_Curves/meltCurve_P35232_PHB.pdf", "Melting_Curves/meltCurve_P35232_PHB.pdf")</f>
        <v>Melting_Curves/meltCurve_P35232_PHB.pdf</v>
      </c>
    </row>
    <row r="2539" spans="1:28" x14ac:dyDescent="0.25">
      <c r="A2539" t="s">
        <v>2543</v>
      </c>
      <c r="B2539">
        <v>0.99472303558308395</v>
      </c>
      <c r="C2539">
        <v>0.88656448358102802</v>
      </c>
      <c r="D2539">
        <v>0.80757210346547703</v>
      </c>
      <c r="E2539">
        <v>0.78657975376083</v>
      </c>
      <c r="F2539">
        <v>0.73372753396607304</v>
      </c>
      <c r="G2539">
        <v>0.61541285064726903</v>
      </c>
      <c r="H2539">
        <v>0.27124722766174603</v>
      </c>
      <c r="I2539">
        <v>0.131632357018025</v>
      </c>
      <c r="J2539">
        <v>5.3948287160569097E-2</v>
      </c>
      <c r="K2539">
        <v>8.02914398144359E-2</v>
      </c>
      <c r="L2539">
        <v>634.57230735727603</v>
      </c>
      <c r="M2539">
        <v>11.852423638097401</v>
      </c>
      <c r="N2539">
        <v>53.539455319195703</v>
      </c>
      <c r="O2539">
        <v>52.083589376082998</v>
      </c>
      <c r="P2539">
        <v>-5.6905739269630898E-2</v>
      </c>
      <c r="Q2539">
        <v>0</v>
      </c>
      <c r="R2539">
        <v>0.94746990444958101</v>
      </c>
      <c r="S2539" t="s">
        <v>9107</v>
      </c>
      <c r="T2539" t="s">
        <v>13134</v>
      </c>
      <c r="U2539" t="s">
        <v>13134</v>
      </c>
      <c r="V2539" t="s">
        <v>13134</v>
      </c>
      <c r="W2539" t="s">
        <v>15625</v>
      </c>
      <c r="X2539">
        <v>19</v>
      </c>
      <c r="Y2539" t="s">
        <v>22068</v>
      </c>
      <c r="Z2539" t="s">
        <v>28507</v>
      </c>
      <c r="AA2539">
        <v>0.57083323208854908</v>
      </c>
      <c r="AB2539" t="str">
        <f>HYPERLINK("Melting_Curves/meltCurve_P35237_SERPINB6.pdf", "Melting_Curves/meltCurve_P35237_SERPINB6.pdf")</f>
        <v>Melting_Curves/meltCurve_P35237_SERPINB6.pdf</v>
      </c>
    </row>
    <row r="2540" spans="1:28" x14ac:dyDescent="0.25">
      <c r="A2540" t="s">
        <v>2544</v>
      </c>
      <c r="B2540">
        <v>0.99472303558308395</v>
      </c>
      <c r="C2540">
        <v>0.95352305773657597</v>
      </c>
      <c r="D2540">
        <v>1.0252925089052101</v>
      </c>
      <c r="E2540">
        <v>0.88190134661765296</v>
      </c>
      <c r="F2540">
        <v>0.485005862830996</v>
      </c>
      <c r="G2540">
        <v>0.13233808425771801</v>
      </c>
      <c r="H2540">
        <v>7.1253681571632504E-2</v>
      </c>
      <c r="I2540">
        <v>5.1742983445770198E-2</v>
      </c>
      <c r="J2540">
        <v>4.7180311962070599E-2</v>
      </c>
      <c r="K2540">
        <v>4.1893471511042002E-2</v>
      </c>
      <c r="L2540">
        <v>1475.9904214999799</v>
      </c>
      <c r="M2540">
        <v>29.590827429400001</v>
      </c>
      <c r="N2540">
        <v>50.038591548030801</v>
      </c>
      <c r="O2540">
        <v>49.6538558794606</v>
      </c>
      <c r="P2540">
        <v>-0.14231773918034599</v>
      </c>
      <c r="Q2540">
        <v>4.4761298302237802E-2</v>
      </c>
      <c r="R2540">
        <v>0.99795564402401804</v>
      </c>
      <c r="S2540" t="s">
        <v>9108</v>
      </c>
      <c r="T2540" t="s">
        <v>13134</v>
      </c>
      <c r="U2540" t="s">
        <v>13134</v>
      </c>
      <c r="V2540" t="s">
        <v>13134</v>
      </c>
      <c r="W2540" t="s">
        <v>15626</v>
      </c>
      <c r="X2540">
        <v>8</v>
      </c>
      <c r="Y2540" t="s">
        <v>22069</v>
      </c>
      <c r="Z2540" t="s">
        <v>28508</v>
      </c>
      <c r="AA2540">
        <v>0.46088740290894759</v>
      </c>
      <c r="AB2540" t="str">
        <f>HYPERLINK("Melting_Curves/meltCurve_P35240_4_NF2.pdf", "Melting_Curves/meltCurve_P35240_4_NF2.pdf")</f>
        <v>Melting_Curves/meltCurve_P35240_4_NF2.pdf</v>
      </c>
    </row>
    <row r="2541" spans="1:28" x14ac:dyDescent="0.25">
      <c r="A2541" t="s">
        <v>2545</v>
      </c>
      <c r="B2541">
        <v>0.99472303558308395</v>
      </c>
      <c r="C2541">
        <v>0.99041173367969404</v>
      </c>
      <c r="D2541">
        <v>1.0068986242504401</v>
      </c>
      <c r="E2541">
        <v>0.89912719107640704</v>
      </c>
      <c r="F2541">
        <v>0.68767896677572005</v>
      </c>
      <c r="G2541">
        <v>0.63593081556910802</v>
      </c>
      <c r="H2541">
        <v>0.48141167205148599</v>
      </c>
      <c r="I2541">
        <v>8.1159812364678494E-2</v>
      </c>
      <c r="J2541">
        <v>7.34107048011301E-2</v>
      </c>
      <c r="K2541">
        <v>7.5890579213173201E-2</v>
      </c>
      <c r="L2541">
        <v>764.64425931929702</v>
      </c>
      <c r="M2541">
        <v>13.9060482999085</v>
      </c>
      <c r="N2541">
        <v>54.986452317506398</v>
      </c>
      <c r="O2541">
        <v>53.886788148993098</v>
      </c>
      <c r="P2541">
        <v>-6.4523881875205802E-2</v>
      </c>
      <c r="Q2541">
        <v>0</v>
      </c>
      <c r="R2541">
        <v>0.96602035042104495</v>
      </c>
      <c r="S2541" t="s">
        <v>9109</v>
      </c>
      <c r="T2541" t="s">
        <v>13134</v>
      </c>
      <c r="U2541" t="s">
        <v>13134</v>
      </c>
      <c r="V2541" t="s">
        <v>13134</v>
      </c>
      <c r="W2541" t="s">
        <v>15627</v>
      </c>
      <c r="X2541">
        <v>50</v>
      </c>
      <c r="Y2541" t="s">
        <v>22070</v>
      </c>
      <c r="Z2541" t="s">
        <v>28509</v>
      </c>
      <c r="AA2541">
        <v>0.61398460264987353</v>
      </c>
      <c r="AB2541" t="str">
        <f>HYPERLINK("Melting_Curves/meltCurve_P35241_RDX.pdf", "Melting_Curves/meltCurve_P35241_RDX.pdf")</f>
        <v>Melting_Curves/meltCurve_P35241_RDX.pdf</v>
      </c>
    </row>
    <row r="2542" spans="1:28" x14ac:dyDescent="0.25">
      <c r="A2542" t="s">
        <v>2546</v>
      </c>
      <c r="B2542">
        <v>0.99472303558308395</v>
      </c>
      <c r="C2542">
        <v>0.94902088029555898</v>
      </c>
      <c r="D2542">
        <v>0.83262239432277396</v>
      </c>
      <c r="E2542">
        <v>0.66067778805457</v>
      </c>
      <c r="F2542">
        <v>0.55833311464879998</v>
      </c>
      <c r="G2542">
        <v>0.39773457051496303</v>
      </c>
      <c r="H2542">
        <v>0.35057057256797403</v>
      </c>
      <c r="I2542">
        <v>0.19417502963639899</v>
      </c>
      <c r="J2542">
        <v>0.161264959537987</v>
      </c>
      <c r="K2542">
        <v>0.108186580327923</v>
      </c>
      <c r="L2542">
        <v>428.95319286091097</v>
      </c>
      <c r="M2542">
        <v>8.3425344315201198</v>
      </c>
      <c r="N2542">
        <v>51.417611188258398</v>
      </c>
      <c r="O2542">
        <v>48.717598104336901</v>
      </c>
      <c r="P2542">
        <v>-4.28520632843424E-2</v>
      </c>
      <c r="Q2542">
        <v>0</v>
      </c>
      <c r="R2542">
        <v>0.99210372840491001</v>
      </c>
      <c r="S2542" t="s">
        <v>9110</v>
      </c>
      <c r="T2542" t="s">
        <v>13134</v>
      </c>
      <c r="U2542" t="s">
        <v>13134</v>
      </c>
      <c r="V2542" t="s">
        <v>13134</v>
      </c>
      <c r="W2542" t="s">
        <v>15628</v>
      </c>
      <c r="X2542">
        <v>6</v>
      </c>
      <c r="Y2542" t="s">
        <v>22071</v>
      </c>
      <c r="Z2542" t="s">
        <v>28510</v>
      </c>
      <c r="AA2542">
        <v>0.51234910298606196</v>
      </c>
      <c r="AB2542" t="str">
        <f>HYPERLINK("Melting_Curves/meltCurve_P35244_RPA3.pdf", "Melting_Curves/meltCurve_P35244_RPA3.pdf")</f>
        <v>Melting_Curves/meltCurve_P35244_RPA3.pdf</v>
      </c>
    </row>
    <row r="2543" spans="1:28" x14ac:dyDescent="0.25">
      <c r="A2543" t="s">
        <v>2547</v>
      </c>
      <c r="B2543">
        <v>0.99472303558308395</v>
      </c>
      <c r="C2543">
        <v>0.87086779990466601</v>
      </c>
      <c r="D2543">
        <v>0.96035937421092099</v>
      </c>
      <c r="E2543">
        <v>0.85207543353956305</v>
      </c>
      <c r="F2543">
        <v>0.49936280055854498</v>
      </c>
      <c r="G2543">
        <v>0.17145690960229401</v>
      </c>
      <c r="H2543">
        <v>8.6453524809598697E-2</v>
      </c>
      <c r="I2543">
        <v>5.8563703061975503E-2</v>
      </c>
      <c r="J2543">
        <v>6.5282440717806103E-2</v>
      </c>
      <c r="K2543">
        <v>5.0814035836638301E-2</v>
      </c>
      <c r="L2543">
        <v>1198.9146667345001</v>
      </c>
      <c r="M2543">
        <v>24.037240013107201</v>
      </c>
      <c r="N2543">
        <v>50.090327665512</v>
      </c>
      <c r="O2543">
        <v>49.5360187163229</v>
      </c>
      <c r="P2543">
        <v>-0.115421685912384</v>
      </c>
      <c r="Q2543">
        <v>4.85694873647061E-2</v>
      </c>
      <c r="R2543">
        <v>0.98909417299165403</v>
      </c>
      <c r="S2543" t="s">
        <v>9111</v>
      </c>
      <c r="T2543" t="s">
        <v>13134</v>
      </c>
      <c r="U2543" t="s">
        <v>13134</v>
      </c>
      <c r="V2543" t="s">
        <v>13134</v>
      </c>
      <c r="W2543" t="s">
        <v>15629</v>
      </c>
      <c r="X2543">
        <v>20</v>
      </c>
      <c r="Y2543" t="s">
        <v>22072</v>
      </c>
      <c r="Z2543" t="s">
        <v>28511</v>
      </c>
      <c r="AA2543">
        <v>0.46592082690670539</v>
      </c>
      <c r="AB2543" t="str">
        <f>HYPERLINK("Melting_Curves/meltCurve_P35249_RFC4.pdf", "Melting_Curves/meltCurve_P35249_RFC4.pdf")</f>
        <v>Melting_Curves/meltCurve_P35249_RFC4.pdf</v>
      </c>
    </row>
    <row r="2544" spans="1:28" x14ac:dyDescent="0.25">
      <c r="A2544" t="s">
        <v>2548</v>
      </c>
      <c r="B2544">
        <v>0.99472303558308395</v>
      </c>
      <c r="C2544">
        <v>1.0258663100490499</v>
      </c>
      <c r="D2544">
        <v>0.93845137445168203</v>
      </c>
      <c r="E2544">
        <v>0.85547626536681898</v>
      </c>
      <c r="F2544">
        <v>0.530750080345607</v>
      </c>
      <c r="G2544">
        <v>0.133919169299209</v>
      </c>
      <c r="H2544">
        <v>6.4889895469015205E-2</v>
      </c>
      <c r="I2544">
        <v>4.3848282467499201E-2</v>
      </c>
      <c r="J2544">
        <v>4.85235969937012E-2</v>
      </c>
      <c r="K2544">
        <v>4.32164153469159E-2</v>
      </c>
      <c r="L2544">
        <v>1301.2620504085801</v>
      </c>
      <c r="M2544">
        <v>25.988798894289101</v>
      </c>
      <c r="N2544">
        <v>50.203967366675897</v>
      </c>
      <c r="O2544">
        <v>49.776477666804297</v>
      </c>
      <c r="P2544">
        <v>-0.12615978948897</v>
      </c>
      <c r="Q2544">
        <v>3.34732306336855E-2</v>
      </c>
      <c r="R2544">
        <v>0.99658305825954796</v>
      </c>
      <c r="S2544" t="s">
        <v>9112</v>
      </c>
      <c r="T2544" t="s">
        <v>13134</v>
      </c>
      <c r="U2544" t="s">
        <v>13134</v>
      </c>
      <c r="V2544" t="s">
        <v>13134</v>
      </c>
      <c r="W2544" t="s">
        <v>15630</v>
      </c>
      <c r="X2544">
        <v>24</v>
      </c>
      <c r="Y2544" t="s">
        <v>22073</v>
      </c>
      <c r="Z2544" t="s">
        <v>28512</v>
      </c>
      <c r="AA2544">
        <v>0.46241444789657532</v>
      </c>
      <c r="AB2544" t="str">
        <f>HYPERLINK("Melting_Curves/meltCurve_P35250_RFC2.pdf", "Melting_Curves/meltCurve_P35250_RFC2.pdf")</f>
        <v>Melting_Curves/meltCurve_P35250_RFC2.pdf</v>
      </c>
    </row>
    <row r="2545" spans="1:28" x14ac:dyDescent="0.25">
      <c r="A2545" t="s">
        <v>2549</v>
      </c>
      <c r="B2545">
        <v>0.99472303558308395</v>
      </c>
      <c r="C2545">
        <v>0.98291301303001899</v>
      </c>
      <c r="D2545">
        <v>0.64670766702257898</v>
      </c>
      <c r="E2545">
        <v>0.33878107370848698</v>
      </c>
      <c r="F2545">
        <v>0.212821918046946</v>
      </c>
      <c r="G2545">
        <v>0.122907337653697</v>
      </c>
      <c r="H2545">
        <v>8.5823927110794604E-2</v>
      </c>
      <c r="I2545">
        <v>6.8894273541514395E-2</v>
      </c>
      <c r="J2545">
        <v>7.7747001838830002E-2</v>
      </c>
      <c r="K2545">
        <v>6.6555665286158999E-2</v>
      </c>
      <c r="L2545">
        <v>879.30913848850503</v>
      </c>
      <c r="M2545">
        <v>19.783522802468202</v>
      </c>
      <c r="N2545">
        <v>44.847666176729</v>
      </c>
      <c r="O2545">
        <v>43.999880281641502</v>
      </c>
      <c r="P2545">
        <v>-0.103295550770422</v>
      </c>
      <c r="Q2545">
        <v>8.1086262580444296E-2</v>
      </c>
      <c r="R2545">
        <v>0.99246731111866904</v>
      </c>
      <c r="S2545" t="s">
        <v>9113</v>
      </c>
      <c r="T2545" t="s">
        <v>13134</v>
      </c>
      <c r="U2545" t="s">
        <v>13134</v>
      </c>
      <c r="V2545" t="s">
        <v>13134</v>
      </c>
      <c r="W2545" t="s">
        <v>15631</v>
      </c>
      <c r="X2545">
        <v>13</v>
      </c>
      <c r="Y2545" t="s">
        <v>22074</v>
      </c>
      <c r="Z2545" t="s">
        <v>28513</v>
      </c>
      <c r="AA2545">
        <v>0.32163684923294877</v>
      </c>
      <c r="AB2545" t="str">
        <f>HYPERLINK("Melting_Curves/meltCurve_P35251_2_RFC1.pdf", "Melting_Curves/meltCurve_P35251_2_RFC1.pdf")</f>
        <v>Melting_Curves/meltCurve_P35251_2_RFC1.pdf</v>
      </c>
    </row>
    <row r="2546" spans="1:28" x14ac:dyDescent="0.25">
      <c r="A2546" t="s">
        <v>2550</v>
      </c>
      <c r="B2546">
        <v>0.99472303558308395</v>
      </c>
      <c r="C2546">
        <v>0.90034121741788797</v>
      </c>
      <c r="D2546">
        <v>0.94424105268632597</v>
      </c>
      <c r="E2546">
        <v>0.85299793624612996</v>
      </c>
      <c r="F2546">
        <v>0.668429089111232</v>
      </c>
      <c r="G2546">
        <v>0.42038892480512202</v>
      </c>
      <c r="H2546">
        <v>0.20507512780185</v>
      </c>
      <c r="I2546">
        <v>9.4981734115710106E-2</v>
      </c>
      <c r="J2546">
        <v>0.109531671234606</v>
      </c>
      <c r="K2546">
        <v>6.89613838081721E-2</v>
      </c>
      <c r="L2546">
        <v>764.61529630732298</v>
      </c>
      <c r="M2546">
        <v>14.640977784924299</v>
      </c>
      <c r="N2546">
        <v>52.381587238230303</v>
      </c>
      <c r="O2546">
        <v>51.2790705220796</v>
      </c>
      <c r="P2546">
        <v>-6.9851824589064193E-2</v>
      </c>
      <c r="Q2546">
        <v>2.1502835407992301E-2</v>
      </c>
      <c r="R2546">
        <v>0.99174775328794895</v>
      </c>
      <c r="S2546" t="s">
        <v>9114</v>
      </c>
      <c r="T2546" t="s">
        <v>13134</v>
      </c>
      <c r="U2546" t="s">
        <v>13134</v>
      </c>
      <c r="V2546" t="s">
        <v>13134</v>
      </c>
      <c r="W2546" t="s">
        <v>15632</v>
      </c>
      <c r="X2546">
        <v>7</v>
      </c>
      <c r="Y2546" t="s">
        <v>22075</v>
      </c>
      <c r="Z2546" t="s">
        <v>28514</v>
      </c>
      <c r="AA2546">
        <v>0.53703211924529848</v>
      </c>
      <c r="AB2546" t="str">
        <f>HYPERLINK("Melting_Curves/meltCurve_P35268_RPL22.pdf", "Melting_Curves/meltCurve_P35268_RPL22.pdf")</f>
        <v>Melting_Curves/meltCurve_P35268_RPL22.pdf</v>
      </c>
    </row>
    <row r="2547" spans="1:28" x14ac:dyDescent="0.25">
      <c r="A2547" t="s">
        <v>2551</v>
      </c>
      <c r="B2547">
        <v>0.99472303558308395</v>
      </c>
      <c r="C2547">
        <v>0.91805465499309002</v>
      </c>
      <c r="D2547">
        <v>1.02821004027038</v>
      </c>
      <c r="E2547">
        <v>0.86584995327191705</v>
      </c>
      <c r="F2547">
        <v>0.55660071526072596</v>
      </c>
      <c r="G2547">
        <v>0.41897055216358198</v>
      </c>
      <c r="H2547">
        <v>0.252850116495274</v>
      </c>
      <c r="I2547">
        <v>0.19642961060302899</v>
      </c>
      <c r="J2547">
        <v>0.22842338653224101</v>
      </c>
      <c r="K2547">
        <v>0.17454688879534599</v>
      </c>
      <c r="L2547">
        <v>944.88263051739602</v>
      </c>
      <c r="M2547">
        <v>18.783650258676101</v>
      </c>
      <c r="N2547">
        <v>51.5915875076346</v>
      </c>
      <c r="O2547">
        <v>49.7436943970486</v>
      </c>
      <c r="P2547">
        <v>-7.6734980147967202E-2</v>
      </c>
      <c r="Q2547">
        <v>0.187181667231794</v>
      </c>
      <c r="R2547">
        <v>0.98640954294891903</v>
      </c>
      <c r="S2547" t="s">
        <v>9115</v>
      </c>
      <c r="T2547" t="s">
        <v>13134</v>
      </c>
      <c r="U2547" t="s">
        <v>13134</v>
      </c>
      <c r="V2547" t="s">
        <v>13134</v>
      </c>
      <c r="W2547" t="s">
        <v>15633</v>
      </c>
      <c r="X2547">
        <v>20</v>
      </c>
      <c r="Y2547" t="s">
        <v>22076</v>
      </c>
      <c r="Z2547" t="s">
        <v>28515</v>
      </c>
      <c r="AA2547">
        <v>0.55951776515911589</v>
      </c>
      <c r="AB2547" t="str">
        <f>HYPERLINK("Melting_Curves/meltCurve_P35269_GTF2F1.pdf", "Melting_Curves/meltCurve_P35269_GTF2F1.pdf")</f>
        <v>Melting_Curves/meltCurve_P35269_GTF2F1.pdf</v>
      </c>
    </row>
    <row r="2548" spans="1:28" x14ac:dyDescent="0.25">
      <c r="A2548" t="s">
        <v>2552</v>
      </c>
      <c r="B2548">
        <v>0.99472303558308395</v>
      </c>
      <c r="C2548">
        <v>0.97428563130235402</v>
      </c>
      <c r="D2548">
        <v>1.0418088226894899</v>
      </c>
      <c r="E2548">
        <v>0.90600232448220896</v>
      </c>
      <c r="F2548">
        <v>0.60381589432786298</v>
      </c>
      <c r="G2548">
        <v>0.17224654499794501</v>
      </c>
      <c r="H2548">
        <v>7.2553966883869198E-2</v>
      </c>
      <c r="I2548">
        <v>4.0385203784055003E-2</v>
      </c>
      <c r="J2548">
        <v>4.1265934213055501E-2</v>
      </c>
      <c r="K2548">
        <v>3.1314692420051901E-2</v>
      </c>
      <c r="L2548">
        <v>1487.1217426691301</v>
      </c>
      <c r="M2548">
        <v>29.316077116075199</v>
      </c>
      <c r="N2548">
        <v>50.849658202679301</v>
      </c>
      <c r="O2548">
        <v>50.4928926902653</v>
      </c>
      <c r="P2548">
        <v>-0.14020238109112201</v>
      </c>
      <c r="Q2548">
        <v>3.4089964904648197E-2</v>
      </c>
      <c r="R2548">
        <v>0.99783002805201204</v>
      </c>
      <c r="S2548" t="s">
        <v>9116</v>
      </c>
      <c r="T2548" t="s">
        <v>13134</v>
      </c>
      <c r="U2548" t="s">
        <v>13134</v>
      </c>
      <c r="V2548" t="s">
        <v>13134</v>
      </c>
      <c r="W2548" t="s">
        <v>15634</v>
      </c>
      <c r="X2548">
        <v>11</v>
      </c>
      <c r="Y2548" t="s">
        <v>22077</v>
      </c>
      <c r="Z2548" t="s">
        <v>28516</v>
      </c>
      <c r="AA2548">
        <v>0.48233401173249868</v>
      </c>
      <c r="AB2548" t="str">
        <f>HYPERLINK("Melting_Curves/meltCurve_P35270_SPR.pdf", "Melting_Curves/meltCurve_P35270_SPR.pdf")</f>
        <v>Melting_Curves/meltCurve_P35270_SPR.pdf</v>
      </c>
    </row>
    <row r="2549" spans="1:28" x14ac:dyDescent="0.25">
      <c r="A2549" t="s">
        <v>2553</v>
      </c>
      <c r="B2549">
        <v>0.99472303558308395</v>
      </c>
      <c r="C2549">
        <v>0.98349193271690105</v>
      </c>
      <c r="D2549">
        <v>0.85594942236594995</v>
      </c>
      <c r="E2549">
        <v>0.79080798612811498</v>
      </c>
      <c r="F2549">
        <v>0.77296834020040295</v>
      </c>
      <c r="G2549">
        <v>0.44171058030503302</v>
      </c>
      <c r="H2549">
        <v>0.26321297525721898</v>
      </c>
      <c r="I2549">
        <v>0.16998236034238401</v>
      </c>
      <c r="J2549">
        <v>6.9768598741132296E-2</v>
      </c>
      <c r="K2549">
        <v>9.6757260639152395E-2</v>
      </c>
      <c r="L2549">
        <v>648.12699248756996</v>
      </c>
      <c r="M2549">
        <v>12.208394543712201</v>
      </c>
      <c r="N2549">
        <v>53.0886459093959</v>
      </c>
      <c r="O2549">
        <v>51.724500236533402</v>
      </c>
      <c r="P2549">
        <v>-5.9020154807140401E-2</v>
      </c>
      <c r="Q2549">
        <v>0</v>
      </c>
      <c r="R2549">
        <v>0.98024475687329504</v>
      </c>
      <c r="S2549" t="s">
        <v>9117</v>
      </c>
      <c r="T2549" t="s">
        <v>13134</v>
      </c>
      <c r="U2549" t="s">
        <v>13134</v>
      </c>
      <c r="V2549" t="s">
        <v>13134</v>
      </c>
      <c r="W2549" t="s">
        <v>15635</v>
      </c>
      <c r="X2549">
        <v>22</v>
      </c>
      <c r="Y2549" t="s">
        <v>22078</v>
      </c>
      <c r="Z2549" t="s">
        <v>28517</v>
      </c>
      <c r="AA2549">
        <v>0.55692318668695506</v>
      </c>
      <c r="AB2549" t="str">
        <f>HYPERLINK("Melting_Curves/meltCurve_P35520_CBS.pdf", "Melting_Curves/meltCurve_P35520_CBS.pdf")</f>
        <v>Melting_Curves/meltCurve_P35520_CBS.pdf</v>
      </c>
    </row>
    <row r="2550" spans="1:28" x14ac:dyDescent="0.25">
      <c r="A2550" t="s">
        <v>2554</v>
      </c>
      <c r="B2550">
        <v>0.99472303558308395</v>
      </c>
      <c r="C2550">
        <v>0.93155516911048997</v>
      </c>
      <c r="D2550">
        <v>0.81392818863320404</v>
      </c>
      <c r="E2550">
        <v>0.69180103435025797</v>
      </c>
      <c r="F2550">
        <v>0.44875389571146701</v>
      </c>
      <c r="G2550">
        <v>0.186482602364164</v>
      </c>
      <c r="H2550">
        <v>0.126452446486785</v>
      </c>
      <c r="I2550">
        <v>7.5474203173464302E-2</v>
      </c>
      <c r="J2550">
        <v>9.7563750506432206E-2</v>
      </c>
      <c r="K2550">
        <v>8.7490752467188806E-2</v>
      </c>
      <c r="L2550">
        <v>676.54322084410398</v>
      </c>
      <c r="M2550">
        <v>13.9374069091403</v>
      </c>
      <c r="N2550">
        <v>48.853265345143903</v>
      </c>
      <c r="O2550">
        <v>47.574983628147201</v>
      </c>
      <c r="P2550">
        <v>-7.0132565096466301E-2</v>
      </c>
      <c r="Q2550">
        <v>4.2546037992418198E-2</v>
      </c>
      <c r="R2550">
        <v>0.99219713800854603</v>
      </c>
      <c r="S2550" t="s">
        <v>9118</v>
      </c>
      <c r="T2550" t="s">
        <v>13134</v>
      </c>
      <c r="U2550" t="s">
        <v>13134</v>
      </c>
      <c r="V2550" t="s">
        <v>13134</v>
      </c>
      <c r="W2550" t="s">
        <v>15636</v>
      </c>
      <c r="X2550">
        <v>14</v>
      </c>
      <c r="Y2550" t="s">
        <v>22079</v>
      </c>
      <c r="Z2550" t="s">
        <v>28518</v>
      </c>
      <c r="AA2550">
        <v>0.43429939614008528</v>
      </c>
      <c r="AB2550" t="str">
        <f>HYPERLINK("Melting_Curves/meltCurve_P35573_AGL.pdf", "Melting_Curves/meltCurve_P35573_AGL.pdf")</f>
        <v>Melting_Curves/meltCurve_P35573_AGL.pdf</v>
      </c>
    </row>
    <row r="2551" spans="1:28" x14ac:dyDescent="0.25">
      <c r="A2551" t="s">
        <v>2555</v>
      </c>
      <c r="B2551">
        <v>0.99472303558308395</v>
      </c>
      <c r="C2551">
        <v>0.931318731860038</v>
      </c>
      <c r="D2551">
        <v>0.86465374853097599</v>
      </c>
      <c r="E2551">
        <v>0.76669769077604999</v>
      </c>
      <c r="F2551">
        <v>0.63596488864918999</v>
      </c>
      <c r="G2551">
        <v>0.24602463088028501</v>
      </c>
      <c r="H2551">
        <v>7.2526736980352793E-2</v>
      </c>
      <c r="I2551">
        <v>5.1790189156387501E-2</v>
      </c>
      <c r="J2551">
        <v>5.5675904194669598E-2</v>
      </c>
      <c r="K2551">
        <v>4.8331600172377101E-2</v>
      </c>
      <c r="L2551">
        <v>799.89515107886996</v>
      </c>
      <c r="M2551">
        <v>15.7891232723812</v>
      </c>
      <c r="N2551">
        <v>50.661152037291501</v>
      </c>
      <c r="O2551">
        <v>49.869350659925502</v>
      </c>
      <c r="P2551">
        <v>-7.9158944155211797E-2</v>
      </c>
      <c r="Q2551">
        <v>0</v>
      </c>
      <c r="R2551">
        <v>0.98193991128341795</v>
      </c>
      <c r="S2551" t="s">
        <v>9119</v>
      </c>
      <c r="T2551" t="s">
        <v>13134</v>
      </c>
      <c r="U2551" t="s">
        <v>13134</v>
      </c>
      <c r="V2551" t="s">
        <v>13134</v>
      </c>
      <c r="W2551" t="s">
        <v>15637</v>
      </c>
      <c r="X2551">
        <v>157</v>
      </c>
      <c r="Y2551" t="s">
        <v>22080</v>
      </c>
      <c r="Z2551" t="s">
        <v>28519</v>
      </c>
      <c r="AA2551">
        <v>0.47438130110722598</v>
      </c>
      <c r="AB2551" t="str">
        <f>HYPERLINK("Melting_Curves/meltCurve_P35579_MYH9.pdf", "Melting_Curves/meltCurve_P35579_MYH9.pdf")</f>
        <v>Melting_Curves/meltCurve_P35579_MYH9.pdf</v>
      </c>
    </row>
    <row r="2552" spans="1:28" x14ac:dyDescent="0.25">
      <c r="A2552" t="s">
        <v>2556</v>
      </c>
      <c r="B2552">
        <v>0.99472303558308395</v>
      </c>
      <c r="C2552">
        <v>0.87818087390375899</v>
      </c>
      <c r="D2552">
        <v>0.81892067069349095</v>
      </c>
      <c r="E2552">
        <v>0.68592242804342296</v>
      </c>
      <c r="F2552">
        <v>0.49027065108426998</v>
      </c>
      <c r="G2552">
        <v>0.192056620068668</v>
      </c>
      <c r="H2552">
        <v>6.6908994850165299E-2</v>
      </c>
      <c r="I2552">
        <v>4.4069374283618901E-2</v>
      </c>
      <c r="J2552">
        <v>5.0936319686886701E-2</v>
      </c>
      <c r="K2552">
        <v>4.2710709754839503E-2</v>
      </c>
      <c r="L2552">
        <v>652.73144294937197</v>
      </c>
      <c r="M2552">
        <v>13.3297819782002</v>
      </c>
      <c r="N2552">
        <v>48.967896553854601</v>
      </c>
      <c r="O2552">
        <v>47.905187598820397</v>
      </c>
      <c r="P2552">
        <v>-6.9574500319926E-2</v>
      </c>
      <c r="Q2552">
        <v>0</v>
      </c>
      <c r="R2552">
        <v>0.98603815756833202</v>
      </c>
      <c r="S2552" t="s">
        <v>9120</v>
      </c>
      <c r="T2552" t="s">
        <v>13134</v>
      </c>
      <c r="U2552" t="s">
        <v>13134</v>
      </c>
      <c r="V2552" t="s">
        <v>13134</v>
      </c>
      <c r="W2552" t="s">
        <v>15638</v>
      </c>
      <c r="X2552">
        <v>134</v>
      </c>
      <c r="Y2552" t="s">
        <v>22081</v>
      </c>
      <c r="Z2552" t="s">
        <v>28520</v>
      </c>
      <c r="AA2552">
        <v>0.42466190709854351</v>
      </c>
      <c r="AB2552" t="str">
        <f>HYPERLINK("Melting_Curves/meltCurve_P35580_MYH10.pdf", "Melting_Curves/meltCurve_P35580_MYH10.pdf")</f>
        <v>Melting_Curves/meltCurve_P35580_MYH10.pdf</v>
      </c>
    </row>
    <row r="2553" spans="1:28" x14ac:dyDescent="0.25">
      <c r="A2553" t="s">
        <v>2557</v>
      </c>
      <c r="B2553">
        <v>0.99472303558308395</v>
      </c>
      <c r="C2553">
        <v>0.933152074325866</v>
      </c>
      <c r="D2553">
        <v>0.73320378454833801</v>
      </c>
      <c r="E2553">
        <v>0.64157117872637504</v>
      </c>
      <c r="F2553">
        <v>0.63951050199044501</v>
      </c>
      <c r="G2553">
        <v>0.22114564478523799</v>
      </c>
      <c r="H2553">
        <v>8.9255152555078099E-2</v>
      </c>
      <c r="I2553">
        <v>4.5494625444160601E-2</v>
      </c>
      <c r="J2553">
        <v>5.5748963866538701E-2</v>
      </c>
      <c r="K2553">
        <v>4.4228260747529599E-2</v>
      </c>
      <c r="L2553">
        <v>576.01076506045399</v>
      </c>
      <c r="M2553">
        <v>11.6697925412728</v>
      </c>
      <c r="N2553">
        <v>49.359104661863299</v>
      </c>
      <c r="O2553">
        <v>47.976545611141802</v>
      </c>
      <c r="P2553">
        <v>-6.0826214486343302E-2</v>
      </c>
      <c r="Q2553">
        <v>0</v>
      </c>
      <c r="R2553">
        <v>0.954796989094158</v>
      </c>
      <c r="S2553" t="s">
        <v>9121</v>
      </c>
      <c r="T2553" t="s">
        <v>13134</v>
      </c>
      <c r="U2553" t="s">
        <v>13134</v>
      </c>
      <c r="V2553" t="s">
        <v>13134</v>
      </c>
      <c r="W2553" t="s">
        <v>15639</v>
      </c>
      <c r="X2553">
        <v>34</v>
      </c>
      <c r="Y2553" t="s">
        <v>22082</v>
      </c>
      <c r="Z2553" t="s">
        <v>28521</v>
      </c>
      <c r="AA2553">
        <v>0.44212820107473438</v>
      </c>
      <c r="AB2553" t="str">
        <f>HYPERLINK("Melting_Curves/meltCurve_P35606_COPB2.pdf", "Melting_Curves/meltCurve_P35606_COPB2.pdf")</f>
        <v>Melting_Curves/meltCurve_P35606_COPB2.pdf</v>
      </c>
    </row>
    <row r="2554" spans="1:28" x14ac:dyDescent="0.25">
      <c r="A2554" t="s">
        <v>2558</v>
      </c>
      <c r="B2554">
        <v>0.99472303558308395</v>
      </c>
      <c r="C2554">
        <v>1.03323725548495</v>
      </c>
      <c r="D2554">
        <v>0.953943714503656</v>
      </c>
      <c r="E2554">
        <v>0.90370047658792896</v>
      </c>
      <c r="F2554">
        <v>0.76691385556477298</v>
      </c>
      <c r="G2554">
        <v>0.51051867712179699</v>
      </c>
      <c r="H2554">
        <v>0.32869892693298802</v>
      </c>
      <c r="I2554">
        <v>0.25549013631072798</v>
      </c>
      <c r="J2554">
        <v>0.25625841189718102</v>
      </c>
      <c r="K2554">
        <v>0.20236315485322201</v>
      </c>
      <c r="L2554">
        <v>923.247719283842</v>
      </c>
      <c r="M2554">
        <v>17.604539934941201</v>
      </c>
      <c r="N2554">
        <v>53.991758213105001</v>
      </c>
      <c r="O2554">
        <v>51.7810508845361</v>
      </c>
      <c r="P2554">
        <v>-6.8155107695314396E-2</v>
      </c>
      <c r="Q2554">
        <v>0.198171766575335</v>
      </c>
      <c r="R2554">
        <v>0.99631325076669797</v>
      </c>
      <c r="S2554" t="s">
        <v>9122</v>
      </c>
      <c r="T2554" t="s">
        <v>13134</v>
      </c>
      <c r="U2554" t="s">
        <v>13134</v>
      </c>
      <c r="V2554" t="s">
        <v>13134</v>
      </c>
      <c r="W2554" t="s">
        <v>15640</v>
      </c>
      <c r="X2554">
        <v>26</v>
      </c>
      <c r="Y2554" t="s">
        <v>22083</v>
      </c>
      <c r="Z2554" t="s">
        <v>28522</v>
      </c>
      <c r="AA2554">
        <v>0.62324796969174179</v>
      </c>
      <c r="AB2554" t="str">
        <f>HYPERLINK("Melting_Curves/meltCurve_P35612_ADD2.pdf", "Melting_Curves/meltCurve_P35612_ADD2.pdf")</f>
        <v>Melting_Curves/meltCurve_P35612_ADD2.pdf</v>
      </c>
    </row>
    <row r="2555" spans="1:28" x14ac:dyDescent="0.25">
      <c r="A2555" t="s">
        <v>2559</v>
      </c>
      <c r="B2555">
        <v>0.99472303558308395</v>
      </c>
      <c r="C2555">
        <v>0.93750265193884696</v>
      </c>
      <c r="D2555">
        <v>0.90044522822153705</v>
      </c>
      <c r="E2555">
        <v>0.85032817677462502</v>
      </c>
      <c r="F2555">
        <v>0.75923794249424204</v>
      </c>
      <c r="G2555">
        <v>0.538855292544689</v>
      </c>
      <c r="H2555">
        <v>0.41594931803895902</v>
      </c>
      <c r="I2555">
        <v>0.463087724476625</v>
      </c>
      <c r="J2555">
        <v>0.54833243816621002</v>
      </c>
      <c r="K2555">
        <v>0.58676958366703402</v>
      </c>
      <c r="L2555">
        <v>901.44210282449205</v>
      </c>
      <c r="M2555">
        <v>18.429772687552202</v>
      </c>
      <c r="N2555">
        <v>64.117769174687595</v>
      </c>
      <c r="O2555">
        <v>48.3472943061943</v>
      </c>
      <c r="P2555">
        <v>-4.8254051459582399E-2</v>
      </c>
      <c r="Q2555">
        <v>0.49367824087093798</v>
      </c>
      <c r="R2555">
        <v>0.90863639743170599</v>
      </c>
      <c r="S2555" t="s">
        <v>9123</v>
      </c>
      <c r="T2555" t="s">
        <v>13134</v>
      </c>
      <c r="U2555" t="s">
        <v>13134</v>
      </c>
      <c r="V2555" t="s">
        <v>13134</v>
      </c>
      <c r="W2555" t="s">
        <v>15641</v>
      </c>
      <c r="X2555">
        <v>11</v>
      </c>
      <c r="Y2555" t="s">
        <v>22084</v>
      </c>
      <c r="Z2555" t="s">
        <v>28523</v>
      </c>
      <c r="AA2555">
        <v>0.70245361219265656</v>
      </c>
      <c r="AB2555" t="str">
        <f>HYPERLINK("Melting_Curves/meltCurve_P35613_2_BSG.pdf", "Melting_Curves/meltCurve_P35613_2_BSG.pdf")</f>
        <v>Melting_Curves/meltCurve_P35613_2_BSG.pdf</v>
      </c>
    </row>
    <row r="2556" spans="1:28" x14ac:dyDescent="0.25">
      <c r="A2556" t="s">
        <v>2560</v>
      </c>
      <c r="B2556">
        <v>0.99472303558308395</v>
      </c>
      <c r="C2556">
        <v>0.93775595641923604</v>
      </c>
      <c r="D2556">
        <v>0.92894142329615703</v>
      </c>
      <c r="E2556">
        <v>0.80458873495444705</v>
      </c>
      <c r="F2556">
        <v>0.39094760560552899</v>
      </c>
      <c r="G2556">
        <v>0.28467588141774403</v>
      </c>
      <c r="H2556">
        <v>0.18222558656891599</v>
      </c>
      <c r="I2556">
        <v>0.18287724279640499</v>
      </c>
      <c r="J2556">
        <v>0.14012788175768601</v>
      </c>
      <c r="K2556">
        <v>0.16116104290748801</v>
      </c>
      <c r="L2556">
        <v>1105.96509318827</v>
      </c>
      <c r="M2556">
        <v>22.771425500595399</v>
      </c>
      <c r="N2556">
        <v>49.414445884969297</v>
      </c>
      <c r="O2556">
        <v>48.1982021938353</v>
      </c>
      <c r="P2556">
        <v>-9.9042873554662902E-2</v>
      </c>
      <c r="Q2556">
        <v>0.16147621685817801</v>
      </c>
      <c r="R2556">
        <v>0.99215523208872003</v>
      </c>
      <c r="S2556" t="s">
        <v>9124</v>
      </c>
      <c r="T2556" t="s">
        <v>13134</v>
      </c>
      <c r="U2556" t="s">
        <v>13134</v>
      </c>
      <c r="V2556" t="s">
        <v>13134</v>
      </c>
      <c r="W2556" t="s">
        <v>15642</v>
      </c>
      <c r="X2556">
        <v>5</v>
      </c>
      <c r="Y2556" t="s">
        <v>22085</v>
      </c>
      <c r="Z2556" t="s">
        <v>28524</v>
      </c>
      <c r="AA2556">
        <v>0.49345002443684283</v>
      </c>
      <c r="AB2556" t="str">
        <f>HYPERLINK("Melting_Curves/meltCurve_P35626_ADRBK2.pdf", "Melting_Curves/meltCurve_P35626_ADRBK2.pdf")</f>
        <v>Melting_Curves/meltCurve_P35626_ADRBK2.pdf</v>
      </c>
    </row>
    <row r="2557" spans="1:28" x14ac:dyDescent="0.25">
      <c r="A2557" t="s">
        <v>2561</v>
      </c>
      <c r="B2557">
        <v>0.99472303558308395</v>
      </c>
      <c r="C2557">
        <v>0.94602278633883097</v>
      </c>
      <c r="D2557">
        <v>0.84740901650011802</v>
      </c>
      <c r="E2557">
        <v>0.75298204965274096</v>
      </c>
      <c r="F2557">
        <v>0.59742681551024901</v>
      </c>
      <c r="G2557">
        <v>0.41354489943227302</v>
      </c>
      <c r="H2557">
        <v>0.32496488721677802</v>
      </c>
      <c r="I2557">
        <v>0.33438640197360397</v>
      </c>
      <c r="J2557">
        <v>0.42101322991458801</v>
      </c>
      <c r="K2557">
        <v>0.32801327674939301</v>
      </c>
      <c r="L2557">
        <v>665.48570739477304</v>
      </c>
      <c r="M2557">
        <v>13.8740972986231</v>
      </c>
      <c r="N2557">
        <v>51.808378968813102</v>
      </c>
      <c r="O2557">
        <v>47.002508473714002</v>
      </c>
      <c r="P2557">
        <v>-5.0090336246506502E-2</v>
      </c>
      <c r="Q2557">
        <v>0.32131115943867</v>
      </c>
      <c r="R2557">
        <v>0.97665179666910595</v>
      </c>
      <c r="S2557" t="s">
        <v>9125</v>
      </c>
      <c r="T2557" t="s">
        <v>13134</v>
      </c>
      <c r="U2557" t="s">
        <v>13134</v>
      </c>
      <c r="V2557" t="s">
        <v>13134</v>
      </c>
      <c r="W2557" t="s">
        <v>15643</v>
      </c>
      <c r="X2557">
        <v>16</v>
      </c>
      <c r="Y2557" t="s">
        <v>22086</v>
      </c>
      <c r="Z2557" t="s">
        <v>28525</v>
      </c>
      <c r="AA2557">
        <v>0.5864115853124946</v>
      </c>
      <c r="AB2557" t="str">
        <f>HYPERLINK("Melting_Curves/meltCurve_P35637_2_FUS.pdf", "Melting_Curves/meltCurve_P35637_2_FUS.pdf")</f>
        <v>Melting_Curves/meltCurve_P35637_2_FUS.pdf</v>
      </c>
    </row>
    <row r="2558" spans="1:28" x14ac:dyDescent="0.25">
      <c r="A2558" t="s">
        <v>2562</v>
      </c>
      <c r="B2558">
        <v>0.99472303558308395</v>
      </c>
      <c r="C2558">
        <v>0.82055878771922397</v>
      </c>
      <c r="D2558">
        <v>0.60250276303946704</v>
      </c>
      <c r="E2558">
        <v>0.39890043983801798</v>
      </c>
      <c r="F2558">
        <v>0.199536611877565</v>
      </c>
      <c r="G2558">
        <v>7.7240752417E-2</v>
      </c>
      <c r="H2558">
        <v>4.6479225387848003E-2</v>
      </c>
      <c r="I2558">
        <v>3.6476782704607899E-2</v>
      </c>
      <c r="J2558">
        <v>4.2548551865589299E-2</v>
      </c>
      <c r="K2558">
        <v>3.5498735607032303E-2</v>
      </c>
      <c r="L2558">
        <v>610.64042142501705</v>
      </c>
      <c r="M2558">
        <v>13.6906086686046</v>
      </c>
      <c r="N2558">
        <v>44.705521624395303</v>
      </c>
      <c r="O2558">
        <v>43.6835368511166</v>
      </c>
      <c r="P2558">
        <v>-7.7149934912524198E-2</v>
      </c>
      <c r="Q2558">
        <v>1.54726459519506E-2</v>
      </c>
      <c r="R2558">
        <v>0.99515713518475402</v>
      </c>
      <c r="S2558" t="s">
        <v>9126</v>
      </c>
      <c r="T2558" t="s">
        <v>13134</v>
      </c>
      <c r="U2558" t="s">
        <v>13134</v>
      </c>
      <c r="V2558" t="s">
        <v>13134</v>
      </c>
      <c r="W2558" t="s">
        <v>15644</v>
      </c>
      <c r="X2558">
        <v>33</v>
      </c>
      <c r="Y2558" t="s">
        <v>22087</v>
      </c>
      <c r="Z2558" t="s">
        <v>28526</v>
      </c>
      <c r="AA2558">
        <v>0.29351315764828778</v>
      </c>
      <c r="AB2558" t="str">
        <f>HYPERLINK("Melting_Curves/meltCurve_P35658_2_NUP214.pdf", "Melting_Curves/meltCurve_P35658_2_NUP214.pdf")</f>
        <v>Melting_Curves/meltCurve_P35658_2_NUP214.pdf</v>
      </c>
    </row>
    <row r="2559" spans="1:28" x14ac:dyDescent="0.25">
      <c r="A2559" t="s">
        <v>2563</v>
      </c>
      <c r="B2559">
        <v>0.99472303558308395</v>
      </c>
      <c r="C2559">
        <v>0.91738097114236605</v>
      </c>
      <c r="D2559">
        <v>1.00956378303131</v>
      </c>
      <c r="E2559">
        <v>0.70858545292987696</v>
      </c>
      <c r="F2559">
        <v>0.26582341401865101</v>
      </c>
      <c r="G2559">
        <v>0.145800918488241</v>
      </c>
      <c r="H2559">
        <v>8.5533172678247699E-2</v>
      </c>
      <c r="I2559">
        <v>7.02729237974698E-2</v>
      </c>
      <c r="J2559">
        <v>7.8703212927317204E-2</v>
      </c>
      <c r="K2559">
        <v>6.6280728070057096E-2</v>
      </c>
      <c r="L2559">
        <v>1386.4093905003599</v>
      </c>
      <c r="M2559">
        <v>28.946680879211598</v>
      </c>
      <c r="N2559">
        <v>48.179951303116397</v>
      </c>
      <c r="O2559">
        <v>47.668445011378203</v>
      </c>
      <c r="P2559">
        <v>-0.139881037574316</v>
      </c>
      <c r="Q2559">
        <v>7.8600966974556499E-2</v>
      </c>
      <c r="R2559">
        <v>0.99401638370393697</v>
      </c>
      <c r="S2559" t="s">
        <v>9127</v>
      </c>
      <c r="T2559" t="s">
        <v>13134</v>
      </c>
      <c r="U2559" t="s">
        <v>13134</v>
      </c>
      <c r="V2559" t="s">
        <v>13134</v>
      </c>
      <c r="W2559" t="s">
        <v>15645</v>
      </c>
      <c r="X2559">
        <v>19</v>
      </c>
      <c r="Y2559" t="s">
        <v>22088</v>
      </c>
      <c r="Z2559" t="s">
        <v>28527</v>
      </c>
      <c r="AA2559">
        <v>0.41908258413612759</v>
      </c>
      <c r="AB2559" t="str">
        <f>HYPERLINK("Melting_Curves/meltCurve_P35659_DEK.pdf", "Melting_Curves/meltCurve_P35659_DEK.pdf")</f>
        <v>Melting_Curves/meltCurve_P35659_DEK.pdf</v>
      </c>
    </row>
    <row r="2560" spans="1:28" x14ac:dyDescent="0.25">
      <c r="A2560" t="s">
        <v>2564</v>
      </c>
      <c r="B2560">
        <v>0.99472303558308395</v>
      </c>
      <c r="C2560">
        <v>1.0276809891749701</v>
      </c>
      <c r="D2560">
        <v>0.79518198320575195</v>
      </c>
      <c r="E2560">
        <v>0.82625745933483896</v>
      </c>
      <c r="F2560">
        <v>0.93551998570958095</v>
      </c>
      <c r="G2560">
        <v>0.41621169542597902</v>
      </c>
      <c r="H2560">
        <v>9.3476258451507893E-2</v>
      </c>
      <c r="I2560">
        <v>3.9516206389786798E-2</v>
      </c>
      <c r="J2560">
        <v>4.8107879255520403E-2</v>
      </c>
      <c r="K2560">
        <v>6.0709347413823597E-2</v>
      </c>
      <c r="L2560">
        <v>2137.4193439291998</v>
      </c>
      <c r="M2560">
        <v>40.178501365056597</v>
      </c>
      <c r="N2560">
        <v>53.328265645001103</v>
      </c>
      <c r="O2560">
        <v>53.066797799092399</v>
      </c>
      <c r="P2560">
        <v>-0.180441001552713</v>
      </c>
      <c r="Q2560">
        <v>4.6713170554074E-2</v>
      </c>
      <c r="R2560">
        <v>0.95698074756337803</v>
      </c>
      <c r="S2560" t="s">
        <v>9128</v>
      </c>
      <c r="T2560" t="s">
        <v>13134</v>
      </c>
      <c r="U2560" t="s">
        <v>13134</v>
      </c>
      <c r="V2560" t="s">
        <v>13134</v>
      </c>
      <c r="W2560" t="s">
        <v>15646</v>
      </c>
      <c r="X2560">
        <v>25</v>
      </c>
      <c r="Y2560" t="s">
        <v>22089</v>
      </c>
      <c r="Z2560" t="s">
        <v>28528</v>
      </c>
      <c r="AA2560">
        <v>0.56488414450816526</v>
      </c>
      <c r="AB2560" t="str">
        <f>HYPERLINK("Melting_Curves/meltCurve_P35749_4_MYH11.pdf", "Melting_Curves/meltCurve_P35749_4_MYH11.pdf")</f>
        <v>Melting_Curves/meltCurve_P35749_4_MYH11.pdf</v>
      </c>
    </row>
    <row r="2561" spans="1:28" x14ac:dyDescent="0.25">
      <c r="A2561" t="s">
        <v>2565</v>
      </c>
      <c r="B2561">
        <v>0.99472303558308395</v>
      </c>
      <c r="C2561">
        <v>1.0991279953858399</v>
      </c>
      <c r="D2561">
        <v>0.90705423271244601</v>
      </c>
      <c r="E2561">
        <v>1.0784262693640301</v>
      </c>
      <c r="F2561">
        <v>0.89214226508969696</v>
      </c>
      <c r="G2561">
        <v>0.83161640348298604</v>
      </c>
      <c r="H2561">
        <v>0.77366627961175705</v>
      </c>
      <c r="I2561">
        <v>1.0162061897188499</v>
      </c>
      <c r="J2561">
        <v>1.1319435472239601</v>
      </c>
      <c r="K2561">
        <v>0.95815387042344602</v>
      </c>
      <c r="L2561">
        <v>10367.519811919199</v>
      </c>
      <c r="M2561">
        <v>250</v>
      </c>
      <c r="O2561">
        <v>41.467436211261401</v>
      </c>
      <c r="P2561">
        <v>-7.7392636498208295E-2</v>
      </c>
      <c r="Q2561">
        <v>0.948651625871478</v>
      </c>
      <c r="R2561">
        <v>8.8213717357910199E-2</v>
      </c>
      <c r="S2561" t="s">
        <v>9129</v>
      </c>
      <c r="T2561" t="s">
        <v>13134</v>
      </c>
      <c r="U2561" t="s">
        <v>13134</v>
      </c>
      <c r="V2561" t="s">
        <v>13134</v>
      </c>
      <c r="W2561" t="s">
        <v>15647</v>
      </c>
      <c r="X2561">
        <v>3</v>
      </c>
      <c r="Y2561" t="s">
        <v>22090</v>
      </c>
      <c r="Z2561" t="s">
        <v>28529</v>
      </c>
      <c r="AA2561">
        <v>0.95630640635890696</v>
      </c>
      <c r="AB2561" t="str">
        <f>HYPERLINK("Melting_Curves/meltCurve_P35754_GLRX.pdf", "Melting_Curves/meltCurve_P35754_GLRX.pdf")</f>
        <v>Melting_Curves/meltCurve_P35754_GLRX.pdf</v>
      </c>
    </row>
    <row r="2562" spans="1:28" x14ac:dyDescent="0.25">
      <c r="A2562" t="s">
        <v>2566</v>
      </c>
      <c r="B2562">
        <v>0.99472303558308395</v>
      </c>
      <c r="C2562">
        <v>1.1030776812816301</v>
      </c>
      <c r="D2562">
        <v>0.83793853888261005</v>
      </c>
      <c r="E2562">
        <v>0.72426951546225804</v>
      </c>
      <c r="F2562">
        <v>0.68465842247012498</v>
      </c>
      <c r="G2562">
        <v>0.39894489228117203</v>
      </c>
      <c r="H2562">
        <v>0.31577042627212099</v>
      </c>
      <c r="I2562">
        <v>0.29212971425348799</v>
      </c>
      <c r="J2562">
        <v>0.43511254272524902</v>
      </c>
      <c r="K2562">
        <v>0.23073898605478499</v>
      </c>
      <c r="L2562">
        <v>680.33223060924104</v>
      </c>
      <c r="M2562">
        <v>13.840873968472399</v>
      </c>
      <c r="N2562">
        <v>52.175820128403998</v>
      </c>
      <c r="O2562">
        <v>48.161842009772897</v>
      </c>
      <c r="P2562">
        <v>-5.20445505668298E-2</v>
      </c>
      <c r="Q2562">
        <v>0.275706060267353</v>
      </c>
      <c r="R2562">
        <v>0.92982435065129099</v>
      </c>
      <c r="S2562" t="s">
        <v>9130</v>
      </c>
      <c r="T2562" t="s">
        <v>13134</v>
      </c>
      <c r="U2562" t="s">
        <v>13134</v>
      </c>
      <c r="V2562" t="s">
        <v>13134</v>
      </c>
      <c r="W2562" t="s">
        <v>15648</v>
      </c>
      <c r="X2562">
        <v>7</v>
      </c>
      <c r="Y2562" t="s">
        <v>22091</v>
      </c>
      <c r="Z2562" t="s">
        <v>28530</v>
      </c>
      <c r="AA2562">
        <v>0.58665739725327659</v>
      </c>
      <c r="AB2562" t="str">
        <f>HYPERLINK("Melting_Curves/meltCurve_P35790_2_CHKA.pdf", "Melting_Curves/meltCurve_P35790_2_CHKA.pdf")</f>
        <v>Melting_Curves/meltCurve_P35790_2_CHKA.pdf</v>
      </c>
    </row>
    <row r="2563" spans="1:28" x14ac:dyDescent="0.25">
      <c r="A2563" t="s">
        <v>2567</v>
      </c>
      <c r="B2563">
        <v>0.99472303558308395</v>
      </c>
      <c r="C2563">
        <v>0.96026912854401802</v>
      </c>
      <c r="D2563">
        <v>0.96709568014098701</v>
      </c>
      <c r="E2563">
        <v>0.86721191601605097</v>
      </c>
      <c r="F2563">
        <v>0.642743288038649</v>
      </c>
      <c r="G2563">
        <v>0.165811158154925</v>
      </c>
      <c r="H2563">
        <v>9.7035315668214703E-2</v>
      </c>
      <c r="I2563">
        <v>4.6664236175177697E-2</v>
      </c>
      <c r="J2563">
        <v>5.4912646520623602E-2</v>
      </c>
      <c r="K2563">
        <v>5.5192678262735502E-2</v>
      </c>
      <c r="L2563">
        <v>1419.2549379637701</v>
      </c>
      <c r="M2563">
        <v>27.942444714841901</v>
      </c>
      <c r="N2563">
        <v>50.963744149602597</v>
      </c>
      <c r="O2563">
        <v>50.534070098122498</v>
      </c>
      <c r="P2563">
        <v>-0.132028234026761</v>
      </c>
      <c r="Q2563">
        <v>4.4913007920975599E-2</v>
      </c>
      <c r="R2563">
        <v>0.99398481178434095</v>
      </c>
      <c r="S2563" t="s">
        <v>9131</v>
      </c>
      <c r="T2563" t="s">
        <v>13134</v>
      </c>
      <c r="U2563" t="s">
        <v>13134</v>
      </c>
      <c r="V2563" t="s">
        <v>13134</v>
      </c>
      <c r="W2563" t="s">
        <v>15649</v>
      </c>
      <c r="X2563">
        <v>11</v>
      </c>
      <c r="Y2563" t="s">
        <v>22092</v>
      </c>
      <c r="Z2563" t="s">
        <v>28531</v>
      </c>
      <c r="AA2563">
        <v>0.49081137159115912</v>
      </c>
      <c r="AB2563" t="str">
        <f>HYPERLINK("Melting_Curves/meltCurve_P35813_PPM1A.pdf", "Melting_Curves/meltCurve_P35813_PPM1A.pdf")</f>
        <v>Melting_Curves/meltCurve_P35813_PPM1A.pdf</v>
      </c>
    </row>
    <row r="2564" spans="1:28" x14ac:dyDescent="0.25">
      <c r="A2564" t="s">
        <v>2568</v>
      </c>
      <c r="B2564">
        <v>0.99472303558308395</v>
      </c>
      <c r="C2564">
        <v>0.94846861324989395</v>
      </c>
      <c r="D2564">
        <v>0.780069261800448</v>
      </c>
      <c r="E2564">
        <v>0.68330699517242799</v>
      </c>
      <c r="F2564">
        <v>0.697837825577864</v>
      </c>
      <c r="G2564">
        <v>0.29643355875386201</v>
      </c>
      <c r="H2564">
        <v>0.13288205035804401</v>
      </c>
      <c r="I2564">
        <v>5.8332153635421199E-2</v>
      </c>
      <c r="J2564">
        <v>5.9433642401335599E-2</v>
      </c>
      <c r="K2564">
        <v>6.1776116310789102E-2</v>
      </c>
      <c r="L2564">
        <v>607.87951426440804</v>
      </c>
      <c r="M2564">
        <v>12.0184654329683</v>
      </c>
      <c r="N2564">
        <v>50.5787985550595</v>
      </c>
      <c r="O2564">
        <v>49.239521369429397</v>
      </c>
      <c r="P2564">
        <v>-6.1035025286653097E-2</v>
      </c>
      <c r="Q2564">
        <v>0</v>
      </c>
      <c r="R2564">
        <v>0.95958958674925099</v>
      </c>
      <c r="S2564" t="s">
        <v>9132</v>
      </c>
      <c r="T2564" t="s">
        <v>13134</v>
      </c>
      <c r="U2564" t="s">
        <v>13134</v>
      </c>
      <c r="V2564" t="s">
        <v>13134</v>
      </c>
      <c r="W2564" t="s">
        <v>15650</v>
      </c>
      <c r="X2564">
        <v>32</v>
      </c>
      <c r="Y2564" t="s">
        <v>22093</v>
      </c>
      <c r="Z2564" t="s">
        <v>28532</v>
      </c>
      <c r="AA2564">
        <v>0.47947437906245888</v>
      </c>
      <c r="AB2564" t="str">
        <f>HYPERLINK("Melting_Curves/meltCurve_P35998_PSMC2.pdf", "Melting_Curves/meltCurve_P35998_PSMC2.pdf")</f>
        <v>Melting_Curves/meltCurve_P35998_PSMC2.pdf</v>
      </c>
    </row>
    <row r="2565" spans="1:28" x14ac:dyDescent="0.25">
      <c r="A2565" t="s">
        <v>2569</v>
      </c>
      <c r="B2565">
        <v>0.99472303558308395</v>
      </c>
      <c r="C2565">
        <v>0.96147476593223002</v>
      </c>
      <c r="D2565">
        <v>1.01054519078232</v>
      </c>
      <c r="E2565">
        <v>0.95726291268687103</v>
      </c>
      <c r="F2565">
        <v>0.83088448524757297</v>
      </c>
      <c r="G2565">
        <v>0.57392703610815399</v>
      </c>
      <c r="H2565">
        <v>0.26712937440326201</v>
      </c>
      <c r="I2565">
        <v>9.6737079381899405E-2</v>
      </c>
      <c r="J2565">
        <v>0.140006407181061</v>
      </c>
      <c r="K2565">
        <v>0.13383803765838301</v>
      </c>
      <c r="L2565">
        <v>1232.8340036755001</v>
      </c>
      <c r="M2565">
        <v>22.918296737281199</v>
      </c>
      <c r="N2565">
        <v>54.304802801209902</v>
      </c>
      <c r="O2565">
        <v>53.388017921163602</v>
      </c>
      <c r="P2565">
        <v>-9.6889331224802297E-2</v>
      </c>
      <c r="Q2565">
        <v>9.72046396025181E-2</v>
      </c>
      <c r="R2565">
        <v>0.99472218989279204</v>
      </c>
      <c r="S2565" t="s">
        <v>9133</v>
      </c>
      <c r="T2565" t="s">
        <v>13134</v>
      </c>
      <c r="U2565" t="s">
        <v>13134</v>
      </c>
      <c r="V2565" t="s">
        <v>13134</v>
      </c>
      <c r="W2565" t="s">
        <v>15651</v>
      </c>
      <c r="X2565">
        <v>7</v>
      </c>
      <c r="Y2565" t="s">
        <v>22094</v>
      </c>
      <c r="Z2565" t="s">
        <v>28533</v>
      </c>
      <c r="AA2565">
        <v>0.6116245368296741</v>
      </c>
      <c r="AB2565" t="str">
        <f>HYPERLINK("Melting_Curves/meltCurve_P36404_ARL2.pdf", "Melting_Curves/meltCurve_P36404_ARL2.pdf")</f>
        <v>Melting_Curves/meltCurve_P36404_ARL2.pdf</v>
      </c>
    </row>
    <row r="2566" spans="1:28" x14ac:dyDescent="0.25">
      <c r="A2566" t="s">
        <v>2570</v>
      </c>
      <c r="B2566">
        <v>0.99472303558308395</v>
      </c>
      <c r="C2566">
        <v>0.85030479175025897</v>
      </c>
      <c r="D2566">
        <v>1.0771192754340699</v>
      </c>
      <c r="E2566">
        <v>0.98312791167602198</v>
      </c>
      <c r="F2566">
        <v>0.74136557204570797</v>
      </c>
      <c r="G2566">
        <v>0.65298471071143505</v>
      </c>
      <c r="H2566">
        <v>0.45330322105674697</v>
      </c>
      <c r="I2566">
        <v>0.26269666249421603</v>
      </c>
      <c r="J2566">
        <v>0.26971748530265999</v>
      </c>
      <c r="K2566">
        <v>0.19726958658813201</v>
      </c>
      <c r="L2566">
        <v>780.53063342845701</v>
      </c>
      <c r="M2566">
        <v>14.2750328234251</v>
      </c>
      <c r="N2566">
        <v>56.044272142363099</v>
      </c>
      <c r="O2566">
        <v>53.638591462812499</v>
      </c>
      <c r="P2566">
        <v>-5.6763351976417797E-2</v>
      </c>
      <c r="Q2566">
        <v>0.14694923193842299</v>
      </c>
      <c r="R2566">
        <v>0.95824844682493104</v>
      </c>
      <c r="S2566" t="s">
        <v>9134</v>
      </c>
      <c r="T2566" t="s">
        <v>13134</v>
      </c>
      <c r="U2566" t="s">
        <v>13134</v>
      </c>
      <c r="V2566" t="s">
        <v>13134</v>
      </c>
      <c r="W2566" t="s">
        <v>15652</v>
      </c>
      <c r="X2566">
        <v>10</v>
      </c>
      <c r="Y2566" t="s">
        <v>22095</v>
      </c>
      <c r="Z2566" t="s">
        <v>28534</v>
      </c>
      <c r="AA2566">
        <v>0.66255477583889699</v>
      </c>
      <c r="AB2566" t="str">
        <f>HYPERLINK("Melting_Curves/meltCurve_P36405_ARL3.pdf", "Melting_Curves/meltCurve_P36405_ARL3.pdf")</f>
        <v>Melting_Curves/meltCurve_P36405_ARL3.pdf</v>
      </c>
    </row>
    <row r="2567" spans="1:28" x14ac:dyDescent="0.25">
      <c r="A2567" t="s">
        <v>2571</v>
      </c>
      <c r="B2567">
        <v>0.99472303558308395</v>
      </c>
      <c r="C2567">
        <v>1.02600765958817</v>
      </c>
      <c r="D2567">
        <v>1.00316569971753</v>
      </c>
      <c r="E2567">
        <v>0.92669177045273798</v>
      </c>
      <c r="F2567">
        <v>0.609125754822613</v>
      </c>
      <c r="G2567">
        <v>0.265324535421404</v>
      </c>
      <c r="H2567">
        <v>6.67014431234699E-2</v>
      </c>
      <c r="I2567">
        <v>4.42517903153841E-2</v>
      </c>
      <c r="J2567">
        <v>4.5932441508875002E-2</v>
      </c>
      <c r="K2567">
        <v>3.7831971816382003E-2</v>
      </c>
      <c r="L2567">
        <v>1273.0212931322701</v>
      </c>
      <c r="M2567">
        <v>24.917313661917401</v>
      </c>
      <c r="N2567">
        <v>51.220660564258502</v>
      </c>
      <c r="O2567">
        <v>50.764182292599997</v>
      </c>
      <c r="P2567">
        <v>-0.118929765975078</v>
      </c>
      <c r="Q2567">
        <v>3.0828305145705399E-2</v>
      </c>
      <c r="R2567">
        <v>0.998857688097472</v>
      </c>
      <c r="S2567" t="s">
        <v>9135</v>
      </c>
      <c r="T2567" t="s">
        <v>13134</v>
      </c>
      <c r="U2567" t="s">
        <v>13134</v>
      </c>
      <c r="V2567" t="s">
        <v>13134</v>
      </c>
      <c r="W2567" t="s">
        <v>15653</v>
      </c>
      <c r="X2567">
        <v>18</v>
      </c>
      <c r="Y2567" t="s">
        <v>22096</v>
      </c>
      <c r="Z2567" t="s">
        <v>28535</v>
      </c>
      <c r="AA2567">
        <v>0.49461871832159882</v>
      </c>
      <c r="AB2567" t="str">
        <f>HYPERLINK("Melting_Curves/meltCurve_P36507_MAP2K2.pdf", "Melting_Curves/meltCurve_P36507_MAP2K2.pdf")</f>
        <v>Melting_Curves/meltCurve_P36507_MAP2K2.pdf</v>
      </c>
    </row>
    <row r="2568" spans="1:28" x14ac:dyDescent="0.25">
      <c r="A2568" t="s">
        <v>2572</v>
      </c>
      <c r="B2568">
        <v>0.99472303558308395</v>
      </c>
      <c r="C2568">
        <v>0.91818216078055703</v>
      </c>
      <c r="D2568">
        <v>0.663556085834903</v>
      </c>
      <c r="E2568">
        <v>0.58792588918172395</v>
      </c>
      <c r="F2568">
        <v>0.51358884651763104</v>
      </c>
      <c r="G2568">
        <v>0.25643096384442399</v>
      </c>
      <c r="H2568">
        <v>0.17143286022461501</v>
      </c>
      <c r="I2568">
        <v>0.121007194751292</v>
      </c>
      <c r="J2568">
        <v>0.15128773907221399</v>
      </c>
      <c r="K2568">
        <v>0.120798639769839</v>
      </c>
      <c r="L2568">
        <v>459.98192920796998</v>
      </c>
      <c r="M2568">
        <v>9.6059395785483392</v>
      </c>
      <c r="N2568">
        <v>48.367869890879</v>
      </c>
      <c r="O2568">
        <v>45.9478850357414</v>
      </c>
      <c r="P2568">
        <v>-4.9904752314378902E-2</v>
      </c>
      <c r="Q2568">
        <v>4.5707794660361498E-2</v>
      </c>
      <c r="R2568">
        <v>0.97327598789370495</v>
      </c>
      <c r="S2568" t="s">
        <v>9136</v>
      </c>
      <c r="T2568" t="s">
        <v>13134</v>
      </c>
      <c r="U2568" t="s">
        <v>13134</v>
      </c>
      <c r="V2568" t="s">
        <v>13134</v>
      </c>
      <c r="W2568" t="s">
        <v>15654</v>
      </c>
      <c r="X2568">
        <v>12</v>
      </c>
      <c r="Y2568" t="s">
        <v>22097</v>
      </c>
      <c r="Z2568" t="s">
        <v>28536</v>
      </c>
      <c r="AA2568">
        <v>0.43262817768070128</v>
      </c>
      <c r="AB2568" t="str">
        <f>HYPERLINK("Melting_Curves/meltCurve_P36542_ATP5C1.pdf", "Melting_Curves/meltCurve_P36542_ATP5C1.pdf")</f>
        <v>Melting_Curves/meltCurve_P36542_ATP5C1.pdf</v>
      </c>
    </row>
    <row r="2569" spans="1:28" x14ac:dyDescent="0.25">
      <c r="A2569" t="s">
        <v>2573</v>
      </c>
      <c r="B2569">
        <v>0.99472303558308395</v>
      </c>
      <c r="C2569">
        <v>0.96801277562696297</v>
      </c>
      <c r="D2569">
        <v>0.800690448697432</v>
      </c>
      <c r="E2569">
        <v>0.68610404906463396</v>
      </c>
      <c r="F2569">
        <v>0.58745211731927605</v>
      </c>
      <c r="G2569">
        <v>0.205298097466627</v>
      </c>
      <c r="H2569">
        <v>8.0304741888721901E-2</v>
      </c>
      <c r="I2569">
        <v>4.9588801498212799E-2</v>
      </c>
      <c r="J2569">
        <v>5.3660426804462098E-2</v>
      </c>
      <c r="K2569">
        <v>5.2130701267836803E-2</v>
      </c>
      <c r="L2569">
        <v>666.29321634409905</v>
      </c>
      <c r="M2569">
        <v>13.425397841515601</v>
      </c>
      <c r="N2569">
        <v>49.629328253111098</v>
      </c>
      <c r="O2569">
        <v>48.566989446077599</v>
      </c>
      <c r="P2569">
        <v>-6.91183983698202E-2</v>
      </c>
      <c r="Q2569">
        <v>0</v>
      </c>
      <c r="R2569">
        <v>0.97794139282317905</v>
      </c>
      <c r="S2569" t="s">
        <v>9137</v>
      </c>
      <c r="T2569" t="s">
        <v>13134</v>
      </c>
      <c r="U2569" t="s">
        <v>13134</v>
      </c>
      <c r="V2569" t="s">
        <v>13134</v>
      </c>
      <c r="W2569" t="s">
        <v>15655</v>
      </c>
      <c r="X2569">
        <v>16</v>
      </c>
      <c r="Y2569" t="s">
        <v>22098</v>
      </c>
      <c r="Z2569" t="s">
        <v>28537</v>
      </c>
      <c r="AA2569">
        <v>0.44575188755445899</v>
      </c>
      <c r="AB2569" t="str">
        <f>HYPERLINK("Melting_Curves/meltCurve_P36543_ATP6V1E1.pdf", "Melting_Curves/meltCurve_P36543_ATP6V1E1.pdf")</f>
        <v>Melting_Curves/meltCurve_P36543_ATP6V1E1.pdf</v>
      </c>
    </row>
    <row r="2570" spans="1:28" x14ac:dyDescent="0.25">
      <c r="A2570" t="s">
        <v>2574</v>
      </c>
      <c r="B2570">
        <v>0.99472303558308395</v>
      </c>
      <c r="C2570">
        <v>1.03478310830957</v>
      </c>
      <c r="D2570">
        <v>0.94763380329820401</v>
      </c>
      <c r="E2570">
        <v>0.89779761105322697</v>
      </c>
      <c r="F2570">
        <v>0.76631288010493104</v>
      </c>
      <c r="G2570">
        <v>0.58176496692608803</v>
      </c>
      <c r="H2570">
        <v>0.39744015643654501</v>
      </c>
      <c r="I2570">
        <v>0.26160423033368801</v>
      </c>
      <c r="J2570">
        <v>0.17498213096552301</v>
      </c>
      <c r="K2570">
        <v>0.124966970545422</v>
      </c>
      <c r="L2570">
        <v>646.67988118309495</v>
      </c>
      <c r="M2570">
        <v>11.715135530926</v>
      </c>
      <c r="N2570">
        <v>55.3399091265442</v>
      </c>
      <c r="O2570">
        <v>53.6655780381951</v>
      </c>
      <c r="P2570">
        <v>-5.3794711913795597E-2</v>
      </c>
      <c r="Q2570">
        <v>1.4553196493440499E-2</v>
      </c>
      <c r="R2570">
        <v>0.99786403185415695</v>
      </c>
      <c r="S2570" t="s">
        <v>9138</v>
      </c>
      <c r="T2570" t="s">
        <v>13134</v>
      </c>
      <c r="U2570" t="s">
        <v>13134</v>
      </c>
      <c r="V2570" t="s">
        <v>13134</v>
      </c>
      <c r="W2570" t="s">
        <v>15656</v>
      </c>
      <c r="X2570">
        <v>22</v>
      </c>
      <c r="Y2570" t="s">
        <v>22099</v>
      </c>
      <c r="Z2570" t="s">
        <v>28538</v>
      </c>
      <c r="AA2570">
        <v>0.62538125750912243</v>
      </c>
      <c r="AB2570" t="str">
        <f>HYPERLINK("Melting_Curves/meltCurve_P36551_CPOX.pdf", "Melting_Curves/meltCurve_P36551_CPOX.pdf")</f>
        <v>Melting_Curves/meltCurve_P36551_CPOX.pdf</v>
      </c>
    </row>
    <row r="2571" spans="1:28" x14ac:dyDescent="0.25">
      <c r="A2571" t="s">
        <v>2575</v>
      </c>
      <c r="B2571">
        <v>0.99472303558308395</v>
      </c>
      <c r="C2571">
        <v>0.86275420284958504</v>
      </c>
      <c r="D2571">
        <v>0.870043709947388</v>
      </c>
      <c r="E2571">
        <v>0.72365065331989498</v>
      </c>
      <c r="F2571">
        <v>0.81775437515105798</v>
      </c>
      <c r="G2571">
        <v>0.27551077022050902</v>
      </c>
      <c r="H2571">
        <v>0.151906772378778</v>
      </c>
      <c r="I2571">
        <v>0.104367532280459</v>
      </c>
      <c r="J2571">
        <v>6.5166423427211503E-2</v>
      </c>
      <c r="K2571">
        <v>0.11121225391730501</v>
      </c>
      <c r="L2571">
        <v>718.93909463663294</v>
      </c>
      <c r="M2571">
        <v>13.9068448436973</v>
      </c>
      <c r="N2571">
        <v>51.7606155722859</v>
      </c>
      <c r="O2571">
        <v>50.663014496352503</v>
      </c>
      <c r="P2571">
        <v>-6.8050013947370702E-2</v>
      </c>
      <c r="Q2571">
        <v>8.5024568224190602E-3</v>
      </c>
      <c r="R2571">
        <v>0.93130490731777804</v>
      </c>
      <c r="S2571" t="s">
        <v>9139</v>
      </c>
      <c r="T2571" t="s">
        <v>13134</v>
      </c>
      <c r="U2571" t="s">
        <v>13134</v>
      </c>
      <c r="V2571" t="s">
        <v>13134</v>
      </c>
      <c r="W2571" t="s">
        <v>15657</v>
      </c>
      <c r="X2571">
        <v>13</v>
      </c>
      <c r="Y2571" t="s">
        <v>22100</v>
      </c>
      <c r="Z2571" t="s">
        <v>28539</v>
      </c>
      <c r="AA2571">
        <v>0.51527454973472675</v>
      </c>
      <c r="AB2571" t="str">
        <f>HYPERLINK("Melting_Curves/meltCurve_P36578_RPL4.pdf", "Melting_Curves/meltCurve_P36578_RPL4.pdf")</f>
        <v>Melting_Curves/meltCurve_P36578_RPL4.pdf</v>
      </c>
    </row>
    <row r="2572" spans="1:28" x14ac:dyDescent="0.25">
      <c r="A2572" t="s">
        <v>2576</v>
      </c>
      <c r="B2572">
        <v>0.99472303558308395</v>
      </c>
      <c r="C2572">
        <v>1.02524309345343</v>
      </c>
      <c r="D2572">
        <v>0.96474822929955095</v>
      </c>
      <c r="E2572">
        <v>0.88591895895304096</v>
      </c>
      <c r="F2572">
        <v>0.63934704638886197</v>
      </c>
      <c r="G2572">
        <v>0.386514085336085</v>
      </c>
      <c r="H2572">
        <v>0.20816007184502799</v>
      </c>
      <c r="I2572">
        <v>0.14341036377980801</v>
      </c>
      <c r="J2572">
        <v>0.197880547105793</v>
      </c>
      <c r="K2572">
        <v>0.13953581171540999</v>
      </c>
      <c r="L2572">
        <v>1010.04010145552</v>
      </c>
      <c r="M2572">
        <v>19.780200488455201</v>
      </c>
      <c r="N2572">
        <v>51.9233176722135</v>
      </c>
      <c r="O2572">
        <v>50.549866276735898</v>
      </c>
      <c r="P2572">
        <v>-8.4162027934105502E-2</v>
      </c>
      <c r="Q2572">
        <v>0.13969833929504899</v>
      </c>
      <c r="R2572">
        <v>0.99661310378135404</v>
      </c>
      <c r="S2572" t="s">
        <v>9140</v>
      </c>
      <c r="T2572" t="s">
        <v>13134</v>
      </c>
      <c r="U2572" t="s">
        <v>13134</v>
      </c>
      <c r="V2572" t="s">
        <v>13134</v>
      </c>
      <c r="W2572" t="s">
        <v>15658</v>
      </c>
      <c r="X2572">
        <v>5</v>
      </c>
      <c r="Y2572" t="s">
        <v>22101</v>
      </c>
      <c r="Z2572" t="s">
        <v>28540</v>
      </c>
      <c r="AA2572">
        <v>0.55444898158225731</v>
      </c>
      <c r="AB2572" t="str">
        <f>HYPERLINK("Melting_Curves/meltCurve_P36639_4_NUDT1.pdf", "Melting_Curves/meltCurve_P36639_4_NUDT1.pdf")</f>
        <v>Melting_Curves/meltCurve_P36639_4_NUDT1.pdf</v>
      </c>
    </row>
    <row r="2573" spans="1:28" x14ac:dyDescent="0.25">
      <c r="A2573" t="s">
        <v>2577</v>
      </c>
      <c r="B2573">
        <v>0.99472303558308395</v>
      </c>
      <c r="C2573">
        <v>0.95042463155312396</v>
      </c>
      <c r="D2573">
        <v>0.99284517962161201</v>
      </c>
      <c r="E2573">
        <v>0.85948424885890695</v>
      </c>
      <c r="F2573">
        <v>0.36335186659628599</v>
      </c>
      <c r="G2573">
        <v>9.8177891832953806E-2</v>
      </c>
      <c r="H2573">
        <v>6.3915899115982902E-2</v>
      </c>
      <c r="I2573">
        <v>4.6048094184386899E-2</v>
      </c>
      <c r="J2573">
        <v>5.5681791796328303E-2</v>
      </c>
      <c r="K2573">
        <v>6.2232021506972601E-2</v>
      </c>
      <c r="L2573">
        <v>1616.94654758604</v>
      </c>
      <c r="M2573">
        <v>32.939886119110099</v>
      </c>
      <c r="N2573">
        <v>49.256945530815102</v>
      </c>
      <c r="O2573">
        <v>48.907956886572101</v>
      </c>
      <c r="P2573">
        <v>-0.159373684807012</v>
      </c>
      <c r="Q2573">
        <v>5.34753144649723E-2</v>
      </c>
      <c r="R2573">
        <v>0.99849945888645097</v>
      </c>
      <c r="S2573" t="s">
        <v>9141</v>
      </c>
      <c r="T2573" t="s">
        <v>13134</v>
      </c>
      <c r="U2573" t="s">
        <v>13134</v>
      </c>
      <c r="V2573" t="s">
        <v>13134</v>
      </c>
      <c r="W2573" t="s">
        <v>15659</v>
      </c>
      <c r="X2573">
        <v>20</v>
      </c>
      <c r="Y2573" t="s">
        <v>22102</v>
      </c>
      <c r="Z2573" t="s">
        <v>28541</v>
      </c>
      <c r="AA2573">
        <v>0.43959904523005328</v>
      </c>
      <c r="AB2573" t="str">
        <f>HYPERLINK("Melting_Curves/meltCurve_P36915_GNL1.pdf", "Melting_Curves/meltCurve_P36915_GNL1.pdf")</f>
        <v>Melting_Curves/meltCurve_P36915_GNL1.pdf</v>
      </c>
    </row>
    <row r="2574" spans="1:28" x14ac:dyDescent="0.25">
      <c r="A2574" t="s">
        <v>2578</v>
      </c>
      <c r="B2574">
        <v>0.99472303558308395</v>
      </c>
      <c r="C2574">
        <v>0.88200537436062498</v>
      </c>
      <c r="D2574">
        <v>0.81211622092214297</v>
      </c>
      <c r="E2574">
        <v>0.77952690992292895</v>
      </c>
      <c r="F2574">
        <v>0.78982754597570703</v>
      </c>
      <c r="G2574">
        <v>0.69576931868704095</v>
      </c>
      <c r="H2574">
        <v>0.60555450834778801</v>
      </c>
      <c r="I2574">
        <v>0.48036669155124601</v>
      </c>
      <c r="J2574">
        <v>0.75214996834643</v>
      </c>
      <c r="K2574">
        <v>0.61248899324780104</v>
      </c>
      <c r="L2574">
        <v>381.910961888575</v>
      </c>
      <c r="M2574">
        <v>8.3162111180782201</v>
      </c>
      <c r="O2574">
        <v>43.4981884025634</v>
      </c>
      <c r="P2574">
        <v>-1.99581984387696E-2</v>
      </c>
      <c r="Q2574">
        <v>0.58284038290387197</v>
      </c>
      <c r="R2574">
        <v>0.74160278027791704</v>
      </c>
      <c r="S2574" t="s">
        <v>9142</v>
      </c>
      <c r="T2574" t="s">
        <v>13134</v>
      </c>
      <c r="U2574" t="s">
        <v>13134</v>
      </c>
      <c r="V2574" t="s">
        <v>13134</v>
      </c>
      <c r="W2574" t="s">
        <v>15660</v>
      </c>
      <c r="X2574">
        <v>6</v>
      </c>
      <c r="Y2574" t="s">
        <v>22103</v>
      </c>
      <c r="Z2574" t="s">
        <v>28542</v>
      </c>
      <c r="AA2574">
        <v>0.73207271018172149</v>
      </c>
      <c r="AB2574" t="str">
        <f>HYPERLINK("Melting_Curves/meltCurve_P36954_POLR2I.pdf", "Melting_Curves/meltCurve_P36954_POLR2I.pdf")</f>
        <v>Melting_Curves/meltCurve_P36954_POLR2I.pdf</v>
      </c>
    </row>
    <row r="2575" spans="1:28" x14ac:dyDescent="0.25">
      <c r="A2575" t="s">
        <v>2579</v>
      </c>
      <c r="B2575">
        <v>0.99472303558308395</v>
      </c>
      <c r="C2575">
        <v>1.0249752830696299</v>
      </c>
      <c r="D2575">
        <v>0.79275712216667404</v>
      </c>
      <c r="E2575">
        <v>0.71738706841594402</v>
      </c>
      <c r="F2575">
        <v>1.2385213114459299</v>
      </c>
      <c r="G2575">
        <v>0.75720512450427702</v>
      </c>
      <c r="H2575">
        <v>0.53255459854863596</v>
      </c>
      <c r="I2575">
        <v>0.37816295502977199</v>
      </c>
      <c r="J2575">
        <v>0.52577081100435097</v>
      </c>
      <c r="K2575">
        <v>1.3327373146410799</v>
      </c>
      <c r="L2575">
        <v>492.42007597440102</v>
      </c>
      <c r="M2575">
        <v>10.7403408280289</v>
      </c>
      <c r="O2575">
        <v>44.344084539570801</v>
      </c>
      <c r="P2575">
        <v>-1.61785743128658E-2</v>
      </c>
      <c r="Q2575">
        <v>0.73291022203669998</v>
      </c>
      <c r="R2575">
        <v>8.7545429499258504E-2</v>
      </c>
      <c r="S2575" t="s">
        <v>9143</v>
      </c>
      <c r="T2575" t="s">
        <v>13134</v>
      </c>
      <c r="U2575" t="s">
        <v>13134</v>
      </c>
      <c r="V2575" t="s">
        <v>13134</v>
      </c>
      <c r="W2575" t="s">
        <v>15661</v>
      </c>
      <c r="X2575">
        <v>13</v>
      </c>
      <c r="Y2575" t="s">
        <v>22104</v>
      </c>
      <c r="Z2575" t="s">
        <v>28543</v>
      </c>
      <c r="AA2575">
        <v>0.82284463358661697</v>
      </c>
      <c r="AB2575" t="str">
        <f>HYPERLINK("Melting_Curves/meltCurve_P36957_DLST.pdf", "Melting_Curves/meltCurve_P36957_DLST.pdf")</f>
        <v>Melting_Curves/meltCurve_P36957_DLST.pdf</v>
      </c>
    </row>
    <row r="2576" spans="1:28" x14ac:dyDescent="0.25">
      <c r="A2576" t="s">
        <v>2580</v>
      </c>
      <c r="B2576">
        <v>0.99472303558308395</v>
      </c>
      <c r="C2576">
        <v>1.0065704643817901</v>
      </c>
      <c r="D2576">
        <v>0.806187115546799</v>
      </c>
      <c r="E2576">
        <v>0.70702274828286604</v>
      </c>
      <c r="F2576">
        <v>0.71162986996319599</v>
      </c>
      <c r="G2576">
        <v>0.47883972060416002</v>
      </c>
      <c r="H2576">
        <v>0.39845588710202201</v>
      </c>
      <c r="I2576">
        <v>0.28591902638271699</v>
      </c>
      <c r="J2576">
        <v>0.491740956302676</v>
      </c>
      <c r="K2576">
        <v>0.51570193465319603</v>
      </c>
      <c r="L2576">
        <v>617.05924342909998</v>
      </c>
      <c r="M2576">
        <v>13.041014307227799</v>
      </c>
      <c r="N2576">
        <v>54.204165065674403</v>
      </c>
      <c r="O2576">
        <v>46.245668615281303</v>
      </c>
      <c r="P2576">
        <v>-4.1978781475881403E-2</v>
      </c>
      <c r="Q2576">
        <v>0.40464812852931398</v>
      </c>
      <c r="R2576">
        <v>0.88478735040158596</v>
      </c>
      <c r="S2576" t="s">
        <v>9144</v>
      </c>
      <c r="T2576" t="s">
        <v>13134</v>
      </c>
      <c r="U2576" t="s">
        <v>13134</v>
      </c>
      <c r="V2576" t="s">
        <v>13134</v>
      </c>
      <c r="W2576" t="s">
        <v>15662</v>
      </c>
      <c r="X2576">
        <v>10</v>
      </c>
      <c r="Y2576" t="s">
        <v>22105</v>
      </c>
      <c r="Z2576" t="s">
        <v>28544</v>
      </c>
      <c r="AA2576">
        <v>0.62626320350290043</v>
      </c>
      <c r="AB2576" t="str">
        <f>HYPERLINK("Melting_Curves/meltCurve_P36959_GMPR.pdf", "Melting_Curves/meltCurve_P36959_GMPR.pdf")</f>
        <v>Melting_Curves/meltCurve_P36959_GMPR.pdf</v>
      </c>
    </row>
    <row r="2577" spans="1:28" x14ac:dyDescent="0.25">
      <c r="A2577" t="s">
        <v>2581</v>
      </c>
      <c r="B2577">
        <v>0.99472303558308395</v>
      </c>
      <c r="C2577">
        <v>0.95951342924560701</v>
      </c>
      <c r="D2577">
        <v>0.96399140818767204</v>
      </c>
      <c r="E2577">
        <v>0.93172264714132502</v>
      </c>
      <c r="F2577">
        <v>0.76458522394283501</v>
      </c>
      <c r="G2577">
        <v>0.65464732605024301</v>
      </c>
      <c r="H2577">
        <v>0.46637378301192001</v>
      </c>
      <c r="I2577">
        <v>0.22501270555082301</v>
      </c>
      <c r="J2577">
        <v>0.104149011203285</v>
      </c>
      <c r="K2577">
        <v>0.1064206430492</v>
      </c>
      <c r="L2577">
        <v>738.73035399476396</v>
      </c>
      <c r="M2577">
        <v>13.2150310598776</v>
      </c>
      <c r="N2577">
        <v>55.900765833079902</v>
      </c>
      <c r="O2577">
        <v>54.667203577021901</v>
      </c>
      <c r="P2577">
        <v>-6.0444016176823302E-2</v>
      </c>
      <c r="Q2577">
        <v>0</v>
      </c>
      <c r="R2577">
        <v>0.990723260190008</v>
      </c>
      <c r="S2577" t="s">
        <v>9145</v>
      </c>
      <c r="T2577" t="s">
        <v>13134</v>
      </c>
      <c r="U2577" t="s">
        <v>13134</v>
      </c>
      <c r="V2577" t="s">
        <v>13134</v>
      </c>
      <c r="W2577" t="s">
        <v>15663</v>
      </c>
      <c r="X2577">
        <v>13</v>
      </c>
      <c r="Y2577" t="s">
        <v>22106</v>
      </c>
      <c r="Z2577" t="s">
        <v>28545</v>
      </c>
      <c r="AA2577">
        <v>0.64128326925023604</v>
      </c>
      <c r="AB2577" t="str">
        <f>HYPERLINK("Melting_Curves/meltCurve_P36969_2_GPX4.pdf", "Melting_Curves/meltCurve_P36969_2_GPX4.pdf")</f>
        <v>Melting_Curves/meltCurve_P36969_2_GPX4.pdf</v>
      </c>
    </row>
    <row r="2578" spans="1:28" x14ac:dyDescent="0.25">
      <c r="A2578" t="s">
        <v>2582</v>
      </c>
      <c r="B2578">
        <v>0.99472303558308395</v>
      </c>
      <c r="C2578">
        <v>0.80269980155962695</v>
      </c>
      <c r="D2578">
        <v>1.0045548066573</v>
      </c>
      <c r="E2578">
        <v>0.85561223390824104</v>
      </c>
      <c r="F2578">
        <v>0.53309128515362003</v>
      </c>
      <c r="G2578">
        <v>0.51683322004691101</v>
      </c>
      <c r="H2578">
        <v>0.27560247161878898</v>
      </c>
      <c r="I2578">
        <v>0.336066439363083</v>
      </c>
      <c r="J2578">
        <v>0.32313947296109902</v>
      </c>
      <c r="K2578">
        <v>0.15951067526002899</v>
      </c>
      <c r="L2578">
        <v>657.45711111013804</v>
      </c>
      <c r="M2578">
        <v>13.0190666490392</v>
      </c>
      <c r="N2578">
        <v>52.659403382294798</v>
      </c>
      <c r="O2578">
        <v>49.352654659806497</v>
      </c>
      <c r="P2578">
        <v>-5.23155581032533E-2</v>
      </c>
      <c r="Q2578">
        <v>0.20686851404904999</v>
      </c>
      <c r="R2578">
        <v>0.92144839440152104</v>
      </c>
      <c r="S2578" t="s">
        <v>9146</v>
      </c>
      <c r="T2578" t="s">
        <v>13134</v>
      </c>
      <c r="U2578" t="s">
        <v>13134</v>
      </c>
      <c r="V2578" t="s">
        <v>13134</v>
      </c>
      <c r="W2578" t="s">
        <v>15664</v>
      </c>
      <c r="X2578">
        <v>10</v>
      </c>
      <c r="Y2578" t="s">
        <v>22107</v>
      </c>
      <c r="Z2578" t="s">
        <v>28546</v>
      </c>
      <c r="AA2578">
        <v>0.58331693329821099</v>
      </c>
      <c r="AB2578" t="str">
        <f>HYPERLINK("Melting_Curves/meltCurve_P37108_SRP14.pdf", "Melting_Curves/meltCurve_P37108_SRP14.pdf")</f>
        <v>Melting_Curves/meltCurve_P37108_SRP14.pdf</v>
      </c>
    </row>
    <row r="2579" spans="1:28" x14ac:dyDescent="0.25">
      <c r="A2579" t="s">
        <v>2583</v>
      </c>
      <c r="B2579">
        <v>0.99472303558308395</v>
      </c>
      <c r="C2579">
        <v>0.898016807818663</v>
      </c>
      <c r="D2579">
        <v>0.72175094954524499</v>
      </c>
      <c r="E2579">
        <v>0.53390627800819102</v>
      </c>
      <c r="F2579">
        <v>0.36288566912395198</v>
      </c>
      <c r="G2579">
        <v>0.15092558542956699</v>
      </c>
      <c r="H2579">
        <v>0.122463096222206</v>
      </c>
      <c r="I2579">
        <v>0.103496048690995</v>
      </c>
      <c r="J2579">
        <v>0.17378481519621899</v>
      </c>
      <c r="K2579">
        <v>0.168775044061203</v>
      </c>
      <c r="L2579">
        <v>652.42586693058604</v>
      </c>
      <c r="M2579">
        <v>14.218431969524</v>
      </c>
      <c r="N2579">
        <v>46.741135236193301</v>
      </c>
      <c r="O2579">
        <v>45.006852421303002</v>
      </c>
      <c r="P2579">
        <v>-6.9942238559303496E-2</v>
      </c>
      <c r="Q2579">
        <v>0.114532634585955</v>
      </c>
      <c r="R2579">
        <v>0.98573665203703098</v>
      </c>
      <c r="S2579" t="s">
        <v>9147</v>
      </c>
      <c r="T2579" t="s">
        <v>13134</v>
      </c>
      <c r="U2579" t="s">
        <v>13134</v>
      </c>
      <c r="V2579" t="s">
        <v>13134</v>
      </c>
      <c r="W2579" t="s">
        <v>15665</v>
      </c>
      <c r="X2579">
        <v>6</v>
      </c>
      <c r="Y2579" t="s">
        <v>22108</v>
      </c>
      <c r="Z2579" t="s">
        <v>28547</v>
      </c>
      <c r="AA2579">
        <v>0.39946628541245971</v>
      </c>
      <c r="AB2579" t="str">
        <f>HYPERLINK("Melting_Curves/meltCurve_P37198_NUP62.pdf", "Melting_Curves/meltCurve_P37198_NUP62.pdf")</f>
        <v>Melting_Curves/meltCurve_P37198_NUP62.pdf</v>
      </c>
    </row>
    <row r="2580" spans="1:28" x14ac:dyDescent="0.25">
      <c r="A2580" t="s">
        <v>2584</v>
      </c>
      <c r="B2580">
        <v>0.99472303558308395</v>
      </c>
      <c r="C2580">
        <v>0.97212420049293102</v>
      </c>
      <c r="D2580">
        <v>0.95579531770505399</v>
      </c>
      <c r="E2580">
        <v>0.87716713360752696</v>
      </c>
      <c r="F2580">
        <v>0.72743170209513597</v>
      </c>
      <c r="G2580">
        <v>0.468249694274463</v>
      </c>
      <c r="H2580">
        <v>0.280111004795431</v>
      </c>
      <c r="I2580">
        <v>0.14966609687454299</v>
      </c>
      <c r="J2580">
        <v>0.20418480127990599</v>
      </c>
      <c r="K2580">
        <v>0.20271303868136401</v>
      </c>
      <c r="L2580">
        <v>923.87915581650805</v>
      </c>
      <c r="M2580">
        <v>17.760665001962</v>
      </c>
      <c r="N2580">
        <v>53.116818436748602</v>
      </c>
      <c r="O2580">
        <v>51.3722595916797</v>
      </c>
      <c r="P2580">
        <v>-7.3150018606747802E-2</v>
      </c>
      <c r="Q2580">
        <v>0.153705950246707</v>
      </c>
      <c r="R2580">
        <v>0.993095703901269</v>
      </c>
      <c r="S2580" t="s">
        <v>9148</v>
      </c>
      <c r="T2580" t="s">
        <v>13134</v>
      </c>
      <c r="U2580" t="s">
        <v>13134</v>
      </c>
      <c r="V2580" t="s">
        <v>13134</v>
      </c>
      <c r="W2580" t="s">
        <v>15666</v>
      </c>
      <c r="X2580">
        <v>10</v>
      </c>
      <c r="Y2580" t="s">
        <v>22109</v>
      </c>
      <c r="Z2580" t="s">
        <v>28548</v>
      </c>
      <c r="AA2580">
        <v>0.59040195926059802</v>
      </c>
      <c r="AB2580" t="str">
        <f>HYPERLINK("Melting_Curves/meltCurve_P37235_HPCAL1.pdf", "Melting_Curves/meltCurve_P37235_HPCAL1.pdf")</f>
        <v>Melting_Curves/meltCurve_P37235_HPCAL1.pdf</v>
      </c>
    </row>
    <row r="2581" spans="1:28" x14ac:dyDescent="0.25">
      <c r="A2581" t="s">
        <v>2585</v>
      </c>
      <c r="B2581">
        <v>0.99472303558308395</v>
      </c>
      <c r="C2581">
        <v>0.91507906062843702</v>
      </c>
      <c r="D2581">
        <v>0.92718367300577498</v>
      </c>
      <c r="E2581">
        <v>0.82160375398158503</v>
      </c>
      <c r="F2581">
        <v>0.57776455819921002</v>
      </c>
      <c r="G2581">
        <v>0.21580217404306101</v>
      </c>
      <c r="H2581">
        <v>8.3218021506921994E-2</v>
      </c>
      <c r="I2581">
        <v>5.4734433709899402E-2</v>
      </c>
      <c r="J2581">
        <v>5.5723968214101603E-2</v>
      </c>
      <c r="K2581">
        <v>5.0857932447804198E-2</v>
      </c>
      <c r="L2581">
        <v>994.25639504075502</v>
      </c>
      <c r="M2581">
        <v>19.719150389967201</v>
      </c>
      <c r="N2581">
        <v>50.560529829803997</v>
      </c>
      <c r="O2581">
        <v>49.910888417142203</v>
      </c>
      <c r="P2581">
        <v>-9.6156782483166503E-2</v>
      </c>
      <c r="Q2581">
        <v>2.6508473767748699E-2</v>
      </c>
      <c r="R2581">
        <v>0.99211522450495204</v>
      </c>
      <c r="S2581" t="s">
        <v>9149</v>
      </c>
      <c r="T2581" t="s">
        <v>13134</v>
      </c>
      <c r="U2581" t="s">
        <v>13134</v>
      </c>
      <c r="V2581" t="s">
        <v>13134</v>
      </c>
      <c r="W2581" t="s">
        <v>15667</v>
      </c>
      <c r="X2581">
        <v>25</v>
      </c>
      <c r="Y2581" t="s">
        <v>22110</v>
      </c>
      <c r="Z2581" t="s">
        <v>28549</v>
      </c>
      <c r="AA2581">
        <v>0.47512327898555429</v>
      </c>
      <c r="AB2581" t="str">
        <f>HYPERLINK("Melting_Curves/meltCurve_P37268_FDFT1.pdf", "Melting_Curves/meltCurve_P37268_FDFT1.pdf")</f>
        <v>Melting_Curves/meltCurve_P37268_FDFT1.pdf</v>
      </c>
    </row>
    <row r="2582" spans="1:28" x14ac:dyDescent="0.25">
      <c r="A2582" t="s">
        <v>2586</v>
      </c>
      <c r="B2582">
        <v>0.99472303558308395</v>
      </c>
      <c r="C2582">
        <v>0.96467058706253705</v>
      </c>
      <c r="D2582">
        <v>0.92223990799632705</v>
      </c>
      <c r="E2582">
        <v>0.70087824381877795</v>
      </c>
      <c r="F2582">
        <v>0.50267547006915803</v>
      </c>
      <c r="G2582">
        <v>0.40597746287191699</v>
      </c>
      <c r="H2582">
        <v>0.259922519742457</v>
      </c>
      <c r="I2582">
        <v>0.11020921196618801</v>
      </c>
      <c r="J2582">
        <v>0.110320174611166</v>
      </c>
      <c r="K2582">
        <v>8.2318955584586795E-2</v>
      </c>
      <c r="L2582">
        <v>552.64990601858699</v>
      </c>
      <c r="M2582">
        <v>10.8721939608699</v>
      </c>
      <c r="N2582">
        <v>50.949652853346898</v>
      </c>
      <c r="O2582">
        <v>49.202497830118503</v>
      </c>
      <c r="P2582">
        <v>-5.4573622809684197E-2</v>
      </c>
      <c r="Q2582">
        <v>1.2449086771392301E-2</v>
      </c>
      <c r="R2582">
        <v>0.992891069011542</v>
      </c>
      <c r="S2582" t="s">
        <v>9150</v>
      </c>
      <c r="T2582" t="s">
        <v>13134</v>
      </c>
      <c r="U2582" t="s">
        <v>13134</v>
      </c>
      <c r="V2582" t="s">
        <v>13134</v>
      </c>
      <c r="W2582" t="s">
        <v>15668</v>
      </c>
      <c r="X2582">
        <v>5</v>
      </c>
      <c r="Y2582" t="s">
        <v>22111</v>
      </c>
      <c r="Z2582" t="s">
        <v>28550</v>
      </c>
      <c r="AA2582">
        <v>0.49639259600296542</v>
      </c>
      <c r="AB2582" t="str">
        <f>HYPERLINK("Melting_Curves/meltCurve_P37287_3_PIGA.pdf", "Melting_Curves/meltCurve_P37287_3_PIGA.pdf")</f>
        <v>Melting_Curves/meltCurve_P37287_3_PIGA.pdf</v>
      </c>
    </row>
    <row r="2583" spans="1:28" x14ac:dyDescent="0.25">
      <c r="A2583" t="s">
        <v>2587</v>
      </c>
      <c r="B2583">
        <v>0.99472303558308395</v>
      </c>
      <c r="C2583">
        <v>0.92912735237525601</v>
      </c>
      <c r="D2583">
        <v>0.95605647252515802</v>
      </c>
      <c r="E2583">
        <v>0.832034679164663</v>
      </c>
      <c r="F2583">
        <v>0.51406913600869797</v>
      </c>
      <c r="G2583">
        <v>0.178796829237167</v>
      </c>
      <c r="H2583">
        <v>9.2551291078819695E-2</v>
      </c>
      <c r="I2583">
        <v>8.0179406038619797E-2</v>
      </c>
      <c r="J2583">
        <v>9.33873026438648E-2</v>
      </c>
      <c r="K2583">
        <v>7.5902064539625003E-2</v>
      </c>
      <c r="L2583">
        <v>1172.1264404854201</v>
      </c>
      <c r="M2583">
        <v>23.544067801201201</v>
      </c>
      <c r="N2583">
        <v>50.096149158419998</v>
      </c>
      <c r="O2583">
        <v>49.429380929039397</v>
      </c>
      <c r="P2583">
        <v>-0.110965882749321</v>
      </c>
      <c r="Q2583">
        <v>6.8150605240863596E-2</v>
      </c>
      <c r="R2583">
        <v>0.99522796731121499</v>
      </c>
      <c r="S2583" t="s">
        <v>9151</v>
      </c>
      <c r="T2583" t="s">
        <v>13134</v>
      </c>
      <c r="U2583" t="s">
        <v>13134</v>
      </c>
      <c r="V2583" t="s">
        <v>13134</v>
      </c>
      <c r="W2583" t="s">
        <v>15669</v>
      </c>
      <c r="X2583">
        <v>20</v>
      </c>
      <c r="Y2583" t="s">
        <v>22112</v>
      </c>
      <c r="Z2583" t="s">
        <v>28551</v>
      </c>
      <c r="AA2583">
        <v>0.47436530168228869</v>
      </c>
      <c r="AB2583" t="str">
        <f>HYPERLINK("Melting_Curves/meltCurve_P37802_TAGLN2.pdf", "Melting_Curves/meltCurve_P37802_TAGLN2.pdf")</f>
        <v>Melting_Curves/meltCurve_P37802_TAGLN2.pdf</v>
      </c>
    </row>
    <row r="2584" spans="1:28" x14ac:dyDescent="0.25">
      <c r="A2584" t="s">
        <v>2588</v>
      </c>
      <c r="B2584">
        <v>0.99472303558308395</v>
      </c>
      <c r="C2584">
        <v>0.98490014139681004</v>
      </c>
      <c r="D2584">
        <v>1.0451845528370001</v>
      </c>
      <c r="E2584">
        <v>0.93074572053708504</v>
      </c>
      <c r="F2584">
        <v>0.541007758368657</v>
      </c>
      <c r="G2584">
        <v>0.227056437629438</v>
      </c>
      <c r="H2584">
        <v>0.119111916601854</v>
      </c>
      <c r="I2584">
        <v>0.11116649675181001</v>
      </c>
      <c r="J2584">
        <v>0.13333203037357999</v>
      </c>
      <c r="K2584">
        <v>9.9833740261032297E-2</v>
      </c>
      <c r="L2584">
        <v>1558.81109313399</v>
      </c>
      <c r="M2584">
        <v>31.081792701604002</v>
      </c>
      <c r="N2584">
        <v>50.570334528708898</v>
      </c>
      <c r="O2584">
        <v>49.945698675471803</v>
      </c>
      <c r="P2584">
        <v>-0.13793864080291399</v>
      </c>
      <c r="Q2584">
        <v>0.11338454393311601</v>
      </c>
      <c r="R2584">
        <v>0.99759086581016598</v>
      </c>
      <c r="S2584" t="s">
        <v>9152</v>
      </c>
      <c r="T2584" t="s">
        <v>13134</v>
      </c>
      <c r="U2584" t="s">
        <v>13134</v>
      </c>
      <c r="V2584" t="s">
        <v>13134</v>
      </c>
      <c r="W2584" t="s">
        <v>15670</v>
      </c>
      <c r="X2584">
        <v>32</v>
      </c>
      <c r="Y2584" t="s">
        <v>22113</v>
      </c>
      <c r="Z2584" t="s">
        <v>28552</v>
      </c>
      <c r="AA2584">
        <v>0.5071586755380042</v>
      </c>
      <c r="AB2584" t="str">
        <f>HYPERLINK("Melting_Curves/meltCurve_P37837_TALDO1.pdf", "Melting_Curves/meltCurve_P37837_TALDO1.pdf")</f>
        <v>Melting_Curves/meltCurve_P37837_TALDO1.pdf</v>
      </c>
    </row>
    <row r="2585" spans="1:28" x14ac:dyDescent="0.25">
      <c r="A2585" t="s">
        <v>2589</v>
      </c>
      <c r="B2585">
        <v>0.99472303558308395</v>
      </c>
      <c r="C2585">
        <v>0.899528771429983</v>
      </c>
      <c r="D2585">
        <v>1.08416928194023</v>
      </c>
      <c r="E2585">
        <v>0.91835297248361702</v>
      </c>
      <c r="F2585">
        <v>0.66092771914676496</v>
      </c>
      <c r="G2585">
        <v>0.50725548835311696</v>
      </c>
      <c r="H2585">
        <v>0.17500356654405699</v>
      </c>
      <c r="I2585">
        <v>0.227582226784726</v>
      </c>
      <c r="J2585">
        <v>7.1032800068328406E-2</v>
      </c>
      <c r="K2585">
        <v>6.4213810631110896E-2</v>
      </c>
      <c r="L2585">
        <v>874.95138480815604</v>
      </c>
      <c r="M2585">
        <v>16.590342972963001</v>
      </c>
      <c r="N2585">
        <v>53.087982171469399</v>
      </c>
      <c r="O2585">
        <v>51.9902086920386</v>
      </c>
      <c r="P2585">
        <v>-7.5655541422853398E-2</v>
      </c>
      <c r="Q2585">
        <v>5.1718101213703599E-2</v>
      </c>
      <c r="R2585">
        <v>0.97245803932464803</v>
      </c>
      <c r="S2585" t="s">
        <v>9153</v>
      </c>
      <c r="T2585" t="s">
        <v>13134</v>
      </c>
      <c r="U2585" t="s">
        <v>13134</v>
      </c>
      <c r="V2585" t="s">
        <v>13134</v>
      </c>
      <c r="W2585" t="s">
        <v>15671</v>
      </c>
      <c r="X2585">
        <v>22</v>
      </c>
      <c r="Y2585" t="s">
        <v>22114</v>
      </c>
      <c r="Z2585" t="s">
        <v>28553</v>
      </c>
      <c r="AA2585">
        <v>0.56466323543612651</v>
      </c>
      <c r="AB2585" t="str">
        <f>HYPERLINK("Melting_Curves/meltCurve_P38117_ETFB.pdf", "Melting_Curves/meltCurve_P38117_ETFB.pdf")</f>
        <v>Melting_Curves/meltCurve_P38117_ETFB.pdf</v>
      </c>
    </row>
    <row r="2586" spans="1:28" x14ac:dyDescent="0.25">
      <c r="A2586" t="s">
        <v>2590</v>
      </c>
      <c r="B2586">
        <v>0.99472303558308395</v>
      </c>
      <c r="C2586">
        <v>1.00712777307181</v>
      </c>
      <c r="D2586">
        <v>0.827617595891188</v>
      </c>
      <c r="E2586">
        <v>0.69973149218341302</v>
      </c>
      <c r="F2586">
        <v>0.66836398612866499</v>
      </c>
      <c r="G2586">
        <v>0.29297666043387099</v>
      </c>
      <c r="H2586">
        <v>0.222555372224992</v>
      </c>
      <c r="I2586">
        <v>0.172482077492363</v>
      </c>
      <c r="J2586">
        <v>0.18249419295590399</v>
      </c>
      <c r="K2586">
        <v>0.177743743100679</v>
      </c>
      <c r="L2586">
        <v>625.08780799401904</v>
      </c>
      <c r="M2586">
        <v>12.5292889559587</v>
      </c>
      <c r="N2586">
        <v>50.910106850394399</v>
      </c>
      <c r="O2586">
        <v>48.670378803057702</v>
      </c>
      <c r="P2586">
        <v>-5.72259564897412E-2</v>
      </c>
      <c r="Q2586">
        <v>0.110997859632149</v>
      </c>
      <c r="R2586">
        <v>0.96982166658006497</v>
      </c>
      <c r="S2586" t="s">
        <v>9154</v>
      </c>
      <c r="T2586" t="s">
        <v>13134</v>
      </c>
      <c r="U2586" t="s">
        <v>13134</v>
      </c>
      <c r="V2586" t="s">
        <v>13134</v>
      </c>
      <c r="W2586" t="s">
        <v>15672</v>
      </c>
      <c r="X2586">
        <v>4</v>
      </c>
      <c r="Y2586" t="s">
        <v>22115</v>
      </c>
      <c r="Z2586" t="s">
        <v>28554</v>
      </c>
      <c r="AA2586">
        <v>0.51675944842499544</v>
      </c>
      <c r="AB2586" t="str">
        <f>HYPERLINK("Melting_Curves/meltCurve_P38159_RBMX.pdf", "Melting_Curves/meltCurve_P38159_RBMX.pdf")</f>
        <v>Melting_Curves/meltCurve_P38159_RBMX.pdf</v>
      </c>
    </row>
    <row r="2587" spans="1:28" x14ac:dyDescent="0.25">
      <c r="A2587" t="s">
        <v>2591</v>
      </c>
      <c r="B2587">
        <v>0.99472303558308395</v>
      </c>
      <c r="C2587">
        <v>0.90836829767887795</v>
      </c>
      <c r="D2587">
        <v>0.77027797492592698</v>
      </c>
      <c r="E2587">
        <v>0.36460417462801198</v>
      </c>
      <c r="F2587">
        <v>0.134273102248986</v>
      </c>
      <c r="G2587">
        <v>7.2204609155144595E-2</v>
      </c>
      <c r="H2587">
        <v>5.5461918819695297E-2</v>
      </c>
      <c r="I2587">
        <v>5.3089860623282199E-2</v>
      </c>
      <c r="J2587">
        <v>6.3927842152846304E-2</v>
      </c>
      <c r="K2587">
        <v>4.7239304273084898E-2</v>
      </c>
      <c r="L2587">
        <v>974.42754962958202</v>
      </c>
      <c r="M2587">
        <v>21.6061466733447</v>
      </c>
      <c r="N2587">
        <v>45.3132667550137</v>
      </c>
      <c r="O2587">
        <v>44.718544986866299</v>
      </c>
      <c r="P2587">
        <v>-0.114941678276561</v>
      </c>
      <c r="Q2587">
        <v>4.8437176585581498E-2</v>
      </c>
      <c r="R2587">
        <v>0.99853639833164898</v>
      </c>
      <c r="S2587" t="s">
        <v>9155</v>
      </c>
      <c r="T2587" t="s">
        <v>13134</v>
      </c>
      <c r="U2587" t="s">
        <v>13134</v>
      </c>
      <c r="V2587" t="s">
        <v>13134</v>
      </c>
      <c r="W2587" t="s">
        <v>15673</v>
      </c>
      <c r="X2587">
        <v>5</v>
      </c>
      <c r="Y2587" t="s">
        <v>22116</v>
      </c>
      <c r="Z2587" t="s">
        <v>28555</v>
      </c>
      <c r="AA2587">
        <v>0.31596497419719932</v>
      </c>
      <c r="AB2587" t="str">
        <f>HYPERLINK("Melting_Curves/meltCurve_P38432_COIL.pdf", "Melting_Curves/meltCurve_P38432_COIL.pdf")</f>
        <v>Melting_Curves/meltCurve_P38432_COIL.pdf</v>
      </c>
    </row>
    <row r="2588" spans="1:28" x14ac:dyDescent="0.25">
      <c r="A2588" t="s">
        <v>2592</v>
      </c>
      <c r="B2588">
        <v>0.99472303558308395</v>
      </c>
      <c r="C2588">
        <v>0.72314935593928098</v>
      </c>
      <c r="D2588">
        <v>0.668890123774459</v>
      </c>
      <c r="E2588">
        <v>0.60453961578687099</v>
      </c>
      <c r="F2588">
        <v>0.47360090347056</v>
      </c>
      <c r="G2588">
        <v>9.5275730213522994E-2</v>
      </c>
      <c r="H2588">
        <v>5.5176244036826999E-2</v>
      </c>
      <c r="I2588">
        <v>1.48177476347605E-2</v>
      </c>
      <c r="J2588">
        <v>1.28666314797127E-2</v>
      </c>
      <c r="K2588">
        <v>1.26935037917222E-2</v>
      </c>
      <c r="L2588">
        <v>503.42295897417398</v>
      </c>
      <c r="M2588">
        <v>10.752521368547701</v>
      </c>
      <c r="N2588">
        <v>46.819061471962797</v>
      </c>
      <c r="O2588">
        <v>45.286868875689599</v>
      </c>
      <c r="P2588">
        <v>-5.9379695020662197E-2</v>
      </c>
      <c r="Q2588">
        <v>0</v>
      </c>
      <c r="R2588">
        <v>0.93748925425157903</v>
      </c>
      <c r="S2588" t="s">
        <v>9156</v>
      </c>
      <c r="T2588" t="s">
        <v>13134</v>
      </c>
      <c r="U2588" t="s">
        <v>13134</v>
      </c>
      <c r="V2588" t="s">
        <v>13134</v>
      </c>
      <c r="W2588" t="s">
        <v>15674</v>
      </c>
      <c r="X2588">
        <v>4</v>
      </c>
      <c r="Y2588" t="s">
        <v>22117</v>
      </c>
      <c r="Z2588" t="s">
        <v>28556</v>
      </c>
      <c r="AA2588">
        <v>0.36661674893861229</v>
      </c>
      <c r="AB2588" t="str">
        <f>HYPERLINK("Melting_Curves/meltCurve_P38435_GGCX.pdf", "Melting_Curves/meltCurve_P38435_GGCX.pdf")</f>
        <v>Melting_Curves/meltCurve_P38435_GGCX.pdf</v>
      </c>
    </row>
    <row r="2589" spans="1:28" x14ac:dyDescent="0.25">
      <c r="A2589" t="s">
        <v>2593</v>
      </c>
      <c r="B2589">
        <v>0.99472303558308395</v>
      </c>
      <c r="C2589">
        <v>0.93734414373554298</v>
      </c>
      <c r="D2589">
        <v>0.84939676993308</v>
      </c>
      <c r="E2589">
        <v>0.72374335751838503</v>
      </c>
      <c r="F2589">
        <v>0.61491279826825895</v>
      </c>
      <c r="G2589">
        <v>0.30360421373109298</v>
      </c>
      <c r="H2589">
        <v>0.20037198891765901</v>
      </c>
      <c r="I2589">
        <v>0.17606826844703899</v>
      </c>
      <c r="J2589">
        <v>0.139742689165301</v>
      </c>
      <c r="K2589">
        <v>9.5211889262533198E-2</v>
      </c>
      <c r="L2589">
        <v>575.01594537251799</v>
      </c>
      <c r="M2589">
        <v>11.3985411484685</v>
      </c>
      <c r="N2589">
        <v>50.841280377532499</v>
      </c>
      <c r="O2589">
        <v>48.968635807289303</v>
      </c>
      <c r="P2589">
        <v>-5.5744618373455603E-2</v>
      </c>
      <c r="Q2589">
        <v>4.2356296032442897E-2</v>
      </c>
      <c r="R2589">
        <v>0.98879913841442302</v>
      </c>
      <c r="S2589" t="s">
        <v>9157</v>
      </c>
      <c r="T2589" t="s">
        <v>13134</v>
      </c>
      <c r="U2589" t="s">
        <v>13134</v>
      </c>
      <c r="V2589" t="s">
        <v>13134</v>
      </c>
      <c r="W2589" t="s">
        <v>15675</v>
      </c>
      <c r="X2589">
        <v>32</v>
      </c>
      <c r="Y2589" t="s">
        <v>22118</v>
      </c>
      <c r="Z2589" t="s">
        <v>28557</v>
      </c>
      <c r="AA2589">
        <v>0.49904401648739682</v>
      </c>
      <c r="AB2589" t="str">
        <f>HYPERLINK("Melting_Curves/meltCurve_P38606_ATP6V1A.pdf", "Melting_Curves/meltCurve_P38606_ATP6V1A.pdf")</f>
        <v>Melting_Curves/meltCurve_P38606_ATP6V1A.pdf</v>
      </c>
    </row>
    <row r="2590" spans="1:28" x14ac:dyDescent="0.25">
      <c r="A2590" t="s">
        <v>2594</v>
      </c>
      <c r="B2590">
        <v>0.99472303558308395</v>
      </c>
      <c r="C2590">
        <v>0.95700341261001898</v>
      </c>
      <c r="D2590">
        <v>0.86410596088690805</v>
      </c>
      <c r="E2590">
        <v>0.77393375855763702</v>
      </c>
      <c r="F2590">
        <v>0.58825088670787495</v>
      </c>
      <c r="G2590">
        <v>0.54450581191668201</v>
      </c>
      <c r="H2590">
        <v>0.43842661556928397</v>
      </c>
      <c r="I2590">
        <v>0.28583443405080899</v>
      </c>
      <c r="J2590">
        <v>8.1806855456882405E-2</v>
      </c>
      <c r="K2590">
        <v>9.7063944266122804E-2</v>
      </c>
      <c r="L2590">
        <v>473.13384980110402</v>
      </c>
      <c r="M2590">
        <v>8.8409594693890998</v>
      </c>
      <c r="N2590">
        <v>53.516104432390101</v>
      </c>
      <c r="O2590">
        <v>50.990224926163101</v>
      </c>
      <c r="P2590">
        <v>-4.3380019783565898E-2</v>
      </c>
      <c r="Q2590">
        <v>0</v>
      </c>
      <c r="R2590">
        <v>0.97130345231672899</v>
      </c>
      <c r="S2590" t="s">
        <v>9158</v>
      </c>
      <c r="T2590" t="s">
        <v>13134</v>
      </c>
      <c r="U2590" t="s">
        <v>13134</v>
      </c>
      <c r="V2590" t="s">
        <v>13134</v>
      </c>
      <c r="W2590" t="s">
        <v>15676</v>
      </c>
      <c r="X2590">
        <v>69</v>
      </c>
      <c r="Y2590" t="s">
        <v>22119</v>
      </c>
      <c r="Z2590" t="s">
        <v>28558</v>
      </c>
      <c r="AA2590">
        <v>0.56985923299214647</v>
      </c>
      <c r="AB2590" t="str">
        <f>HYPERLINK("Melting_Curves/meltCurve_P38646_HSPA9.pdf", "Melting_Curves/meltCurve_P38646_HSPA9.pdf")</f>
        <v>Melting_Curves/meltCurve_P38646_HSPA9.pdf</v>
      </c>
    </row>
    <row r="2591" spans="1:28" x14ac:dyDescent="0.25">
      <c r="A2591" t="s">
        <v>2595</v>
      </c>
      <c r="B2591">
        <v>0.99472303558308395</v>
      </c>
      <c r="C2591">
        <v>0.990512633031992</v>
      </c>
      <c r="D2591">
        <v>0.98249498941945201</v>
      </c>
      <c r="E2591">
        <v>0.95267957686743698</v>
      </c>
      <c r="F2591">
        <v>0.93903734740777101</v>
      </c>
      <c r="G2591">
        <v>0.64934523855761195</v>
      </c>
      <c r="H2591">
        <v>0.20660699523301501</v>
      </c>
      <c r="I2591">
        <v>0.108126068805805</v>
      </c>
      <c r="J2591">
        <v>0.119872410710944</v>
      </c>
      <c r="K2591">
        <v>0.13427972772350499</v>
      </c>
      <c r="L2591">
        <v>2083.2620574195098</v>
      </c>
      <c r="M2591">
        <v>38.340787784051997</v>
      </c>
      <c r="N2591">
        <v>54.703569274304499</v>
      </c>
      <c r="O2591">
        <v>54.188216317586601</v>
      </c>
      <c r="P2591">
        <v>-0.15677256131364001</v>
      </c>
      <c r="Q2591">
        <v>0.113716192657079</v>
      </c>
      <c r="R2591">
        <v>0.99736750264223795</v>
      </c>
      <c r="S2591" t="s">
        <v>9159</v>
      </c>
      <c r="T2591" t="s">
        <v>13134</v>
      </c>
      <c r="U2591" t="s">
        <v>13134</v>
      </c>
      <c r="V2591" t="s">
        <v>13134</v>
      </c>
      <c r="W2591" t="s">
        <v>15677</v>
      </c>
      <c r="X2591">
        <v>24</v>
      </c>
      <c r="Y2591" t="s">
        <v>22120</v>
      </c>
      <c r="Z2591" t="s">
        <v>28559</v>
      </c>
      <c r="AA2591">
        <v>0.62943076104536544</v>
      </c>
      <c r="AB2591" t="str">
        <f>HYPERLINK("Melting_Curves/meltCurve_P38919_EIF4A3.pdf", "Melting_Curves/meltCurve_P38919_EIF4A3.pdf")</f>
        <v>Melting_Curves/meltCurve_P38919_EIF4A3.pdf</v>
      </c>
    </row>
    <row r="2592" spans="1:28" x14ac:dyDescent="0.25">
      <c r="A2592" t="s">
        <v>2596</v>
      </c>
      <c r="B2592">
        <v>0.99472303558308395</v>
      </c>
      <c r="C2592">
        <v>0.97364045862342596</v>
      </c>
      <c r="D2592">
        <v>0.88132486956081502</v>
      </c>
      <c r="E2592">
        <v>0.61572801727381699</v>
      </c>
      <c r="F2592">
        <v>0.27587826052587899</v>
      </c>
      <c r="G2592">
        <v>0.155367368504227</v>
      </c>
      <c r="H2592">
        <v>9.5068223827271606E-2</v>
      </c>
      <c r="I2592">
        <v>8.0968015601520907E-2</v>
      </c>
      <c r="J2592">
        <v>8.0692068533409697E-2</v>
      </c>
      <c r="K2592">
        <v>7.9941525073684197E-2</v>
      </c>
      <c r="L2592">
        <v>963.32608802068501</v>
      </c>
      <c r="M2592">
        <v>20.3853622810072</v>
      </c>
      <c r="N2592">
        <v>47.633379650083398</v>
      </c>
      <c r="O2592">
        <v>46.8080786516892</v>
      </c>
      <c r="P2592">
        <v>-0.100757110150269</v>
      </c>
      <c r="Q2592">
        <v>7.4609637639587806E-2</v>
      </c>
      <c r="R2592">
        <v>0.99958112568565605</v>
      </c>
      <c r="S2592" t="s">
        <v>9160</v>
      </c>
      <c r="T2592" t="s">
        <v>13134</v>
      </c>
      <c r="U2592" t="s">
        <v>13134</v>
      </c>
      <c r="V2592" t="s">
        <v>13134</v>
      </c>
      <c r="W2592" t="s">
        <v>15678</v>
      </c>
      <c r="X2592">
        <v>12</v>
      </c>
      <c r="Y2592" t="s">
        <v>22121</v>
      </c>
      <c r="Z2592" t="s">
        <v>28560</v>
      </c>
      <c r="AA2592">
        <v>0.4026462212168509</v>
      </c>
      <c r="AB2592" t="str">
        <f>HYPERLINK("Melting_Curves/meltCurve_P38935_IGHMBP2.pdf", "Melting_Curves/meltCurve_P38935_IGHMBP2.pdf")</f>
        <v>Melting_Curves/meltCurve_P38935_IGHMBP2.pdf</v>
      </c>
    </row>
    <row r="2593" spans="1:28" x14ac:dyDescent="0.25">
      <c r="A2593" t="s">
        <v>2597</v>
      </c>
      <c r="B2593">
        <v>0.99472303558308395</v>
      </c>
      <c r="C2593">
        <v>0.64963471951208995</v>
      </c>
      <c r="D2593">
        <v>1.01858369533787</v>
      </c>
      <c r="E2593">
        <v>0.87284739544228895</v>
      </c>
      <c r="F2593">
        <v>0.52390063917322205</v>
      </c>
      <c r="G2593">
        <v>0.35342644814074797</v>
      </c>
      <c r="H2593">
        <v>0.26771080985241302</v>
      </c>
      <c r="I2593">
        <v>0.22650612984926199</v>
      </c>
      <c r="J2593">
        <v>0.31234498350624201</v>
      </c>
      <c r="K2593">
        <v>0.31226851765194602</v>
      </c>
      <c r="L2593">
        <v>1378.25327676139</v>
      </c>
      <c r="M2593">
        <v>28.079843897641201</v>
      </c>
      <c r="N2593">
        <v>50.5531221601235</v>
      </c>
      <c r="O2593">
        <v>48.836448580638901</v>
      </c>
      <c r="P2593">
        <v>-0.103642628634374</v>
      </c>
      <c r="Q2593">
        <v>0.27898530679959999</v>
      </c>
      <c r="R2593">
        <v>0.851221817587826</v>
      </c>
      <c r="S2593" t="s">
        <v>9161</v>
      </c>
      <c r="T2593" t="s">
        <v>13134</v>
      </c>
      <c r="U2593" t="s">
        <v>13134</v>
      </c>
      <c r="V2593" t="s">
        <v>13134</v>
      </c>
      <c r="W2593" t="s">
        <v>15679</v>
      </c>
      <c r="X2593">
        <v>14</v>
      </c>
      <c r="Y2593" t="s">
        <v>22122</v>
      </c>
      <c r="Z2593" t="s">
        <v>28561</v>
      </c>
      <c r="AA2593">
        <v>0.57436133100414422</v>
      </c>
      <c r="AB2593" t="str">
        <f>HYPERLINK("Melting_Curves/meltCurve_P39019_RPS19.pdf", "Melting_Curves/meltCurve_P39019_RPS19.pdf")</f>
        <v>Melting_Curves/meltCurve_P39019_RPS19.pdf</v>
      </c>
    </row>
    <row r="2594" spans="1:28" x14ac:dyDescent="0.25">
      <c r="A2594" t="s">
        <v>2598</v>
      </c>
      <c r="B2594">
        <v>0.99472303558308395</v>
      </c>
      <c r="C2594">
        <v>0.95521652830584503</v>
      </c>
      <c r="D2594">
        <v>0.82551368518621704</v>
      </c>
      <c r="E2594">
        <v>0.60983569522124903</v>
      </c>
      <c r="F2594">
        <v>0.57588352899157602</v>
      </c>
      <c r="G2594">
        <v>0.228427688115725</v>
      </c>
      <c r="H2594">
        <v>0.12655047095795499</v>
      </c>
      <c r="I2594">
        <v>0.107397558517399</v>
      </c>
      <c r="J2594">
        <v>0.14777269949225399</v>
      </c>
      <c r="K2594">
        <v>0.106376682570065</v>
      </c>
      <c r="L2594">
        <v>598.97552448467104</v>
      </c>
      <c r="M2594">
        <v>12.261713846265399</v>
      </c>
      <c r="N2594">
        <v>49.307501333641099</v>
      </c>
      <c r="O2594">
        <v>47.604467397632</v>
      </c>
      <c r="P2594">
        <v>-6.0939497883744399E-2</v>
      </c>
      <c r="Q2594">
        <v>5.3851917804478198E-2</v>
      </c>
      <c r="R2594">
        <v>0.97585974489744198</v>
      </c>
      <c r="S2594" t="s">
        <v>9162</v>
      </c>
      <c r="T2594" t="s">
        <v>13134</v>
      </c>
      <c r="U2594" t="s">
        <v>13134</v>
      </c>
      <c r="V2594" t="s">
        <v>13134</v>
      </c>
      <c r="W2594" t="s">
        <v>15680</v>
      </c>
      <c r="X2594">
        <v>9</v>
      </c>
      <c r="Y2594" t="s">
        <v>22123</v>
      </c>
      <c r="Z2594" t="s">
        <v>28562</v>
      </c>
      <c r="AA2594">
        <v>0.45508996934410573</v>
      </c>
      <c r="AB2594" t="str">
        <f>HYPERLINK("Melting_Curves/meltCurve_P39023_RPL3.pdf", "Melting_Curves/meltCurve_P39023_RPL3.pdf")</f>
        <v>Melting_Curves/meltCurve_P39023_RPL3.pdf</v>
      </c>
    </row>
    <row r="2595" spans="1:28" x14ac:dyDescent="0.25">
      <c r="A2595" t="s">
        <v>2599</v>
      </c>
      <c r="B2595">
        <v>0.99472303558308395</v>
      </c>
      <c r="C2595">
        <v>0.93568362923391701</v>
      </c>
      <c r="D2595">
        <v>0.82934886525762797</v>
      </c>
      <c r="E2595">
        <v>0.699794790616169</v>
      </c>
      <c r="F2595">
        <v>0.64080656171309203</v>
      </c>
      <c r="G2595">
        <v>0.29769933143368499</v>
      </c>
      <c r="H2595">
        <v>0.109486788712472</v>
      </c>
      <c r="I2595">
        <v>7.3224402128941907E-2</v>
      </c>
      <c r="J2595">
        <v>6.3817567109739001E-2</v>
      </c>
      <c r="K2595">
        <v>8.0045736547351698E-2</v>
      </c>
      <c r="L2595">
        <v>626.46454079482999</v>
      </c>
      <c r="M2595">
        <v>12.413092202337801</v>
      </c>
      <c r="N2595">
        <v>50.468051746823903</v>
      </c>
      <c r="O2595">
        <v>49.211910647972601</v>
      </c>
      <c r="P2595">
        <v>-6.3072717043637094E-2</v>
      </c>
      <c r="Q2595">
        <v>0</v>
      </c>
      <c r="R2595">
        <v>0.97749848101108805</v>
      </c>
      <c r="S2595" t="s">
        <v>9163</v>
      </c>
      <c r="T2595" t="s">
        <v>13134</v>
      </c>
      <c r="U2595" t="s">
        <v>13134</v>
      </c>
      <c r="V2595" t="s">
        <v>13134</v>
      </c>
      <c r="W2595" t="s">
        <v>15681</v>
      </c>
      <c r="X2595">
        <v>3</v>
      </c>
      <c r="Y2595" t="s">
        <v>22124</v>
      </c>
      <c r="Z2595" t="s">
        <v>28563</v>
      </c>
      <c r="AA2595">
        <v>0.47504274432525673</v>
      </c>
      <c r="AB2595" t="str">
        <f>HYPERLINK("Melting_Curves/meltCurve_P39060_2_COL18A1.pdf", "Melting_Curves/meltCurve_P39060_2_COL18A1.pdf")</f>
        <v>Melting_Curves/meltCurve_P39060_2_COL18A1.pdf</v>
      </c>
    </row>
    <row r="2596" spans="1:28" x14ac:dyDescent="0.25">
      <c r="A2596" t="s">
        <v>2600</v>
      </c>
      <c r="B2596">
        <v>0.99472303558308395</v>
      </c>
      <c r="C2596">
        <v>0.79256360143368498</v>
      </c>
      <c r="D2596">
        <v>0.86600899366378004</v>
      </c>
      <c r="E2596">
        <v>0.76206373050833598</v>
      </c>
      <c r="F2596">
        <v>0.64599047724354697</v>
      </c>
      <c r="G2596">
        <v>0.15409095924947899</v>
      </c>
      <c r="H2596">
        <v>5.9093944208906103E-2</v>
      </c>
      <c r="I2596">
        <v>2.7731203849532801E-2</v>
      </c>
      <c r="J2596">
        <v>2.6122523742999799E-2</v>
      </c>
      <c r="K2596">
        <v>2.87915709699701E-2</v>
      </c>
      <c r="L2596">
        <v>885.86442794116897</v>
      </c>
      <c r="M2596">
        <v>17.598183065565799</v>
      </c>
      <c r="N2596">
        <v>50.338403590414998</v>
      </c>
      <c r="O2596">
        <v>49.701895198384001</v>
      </c>
      <c r="P2596">
        <v>-8.8523446126202304E-2</v>
      </c>
      <c r="Q2596">
        <v>0</v>
      </c>
      <c r="R2596">
        <v>0.94872678698583401</v>
      </c>
      <c r="S2596" t="s">
        <v>9164</v>
      </c>
      <c r="T2596" t="s">
        <v>13134</v>
      </c>
      <c r="U2596" t="s">
        <v>13134</v>
      </c>
      <c r="V2596" t="s">
        <v>13134</v>
      </c>
      <c r="W2596" t="s">
        <v>15682</v>
      </c>
      <c r="X2596">
        <v>10</v>
      </c>
      <c r="Y2596" t="s">
        <v>22125</v>
      </c>
      <c r="Z2596" t="s">
        <v>28564</v>
      </c>
      <c r="AA2596">
        <v>0.46087679909554158</v>
      </c>
      <c r="AB2596" t="str">
        <f>HYPERLINK("Melting_Curves/meltCurve_P39656_DDOST.pdf", "Melting_Curves/meltCurve_P39656_DDOST.pdf")</f>
        <v>Melting_Curves/meltCurve_P39656_DDOST.pdf</v>
      </c>
    </row>
    <row r="2597" spans="1:28" x14ac:dyDescent="0.25">
      <c r="A2597" t="s">
        <v>2601</v>
      </c>
      <c r="B2597">
        <v>0.99472303558308395</v>
      </c>
      <c r="C2597">
        <v>0.92806682639287896</v>
      </c>
      <c r="D2597">
        <v>1.0408977321077599</v>
      </c>
      <c r="E2597">
        <v>0.96719614842494805</v>
      </c>
      <c r="F2597">
        <v>0.77297853057188104</v>
      </c>
      <c r="G2597">
        <v>0.60647913122004304</v>
      </c>
      <c r="H2597">
        <v>0.34398845165690101</v>
      </c>
      <c r="I2597">
        <v>0.224093932411181</v>
      </c>
      <c r="J2597">
        <v>0.26025985562964998</v>
      </c>
      <c r="K2597">
        <v>0.21761252507315601</v>
      </c>
      <c r="L2597">
        <v>1025.51710013825</v>
      </c>
      <c r="M2597">
        <v>19.235174071725201</v>
      </c>
      <c r="N2597">
        <v>54.750385195639502</v>
      </c>
      <c r="O2597">
        <v>52.748464780024896</v>
      </c>
      <c r="P2597">
        <v>-7.3110745837098701E-2</v>
      </c>
      <c r="Q2597">
        <v>0.198066388517606</v>
      </c>
      <c r="R2597">
        <v>0.98713496606876405</v>
      </c>
      <c r="S2597" t="s">
        <v>9165</v>
      </c>
      <c r="T2597" t="s">
        <v>13134</v>
      </c>
      <c r="U2597" t="s">
        <v>13134</v>
      </c>
      <c r="V2597" t="s">
        <v>13134</v>
      </c>
      <c r="W2597" t="s">
        <v>15683</v>
      </c>
      <c r="X2597">
        <v>14</v>
      </c>
      <c r="Y2597" t="s">
        <v>22126</v>
      </c>
      <c r="Z2597" t="s">
        <v>28565</v>
      </c>
      <c r="AA2597">
        <v>0.64471571788818949</v>
      </c>
      <c r="AB2597" t="str">
        <f>HYPERLINK("Melting_Curves/meltCurve_P39687_ANP32A.pdf", "Melting_Curves/meltCurve_P39687_ANP32A.pdf")</f>
        <v>Melting_Curves/meltCurve_P39687_ANP32A.pdf</v>
      </c>
    </row>
    <row r="2598" spans="1:28" x14ac:dyDescent="0.25">
      <c r="A2598" t="s">
        <v>2602</v>
      </c>
      <c r="B2598">
        <v>0.99472303558308395</v>
      </c>
      <c r="C2598">
        <v>0.96980182026362804</v>
      </c>
      <c r="D2598">
        <v>0.92760898703146599</v>
      </c>
      <c r="E2598">
        <v>0.62178220291953901</v>
      </c>
      <c r="F2598">
        <v>0.203183832143153</v>
      </c>
      <c r="G2598">
        <v>7.4868110123733206E-2</v>
      </c>
      <c r="H2598">
        <v>4.53710387601962E-2</v>
      </c>
      <c r="I2598">
        <v>2.7079171779218199E-2</v>
      </c>
      <c r="J2598">
        <v>2.9473052455481801E-2</v>
      </c>
      <c r="K2598">
        <v>2.53910432201188E-2</v>
      </c>
      <c r="L2598">
        <v>1218.07359189628</v>
      </c>
      <c r="M2598">
        <v>25.717392511159701</v>
      </c>
      <c r="N2598">
        <v>47.469076912657599</v>
      </c>
      <c r="O2598">
        <v>47.080213923325601</v>
      </c>
      <c r="P2598">
        <v>-0.132777969574574</v>
      </c>
      <c r="Q2598">
        <v>2.7718028368741501E-2</v>
      </c>
      <c r="R2598">
        <v>0.99954579980787694</v>
      </c>
      <c r="S2598" t="s">
        <v>9166</v>
      </c>
      <c r="T2598" t="s">
        <v>13134</v>
      </c>
      <c r="U2598" t="s">
        <v>13134</v>
      </c>
      <c r="V2598" t="s">
        <v>13134</v>
      </c>
      <c r="W2598" t="s">
        <v>15684</v>
      </c>
      <c r="X2598">
        <v>24</v>
      </c>
      <c r="Y2598" t="s">
        <v>22127</v>
      </c>
      <c r="Z2598" t="s">
        <v>28566</v>
      </c>
      <c r="AA2598">
        <v>0.37135957147383403</v>
      </c>
      <c r="AB2598" t="str">
        <f>HYPERLINK("Melting_Curves/meltCurve_P39748_FEN1.pdf", "Melting_Curves/meltCurve_P39748_FEN1.pdf")</f>
        <v>Melting_Curves/meltCurve_P39748_FEN1.pdf</v>
      </c>
    </row>
    <row r="2599" spans="1:28" x14ac:dyDescent="0.25">
      <c r="A2599" t="s">
        <v>2603</v>
      </c>
      <c r="B2599">
        <v>0.99472303558308395</v>
      </c>
      <c r="C2599">
        <v>0.94989366503879502</v>
      </c>
      <c r="D2599">
        <v>0.72319167109968696</v>
      </c>
      <c r="E2599">
        <v>0.54280161745324795</v>
      </c>
      <c r="F2599">
        <v>0.30250638870892699</v>
      </c>
      <c r="G2599">
        <v>0.116632667821758</v>
      </c>
      <c r="H2599">
        <v>7.3483128584185001E-2</v>
      </c>
      <c r="I2599">
        <v>6.2181782621430003E-2</v>
      </c>
      <c r="J2599">
        <v>6.4326312056683793E-2</v>
      </c>
      <c r="K2599">
        <v>5.6113467586281801E-2</v>
      </c>
      <c r="L2599">
        <v>674.31139657324798</v>
      </c>
      <c r="M2599">
        <v>14.4819821781226</v>
      </c>
      <c r="N2599">
        <v>46.773165998680803</v>
      </c>
      <c r="O2599">
        <v>45.701280145413001</v>
      </c>
      <c r="P2599">
        <v>-7.6723895109240506E-2</v>
      </c>
      <c r="Q2599">
        <v>3.1631554741587402E-2</v>
      </c>
      <c r="R2599">
        <v>0.99459073906190998</v>
      </c>
      <c r="S2599" t="s">
        <v>9167</v>
      </c>
      <c r="T2599" t="s">
        <v>13134</v>
      </c>
      <c r="U2599" t="s">
        <v>13134</v>
      </c>
      <c r="V2599" t="s">
        <v>13134</v>
      </c>
      <c r="W2599" t="s">
        <v>15685</v>
      </c>
      <c r="X2599">
        <v>21</v>
      </c>
      <c r="Y2599" t="s">
        <v>20625</v>
      </c>
      <c r="Z2599" t="s">
        <v>28567</v>
      </c>
      <c r="AA2599">
        <v>0.36376370993724738</v>
      </c>
      <c r="AB2599" t="str">
        <f>HYPERLINK("Melting_Curves/meltCurve_P39880_2_CUX1.pdf", "Melting_Curves/meltCurve_P39880_2_CUX1.pdf")</f>
        <v>Melting_Curves/meltCurve_P39880_2_CUX1.pdf</v>
      </c>
    </row>
    <row r="2600" spans="1:28" x14ac:dyDescent="0.25">
      <c r="A2600" t="s">
        <v>2604</v>
      </c>
      <c r="B2600">
        <v>0.99472303558308395</v>
      </c>
      <c r="C2600">
        <v>1.02533147696129</v>
      </c>
      <c r="D2600">
        <v>1.05553223814622</v>
      </c>
      <c r="E2600">
        <v>0.84577927575905099</v>
      </c>
      <c r="F2600">
        <v>0.20094937601591101</v>
      </c>
      <c r="G2600">
        <v>0.100597947607688</v>
      </c>
      <c r="H2600">
        <v>6.7515819316246006E-2</v>
      </c>
      <c r="I2600">
        <v>5.8074752774246403E-2</v>
      </c>
      <c r="J2600">
        <v>7.7110335904442703E-2</v>
      </c>
      <c r="K2600">
        <v>5.5729229976964799E-2</v>
      </c>
      <c r="L2600">
        <v>2230.7692147744501</v>
      </c>
      <c r="M2600">
        <v>46.2381247782345</v>
      </c>
      <c r="N2600">
        <v>48.402898326324603</v>
      </c>
      <c r="O2600">
        <v>48.155257294382302</v>
      </c>
      <c r="P2600">
        <v>-0.22326648072204999</v>
      </c>
      <c r="Q2600">
        <v>6.9906818067898197E-2</v>
      </c>
      <c r="R2600">
        <v>0.99737464289778699</v>
      </c>
      <c r="S2600" t="s">
        <v>9168</v>
      </c>
      <c r="T2600" t="s">
        <v>13134</v>
      </c>
      <c r="U2600" t="s">
        <v>13134</v>
      </c>
      <c r="V2600" t="s">
        <v>13134</v>
      </c>
      <c r="W2600" t="s">
        <v>15686</v>
      </c>
      <c r="X2600">
        <v>9</v>
      </c>
      <c r="Y2600" t="s">
        <v>22128</v>
      </c>
      <c r="Z2600" t="s">
        <v>28568</v>
      </c>
      <c r="AA2600">
        <v>0.4208606396417679</v>
      </c>
      <c r="AB2600" t="str">
        <f>HYPERLINK("Melting_Curves/meltCurve_P40121_CAPG.pdf", "Melting_Curves/meltCurve_P40121_CAPG.pdf")</f>
        <v>Melting_Curves/meltCurve_P40121_CAPG.pdf</v>
      </c>
    </row>
    <row r="2601" spans="1:28" x14ac:dyDescent="0.25">
      <c r="A2601" t="s">
        <v>2605</v>
      </c>
      <c r="B2601">
        <v>0.99472303558308395</v>
      </c>
      <c r="C2601">
        <v>1.03247110368727</v>
      </c>
      <c r="D2601">
        <v>0.94939973494483498</v>
      </c>
      <c r="E2601">
        <v>0.89410261946234304</v>
      </c>
      <c r="F2601">
        <v>0.64596633964373595</v>
      </c>
      <c r="G2601">
        <v>0.364821889130655</v>
      </c>
      <c r="H2601">
        <v>0.141083761784073</v>
      </c>
      <c r="I2601">
        <v>0.10837168032930899</v>
      </c>
      <c r="J2601">
        <v>0.134663888451103</v>
      </c>
      <c r="K2601">
        <v>0.119940534875147</v>
      </c>
      <c r="L2601">
        <v>1078.5431722968699</v>
      </c>
      <c r="M2601">
        <v>21.048899386549</v>
      </c>
      <c r="N2601">
        <v>51.774042953624999</v>
      </c>
      <c r="O2601">
        <v>50.784132504350097</v>
      </c>
      <c r="P2601">
        <v>-9.3508703163051293E-2</v>
      </c>
      <c r="Q2601">
        <v>9.7600097597450405E-2</v>
      </c>
      <c r="R2601">
        <v>0.99586891560010604</v>
      </c>
      <c r="S2601" t="s">
        <v>9169</v>
      </c>
      <c r="T2601" t="s">
        <v>13134</v>
      </c>
      <c r="U2601" t="s">
        <v>13134</v>
      </c>
      <c r="V2601" t="s">
        <v>13134</v>
      </c>
      <c r="W2601" t="s">
        <v>15687</v>
      </c>
      <c r="X2601">
        <v>31</v>
      </c>
      <c r="Y2601" t="s">
        <v>22129</v>
      </c>
      <c r="Z2601" t="s">
        <v>28569</v>
      </c>
      <c r="AA2601">
        <v>0.53675687084211809</v>
      </c>
      <c r="AB2601" t="str">
        <f>HYPERLINK("Melting_Curves/meltCurve_P40222_TXLNA.pdf", "Melting_Curves/meltCurve_P40222_TXLNA.pdf")</f>
        <v>Melting_Curves/meltCurve_P40222_TXLNA.pdf</v>
      </c>
    </row>
    <row r="2602" spans="1:28" x14ac:dyDescent="0.25">
      <c r="A2602" t="s">
        <v>2606</v>
      </c>
      <c r="B2602">
        <v>0.99472303558308395</v>
      </c>
      <c r="C2602">
        <v>0.92951308430468205</v>
      </c>
      <c r="D2602">
        <v>0.755967252384111</v>
      </c>
      <c r="E2602">
        <v>0.66000716729160702</v>
      </c>
      <c r="F2602">
        <v>0.96185581932491804</v>
      </c>
      <c r="G2602">
        <v>0.40638931451212401</v>
      </c>
      <c r="H2602">
        <v>0.40071793389624599</v>
      </c>
      <c r="I2602">
        <v>0.48844262987473402</v>
      </c>
      <c r="J2602">
        <v>0.26796141216331698</v>
      </c>
      <c r="K2602">
        <v>0.14702986856251701</v>
      </c>
      <c r="L2602">
        <v>365.23936160988598</v>
      </c>
      <c r="M2602">
        <v>6.59953502500254</v>
      </c>
      <c r="N2602">
        <v>55.343215290272902</v>
      </c>
      <c r="O2602">
        <v>50.9229104345956</v>
      </c>
      <c r="P2602">
        <v>-3.2474104476922699E-2</v>
      </c>
      <c r="Q2602">
        <v>0</v>
      </c>
      <c r="R2602">
        <v>0.79971825429253096</v>
      </c>
      <c r="S2602" t="s">
        <v>9170</v>
      </c>
      <c r="T2602" t="s">
        <v>13134</v>
      </c>
      <c r="U2602" t="s">
        <v>13134</v>
      </c>
      <c r="V2602" t="s">
        <v>13134</v>
      </c>
      <c r="W2602" t="s">
        <v>15688</v>
      </c>
      <c r="X2602">
        <v>33</v>
      </c>
      <c r="Y2602" t="s">
        <v>22130</v>
      </c>
      <c r="Z2602" t="s">
        <v>28570</v>
      </c>
      <c r="AA2602">
        <v>0.60750813435876283</v>
      </c>
      <c r="AB2602" t="str">
        <f>HYPERLINK("Melting_Curves/meltCurve_P40227_CCT6A.pdf", "Melting_Curves/meltCurve_P40227_CCT6A.pdf")</f>
        <v>Melting_Curves/meltCurve_P40227_CCT6A.pdf</v>
      </c>
    </row>
    <row r="2603" spans="1:28" x14ac:dyDescent="0.25">
      <c r="A2603" t="s">
        <v>2607</v>
      </c>
      <c r="B2603">
        <v>0.99472303558308395</v>
      </c>
      <c r="C2603">
        <v>0.92620815771926501</v>
      </c>
      <c r="D2603">
        <v>0.96291584306375799</v>
      </c>
      <c r="E2603">
        <v>0.87605894100536097</v>
      </c>
      <c r="F2603">
        <v>0.769887246086433</v>
      </c>
      <c r="G2603">
        <v>0.370308405688696</v>
      </c>
      <c r="H2603">
        <v>0.16385215078769499</v>
      </c>
      <c r="I2603">
        <v>0.119245032920095</v>
      </c>
      <c r="J2603">
        <v>0.108382234404202</v>
      </c>
      <c r="K2603">
        <v>7.4291669079839806E-2</v>
      </c>
      <c r="L2603">
        <v>1165.1536411204399</v>
      </c>
      <c r="M2603">
        <v>22.3418165004664</v>
      </c>
      <c r="N2603">
        <v>52.538748824555</v>
      </c>
      <c r="O2603">
        <v>51.738837102299001</v>
      </c>
      <c r="P2603">
        <v>-9.9756562249440406E-2</v>
      </c>
      <c r="Q2603">
        <v>7.5960617147484796E-2</v>
      </c>
      <c r="R2603">
        <v>0.99095765750599896</v>
      </c>
      <c r="S2603" t="s">
        <v>9171</v>
      </c>
      <c r="T2603" t="s">
        <v>13134</v>
      </c>
      <c r="U2603" t="s">
        <v>13134</v>
      </c>
      <c r="V2603" t="s">
        <v>13134</v>
      </c>
      <c r="W2603" t="s">
        <v>15689</v>
      </c>
      <c r="X2603">
        <v>2</v>
      </c>
      <c r="Y2603" t="s">
        <v>22131</v>
      </c>
      <c r="Z2603" t="s">
        <v>28571</v>
      </c>
      <c r="AA2603">
        <v>0.55258867036948678</v>
      </c>
      <c r="AB2603" t="str">
        <f>HYPERLINK("Melting_Curves/meltCurve_P40261_NNMT.pdf", "Melting_Curves/meltCurve_P40261_NNMT.pdf")</f>
        <v>Melting_Curves/meltCurve_P40261_NNMT.pdf</v>
      </c>
    </row>
    <row r="2604" spans="1:28" x14ac:dyDescent="0.25">
      <c r="A2604" t="s">
        <v>2608</v>
      </c>
      <c r="B2604">
        <v>0.99472303558308395</v>
      </c>
      <c r="C2604">
        <v>1.0014564039668401</v>
      </c>
      <c r="D2604">
        <v>0.93591729184178696</v>
      </c>
      <c r="E2604">
        <v>0.58374276615923004</v>
      </c>
      <c r="F2604">
        <v>0.33706777272058702</v>
      </c>
      <c r="G2604">
        <v>0.17949426551339601</v>
      </c>
      <c r="H2604">
        <v>0.110644126918105</v>
      </c>
      <c r="I2604">
        <v>7.2692700080832395E-2</v>
      </c>
      <c r="J2604">
        <v>9.8277652737997406E-2</v>
      </c>
      <c r="K2604">
        <v>7.8091395934591107E-2</v>
      </c>
      <c r="L2604">
        <v>941.78673743164904</v>
      </c>
      <c r="M2604">
        <v>19.845636352664702</v>
      </c>
      <c r="N2604">
        <v>47.893793220545597</v>
      </c>
      <c r="O2604">
        <v>46.981645026295901</v>
      </c>
      <c r="P2604">
        <v>-9.6839240010923394E-2</v>
      </c>
      <c r="Q2604">
        <v>8.3019796215348801E-2</v>
      </c>
      <c r="R2604">
        <v>0.99650307617730605</v>
      </c>
      <c r="S2604" t="s">
        <v>9172</v>
      </c>
      <c r="T2604" t="s">
        <v>13134</v>
      </c>
      <c r="U2604" t="s">
        <v>13134</v>
      </c>
      <c r="V2604" t="s">
        <v>13134</v>
      </c>
      <c r="W2604" t="s">
        <v>15690</v>
      </c>
      <c r="X2604">
        <v>4</v>
      </c>
      <c r="Y2604" t="s">
        <v>22132</v>
      </c>
      <c r="Z2604" t="s">
        <v>28572</v>
      </c>
      <c r="AA2604">
        <v>0.41481030940827862</v>
      </c>
      <c r="AB2604" t="str">
        <f>HYPERLINK("Melting_Curves/meltCurve_P40337_3_VHL.pdf", "Melting_Curves/meltCurve_P40337_3_VHL.pdf")</f>
        <v>Melting_Curves/meltCurve_P40337_3_VHL.pdf</v>
      </c>
    </row>
    <row r="2605" spans="1:28" x14ac:dyDescent="0.25">
      <c r="A2605" t="s">
        <v>2609</v>
      </c>
      <c r="B2605">
        <v>0.99472303558308395</v>
      </c>
      <c r="C2605">
        <v>0.94509599853753901</v>
      </c>
      <c r="D2605">
        <v>0.82272095399828404</v>
      </c>
      <c r="E2605">
        <v>0.47496301301879801</v>
      </c>
      <c r="F2605">
        <v>0.23023072721187801</v>
      </c>
      <c r="G2605">
        <v>0.131194981721628</v>
      </c>
      <c r="H2605">
        <v>7.6629211053964696E-2</v>
      </c>
      <c r="I2605">
        <v>5.8598593910420597E-2</v>
      </c>
      <c r="J2605">
        <v>6.9267762202236002E-2</v>
      </c>
      <c r="K2605">
        <v>5.6959997238636297E-2</v>
      </c>
      <c r="L2605">
        <v>870.88741828912896</v>
      </c>
      <c r="M2605">
        <v>18.873124129421399</v>
      </c>
      <c r="N2605">
        <v>46.449419793022201</v>
      </c>
      <c r="O2605">
        <v>45.635619687587401</v>
      </c>
      <c r="P2605">
        <v>-9.73670659623498E-2</v>
      </c>
      <c r="Q2605">
        <v>5.8295925979339497E-2</v>
      </c>
      <c r="R2605">
        <v>0.999511596363716</v>
      </c>
      <c r="S2605" t="s">
        <v>9173</v>
      </c>
      <c r="T2605" t="s">
        <v>13134</v>
      </c>
      <c r="U2605" t="s">
        <v>13134</v>
      </c>
      <c r="V2605" t="s">
        <v>13134</v>
      </c>
      <c r="W2605" t="s">
        <v>15691</v>
      </c>
      <c r="X2605">
        <v>7</v>
      </c>
      <c r="Y2605" t="s">
        <v>22133</v>
      </c>
      <c r="Z2605" t="s">
        <v>28573</v>
      </c>
      <c r="AA2605">
        <v>0.35916924800186678</v>
      </c>
      <c r="AB2605" t="str">
        <f>HYPERLINK("Melting_Curves/meltCurve_P40425_PBX2.pdf", "Melting_Curves/meltCurve_P40425_PBX2.pdf")</f>
        <v>Melting_Curves/meltCurve_P40425_PBX2.pdf</v>
      </c>
    </row>
    <row r="2606" spans="1:28" x14ac:dyDescent="0.25">
      <c r="A2606" t="s">
        <v>2610</v>
      </c>
      <c r="B2606">
        <v>0.99472303558308395</v>
      </c>
      <c r="C2606">
        <v>0.88195910176236902</v>
      </c>
      <c r="D2606">
        <v>0.73988265468025805</v>
      </c>
      <c r="E2606">
        <v>0.45394456894886598</v>
      </c>
      <c r="F2606">
        <v>0.28160832247672601</v>
      </c>
      <c r="G2606">
        <v>0.17427314596636601</v>
      </c>
      <c r="H2606">
        <v>0.107197227556333</v>
      </c>
      <c r="I2606">
        <v>8.1766539519305695E-2</v>
      </c>
      <c r="J2606">
        <v>7.5223179721479502E-2</v>
      </c>
      <c r="K2606">
        <v>5.7604518261896998E-2</v>
      </c>
      <c r="L2606">
        <v>636.92719639563995</v>
      </c>
      <c r="M2606">
        <v>13.900129915576001</v>
      </c>
      <c r="N2606">
        <v>46.210485857927097</v>
      </c>
      <c r="O2606">
        <v>44.904540408130501</v>
      </c>
      <c r="P2606">
        <v>-7.3126266906560197E-2</v>
      </c>
      <c r="Q2606">
        <v>5.5187506282061503E-2</v>
      </c>
      <c r="R2606">
        <v>0.99852709359708203</v>
      </c>
      <c r="S2606" t="s">
        <v>9174</v>
      </c>
      <c r="T2606" t="s">
        <v>13134</v>
      </c>
      <c r="U2606" t="s">
        <v>13134</v>
      </c>
      <c r="V2606" t="s">
        <v>13134</v>
      </c>
      <c r="W2606" t="s">
        <v>15692</v>
      </c>
      <c r="X2606">
        <v>2</v>
      </c>
      <c r="Y2606" t="s">
        <v>22134</v>
      </c>
      <c r="Z2606" t="s">
        <v>28574</v>
      </c>
      <c r="AA2606">
        <v>0.35829081427509368</v>
      </c>
      <c r="AB2606" t="str">
        <f>HYPERLINK("Melting_Curves/meltCurve_P40617_ARL4A.pdf", "Melting_Curves/meltCurve_P40617_ARL4A.pdf")</f>
        <v>Melting_Curves/meltCurve_P40617_ARL4A.pdf</v>
      </c>
    </row>
    <row r="2607" spans="1:28" x14ac:dyDescent="0.25">
      <c r="A2607" t="s">
        <v>2611</v>
      </c>
      <c r="B2607">
        <v>0.99472303558308395</v>
      </c>
      <c r="C2607">
        <v>0.89625221493111795</v>
      </c>
      <c r="D2607">
        <v>0.64974153866291995</v>
      </c>
      <c r="E2607">
        <v>0.34340893493520802</v>
      </c>
      <c r="F2607">
        <v>0.16265453753454701</v>
      </c>
      <c r="G2607">
        <v>8.6253528686984299E-2</v>
      </c>
      <c r="H2607">
        <v>7.7712696968308598E-2</v>
      </c>
      <c r="I2607">
        <v>6.6786361794986801E-2</v>
      </c>
      <c r="J2607">
        <v>6.7791480634168497E-2</v>
      </c>
      <c r="K2607">
        <v>7.6660633789759999E-2</v>
      </c>
      <c r="L2607">
        <v>820.21887440949899</v>
      </c>
      <c r="M2607">
        <v>18.5100841847193</v>
      </c>
      <c r="N2607">
        <v>44.645700050649097</v>
      </c>
      <c r="O2607">
        <v>43.804520608551798</v>
      </c>
      <c r="P2607">
        <v>-9.8820016899425905E-2</v>
      </c>
      <c r="Q2607">
        <v>6.4602378714795697E-2</v>
      </c>
      <c r="R2607">
        <v>0.99929323919996105</v>
      </c>
      <c r="S2607" t="s">
        <v>9175</v>
      </c>
      <c r="T2607" t="s">
        <v>13134</v>
      </c>
      <c r="U2607" t="s">
        <v>13134</v>
      </c>
      <c r="V2607" t="s">
        <v>13134</v>
      </c>
      <c r="W2607" t="s">
        <v>15693</v>
      </c>
      <c r="X2607">
        <v>10</v>
      </c>
      <c r="Y2607" t="s">
        <v>22135</v>
      </c>
      <c r="Z2607" t="s">
        <v>28575</v>
      </c>
      <c r="AA2607">
        <v>0.30727339663852599</v>
      </c>
      <c r="AB2607" t="str">
        <f>HYPERLINK("Melting_Curves/meltCurve_P40692_MLH1.pdf", "Melting_Curves/meltCurve_P40692_MLH1.pdf")</f>
        <v>Melting_Curves/meltCurve_P40692_MLH1.pdf</v>
      </c>
    </row>
    <row r="2608" spans="1:28" x14ac:dyDescent="0.25">
      <c r="A2608" t="s">
        <v>2612</v>
      </c>
      <c r="B2608">
        <v>0.99472303558308395</v>
      </c>
      <c r="C2608">
        <v>0.97168263871245897</v>
      </c>
      <c r="D2608">
        <v>0.87671084326051396</v>
      </c>
      <c r="E2608">
        <v>0.52220946650510203</v>
      </c>
      <c r="F2608">
        <v>0.17365247243363999</v>
      </c>
      <c r="G2608">
        <v>9.3762755221833097E-2</v>
      </c>
      <c r="H2608">
        <v>5.8155810413717403E-2</v>
      </c>
      <c r="I2608">
        <v>4.2844047868737502E-2</v>
      </c>
      <c r="J2608">
        <v>5.3612318228014801E-2</v>
      </c>
      <c r="K2608">
        <v>4.61356098768173E-2</v>
      </c>
      <c r="L2608">
        <v>1109.93860515916</v>
      </c>
      <c r="M2608">
        <v>23.859357302060999</v>
      </c>
      <c r="N2608">
        <v>46.712119638154803</v>
      </c>
      <c r="O2608">
        <v>46.196956327075</v>
      </c>
      <c r="P2608">
        <v>-0.12308699849596499</v>
      </c>
      <c r="Q2608">
        <v>4.6721577304489802E-2</v>
      </c>
      <c r="R2608">
        <v>0.999599661758241</v>
      </c>
      <c r="S2608" t="s">
        <v>9176</v>
      </c>
      <c r="T2608" t="s">
        <v>13134</v>
      </c>
      <c r="U2608" t="s">
        <v>13134</v>
      </c>
      <c r="V2608" t="s">
        <v>13134</v>
      </c>
      <c r="W2608" t="s">
        <v>15694</v>
      </c>
      <c r="X2608">
        <v>32</v>
      </c>
      <c r="Y2608" t="s">
        <v>22136</v>
      </c>
      <c r="Z2608" t="s">
        <v>28576</v>
      </c>
      <c r="AA2608">
        <v>0.35797199341611208</v>
      </c>
      <c r="AB2608" t="str">
        <f>HYPERLINK("Melting_Curves/meltCurve_P40763_STAT3.pdf", "Melting_Curves/meltCurve_P40763_STAT3.pdf")</f>
        <v>Melting_Curves/meltCurve_P40763_STAT3.pdf</v>
      </c>
    </row>
    <row r="2609" spans="1:28" x14ac:dyDescent="0.25">
      <c r="A2609" t="s">
        <v>2613</v>
      </c>
      <c r="B2609">
        <v>0.99472303558308395</v>
      </c>
      <c r="C2609">
        <v>1.0205682042736099</v>
      </c>
      <c r="D2609">
        <v>0.80808158493017901</v>
      </c>
      <c r="E2609">
        <v>0.74364599648443996</v>
      </c>
      <c r="F2609">
        <v>0.45385871190633797</v>
      </c>
      <c r="G2609">
        <v>0.179968022830546</v>
      </c>
      <c r="H2609">
        <v>0.14599247021668599</v>
      </c>
      <c r="I2609">
        <v>0.110672800973799</v>
      </c>
      <c r="J2609">
        <v>0.171856781873898</v>
      </c>
      <c r="K2609">
        <v>0.135041360965164</v>
      </c>
      <c r="L2609">
        <v>847.89219235542498</v>
      </c>
      <c r="M2609">
        <v>17.513699597128799</v>
      </c>
      <c r="N2609">
        <v>49.113485033948997</v>
      </c>
      <c r="O2609">
        <v>47.795124735328102</v>
      </c>
      <c r="P2609">
        <v>-8.1489241558487496E-2</v>
      </c>
      <c r="Q2609">
        <v>0.110507881635204</v>
      </c>
      <c r="R2609">
        <v>0.98231628600107002</v>
      </c>
      <c r="S2609" t="s">
        <v>9177</v>
      </c>
      <c r="T2609" t="s">
        <v>13134</v>
      </c>
      <c r="U2609" t="s">
        <v>13134</v>
      </c>
      <c r="V2609" t="s">
        <v>13134</v>
      </c>
      <c r="W2609" t="s">
        <v>15695</v>
      </c>
      <c r="X2609">
        <v>32</v>
      </c>
      <c r="Y2609" t="s">
        <v>22136</v>
      </c>
      <c r="Z2609" t="s">
        <v>28577</v>
      </c>
      <c r="AA2609">
        <v>0.4638030767470156</v>
      </c>
      <c r="AB2609" t="str">
        <f>HYPERLINK("Melting_Curves/meltCurve_P40763_2_STAT3.pdf", "Melting_Curves/meltCurve_P40763_2_STAT3.pdf")</f>
        <v>Melting_Curves/meltCurve_P40763_2_STAT3.pdf</v>
      </c>
    </row>
    <row r="2610" spans="1:28" x14ac:dyDescent="0.25">
      <c r="A2610" t="s">
        <v>2614</v>
      </c>
      <c r="B2610">
        <v>0.99472303558308395</v>
      </c>
      <c r="C2610">
        <v>0.99221915261391502</v>
      </c>
      <c r="D2610">
        <v>0.909718084917713</v>
      </c>
      <c r="E2610">
        <v>0.639066503424086</v>
      </c>
      <c r="F2610">
        <v>0.388633195878749</v>
      </c>
      <c r="G2610">
        <v>0.19818928566195601</v>
      </c>
      <c r="H2610">
        <v>0.255599817159196</v>
      </c>
      <c r="I2610">
        <v>0.125034649217211</v>
      </c>
      <c r="J2610">
        <v>0.23543534666916599</v>
      </c>
      <c r="K2610">
        <v>0.29349814121279599</v>
      </c>
      <c r="L2610">
        <v>1084.56140243858</v>
      </c>
      <c r="M2610">
        <v>23.088849867898599</v>
      </c>
      <c r="N2610">
        <v>48.1432695161118</v>
      </c>
      <c r="O2610">
        <v>46.625270884870197</v>
      </c>
      <c r="P2610">
        <v>-9.7222208153449299E-2</v>
      </c>
      <c r="Q2610">
        <v>0.21469830566414699</v>
      </c>
      <c r="R2610">
        <v>0.98150969753693895</v>
      </c>
      <c r="S2610" t="s">
        <v>9178</v>
      </c>
      <c r="T2610" t="s">
        <v>13134</v>
      </c>
      <c r="U2610" t="s">
        <v>13134</v>
      </c>
      <c r="V2610" t="s">
        <v>13134</v>
      </c>
      <c r="W2610" t="s">
        <v>15696</v>
      </c>
      <c r="X2610">
        <v>22</v>
      </c>
      <c r="Y2610" t="s">
        <v>22137</v>
      </c>
      <c r="Z2610" t="s">
        <v>28578</v>
      </c>
      <c r="AA2610">
        <v>0.48350222810684862</v>
      </c>
      <c r="AB2610" t="str">
        <f>HYPERLINK("Melting_Curves/meltCurve_P40818_USP8.pdf", "Melting_Curves/meltCurve_P40818_USP8.pdf")</f>
        <v>Melting_Curves/meltCurve_P40818_USP8.pdf</v>
      </c>
    </row>
    <row r="2611" spans="1:28" x14ac:dyDescent="0.25">
      <c r="A2611" t="s">
        <v>2615</v>
      </c>
      <c r="B2611">
        <v>0.99472303558308395</v>
      </c>
      <c r="C2611">
        <v>0.907036527200479</v>
      </c>
      <c r="D2611">
        <v>1.0468602819661801</v>
      </c>
      <c r="E2611">
        <v>0.96250172632545306</v>
      </c>
      <c r="F2611">
        <v>0.77953571415115497</v>
      </c>
      <c r="G2611">
        <v>0.74921946826869001</v>
      </c>
      <c r="H2611">
        <v>0.485483094693415</v>
      </c>
      <c r="I2611">
        <v>0.15903526969783299</v>
      </c>
      <c r="J2611">
        <v>6.5875292568055605E-2</v>
      </c>
      <c r="K2611">
        <v>8.6695166030812995E-2</v>
      </c>
      <c r="L2611">
        <v>970.57751289848102</v>
      </c>
      <c r="M2611">
        <v>17.194666967070201</v>
      </c>
      <c r="N2611">
        <v>56.446427213660797</v>
      </c>
      <c r="O2611">
        <v>55.699532902678399</v>
      </c>
      <c r="P2611">
        <v>-7.7180548745773903E-2</v>
      </c>
      <c r="Q2611">
        <v>0</v>
      </c>
      <c r="R2611">
        <v>0.97371982158497805</v>
      </c>
      <c r="S2611" t="s">
        <v>9179</v>
      </c>
      <c r="T2611" t="s">
        <v>13134</v>
      </c>
      <c r="U2611" t="s">
        <v>13134</v>
      </c>
      <c r="V2611" t="s">
        <v>13134</v>
      </c>
      <c r="W2611" t="s">
        <v>15697</v>
      </c>
      <c r="X2611">
        <v>23</v>
      </c>
      <c r="Y2611" t="s">
        <v>22138</v>
      </c>
      <c r="Z2611" t="s">
        <v>28579</v>
      </c>
      <c r="AA2611">
        <v>0.65850099115116456</v>
      </c>
      <c r="AB2611" t="str">
        <f>HYPERLINK("Melting_Curves/meltCurve_P40925_MDH1.pdf", "Melting_Curves/meltCurve_P40925_MDH1.pdf")</f>
        <v>Melting_Curves/meltCurve_P40925_MDH1.pdf</v>
      </c>
    </row>
    <row r="2612" spans="1:28" x14ac:dyDescent="0.25">
      <c r="A2612" t="s">
        <v>2616</v>
      </c>
      <c r="B2612">
        <v>0.99472303558308395</v>
      </c>
      <c r="C2612">
        <v>0.94313813305821803</v>
      </c>
      <c r="D2612">
        <v>1.0064093244998999</v>
      </c>
      <c r="E2612">
        <v>0.96485584226384602</v>
      </c>
      <c r="F2612">
        <v>0.78773590250494896</v>
      </c>
      <c r="G2612">
        <v>0.791493301104919</v>
      </c>
      <c r="H2612">
        <v>0.60006120386186201</v>
      </c>
      <c r="I2612">
        <v>0.53304769991541001</v>
      </c>
      <c r="J2612">
        <v>0.19096950055880299</v>
      </c>
      <c r="K2612">
        <v>0.13122995714929001</v>
      </c>
      <c r="L2612">
        <v>731.85195076720095</v>
      </c>
      <c r="M2612">
        <v>12.3795394916442</v>
      </c>
      <c r="N2612">
        <v>59.117865558905002</v>
      </c>
      <c r="O2612">
        <v>57.638774485451599</v>
      </c>
      <c r="P2612">
        <v>-5.3705959900461203E-2</v>
      </c>
      <c r="Q2612">
        <v>0</v>
      </c>
      <c r="R2612">
        <v>0.95437997204915903</v>
      </c>
      <c r="S2612" t="s">
        <v>9180</v>
      </c>
      <c r="T2612" t="s">
        <v>13134</v>
      </c>
      <c r="U2612" t="s">
        <v>13134</v>
      </c>
      <c r="V2612" t="s">
        <v>13134</v>
      </c>
      <c r="W2612" t="s">
        <v>15698</v>
      </c>
      <c r="X2612">
        <v>33</v>
      </c>
      <c r="Y2612" t="s">
        <v>22139</v>
      </c>
      <c r="Z2612" t="s">
        <v>28580</v>
      </c>
      <c r="AA2612">
        <v>0.72939405520582024</v>
      </c>
      <c r="AB2612" t="str">
        <f>HYPERLINK("Melting_Curves/meltCurve_P40926_MDH2.pdf", "Melting_Curves/meltCurve_P40926_MDH2.pdf")</f>
        <v>Melting_Curves/meltCurve_P40926_MDH2.pdf</v>
      </c>
    </row>
    <row r="2613" spans="1:28" x14ac:dyDescent="0.25">
      <c r="A2613" t="s">
        <v>2617</v>
      </c>
      <c r="B2613">
        <v>0.99472303558308395</v>
      </c>
      <c r="C2613">
        <v>1.0319560699597901</v>
      </c>
      <c r="D2613">
        <v>0.92960377402989203</v>
      </c>
      <c r="E2613">
        <v>0.86301103111111099</v>
      </c>
      <c r="F2613">
        <v>0.55198117091309795</v>
      </c>
      <c r="G2613">
        <v>0.15529650283197699</v>
      </c>
      <c r="H2613">
        <v>6.8270931422312997E-2</v>
      </c>
      <c r="I2613">
        <v>5.7510196715484699E-2</v>
      </c>
      <c r="J2613">
        <v>5.9069146814500401E-2</v>
      </c>
      <c r="K2613">
        <v>5.6258532991731697E-2</v>
      </c>
      <c r="L2613">
        <v>1302.25953440634</v>
      </c>
      <c r="M2613">
        <v>25.941666927756302</v>
      </c>
      <c r="N2613">
        <v>50.378283596334803</v>
      </c>
      <c r="O2613">
        <v>49.904078540769198</v>
      </c>
      <c r="P2613">
        <v>-0.12424505363084901</v>
      </c>
      <c r="Q2613">
        <v>4.3968467604138597E-2</v>
      </c>
      <c r="R2613">
        <v>0.99574945157171002</v>
      </c>
      <c r="S2613" t="s">
        <v>9181</v>
      </c>
      <c r="T2613" t="s">
        <v>13134</v>
      </c>
      <c r="U2613" t="s">
        <v>13134</v>
      </c>
      <c r="V2613" t="s">
        <v>13134</v>
      </c>
      <c r="W2613" t="s">
        <v>15699</v>
      </c>
      <c r="X2613">
        <v>13</v>
      </c>
      <c r="Y2613" t="s">
        <v>22140</v>
      </c>
      <c r="Z2613" t="s">
        <v>28581</v>
      </c>
      <c r="AA2613">
        <v>0.47241521818309218</v>
      </c>
      <c r="AB2613" t="str">
        <f>HYPERLINK("Melting_Curves/meltCurve_P40937_RFC5.pdf", "Melting_Curves/meltCurve_P40937_RFC5.pdf")</f>
        <v>Melting_Curves/meltCurve_P40937_RFC5.pdf</v>
      </c>
    </row>
    <row r="2614" spans="1:28" x14ac:dyDescent="0.25">
      <c r="A2614" t="s">
        <v>2618</v>
      </c>
      <c r="B2614">
        <v>0.99472303558308395</v>
      </c>
      <c r="C2614">
        <v>0.90964072165196397</v>
      </c>
      <c r="D2614">
        <v>0.93347027417850104</v>
      </c>
      <c r="E2614">
        <v>0.84478884494765405</v>
      </c>
      <c r="F2614">
        <v>0.42571647470787199</v>
      </c>
      <c r="G2614">
        <v>0.11996243848937201</v>
      </c>
      <c r="H2614">
        <v>6.3372495164253306E-2</v>
      </c>
      <c r="I2614">
        <v>4.4153522184130198E-2</v>
      </c>
      <c r="J2614">
        <v>3.9425284700841702E-2</v>
      </c>
      <c r="K2614">
        <v>3.2138865704196398E-2</v>
      </c>
      <c r="L2614">
        <v>1284.03350861026</v>
      </c>
      <c r="M2614">
        <v>25.977641784057798</v>
      </c>
      <c r="N2614">
        <v>49.557520681195598</v>
      </c>
      <c r="O2614">
        <v>49.1382792239651</v>
      </c>
      <c r="P2614">
        <v>-0.12784300222443301</v>
      </c>
      <c r="Q2614">
        <v>3.27198703962319E-2</v>
      </c>
      <c r="R2614">
        <v>0.99365898632499405</v>
      </c>
      <c r="S2614" t="s">
        <v>9182</v>
      </c>
      <c r="T2614" t="s">
        <v>13134</v>
      </c>
      <c r="U2614" t="s">
        <v>13134</v>
      </c>
      <c r="V2614" t="s">
        <v>13134</v>
      </c>
      <c r="W2614" t="s">
        <v>15700</v>
      </c>
      <c r="X2614">
        <v>10</v>
      </c>
      <c r="Y2614" t="s">
        <v>22141</v>
      </c>
      <c r="Z2614" t="s">
        <v>28582</v>
      </c>
      <c r="AA2614">
        <v>0.44124740554306729</v>
      </c>
      <c r="AB2614" t="str">
        <f>HYPERLINK("Melting_Curves/meltCurve_P40938_RFC3.pdf", "Melting_Curves/meltCurve_P40938_RFC3.pdf")</f>
        <v>Melting_Curves/meltCurve_P40938_RFC3.pdf</v>
      </c>
    </row>
    <row r="2615" spans="1:28" x14ac:dyDescent="0.25">
      <c r="A2615" t="s">
        <v>2619</v>
      </c>
      <c r="B2615">
        <v>0.99472303558308395</v>
      </c>
      <c r="C2615">
        <v>0.93355981064470095</v>
      </c>
      <c r="D2615">
        <v>0.87136676793073797</v>
      </c>
      <c r="E2615">
        <v>0.77990828540060397</v>
      </c>
      <c r="F2615">
        <v>0.211572130568873</v>
      </c>
      <c r="G2615">
        <v>7.4938463806311806E-2</v>
      </c>
      <c r="H2615">
        <v>4.8074802251044498E-2</v>
      </c>
      <c r="I2615">
        <v>3.7614062356715397E-2</v>
      </c>
      <c r="J2615">
        <v>4.2065884774656601E-2</v>
      </c>
      <c r="K2615">
        <v>3.8401495900646801E-2</v>
      </c>
      <c r="L2615">
        <v>1596.9892372992099</v>
      </c>
      <c r="M2615">
        <v>33.2041310766188</v>
      </c>
      <c r="N2615">
        <v>48.215180688644203</v>
      </c>
      <c r="O2615">
        <v>47.922654085911503</v>
      </c>
      <c r="P2615">
        <v>-0.16639900736903901</v>
      </c>
      <c r="Q2615">
        <v>3.9366863500607502E-2</v>
      </c>
      <c r="R2615">
        <v>0.98940473796299799</v>
      </c>
      <c r="S2615" t="s">
        <v>9183</v>
      </c>
      <c r="T2615" t="s">
        <v>13134</v>
      </c>
      <c r="U2615" t="s">
        <v>13134</v>
      </c>
      <c r="V2615" t="s">
        <v>13134</v>
      </c>
      <c r="W2615" t="s">
        <v>15701</v>
      </c>
      <c r="X2615">
        <v>44</v>
      </c>
      <c r="Y2615" t="s">
        <v>22142</v>
      </c>
      <c r="Z2615" t="s">
        <v>28583</v>
      </c>
      <c r="AA2615">
        <v>0.39932398384675372</v>
      </c>
      <c r="AB2615" t="str">
        <f>HYPERLINK("Melting_Curves/meltCurve_P40939_HADHA.pdf", "Melting_Curves/meltCurve_P40939_HADHA.pdf")</f>
        <v>Melting_Curves/meltCurve_P40939_HADHA.pdf</v>
      </c>
    </row>
    <row r="2616" spans="1:28" x14ac:dyDescent="0.25">
      <c r="A2616" t="s">
        <v>2620</v>
      </c>
      <c r="B2616">
        <v>0.99472303558308395</v>
      </c>
      <c r="C2616">
        <v>0.98156574351618497</v>
      </c>
      <c r="D2616">
        <v>0.95811077444202897</v>
      </c>
      <c r="E2616">
        <v>0.89911094053341301</v>
      </c>
      <c r="F2616">
        <v>0.73231259896260903</v>
      </c>
      <c r="G2616">
        <v>0.52197509230695804</v>
      </c>
      <c r="H2616">
        <v>0.19607106276179301</v>
      </c>
      <c r="I2616">
        <v>8.3496026727415906E-2</v>
      </c>
      <c r="J2616">
        <v>4.8968881877019699E-2</v>
      </c>
      <c r="K2616">
        <v>4.9991601148447501E-2</v>
      </c>
      <c r="L2616">
        <v>912.38942736962201</v>
      </c>
      <c r="M2616">
        <v>17.088123890287399</v>
      </c>
      <c r="N2616">
        <v>53.393188899697002</v>
      </c>
      <c r="O2616">
        <v>52.678056604497101</v>
      </c>
      <c r="P2616">
        <v>-8.1101884456901696E-2</v>
      </c>
      <c r="Q2616">
        <v>0</v>
      </c>
      <c r="R2616">
        <v>0.99548774436566101</v>
      </c>
      <c r="S2616" t="s">
        <v>9184</v>
      </c>
      <c r="T2616" t="s">
        <v>13134</v>
      </c>
      <c r="U2616" t="s">
        <v>13134</v>
      </c>
      <c r="V2616" t="s">
        <v>13134</v>
      </c>
      <c r="W2616" t="s">
        <v>15702</v>
      </c>
      <c r="X2616">
        <v>28</v>
      </c>
      <c r="Y2616" t="s">
        <v>22143</v>
      </c>
      <c r="Z2616" t="s">
        <v>28584</v>
      </c>
      <c r="AA2616">
        <v>0.56158015070889433</v>
      </c>
      <c r="AB2616" t="str">
        <f>HYPERLINK("Melting_Curves/meltCurve_P41091_EIF2S3.pdf", "Melting_Curves/meltCurve_P41091_EIF2S3.pdf")</f>
        <v>Melting_Curves/meltCurve_P41091_EIF2S3.pdf</v>
      </c>
    </row>
    <row r="2617" spans="1:28" x14ac:dyDescent="0.25">
      <c r="A2617" t="s">
        <v>2621</v>
      </c>
      <c r="B2617">
        <v>0.99472303558308395</v>
      </c>
      <c r="C2617">
        <v>0.95335641135673099</v>
      </c>
      <c r="D2617">
        <v>0.83641223856913205</v>
      </c>
      <c r="E2617">
        <v>0.50346867769256998</v>
      </c>
      <c r="F2617">
        <v>0.231540236154958</v>
      </c>
      <c r="G2617">
        <v>0.16076614683829901</v>
      </c>
      <c r="H2617">
        <v>0.115674586134771</v>
      </c>
      <c r="I2617">
        <v>0.115943195928065</v>
      </c>
      <c r="J2617">
        <v>0.121273195210712</v>
      </c>
      <c r="K2617">
        <v>0.12828485314069499</v>
      </c>
      <c r="L2617">
        <v>981.31456794688404</v>
      </c>
      <c r="M2617">
        <v>21.3369507915755</v>
      </c>
      <c r="N2617">
        <v>46.564527781829</v>
      </c>
      <c r="O2617">
        <v>45.5930573671193</v>
      </c>
      <c r="P2617">
        <v>-0.103486611662263</v>
      </c>
      <c r="Q2617">
        <v>0.115496461776325</v>
      </c>
      <c r="R2617">
        <v>0.99942447214695596</v>
      </c>
      <c r="S2617" t="s">
        <v>9185</v>
      </c>
      <c r="T2617" t="s">
        <v>13134</v>
      </c>
      <c r="U2617" t="s">
        <v>13134</v>
      </c>
      <c r="V2617" t="s">
        <v>13134</v>
      </c>
      <c r="W2617" t="s">
        <v>15703</v>
      </c>
      <c r="X2617">
        <v>3</v>
      </c>
      <c r="Y2617" t="s">
        <v>22144</v>
      </c>
      <c r="Z2617" t="s">
        <v>28585</v>
      </c>
      <c r="AA2617">
        <v>0.39072829992143188</v>
      </c>
      <c r="AB2617" t="str">
        <f>HYPERLINK("Melting_Curves/meltCurve_P41134_2_ID1.pdf", "Melting_Curves/meltCurve_P41134_2_ID1.pdf")</f>
        <v>Melting_Curves/meltCurve_P41134_2_ID1.pdf</v>
      </c>
    </row>
    <row r="2618" spans="1:28" x14ac:dyDescent="0.25">
      <c r="A2618" t="s">
        <v>2622</v>
      </c>
      <c r="B2618">
        <v>0.99472303558308395</v>
      </c>
      <c r="C2618">
        <v>0.92824805071725602</v>
      </c>
      <c r="D2618">
        <v>0.87537879942796404</v>
      </c>
      <c r="E2618">
        <v>0.75523598712685003</v>
      </c>
      <c r="F2618">
        <v>0.65618967305197695</v>
      </c>
      <c r="G2618">
        <v>0.64713088018896803</v>
      </c>
      <c r="H2618">
        <v>0.76481797846456001</v>
      </c>
      <c r="I2618">
        <v>0.97158817888872195</v>
      </c>
      <c r="J2618">
        <v>1.5021853694471901</v>
      </c>
      <c r="K2618">
        <v>1.2270046562299399</v>
      </c>
      <c r="L2618">
        <v>15000</v>
      </c>
      <c r="M2618">
        <v>240.71556119017899</v>
      </c>
      <c r="O2618">
        <v>62.309908689782198</v>
      </c>
      <c r="P2618">
        <v>0.35217787479485502</v>
      </c>
      <c r="Q2618">
        <v>1.36464898364137</v>
      </c>
      <c r="R2618">
        <v>0.34477415349025198</v>
      </c>
      <c r="S2618" t="s">
        <v>9186</v>
      </c>
      <c r="T2618" t="s">
        <v>13134</v>
      </c>
      <c r="U2618" t="s">
        <v>13134</v>
      </c>
      <c r="V2618" t="s">
        <v>13134</v>
      </c>
      <c r="W2618" t="s">
        <v>15704</v>
      </c>
      <c r="X2618">
        <v>8</v>
      </c>
      <c r="Y2618" t="s">
        <v>22145</v>
      </c>
      <c r="Z2618" t="s">
        <v>28586</v>
      </c>
      <c r="AA2618">
        <v>1.0569126059364331</v>
      </c>
      <c r="AB2618" t="str">
        <f>HYPERLINK("Melting_Curves/meltCurve_P41208_CETN2.pdf", "Melting_Curves/meltCurve_P41208_CETN2.pdf")</f>
        <v>Melting_Curves/meltCurve_P41208_CETN2.pdf</v>
      </c>
    </row>
    <row r="2619" spans="1:28" x14ac:dyDescent="0.25">
      <c r="A2619" t="s">
        <v>2623</v>
      </c>
      <c r="B2619">
        <v>0.99472303558308395</v>
      </c>
      <c r="C2619">
        <v>0.977717300592164</v>
      </c>
      <c r="D2619">
        <v>0.97378583311651001</v>
      </c>
      <c r="E2619">
        <v>0.57329929009235703</v>
      </c>
      <c r="F2619">
        <v>0.205690742202433</v>
      </c>
      <c r="G2619">
        <v>0.13007541017892399</v>
      </c>
      <c r="H2619">
        <v>0.100641297951343</v>
      </c>
      <c r="I2619">
        <v>8.7975477217861406E-2</v>
      </c>
      <c r="J2619">
        <v>0.105410120608656</v>
      </c>
      <c r="K2619">
        <v>6.6665921571898296E-2</v>
      </c>
      <c r="L2619">
        <v>1451.97301578777</v>
      </c>
      <c r="M2619">
        <v>30.9960048616203</v>
      </c>
      <c r="N2619">
        <v>47.164674165601902</v>
      </c>
      <c r="O2619">
        <v>46.6501888720015</v>
      </c>
      <c r="P2619">
        <v>-0.15032227658411301</v>
      </c>
      <c r="Q2619">
        <v>9.5041763543777094E-2</v>
      </c>
      <c r="R2619">
        <v>0.99828690168821999</v>
      </c>
      <c r="S2619" t="s">
        <v>9187</v>
      </c>
      <c r="T2619" t="s">
        <v>13134</v>
      </c>
      <c r="U2619" t="s">
        <v>13134</v>
      </c>
      <c r="V2619" t="s">
        <v>13134</v>
      </c>
      <c r="W2619" t="s">
        <v>15705</v>
      </c>
      <c r="X2619">
        <v>16</v>
      </c>
      <c r="Y2619" t="s">
        <v>22146</v>
      </c>
      <c r="Z2619" t="s">
        <v>28587</v>
      </c>
      <c r="AA2619">
        <v>0.39689355936469178</v>
      </c>
      <c r="AB2619" t="str">
        <f>HYPERLINK("Melting_Curves/meltCurve_P41214_EIF2D.pdf", "Melting_Curves/meltCurve_P41214_EIF2D.pdf")</f>
        <v>Melting_Curves/meltCurve_P41214_EIF2D.pdf</v>
      </c>
    </row>
    <row r="2620" spans="1:28" x14ac:dyDescent="0.25">
      <c r="A2620" t="s">
        <v>2624</v>
      </c>
      <c r="B2620">
        <v>0.99472303558308395</v>
      </c>
      <c r="C2620">
        <v>0.91971396660445104</v>
      </c>
      <c r="D2620">
        <v>1.1163303356043099</v>
      </c>
      <c r="E2620">
        <v>1.00023831338152</v>
      </c>
      <c r="F2620">
        <v>0.53800236359204001</v>
      </c>
      <c r="G2620">
        <v>0.24893504209671799</v>
      </c>
      <c r="H2620">
        <v>8.0993840134327505E-2</v>
      </c>
      <c r="I2620">
        <v>5.0729535208344001E-2</v>
      </c>
      <c r="J2620">
        <v>5.2480727502987302E-2</v>
      </c>
      <c r="K2620">
        <v>4.0791684531920898E-2</v>
      </c>
      <c r="L2620">
        <v>1507.3935427625099</v>
      </c>
      <c r="M2620">
        <v>29.779153785565299</v>
      </c>
      <c r="N2620">
        <v>50.818832282135801</v>
      </c>
      <c r="O2620">
        <v>50.392465020604497</v>
      </c>
      <c r="P2620">
        <v>-0.13957768581389801</v>
      </c>
      <c r="Q2620">
        <v>5.5229512745692197E-2</v>
      </c>
      <c r="R2620">
        <v>0.98353040703105099</v>
      </c>
      <c r="S2620" t="s">
        <v>9188</v>
      </c>
      <c r="T2620" t="s">
        <v>13134</v>
      </c>
      <c r="U2620" t="s">
        <v>13134</v>
      </c>
      <c r="V2620" t="s">
        <v>13134</v>
      </c>
      <c r="W2620" t="s">
        <v>15706</v>
      </c>
      <c r="X2620">
        <v>11</v>
      </c>
      <c r="Y2620" t="s">
        <v>22147</v>
      </c>
      <c r="Z2620" t="s">
        <v>28588</v>
      </c>
      <c r="AA2620">
        <v>0.49006526204125828</v>
      </c>
      <c r="AB2620" t="str">
        <f>HYPERLINK("Melting_Curves/meltCurve_P41223_BUD31.pdf", "Melting_Curves/meltCurve_P41223_BUD31.pdf")</f>
        <v>Melting_Curves/meltCurve_P41223_BUD31.pdf</v>
      </c>
    </row>
    <row r="2621" spans="1:28" x14ac:dyDescent="0.25">
      <c r="A2621" t="s">
        <v>2625</v>
      </c>
      <c r="B2621">
        <v>0.99472303558308395</v>
      </c>
      <c r="C2621">
        <v>0.93059391142620795</v>
      </c>
      <c r="D2621">
        <v>0.939633581138277</v>
      </c>
      <c r="E2621">
        <v>0.83273801682760595</v>
      </c>
      <c r="F2621">
        <v>0.635653210375693</v>
      </c>
      <c r="G2621">
        <v>0.28252287139132898</v>
      </c>
      <c r="H2621">
        <v>6.39555751440022E-2</v>
      </c>
      <c r="I2621">
        <v>3.9721560553177999E-2</v>
      </c>
      <c r="J2621">
        <v>4.5292051897059198E-2</v>
      </c>
      <c r="K2621">
        <v>3.9031476288999403E-2</v>
      </c>
      <c r="L2621">
        <v>988.553444982727</v>
      </c>
      <c r="M2621">
        <v>19.322673261770799</v>
      </c>
      <c r="N2621">
        <v>51.191126538602198</v>
      </c>
      <c r="O2621">
        <v>50.621773378581103</v>
      </c>
      <c r="P2621">
        <v>-9.4877971835769903E-2</v>
      </c>
      <c r="Q2621">
        <v>5.7872143602135696E-3</v>
      </c>
      <c r="R2621">
        <v>0.99247567357349398</v>
      </c>
      <c r="S2621" t="s">
        <v>9189</v>
      </c>
      <c r="T2621" t="s">
        <v>13134</v>
      </c>
      <c r="U2621" t="s">
        <v>13134</v>
      </c>
      <c r="V2621" t="s">
        <v>13134</v>
      </c>
      <c r="W2621" t="s">
        <v>15707</v>
      </c>
      <c r="X2621">
        <v>18</v>
      </c>
      <c r="Y2621" t="s">
        <v>22148</v>
      </c>
      <c r="Z2621" t="s">
        <v>28589</v>
      </c>
      <c r="AA2621">
        <v>0.48881288131258738</v>
      </c>
      <c r="AB2621" t="str">
        <f>HYPERLINK("Melting_Curves/meltCurve_P41227_NAA10.pdf", "Melting_Curves/meltCurve_P41227_NAA10.pdf")</f>
        <v>Melting_Curves/meltCurve_P41227_NAA10.pdf</v>
      </c>
    </row>
    <row r="2622" spans="1:28" x14ac:dyDescent="0.25">
      <c r="A2622" t="s">
        <v>2626</v>
      </c>
      <c r="B2622">
        <v>0.99472303558308395</v>
      </c>
      <c r="C2622">
        <v>1.01681117140848</v>
      </c>
      <c r="D2622">
        <v>0.87589190075765699</v>
      </c>
      <c r="E2622">
        <v>0.67476899394939505</v>
      </c>
      <c r="F2622">
        <v>0.21315856012409101</v>
      </c>
      <c r="G2622">
        <v>9.9446395099249296E-2</v>
      </c>
      <c r="H2622">
        <v>6.3978303502866499E-2</v>
      </c>
      <c r="I2622">
        <v>4.6811836640818699E-2</v>
      </c>
      <c r="J2622">
        <v>4.7450228530341899E-2</v>
      </c>
      <c r="K2622">
        <v>4.3458018436986899E-2</v>
      </c>
      <c r="L2622">
        <v>1199.15879933723</v>
      </c>
      <c r="M2622">
        <v>25.225783436463399</v>
      </c>
      <c r="N2622">
        <v>47.711304737925701</v>
      </c>
      <c r="O2622">
        <v>47.241307077278698</v>
      </c>
      <c r="P2622">
        <v>-0.12762060710461401</v>
      </c>
      <c r="Q2622">
        <v>4.4012079401475203E-2</v>
      </c>
      <c r="R2622">
        <v>0.99601626313603397</v>
      </c>
      <c r="S2622" t="s">
        <v>9190</v>
      </c>
      <c r="T2622" t="s">
        <v>13134</v>
      </c>
      <c r="U2622" t="s">
        <v>13134</v>
      </c>
      <c r="V2622" t="s">
        <v>13134</v>
      </c>
      <c r="W2622" t="s">
        <v>15708</v>
      </c>
      <c r="X2622">
        <v>28</v>
      </c>
      <c r="Y2622" t="s">
        <v>22149</v>
      </c>
      <c r="Z2622" t="s">
        <v>28590</v>
      </c>
      <c r="AA2622">
        <v>0.38773572782920862</v>
      </c>
      <c r="AB2622" t="str">
        <f>HYPERLINK("Melting_Curves/meltCurve_P41229_2_KDM5C.pdf", "Melting_Curves/meltCurve_P41229_2_KDM5C.pdf")</f>
        <v>Melting_Curves/meltCurve_P41229_2_KDM5C.pdf</v>
      </c>
    </row>
    <row r="2623" spans="1:28" x14ac:dyDescent="0.25">
      <c r="A2623" t="s">
        <v>2627</v>
      </c>
      <c r="B2623">
        <v>0.99472303558308395</v>
      </c>
      <c r="C2623">
        <v>0.99961390045950405</v>
      </c>
      <c r="D2623">
        <v>0.98944238416224695</v>
      </c>
      <c r="E2623">
        <v>0.88093489239307698</v>
      </c>
      <c r="F2623">
        <v>0.68131591314634199</v>
      </c>
      <c r="G2623">
        <v>0.57729526188550195</v>
      </c>
      <c r="H2623">
        <v>0.56245752610577604</v>
      </c>
      <c r="I2623">
        <v>0.62183221798450095</v>
      </c>
      <c r="J2623">
        <v>0.939109993614892</v>
      </c>
      <c r="K2623">
        <v>0.59765514485840199</v>
      </c>
      <c r="L2623">
        <v>2411.33300909538</v>
      </c>
      <c r="M2623">
        <v>51.1288123447601</v>
      </c>
      <c r="O2623">
        <v>47.0899406426254</v>
      </c>
      <c r="P2623">
        <v>-9.2104452028278896E-2</v>
      </c>
      <c r="Q2623">
        <v>0.66068526900153901</v>
      </c>
      <c r="R2623">
        <v>0.69737199076093803</v>
      </c>
      <c r="S2623" t="s">
        <v>9191</v>
      </c>
      <c r="T2623" t="s">
        <v>13134</v>
      </c>
      <c r="U2623" t="s">
        <v>13134</v>
      </c>
      <c r="V2623" t="s">
        <v>13134</v>
      </c>
      <c r="W2623" t="s">
        <v>15709</v>
      </c>
      <c r="X2623">
        <v>11</v>
      </c>
      <c r="Y2623" t="s">
        <v>22150</v>
      </c>
      <c r="Z2623" t="s">
        <v>28591</v>
      </c>
      <c r="AA2623">
        <v>0.77629648129698003</v>
      </c>
      <c r="AB2623" t="str">
        <f>HYPERLINK("Melting_Curves/meltCurve_P41236_PPP1R2.pdf", "Melting_Curves/meltCurve_P41236_PPP1R2.pdf")</f>
        <v>Melting_Curves/meltCurve_P41236_PPP1R2.pdf</v>
      </c>
    </row>
    <row r="2624" spans="1:28" x14ac:dyDescent="0.25">
      <c r="A2624" t="s">
        <v>2628</v>
      </c>
      <c r="B2624">
        <v>0.99472303558308395</v>
      </c>
      <c r="C2624">
        <v>0.97295184509325605</v>
      </c>
      <c r="D2624">
        <v>0.97589474932279197</v>
      </c>
      <c r="E2624">
        <v>0.83840859185238303</v>
      </c>
      <c r="F2624">
        <v>0.34670126801338602</v>
      </c>
      <c r="G2624">
        <v>9.9567098896827799E-2</v>
      </c>
      <c r="H2624">
        <v>6.2948630410955497E-2</v>
      </c>
      <c r="I2624">
        <v>4.9799825469373199E-2</v>
      </c>
      <c r="J2624">
        <v>5.39792912448483E-2</v>
      </c>
      <c r="K2624">
        <v>4.7735465158681399E-2</v>
      </c>
      <c r="L2624">
        <v>1532.2279996106299</v>
      </c>
      <c r="M2624">
        <v>31.311400378686599</v>
      </c>
      <c r="N2624">
        <v>49.100004111915901</v>
      </c>
      <c r="O2624">
        <v>48.736845723938202</v>
      </c>
      <c r="P2624">
        <v>-0.15260145156881399</v>
      </c>
      <c r="Q2624">
        <v>4.9895970671887203E-2</v>
      </c>
      <c r="R2624">
        <v>0.99948624188393698</v>
      </c>
      <c r="S2624" t="s">
        <v>9192</v>
      </c>
      <c r="T2624" t="s">
        <v>13134</v>
      </c>
      <c r="U2624" t="s">
        <v>13134</v>
      </c>
      <c r="V2624" t="s">
        <v>13134</v>
      </c>
      <c r="W2624" t="s">
        <v>15710</v>
      </c>
      <c r="X2624">
        <v>23</v>
      </c>
      <c r="Y2624" t="s">
        <v>22151</v>
      </c>
      <c r="Z2624" t="s">
        <v>28592</v>
      </c>
      <c r="AA2624">
        <v>0.43313904794856017</v>
      </c>
      <c r="AB2624" t="str">
        <f>HYPERLINK("Melting_Curves/meltCurve_P41240_CSK.pdf", "Melting_Curves/meltCurve_P41240_CSK.pdf")</f>
        <v>Melting_Curves/meltCurve_P41240_CSK.pdf</v>
      </c>
    </row>
    <row r="2625" spans="1:28" x14ac:dyDescent="0.25">
      <c r="A2625" t="s">
        <v>2629</v>
      </c>
      <c r="B2625">
        <v>0.99472303558308395</v>
      </c>
      <c r="C2625">
        <v>0.77755108740733303</v>
      </c>
      <c r="D2625">
        <v>0.93921659734552299</v>
      </c>
      <c r="E2625">
        <v>0.71127871375698604</v>
      </c>
      <c r="F2625">
        <v>0.313925405255078</v>
      </c>
      <c r="G2625">
        <v>0.187842808995207</v>
      </c>
      <c r="H2625">
        <v>3.0006359640928602E-2</v>
      </c>
      <c r="I2625">
        <v>1.6940254403730402E-2</v>
      </c>
      <c r="J2625">
        <v>4.6047805890335101E-2</v>
      </c>
      <c r="K2625">
        <v>3.8017867088058398E-2</v>
      </c>
      <c r="L2625">
        <v>869.87007874399399</v>
      </c>
      <c r="M2625">
        <v>17.963373910084702</v>
      </c>
      <c r="N2625">
        <v>48.492102190785197</v>
      </c>
      <c r="O2625">
        <v>47.836486568593301</v>
      </c>
      <c r="P2625">
        <v>-9.2725296582351596E-2</v>
      </c>
      <c r="Q2625">
        <v>1.2338795510288599E-2</v>
      </c>
      <c r="R2625">
        <v>0.96702854868497401</v>
      </c>
      <c r="S2625" t="s">
        <v>9193</v>
      </c>
      <c r="T2625" t="s">
        <v>13134</v>
      </c>
      <c r="U2625" t="s">
        <v>13134</v>
      </c>
      <c r="V2625" t="s">
        <v>13134</v>
      </c>
      <c r="W2625" t="s">
        <v>15711</v>
      </c>
      <c r="X2625">
        <v>4</v>
      </c>
      <c r="Y2625" t="s">
        <v>22152</v>
      </c>
      <c r="Z2625" t="s">
        <v>28593</v>
      </c>
      <c r="AA2625">
        <v>0.4042748221346274</v>
      </c>
      <c r="AB2625" t="str">
        <f>HYPERLINK("Melting_Curves/meltCurve_P41247_PNPLA4.pdf", "Melting_Curves/meltCurve_P41247_PNPLA4.pdf")</f>
        <v>Melting_Curves/meltCurve_P41247_PNPLA4.pdf</v>
      </c>
    </row>
    <row r="2626" spans="1:28" x14ac:dyDescent="0.25">
      <c r="A2626" t="s">
        <v>2630</v>
      </c>
      <c r="B2626">
        <v>0.99472303558308395</v>
      </c>
      <c r="C2626">
        <v>0.97301494221420703</v>
      </c>
      <c r="D2626">
        <v>0.92824150601604105</v>
      </c>
      <c r="E2626">
        <v>0.874240177492003</v>
      </c>
      <c r="F2626">
        <v>0.80486186096363399</v>
      </c>
      <c r="G2626">
        <v>0.60470826927995802</v>
      </c>
      <c r="H2626">
        <v>0.50529576668203602</v>
      </c>
      <c r="I2626">
        <v>0.45328335278063703</v>
      </c>
      <c r="J2626">
        <v>0.65170917081284097</v>
      </c>
      <c r="K2626">
        <v>0.33390022040364298</v>
      </c>
      <c r="L2626">
        <v>656.51829002468605</v>
      </c>
      <c r="M2626">
        <v>12.7644955667324</v>
      </c>
      <c r="N2626">
        <v>60.179040911860803</v>
      </c>
      <c r="O2626">
        <v>50.219825466839403</v>
      </c>
      <c r="P2626">
        <v>-3.6748907429837697E-2</v>
      </c>
      <c r="Q2626">
        <v>0.42177947822234801</v>
      </c>
      <c r="R2626">
        <v>0.88868414622020897</v>
      </c>
      <c r="S2626" t="s">
        <v>9194</v>
      </c>
      <c r="T2626" t="s">
        <v>13134</v>
      </c>
      <c r="U2626" t="s">
        <v>13134</v>
      </c>
      <c r="V2626" t="s">
        <v>13134</v>
      </c>
      <c r="W2626" t="s">
        <v>15712</v>
      </c>
      <c r="X2626">
        <v>45</v>
      </c>
      <c r="Y2626" t="s">
        <v>22153</v>
      </c>
      <c r="Z2626" t="s">
        <v>28594</v>
      </c>
      <c r="AA2626">
        <v>0.7136418327089189</v>
      </c>
      <c r="AB2626" t="str">
        <f>HYPERLINK("Melting_Curves/meltCurve_P41250_GARS.pdf", "Melting_Curves/meltCurve_P41250_GARS.pdf")</f>
        <v>Melting_Curves/meltCurve_P41250_GARS.pdf</v>
      </c>
    </row>
    <row r="2627" spans="1:28" x14ac:dyDescent="0.25">
      <c r="A2627" t="s">
        <v>2631</v>
      </c>
      <c r="B2627">
        <v>0.99472303558308395</v>
      </c>
      <c r="C2627">
        <v>0.85341423897108204</v>
      </c>
      <c r="D2627">
        <v>0.58934861013781803</v>
      </c>
      <c r="E2627">
        <v>0.27433380040440303</v>
      </c>
      <c r="F2627">
        <v>0.13738076053447301</v>
      </c>
      <c r="G2627">
        <v>7.0591547446372999E-2</v>
      </c>
      <c r="H2627">
        <v>5.0634652823185397E-2</v>
      </c>
      <c r="I2627">
        <v>3.5092259077876498E-2</v>
      </c>
      <c r="J2627">
        <v>4.4110891369611202E-2</v>
      </c>
      <c r="K2627">
        <v>3.8933917597147302E-2</v>
      </c>
      <c r="L2627">
        <v>794.86259343858899</v>
      </c>
      <c r="M2627">
        <v>18.172393774171599</v>
      </c>
      <c r="N2627">
        <v>43.936464819462898</v>
      </c>
      <c r="O2627">
        <v>43.220763262520499</v>
      </c>
      <c r="P2627">
        <v>-0.101019086881312</v>
      </c>
      <c r="Q2627">
        <v>3.90006682713415E-2</v>
      </c>
      <c r="R2627">
        <v>0.99905589799900996</v>
      </c>
      <c r="S2627" t="s">
        <v>9195</v>
      </c>
      <c r="T2627" t="s">
        <v>13134</v>
      </c>
      <c r="U2627" t="s">
        <v>13134</v>
      </c>
      <c r="V2627" t="s">
        <v>13134</v>
      </c>
      <c r="W2627" t="s">
        <v>15713</v>
      </c>
      <c r="X2627">
        <v>36</v>
      </c>
      <c r="Y2627" t="s">
        <v>22154</v>
      </c>
      <c r="Z2627" t="s">
        <v>28595</v>
      </c>
      <c r="AA2627">
        <v>0.27092700060437541</v>
      </c>
      <c r="AB2627" t="str">
        <f>HYPERLINK("Melting_Curves/meltCurve_P41252_IARS.pdf", "Melting_Curves/meltCurve_P41252_IARS.pdf")</f>
        <v>Melting_Curves/meltCurve_P41252_IARS.pdf</v>
      </c>
    </row>
    <row r="2628" spans="1:28" x14ac:dyDescent="0.25">
      <c r="A2628" t="s">
        <v>2632</v>
      </c>
      <c r="B2628">
        <v>0.99472303558308395</v>
      </c>
      <c r="C2628">
        <v>1.0683249064111999</v>
      </c>
      <c r="D2628">
        <v>0.99879692410429499</v>
      </c>
      <c r="E2628">
        <v>0.91736533778185503</v>
      </c>
      <c r="F2628">
        <v>0.78191739700654805</v>
      </c>
      <c r="G2628">
        <v>0.58219632542622402</v>
      </c>
      <c r="H2628">
        <v>0.40463501030311999</v>
      </c>
      <c r="I2628">
        <v>0.463800583314183</v>
      </c>
      <c r="J2628">
        <v>0.54916915288158397</v>
      </c>
      <c r="K2628">
        <v>0.50227171547939797</v>
      </c>
      <c r="L2628">
        <v>1400.65751889786</v>
      </c>
      <c r="M2628">
        <v>27.685760633449998</v>
      </c>
      <c r="N2628">
        <v>57.159746520573201</v>
      </c>
      <c r="O2628">
        <v>50.3295214393425</v>
      </c>
      <c r="P2628">
        <v>-7.1617084822008598E-2</v>
      </c>
      <c r="Q2628">
        <v>0.479238240723802</v>
      </c>
      <c r="R2628">
        <v>0.96349476967186998</v>
      </c>
      <c r="S2628" t="s">
        <v>9196</v>
      </c>
      <c r="T2628" t="s">
        <v>13134</v>
      </c>
      <c r="U2628" t="s">
        <v>13134</v>
      </c>
      <c r="V2628" t="s">
        <v>13134</v>
      </c>
      <c r="W2628" t="s">
        <v>15714</v>
      </c>
      <c r="X2628">
        <v>11</v>
      </c>
      <c r="Y2628" t="s">
        <v>22155</v>
      </c>
      <c r="Z2628" t="s">
        <v>28596</v>
      </c>
      <c r="AA2628">
        <v>0.71893575741887494</v>
      </c>
      <c r="AB2628" t="str">
        <f>HYPERLINK("Melting_Curves/meltCurve_P41440_SLC19A1.pdf", "Melting_Curves/meltCurve_P41440_SLC19A1.pdf")</f>
        <v>Melting_Curves/meltCurve_P41440_SLC19A1.pdf</v>
      </c>
    </row>
    <row r="2629" spans="1:28" x14ac:dyDescent="0.25">
      <c r="A2629" t="s">
        <v>2633</v>
      </c>
      <c r="B2629">
        <v>0.99472303558308395</v>
      </c>
      <c r="C2629">
        <v>1.01276316909068</v>
      </c>
      <c r="D2629">
        <v>0.94788656167237295</v>
      </c>
      <c r="E2629">
        <v>0.91133145804493598</v>
      </c>
      <c r="F2629">
        <v>0.69175363809054602</v>
      </c>
      <c r="G2629">
        <v>0.58934028527850502</v>
      </c>
      <c r="H2629">
        <v>0.44554615469969699</v>
      </c>
      <c r="I2629">
        <v>0.40988697428103799</v>
      </c>
      <c r="J2629">
        <v>0.398784257134354</v>
      </c>
      <c r="K2629">
        <v>0.231143422983452</v>
      </c>
      <c r="L2629">
        <v>613.09078751920299</v>
      </c>
      <c r="M2629">
        <v>11.588881976337101</v>
      </c>
      <c r="N2629">
        <v>56.150661958839201</v>
      </c>
      <c r="O2629">
        <v>51.401705309303601</v>
      </c>
      <c r="P2629">
        <v>-4.2612011231542402E-2</v>
      </c>
      <c r="Q2629">
        <v>0.24419767549861801</v>
      </c>
      <c r="R2629">
        <v>0.97895727401683397</v>
      </c>
      <c r="S2629" t="s">
        <v>9197</v>
      </c>
      <c r="T2629" t="s">
        <v>13134</v>
      </c>
      <c r="U2629" t="s">
        <v>13134</v>
      </c>
      <c r="V2629" t="s">
        <v>13134</v>
      </c>
      <c r="W2629" t="s">
        <v>15715</v>
      </c>
      <c r="X2629">
        <v>12</v>
      </c>
      <c r="Y2629" t="s">
        <v>22156</v>
      </c>
      <c r="Z2629" t="s">
        <v>28597</v>
      </c>
      <c r="AA2629">
        <v>0.66129217657286532</v>
      </c>
      <c r="AB2629" t="str">
        <f>HYPERLINK("Melting_Curves/meltCurve_P41567_EIF1.pdf", "Melting_Curves/meltCurve_P41567_EIF1.pdf")</f>
        <v>Melting_Curves/meltCurve_P41567_EIF1.pdf</v>
      </c>
    </row>
    <row r="2630" spans="1:28" x14ac:dyDescent="0.25">
      <c r="A2630" t="s">
        <v>2634</v>
      </c>
      <c r="B2630">
        <v>0.99472303558308395</v>
      </c>
      <c r="C2630">
        <v>0.89267864340341896</v>
      </c>
      <c r="D2630">
        <v>0.90339732533555805</v>
      </c>
      <c r="E2630">
        <v>0.76532414197343002</v>
      </c>
      <c r="F2630">
        <v>0.42811783365288603</v>
      </c>
      <c r="G2630">
        <v>0.14616150819513599</v>
      </c>
      <c r="H2630">
        <v>6.3116381848767097E-2</v>
      </c>
      <c r="I2630">
        <v>4.6097254561121098E-2</v>
      </c>
      <c r="J2630">
        <v>5.3013804676587499E-2</v>
      </c>
      <c r="K2630">
        <v>4.3497843639296499E-2</v>
      </c>
      <c r="L2630">
        <v>948.10532567441703</v>
      </c>
      <c r="M2630">
        <v>19.307610503187899</v>
      </c>
      <c r="N2630">
        <v>49.2333810670589</v>
      </c>
      <c r="O2630">
        <v>48.5876073343846</v>
      </c>
      <c r="P2630">
        <v>-9.6914415971857806E-2</v>
      </c>
      <c r="Q2630">
        <v>2.4496137130986001E-2</v>
      </c>
      <c r="R2630">
        <v>0.99137138994617902</v>
      </c>
      <c r="S2630" t="s">
        <v>9198</v>
      </c>
      <c r="T2630" t="s">
        <v>13134</v>
      </c>
      <c r="U2630" t="s">
        <v>13134</v>
      </c>
      <c r="V2630" t="s">
        <v>13134</v>
      </c>
      <c r="W2630" t="s">
        <v>15716</v>
      </c>
      <c r="X2630">
        <v>9</v>
      </c>
      <c r="Y2630" t="s">
        <v>22157</v>
      </c>
      <c r="Z2630" t="s">
        <v>28598</v>
      </c>
      <c r="AA2630">
        <v>0.43181748871107939</v>
      </c>
      <c r="AB2630" t="str">
        <f>HYPERLINK("Melting_Curves/meltCurve_P41743_PRKCI.pdf", "Melting_Curves/meltCurve_P41743_PRKCI.pdf")</f>
        <v>Melting_Curves/meltCurve_P41743_PRKCI.pdf</v>
      </c>
    </row>
    <row r="2631" spans="1:28" x14ac:dyDescent="0.25">
      <c r="A2631" t="s">
        <v>2635</v>
      </c>
      <c r="B2631">
        <v>0.99472303558308395</v>
      </c>
      <c r="C2631">
        <v>0.93648990130314302</v>
      </c>
      <c r="D2631">
        <v>0.75864030913580804</v>
      </c>
      <c r="E2631">
        <v>0.63738645971363295</v>
      </c>
      <c r="F2631">
        <v>0.731582512311443</v>
      </c>
      <c r="G2631">
        <v>0.32265696315550202</v>
      </c>
      <c r="H2631">
        <v>0.27878454907380201</v>
      </c>
      <c r="I2631">
        <v>0.20064351892983201</v>
      </c>
      <c r="J2631">
        <v>0.175824093803405</v>
      </c>
      <c r="K2631">
        <v>0.146870494192609</v>
      </c>
      <c r="L2631">
        <v>418.68362995575501</v>
      </c>
      <c r="M2631">
        <v>8.1436707668257995</v>
      </c>
      <c r="N2631">
        <v>51.412150717832802</v>
      </c>
      <c r="O2631">
        <v>48.590842881267598</v>
      </c>
      <c r="P2631">
        <v>-4.1943540117057698E-2</v>
      </c>
      <c r="Q2631">
        <v>0</v>
      </c>
      <c r="R2631">
        <v>0.94550850263597597</v>
      </c>
      <c r="S2631" t="s">
        <v>9199</v>
      </c>
      <c r="T2631" t="s">
        <v>13134</v>
      </c>
      <c r="U2631" t="s">
        <v>13134</v>
      </c>
      <c r="V2631" t="s">
        <v>13134</v>
      </c>
      <c r="W2631" t="s">
        <v>15717</v>
      </c>
      <c r="X2631">
        <v>9</v>
      </c>
      <c r="Y2631" t="s">
        <v>22158</v>
      </c>
      <c r="Z2631" t="s">
        <v>28599</v>
      </c>
      <c r="AA2631">
        <v>0.51249194699745781</v>
      </c>
      <c r="AB2631" t="str">
        <f>HYPERLINK("Melting_Curves/meltCurve_P42025_ACTR1B.pdf", "Melting_Curves/meltCurve_P42025_ACTR1B.pdf")</f>
        <v>Melting_Curves/meltCurve_P42025_ACTR1B.pdf</v>
      </c>
    </row>
    <row r="2632" spans="1:28" x14ac:dyDescent="0.25">
      <c r="A2632" t="s">
        <v>2636</v>
      </c>
      <c r="B2632">
        <v>0.99472303558308395</v>
      </c>
      <c r="C2632">
        <v>1.6231735223446799</v>
      </c>
      <c r="D2632">
        <v>0.69138414208177801</v>
      </c>
      <c r="E2632">
        <v>0.93607966579185398</v>
      </c>
      <c r="F2632">
        <v>1.9249338477839499</v>
      </c>
      <c r="G2632">
        <v>0.75826191956701505</v>
      </c>
      <c r="H2632">
        <v>0.39101822228337602</v>
      </c>
      <c r="I2632">
        <v>0.32157093231204997</v>
      </c>
      <c r="J2632">
        <v>0.35442191885173102</v>
      </c>
      <c r="K2632">
        <v>0.38806347724241602</v>
      </c>
      <c r="L2632">
        <v>13476.3484344876</v>
      </c>
      <c r="M2632">
        <v>250</v>
      </c>
      <c r="N2632">
        <v>54.187222799592</v>
      </c>
      <c r="O2632">
        <v>53.901945163643198</v>
      </c>
      <c r="P2632">
        <v>-0.73771853248980601</v>
      </c>
      <c r="Q2632">
        <v>0.36376859055182398</v>
      </c>
      <c r="R2632">
        <v>0.51265549007556899</v>
      </c>
      <c r="S2632" t="s">
        <v>9200</v>
      </c>
      <c r="T2632" t="s">
        <v>13134</v>
      </c>
      <c r="U2632" t="s">
        <v>13134</v>
      </c>
      <c r="V2632" t="s">
        <v>13134</v>
      </c>
      <c r="W2632" t="s">
        <v>15718</v>
      </c>
      <c r="X2632">
        <v>5</v>
      </c>
      <c r="Y2632" t="s">
        <v>22159</v>
      </c>
      <c r="Z2632" t="s">
        <v>28600</v>
      </c>
      <c r="AA2632">
        <v>0.72235352953844134</v>
      </c>
      <c r="AB2632" t="str">
        <f>HYPERLINK("Melting_Curves/meltCurve_P42126_2_ECI1.pdf", "Melting_Curves/meltCurve_P42126_2_ECI1.pdf")</f>
        <v>Melting_Curves/meltCurve_P42126_2_ECI1.pdf</v>
      </c>
    </row>
    <row r="2633" spans="1:28" x14ac:dyDescent="0.25">
      <c r="A2633" t="s">
        <v>2637</v>
      </c>
      <c r="B2633">
        <v>0.99472303558308395</v>
      </c>
      <c r="C2633">
        <v>1.0265665465524301</v>
      </c>
      <c r="D2633">
        <v>0.92054914193358095</v>
      </c>
      <c r="E2633">
        <v>0.68853100809454904</v>
      </c>
      <c r="F2633">
        <v>0.43655573135369602</v>
      </c>
      <c r="G2633">
        <v>0.29715070482330702</v>
      </c>
      <c r="H2633">
        <v>0.218079231931605</v>
      </c>
      <c r="I2633">
        <v>0.19585918392864299</v>
      </c>
      <c r="J2633">
        <v>0.24120859997331701</v>
      </c>
      <c r="K2633">
        <v>0.24402611092483401</v>
      </c>
      <c r="L2633">
        <v>975.41956673135996</v>
      </c>
      <c r="M2633">
        <v>20.4604848169717</v>
      </c>
      <c r="N2633">
        <v>49.052483839049103</v>
      </c>
      <c r="O2633">
        <v>47.224935942933499</v>
      </c>
      <c r="P2633">
        <v>-8.4625929678876499E-2</v>
      </c>
      <c r="Q2633">
        <v>0.218721180805067</v>
      </c>
      <c r="R2633">
        <v>0.99580807069148902</v>
      </c>
      <c r="S2633" t="s">
        <v>9201</v>
      </c>
      <c r="T2633" t="s">
        <v>13134</v>
      </c>
      <c r="U2633" t="s">
        <v>13134</v>
      </c>
      <c r="V2633" t="s">
        <v>13134</v>
      </c>
      <c r="W2633" t="s">
        <v>15719</v>
      </c>
      <c r="X2633">
        <v>38</v>
      </c>
      <c r="Y2633" t="s">
        <v>22160</v>
      </c>
      <c r="Z2633" t="s">
        <v>28601</v>
      </c>
      <c r="AA2633">
        <v>0.50649733314077794</v>
      </c>
      <c r="AB2633" t="str">
        <f>HYPERLINK("Melting_Curves/meltCurve_P42166_TMPO.pdf", "Melting_Curves/meltCurve_P42166_TMPO.pdf")</f>
        <v>Melting_Curves/meltCurve_P42166_TMPO.pdf</v>
      </c>
    </row>
    <row r="2634" spans="1:28" x14ac:dyDescent="0.25">
      <c r="A2634" t="s">
        <v>2638</v>
      </c>
      <c r="B2634">
        <v>0.99472303558308395</v>
      </c>
      <c r="C2634">
        <v>0.92958774747624995</v>
      </c>
      <c r="D2634">
        <v>1.0090729387066</v>
      </c>
      <c r="E2634">
        <v>0.87320193689089298</v>
      </c>
      <c r="F2634">
        <v>0.71106570582212203</v>
      </c>
      <c r="G2634">
        <v>0.55795477387899295</v>
      </c>
      <c r="H2634">
        <v>0.38332418439604199</v>
      </c>
      <c r="I2634">
        <v>0.455515696290415</v>
      </c>
      <c r="J2634">
        <v>0.52404330765364204</v>
      </c>
      <c r="K2634">
        <v>0.50953628671000095</v>
      </c>
      <c r="L2634">
        <v>1170.76486127007</v>
      </c>
      <c r="M2634">
        <v>23.653751997590099</v>
      </c>
      <c r="N2634">
        <v>56.002363636444699</v>
      </c>
      <c r="O2634">
        <v>49.146242367289503</v>
      </c>
      <c r="P2634">
        <v>-6.4015961866360702E-2</v>
      </c>
      <c r="Q2634">
        <v>0.46797587936257201</v>
      </c>
      <c r="R2634">
        <v>0.95582554848102097</v>
      </c>
      <c r="S2634" t="s">
        <v>9202</v>
      </c>
      <c r="T2634" t="s">
        <v>13134</v>
      </c>
      <c r="U2634" t="s">
        <v>13134</v>
      </c>
      <c r="V2634" t="s">
        <v>13134</v>
      </c>
      <c r="W2634" t="s">
        <v>15720</v>
      </c>
      <c r="X2634">
        <v>34</v>
      </c>
      <c r="Y2634" t="s">
        <v>22160</v>
      </c>
      <c r="Z2634" t="s">
        <v>28602</v>
      </c>
      <c r="AA2634">
        <v>0.6947236038962058</v>
      </c>
      <c r="AB2634" t="str">
        <f>HYPERLINK("Melting_Curves/meltCurve_P42167_TMPO.pdf", "Melting_Curves/meltCurve_P42167_TMPO.pdf")</f>
        <v>Melting_Curves/meltCurve_P42167_TMPO.pdf</v>
      </c>
    </row>
    <row r="2635" spans="1:28" x14ac:dyDescent="0.25">
      <c r="A2635" t="s">
        <v>2639</v>
      </c>
      <c r="B2635">
        <v>0.99472303558308395</v>
      </c>
      <c r="C2635">
        <v>0.907358070679541</v>
      </c>
      <c r="D2635">
        <v>0.75209039506381403</v>
      </c>
      <c r="E2635">
        <v>0.28824381512352099</v>
      </c>
      <c r="F2635">
        <v>0.17752209523197199</v>
      </c>
      <c r="G2635">
        <v>0.106790706557279</v>
      </c>
      <c r="H2635">
        <v>6.1868279177969998E-2</v>
      </c>
      <c r="I2635">
        <v>4.5220783787674503E-2</v>
      </c>
      <c r="J2635">
        <v>5.2530189769013698E-2</v>
      </c>
      <c r="K2635">
        <v>4.0277820735549502E-2</v>
      </c>
      <c r="L2635">
        <v>972.85517408585895</v>
      </c>
      <c r="M2635">
        <v>21.768063686272999</v>
      </c>
      <c r="N2635">
        <v>44.942507344379798</v>
      </c>
      <c r="O2635">
        <v>44.319804481431603</v>
      </c>
      <c r="P2635">
        <v>-0.115773505410229</v>
      </c>
      <c r="Q2635">
        <v>5.7161778791076798E-2</v>
      </c>
      <c r="R2635">
        <v>0.99496769427523402</v>
      </c>
      <c r="S2635" t="s">
        <v>9203</v>
      </c>
      <c r="T2635" t="s">
        <v>13134</v>
      </c>
      <c r="U2635" t="s">
        <v>13134</v>
      </c>
      <c r="V2635" t="s">
        <v>13134</v>
      </c>
      <c r="W2635" t="s">
        <v>15721</v>
      </c>
      <c r="X2635">
        <v>29</v>
      </c>
      <c r="Y2635" t="s">
        <v>22161</v>
      </c>
      <c r="Z2635" t="s">
        <v>28603</v>
      </c>
      <c r="AA2635">
        <v>0.30928077219511602</v>
      </c>
      <c r="AB2635" t="str">
        <f>HYPERLINK("Melting_Curves/meltCurve_P42224_STAT1.pdf", "Melting_Curves/meltCurve_P42224_STAT1.pdf")</f>
        <v>Melting_Curves/meltCurve_P42224_STAT1.pdf</v>
      </c>
    </row>
    <row r="2636" spans="1:28" x14ac:dyDescent="0.25">
      <c r="A2636" t="s">
        <v>2640</v>
      </c>
      <c r="B2636">
        <v>0.99472303558308395</v>
      </c>
      <c r="C2636">
        <v>0.89295786325470095</v>
      </c>
      <c r="D2636">
        <v>1.0356563481938299</v>
      </c>
      <c r="E2636">
        <v>0.55359551480887403</v>
      </c>
      <c r="F2636">
        <v>0.21567493855101</v>
      </c>
      <c r="G2636">
        <v>9.8746812999223402E-2</v>
      </c>
      <c r="H2636">
        <v>5.3981244737304798E-2</v>
      </c>
      <c r="I2636">
        <v>4.0502047498966999E-2</v>
      </c>
      <c r="J2636">
        <v>3.3264795756841499E-2</v>
      </c>
      <c r="K2636">
        <v>3.2349445610705699E-2</v>
      </c>
      <c r="L2636">
        <v>1354.8234755454801</v>
      </c>
      <c r="M2636">
        <v>28.786154259161101</v>
      </c>
      <c r="N2636">
        <v>47.232113624603002</v>
      </c>
      <c r="O2636">
        <v>46.839721914099101</v>
      </c>
      <c r="P2636">
        <v>-0.146208589278888</v>
      </c>
      <c r="Q2636">
        <v>4.8387228087459801E-2</v>
      </c>
      <c r="R2636">
        <v>0.98620789545684395</v>
      </c>
      <c r="S2636" t="s">
        <v>9204</v>
      </c>
      <c r="T2636" t="s">
        <v>13134</v>
      </c>
      <c r="U2636" t="s">
        <v>13134</v>
      </c>
      <c r="V2636" t="s">
        <v>13134</v>
      </c>
      <c r="W2636" t="s">
        <v>15722</v>
      </c>
      <c r="X2636">
        <v>6</v>
      </c>
      <c r="Y2636" t="s">
        <v>22162</v>
      </c>
      <c r="Z2636" t="s">
        <v>28604</v>
      </c>
      <c r="AA2636">
        <v>0.37367649408870413</v>
      </c>
      <c r="AB2636" t="str">
        <f>HYPERLINK("Melting_Curves/meltCurve_P42226_3_STAT6.pdf", "Melting_Curves/meltCurve_P42226_3_STAT6.pdf")</f>
        <v>Melting_Curves/meltCurve_P42226_3_STAT6.pdf</v>
      </c>
    </row>
    <row r="2637" spans="1:28" x14ac:dyDescent="0.25">
      <c r="A2637" t="s">
        <v>2641</v>
      </c>
      <c r="B2637">
        <v>0.99472303558308395</v>
      </c>
      <c r="C2637">
        <v>0.98736932764769603</v>
      </c>
      <c r="D2637">
        <v>1.0767636390539299</v>
      </c>
      <c r="E2637">
        <v>1.0860902358059299</v>
      </c>
      <c r="F2637">
        <v>0.77300500002246397</v>
      </c>
      <c r="G2637">
        <v>0.206129914319927</v>
      </c>
      <c r="H2637">
        <v>9.4679018001337406E-2</v>
      </c>
      <c r="I2637">
        <v>6.6820546006096201E-2</v>
      </c>
      <c r="J2637">
        <v>7.3482451514940803E-2</v>
      </c>
      <c r="K2637">
        <v>5.9636097292415799E-2</v>
      </c>
      <c r="L2637">
        <v>2267.6570569584401</v>
      </c>
      <c r="M2637">
        <v>43.985170749516101</v>
      </c>
      <c r="N2637">
        <v>51.737318041429297</v>
      </c>
      <c r="O2637">
        <v>51.448826664491399</v>
      </c>
      <c r="P2637">
        <v>-0.19839194861568399</v>
      </c>
      <c r="Q2637">
        <v>7.1776667482495102E-2</v>
      </c>
      <c r="R2637">
        <v>0.99233924833348397</v>
      </c>
      <c r="S2637" t="s">
        <v>9205</v>
      </c>
      <c r="T2637" t="s">
        <v>13134</v>
      </c>
      <c r="U2637" t="s">
        <v>13134</v>
      </c>
      <c r="V2637" t="s">
        <v>13134</v>
      </c>
      <c r="W2637" t="s">
        <v>15723</v>
      </c>
      <c r="X2637">
        <v>41</v>
      </c>
      <c r="Y2637" t="s">
        <v>22163</v>
      </c>
      <c r="Z2637" t="s">
        <v>28605</v>
      </c>
      <c r="AA2637">
        <v>0.52485040828680052</v>
      </c>
      <c r="AB2637" t="str">
        <f>HYPERLINK("Melting_Curves/meltCurve_P42285_SKIV2L2.pdf", "Melting_Curves/meltCurve_P42285_SKIV2L2.pdf")</f>
        <v>Melting_Curves/meltCurve_P42285_SKIV2L2.pdf</v>
      </c>
    </row>
    <row r="2638" spans="1:28" x14ac:dyDescent="0.25">
      <c r="A2638" t="s">
        <v>2642</v>
      </c>
      <c r="B2638">
        <v>0.99472303558308395</v>
      </c>
      <c r="C2638">
        <v>0.88205593556944395</v>
      </c>
      <c r="D2638">
        <v>0.81309857378799399</v>
      </c>
      <c r="E2638">
        <v>0.71073461980469599</v>
      </c>
      <c r="F2638">
        <v>0.31622115663809702</v>
      </c>
      <c r="G2638">
        <v>0.186290212092003</v>
      </c>
      <c r="H2638">
        <v>0.167888430005664</v>
      </c>
      <c r="I2638">
        <v>0.12997961527909499</v>
      </c>
      <c r="J2638">
        <v>0.14457587673872099</v>
      </c>
      <c r="K2638">
        <v>8.8044446846098495E-2</v>
      </c>
      <c r="L2638">
        <v>746.75840510812804</v>
      </c>
      <c r="M2638">
        <v>15.7126390781153</v>
      </c>
      <c r="N2638">
        <v>48.1777686741206</v>
      </c>
      <c r="O2638">
        <v>46.776138165105799</v>
      </c>
      <c r="P2638">
        <v>-7.5943312787527195E-2</v>
      </c>
      <c r="Q2638">
        <v>9.5750806358000803E-2</v>
      </c>
      <c r="R2638">
        <v>0.98156582225016797</v>
      </c>
      <c r="S2638" t="s">
        <v>9206</v>
      </c>
      <c r="T2638" t="s">
        <v>13134</v>
      </c>
      <c r="U2638" t="s">
        <v>13134</v>
      </c>
      <c r="V2638" t="s">
        <v>13134</v>
      </c>
      <c r="W2638" t="s">
        <v>15724</v>
      </c>
      <c r="X2638">
        <v>13</v>
      </c>
      <c r="Y2638" t="s">
        <v>22164</v>
      </c>
      <c r="Z2638" t="s">
        <v>28606</v>
      </c>
      <c r="AA2638">
        <v>0.43157079824368372</v>
      </c>
      <c r="AB2638" t="str">
        <f>HYPERLINK("Melting_Curves/meltCurve_P42330_AKR1C3.pdf", "Melting_Curves/meltCurve_P42330_AKR1C3.pdf")</f>
        <v>Melting_Curves/meltCurve_P42330_AKR1C3.pdf</v>
      </c>
    </row>
    <row r="2639" spans="1:28" x14ac:dyDescent="0.25">
      <c r="A2639" t="s">
        <v>2643</v>
      </c>
      <c r="B2639">
        <v>0.99472303558308395</v>
      </c>
      <c r="C2639">
        <v>0.91377369110518103</v>
      </c>
      <c r="D2639">
        <v>0.79883943859139706</v>
      </c>
      <c r="E2639">
        <v>0.61291590864335299</v>
      </c>
      <c r="F2639">
        <v>0.25713277004909302</v>
      </c>
      <c r="G2639">
        <v>0.12521487267975301</v>
      </c>
      <c r="H2639">
        <v>8.91318910423817E-2</v>
      </c>
      <c r="I2639">
        <v>6.4611228660832895E-2</v>
      </c>
      <c r="J2639">
        <v>8.7665601381476499E-2</v>
      </c>
      <c r="K2639">
        <v>7.1871459572707505E-2</v>
      </c>
      <c r="L2639">
        <v>792.34150135965297</v>
      </c>
      <c r="M2639">
        <v>16.889484365559198</v>
      </c>
      <c r="N2639">
        <v>47.225317314604297</v>
      </c>
      <c r="O2639">
        <v>46.270422311910799</v>
      </c>
      <c r="P2639">
        <v>-8.6442058001250405E-2</v>
      </c>
      <c r="Q2639">
        <v>5.2793421081346097E-2</v>
      </c>
      <c r="R2639">
        <v>0.99341129403612405</v>
      </c>
      <c r="S2639" t="s">
        <v>9207</v>
      </c>
      <c r="T2639" t="s">
        <v>13134</v>
      </c>
      <c r="U2639" t="s">
        <v>13134</v>
      </c>
      <c r="V2639" t="s">
        <v>13134</v>
      </c>
      <c r="W2639" t="s">
        <v>15725</v>
      </c>
      <c r="X2639">
        <v>5</v>
      </c>
      <c r="Y2639" t="s">
        <v>22165</v>
      </c>
      <c r="Z2639" t="s">
        <v>28607</v>
      </c>
      <c r="AA2639">
        <v>0.38296091495590329</v>
      </c>
      <c r="AB2639" t="str">
        <f>HYPERLINK("Melting_Curves/meltCurve_P42336_PIK3CA.pdf", "Melting_Curves/meltCurve_P42336_PIK3CA.pdf")</f>
        <v>Melting_Curves/meltCurve_P42336_PIK3CA.pdf</v>
      </c>
    </row>
    <row r="2640" spans="1:28" x14ac:dyDescent="0.25">
      <c r="A2640" t="s">
        <v>2644</v>
      </c>
      <c r="B2640">
        <v>0.99472303558308395</v>
      </c>
      <c r="C2640">
        <v>0.85740542116007701</v>
      </c>
      <c r="D2640">
        <v>0.90235290136489699</v>
      </c>
      <c r="E2640">
        <v>0.64931508283137995</v>
      </c>
      <c r="F2640">
        <v>0.31248012978037798</v>
      </c>
      <c r="G2640">
        <v>0.14139506358690301</v>
      </c>
      <c r="H2640">
        <v>0.115632994198882</v>
      </c>
      <c r="I2640">
        <v>7.1217551524191403E-2</v>
      </c>
      <c r="J2640">
        <v>8.1660254715928304E-2</v>
      </c>
      <c r="K2640">
        <v>7.8426770450069502E-2</v>
      </c>
      <c r="L2640">
        <v>880.14294339483899</v>
      </c>
      <c r="M2640">
        <v>18.483927589053302</v>
      </c>
      <c r="N2640">
        <v>47.975438157707202</v>
      </c>
      <c r="O2640">
        <v>47.069820330893698</v>
      </c>
      <c r="P2640">
        <v>-9.1839920342258005E-2</v>
      </c>
      <c r="Q2640">
        <v>6.4550229210933702E-2</v>
      </c>
      <c r="R2640">
        <v>0.988345525763905</v>
      </c>
      <c r="S2640" t="s">
        <v>9208</v>
      </c>
      <c r="T2640" t="s">
        <v>13134</v>
      </c>
      <c r="U2640" t="s">
        <v>13134</v>
      </c>
      <c r="V2640" t="s">
        <v>13134</v>
      </c>
      <c r="W2640" t="s">
        <v>15726</v>
      </c>
      <c r="X2640">
        <v>7</v>
      </c>
      <c r="Y2640" t="s">
        <v>22166</v>
      </c>
      <c r="Z2640" t="s">
        <v>28608</v>
      </c>
      <c r="AA2640">
        <v>0.40984773761447701</v>
      </c>
      <c r="AB2640" t="str">
        <f>HYPERLINK("Melting_Curves/meltCurve_P42338_PIK3CB.pdf", "Melting_Curves/meltCurve_P42338_PIK3CB.pdf")</f>
        <v>Melting_Curves/meltCurve_P42338_PIK3CB.pdf</v>
      </c>
    </row>
    <row r="2641" spans="1:28" x14ac:dyDescent="0.25">
      <c r="A2641" t="s">
        <v>2645</v>
      </c>
      <c r="B2641">
        <v>0.99472303558308395</v>
      </c>
      <c r="C2641">
        <v>0.90935820664328704</v>
      </c>
      <c r="D2641">
        <v>0.68760489986483297</v>
      </c>
      <c r="E2641">
        <v>0.44663385993093602</v>
      </c>
      <c r="F2641">
        <v>0.149219908926535</v>
      </c>
      <c r="G2641">
        <v>8.9019316052271202E-2</v>
      </c>
      <c r="H2641">
        <v>7.9863292734554503E-2</v>
      </c>
      <c r="I2641">
        <v>4.60566979444203E-2</v>
      </c>
      <c r="J2641">
        <v>4.8135824477273201E-2</v>
      </c>
      <c r="K2641">
        <v>3.6410332381510598E-2</v>
      </c>
      <c r="L2641">
        <v>758.10340373223801</v>
      </c>
      <c r="M2641">
        <v>16.757289965104299</v>
      </c>
      <c r="N2641">
        <v>45.434356687675397</v>
      </c>
      <c r="O2641">
        <v>44.610676213480197</v>
      </c>
      <c r="P2641">
        <v>-9.0670116163722794E-2</v>
      </c>
      <c r="Q2641">
        <v>3.4547783015797001E-2</v>
      </c>
      <c r="R2641">
        <v>0.99605775218467696</v>
      </c>
      <c r="S2641" t="s">
        <v>9209</v>
      </c>
      <c r="T2641" t="s">
        <v>13134</v>
      </c>
      <c r="U2641" t="s">
        <v>13134</v>
      </c>
      <c r="V2641" t="s">
        <v>13134</v>
      </c>
      <c r="W2641" t="s">
        <v>15727</v>
      </c>
      <c r="X2641">
        <v>27</v>
      </c>
      <c r="Y2641" t="s">
        <v>22167</v>
      </c>
      <c r="Z2641" t="s">
        <v>28609</v>
      </c>
      <c r="AA2641">
        <v>0.31797315584156449</v>
      </c>
      <c r="AB2641" t="str">
        <f>HYPERLINK("Melting_Curves/meltCurve_P42345_MTOR.pdf", "Melting_Curves/meltCurve_P42345_MTOR.pdf")</f>
        <v>Melting_Curves/meltCurve_P42345_MTOR.pdf</v>
      </c>
    </row>
    <row r="2642" spans="1:28" x14ac:dyDescent="0.25">
      <c r="A2642" t="s">
        <v>2646</v>
      </c>
      <c r="B2642">
        <v>0.99472303558308395</v>
      </c>
      <c r="C2642">
        <v>0.97988841054877496</v>
      </c>
      <c r="D2642">
        <v>0.784950431139254</v>
      </c>
      <c r="E2642">
        <v>0.61098194397104699</v>
      </c>
      <c r="F2642">
        <v>0.29093264738497299</v>
      </c>
      <c r="G2642">
        <v>0.14921281773248099</v>
      </c>
      <c r="H2642">
        <v>0.101549123352231</v>
      </c>
      <c r="I2642">
        <v>7.1395079513378895E-2</v>
      </c>
      <c r="J2642">
        <v>7.2849444374546796E-2</v>
      </c>
      <c r="K2642">
        <v>6.5504728399614104E-2</v>
      </c>
      <c r="L2642">
        <v>768.06280943450702</v>
      </c>
      <c r="M2642">
        <v>16.2993443062106</v>
      </c>
      <c r="N2642">
        <v>47.441715056630301</v>
      </c>
      <c r="O2642">
        <v>46.430123099941703</v>
      </c>
      <c r="P2642">
        <v>-8.3208286016922706E-2</v>
      </c>
      <c r="Q2642">
        <v>5.1964404176549898E-2</v>
      </c>
      <c r="R2642">
        <v>0.99588190728195702</v>
      </c>
      <c r="S2642" t="s">
        <v>9210</v>
      </c>
      <c r="T2642" t="s">
        <v>13134</v>
      </c>
      <c r="U2642" t="s">
        <v>13134</v>
      </c>
      <c r="V2642" t="s">
        <v>13134</v>
      </c>
      <c r="W2642" t="s">
        <v>15728</v>
      </c>
      <c r="X2642">
        <v>20</v>
      </c>
      <c r="Y2642" t="s">
        <v>22168</v>
      </c>
      <c r="Z2642" t="s">
        <v>28610</v>
      </c>
      <c r="AA2642">
        <v>0.39015524773471749</v>
      </c>
      <c r="AB2642" t="str">
        <f>HYPERLINK("Melting_Curves/meltCurve_P42566_EPS15.pdf", "Melting_Curves/meltCurve_P42566_EPS15.pdf")</f>
        <v>Melting_Curves/meltCurve_P42566_EPS15.pdf</v>
      </c>
    </row>
    <row r="2643" spans="1:28" x14ac:dyDescent="0.25">
      <c r="A2643" t="s">
        <v>2647</v>
      </c>
      <c r="B2643">
        <v>0.99472303558308395</v>
      </c>
      <c r="C2643">
        <v>1.0000262039137799</v>
      </c>
      <c r="D2643">
        <v>1.043854342795</v>
      </c>
      <c r="E2643">
        <v>0.920300349934837</v>
      </c>
      <c r="F2643">
        <v>0.70828467872448198</v>
      </c>
      <c r="G2643">
        <v>0.60504504068856901</v>
      </c>
      <c r="H2643">
        <v>0.51673328860152901</v>
      </c>
      <c r="I2643">
        <v>0.62306129132969801</v>
      </c>
      <c r="J2643">
        <v>0.82653876023812001</v>
      </c>
      <c r="K2643">
        <v>0.60581779946538195</v>
      </c>
      <c r="L2643">
        <v>1980.1960536831</v>
      </c>
      <c r="M2643">
        <v>41.0766986536457</v>
      </c>
      <c r="O2643">
        <v>48.093453518280398</v>
      </c>
      <c r="P2643">
        <v>-7.7668134901338504E-2</v>
      </c>
      <c r="Q2643">
        <v>0.63625883081802603</v>
      </c>
      <c r="R2643">
        <v>0.83971072098531896</v>
      </c>
      <c r="S2643" t="s">
        <v>9211</v>
      </c>
      <c r="T2643" t="s">
        <v>13134</v>
      </c>
      <c r="U2643" t="s">
        <v>13134</v>
      </c>
      <c r="V2643" t="s">
        <v>13134</v>
      </c>
      <c r="W2643" t="s">
        <v>15729</v>
      </c>
      <c r="X2643">
        <v>15</v>
      </c>
      <c r="Y2643" t="s">
        <v>22169</v>
      </c>
      <c r="Z2643" t="s">
        <v>28611</v>
      </c>
      <c r="AA2643">
        <v>0.77329274301691597</v>
      </c>
      <c r="AB2643" t="str">
        <f>HYPERLINK("Melting_Curves/meltCurve_P42574_CASP3.pdf", "Melting_Curves/meltCurve_P42574_CASP3.pdf")</f>
        <v>Melting_Curves/meltCurve_P42574_CASP3.pdf</v>
      </c>
    </row>
    <row r="2644" spans="1:28" x14ac:dyDescent="0.25">
      <c r="A2644" t="s">
        <v>2648</v>
      </c>
      <c r="B2644">
        <v>0.99472303558308395</v>
      </c>
      <c r="C2644">
        <v>1.0170891985967501</v>
      </c>
      <c r="D2644">
        <v>0.87353113548759398</v>
      </c>
      <c r="E2644">
        <v>0.612892447628685</v>
      </c>
      <c r="F2644">
        <v>0.358424626775392</v>
      </c>
      <c r="G2644">
        <v>0.20874528192546099</v>
      </c>
      <c r="H2644">
        <v>0.114408469328523</v>
      </c>
      <c r="I2644">
        <v>9.1785274236180006E-2</v>
      </c>
      <c r="J2644">
        <v>0.108533064216143</v>
      </c>
      <c r="K2644">
        <v>8.4385030923355905E-2</v>
      </c>
      <c r="L2644">
        <v>830.20007215201997</v>
      </c>
      <c r="M2644">
        <v>17.432559669476898</v>
      </c>
      <c r="N2644">
        <v>48.128817331124601</v>
      </c>
      <c r="O2644">
        <v>47.010101719754303</v>
      </c>
      <c r="P2644">
        <v>-8.4958816145266305E-2</v>
      </c>
      <c r="Q2644">
        <v>8.3623034970050303E-2</v>
      </c>
      <c r="R2644">
        <v>0.99752762567036901</v>
      </c>
      <c r="S2644" t="s">
        <v>9212</v>
      </c>
      <c r="T2644" t="s">
        <v>13134</v>
      </c>
      <c r="U2644" t="s">
        <v>13134</v>
      </c>
      <c r="V2644" t="s">
        <v>13134</v>
      </c>
      <c r="W2644" t="s">
        <v>15730</v>
      </c>
      <c r="X2644">
        <v>10</v>
      </c>
      <c r="Y2644" t="s">
        <v>22170</v>
      </c>
      <c r="Z2644" t="s">
        <v>28612</v>
      </c>
      <c r="AA2644">
        <v>0.42369363554154349</v>
      </c>
      <c r="AB2644" t="str">
        <f>HYPERLINK("Melting_Curves/meltCurve_P42575_CASP2.pdf", "Melting_Curves/meltCurve_P42575_CASP2.pdf")</f>
        <v>Melting_Curves/meltCurve_P42575_CASP2.pdf</v>
      </c>
    </row>
    <row r="2645" spans="1:28" x14ac:dyDescent="0.25">
      <c r="A2645" t="s">
        <v>2649</v>
      </c>
      <c r="B2645">
        <v>0.99472303558308395</v>
      </c>
      <c r="C2645">
        <v>0.88134227683780697</v>
      </c>
      <c r="D2645">
        <v>0.79356773506807898</v>
      </c>
      <c r="E2645">
        <v>0.51746294162557804</v>
      </c>
      <c r="F2645">
        <v>0.35698988782212099</v>
      </c>
      <c r="G2645">
        <v>0.16992682994743999</v>
      </c>
      <c r="H2645">
        <v>7.3412767694453804E-2</v>
      </c>
      <c r="I2645">
        <v>4.2546299869022502E-2</v>
      </c>
      <c r="J2645">
        <v>3.6196648421818099E-2</v>
      </c>
      <c r="K2645">
        <v>3.4139582973504001E-2</v>
      </c>
      <c r="L2645">
        <v>597.39911265289004</v>
      </c>
      <c r="M2645">
        <v>12.6503794533067</v>
      </c>
      <c r="N2645">
        <v>47.223809185544802</v>
      </c>
      <c r="O2645">
        <v>46.090378231825397</v>
      </c>
      <c r="P2645">
        <v>-6.8630725105626497E-2</v>
      </c>
      <c r="Q2645">
        <v>0</v>
      </c>
      <c r="R2645">
        <v>0.99658064588380801</v>
      </c>
      <c r="S2645" t="s">
        <v>9213</v>
      </c>
      <c r="T2645" t="s">
        <v>13134</v>
      </c>
      <c r="U2645" t="s">
        <v>13134</v>
      </c>
      <c r="V2645" t="s">
        <v>13134</v>
      </c>
      <c r="W2645" t="s">
        <v>15731</v>
      </c>
      <c r="X2645">
        <v>7</v>
      </c>
      <c r="Y2645" t="s">
        <v>22171</v>
      </c>
      <c r="Z2645" t="s">
        <v>28613</v>
      </c>
      <c r="AA2645">
        <v>0.3706875228480408</v>
      </c>
      <c r="AB2645" t="str">
        <f>HYPERLINK("Melting_Curves/meltCurve_P42677_RPS27.pdf", "Melting_Curves/meltCurve_P42677_RPS27.pdf")</f>
        <v>Melting_Curves/meltCurve_P42677_RPS27.pdf</v>
      </c>
    </row>
    <row r="2646" spans="1:28" x14ac:dyDescent="0.25">
      <c r="A2646" t="s">
        <v>2650</v>
      </c>
      <c r="B2646">
        <v>0.99472303558308395</v>
      </c>
      <c r="C2646">
        <v>0.80710236371136701</v>
      </c>
      <c r="D2646">
        <v>0.78740875634967</v>
      </c>
      <c r="E2646">
        <v>0.39791668539187403</v>
      </c>
      <c r="F2646">
        <v>0.29555746630163399</v>
      </c>
      <c r="G2646">
        <v>0.13035504733071099</v>
      </c>
      <c r="H2646">
        <v>0.10945797405893599</v>
      </c>
      <c r="I2646">
        <v>7.9546028893626705E-2</v>
      </c>
      <c r="J2646">
        <v>0.104373932204579</v>
      </c>
      <c r="K2646">
        <v>8.6341337356777195E-2</v>
      </c>
      <c r="L2646">
        <v>660.41024466392196</v>
      </c>
      <c r="M2646">
        <v>14.553954677610101</v>
      </c>
      <c r="N2646">
        <v>45.863352038414199</v>
      </c>
      <c r="O2646">
        <v>44.545812430526901</v>
      </c>
      <c r="P2646">
        <v>-7.5844109565987999E-2</v>
      </c>
      <c r="Q2646">
        <v>7.1550359974367206E-2</v>
      </c>
      <c r="R2646">
        <v>0.98345379963219304</v>
      </c>
      <c r="S2646" t="s">
        <v>9214</v>
      </c>
      <c r="T2646" t="s">
        <v>13134</v>
      </c>
      <c r="U2646" t="s">
        <v>13134</v>
      </c>
      <c r="V2646" t="s">
        <v>13134</v>
      </c>
      <c r="W2646" t="s">
        <v>15732</v>
      </c>
      <c r="X2646">
        <v>6</v>
      </c>
      <c r="Y2646" t="s">
        <v>22172</v>
      </c>
      <c r="Z2646" t="s">
        <v>28614</v>
      </c>
      <c r="AA2646">
        <v>0.35391848695607869</v>
      </c>
      <c r="AB2646" t="str">
        <f>HYPERLINK("Melting_Curves/meltCurve_P42680_TEC.pdf", "Melting_Curves/meltCurve_P42680_TEC.pdf")</f>
        <v>Melting_Curves/meltCurve_P42680_TEC.pdf</v>
      </c>
    </row>
    <row r="2647" spans="1:28" x14ac:dyDescent="0.25">
      <c r="A2647" t="s">
        <v>2651</v>
      </c>
      <c r="B2647">
        <v>0.99472303558308395</v>
      </c>
      <c r="C2647">
        <v>0.95448622213777701</v>
      </c>
      <c r="D2647">
        <v>0.84262253463718495</v>
      </c>
      <c r="E2647">
        <v>0.47430883324407902</v>
      </c>
      <c r="F2647">
        <v>0.22674199865359501</v>
      </c>
      <c r="G2647">
        <v>0.13169840404934399</v>
      </c>
      <c r="H2647">
        <v>0.106571676340527</v>
      </c>
      <c r="I2647">
        <v>7.4223324114403799E-2</v>
      </c>
      <c r="J2647">
        <v>9.3652088163064598E-2</v>
      </c>
      <c r="K2647">
        <v>0.103443427590985</v>
      </c>
      <c r="L2647">
        <v>983.25312348368197</v>
      </c>
      <c r="M2647">
        <v>21.378642990088601</v>
      </c>
      <c r="N2647">
        <v>46.425453072758799</v>
      </c>
      <c r="O2647">
        <v>45.595564331985599</v>
      </c>
      <c r="P2647">
        <v>-0.10662336427328099</v>
      </c>
      <c r="Q2647">
        <v>9.0413568713509196E-2</v>
      </c>
      <c r="R2647">
        <v>0.99929144765852695</v>
      </c>
      <c r="S2647" t="s">
        <v>9215</v>
      </c>
      <c r="T2647" t="s">
        <v>13134</v>
      </c>
      <c r="U2647" t="s">
        <v>13134</v>
      </c>
      <c r="V2647" t="s">
        <v>13134</v>
      </c>
      <c r="W2647" t="s">
        <v>15733</v>
      </c>
      <c r="X2647">
        <v>8</v>
      </c>
      <c r="Y2647" t="s">
        <v>22173</v>
      </c>
      <c r="Z2647" t="s">
        <v>28615</v>
      </c>
      <c r="AA2647">
        <v>0.37343895118368953</v>
      </c>
      <c r="AB2647" t="str">
        <f>HYPERLINK("Melting_Curves/meltCurve_P42684_6_ABL2.pdf", "Melting_Curves/meltCurve_P42684_6_ABL2.pdf")</f>
        <v>Melting_Curves/meltCurve_P42684_6_ABL2.pdf</v>
      </c>
    </row>
    <row r="2648" spans="1:28" x14ac:dyDescent="0.25">
      <c r="A2648" t="s">
        <v>2652</v>
      </c>
      <c r="B2648">
        <v>0.99472303558308395</v>
      </c>
      <c r="C2648">
        <v>0.97346528665587795</v>
      </c>
      <c r="D2648">
        <v>0.69722121233895995</v>
      </c>
      <c r="E2648">
        <v>0.52265153676130804</v>
      </c>
      <c r="F2648">
        <v>0.19356732671110799</v>
      </c>
      <c r="G2648">
        <v>0.17507875836751799</v>
      </c>
      <c r="H2648">
        <v>6.9616438162490205E-2</v>
      </c>
      <c r="I2648">
        <v>3.99089800880661E-2</v>
      </c>
      <c r="J2648">
        <v>5.1595079945445502E-2</v>
      </c>
      <c r="K2648">
        <v>3.0462585235863801E-2</v>
      </c>
      <c r="L2648">
        <v>710.33464914731303</v>
      </c>
      <c r="M2648">
        <v>15.4139889573558</v>
      </c>
      <c r="N2648">
        <v>46.277461220279399</v>
      </c>
      <c r="O2648">
        <v>45.3290021726107</v>
      </c>
      <c r="P2648">
        <v>-8.23635005885133E-2</v>
      </c>
      <c r="Q2648">
        <v>3.1239337854745398E-2</v>
      </c>
      <c r="R2648">
        <v>0.98926778658762304</v>
      </c>
      <c r="S2648" t="s">
        <v>9216</v>
      </c>
      <c r="T2648" t="s">
        <v>13134</v>
      </c>
      <c r="U2648" t="s">
        <v>13134</v>
      </c>
      <c r="V2648" t="s">
        <v>13134</v>
      </c>
      <c r="W2648" t="s">
        <v>15734</v>
      </c>
      <c r="X2648">
        <v>5</v>
      </c>
      <c r="Y2648" t="s">
        <v>22174</v>
      </c>
      <c r="Z2648" t="s">
        <v>28616</v>
      </c>
      <c r="AA2648">
        <v>0.34574309964551891</v>
      </c>
      <c r="AB2648" t="str">
        <f>HYPERLINK("Melting_Curves/meltCurve_P42695_NCAPD3.pdf", "Melting_Curves/meltCurve_P42695_NCAPD3.pdf")</f>
        <v>Melting_Curves/meltCurve_P42695_NCAPD3.pdf</v>
      </c>
    </row>
    <row r="2649" spans="1:28" x14ac:dyDescent="0.25">
      <c r="A2649" t="s">
        <v>2653</v>
      </c>
      <c r="B2649">
        <v>0.99472303558308395</v>
      </c>
      <c r="C2649">
        <v>0.88288011148392997</v>
      </c>
      <c r="D2649">
        <v>0.80321111333031003</v>
      </c>
      <c r="E2649">
        <v>0.24065820521338399</v>
      </c>
      <c r="F2649">
        <v>0.100754971924336</v>
      </c>
      <c r="G2649">
        <v>5.3082441492930101E-2</v>
      </c>
      <c r="H2649">
        <v>3.3434236373315697E-2</v>
      </c>
      <c r="I2649">
        <v>2.3569687187357399E-2</v>
      </c>
      <c r="J2649">
        <v>2.7829193423663402E-2</v>
      </c>
      <c r="K2649">
        <v>2.2183759142537202E-2</v>
      </c>
      <c r="L2649">
        <v>1276.6371245063899</v>
      </c>
      <c r="M2649">
        <v>28.531621228802699</v>
      </c>
      <c r="N2649">
        <v>44.849093527353901</v>
      </c>
      <c r="O2649">
        <v>44.526548369528001</v>
      </c>
      <c r="P2649">
        <v>-0.15504626043209799</v>
      </c>
      <c r="Q2649">
        <v>3.2144426521766301E-2</v>
      </c>
      <c r="R2649">
        <v>0.99273350642260905</v>
      </c>
      <c r="S2649" t="s">
        <v>9217</v>
      </c>
      <c r="T2649" t="s">
        <v>13134</v>
      </c>
      <c r="U2649" t="s">
        <v>13134</v>
      </c>
      <c r="V2649" t="s">
        <v>13134</v>
      </c>
      <c r="W2649" t="s">
        <v>15735</v>
      </c>
      <c r="X2649">
        <v>79</v>
      </c>
      <c r="Y2649" t="s">
        <v>22175</v>
      </c>
      <c r="Z2649" t="s">
        <v>28617</v>
      </c>
      <c r="AA2649">
        <v>0.28801141993244422</v>
      </c>
      <c r="AB2649" t="str">
        <f>HYPERLINK("Melting_Curves/meltCurve_P42704_LRPPRC.pdf", "Melting_Curves/meltCurve_P42704_LRPPRC.pdf")</f>
        <v>Melting_Curves/meltCurve_P42704_LRPPRC.pdf</v>
      </c>
    </row>
    <row r="2650" spans="1:28" x14ac:dyDescent="0.25">
      <c r="A2650" t="s">
        <v>2654</v>
      </c>
      <c r="B2650">
        <v>0.99472303558308395</v>
      </c>
      <c r="C2650">
        <v>0.92931144352244499</v>
      </c>
      <c r="D2650">
        <v>0.91517135502909497</v>
      </c>
      <c r="E2650">
        <v>0.85145814172235601</v>
      </c>
      <c r="F2650">
        <v>0.69637858386839002</v>
      </c>
      <c r="G2650">
        <v>0.49348088673176099</v>
      </c>
      <c r="H2650">
        <v>0.35473260675815199</v>
      </c>
      <c r="I2650">
        <v>0.347759233323096</v>
      </c>
      <c r="J2650">
        <v>0.47476044895849701</v>
      </c>
      <c r="K2650">
        <v>0.33156062336557701</v>
      </c>
      <c r="L2650">
        <v>827.86339091560501</v>
      </c>
      <c r="M2650">
        <v>16.587636784920601</v>
      </c>
      <c r="N2650">
        <v>53.8304843945402</v>
      </c>
      <c r="O2650">
        <v>49.200015727746198</v>
      </c>
      <c r="P2650">
        <v>-5.4732304708912903E-2</v>
      </c>
      <c r="Q2650">
        <v>0.35068581357593098</v>
      </c>
      <c r="R2650">
        <v>0.962027973020115</v>
      </c>
      <c r="S2650" t="s">
        <v>9218</v>
      </c>
      <c r="T2650" t="s">
        <v>13134</v>
      </c>
      <c r="U2650" t="s">
        <v>13134</v>
      </c>
      <c r="V2650" t="s">
        <v>13134</v>
      </c>
      <c r="W2650" t="s">
        <v>15736</v>
      </c>
      <c r="X2650">
        <v>11</v>
      </c>
      <c r="Y2650" t="s">
        <v>22176</v>
      </c>
      <c r="Z2650" t="s">
        <v>28618</v>
      </c>
      <c r="AA2650">
        <v>0.64176073922481447</v>
      </c>
      <c r="AB2650" t="str">
        <f>HYPERLINK("Melting_Curves/meltCurve_P42765_ACAA2.pdf", "Melting_Curves/meltCurve_P42765_ACAA2.pdf")</f>
        <v>Melting_Curves/meltCurve_P42765_ACAA2.pdf</v>
      </c>
    </row>
    <row r="2651" spans="1:28" x14ac:dyDescent="0.25">
      <c r="A2651" t="s">
        <v>2655</v>
      </c>
      <c r="B2651">
        <v>0.99472303558308395</v>
      </c>
      <c r="C2651">
        <v>1.0080910102057901</v>
      </c>
      <c r="D2651">
        <v>0.90482375584823305</v>
      </c>
      <c r="E2651">
        <v>0.69726487267182602</v>
      </c>
      <c r="F2651">
        <v>0.60431931646527504</v>
      </c>
      <c r="G2651">
        <v>0.25287613882179899</v>
      </c>
      <c r="H2651">
        <v>0.11090502894453499</v>
      </c>
      <c r="I2651">
        <v>6.1574416045846E-2</v>
      </c>
      <c r="J2651">
        <v>3.5173982777096199E-2</v>
      </c>
      <c r="K2651">
        <v>4.6246314173170502E-2</v>
      </c>
      <c r="L2651">
        <v>732.57525380680897</v>
      </c>
      <c r="M2651">
        <v>14.5482404211256</v>
      </c>
      <c r="N2651">
        <v>50.3549082820265</v>
      </c>
      <c r="O2651">
        <v>49.432196922800102</v>
      </c>
      <c r="P2651">
        <v>-7.3585155669124894E-2</v>
      </c>
      <c r="Q2651">
        <v>0</v>
      </c>
      <c r="R2651">
        <v>0.98903940179418004</v>
      </c>
      <c r="S2651" t="s">
        <v>9219</v>
      </c>
      <c r="T2651" t="s">
        <v>13134</v>
      </c>
      <c r="U2651" t="s">
        <v>13134</v>
      </c>
      <c r="V2651" t="s">
        <v>13134</v>
      </c>
      <c r="W2651" t="s">
        <v>15737</v>
      </c>
      <c r="X2651">
        <v>2</v>
      </c>
      <c r="Y2651" t="s">
        <v>22177</v>
      </c>
      <c r="Z2651" t="s">
        <v>28619</v>
      </c>
      <c r="AA2651">
        <v>0.46670476329666649</v>
      </c>
      <c r="AB2651" t="str">
        <f>HYPERLINK("Melting_Curves/meltCurve_P42766_RPL35.pdf", "Melting_Curves/meltCurve_P42766_RPL35.pdf")</f>
        <v>Melting_Curves/meltCurve_P42766_RPL35.pdf</v>
      </c>
    </row>
    <row r="2652" spans="1:28" x14ac:dyDescent="0.25">
      <c r="A2652" t="s">
        <v>2656</v>
      </c>
      <c r="B2652">
        <v>0.99472303558308395</v>
      </c>
      <c r="C2652">
        <v>0.984978141832212</v>
      </c>
      <c r="D2652">
        <v>0.91990411927493299</v>
      </c>
      <c r="E2652">
        <v>0.787661773676399</v>
      </c>
      <c r="F2652">
        <v>0.64182349737069699</v>
      </c>
      <c r="G2652">
        <v>0.51260854692897095</v>
      </c>
      <c r="H2652">
        <v>0.30985121962739898</v>
      </c>
      <c r="I2652">
        <v>0.20901480109624099</v>
      </c>
      <c r="J2652">
        <v>0.233573560653482</v>
      </c>
      <c r="K2652">
        <v>0.16988965182570401</v>
      </c>
      <c r="L2652">
        <v>578.90747436224399</v>
      </c>
      <c r="M2652">
        <v>11.115254575782901</v>
      </c>
      <c r="N2652">
        <v>53.141826852057299</v>
      </c>
      <c r="O2652">
        <v>50.481729560727999</v>
      </c>
      <c r="P2652">
        <v>-4.9590902334962703E-2</v>
      </c>
      <c r="Q2652">
        <v>9.9391472403691103E-2</v>
      </c>
      <c r="R2652">
        <v>0.99421728654087904</v>
      </c>
      <c r="S2652" t="s">
        <v>9220</v>
      </c>
      <c r="T2652" t="s">
        <v>13134</v>
      </c>
      <c r="U2652" t="s">
        <v>13134</v>
      </c>
      <c r="V2652" t="s">
        <v>13134</v>
      </c>
      <c r="W2652" t="s">
        <v>15738</v>
      </c>
      <c r="X2652">
        <v>5</v>
      </c>
      <c r="Y2652" t="s">
        <v>22178</v>
      </c>
      <c r="Z2652" t="s">
        <v>28620</v>
      </c>
      <c r="AA2652">
        <v>0.57454466435963158</v>
      </c>
      <c r="AB2652" t="str">
        <f>HYPERLINK("Melting_Curves/meltCurve_P42773_CDKN2C.pdf", "Melting_Curves/meltCurve_P42773_CDKN2C.pdf")</f>
        <v>Melting_Curves/meltCurve_P42773_CDKN2C.pdf</v>
      </c>
    </row>
    <row r="2653" spans="1:28" x14ac:dyDescent="0.25">
      <c r="A2653" t="s">
        <v>2657</v>
      </c>
      <c r="B2653">
        <v>0.99472303558308395</v>
      </c>
      <c r="C2653">
        <v>1.0080541155155101</v>
      </c>
      <c r="D2653">
        <v>1.0060564646147701</v>
      </c>
      <c r="E2653">
        <v>0.87840230514267603</v>
      </c>
      <c r="F2653">
        <v>0.79029045038350598</v>
      </c>
      <c r="G2653">
        <v>0.61287143466937999</v>
      </c>
      <c r="H2653">
        <v>0.51506584457708304</v>
      </c>
      <c r="I2653">
        <v>0.48542553525471899</v>
      </c>
      <c r="J2653">
        <v>0.29470397300835799</v>
      </c>
      <c r="K2653">
        <v>0.18510540956714799</v>
      </c>
      <c r="L2653">
        <v>505.53549633088602</v>
      </c>
      <c r="M2653">
        <v>8.7241283028528898</v>
      </c>
      <c r="N2653">
        <v>57.946811182890897</v>
      </c>
      <c r="O2653">
        <v>55.1438731010726</v>
      </c>
      <c r="P2653">
        <v>-3.9583985262951003E-2</v>
      </c>
      <c r="Q2653">
        <v>0</v>
      </c>
      <c r="R2653">
        <v>0.97906468281261205</v>
      </c>
      <c r="S2653" t="s">
        <v>9221</v>
      </c>
      <c r="T2653" t="s">
        <v>13134</v>
      </c>
      <c r="U2653" t="s">
        <v>13134</v>
      </c>
      <c r="V2653" t="s">
        <v>13134</v>
      </c>
      <c r="W2653" t="s">
        <v>15739</v>
      </c>
      <c r="X2653">
        <v>9</v>
      </c>
      <c r="Y2653" t="s">
        <v>22179</v>
      </c>
      <c r="Z2653" t="s">
        <v>28621</v>
      </c>
      <c r="AA2653">
        <v>0.68305728035584223</v>
      </c>
      <c r="AB2653" t="str">
        <f>HYPERLINK("Melting_Curves/meltCurve_P42785_PRCP.pdf", "Melting_Curves/meltCurve_P42785_PRCP.pdf")</f>
        <v>Melting_Curves/meltCurve_P42785_PRCP.pdf</v>
      </c>
    </row>
    <row r="2654" spans="1:28" x14ac:dyDescent="0.25">
      <c r="A2654" t="s">
        <v>2658</v>
      </c>
      <c r="B2654">
        <v>0.99472303558308395</v>
      </c>
      <c r="C2654">
        <v>1.0728236611055</v>
      </c>
      <c r="D2654">
        <v>0.92717700646047396</v>
      </c>
      <c r="E2654">
        <v>0.69966896776139298</v>
      </c>
      <c r="F2654">
        <v>0.57495279024833501</v>
      </c>
      <c r="G2654">
        <v>0.37763889236989101</v>
      </c>
      <c r="H2654">
        <v>0.39557025713757898</v>
      </c>
      <c r="I2654">
        <v>0.24615074301002901</v>
      </c>
      <c r="J2654">
        <v>0.34467278670059998</v>
      </c>
      <c r="K2654">
        <v>0.283010283331801</v>
      </c>
      <c r="L2654">
        <v>805.02608750259799</v>
      </c>
      <c r="M2654">
        <v>16.683248128075999</v>
      </c>
      <c r="N2654">
        <v>50.955525779678297</v>
      </c>
      <c r="O2654">
        <v>47.576255888147301</v>
      </c>
      <c r="P2654">
        <v>-6.1933895199580098E-2</v>
      </c>
      <c r="Q2654">
        <v>0.29357003954779498</v>
      </c>
      <c r="R2654">
        <v>0.973906179875488</v>
      </c>
      <c r="S2654" t="s">
        <v>9222</v>
      </c>
      <c r="T2654" t="s">
        <v>13134</v>
      </c>
      <c r="U2654" t="s">
        <v>13134</v>
      </c>
      <c r="V2654" t="s">
        <v>13134</v>
      </c>
      <c r="W2654" t="s">
        <v>15740</v>
      </c>
      <c r="X2654">
        <v>2</v>
      </c>
      <c r="Y2654" t="s">
        <v>22180</v>
      </c>
      <c r="Z2654" t="s">
        <v>28622</v>
      </c>
      <c r="AA2654">
        <v>0.57147421315043667</v>
      </c>
      <c r="AB2654" t="str">
        <f>HYPERLINK("Melting_Curves/meltCurve_P43007_SLC1A4.pdf", "Melting_Curves/meltCurve_P43007_SLC1A4.pdf")</f>
        <v>Melting_Curves/meltCurve_P43007_SLC1A4.pdf</v>
      </c>
    </row>
    <row r="2655" spans="1:28" x14ac:dyDescent="0.25">
      <c r="A2655" t="s">
        <v>2659</v>
      </c>
      <c r="B2655">
        <v>0.99472303558308395</v>
      </c>
      <c r="C2655">
        <v>0.98197326591449796</v>
      </c>
      <c r="D2655">
        <v>0.90706866617145998</v>
      </c>
      <c r="E2655">
        <v>0.858224667767297</v>
      </c>
      <c r="F2655">
        <v>0.76164042375131902</v>
      </c>
      <c r="G2655">
        <v>0.49469531958207003</v>
      </c>
      <c r="H2655">
        <v>0.43613618394638398</v>
      </c>
      <c r="I2655">
        <v>0.37997027776306902</v>
      </c>
      <c r="J2655">
        <v>0.41289242301054802</v>
      </c>
      <c r="K2655">
        <v>0.23082049916556999</v>
      </c>
      <c r="L2655">
        <v>610.89233864029097</v>
      </c>
      <c r="M2655">
        <v>11.7196365867712</v>
      </c>
      <c r="N2655">
        <v>55.4278210874241</v>
      </c>
      <c r="O2655">
        <v>50.677281036388401</v>
      </c>
      <c r="P2655">
        <v>-4.3299407277839597E-2</v>
      </c>
      <c r="Q2655">
        <v>0.25126782302738199</v>
      </c>
      <c r="R2655">
        <v>0.97102101536990504</v>
      </c>
      <c r="S2655" t="s">
        <v>9223</v>
      </c>
      <c r="T2655" t="s">
        <v>13134</v>
      </c>
      <c r="U2655" t="s">
        <v>13134</v>
      </c>
      <c r="V2655" t="s">
        <v>13134</v>
      </c>
      <c r="W2655" t="s">
        <v>15741</v>
      </c>
      <c r="X2655">
        <v>22</v>
      </c>
      <c r="Y2655" t="s">
        <v>22181</v>
      </c>
      <c r="Z2655" t="s">
        <v>28623</v>
      </c>
      <c r="AA2655">
        <v>0.64662752809437618</v>
      </c>
      <c r="AB2655" t="str">
        <f>HYPERLINK("Melting_Curves/meltCurve_P43034_PAFAH1B1.pdf", "Melting_Curves/meltCurve_P43034_PAFAH1B1.pdf")</f>
        <v>Melting_Curves/meltCurve_P43034_PAFAH1B1.pdf</v>
      </c>
    </row>
    <row r="2656" spans="1:28" x14ac:dyDescent="0.25">
      <c r="A2656" t="s">
        <v>2660</v>
      </c>
      <c r="B2656">
        <v>0.99472303558308395</v>
      </c>
      <c r="C2656">
        <v>1.0350357716163501</v>
      </c>
      <c r="D2656">
        <v>0.94151997316942004</v>
      </c>
      <c r="E2656">
        <v>0.91824661579100997</v>
      </c>
      <c r="F2656">
        <v>0.74424641212325704</v>
      </c>
      <c r="G2656">
        <v>0.55238856508175105</v>
      </c>
      <c r="H2656">
        <v>0.41412562626258098</v>
      </c>
      <c r="I2656">
        <v>0.40784009370708202</v>
      </c>
      <c r="J2656">
        <v>0.46860026076927602</v>
      </c>
      <c r="K2656">
        <v>0.47493806859819798</v>
      </c>
      <c r="L2656">
        <v>1199.3676834435601</v>
      </c>
      <c r="M2656">
        <v>23.779418158853701</v>
      </c>
      <c r="N2656">
        <v>55.155087282002803</v>
      </c>
      <c r="O2656">
        <v>50.084592093854901</v>
      </c>
      <c r="P2656">
        <v>-6.7112270609539906E-2</v>
      </c>
      <c r="Q2656">
        <v>0.43459763543952901</v>
      </c>
      <c r="R2656">
        <v>0.98255330904395599</v>
      </c>
      <c r="S2656" t="s">
        <v>9224</v>
      </c>
      <c r="T2656" t="s">
        <v>13134</v>
      </c>
      <c r="U2656" t="s">
        <v>13134</v>
      </c>
      <c r="V2656" t="s">
        <v>13134</v>
      </c>
      <c r="W2656" t="s">
        <v>15742</v>
      </c>
      <c r="X2656">
        <v>18</v>
      </c>
      <c r="Y2656" t="s">
        <v>22182</v>
      </c>
      <c r="Z2656" t="s">
        <v>28624</v>
      </c>
      <c r="AA2656">
        <v>0.69329894013887428</v>
      </c>
      <c r="AB2656" t="str">
        <f>HYPERLINK("Melting_Curves/meltCurve_P43121_MCAM.pdf", "Melting_Curves/meltCurve_P43121_MCAM.pdf")</f>
        <v>Melting_Curves/meltCurve_P43121_MCAM.pdf</v>
      </c>
    </row>
    <row r="2657" spans="1:28" x14ac:dyDescent="0.25">
      <c r="A2657" t="s">
        <v>2661</v>
      </c>
      <c r="B2657">
        <v>0.99472303558308395</v>
      </c>
      <c r="C2657">
        <v>0.95041396705811398</v>
      </c>
      <c r="D2657">
        <v>0.90409957957213605</v>
      </c>
      <c r="E2657">
        <v>0.49768299912390102</v>
      </c>
      <c r="F2657">
        <v>0.202219723400513</v>
      </c>
      <c r="G2657">
        <v>9.3264888612986194E-2</v>
      </c>
      <c r="H2657">
        <v>6.6556035591219295E-2</v>
      </c>
      <c r="I2657">
        <v>5.4734317711762299E-2</v>
      </c>
      <c r="J2657">
        <v>5.64298957679659E-2</v>
      </c>
      <c r="K2657">
        <v>6.8318337411827496E-2</v>
      </c>
      <c r="L2657">
        <v>1131.1439996953</v>
      </c>
      <c r="M2657">
        <v>24.357095332273801</v>
      </c>
      <c r="N2657">
        <v>46.684313885924098</v>
      </c>
      <c r="O2657">
        <v>46.130380844747798</v>
      </c>
      <c r="P2657">
        <v>-0.12410502414753199</v>
      </c>
      <c r="Q2657">
        <v>5.9834261521903999E-2</v>
      </c>
      <c r="R2657">
        <v>0.99869193315166205</v>
      </c>
      <c r="S2657" t="s">
        <v>9225</v>
      </c>
      <c r="T2657" t="s">
        <v>13134</v>
      </c>
      <c r="U2657" t="s">
        <v>13134</v>
      </c>
      <c r="V2657" t="s">
        <v>13134</v>
      </c>
      <c r="W2657" t="s">
        <v>15743</v>
      </c>
      <c r="X2657">
        <v>1</v>
      </c>
      <c r="Y2657" t="s">
        <v>22183</v>
      </c>
      <c r="Z2657" t="s">
        <v>28625</v>
      </c>
      <c r="AA2657">
        <v>0.36393360320282298</v>
      </c>
      <c r="AB2657" t="str">
        <f>HYPERLINK("Melting_Curves/meltCurve_P43155_3_CRAT.pdf", "Melting_Curves/meltCurve_P43155_3_CRAT.pdf")</f>
        <v>Melting_Curves/meltCurve_P43155_3_CRAT.pdf</v>
      </c>
    </row>
    <row r="2658" spans="1:28" x14ac:dyDescent="0.25">
      <c r="A2658" t="s">
        <v>2662</v>
      </c>
      <c r="B2658">
        <v>0.99472303558308395</v>
      </c>
      <c r="C2658">
        <v>0.92029264413742695</v>
      </c>
      <c r="D2658">
        <v>0.85922762219491899</v>
      </c>
      <c r="E2658">
        <v>0.63975627482207198</v>
      </c>
      <c r="F2658">
        <v>0.27992365524666801</v>
      </c>
      <c r="G2658">
        <v>7.3792205135065306E-2</v>
      </c>
      <c r="H2658">
        <v>4.44145149522032E-2</v>
      </c>
      <c r="I2658">
        <v>3.1407888379999797E-2</v>
      </c>
      <c r="J2658">
        <v>3.9174625498840099E-2</v>
      </c>
      <c r="K2658">
        <v>3.3279848808995802E-2</v>
      </c>
      <c r="L2658">
        <v>912.10629956436901</v>
      </c>
      <c r="M2658">
        <v>19.163601008877599</v>
      </c>
      <c r="N2658">
        <v>47.671563638992403</v>
      </c>
      <c r="O2658">
        <v>47.086575006706298</v>
      </c>
      <c r="P2658">
        <v>-0.10022378827141699</v>
      </c>
      <c r="Q2658">
        <v>1.5004940793169601E-2</v>
      </c>
      <c r="R2658">
        <v>0.99543141553401104</v>
      </c>
      <c r="S2658" t="s">
        <v>9226</v>
      </c>
      <c r="T2658" t="s">
        <v>13134</v>
      </c>
      <c r="U2658" t="s">
        <v>13134</v>
      </c>
      <c r="V2658" t="s">
        <v>13134</v>
      </c>
      <c r="W2658" t="s">
        <v>15744</v>
      </c>
      <c r="X2658">
        <v>43</v>
      </c>
      <c r="Y2658" t="s">
        <v>22184</v>
      </c>
      <c r="Z2658" t="s">
        <v>28626</v>
      </c>
      <c r="AA2658">
        <v>0.37691685737799752</v>
      </c>
      <c r="AB2658" t="str">
        <f>HYPERLINK("Melting_Curves/meltCurve_P43246_MSH2.pdf", "Melting_Curves/meltCurve_P43246_MSH2.pdf")</f>
        <v>Melting_Curves/meltCurve_P43246_MSH2.pdf</v>
      </c>
    </row>
    <row r="2659" spans="1:28" x14ac:dyDescent="0.25">
      <c r="A2659" t="s">
        <v>2663</v>
      </c>
      <c r="B2659">
        <v>0.99472303558308395</v>
      </c>
      <c r="C2659">
        <v>0.96899636017787705</v>
      </c>
      <c r="D2659">
        <v>0.87094046492024602</v>
      </c>
      <c r="E2659">
        <v>0.48773750740573302</v>
      </c>
      <c r="F2659">
        <v>0.17817244955262901</v>
      </c>
      <c r="G2659">
        <v>9.8570901203687097E-2</v>
      </c>
      <c r="H2659">
        <v>6.4234720428004002E-2</v>
      </c>
      <c r="I2659">
        <v>4.5742869852174399E-2</v>
      </c>
      <c r="J2659">
        <v>4.9122549618690899E-2</v>
      </c>
      <c r="K2659">
        <v>3.6264506089524799E-2</v>
      </c>
      <c r="L2659">
        <v>1074.66079522263</v>
      </c>
      <c r="M2659">
        <v>23.200775531118602</v>
      </c>
      <c r="N2659">
        <v>46.518458903828702</v>
      </c>
      <c r="O2659">
        <v>45.980030503293897</v>
      </c>
      <c r="P2659">
        <v>-0.120205252887415</v>
      </c>
      <c r="Q2659">
        <v>4.7110949362801101E-2</v>
      </c>
      <c r="R2659">
        <v>0.99961519315439196</v>
      </c>
      <c r="S2659" t="s">
        <v>9227</v>
      </c>
      <c r="T2659" t="s">
        <v>13134</v>
      </c>
      <c r="U2659" t="s">
        <v>13134</v>
      </c>
      <c r="V2659" t="s">
        <v>13134</v>
      </c>
      <c r="W2659" t="s">
        <v>15745</v>
      </c>
      <c r="X2659">
        <v>17</v>
      </c>
      <c r="Y2659" t="s">
        <v>22185</v>
      </c>
      <c r="Z2659" t="s">
        <v>28627</v>
      </c>
      <c r="AA2659">
        <v>0.35237171317839361</v>
      </c>
      <c r="AB2659" t="str">
        <f>HYPERLINK("Melting_Curves/meltCurve_P43250_2_GRK6.pdf", "Melting_Curves/meltCurve_P43250_2_GRK6.pdf")</f>
        <v>Melting_Curves/meltCurve_P43250_2_GRK6.pdf</v>
      </c>
    </row>
    <row r="2660" spans="1:28" x14ac:dyDescent="0.25">
      <c r="A2660" t="s">
        <v>2664</v>
      </c>
      <c r="B2660">
        <v>0.99472303558308395</v>
      </c>
      <c r="C2660">
        <v>1.0000631955074399</v>
      </c>
      <c r="D2660">
        <v>0.95364778681763396</v>
      </c>
      <c r="E2660">
        <v>0.88032675339204802</v>
      </c>
      <c r="F2660">
        <v>0.73214814375470005</v>
      </c>
      <c r="G2660">
        <v>0.55552032071201496</v>
      </c>
      <c r="H2660">
        <v>0.41796782771258401</v>
      </c>
      <c r="I2660">
        <v>0.33204213635667301</v>
      </c>
      <c r="J2660">
        <v>0.29762245658853398</v>
      </c>
      <c r="K2660">
        <v>0.229973248934979</v>
      </c>
      <c r="L2660">
        <v>654.63306377933804</v>
      </c>
      <c r="M2660">
        <v>12.3380907138111</v>
      </c>
      <c r="N2660">
        <v>55.2224793011533</v>
      </c>
      <c r="O2660">
        <v>51.721873171120698</v>
      </c>
      <c r="P2660">
        <v>-4.82131543555082E-2</v>
      </c>
      <c r="Q2660">
        <v>0.191727675731656</v>
      </c>
      <c r="R2660">
        <v>0.998775633892935</v>
      </c>
      <c r="S2660" t="s">
        <v>9228</v>
      </c>
      <c r="T2660" t="s">
        <v>13134</v>
      </c>
      <c r="U2660" t="s">
        <v>13134</v>
      </c>
      <c r="V2660" t="s">
        <v>13134</v>
      </c>
      <c r="W2660" t="s">
        <v>15746</v>
      </c>
      <c r="X2660">
        <v>36</v>
      </c>
      <c r="Y2660" t="s">
        <v>22186</v>
      </c>
      <c r="Z2660" t="s">
        <v>28628</v>
      </c>
      <c r="AA2660">
        <v>0.64101732469498929</v>
      </c>
      <c r="AB2660" t="str">
        <f>HYPERLINK("Melting_Curves/meltCurve_P43304_GPD2.pdf", "Melting_Curves/meltCurve_P43304_GPD2.pdf")</f>
        <v>Melting_Curves/meltCurve_P43304_GPD2.pdf</v>
      </c>
    </row>
    <row r="2661" spans="1:28" x14ac:dyDescent="0.25">
      <c r="A2661" t="s">
        <v>2665</v>
      </c>
      <c r="B2661">
        <v>0.99472303558308395</v>
      </c>
      <c r="C2661">
        <v>0.92813951744759304</v>
      </c>
      <c r="D2661">
        <v>0.87008823121755396</v>
      </c>
      <c r="E2661">
        <v>0.79509216156002305</v>
      </c>
      <c r="F2661">
        <v>0.73856117926913101</v>
      </c>
      <c r="G2661">
        <v>0.493606447522007</v>
      </c>
      <c r="H2661">
        <v>0.33944325054449198</v>
      </c>
      <c r="I2661">
        <v>0.201853748585406</v>
      </c>
      <c r="J2661">
        <v>0.19095758928986001</v>
      </c>
      <c r="K2661">
        <v>0.22734151611692899</v>
      </c>
      <c r="L2661">
        <v>543.09601710746801</v>
      </c>
      <c r="M2661">
        <v>10.273842923327599</v>
      </c>
      <c r="N2661">
        <v>53.689017764776302</v>
      </c>
      <c r="O2661">
        <v>50.976733196708601</v>
      </c>
      <c r="P2661">
        <v>-4.67180868140806E-2</v>
      </c>
      <c r="Q2661">
        <v>7.3183666025473396E-2</v>
      </c>
      <c r="R2661">
        <v>0.98052808805053204</v>
      </c>
      <c r="S2661" t="s">
        <v>9229</v>
      </c>
      <c r="T2661" t="s">
        <v>13134</v>
      </c>
      <c r="U2661" t="s">
        <v>13134</v>
      </c>
      <c r="V2661" t="s">
        <v>13134</v>
      </c>
      <c r="W2661" t="s">
        <v>15747</v>
      </c>
      <c r="X2661">
        <v>4</v>
      </c>
      <c r="Y2661" t="s">
        <v>22187</v>
      </c>
      <c r="Z2661" t="s">
        <v>28629</v>
      </c>
      <c r="AA2661">
        <v>0.58442372574764778</v>
      </c>
      <c r="AB2661" t="str">
        <f>HYPERLINK("Melting_Curves/meltCurve_P43307_SSR1.pdf", "Melting_Curves/meltCurve_P43307_SSR1.pdf")</f>
        <v>Melting_Curves/meltCurve_P43307_SSR1.pdf</v>
      </c>
    </row>
    <row r="2662" spans="1:28" x14ac:dyDescent="0.25">
      <c r="A2662" t="s">
        <v>2666</v>
      </c>
      <c r="B2662">
        <v>0.99472303558308395</v>
      </c>
      <c r="C2662">
        <v>0.86420763151491198</v>
      </c>
      <c r="D2662">
        <v>0.74315337945606597</v>
      </c>
      <c r="E2662">
        <v>0.474261950973139</v>
      </c>
      <c r="F2662">
        <v>0.24091394851925699</v>
      </c>
      <c r="G2662">
        <v>0.11307933745366899</v>
      </c>
      <c r="H2662">
        <v>6.7010466784370004E-2</v>
      </c>
      <c r="I2662">
        <v>4.7145633911720101E-2</v>
      </c>
      <c r="J2662">
        <v>5.7716266502613099E-2</v>
      </c>
      <c r="K2662">
        <v>4.2086883623774898E-2</v>
      </c>
      <c r="L2662">
        <v>667.02417702053197</v>
      </c>
      <c r="M2662">
        <v>14.528696356164801</v>
      </c>
      <c r="N2662">
        <v>46.077264847783397</v>
      </c>
      <c r="O2662">
        <v>45.067317678951902</v>
      </c>
      <c r="P2662">
        <v>-7.85429116940667E-2</v>
      </c>
      <c r="Q2662">
        <v>2.5566209489101401E-2</v>
      </c>
      <c r="R2662">
        <v>0.99771524349448504</v>
      </c>
      <c r="S2662" t="s">
        <v>9230</v>
      </c>
      <c r="T2662" t="s">
        <v>13134</v>
      </c>
      <c r="U2662" t="s">
        <v>13134</v>
      </c>
      <c r="V2662" t="s">
        <v>13134</v>
      </c>
      <c r="W2662" t="s">
        <v>15748</v>
      </c>
      <c r="X2662">
        <v>3</v>
      </c>
      <c r="Y2662" t="s">
        <v>22188</v>
      </c>
      <c r="Z2662" t="s">
        <v>28630</v>
      </c>
      <c r="AA2662">
        <v>0.33892889473658661</v>
      </c>
      <c r="AB2662" t="str">
        <f>HYPERLINK("Melting_Curves/meltCurve_P43355_MAGEA1.pdf", "Melting_Curves/meltCurve_P43355_MAGEA1.pdf")</f>
        <v>Melting_Curves/meltCurve_P43355_MAGEA1.pdf</v>
      </c>
    </row>
    <row r="2663" spans="1:28" x14ac:dyDescent="0.25">
      <c r="A2663" t="s">
        <v>2667</v>
      </c>
      <c r="B2663">
        <v>0.99472303558308395</v>
      </c>
      <c r="C2663">
        <v>0.72741940287965901</v>
      </c>
      <c r="D2663">
        <v>0.52261504402177805</v>
      </c>
      <c r="E2663">
        <v>0.24593891902220899</v>
      </c>
      <c r="F2663">
        <v>0.14323302838361701</v>
      </c>
      <c r="G2663">
        <v>7.4173931784227598E-2</v>
      </c>
      <c r="H2663">
        <v>5.2073226513127097E-2</v>
      </c>
      <c r="I2663">
        <v>4.0661077291548199E-2</v>
      </c>
      <c r="J2663">
        <v>5.46340414552067E-2</v>
      </c>
      <c r="K2663">
        <v>3.6980140128164099E-2</v>
      </c>
      <c r="L2663">
        <v>680.72025355968503</v>
      </c>
      <c r="M2663">
        <v>15.8794666146597</v>
      </c>
      <c r="N2663">
        <v>43.0962042516419</v>
      </c>
      <c r="O2663">
        <v>42.205384125679103</v>
      </c>
      <c r="P2663">
        <v>-9.0274363909432997E-2</v>
      </c>
      <c r="Q2663">
        <v>4.0331396258730501E-2</v>
      </c>
      <c r="R2663">
        <v>0.99298952360047399</v>
      </c>
      <c r="S2663" t="s">
        <v>9231</v>
      </c>
      <c r="T2663" t="s">
        <v>13134</v>
      </c>
      <c r="U2663" t="s">
        <v>13134</v>
      </c>
      <c r="V2663" t="s">
        <v>13134</v>
      </c>
      <c r="W2663" t="s">
        <v>15749</v>
      </c>
      <c r="X2663">
        <v>2</v>
      </c>
      <c r="Y2663" t="s">
        <v>22189</v>
      </c>
      <c r="Z2663" t="s">
        <v>28631</v>
      </c>
      <c r="AA2663">
        <v>0.25068564107769448</v>
      </c>
      <c r="AB2663" t="str">
        <f>HYPERLINK("Melting_Curves/meltCurve_P43357_MAGEA3.pdf", "Melting_Curves/meltCurve_P43357_MAGEA3.pdf")</f>
        <v>Melting_Curves/meltCurve_P43357_MAGEA3.pdf</v>
      </c>
    </row>
    <row r="2664" spans="1:28" x14ac:dyDescent="0.25">
      <c r="A2664" t="s">
        <v>2668</v>
      </c>
      <c r="B2664">
        <v>0.99472303558308395</v>
      </c>
      <c r="C2664">
        <v>0.98372363394976703</v>
      </c>
      <c r="D2664">
        <v>0.87156379171540699</v>
      </c>
      <c r="E2664">
        <v>0.36952024515030801</v>
      </c>
      <c r="F2664">
        <v>0.178663217865624</v>
      </c>
      <c r="G2664">
        <v>7.5482578853984503E-2</v>
      </c>
      <c r="H2664">
        <v>5.3231325246470902E-2</v>
      </c>
      <c r="I2664">
        <v>3.1460382563580198E-2</v>
      </c>
      <c r="J2664">
        <v>4.6095879198777598E-2</v>
      </c>
      <c r="K2664">
        <v>2.8857359778745598E-2</v>
      </c>
      <c r="L2664">
        <v>1211.17264746005</v>
      </c>
      <c r="M2664">
        <v>26.518096981360099</v>
      </c>
      <c r="N2664">
        <v>45.8494979477369</v>
      </c>
      <c r="O2664">
        <v>45.416074495276497</v>
      </c>
      <c r="P2664">
        <v>-0.138908358506001</v>
      </c>
      <c r="Q2664">
        <v>4.8407556018289402E-2</v>
      </c>
      <c r="R2664">
        <v>0.99679417833143802</v>
      </c>
      <c r="S2664" t="s">
        <v>9232</v>
      </c>
      <c r="T2664" t="s">
        <v>13134</v>
      </c>
      <c r="U2664" t="s">
        <v>13134</v>
      </c>
      <c r="V2664" t="s">
        <v>13134</v>
      </c>
      <c r="W2664" t="s">
        <v>15750</v>
      </c>
      <c r="X2664">
        <v>5</v>
      </c>
      <c r="Y2664" t="s">
        <v>22190</v>
      </c>
      <c r="Z2664" t="s">
        <v>28632</v>
      </c>
      <c r="AA2664">
        <v>0.33048293544891549</v>
      </c>
      <c r="AB2664" t="str">
        <f>HYPERLINK("Melting_Curves/meltCurve_P43366_MAGEB1.pdf", "Melting_Curves/meltCurve_P43366_MAGEB1.pdf")</f>
        <v>Melting_Curves/meltCurve_P43366_MAGEB1.pdf</v>
      </c>
    </row>
    <row r="2665" spans="1:28" x14ac:dyDescent="0.25">
      <c r="A2665" t="s">
        <v>2669</v>
      </c>
      <c r="B2665">
        <v>0.99472303558308395</v>
      </c>
      <c r="C2665">
        <v>1.0035880801039201</v>
      </c>
      <c r="D2665">
        <v>0.89155797424991301</v>
      </c>
      <c r="E2665">
        <v>0.52518753181063804</v>
      </c>
      <c r="F2665">
        <v>0.21145151199492501</v>
      </c>
      <c r="G2665">
        <v>0.139279529140514</v>
      </c>
      <c r="H2665">
        <v>9.4395909693264904E-2</v>
      </c>
      <c r="I2665">
        <v>7.7936809442359103E-2</v>
      </c>
      <c r="J2665">
        <v>0.113746251914911</v>
      </c>
      <c r="K2665">
        <v>8.3349614775201697E-2</v>
      </c>
      <c r="L2665">
        <v>1164.7339919752201</v>
      </c>
      <c r="M2665">
        <v>25.081478720623199</v>
      </c>
      <c r="N2665">
        <v>46.8235239772713</v>
      </c>
      <c r="O2665">
        <v>46.145827362058299</v>
      </c>
      <c r="P2665">
        <v>-0.123207439907563</v>
      </c>
      <c r="Q2665">
        <v>9.3285712522557199E-2</v>
      </c>
      <c r="R2665">
        <v>0.99896704108182499</v>
      </c>
      <c r="S2665" t="s">
        <v>9233</v>
      </c>
      <c r="T2665" t="s">
        <v>13134</v>
      </c>
      <c r="U2665" t="s">
        <v>13134</v>
      </c>
      <c r="V2665" t="s">
        <v>13134</v>
      </c>
      <c r="W2665" t="s">
        <v>15751</v>
      </c>
      <c r="X2665">
        <v>4</v>
      </c>
      <c r="Y2665" t="s">
        <v>22191</v>
      </c>
      <c r="Z2665" t="s">
        <v>28633</v>
      </c>
      <c r="AA2665">
        <v>0.38604373207726111</v>
      </c>
      <c r="AB2665" t="str">
        <f>HYPERLINK("Melting_Curves/meltCurve_P43378_PTPN9.pdf", "Melting_Curves/meltCurve_P43378_PTPN9.pdf")</f>
        <v>Melting_Curves/meltCurve_P43378_PTPN9.pdf</v>
      </c>
    </row>
    <row r="2666" spans="1:28" x14ac:dyDescent="0.25">
      <c r="A2666" t="s">
        <v>2670</v>
      </c>
      <c r="B2666">
        <v>0.99472303558308395</v>
      </c>
      <c r="C2666">
        <v>1.00301319966841</v>
      </c>
      <c r="D2666">
        <v>0.95066358173550203</v>
      </c>
      <c r="E2666">
        <v>0.45917228213086803</v>
      </c>
      <c r="F2666">
        <v>0.16904730544996099</v>
      </c>
      <c r="G2666">
        <v>0.10989136274817</v>
      </c>
      <c r="H2666">
        <v>5.6953345852147501E-2</v>
      </c>
      <c r="I2666">
        <v>4.1523664368037699E-2</v>
      </c>
      <c r="J2666">
        <v>4.8171088174194097E-2</v>
      </c>
      <c r="K2666">
        <v>4.1303896593912197E-2</v>
      </c>
      <c r="L2666">
        <v>1423.8669876505501</v>
      </c>
      <c r="M2666">
        <v>30.763441365933399</v>
      </c>
      <c r="N2666">
        <v>46.477824236413198</v>
      </c>
      <c r="O2666">
        <v>46.090128692980898</v>
      </c>
      <c r="P2666">
        <v>-0.15684037874718201</v>
      </c>
      <c r="Q2666">
        <v>6.00855907452282E-2</v>
      </c>
      <c r="R2666">
        <v>0.99705027264964097</v>
      </c>
      <c r="S2666" t="s">
        <v>9234</v>
      </c>
      <c r="T2666" t="s">
        <v>13134</v>
      </c>
      <c r="U2666" t="s">
        <v>13134</v>
      </c>
      <c r="V2666" t="s">
        <v>13134</v>
      </c>
      <c r="W2666" t="s">
        <v>15752</v>
      </c>
      <c r="X2666">
        <v>8</v>
      </c>
      <c r="Y2666" t="s">
        <v>22192</v>
      </c>
      <c r="Z2666" t="s">
        <v>28634</v>
      </c>
      <c r="AA2666">
        <v>0.35609158110417571</v>
      </c>
      <c r="AB2666" t="str">
        <f>HYPERLINK("Melting_Curves/meltCurve_P43405_2_SYK.pdf", "Melting_Curves/meltCurve_P43405_2_SYK.pdf")</f>
        <v>Melting_Curves/meltCurve_P43405_2_SYK.pdf</v>
      </c>
    </row>
    <row r="2667" spans="1:28" x14ac:dyDescent="0.25">
      <c r="A2667" t="s">
        <v>2671</v>
      </c>
      <c r="B2667">
        <v>0.99472303558308395</v>
      </c>
      <c r="C2667">
        <v>1.02233227675148</v>
      </c>
      <c r="D2667">
        <v>0.99184592181880604</v>
      </c>
      <c r="E2667">
        <v>0.82606669930545495</v>
      </c>
      <c r="F2667">
        <v>0.39153968886729501</v>
      </c>
      <c r="G2667">
        <v>0.22526497571127099</v>
      </c>
      <c r="H2667">
        <v>0.23888015634153301</v>
      </c>
      <c r="I2667">
        <v>0.224158154867065</v>
      </c>
      <c r="J2667">
        <v>0.219631574347148</v>
      </c>
      <c r="K2667">
        <v>0.14446326453182001</v>
      </c>
      <c r="L2667">
        <v>1595.35182455013</v>
      </c>
      <c r="M2667">
        <v>32.956590827623401</v>
      </c>
      <c r="N2667">
        <v>49.188687308599</v>
      </c>
      <c r="O2667">
        <v>48.230484024844102</v>
      </c>
      <c r="P2667">
        <v>-0.13602900047227701</v>
      </c>
      <c r="Q2667">
        <v>0.203714353682205</v>
      </c>
      <c r="R2667">
        <v>0.99559019016625805</v>
      </c>
      <c r="S2667" t="s">
        <v>9235</v>
      </c>
      <c r="T2667" t="s">
        <v>13134</v>
      </c>
      <c r="U2667" t="s">
        <v>13134</v>
      </c>
      <c r="V2667" t="s">
        <v>13134</v>
      </c>
      <c r="W2667" t="s">
        <v>15753</v>
      </c>
      <c r="X2667">
        <v>13</v>
      </c>
      <c r="Y2667" t="s">
        <v>20709</v>
      </c>
      <c r="Z2667" t="s">
        <v>28635</v>
      </c>
      <c r="AA2667">
        <v>0.51044148695949221</v>
      </c>
      <c r="AB2667" t="str">
        <f>HYPERLINK("Melting_Curves/meltCurve_P43487_RANBP1.pdf", "Melting_Curves/meltCurve_P43487_RANBP1.pdf")</f>
        <v>Melting_Curves/meltCurve_P43487_RANBP1.pdf</v>
      </c>
    </row>
    <row r="2668" spans="1:28" x14ac:dyDescent="0.25">
      <c r="A2668" t="s">
        <v>2672</v>
      </c>
      <c r="B2668">
        <v>0.99472303558308395</v>
      </c>
      <c r="C2668">
        <v>0.89687166970520005</v>
      </c>
      <c r="D2668">
        <v>0.97287302192343295</v>
      </c>
      <c r="E2668">
        <v>0.91452004347680504</v>
      </c>
      <c r="F2668">
        <v>0.79978111165444798</v>
      </c>
      <c r="G2668">
        <v>0.67067257702231597</v>
      </c>
      <c r="H2668">
        <v>0.51635214552650699</v>
      </c>
      <c r="I2668">
        <v>0.18511598779847099</v>
      </c>
      <c r="J2668">
        <v>8.2011653931961706E-2</v>
      </c>
      <c r="K2668">
        <v>0.101301974940766</v>
      </c>
      <c r="L2668">
        <v>813.681591646622</v>
      </c>
      <c r="M2668">
        <v>14.4781314482128</v>
      </c>
      <c r="N2668">
        <v>56.200732883644797</v>
      </c>
      <c r="O2668">
        <v>55.161188671784402</v>
      </c>
      <c r="P2668">
        <v>-6.5624998615624597E-2</v>
      </c>
      <c r="Q2668">
        <v>0</v>
      </c>
      <c r="R2668">
        <v>0.97538935970560503</v>
      </c>
      <c r="S2668" t="s">
        <v>9236</v>
      </c>
      <c r="T2668" t="s">
        <v>13134</v>
      </c>
      <c r="U2668" t="s">
        <v>13134</v>
      </c>
      <c r="V2668" t="s">
        <v>13134</v>
      </c>
      <c r="W2668" t="s">
        <v>15754</v>
      </c>
      <c r="X2668">
        <v>26</v>
      </c>
      <c r="Y2668" t="s">
        <v>22193</v>
      </c>
      <c r="Z2668" t="s">
        <v>28636</v>
      </c>
      <c r="AA2668">
        <v>0.65075622310490366</v>
      </c>
      <c r="AB2668" t="str">
        <f>HYPERLINK("Melting_Curves/meltCurve_P43490_NAMPT.pdf", "Melting_Curves/meltCurve_P43490_NAMPT.pdf")</f>
        <v>Melting_Curves/meltCurve_P43490_NAMPT.pdf</v>
      </c>
    </row>
    <row r="2669" spans="1:28" x14ac:dyDescent="0.25">
      <c r="A2669" t="s">
        <v>2673</v>
      </c>
      <c r="B2669">
        <v>0.99472303558308395</v>
      </c>
      <c r="C2669">
        <v>0.95005051528048201</v>
      </c>
      <c r="D2669">
        <v>0.69755309031123502</v>
      </c>
      <c r="E2669">
        <v>0.61547107986147698</v>
      </c>
      <c r="F2669">
        <v>0.68662792273934004</v>
      </c>
      <c r="G2669">
        <v>0.241817501579558</v>
      </c>
      <c r="H2669">
        <v>8.1911822855097002E-2</v>
      </c>
      <c r="I2669">
        <v>3.89318633880332E-2</v>
      </c>
      <c r="J2669">
        <v>3.8373590262700499E-2</v>
      </c>
      <c r="K2669">
        <v>3.6334642156209802E-2</v>
      </c>
      <c r="L2669">
        <v>560.40247616870602</v>
      </c>
      <c r="M2669">
        <v>11.3494690303511</v>
      </c>
      <c r="N2669">
        <v>49.376953246229199</v>
      </c>
      <c r="O2669">
        <v>47.918564703766101</v>
      </c>
      <c r="P2669">
        <v>-5.9229983207896901E-2</v>
      </c>
      <c r="Q2669">
        <v>0</v>
      </c>
      <c r="R2669">
        <v>0.93266567613170404</v>
      </c>
      <c r="S2669" t="s">
        <v>9237</v>
      </c>
      <c r="T2669" t="s">
        <v>13134</v>
      </c>
      <c r="U2669" t="s">
        <v>13134</v>
      </c>
      <c r="V2669" t="s">
        <v>13134</v>
      </c>
      <c r="W2669" t="s">
        <v>15755</v>
      </c>
      <c r="X2669">
        <v>27</v>
      </c>
      <c r="Y2669" t="s">
        <v>22194</v>
      </c>
      <c r="Z2669" t="s">
        <v>28637</v>
      </c>
      <c r="AA2669">
        <v>0.44372871029733929</v>
      </c>
      <c r="AB2669" t="str">
        <f>HYPERLINK("Melting_Curves/meltCurve_P43686_PSMC4.pdf", "Melting_Curves/meltCurve_P43686_PSMC4.pdf")</f>
        <v>Melting_Curves/meltCurve_P43686_PSMC4.pdf</v>
      </c>
    </row>
    <row r="2670" spans="1:28" x14ac:dyDescent="0.25">
      <c r="A2670" t="s">
        <v>2674</v>
      </c>
      <c r="B2670">
        <v>0.99472303558308395</v>
      </c>
      <c r="C2670">
        <v>1.0105089504172899</v>
      </c>
      <c r="D2670">
        <v>1.04955857112635</v>
      </c>
      <c r="E2670">
        <v>0.72235064691752504</v>
      </c>
      <c r="F2670">
        <v>0.17279427471897199</v>
      </c>
      <c r="G2670">
        <v>9.9306103585175401E-2</v>
      </c>
      <c r="H2670">
        <v>6.3292378656716899E-2</v>
      </c>
      <c r="I2670">
        <v>5.4605224913240102E-2</v>
      </c>
      <c r="J2670">
        <v>6.8012421003130097E-2</v>
      </c>
      <c r="K2670">
        <v>6.1251536661722103E-2</v>
      </c>
      <c r="L2670">
        <v>1960.16504049475</v>
      </c>
      <c r="M2670">
        <v>41.171245152029599</v>
      </c>
      <c r="N2670">
        <v>47.780007641473297</v>
      </c>
      <c r="O2670">
        <v>47.498136684982001</v>
      </c>
      <c r="P2670">
        <v>-0.20193906169650599</v>
      </c>
      <c r="Q2670">
        <v>6.81154102894653E-2</v>
      </c>
      <c r="R2670">
        <v>0.99744902987558304</v>
      </c>
      <c r="S2670" t="s">
        <v>9238</v>
      </c>
      <c r="T2670" t="s">
        <v>13134</v>
      </c>
      <c r="U2670" t="s">
        <v>13134</v>
      </c>
      <c r="V2670" t="s">
        <v>13134</v>
      </c>
      <c r="W2670" t="s">
        <v>15756</v>
      </c>
      <c r="X2670">
        <v>20</v>
      </c>
      <c r="Y2670" t="s">
        <v>22195</v>
      </c>
      <c r="Z2670" t="s">
        <v>28638</v>
      </c>
      <c r="AA2670">
        <v>0.40058728552686362</v>
      </c>
      <c r="AB2670" t="str">
        <f>HYPERLINK("Melting_Curves/meltCurve_P43897_TSFM.pdf", "Melting_Curves/meltCurve_P43897_TSFM.pdf")</f>
        <v>Melting_Curves/meltCurve_P43897_TSFM.pdf</v>
      </c>
    </row>
    <row r="2671" spans="1:28" x14ac:dyDescent="0.25">
      <c r="A2671" t="s">
        <v>2675</v>
      </c>
      <c r="B2671">
        <v>0.99472303558308395</v>
      </c>
      <c r="C2671">
        <v>0.98447899120790205</v>
      </c>
      <c r="D2671">
        <v>0.81686652288209205</v>
      </c>
      <c r="E2671">
        <v>0.80736771392860696</v>
      </c>
      <c r="F2671">
        <v>0.71138708220803204</v>
      </c>
      <c r="G2671">
        <v>0.39063570051271701</v>
      </c>
      <c r="H2671">
        <v>0.28928041054214498</v>
      </c>
      <c r="I2671">
        <v>0.204011553330573</v>
      </c>
      <c r="J2671">
        <v>0.166427309122403</v>
      </c>
      <c r="K2671">
        <v>0.28054186171157203</v>
      </c>
      <c r="L2671">
        <v>662.41002724579096</v>
      </c>
      <c r="M2671">
        <v>13.011449839628201</v>
      </c>
      <c r="N2671">
        <v>52.3937454363058</v>
      </c>
      <c r="O2671">
        <v>49.752249516573599</v>
      </c>
      <c r="P2671">
        <v>-5.5314137963176198E-2</v>
      </c>
      <c r="Q2671">
        <v>0.154123979173798</v>
      </c>
      <c r="R2671">
        <v>0.96352385914105199</v>
      </c>
      <c r="S2671" t="s">
        <v>9239</v>
      </c>
      <c r="T2671" t="s">
        <v>13134</v>
      </c>
      <c r="U2671" t="s">
        <v>13134</v>
      </c>
      <c r="V2671" t="s">
        <v>13134</v>
      </c>
      <c r="W2671" t="s">
        <v>15757</v>
      </c>
      <c r="X2671">
        <v>22</v>
      </c>
      <c r="Y2671" t="s">
        <v>22196</v>
      </c>
      <c r="Z2671" t="s">
        <v>28639</v>
      </c>
      <c r="AA2671">
        <v>0.56666757103831855</v>
      </c>
      <c r="AB2671" t="str">
        <f>HYPERLINK("Melting_Curves/meltCurve_P45880_VDAC2.pdf", "Melting_Curves/meltCurve_P45880_VDAC2.pdf")</f>
        <v>Melting_Curves/meltCurve_P45880_VDAC2.pdf</v>
      </c>
    </row>
    <row r="2672" spans="1:28" x14ac:dyDescent="0.25">
      <c r="A2672" t="s">
        <v>2676</v>
      </c>
      <c r="B2672">
        <v>0.99472303558308395</v>
      </c>
      <c r="C2672">
        <v>0.90922181774011002</v>
      </c>
      <c r="D2672">
        <v>0.95019305470931803</v>
      </c>
      <c r="E2672">
        <v>0.79717782941233795</v>
      </c>
      <c r="F2672">
        <v>0.60066968182111402</v>
      </c>
      <c r="G2672">
        <v>0.33104057286869398</v>
      </c>
      <c r="H2672">
        <v>0.223974566527431</v>
      </c>
      <c r="I2672">
        <v>0.12621121345090699</v>
      </c>
      <c r="J2672">
        <v>0.12233922328465099</v>
      </c>
      <c r="K2672">
        <v>0.14790625712310199</v>
      </c>
      <c r="L2672">
        <v>780.09375724014103</v>
      </c>
      <c r="M2672">
        <v>15.4327036505746</v>
      </c>
      <c r="N2672">
        <v>51.249162702140097</v>
      </c>
      <c r="O2672">
        <v>49.722168621389997</v>
      </c>
      <c r="P2672">
        <v>-7.0217205684667799E-2</v>
      </c>
      <c r="Q2672">
        <v>9.5158857849919801E-2</v>
      </c>
      <c r="R2672">
        <v>0.99248608971403196</v>
      </c>
      <c r="S2672" t="s">
        <v>9240</v>
      </c>
      <c r="T2672" t="s">
        <v>13134</v>
      </c>
      <c r="U2672" t="s">
        <v>13134</v>
      </c>
      <c r="V2672" t="s">
        <v>13134</v>
      </c>
      <c r="W2672" t="s">
        <v>15758</v>
      </c>
      <c r="X2672">
        <v>21</v>
      </c>
      <c r="Y2672" t="s">
        <v>22196</v>
      </c>
      <c r="Z2672" t="s">
        <v>28640</v>
      </c>
      <c r="AA2672">
        <v>0.52162111318957083</v>
      </c>
      <c r="AB2672" t="str">
        <f>HYPERLINK("Melting_Curves/meltCurve_P45880_2_VDAC2.pdf", "Melting_Curves/meltCurve_P45880_2_VDAC2.pdf")</f>
        <v>Melting_Curves/meltCurve_P45880_2_VDAC2.pdf</v>
      </c>
    </row>
    <row r="2673" spans="1:28" x14ac:dyDescent="0.25">
      <c r="A2673" t="s">
        <v>2677</v>
      </c>
      <c r="B2673">
        <v>0.99472303558308395</v>
      </c>
      <c r="C2673">
        <v>1.02475537400048</v>
      </c>
      <c r="D2673">
        <v>0.89468876413576404</v>
      </c>
      <c r="E2673">
        <v>0.85275762019332002</v>
      </c>
      <c r="F2673">
        <v>0.55215739847203005</v>
      </c>
      <c r="G2673">
        <v>0.20555778593535301</v>
      </c>
      <c r="H2673">
        <v>0.107690457929439</v>
      </c>
      <c r="I2673">
        <v>8.7690813182892999E-2</v>
      </c>
      <c r="J2673">
        <v>7.6867872560469994E-2</v>
      </c>
      <c r="K2673">
        <v>6.0126801448289399E-2</v>
      </c>
      <c r="L2673">
        <v>1091.0844102256899</v>
      </c>
      <c r="M2673">
        <v>21.7422766263021</v>
      </c>
      <c r="N2673">
        <v>50.466537481058502</v>
      </c>
      <c r="O2673">
        <v>49.763908955900099</v>
      </c>
      <c r="P2673">
        <v>-0.102941713124116</v>
      </c>
      <c r="Q2673">
        <v>5.7566902915169103E-2</v>
      </c>
      <c r="R2673">
        <v>0.99421195705802501</v>
      </c>
      <c r="S2673" t="s">
        <v>9241</v>
      </c>
      <c r="T2673" t="s">
        <v>13134</v>
      </c>
      <c r="U2673" t="s">
        <v>13134</v>
      </c>
      <c r="V2673" t="s">
        <v>13134</v>
      </c>
      <c r="W2673" t="s">
        <v>15759</v>
      </c>
      <c r="X2673">
        <v>5</v>
      </c>
      <c r="Y2673" t="s">
        <v>22197</v>
      </c>
      <c r="Z2673" t="s">
        <v>28641</v>
      </c>
      <c r="AA2673">
        <v>0.48238894100347163</v>
      </c>
      <c r="AB2673" t="str">
        <f>HYPERLINK("Melting_Curves/meltCurve_P45954_ACADSB.pdf", "Melting_Curves/meltCurve_P45954_ACADSB.pdf")</f>
        <v>Melting_Curves/meltCurve_P45954_ACADSB.pdf</v>
      </c>
    </row>
    <row r="2674" spans="1:28" x14ac:dyDescent="0.25">
      <c r="A2674" t="s">
        <v>2678</v>
      </c>
      <c r="B2674">
        <v>0.99472303558308395</v>
      </c>
      <c r="C2674">
        <v>0.98949616955126196</v>
      </c>
      <c r="D2674">
        <v>0.91894176299523</v>
      </c>
      <c r="E2674">
        <v>0.77960911148325696</v>
      </c>
      <c r="F2674">
        <v>0.35507904738201401</v>
      </c>
      <c r="G2674">
        <v>0.13650405379783601</v>
      </c>
      <c r="H2674">
        <v>8.6256394328785305E-2</v>
      </c>
      <c r="I2674">
        <v>6.4981545049468903E-2</v>
      </c>
      <c r="J2674">
        <v>8.1356566507699596E-2</v>
      </c>
      <c r="K2674">
        <v>7.5160292214191501E-2</v>
      </c>
      <c r="L2674">
        <v>1214.8457808809601</v>
      </c>
      <c r="M2674">
        <v>24.991908226148301</v>
      </c>
      <c r="N2674">
        <v>48.895076641776299</v>
      </c>
      <c r="O2674">
        <v>48.301544600128501</v>
      </c>
      <c r="P2674">
        <v>-0.12057367049659599</v>
      </c>
      <c r="Q2674">
        <v>6.7887727820707996E-2</v>
      </c>
      <c r="R2674">
        <v>0.99821150472944897</v>
      </c>
      <c r="S2674" t="s">
        <v>9242</v>
      </c>
      <c r="T2674" t="s">
        <v>13134</v>
      </c>
      <c r="U2674" t="s">
        <v>13134</v>
      </c>
      <c r="V2674" t="s">
        <v>13134</v>
      </c>
      <c r="W2674" t="s">
        <v>15760</v>
      </c>
      <c r="X2674">
        <v>10</v>
      </c>
      <c r="Y2674" t="s">
        <v>22198</v>
      </c>
      <c r="Z2674" t="s">
        <v>28642</v>
      </c>
      <c r="AA2674">
        <v>0.43661897016092949</v>
      </c>
      <c r="AB2674" t="str">
        <f>HYPERLINK("Melting_Curves/meltCurve_P45973_CBX5.pdf", "Melting_Curves/meltCurve_P45973_CBX5.pdf")</f>
        <v>Melting_Curves/meltCurve_P45973_CBX5.pdf</v>
      </c>
    </row>
    <row r="2675" spans="1:28" x14ac:dyDescent="0.25">
      <c r="A2675" t="s">
        <v>2679</v>
      </c>
      <c r="B2675">
        <v>0.99472303558308395</v>
      </c>
      <c r="C2675">
        <v>1.0500295786334299</v>
      </c>
      <c r="D2675">
        <v>1.00472250667148</v>
      </c>
      <c r="E2675">
        <v>0.88288115016902402</v>
      </c>
      <c r="F2675">
        <v>0.57096355017244305</v>
      </c>
      <c r="G2675">
        <v>0.27324512819226998</v>
      </c>
      <c r="H2675">
        <v>9.8750989188014796E-2</v>
      </c>
      <c r="I2675">
        <v>5.0909408927105701E-2</v>
      </c>
      <c r="J2675">
        <v>5.44956575273235E-2</v>
      </c>
      <c r="K2675">
        <v>4.4902749849579197E-2</v>
      </c>
      <c r="L2675">
        <v>1116.7621487026199</v>
      </c>
      <c r="M2675">
        <v>21.982393306115199</v>
      </c>
      <c r="N2675">
        <v>50.982555728205597</v>
      </c>
      <c r="O2675">
        <v>50.3877589736557</v>
      </c>
      <c r="P2675">
        <v>-0.10499679231431901</v>
      </c>
      <c r="Q2675">
        <v>3.7332440360305197E-2</v>
      </c>
      <c r="R2675">
        <v>0.99777684706887504</v>
      </c>
      <c r="S2675" t="s">
        <v>9243</v>
      </c>
      <c r="T2675" t="s">
        <v>13134</v>
      </c>
      <c r="U2675" t="s">
        <v>13134</v>
      </c>
      <c r="V2675" t="s">
        <v>13134</v>
      </c>
      <c r="W2675" t="s">
        <v>15761</v>
      </c>
      <c r="X2675">
        <v>33</v>
      </c>
      <c r="Y2675" t="s">
        <v>22199</v>
      </c>
      <c r="Z2675" t="s">
        <v>28643</v>
      </c>
      <c r="AA2675">
        <v>0.49096392243415848</v>
      </c>
      <c r="AB2675" t="str">
        <f>HYPERLINK("Melting_Curves/meltCurve_P45974_2_USP5.pdf", "Melting_Curves/meltCurve_P45974_2_USP5.pdf")</f>
        <v>Melting_Curves/meltCurve_P45974_2_USP5.pdf</v>
      </c>
    </row>
    <row r="2676" spans="1:28" x14ac:dyDescent="0.25">
      <c r="A2676" t="s">
        <v>2680</v>
      </c>
      <c r="B2676">
        <v>0.99472303558308395</v>
      </c>
      <c r="C2676">
        <v>0.99845636124341597</v>
      </c>
      <c r="D2676">
        <v>1.00207468774109</v>
      </c>
      <c r="E2676">
        <v>0.74028157679255602</v>
      </c>
      <c r="F2676">
        <v>0.336733129261512</v>
      </c>
      <c r="G2676">
        <v>0.179599790026818</v>
      </c>
      <c r="H2676">
        <v>0.100100303073181</v>
      </c>
      <c r="I2676">
        <v>6.8120307866125801E-2</v>
      </c>
      <c r="J2676">
        <v>6.2960817232073807E-2</v>
      </c>
      <c r="K2676">
        <v>5.5897225752902999E-2</v>
      </c>
      <c r="L2676">
        <v>1184.2501622012401</v>
      </c>
      <c r="M2676">
        <v>24.426237990380901</v>
      </c>
      <c r="N2676">
        <v>48.781335184825501</v>
      </c>
      <c r="O2676">
        <v>48.161270907841299</v>
      </c>
      <c r="P2676">
        <v>-0.117990200577662</v>
      </c>
      <c r="Q2676">
        <v>6.9447784393719694E-2</v>
      </c>
      <c r="R2676">
        <v>0.99780616518958098</v>
      </c>
      <c r="S2676" t="s">
        <v>9244</v>
      </c>
      <c r="T2676" t="s">
        <v>13134</v>
      </c>
      <c r="U2676" t="s">
        <v>13134</v>
      </c>
      <c r="V2676" t="s">
        <v>13134</v>
      </c>
      <c r="W2676" t="s">
        <v>15762</v>
      </c>
      <c r="X2676">
        <v>6</v>
      </c>
      <c r="Y2676" t="s">
        <v>22200</v>
      </c>
      <c r="Z2676" t="s">
        <v>28644</v>
      </c>
      <c r="AA2676">
        <v>0.43397926756394067</v>
      </c>
      <c r="AB2676" t="str">
        <f>HYPERLINK("Melting_Curves/meltCurve_P45983_3_MAPK8.pdf", "Melting_Curves/meltCurve_P45983_3_MAPK8.pdf")</f>
        <v>Melting_Curves/meltCurve_P45983_3_MAPK8.pdf</v>
      </c>
    </row>
    <row r="2677" spans="1:28" x14ac:dyDescent="0.25">
      <c r="A2677" t="s">
        <v>2681</v>
      </c>
      <c r="B2677">
        <v>0.99472303558308395</v>
      </c>
      <c r="C2677">
        <v>0.93916470216135295</v>
      </c>
      <c r="D2677">
        <v>0.94468205799643801</v>
      </c>
      <c r="E2677">
        <v>0.826836549891109</v>
      </c>
      <c r="F2677">
        <v>0.71950688837530397</v>
      </c>
      <c r="G2677">
        <v>0.41226870520460801</v>
      </c>
      <c r="H2677">
        <v>0.19334008342966599</v>
      </c>
      <c r="I2677">
        <v>0.12065719737592499</v>
      </c>
      <c r="J2677">
        <v>0.126602490761523</v>
      </c>
      <c r="K2677">
        <v>8.1291498436172199E-2</v>
      </c>
      <c r="L2677">
        <v>814.48352907533695</v>
      </c>
      <c r="M2677">
        <v>15.6107290134998</v>
      </c>
      <c r="N2677">
        <v>52.503198415124103</v>
      </c>
      <c r="O2677">
        <v>51.3409213114343</v>
      </c>
      <c r="P2677">
        <v>-7.2483526958393496E-2</v>
      </c>
      <c r="Q2677">
        <v>4.6540486703932897E-2</v>
      </c>
      <c r="R2677">
        <v>0.99172475262257398</v>
      </c>
      <c r="S2677" t="s">
        <v>9245</v>
      </c>
      <c r="T2677" t="s">
        <v>13134</v>
      </c>
      <c r="U2677" t="s">
        <v>13134</v>
      </c>
      <c r="V2677" t="s">
        <v>13134</v>
      </c>
      <c r="W2677" t="s">
        <v>15763</v>
      </c>
      <c r="X2677">
        <v>7</v>
      </c>
      <c r="Y2677" t="s">
        <v>22201</v>
      </c>
      <c r="Z2677" t="s">
        <v>28645</v>
      </c>
      <c r="AA2677">
        <v>0.5460597468020757</v>
      </c>
      <c r="AB2677" t="str">
        <f>HYPERLINK("Melting_Curves/meltCurve_P45984_3_MAPK9.pdf", "Melting_Curves/meltCurve_P45984_3_MAPK9.pdf")</f>
        <v>Melting_Curves/meltCurve_P45984_3_MAPK9.pdf</v>
      </c>
    </row>
    <row r="2678" spans="1:28" x14ac:dyDescent="0.25">
      <c r="A2678" t="s">
        <v>2682</v>
      </c>
      <c r="B2678">
        <v>0.99472303558308395</v>
      </c>
      <c r="C2678">
        <v>0.95142531218489501</v>
      </c>
      <c r="D2678">
        <v>0.89573674558629901</v>
      </c>
      <c r="E2678">
        <v>0.83286754785361905</v>
      </c>
      <c r="F2678">
        <v>0.67640183481222205</v>
      </c>
      <c r="G2678">
        <v>0.24076069768969499</v>
      </c>
      <c r="H2678">
        <v>0.14300366935428299</v>
      </c>
      <c r="I2678">
        <v>8.1751746046985596E-2</v>
      </c>
      <c r="J2678">
        <v>6.1049647882945202E-2</v>
      </c>
      <c r="K2678">
        <v>6.3938553341607099E-2</v>
      </c>
      <c r="L2678">
        <v>992.50056907721603</v>
      </c>
      <c r="M2678">
        <v>19.430434331370598</v>
      </c>
      <c r="N2678">
        <v>51.301477674155997</v>
      </c>
      <c r="O2678">
        <v>50.547872809700003</v>
      </c>
      <c r="P2678">
        <v>-9.2231186518446501E-2</v>
      </c>
      <c r="Q2678">
        <v>4.0284894151050799E-2</v>
      </c>
      <c r="R2678">
        <v>0.98698967281690098</v>
      </c>
      <c r="S2678" t="s">
        <v>9246</v>
      </c>
      <c r="T2678" t="s">
        <v>13134</v>
      </c>
      <c r="U2678" t="s">
        <v>13134</v>
      </c>
      <c r="V2678" t="s">
        <v>13134</v>
      </c>
      <c r="W2678" t="s">
        <v>15764</v>
      </c>
      <c r="X2678">
        <v>5</v>
      </c>
      <c r="Y2678" t="s">
        <v>22202</v>
      </c>
      <c r="Z2678" t="s">
        <v>28646</v>
      </c>
      <c r="AA2678">
        <v>0.50386718557383825</v>
      </c>
      <c r="AB2678" t="str">
        <f>HYPERLINK("Melting_Curves/meltCurve_P45985_MAP2K4.pdf", "Melting_Curves/meltCurve_P45985_MAP2K4.pdf")</f>
        <v>Melting_Curves/meltCurve_P45985_MAP2K4.pdf</v>
      </c>
    </row>
    <row r="2679" spans="1:28" x14ac:dyDescent="0.25">
      <c r="A2679" t="s">
        <v>2683</v>
      </c>
      <c r="B2679">
        <v>0.99472303558308395</v>
      </c>
      <c r="C2679">
        <v>0.828977199484217</v>
      </c>
      <c r="D2679">
        <v>0.647923809700786</v>
      </c>
      <c r="E2679">
        <v>0.37030453975088201</v>
      </c>
      <c r="F2679">
        <v>0.23828632545598299</v>
      </c>
      <c r="G2679">
        <v>0.14332832490313699</v>
      </c>
      <c r="H2679">
        <v>9.8271860500914701E-2</v>
      </c>
      <c r="I2679">
        <v>7.3621811172480303E-2</v>
      </c>
      <c r="J2679">
        <v>8.6644401385371606E-2</v>
      </c>
      <c r="K2679">
        <v>7.8302749393195106E-2</v>
      </c>
      <c r="L2679">
        <v>644.22810635049302</v>
      </c>
      <c r="M2679">
        <v>14.503768531454201</v>
      </c>
      <c r="N2679">
        <v>44.887391190577802</v>
      </c>
      <c r="O2679">
        <v>43.599214065746096</v>
      </c>
      <c r="P2679">
        <v>-7.7322276832122394E-2</v>
      </c>
      <c r="Q2679">
        <v>7.0365591799519206E-2</v>
      </c>
      <c r="R2679">
        <v>0.99706407936861097</v>
      </c>
      <c r="S2679" t="s">
        <v>9247</v>
      </c>
      <c r="T2679" t="s">
        <v>13134</v>
      </c>
      <c r="U2679" t="s">
        <v>13134</v>
      </c>
      <c r="V2679" t="s">
        <v>13134</v>
      </c>
      <c r="W2679" t="s">
        <v>15765</v>
      </c>
      <c r="X2679">
        <v>45</v>
      </c>
      <c r="Y2679" t="s">
        <v>22203</v>
      </c>
      <c r="Z2679" t="s">
        <v>28647</v>
      </c>
      <c r="AA2679">
        <v>0.32446777290191797</v>
      </c>
      <c r="AB2679" t="str">
        <f>HYPERLINK("Melting_Curves/meltCurve_P46013_MKI67.pdf", "Melting_Curves/meltCurve_P46013_MKI67.pdf")</f>
        <v>Melting_Curves/meltCurve_P46013_MKI67.pdf</v>
      </c>
    </row>
    <row r="2680" spans="1:28" x14ac:dyDescent="0.25">
      <c r="A2680" t="s">
        <v>2684</v>
      </c>
      <c r="B2680">
        <v>0.99472303558308395</v>
      </c>
      <c r="C2680">
        <v>1.1734059140751101</v>
      </c>
      <c r="D2680">
        <v>0.64493525103876603</v>
      </c>
      <c r="E2680">
        <v>0.813010944151763</v>
      </c>
      <c r="F2680">
        <v>0.55789155224780496</v>
      </c>
      <c r="G2680">
        <v>0.30570017322705501</v>
      </c>
      <c r="H2680">
        <v>8.8439235103893496E-2</v>
      </c>
      <c r="I2680">
        <v>0</v>
      </c>
      <c r="J2680">
        <v>0</v>
      </c>
      <c r="K2680">
        <v>0</v>
      </c>
      <c r="L2680">
        <v>746.51192503840298</v>
      </c>
      <c r="M2680">
        <v>14.844118997417199</v>
      </c>
      <c r="N2680">
        <v>50.290084010694798</v>
      </c>
      <c r="O2680">
        <v>49.403875220512802</v>
      </c>
      <c r="P2680">
        <v>-7.5124110675240802E-2</v>
      </c>
      <c r="Q2680">
        <v>0</v>
      </c>
      <c r="R2680">
        <v>0.92534765908234395</v>
      </c>
      <c r="S2680" t="s">
        <v>9248</v>
      </c>
      <c r="T2680" t="s">
        <v>13134</v>
      </c>
      <c r="U2680" t="s">
        <v>13134</v>
      </c>
      <c r="V2680" t="s">
        <v>13134</v>
      </c>
      <c r="W2680" t="s">
        <v>15766</v>
      </c>
      <c r="X2680">
        <v>2</v>
      </c>
      <c r="Y2680" t="s">
        <v>22204</v>
      </c>
      <c r="Z2680" t="s">
        <v>28648</v>
      </c>
      <c r="AA2680">
        <v>0.46400663137123621</v>
      </c>
      <c r="AB2680" t="str">
        <f>HYPERLINK("Melting_Curves/meltCurve_P46019_PHKA2.pdf", "Melting_Curves/meltCurve_P46019_PHKA2.pdf")</f>
        <v>Melting_Curves/meltCurve_P46019_PHKA2.pdf</v>
      </c>
    </row>
    <row r="2681" spans="1:28" x14ac:dyDescent="0.25">
      <c r="A2681" t="s">
        <v>2685</v>
      </c>
      <c r="B2681">
        <v>0.99472303558308395</v>
      </c>
      <c r="C2681">
        <v>0.95710209795611001</v>
      </c>
      <c r="D2681">
        <v>0.978157177852927</v>
      </c>
      <c r="E2681">
        <v>0.77078767310456897</v>
      </c>
      <c r="F2681">
        <v>0.32263540710533201</v>
      </c>
      <c r="G2681">
        <v>0.12083368472202</v>
      </c>
      <c r="H2681">
        <v>6.8860823745308705E-2</v>
      </c>
      <c r="I2681">
        <v>5.0667053802260102E-2</v>
      </c>
      <c r="J2681">
        <v>6.3146490963927299E-2</v>
      </c>
      <c r="K2681">
        <v>5.3196568971878501E-2</v>
      </c>
      <c r="L2681">
        <v>1327.8977433313901</v>
      </c>
      <c r="M2681">
        <v>27.36548824182</v>
      </c>
      <c r="N2681">
        <v>48.732452727282897</v>
      </c>
      <c r="O2681">
        <v>48.2676452496911</v>
      </c>
      <c r="P2681">
        <v>-0.13393083580704701</v>
      </c>
      <c r="Q2681">
        <v>5.50924388392093E-2</v>
      </c>
      <c r="R2681">
        <v>0.99889963668230597</v>
      </c>
      <c r="S2681" t="s">
        <v>9249</v>
      </c>
      <c r="T2681" t="s">
        <v>13134</v>
      </c>
      <c r="U2681" t="s">
        <v>13134</v>
      </c>
      <c r="V2681" t="s">
        <v>13134</v>
      </c>
      <c r="W2681" t="s">
        <v>15767</v>
      </c>
      <c r="X2681">
        <v>21</v>
      </c>
      <c r="Y2681" t="s">
        <v>22205</v>
      </c>
      <c r="Z2681" t="s">
        <v>28649</v>
      </c>
      <c r="AA2681">
        <v>0.42486689447566672</v>
      </c>
      <c r="AB2681" t="str">
        <f>HYPERLINK("Melting_Curves/meltCurve_P46060_RANGAP1.pdf", "Melting_Curves/meltCurve_P46060_RANGAP1.pdf")</f>
        <v>Melting_Curves/meltCurve_P46060_RANGAP1.pdf</v>
      </c>
    </row>
    <row r="2682" spans="1:28" x14ac:dyDescent="0.25">
      <c r="A2682" t="s">
        <v>2686</v>
      </c>
      <c r="B2682">
        <v>0.99472303558308395</v>
      </c>
      <c r="C2682">
        <v>0.876380992181642</v>
      </c>
      <c r="D2682">
        <v>0.95978835260545703</v>
      </c>
      <c r="E2682">
        <v>0.82778882496837003</v>
      </c>
      <c r="F2682">
        <v>0.53341569557615098</v>
      </c>
      <c r="G2682">
        <v>0.23006779553197201</v>
      </c>
      <c r="H2682">
        <v>7.2255804787183006E-2</v>
      </c>
      <c r="I2682">
        <v>5.3169505774803297E-2</v>
      </c>
      <c r="J2682">
        <v>6.2963143639450297E-2</v>
      </c>
      <c r="K2682">
        <v>4.8212011776825797E-2</v>
      </c>
      <c r="L2682">
        <v>1008.91655495379</v>
      </c>
      <c r="M2682">
        <v>20.0895359064946</v>
      </c>
      <c r="N2682">
        <v>50.382253783293997</v>
      </c>
      <c r="O2682">
        <v>49.731332089473703</v>
      </c>
      <c r="P2682">
        <v>-9.78487126898165E-2</v>
      </c>
      <c r="Q2682">
        <v>3.1139312301998501E-2</v>
      </c>
      <c r="R2682">
        <v>0.989732346125063</v>
      </c>
      <c r="S2682" t="s">
        <v>9250</v>
      </c>
      <c r="T2682" t="s">
        <v>13134</v>
      </c>
      <c r="U2682" t="s">
        <v>13134</v>
      </c>
      <c r="V2682" t="s">
        <v>13134</v>
      </c>
      <c r="W2682" t="s">
        <v>15768</v>
      </c>
      <c r="X2682">
        <v>23</v>
      </c>
      <c r="Y2682" t="s">
        <v>22206</v>
      </c>
      <c r="Z2682" t="s">
        <v>28650</v>
      </c>
      <c r="AA2682">
        <v>0.47076727280928221</v>
      </c>
      <c r="AB2682" t="str">
        <f>HYPERLINK("Melting_Curves/meltCurve_P46063_RECQL.pdf", "Melting_Curves/meltCurve_P46063_RECQL.pdf")</f>
        <v>Melting_Curves/meltCurve_P46063_RECQL.pdf</v>
      </c>
    </row>
    <row r="2683" spans="1:28" x14ac:dyDescent="0.25">
      <c r="A2683" t="s">
        <v>2687</v>
      </c>
      <c r="B2683">
        <v>0.99472303558308395</v>
      </c>
      <c r="C2683">
        <v>0.98309662777074702</v>
      </c>
      <c r="D2683">
        <v>0.83521067730953902</v>
      </c>
      <c r="E2683">
        <v>0.52470437417001203</v>
      </c>
      <c r="F2683">
        <v>0.35259111699496698</v>
      </c>
      <c r="G2683">
        <v>0.17299585378641</v>
      </c>
      <c r="H2683">
        <v>9.9087017067525596E-2</v>
      </c>
      <c r="I2683">
        <v>7.4782855324658795E-2</v>
      </c>
      <c r="J2683">
        <v>9.8589787917453098E-2</v>
      </c>
      <c r="K2683">
        <v>7.85495352596388E-2</v>
      </c>
      <c r="L2683">
        <v>762.45927612016601</v>
      </c>
      <c r="M2683">
        <v>16.240202566537899</v>
      </c>
      <c r="N2683">
        <v>47.389085326633896</v>
      </c>
      <c r="O2683">
        <v>46.254330395041301</v>
      </c>
      <c r="P2683">
        <v>-8.1636976520769899E-2</v>
      </c>
      <c r="Q2683">
        <v>7.0015446039267806E-2</v>
      </c>
      <c r="R2683">
        <v>0.99607615922889503</v>
      </c>
      <c r="S2683" t="s">
        <v>9251</v>
      </c>
      <c r="T2683" t="s">
        <v>13134</v>
      </c>
      <c r="U2683" t="s">
        <v>13134</v>
      </c>
      <c r="V2683" t="s">
        <v>13134</v>
      </c>
      <c r="W2683" t="s">
        <v>15769</v>
      </c>
      <c r="X2683">
        <v>1</v>
      </c>
      <c r="Y2683" t="s">
        <v>22207</v>
      </c>
      <c r="Z2683" t="s">
        <v>28651</v>
      </c>
      <c r="AA2683">
        <v>0.39655541510699599</v>
      </c>
      <c r="AB2683" t="str">
        <f>HYPERLINK("Melting_Curves/meltCurve_P46087_2_NOP2.pdf", "Melting_Curves/meltCurve_P46087_2_NOP2.pdf")</f>
        <v>Melting_Curves/meltCurve_P46087_2_NOP2.pdf</v>
      </c>
    </row>
    <row r="2684" spans="1:28" x14ac:dyDescent="0.25">
      <c r="A2684" t="s">
        <v>2688</v>
      </c>
      <c r="B2684">
        <v>0.99472303558308395</v>
      </c>
      <c r="C2684">
        <v>0.79588544646290404</v>
      </c>
      <c r="D2684">
        <v>0.54727913239829595</v>
      </c>
      <c r="E2684">
        <v>0.22822736104142499</v>
      </c>
      <c r="F2684">
        <v>0.15680730623577399</v>
      </c>
      <c r="G2684">
        <v>0.146014662879101</v>
      </c>
      <c r="H2684">
        <v>2.69860331497398E-2</v>
      </c>
      <c r="I2684">
        <v>3.50626984404417E-2</v>
      </c>
      <c r="J2684">
        <v>5.4852464202821402E-2</v>
      </c>
      <c r="K2684">
        <v>0</v>
      </c>
      <c r="L2684">
        <v>724.24717693465595</v>
      </c>
      <c r="M2684">
        <v>16.7502546100974</v>
      </c>
      <c r="N2684">
        <v>43.456854414142299</v>
      </c>
      <c r="O2684">
        <v>42.635809550693203</v>
      </c>
      <c r="P2684">
        <v>-9.4250172431357498E-2</v>
      </c>
      <c r="Q2684">
        <v>4.0451798182597302E-2</v>
      </c>
      <c r="R2684">
        <v>0.98889576976558202</v>
      </c>
      <c r="S2684" t="s">
        <v>9252</v>
      </c>
      <c r="T2684" t="s">
        <v>13134</v>
      </c>
      <c r="U2684" t="s">
        <v>13134</v>
      </c>
      <c r="V2684" t="s">
        <v>13134</v>
      </c>
      <c r="W2684" t="s">
        <v>15770</v>
      </c>
      <c r="X2684">
        <v>1</v>
      </c>
      <c r="Y2684" t="s">
        <v>22208</v>
      </c>
      <c r="Z2684" t="s">
        <v>28652</v>
      </c>
      <c r="AA2684">
        <v>0.25961233863989253</v>
      </c>
      <c r="AB2684" t="str">
        <f>HYPERLINK("Melting_Curves/meltCurve_P46100_6_ATRX.pdf", "Melting_Curves/meltCurve_P46100_6_ATRX.pdf")</f>
        <v>Melting_Curves/meltCurve_P46100_6_ATRX.pdf</v>
      </c>
    </row>
    <row r="2685" spans="1:28" x14ac:dyDescent="0.25">
      <c r="A2685" t="s">
        <v>2689</v>
      </c>
      <c r="B2685">
        <v>0.99472303558308395</v>
      </c>
      <c r="C2685">
        <v>0.92717338447780295</v>
      </c>
      <c r="D2685">
        <v>0.96186011683933004</v>
      </c>
      <c r="E2685">
        <v>0.84271897657093298</v>
      </c>
      <c r="F2685">
        <v>0.50770300914100297</v>
      </c>
      <c r="G2685">
        <v>0.26166850879480202</v>
      </c>
      <c r="H2685">
        <v>0.122272014379044</v>
      </c>
      <c r="I2685">
        <v>7.6420092841451695E-2</v>
      </c>
      <c r="J2685">
        <v>8.22522749597146E-2</v>
      </c>
      <c r="K2685">
        <v>6.01248844778529E-2</v>
      </c>
      <c r="L2685">
        <v>990.30995463855595</v>
      </c>
      <c r="M2685">
        <v>19.762411638612999</v>
      </c>
      <c r="N2685">
        <v>50.421972391287198</v>
      </c>
      <c r="O2685">
        <v>49.606163833039403</v>
      </c>
      <c r="P2685">
        <v>-9.3881405003978805E-2</v>
      </c>
      <c r="Q2685">
        <v>5.7415462554071997E-2</v>
      </c>
      <c r="R2685">
        <v>0.99646167038366296</v>
      </c>
      <c r="S2685" t="s">
        <v>9253</v>
      </c>
      <c r="T2685" t="s">
        <v>13134</v>
      </c>
      <c r="U2685" t="s">
        <v>13134</v>
      </c>
      <c r="V2685" t="s">
        <v>13134</v>
      </c>
      <c r="W2685" t="s">
        <v>15771</v>
      </c>
      <c r="X2685">
        <v>10</v>
      </c>
      <c r="Y2685" t="s">
        <v>22209</v>
      </c>
      <c r="Z2685" t="s">
        <v>28653</v>
      </c>
      <c r="AA2685">
        <v>0.48201842201972739</v>
      </c>
      <c r="AB2685" t="str">
        <f>HYPERLINK("Melting_Curves/meltCurve_P46108_CRK.pdf", "Melting_Curves/meltCurve_P46108_CRK.pdf")</f>
        <v>Melting_Curves/meltCurve_P46108_CRK.pdf</v>
      </c>
    </row>
    <row r="2686" spans="1:28" x14ac:dyDescent="0.25">
      <c r="A2686" t="s">
        <v>2690</v>
      </c>
      <c r="B2686">
        <v>0.99472303558308395</v>
      </c>
      <c r="C2686">
        <v>0.93448127443706697</v>
      </c>
      <c r="D2686">
        <v>0.972022651128989</v>
      </c>
      <c r="E2686">
        <v>0.87494465533362398</v>
      </c>
      <c r="F2686">
        <v>0.66175313880450803</v>
      </c>
      <c r="G2686">
        <v>0.43530675598914098</v>
      </c>
      <c r="H2686">
        <v>0.15412656595619401</v>
      </c>
      <c r="I2686">
        <v>7.5683347975819396E-2</v>
      </c>
      <c r="J2686">
        <v>7.4400544933600807E-2</v>
      </c>
      <c r="K2686">
        <v>7.1710911841399202E-2</v>
      </c>
      <c r="L2686">
        <v>880.71848358039404</v>
      </c>
      <c r="M2686">
        <v>16.873491198953101</v>
      </c>
      <c r="N2686">
        <v>52.340722264414303</v>
      </c>
      <c r="O2686">
        <v>51.478814769077097</v>
      </c>
      <c r="P2686">
        <v>-8.0073551931644393E-2</v>
      </c>
      <c r="Q2686">
        <v>2.2886520493177701E-2</v>
      </c>
      <c r="R2686">
        <v>0.99389791715540898</v>
      </c>
      <c r="S2686" t="s">
        <v>9254</v>
      </c>
      <c r="T2686" t="s">
        <v>13134</v>
      </c>
      <c r="U2686" t="s">
        <v>13134</v>
      </c>
      <c r="V2686" t="s">
        <v>13134</v>
      </c>
      <c r="W2686" t="s">
        <v>15772</v>
      </c>
      <c r="X2686">
        <v>18</v>
      </c>
      <c r="Y2686" t="s">
        <v>22210</v>
      </c>
      <c r="Z2686" t="s">
        <v>28654</v>
      </c>
      <c r="AA2686">
        <v>0.53382798354750471</v>
      </c>
      <c r="AB2686" t="str">
        <f>HYPERLINK("Melting_Curves/meltCurve_P46109_CRKL.pdf", "Melting_Curves/meltCurve_P46109_CRKL.pdf")</f>
        <v>Melting_Curves/meltCurve_P46109_CRKL.pdf</v>
      </c>
    </row>
    <row r="2687" spans="1:28" x14ac:dyDescent="0.25">
      <c r="A2687" t="s">
        <v>2691</v>
      </c>
      <c r="B2687">
        <v>0.99472303558308395</v>
      </c>
      <c r="C2687">
        <v>0.76718255628352106</v>
      </c>
      <c r="D2687">
        <v>0.83866005889195505</v>
      </c>
      <c r="E2687">
        <v>0.329744944813745</v>
      </c>
      <c r="F2687">
        <v>0.16853957661142599</v>
      </c>
      <c r="G2687">
        <v>7.7118016950269999E-2</v>
      </c>
      <c r="H2687">
        <v>5.5339720243935402E-2</v>
      </c>
      <c r="I2687">
        <v>3.8452787730401602E-2</v>
      </c>
      <c r="J2687">
        <v>4.3729473573718203E-2</v>
      </c>
      <c r="K2687">
        <v>3.5585460275117602E-2</v>
      </c>
      <c r="L2687">
        <v>829.95888641109298</v>
      </c>
      <c r="M2687">
        <v>18.374952260584699</v>
      </c>
      <c r="N2687">
        <v>45.329197787367001</v>
      </c>
      <c r="O2687">
        <v>44.643175303222499</v>
      </c>
      <c r="P2687">
        <v>-9.9648414823528902E-2</v>
      </c>
      <c r="Q2687">
        <v>3.1634100455431802E-2</v>
      </c>
      <c r="R2687">
        <v>0.96974228990594002</v>
      </c>
      <c r="S2687" t="s">
        <v>9255</v>
      </c>
      <c r="T2687" t="s">
        <v>13134</v>
      </c>
      <c r="U2687" t="s">
        <v>13134</v>
      </c>
      <c r="V2687" t="s">
        <v>13134</v>
      </c>
      <c r="W2687" t="s">
        <v>15773</v>
      </c>
      <c r="X2687">
        <v>9</v>
      </c>
      <c r="Y2687" t="s">
        <v>22211</v>
      </c>
      <c r="Z2687" t="s">
        <v>28655</v>
      </c>
      <c r="AA2687">
        <v>0.31044601831774882</v>
      </c>
      <c r="AB2687" t="str">
        <f>HYPERLINK("Melting_Curves/meltCurve_P46199_MTIF2.pdf", "Melting_Curves/meltCurve_P46199_MTIF2.pdf")</f>
        <v>Melting_Curves/meltCurve_P46199_MTIF2.pdf</v>
      </c>
    </row>
    <row r="2688" spans="1:28" x14ac:dyDescent="0.25">
      <c r="A2688" t="s">
        <v>2692</v>
      </c>
      <c r="B2688">
        <v>0.99472303558308395</v>
      </c>
      <c r="C2688">
        <v>1.0641348678939699</v>
      </c>
      <c r="D2688">
        <v>1.0435623039834601</v>
      </c>
      <c r="E2688">
        <v>0.87626766319323102</v>
      </c>
      <c r="F2688">
        <v>0.76143403327845705</v>
      </c>
      <c r="G2688">
        <v>0.51983423762067404</v>
      </c>
      <c r="H2688">
        <v>0.34847356866628698</v>
      </c>
      <c r="I2688">
        <v>0.36398268281482499</v>
      </c>
      <c r="J2688">
        <v>0.46917812826820499</v>
      </c>
      <c r="K2688">
        <v>0.47322324103402602</v>
      </c>
      <c r="L2688">
        <v>1333.12573422375</v>
      </c>
      <c r="M2688">
        <v>26.3788317964983</v>
      </c>
      <c r="N2688">
        <v>54.0606238399386</v>
      </c>
      <c r="O2688">
        <v>50.249969512988102</v>
      </c>
      <c r="P2688">
        <v>-7.7381785975874695E-2</v>
      </c>
      <c r="Q2688">
        <v>0.41037743222786499</v>
      </c>
      <c r="R2688">
        <v>0.96069698895580302</v>
      </c>
      <c r="S2688" t="s">
        <v>9256</v>
      </c>
      <c r="T2688" t="s">
        <v>13134</v>
      </c>
      <c r="U2688" t="s">
        <v>13134</v>
      </c>
      <c r="V2688" t="s">
        <v>13134</v>
      </c>
      <c r="W2688" t="s">
        <v>15774</v>
      </c>
      <c r="X2688">
        <v>3</v>
      </c>
      <c r="Y2688" t="s">
        <v>22212</v>
      </c>
      <c r="Z2688" t="s">
        <v>28656</v>
      </c>
      <c r="AA2688">
        <v>0.68113044507387377</v>
      </c>
      <c r="AB2688" t="str">
        <f>HYPERLINK("Melting_Curves/meltCurve_P46527_CDKN1B.pdf", "Melting_Curves/meltCurve_P46527_CDKN1B.pdf")</f>
        <v>Melting_Curves/meltCurve_P46527_CDKN1B.pdf</v>
      </c>
    </row>
    <row r="2689" spans="1:28" x14ac:dyDescent="0.25">
      <c r="A2689" t="s">
        <v>2693</v>
      </c>
      <c r="B2689">
        <v>0.99472303558308395</v>
      </c>
      <c r="C2689">
        <v>1.01918279666802</v>
      </c>
      <c r="D2689">
        <v>0.95314953540731395</v>
      </c>
      <c r="E2689">
        <v>0.81328929079658296</v>
      </c>
      <c r="F2689">
        <v>0.69624782213930003</v>
      </c>
      <c r="G2689">
        <v>0.42052724729955299</v>
      </c>
      <c r="H2689">
        <v>0.34200330047997601</v>
      </c>
      <c r="I2689">
        <v>0.249331713631293</v>
      </c>
      <c r="J2689">
        <v>0.40454786307693802</v>
      </c>
      <c r="K2689">
        <v>0.42810227336545498</v>
      </c>
      <c r="L2689">
        <v>1021.49424617208</v>
      </c>
      <c r="M2689">
        <v>20.5964040933723</v>
      </c>
      <c r="N2689">
        <v>52.530393450988399</v>
      </c>
      <c r="O2689">
        <v>49.135302891684702</v>
      </c>
      <c r="P2689">
        <v>-6.8979471008857193E-2</v>
      </c>
      <c r="Q2689">
        <v>0.34178209605040699</v>
      </c>
      <c r="R2689">
        <v>0.960223896325752</v>
      </c>
      <c r="S2689" t="s">
        <v>9257</v>
      </c>
      <c r="T2689" t="s">
        <v>13134</v>
      </c>
      <c r="U2689" t="s">
        <v>13134</v>
      </c>
      <c r="V2689" t="s">
        <v>13134</v>
      </c>
      <c r="W2689" t="s">
        <v>15775</v>
      </c>
      <c r="X2689">
        <v>9</v>
      </c>
      <c r="Y2689" t="s">
        <v>22213</v>
      </c>
      <c r="Z2689" t="s">
        <v>28657</v>
      </c>
      <c r="AA2689">
        <v>0.62636956765498819</v>
      </c>
      <c r="AB2689" t="str">
        <f>HYPERLINK("Melting_Curves/meltCurve_P46531_NOTCH1.pdf", "Melting_Curves/meltCurve_P46531_NOTCH1.pdf")</f>
        <v>Melting_Curves/meltCurve_P46531_NOTCH1.pdf</v>
      </c>
    </row>
    <row r="2690" spans="1:28" x14ac:dyDescent="0.25">
      <c r="A2690" t="s">
        <v>2694</v>
      </c>
      <c r="B2690">
        <v>0.99472303558308395</v>
      </c>
      <c r="C2690">
        <v>0.95307969084408894</v>
      </c>
      <c r="D2690">
        <v>0.89656707487447096</v>
      </c>
      <c r="E2690">
        <v>0.70865155001094204</v>
      </c>
      <c r="F2690">
        <v>0.217983358003558</v>
      </c>
      <c r="G2690">
        <v>7.0662365905170901E-2</v>
      </c>
      <c r="H2690">
        <v>4.11699868777936E-2</v>
      </c>
      <c r="I2690">
        <v>1.91813357165641E-2</v>
      </c>
      <c r="J2690">
        <v>1.8215254075807898E-2</v>
      </c>
      <c r="K2690">
        <v>2.85381008650018E-2</v>
      </c>
      <c r="L2690">
        <v>1274.5598062705501</v>
      </c>
      <c r="M2690">
        <v>26.6308318647596</v>
      </c>
      <c r="N2690">
        <v>47.935047096849303</v>
      </c>
      <c r="O2690">
        <v>47.592880265689701</v>
      </c>
      <c r="P2690">
        <v>-0.13704547403300099</v>
      </c>
      <c r="Q2690">
        <v>2.0335462878721601E-2</v>
      </c>
      <c r="R2690">
        <v>0.99610920543772896</v>
      </c>
      <c r="S2690" t="s">
        <v>9258</v>
      </c>
      <c r="T2690" t="s">
        <v>13134</v>
      </c>
      <c r="U2690" t="s">
        <v>13134</v>
      </c>
      <c r="V2690" t="s">
        <v>13134</v>
      </c>
      <c r="W2690" t="s">
        <v>15776</v>
      </c>
      <c r="X2690">
        <v>4</v>
      </c>
      <c r="Y2690" t="s">
        <v>22214</v>
      </c>
      <c r="Z2690" t="s">
        <v>28658</v>
      </c>
      <c r="AA2690">
        <v>0.38233119512018832</v>
      </c>
      <c r="AB2690" t="str">
        <f>HYPERLINK("Melting_Curves/meltCurve_P46734_MAP2K3.pdf", "Melting_Curves/meltCurve_P46734_MAP2K3.pdf")</f>
        <v>Melting_Curves/meltCurve_P46734_MAP2K3.pdf</v>
      </c>
    </row>
    <row r="2691" spans="1:28" x14ac:dyDescent="0.25">
      <c r="A2691" t="s">
        <v>2695</v>
      </c>
      <c r="B2691">
        <v>0.99472303558308395</v>
      </c>
      <c r="C2691">
        <v>0.96962929910862194</v>
      </c>
      <c r="D2691">
        <v>0.79797744006857596</v>
      </c>
      <c r="E2691">
        <v>0.71329510470850199</v>
      </c>
      <c r="F2691">
        <v>0.72024419475803003</v>
      </c>
      <c r="G2691">
        <v>0.45883687848612398</v>
      </c>
      <c r="H2691">
        <v>0.32585999917139902</v>
      </c>
      <c r="I2691">
        <v>0.20412023492679601</v>
      </c>
      <c r="J2691">
        <v>0.19149121145272699</v>
      </c>
      <c r="K2691">
        <v>0.124850876122265</v>
      </c>
      <c r="L2691">
        <v>456.62800720904897</v>
      </c>
      <c r="M2691">
        <v>8.636710313339</v>
      </c>
      <c r="N2691">
        <v>52.870594313671802</v>
      </c>
      <c r="O2691">
        <v>50.265313568900403</v>
      </c>
      <c r="P2691">
        <v>-4.29920658457877E-2</v>
      </c>
      <c r="Q2691">
        <v>0</v>
      </c>
      <c r="R2691">
        <v>0.97624967287397801</v>
      </c>
      <c r="S2691" t="s">
        <v>9259</v>
      </c>
      <c r="T2691" t="s">
        <v>13134</v>
      </c>
      <c r="U2691" t="s">
        <v>13134</v>
      </c>
      <c r="V2691" t="s">
        <v>13134</v>
      </c>
      <c r="W2691" t="s">
        <v>15777</v>
      </c>
      <c r="X2691">
        <v>9</v>
      </c>
      <c r="Y2691" t="s">
        <v>22215</v>
      </c>
      <c r="Z2691" t="s">
        <v>28659</v>
      </c>
      <c r="AA2691">
        <v>0.55211193193098107</v>
      </c>
      <c r="AB2691" t="str">
        <f>HYPERLINK("Melting_Curves/meltCurve_P46736_2_BRCC3.pdf", "Melting_Curves/meltCurve_P46736_2_BRCC3.pdf")</f>
        <v>Melting_Curves/meltCurve_P46736_2_BRCC3.pdf</v>
      </c>
    </row>
    <row r="2692" spans="1:28" x14ac:dyDescent="0.25">
      <c r="A2692" t="s">
        <v>2696</v>
      </c>
      <c r="B2692">
        <v>0.99472303558308395</v>
      </c>
      <c r="C2692">
        <v>0.97666234610714198</v>
      </c>
      <c r="D2692">
        <v>1.0447646574956999</v>
      </c>
      <c r="E2692">
        <v>0.74185049861118302</v>
      </c>
      <c r="F2692">
        <v>0.61701521582616703</v>
      </c>
      <c r="G2692">
        <v>0.42874579994922102</v>
      </c>
      <c r="H2692">
        <v>0.17511098495844599</v>
      </c>
      <c r="I2692">
        <v>7.1655109985562501E-2</v>
      </c>
      <c r="J2692">
        <v>6.4349753783033398E-2</v>
      </c>
      <c r="K2692">
        <v>6.1513616323214997E-2</v>
      </c>
      <c r="L2692">
        <v>724.72965337566598</v>
      </c>
      <c r="M2692">
        <v>13.988931905748901</v>
      </c>
      <c r="N2692">
        <v>51.807361593434798</v>
      </c>
      <c r="O2692">
        <v>50.7831121372475</v>
      </c>
      <c r="P2692">
        <v>-6.8875203862977796E-2</v>
      </c>
      <c r="Q2692">
        <v>0</v>
      </c>
      <c r="R2692">
        <v>0.98496515898463299</v>
      </c>
      <c r="S2692" t="s">
        <v>9260</v>
      </c>
      <c r="T2692" t="s">
        <v>13134</v>
      </c>
      <c r="U2692" t="s">
        <v>13134</v>
      </c>
      <c r="V2692" t="s">
        <v>13134</v>
      </c>
      <c r="W2692" t="s">
        <v>15778</v>
      </c>
      <c r="X2692">
        <v>28</v>
      </c>
      <c r="Y2692" t="s">
        <v>22216</v>
      </c>
      <c r="Z2692" t="s">
        <v>28660</v>
      </c>
      <c r="AA2692">
        <v>0.51451331231143527</v>
      </c>
      <c r="AB2692" t="str">
        <f>HYPERLINK("Melting_Curves/meltCurve_P46777_RPL5.pdf", "Melting_Curves/meltCurve_P46777_RPL5.pdf")</f>
        <v>Melting_Curves/meltCurve_P46777_RPL5.pdf</v>
      </c>
    </row>
    <row r="2693" spans="1:28" x14ac:dyDescent="0.25">
      <c r="A2693" t="s">
        <v>2697</v>
      </c>
      <c r="B2693">
        <v>0.99472303558308395</v>
      </c>
      <c r="C2693">
        <v>0.92198611992260804</v>
      </c>
      <c r="D2693">
        <v>0.98599786209506701</v>
      </c>
      <c r="E2693">
        <v>0.86463417963705103</v>
      </c>
      <c r="F2693">
        <v>0.75796956930788495</v>
      </c>
      <c r="G2693">
        <v>0.39280259442649001</v>
      </c>
      <c r="H2693">
        <v>0.17326386621010401</v>
      </c>
      <c r="I2693">
        <v>0.112942714244698</v>
      </c>
      <c r="J2693">
        <v>0.14565240223027201</v>
      </c>
      <c r="K2693">
        <v>0.10083900316455301</v>
      </c>
      <c r="L2693">
        <v>1118.8284924080899</v>
      </c>
      <c r="M2693">
        <v>21.489135984985499</v>
      </c>
      <c r="N2693">
        <v>52.569029306476601</v>
      </c>
      <c r="O2693">
        <v>51.620263266764503</v>
      </c>
      <c r="P2693">
        <v>-9.4383797952253004E-2</v>
      </c>
      <c r="Q2693">
        <v>9.3123777985354303E-2</v>
      </c>
      <c r="R2693">
        <v>0.98953978965773304</v>
      </c>
      <c r="S2693" t="s">
        <v>9261</v>
      </c>
      <c r="T2693" t="s">
        <v>13134</v>
      </c>
      <c r="U2693" t="s">
        <v>13134</v>
      </c>
      <c r="V2693" t="s">
        <v>13134</v>
      </c>
      <c r="W2693" t="s">
        <v>15779</v>
      </c>
      <c r="X2693">
        <v>5</v>
      </c>
      <c r="Y2693" t="s">
        <v>22217</v>
      </c>
      <c r="Z2693" t="s">
        <v>28661</v>
      </c>
      <c r="AA2693">
        <v>0.55894830677108054</v>
      </c>
      <c r="AB2693" t="str">
        <f>HYPERLINK("Melting_Curves/meltCurve_P46778_RPL21.pdf", "Melting_Curves/meltCurve_P46778_RPL21.pdf")</f>
        <v>Melting_Curves/meltCurve_P46778_RPL21.pdf</v>
      </c>
    </row>
    <row r="2694" spans="1:28" x14ac:dyDescent="0.25">
      <c r="A2694" t="s">
        <v>2698</v>
      </c>
      <c r="B2694">
        <v>0.99472303558308395</v>
      </c>
      <c r="C2694">
        <v>0.86685749670762202</v>
      </c>
      <c r="D2694">
        <v>0.89002079658490496</v>
      </c>
      <c r="E2694">
        <v>0.65763813849448405</v>
      </c>
      <c r="F2694">
        <v>0.63024142932697902</v>
      </c>
      <c r="G2694">
        <v>0.21583543214050599</v>
      </c>
      <c r="H2694">
        <v>0.10041178852160999</v>
      </c>
      <c r="I2694">
        <v>5.3090705976066299E-2</v>
      </c>
      <c r="J2694">
        <v>4.2442627197654702E-2</v>
      </c>
      <c r="K2694">
        <v>6.5439224515590699E-2</v>
      </c>
      <c r="L2694">
        <v>661.83000083985905</v>
      </c>
      <c r="M2694">
        <v>13.255216469994499</v>
      </c>
      <c r="N2694">
        <v>49.929787983616201</v>
      </c>
      <c r="O2694">
        <v>48.834405753732398</v>
      </c>
      <c r="P2694">
        <v>-6.7869094272356698E-2</v>
      </c>
      <c r="Q2694">
        <v>0</v>
      </c>
      <c r="R2694">
        <v>0.96822032282172299</v>
      </c>
      <c r="S2694" t="s">
        <v>9262</v>
      </c>
      <c r="T2694" t="s">
        <v>13134</v>
      </c>
      <c r="U2694" t="s">
        <v>13134</v>
      </c>
      <c r="V2694" t="s">
        <v>13134</v>
      </c>
      <c r="W2694" t="s">
        <v>15780</v>
      </c>
      <c r="X2694">
        <v>15</v>
      </c>
      <c r="Y2694" t="s">
        <v>22218</v>
      </c>
      <c r="Z2694" t="s">
        <v>28662</v>
      </c>
      <c r="AA2694">
        <v>0.45584261184067881</v>
      </c>
      <c r="AB2694" t="str">
        <f>HYPERLINK("Melting_Curves/meltCurve_P46781_RPS9.pdf", "Melting_Curves/meltCurve_P46781_RPS9.pdf")</f>
        <v>Melting_Curves/meltCurve_P46781_RPS9.pdf</v>
      </c>
    </row>
    <row r="2695" spans="1:28" x14ac:dyDescent="0.25">
      <c r="A2695" t="s">
        <v>2699</v>
      </c>
      <c r="B2695">
        <v>0.99472303558308395</v>
      </c>
      <c r="C2695">
        <v>0.91908567403798802</v>
      </c>
      <c r="D2695">
        <v>0.99052540992467797</v>
      </c>
      <c r="E2695">
        <v>0.71625266442056701</v>
      </c>
      <c r="F2695">
        <v>0.46588268065730498</v>
      </c>
      <c r="G2695">
        <v>0.20306367288524599</v>
      </c>
      <c r="H2695">
        <v>9.4350581290390104E-2</v>
      </c>
      <c r="I2695">
        <v>5.34559674739922E-2</v>
      </c>
      <c r="J2695">
        <v>4.4538080238024802E-2</v>
      </c>
      <c r="K2695">
        <v>4.5514160392684098E-2</v>
      </c>
      <c r="L2695">
        <v>875.37920529145902</v>
      </c>
      <c r="M2695">
        <v>17.727280075433601</v>
      </c>
      <c r="N2695">
        <v>49.533298510953699</v>
      </c>
      <c r="O2695">
        <v>48.7648255570167</v>
      </c>
      <c r="P2695">
        <v>-8.8465684534189307E-2</v>
      </c>
      <c r="Q2695">
        <v>2.6632938435411601E-2</v>
      </c>
      <c r="R2695">
        <v>0.99393566376266596</v>
      </c>
      <c r="S2695" t="s">
        <v>9263</v>
      </c>
      <c r="T2695" t="s">
        <v>13134</v>
      </c>
      <c r="U2695" t="s">
        <v>13134</v>
      </c>
      <c r="V2695" t="s">
        <v>13134</v>
      </c>
      <c r="W2695" t="s">
        <v>15781</v>
      </c>
      <c r="X2695">
        <v>15</v>
      </c>
      <c r="Y2695" t="s">
        <v>22219</v>
      </c>
      <c r="Z2695" t="s">
        <v>28663</v>
      </c>
      <c r="AA2695">
        <v>0.4441575227097655</v>
      </c>
      <c r="AB2695" t="str">
        <f>HYPERLINK("Melting_Curves/meltCurve_P46783_RPS10.pdf", "Melting_Curves/meltCurve_P46783_RPS10.pdf")</f>
        <v>Melting_Curves/meltCurve_P46783_RPS10.pdf</v>
      </c>
    </row>
    <row r="2696" spans="1:28" x14ac:dyDescent="0.25">
      <c r="A2696" t="s">
        <v>2700</v>
      </c>
      <c r="B2696">
        <v>0.99472303558308395</v>
      </c>
      <c r="C2696">
        <v>0.97262754963763498</v>
      </c>
      <c r="D2696">
        <v>0.95362719076846902</v>
      </c>
      <c r="E2696">
        <v>0.92105818081690605</v>
      </c>
      <c r="F2696">
        <v>0.72273017076662704</v>
      </c>
      <c r="G2696">
        <v>0.55997439995293596</v>
      </c>
      <c r="H2696">
        <v>0.335952785497175</v>
      </c>
      <c r="I2696">
        <v>9.6439634562672003E-2</v>
      </c>
      <c r="J2696">
        <v>6.8993241786223306E-2</v>
      </c>
      <c r="K2696">
        <v>7.9427288370280499E-2</v>
      </c>
      <c r="L2696">
        <v>798.98846323057398</v>
      </c>
      <c r="M2696">
        <v>14.75801605939</v>
      </c>
      <c r="N2696">
        <v>54.139286829920103</v>
      </c>
      <c r="O2696">
        <v>53.174388528722503</v>
      </c>
      <c r="P2696">
        <v>-6.9392452452111897E-2</v>
      </c>
      <c r="Q2696">
        <v>0</v>
      </c>
      <c r="R2696">
        <v>0.99272806083846898</v>
      </c>
      <c r="S2696" t="s">
        <v>9264</v>
      </c>
      <c r="T2696" t="s">
        <v>13134</v>
      </c>
      <c r="U2696" t="s">
        <v>13134</v>
      </c>
      <c r="V2696" t="s">
        <v>13134</v>
      </c>
      <c r="W2696" t="s">
        <v>15782</v>
      </c>
      <c r="X2696">
        <v>62</v>
      </c>
      <c r="Y2696" t="s">
        <v>22220</v>
      </c>
      <c r="Z2696" t="s">
        <v>28664</v>
      </c>
      <c r="AA2696">
        <v>0.5874155900538145</v>
      </c>
      <c r="AB2696" t="str">
        <f>HYPERLINK("Melting_Curves/meltCurve_P46821_MAP1B.pdf", "Melting_Curves/meltCurve_P46821_MAP1B.pdf")</f>
        <v>Melting_Curves/meltCurve_P46821_MAP1B.pdf</v>
      </c>
    </row>
    <row r="2697" spans="1:28" x14ac:dyDescent="0.25">
      <c r="A2697" t="s">
        <v>2701</v>
      </c>
      <c r="B2697">
        <v>0.99472303558308395</v>
      </c>
      <c r="C2697">
        <v>1.0005958037550899</v>
      </c>
      <c r="D2697">
        <v>0.85128633980882895</v>
      </c>
      <c r="E2697">
        <v>0.79702321079054295</v>
      </c>
      <c r="F2697">
        <v>0.80393190137112103</v>
      </c>
      <c r="G2697">
        <v>0.53914527180670802</v>
      </c>
      <c r="H2697">
        <v>0.45159786148604802</v>
      </c>
      <c r="I2697">
        <v>0.43943886502641499</v>
      </c>
      <c r="J2697">
        <v>0.66547103475457103</v>
      </c>
      <c r="K2697">
        <v>0.68310360130869496</v>
      </c>
      <c r="L2697">
        <v>732.95303359769696</v>
      </c>
      <c r="M2697">
        <v>15.522875465603899</v>
      </c>
      <c r="O2697">
        <v>46.454799290110799</v>
      </c>
      <c r="P2697">
        <v>-3.7373157422514097E-2</v>
      </c>
      <c r="Q2697">
        <v>0.55265783711291405</v>
      </c>
      <c r="R2697">
        <v>0.77126745172023803</v>
      </c>
      <c r="S2697" t="s">
        <v>9265</v>
      </c>
      <c r="T2697" t="s">
        <v>13134</v>
      </c>
      <c r="U2697" t="s">
        <v>13134</v>
      </c>
      <c r="V2697" t="s">
        <v>13134</v>
      </c>
      <c r="W2697" t="s">
        <v>15783</v>
      </c>
      <c r="X2697">
        <v>17</v>
      </c>
      <c r="Y2697" t="s">
        <v>22221</v>
      </c>
      <c r="Z2697" t="s">
        <v>28665</v>
      </c>
      <c r="AA2697">
        <v>0.71444554942889504</v>
      </c>
      <c r="AB2697" t="str">
        <f>HYPERLINK("Melting_Curves/meltCurve_P46926_GNPDA1.pdf", "Melting_Curves/meltCurve_P46926_GNPDA1.pdf")</f>
        <v>Melting_Curves/meltCurve_P46926_GNPDA1.pdf</v>
      </c>
    </row>
    <row r="2698" spans="1:28" x14ac:dyDescent="0.25">
      <c r="A2698" t="s">
        <v>2702</v>
      </c>
      <c r="B2698">
        <v>0.99472303558308395</v>
      </c>
      <c r="C2698">
        <v>1.1521904391417299</v>
      </c>
      <c r="D2698">
        <v>1.0548930173409801</v>
      </c>
      <c r="E2698">
        <v>0.77663195203850899</v>
      </c>
      <c r="F2698">
        <v>0.26290702141720201</v>
      </c>
      <c r="G2698">
        <v>0.16496230925350899</v>
      </c>
      <c r="H2698">
        <v>9.1279704555500996E-2</v>
      </c>
      <c r="I2698">
        <v>7.5545006408059001E-2</v>
      </c>
      <c r="J2698">
        <v>6.9270850899763606E-2</v>
      </c>
      <c r="K2698">
        <v>7.1036185008982095E-2</v>
      </c>
      <c r="L2698">
        <v>1666.10932839011</v>
      </c>
      <c r="M2698">
        <v>34.5777642073934</v>
      </c>
      <c r="N2698">
        <v>48.453106822657702</v>
      </c>
      <c r="O2698">
        <v>48.024104788495599</v>
      </c>
      <c r="P2698">
        <v>-0.164298816077523</v>
      </c>
      <c r="Q2698">
        <v>8.7242965914622495E-2</v>
      </c>
      <c r="R2698">
        <v>0.98350068163520799</v>
      </c>
      <c r="S2698" t="s">
        <v>9266</v>
      </c>
      <c r="T2698" t="s">
        <v>13134</v>
      </c>
      <c r="U2698" t="s">
        <v>13134</v>
      </c>
      <c r="V2698" t="s">
        <v>13134</v>
      </c>
      <c r="W2698" t="s">
        <v>15784</v>
      </c>
      <c r="X2698">
        <v>11</v>
      </c>
      <c r="Y2698" t="s">
        <v>22222</v>
      </c>
      <c r="Z2698" t="s">
        <v>28666</v>
      </c>
      <c r="AA2698">
        <v>0.43160846604645797</v>
      </c>
      <c r="AB2698" t="str">
        <f>HYPERLINK("Melting_Curves/meltCurve_P46934_4_NEDD4.pdf", "Melting_Curves/meltCurve_P46934_4_NEDD4.pdf")</f>
        <v>Melting_Curves/meltCurve_P46934_4_NEDD4.pdf</v>
      </c>
    </row>
    <row r="2699" spans="1:28" x14ac:dyDescent="0.25">
      <c r="A2699" t="s">
        <v>2703</v>
      </c>
      <c r="B2699">
        <v>0.99472303558308395</v>
      </c>
      <c r="C2699">
        <v>1.02313287224523</v>
      </c>
      <c r="D2699">
        <v>0.936831143337016</v>
      </c>
      <c r="E2699">
        <v>0.86803924988641401</v>
      </c>
      <c r="F2699">
        <v>0.42791237967258999</v>
      </c>
      <c r="G2699">
        <v>0.105281473082736</v>
      </c>
      <c r="H2699">
        <v>6.5586214387049493E-2</v>
      </c>
      <c r="I2699">
        <v>4.4077183612037801E-2</v>
      </c>
      <c r="J2699">
        <v>4.6182690463771603E-2</v>
      </c>
      <c r="K2699">
        <v>3.6566532504668202E-2</v>
      </c>
      <c r="L2699">
        <v>1449.3969715661401</v>
      </c>
      <c r="M2699">
        <v>29.287228776091101</v>
      </c>
      <c r="N2699">
        <v>49.627902044397501</v>
      </c>
      <c r="O2699">
        <v>49.260037918839998</v>
      </c>
      <c r="P2699">
        <v>-0.142789742030631</v>
      </c>
      <c r="Q2699">
        <v>3.9338641604971102E-2</v>
      </c>
      <c r="R2699">
        <v>0.99790083569033505</v>
      </c>
      <c r="S2699" t="s">
        <v>9267</v>
      </c>
      <c r="T2699" t="s">
        <v>13134</v>
      </c>
      <c r="U2699" t="s">
        <v>13134</v>
      </c>
      <c r="V2699" t="s">
        <v>13134</v>
      </c>
      <c r="W2699" t="s">
        <v>15785</v>
      </c>
      <c r="X2699">
        <v>63</v>
      </c>
      <c r="Y2699" t="s">
        <v>22223</v>
      </c>
      <c r="Z2699" t="s">
        <v>28667</v>
      </c>
      <c r="AA2699">
        <v>0.44539278723369752</v>
      </c>
      <c r="AB2699" t="str">
        <f>HYPERLINK("Melting_Curves/meltCurve_P46940_IQGAP1.pdf", "Melting_Curves/meltCurve_P46940_IQGAP1.pdf")</f>
        <v>Melting_Curves/meltCurve_P46940_IQGAP1.pdf</v>
      </c>
    </row>
    <row r="2700" spans="1:28" x14ac:dyDescent="0.25">
      <c r="A2700" t="s">
        <v>2704</v>
      </c>
      <c r="B2700">
        <v>0.99472303558308395</v>
      </c>
      <c r="C2700">
        <v>1.00663437191661</v>
      </c>
      <c r="D2700">
        <v>0.94027219955749597</v>
      </c>
      <c r="E2700">
        <v>0.87159745212357598</v>
      </c>
      <c r="F2700">
        <v>0.80222266636584105</v>
      </c>
      <c r="G2700">
        <v>0.445601074127775</v>
      </c>
      <c r="H2700">
        <v>0.222523717409806</v>
      </c>
      <c r="I2700">
        <v>0.21499944846755301</v>
      </c>
      <c r="J2700">
        <v>0.13896104732935799</v>
      </c>
      <c r="K2700">
        <v>0.22016613825585099</v>
      </c>
      <c r="L2700">
        <v>1196.9289773906501</v>
      </c>
      <c r="M2700">
        <v>22.929262060699202</v>
      </c>
      <c r="N2700">
        <v>53.141426868419202</v>
      </c>
      <c r="O2700">
        <v>51.808747904056801</v>
      </c>
      <c r="P2700">
        <v>-9.2192589807021399E-2</v>
      </c>
      <c r="Q2700">
        <v>0.166777870757677</v>
      </c>
      <c r="R2700">
        <v>0.98657305306589005</v>
      </c>
      <c r="S2700" t="s">
        <v>9268</v>
      </c>
      <c r="T2700" t="s">
        <v>13134</v>
      </c>
      <c r="U2700" t="s">
        <v>13134</v>
      </c>
      <c r="V2700" t="s">
        <v>13134</v>
      </c>
      <c r="W2700" t="s">
        <v>15786</v>
      </c>
      <c r="X2700">
        <v>4</v>
      </c>
      <c r="Y2700" t="s">
        <v>22224</v>
      </c>
      <c r="Z2700" t="s">
        <v>28668</v>
      </c>
      <c r="AA2700">
        <v>0.59755322072303718</v>
      </c>
      <c r="AB2700" t="str">
        <f>HYPERLINK("Melting_Curves/meltCurve_P46976_2_GYG1.pdf", "Melting_Curves/meltCurve_P46976_2_GYG1.pdf")</f>
        <v>Melting_Curves/meltCurve_P46976_2_GYG1.pdf</v>
      </c>
    </row>
    <row r="2701" spans="1:28" x14ac:dyDescent="0.25">
      <c r="A2701" t="s">
        <v>2705</v>
      </c>
      <c r="B2701">
        <v>0.99472303558308395</v>
      </c>
      <c r="C2701">
        <v>0.81543799815712603</v>
      </c>
      <c r="D2701">
        <v>0.710094692467933</v>
      </c>
      <c r="E2701">
        <v>0.63796755788732695</v>
      </c>
      <c r="F2701">
        <v>0.52877953875839201</v>
      </c>
      <c r="G2701">
        <v>0.150230188182608</v>
      </c>
      <c r="H2701">
        <v>6.5725843438316001E-2</v>
      </c>
      <c r="I2701">
        <v>4.3312047886387699E-2</v>
      </c>
      <c r="J2701">
        <v>4.4812575540668698E-2</v>
      </c>
      <c r="K2701">
        <v>3.7970678741949197E-2</v>
      </c>
      <c r="L2701">
        <v>536.73874009878602</v>
      </c>
      <c r="M2701">
        <v>11.1716752479423</v>
      </c>
      <c r="N2701">
        <v>48.044606454375398</v>
      </c>
      <c r="O2701">
        <v>46.582305440550897</v>
      </c>
      <c r="P2701">
        <v>-5.9975716995679301E-2</v>
      </c>
      <c r="Q2701">
        <v>0</v>
      </c>
      <c r="R2701">
        <v>0.95730079336797702</v>
      </c>
      <c r="S2701" t="s">
        <v>9269</v>
      </c>
      <c r="T2701" t="s">
        <v>13134</v>
      </c>
      <c r="U2701" t="s">
        <v>13134</v>
      </c>
      <c r="V2701" t="s">
        <v>13134</v>
      </c>
      <c r="W2701" t="s">
        <v>15787</v>
      </c>
      <c r="X2701">
        <v>10</v>
      </c>
      <c r="Y2701" t="s">
        <v>22225</v>
      </c>
      <c r="Z2701" t="s">
        <v>28669</v>
      </c>
      <c r="AA2701">
        <v>0.402729950335453</v>
      </c>
      <c r="AB2701" t="str">
        <f>HYPERLINK("Melting_Curves/meltCurve_P46977_STT3A.pdf", "Melting_Curves/meltCurve_P46977_STT3A.pdf")</f>
        <v>Melting_Curves/meltCurve_P46977_STT3A.pdf</v>
      </c>
    </row>
    <row r="2702" spans="1:28" x14ac:dyDescent="0.25">
      <c r="A2702" t="s">
        <v>2706</v>
      </c>
      <c r="B2702">
        <v>0.99472303558308395</v>
      </c>
      <c r="C2702">
        <v>0.89577309490011503</v>
      </c>
      <c r="D2702">
        <v>1.1348955167763699</v>
      </c>
      <c r="E2702">
        <v>0.92692626333825701</v>
      </c>
      <c r="F2702">
        <v>0.63934822898686805</v>
      </c>
      <c r="G2702">
        <v>0.37722989053151401</v>
      </c>
      <c r="H2702">
        <v>0.14987395997386399</v>
      </c>
      <c r="I2702">
        <v>0.19419628703833999</v>
      </c>
      <c r="J2702">
        <v>0.14603426193388899</v>
      </c>
      <c r="K2702">
        <v>8.7364971030669397E-2</v>
      </c>
      <c r="L2702">
        <v>1197.4131773136601</v>
      </c>
      <c r="M2702">
        <v>23.363987019538602</v>
      </c>
      <c r="N2702">
        <v>51.887626592059803</v>
      </c>
      <c r="O2702">
        <v>50.879353831197903</v>
      </c>
      <c r="P2702">
        <v>-0.100484511723647</v>
      </c>
      <c r="Q2702">
        <v>0.124721777505673</v>
      </c>
      <c r="R2702">
        <v>0.97367940002251196</v>
      </c>
      <c r="S2702" t="s">
        <v>9270</v>
      </c>
      <c r="T2702" t="s">
        <v>13134</v>
      </c>
      <c r="U2702" t="s">
        <v>13134</v>
      </c>
      <c r="V2702" t="s">
        <v>13134</v>
      </c>
      <c r="W2702" t="s">
        <v>15788</v>
      </c>
      <c r="X2702">
        <v>3</v>
      </c>
      <c r="Y2702" t="s">
        <v>22226</v>
      </c>
      <c r="Z2702" t="s">
        <v>28670</v>
      </c>
      <c r="AA2702">
        <v>0.54923720947673804</v>
      </c>
      <c r="AB2702" t="str">
        <f>HYPERLINK("Melting_Curves/meltCurve_P47224_RABIF.pdf", "Melting_Curves/meltCurve_P47224_RABIF.pdf")</f>
        <v>Melting_Curves/meltCurve_P47224_RABIF.pdf</v>
      </c>
    </row>
    <row r="2703" spans="1:28" x14ac:dyDescent="0.25">
      <c r="A2703" t="s">
        <v>2707</v>
      </c>
      <c r="B2703">
        <v>0.99472303558308395</v>
      </c>
      <c r="C2703">
        <v>0.999613997963125</v>
      </c>
      <c r="D2703">
        <v>0.91754043532792195</v>
      </c>
      <c r="E2703">
        <v>0.761290374439197</v>
      </c>
      <c r="F2703">
        <v>0.52163848005619595</v>
      </c>
      <c r="G2703">
        <v>0.24102744102098</v>
      </c>
      <c r="H2703">
        <v>0.101942031087374</v>
      </c>
      <c r="I2703">
        <v>6.0701562242085498E-2</v>
      </c>
      <c r="J2703">
        <v>5.3066462497425297E-2</v>
      </c>
      <c r="K2703">
        <v>5.5154829482194301E-2</v>
      </c>
      <c r="L2703">
        <v>833.27032979465605</v>
      </c>
      <c r="M2703">
        <v>16.6758973736979</v>
      </c>
      <c r="N2703">
        <v>50.109006256256102</v>
      </c>
      <c r="O2703">
        <v>49.266563102570998</v>
      </c>
      <c r="P2703">
        <v>-8.2694113390734195E-2</v>
      </c>
      <c r="Q2703">
        <v>2.2833230529339599E-2</v>
      </c>
      <c r="R2703">
        <v>0.99825770825395199</v>
      </c>
      <c r="S2703" t="s">
        <v>9271</v>
      </c>
      <c r="T2703" t="s">
        <v>13134</v>
      </c>
      <c r="U2703" t="s">
        <v>13134</v>
      </c>
      <c r="V2703" t="s">
        <v>13134</v>
      </c>
      <c r="W2703" t="s">
        <v>15789</v>
      </c>
      <c r="X2703">
        <v>13</v>
      </c>
      <c r="Y2703" t="s">
        <v>22227</v>
      </c>
      <c r="Z2703" t="s">
        <v>28671</v>
      </c>
      <c r="AA2703">
        <v>0.46266844126924489</v>
      </c>
      <c r="AB2703" t="str">
        <f>HYPERLINK("Melting_Curves/meltCurve_P47755_CAPZA2.pdf", "Melting_Curves/meltCurve_P47755_CAPZA2.pdf")</f>
        <v>Melting_Curves/meltCurve_P47755_CAPZA2.pdf</v>
      </c>
    </row>
    <row r="2704" spans="1:28" x14ac:dyDescent="0.25">
      <c r="A2704" t="s">
        <v>2708</v>
      </c>
      <c r="B2704">
        <v>0.99472303558308395</v>
      </c>
      <c r="C2704">
        <v>0.94539445473693795</v>
      </c>
      <c r="D2704">
        <v>0.93690603194139899</v>
      </c>
      <c r="E2704">
        <v>0.83500800427996602</v>
      </c>
      <c r="F2704">
        <v>0.63518506007079201</v>
      </c>
      <c r="G2704">
        <v>0.284401731647697</v>
      </c>
      <c r="H2704">
        <v>0.12850551168375601</v>
      </c>
      <c r="I2704">
        <v>7.6381230740484696E-2</v>
      </c>
      <c r="J2704">
        <v>8.3237757781072397E-2</v>
      </c>
      <c r="K2704">
        <v>7.0585155929219906E-2</v>
      </c>
      <c r="L2704">
        <v>961.18976452674099</v>
      </c>
      <c r="M2704">
        <v>18.855436441585901</v>
      </c>
      <c r="N2704">
        <v>51.240570828390801</v>
      </c>
      <c r="O2704">
        <v>50.4137907855715</v>
      </c>
      <c r="P2704">
        <v>-8.9182516329233505E-2</v>
      </c>
      <c r="Q2704">
        <v>4.6249811920562503E-2</v>
      </c>
      <c r="R2704">
        <v>0.99481315186748398</v>
      </c>
      <c r="S2704" t="s">
        <v>9272</v>
      </c>
      <c r="T2704" t="s">
        <v>13134</v>
      </c>
      <c r="U2704" t="s">
        <v>13134</v>
      </c>
      <c r="V2704" t="s">
        <v>13134</v>
      </c>
      <c r="W2704" t="s">
        <v>15790</v>
      </c>
      <c r="X2704">
        <v>22</v>
      </c>
      <c r="Y2704" t="s">
        <v>22228</v>
      </c>
      <c r="Z2704" t="s">
        <v>28672</v>
      </c>
      <c r="AA2704">
        <v>0.50434961827382696</v>
      </c>
      <c r="AB2704" t="str">
        <f>HYPERLINK("Melting_Curves/meltCurve_P47756_2_CAPZB.pdf", "Melting_Curves/meltCurve_P47756_2_CAPZB.pdf")</f>
        <v>Melting_Curves/meltCurve_P47756_2_CAPZB.pdf</v>
      </c>
    </row>
    <row r="2705" spans="1:28" x14ac:dyDescent="0.25">
      <c r="A2705" t="s">
        <v>2709</v>
      </c>
      <c r="B2705">
        <v>0.99472303558308395</v>
      </c>
      <c r="C2705">
        <v>0.93955905466394296</v>
      </c>
      <c r="D2705">
        <v>1.01558894278941</v>
      </c>
      <c r="E2705">
        <v>0.880204999756522</v>
      </c>
      <c r="F2705">
        <v>0.68226495780109997</v>
      </c>
      <c r="G2705">
        <v>0.41993196478025502</v>
      </c>
      <c r="H2705">
        <v>0.18099700198600199</v>
      </c>
      <c r="I2705">
        <v>9.4869545645564504E-2</v>
      </c>
      <c r="J2705">
        <v>0.120827525284775</v>
      </c>
      <c r="K2705">
        <v>7.8742360773015802E-2</v>
      </c>
      <c r="L2705">
        <v>953.36243098632497</v>
      </c>
      <c r="M2705">
        <v>18.3137928683391</v>
      </c>
      <c r="N2705">
        <v>52.430316703662498</v>
      </c>
      <c r="O2705">
        <v>51.448291643312103</v>
      </c>
      <c r="P2705">
        <v>-8.3556297895954396E-2</v>
      </c>
      <c r="Q2705">
        <v>6.1116243956307797E-2</v>
      </c>
      <c r="R2705">
        <v>0.99466248198626706</v>
      </c>
      <c r="S2705" t="s">
        <v>9273</v>
      </c>
      <c r="T2705" t="s">
        <v>13134</v>
      </c>
      <c r="U2705" t="s">
        <v>13134</v>
      </c>
      <c r="V2705" t="s">
        <v>13134</v>
      </c>
      <c r="W2705" t="s">
        <v>15791</v>
      </c>
      <c r="X2705">
        <v>9</v>
      </c>
      <c r="Y2705" t="s">
        <v>22229</v>
      </c>
      <c r="Z2705" t="s">
        <v>28673</v>
      </c>
      <c r="AA2705">
        <v>0.54616889758407272</v>
      </c>
      <c r="AB2705" t="str">
        <f>HYPERLINK("Melting_Curves/meltCurve_P47813_EIF1AX.pdf", "Melting_Curves/meltCurve_P47813_EIF1AX.pdf")</f>
        <v>Melting_Curves/meltCurve_P47813_EIF1AX.pdf</v>
      </c>
    </row>
    <row r="2706" spans="1:28" x14ac:dyDescent="0.25">
      <c r="A2706" t="s">
        <v>2710</v>
      </c>
      <c r="B2706">
        <v>0.99472303558308395</v>
      </c>
      <c r="C2706">
        <v>0.88586927530967297</v>
      </c>
      <c r="D2706">
        <v>0.62633569655071597</v>
      </c>
      <c r="E2706">
        <v>0.29986458389422799</v>
      </c>
      <c r="F2706">
        <v>0.132252346500039</v>
      </c>
      <c r="G2706">
        <v>7.5067638393457203E-2</v>
      </c>
      <c r="H2706">
        <v>5.0962989625510602E-2</v>
      </c>
      <c r="I2706">
        <v>3.6990478837523301E-2</v>
      </c>
      <c r="J2706">
        <v>3.9084517073241398E-2</v>
      </c>
      <c r="K2706">
        <v>2.8661325083912899E-2</v>
      </c>
      <c r="L2706">
        <v>820.29245721922098</v>
      </c>
      <c r="M2706">
        <v>18.584603725163401</v>
      </c>
      <c r="N2706">
        <v>44.313678724324703</v>
      </c>
      <c r="O2706">
        <v>43.636759077103399</v>
      </c>
      <c r="P2706">
        <v>-0.102702493182183</v>
      </c>
      <c r="Q2706">
        <v>3.5457717207753203E-2</v>
      </c>
      <c r="R2706">
        <v>0.99948411110600299</v>
      </c>
      <c r="S2706" t="s">
        <v>9274</v>
      </c>
      <c r="T2706" t="s">
        <v>13134</v>
      </c>
      <c r="U2706" t="s">
        <v>13134</v>
      </c>
      <c r="V2706" t="s">
        <v>13134</v>
      </c>
      <c r="W2706" t="s">
        <v>15792</v>
      </c>
      <c r="X2706">
        <v>19</v>
      </c>
      <c r="Y2706" t="s">
        <v>22230</v>
      </c>
      <c r="Z2706" t="s">
        <v>28674</v>
      </c>
      <c r="AA2706">
        <v>0.28005100973917479</v>
      </c>
      <c r="AB2706" t="str">
        <f>HYPERLINK("Melting_Curves/meltCurve_P47897_QARS.pdf", "Melting_Curves/meltCurve_P47897_QARS.pdf")</f>
        <v>Melting_Curves/meltCurve_P47897_QARS.pdf</v>
      </c>
    </row>
    <row r="2707" spans="1:28" x14ac:dyDescent="0.25">
      <c r="A2707" t="s">
        <v>2711</v>
      </c>
      <c r="B2707">
        <v>0.99472303558308395</v>
      </c>
      <c r="C2707">
        <v>0.99753167602105697</v>
      </c>
      <c r="D2707">
        <v>0.94261840035455302</v>
      </c>
      <c r="E2707">
        <v>0.73024960723255505</v>
      </c>
      <c r="F2707">
        <v>0.61189325200644895</v>
      </c>
      <c r="G2707">
        <v>0.21274600365101701</v>
      </c>
      <c r="H2707">
        <v>0.14599200063958201</v>
      </c>
      <c r="I2707">
        <v>0.12073934985042301</v>
      </c>
      <c r="J2707">
        <v>0.10509478006571001</v>
      </c>
      <c r="K2707">
        <v>0.15821604469293299</v>
      </c>
      <c r="L2707">
        <v>900.24431191802103</v>
      </c>
      <c r="M2707">
        <v>18.090827978721499</v>
      </c>
      <c r="N2707">
        <v>50.359328796080902</v>
      </c>
      <c r="O2707">
        <v>49.166379453827197</v>
      </c>
      <c r="P2707">
        <v>-8.3115740837422805E-2</v>
      </c>
      <c r="Q2707">
        <v>9.6491913826515299E-2</v>
      </c>
      <c r="R2707">
        <v>0.98369687985000098</v>
      </c>
      <c r="S2707" t="s">
        <v>9275</v>
      </c>
      <c r="T2707" t="s">
        <v>13134</v>
      </c>
      <c r="U2707" t="s">
        <v>13134</v>
      </c>
      <c r="V2707" t="s">
        <v>13134</v>
      </c>
      <c r="W2707" t="s">
        <v>15793</v>
      </c>
      <c r="X2707">
        <v>6</v>
      </c>
      <c r="Y2707" t="s">
        <v>22231</v>
      </c>
      <c r="Z2707" t="s">
        <v>28675</v>
      </c>
      <c r="AA2707">
        <v>0.495010901372614</v>
      </c>
      <c r="AB2707" t="str">
        <f>HYPERLINK("Melting_Curves/meltCurve_P47914_RPL29.pdf", "Melting_Curves/meltCurve_P47914_RPL29.pdf")</f>
        <v>Melting_Curves/meltCurve_P47914_RPL29.pdf</v>
      </c>
    </row>
    <row r="2708" spans="1:28" x14ac:dyDescent="0.25">
      <c r="A2708" t="s">
        <v>2712</v>
      </c>
      <c r="B2708">
        <v>0.99472303558308395</v>
      </c>
      <c r="C2708">
        <v>1.03312625838091</v>
      </c>
      <c r="D2708">
        <v>0.78819824716091802</v>
      </c>
      <c r="E2708">
        <v>0.44692188080909501</v>
      </c>
      <c r="F2708">
        <v>0.239365498528335</v>
      </c>
      <c r="G2708">
        <v>0.13590916356490801</v>
      </c>
      <c r="H2708">
        <v>8.7984185055347303E-2</v>
      </c>
      <c r="I2708">
        <v>5.04351365169576E-2</v>
      </c>
      <c r="J2708">
        <v>1.2909854324247299E-2</v>
      </c>
      <c r="K2708">
        <v>7.6669377462002794E-2</v>
      </c>
      <c r="L2708">
        <v>885.79481432822104</v>
      </c>
      <c r="M2708">
        <v>19.252458995031201</v>
      </c>
      <c r="N2708">
        <v>46.296449893411001</v>
      </c>
      <c r="O2708">
        <v>45.521677391562598</v>
      </c>
      <c r="P2708">
        <v>-9.9788358964552903E-2</v>
      </c>
      <c r="Q2708">
        <v>5.6253366092550598E-2</v>
      </c>
      <c r="R2708">
        <v>0.99221400435346097</v>
      </c>
      <c r="S2708" t="s">
        <v>9276</v>
      </c>
      <c r="T2708" t="s">
        <v>13134</v>
      </c>
      <c r="U2708" t="s">
        <v>13134</v>
      </c>
      <c r="V2708" t="s">
        <v>13134</v>
      </c>
      <c r="W2708" t="s">
        <v>15794</v>
      </c>
      <c r="X2708">
        <v>4</v>
      </c>
      <c r="Y2708" t="s">
        <v>22232</v>
      </c>
      <c r="Z2708" t="s">
        <v>28676</v>
      </c>
      <c r="AA2708">
        <v>0.35300043012171151</v>
      </c>
      <c r="AB2708" t="str">
        <f>HYPERLINK("Melting_Curves/meltCurve_P47974_ZFP36L2.pdf", "Melting_Curves/meltCurve_P47974_ZFP36L2.pdf")</f>
        <v>Melting_Curves/meltCurve_P47974_ZFP36L2.pdf</v>
      </c>
    </row>
    <row r="2709" spans="1:28" x14ac:dyDescent="0.25">
      <c r="A2709" t="s">
        <v>2713</v>
      </c>
      <c r="B2709">
        <v>0.99472303558308395</v>
      </c>
      <c r="C2709">
        <v>0.89133214955128204</v>
      </c>
      <c r="D2709">
        <v>0.89323201162500998</v>
      </c>
      <c r="E2709">
        <v>0.64340229143521899</v>
      </c>
      <c r="F2709">
        <v>0.38875675238029</v>
      </c>
      <c r="G2709">
        <v>0.30821127179631702</v>
      </c>
      <c r="H2709">
        <v>0.17867522466326599</v>
      </c>
      <c r="I2709">
        <v>0.130338848910456</v>
      </c>
      <c r="J2709">
        <v>0.170527895668205</v>
      </c>
      <c r="K2709">
        <v>0.123960466236003</v>
      </c>
      <c r="L2709">
        <v>681.26740533512304</v>
      </c>
      <c r="M2709">
        <v>14.230898772492999</v>
      </c>
      <c r="N2709">
        <v>48.786104889070302</v>
      </c>
      <c r="O2709">
        <v>46.956859053165203</v>
      </c>
      <c r="P2709">
        <v>-6.6910934976453604E-2</v>
      </c>
      <c r="Q2709">
        <v>0.116981320942732</v>
      </c>
      <c r="R2709">
        <v>0.99140252706640097</v>
      </c>
      <c r="S2709" t="s">
        <v>9277</v>
      </c>
      <c r="T2709" t="s">
        <v>13134</v>
      </c>
      <c r="U2709" t="s">
        <v>13134</v>
      </c>
      <c r="V2709" t="s">
        <v>13134</v>
      </c>
      <c r="W2709" t="s">
        <v>15795</v>
      </c>
      <c r="X2709">
        <v>14</v>
      </c>
      <c r="Y2709" t="s">
        <v>22233</v>
      </c>
      <c r="Z2709" t="s">
        <v>28677</v>
      </c>
      <c r="AA2709">
        <v>0.45829800190228431</v>
      </c>
      <c r="AB2709" t="str">
        <f>HYPERLINK("Melting_Curves/meltCurve_P47985_UQCRFS1.pdf", "Melting_Curves/meltCurve_P47985_UQCRFS1.pdf")</f>
        <v>Melting_Curves/meltCurve_P47985_UQCRFS1.pdf</v>
      </c>
    </row>
    <row r="2710" spans="1:28" x14ac:dyDescent="0.25">
      <c r="A2710" t="s">
        <v>2714</v>
      </c>
      <c r="B2710">
        <v>0.99472303558308395</v>
      </c>
      <c r="C2710">
        <v>0.97704030108860596</v>
      </c>
      <c r="D2710">
        <v>0.84537227923648595</v>
      </c>
      <c r="E2710">
        <v>0.73274764522006697</v>
      </c>
      <c r="F2710">
        <v>0.71568796386600297</v>
      </c>
      <c r="G2710">
        <v>0.47309564781386398</v>
      </c>
      <c r="H2710">
        <v>0.32486353892419001</v>
      </c>
      <c r="I2710">
        <v>0.28906329587429302</v>
      </c>
      <c r="J2710">
        <v>0.36812661479501702</v>
      </c>
      <c r="K2710">
        <v>0.27667949817692</v>
      </c>
      <c r="L2710">
        <v>537.26140433417697</v>
      </c>
      <c r="M2710">
        <v>10.676847912275401</v>
      </c>
      <c r="N2710">
        <v>53.342806618467101</v>
      </c>
      <c r="O2710">
        <v>48.651299277258801</v>
      </c>
      <c r="P2710">
        <v>-4.2428223371466803E-2</v>
      </c>
      <c r="Q2710">
        <v>0.226960083402691</v>
      </c>
      <c r="R2710">
        <v>0.96654122191406699</v>
      </c>
      <c r="S2710" t="s">
        <v>9278</v>
      </c>
      <c r="T2710" t="s">
        <v>13134</v>
      </c>
      <c r="U2710" t="s">
        <v>13134</v>
      </c>
      <c r="V2710" t="s">
        <v>13134</v>
      </c>
      <c r="W2710" t="s">
        <v>15796</v>
      </c>
      <c r="X2710">
        <v>3</v>
      </c>
      <c r="Y2710" t="s">
        <v>22234</v>
      </c>
      <c r="Z2710" t="s">
        <v>28678</v>
      </c>
      <c r="AA2710">
        <v>0.59410790938681735</v>
      </c>
      <c r="AB2710" t="str">
        <f>HYPERLINK("Melting_Curves/meltCurve_P48029_SLC6A8.pdf", "Melting_Curves/meltCurve_P48029_SLC6A8.pdf")</f>
        <v>Melting_Curves/meltCurve_P48029_SLC6A8.pdf</v>
      </c>
    </row>
    <row r="2711" spans="1:28" x14ac:dyDescent="0.25">
      <c r="A2711" t="s">
        <v>2715</v>
      </c>
      <c r="B2711">
        <v>0.99472303558308395</v>
      </c>
      <c r="C2711">
        <v>0.78215388946154196</v>
      </c>
      <c r="D2711">
        <v>0.66889733481670599</v>
      </c>
      <c r="E2711">
        <v>0.54381618634753104</v>
      </c>
      <c r="F2711">
        <v>0.45761726465229802</v>
      </c>
      <c r="G2711">
        <v>0.22289703016349699</v>
      </c>
      <c r="H2711">
        <v>0.11792804071754</v>
      </c>
      <c r="I2711">
        <v>7.6673504038588497E-2</v>
      </c>
      <c r="J2711">
        <v>8.7460612599145199E-2</v>
      </c>
      <c r="K2711">
        <v>7.8569499081888303E-2</v>
      </c>
      <c r="L2711">
        <v>430.55266875788698</v>
      </c>
      <c r="M2711">
        <v>9.1214008413072705</v>
      </c>
      <c r="N2711">
        <v>47.202472262926698</v>
      </c>
      <c r="O2711">
        <v>45.099678920035103</v>
      </c>
      <c r="P2711">
        <v>-5.0597352683554697E-2</v>
      </c>
      <c r="Q2711">
        <v>0</v>
      </c>
      <c r="R2711">
        <v>0.97756965435596699</v>
      </c>
      <c r="S2711" t="s">
        <v>9279</v>
      </c>
      <c r="T2711" t="s">
        <v>13134</v>
      </c>
      <c r="U2711" t="s">
        <v>13134</v>
      </c>
      <c r="V2711" t="s">
        <v>13134</v>
      </c>
      <c r="W2711" t="s">
        <v>15797</v>
      </c>
      <c r="X2711">
        <v>14</v>
      </c>
      <c r="Y2711" t="s">
        <v>22235</v>
      </c>
      <c r="Z2711" t="s">
        <v>28679</v>
      </c>
      <c r="AA2711">
        <v>0.38813222818820098</v>
      </c>
      <c r="AB2711" t="str">
        <f>HYPERLINK("Melting_Curves/meltCurve_P48047_ATP5O.pdf", "Melting_Curves/meltCurve_P48047_ATP5O.pdf")</f>
        <v>Melting_Curves/meltCurve_P48047_ATP5O.pdf</v>
      </c>
    </row>
    <row r="2712" spans="1:28" x14ac:dyDescent="0.25">
      <c r="A2712" t="s">
        <v>2716</v>
      </c>
      <c r="B2712">
        <v>0.99472303558308395</v>
      </c>
      <c r="C2712">
        <v>0.98464280252806002</v>
      </c>
      <c r="D2712">
        <v>0.91542211624550196</v>
      </c>
      <c r="E2712">
        <v>0.86156996135870401</v>
      </c>
      <c r="F2712">
        <v>0.63633417747660304</v>
      </c>
      <c r="G2712">
        <v>0.53216655650703903</v>
      </c>
      <c r="H2712">
        <v>0.32924993144639603</v>
      </c>
      <c r="I2712">
        <v>0.17349786312338</v>
      </c>
      <c r="J2712">
        <v>0.111713268166379</v>
      </c>
      <c r="K2712">
        <v>8.9846830599814298E-2</v>
      </c>
      <c r="L2712">
        <v>610.60538877688305</v>
      </c>
      <c r="M2712">
        <v>11.411132633581801</v>
      </c>
      <c r="N2712">
        <v>53.509621555166802</v>
      </c>
      <c r="O2712">
        <v>51.945363949791499</v>
      </c>
      <c r="P2712">
        <v>-5.4935002025775601E-2</v>
      </c>
      <c r="Q2712">
        <v>0</v>
      </c>
      <c r="R2712">
        <v>0.994797584265396</v>
      </c>
      <c r="S2712" t="s">
        <v>9280</v>
      </c>
      <c r="T2712" t="s">
        <v>13134</v>
      </c>
      <c r="U2712" t="s">
        <v>13134</v>
      </c>
      <c r="V2712" t="s">
        <v>13134</v>
      </c>
      <c r="W2712" t="s">
        <v>15798</v>
      </c>
      <c r="X2712">
        <v>17</v>
      </c>
      <c r="Y2712" t="s">
        <v>22236</v>
      </c>
      <c r="Z2712" t="s">
        <v>28680</v>
      </c>
      <c r="AA2712">
        <v>0.57014813062941261</v>
      </c>
      <c r="AB2712" t="str">
        <f>HYPERLINK("Melting_Curves/meltCurve_P48059_3_LIMS1.pdf", "Melting_Curves/meltCurve_P48059_3_LIMS1.pdf")</f>
        <v>Melting_Curves/meltCurve_P48059_3_LIMS1.pdf</v>
      </c>
    </row>
    <row r="2713" spans="1:28" x14ac:dyDescent="0.25">
      <c r="A2713" t="s">
        <v>2717</v>
      </c>
      <c r="B2713">
        <v>0.99472303558308395</v>
      </c>
      <c r="C2713">
        <v>0.89255382769797997</v>
      </c>
      <c r="D2713">
        <v>0.89754231252990002</v>
      </c>
      <c r="E2713">
        <v>0.396015518947816</v>
      </c>
      <c r="F2713">
        <v>0.15308173165401201</v>
      </c>
      <c r="G2713">
        <v>7.0058002255607002E-2</v>
      </c>
      <c r="H2713">
        <v>4.5401683385944601E-2</v>
      </c>
      <c r="I2713">
        <v>3.0635384248473799E-2</v>
      </c>
      <c r="J2713">
        <v>4.3625913682798098E-2</v>
      </c>
      <c r="K2713">
        <v>3.21800236973174E-2</v>
      </c>
      <c r="L2713">
        <v>1201.23061791961</v>
      </c>
      <c r="M2713">
        <v>26.204203560696499</v>
      </c>
      <c r="N2713">
        <v>45.991897608100999</v>
      </c>
      <c r="O2713">
        <v>45.5766808549525</v>
      </c>
      <c r="P2713">
        <v>-0.13782312873991601</v>
      </c>
      <c r="Q2713">
        <v>4.1154009692148497E-2</v>
      </c>
      <c r="R2713">
        <v>0.99277082162002295</v>
      </c>
      <c r="S2713" t="s">
        <v>9281</v>
      </c>
      <c r="T2713" t="s">
        <v>13134</v>
      </c>
      <c r="U2713" t="s">
        <v>13134</v>
      </c>
      <c r="V2713" t="s">
        <v>13134</v>
      </c>
      <c r="W2713" t="s">
        <v>15799</v>
      </c>
      <c r="X2713">
        <v>27</v>
      </c>
      <c r="Y2713" t="s">
        <v>20554</v>
      </c>
      <c r="Z2713" t="s">
        <v>28681</v>
      </c>
      <c r="AA2713">
        <v>0.33092943442158762</v>
      </c>
      <c r="AB2713" t="str">
        <f>HYPERLINK("Melting_Curves/meltCurve_P48147_PREP.pdf", "Melting_Curves/meltCurve_P48147_PREP.pdf")</f>
        <v>Melting_Curves/meltCurve_P48147_PREP.pdf</v>
      </c>
    </row>
    <row r="2714" spans="1:28" x14ac:dyDescent="0.25">
      <c r="A2714" t="s">
        <v>2718</v>
      </c>
      <c r="B2714">
        <v>0.99472303558308395</v>
      </c>
      <c r="C2714">
        <v>0.92620028063943105</v>
      </c>
      <c r="D2714">
        <v>0.86842407206265904</v>
      </c>
      <c r="E2714">
        <v>0.74376195455655403</v>
      </c>
      <c r="F2714">
        <v>0.604363290452124</v>
      </c>
      <c r="G2714">
        <v>0.47003344200710301</v>
      </c>
      <c r="H2714">
        <v>0.33471619309102002</v>
      </c>
      <c r="I2714">
        <v>0.130238798295051</v>
      </c>
      <c r="J2714">
        <v>0.130011556126783</v>
      </c>
      <c r="K2714">
        <v>0.108372525388545</v>
      </c>
      <c r="L2714">
        <v>501.536862854226</v>
      </c>
      <c r="M2714">
        <v>9.5995952082018494</v>
      </c>
      <c r="N2714">
        <v>52.245626180047203</v>
      </c>
      <c r="O2714">
        <v>50.129333375911202</v>
      </c>
      <c r="P2714">
        <v>-4.7901356189515097E-2</v>
      </c>
      <c r="Q2714">
        <v>0</v>
      </c>
      <c r="R2714">
        <v>0.99092487884866198</v>
      </c>
      <c r="S2714" t="s">
        <v>9282</v>
      </c>
      <c r="T2714" t="s">
        <v>13134</v>
      </c>
      <c r="U2714" t="s">
        <v>13134</v>
      </c>
      <c r="V2714" t="s">
        <v>13134</v>
      </c>
      <c r="W2714" t="s">
        <v>15800</v>
      </c>
      <c r="X2714">
        <v>16</v>
      </c>
      <c r="Y2714" t="s">
        <v>22237</v>
      </c>
      <c r="Z2714" t="s">
        <v>28682</v>
      </c>
      <c r="AA2714">
        <v>0.53423951961177629</v>
      </c>
      <c r="AB2714" t="str">
        <f>HYPERLINK("Melting_Curves/meltCurve_P48163_ME1.pdf", "Melting_Curves/meltCurve_P48163_ME1.pdf")</f>
        <v>Melting_Curves/meltCurve_P48163_ME1.pdf</v>
      </c>
    </row>
    <row r="2715" spans="1:28" x14ac:dyDescent="0.25">
      <c r="A2715" t="s">
        <v>2719</v>
      </c>
      <c r="B2715">
        <v>0.99472303558308395</v>
      </c>
      <c r="C2715">
        <v>0.89126637562081501</v>
      </c>
      <c r="D2715">
        <v>0.93640890236438001</v>
      </c>
      <c r="E2715">
        <v>0.73298700543415096</v>
      </c>
      <c r="F2715">
        <v>0.12839733929352401</v>
      </c>
      <c r="G2715">
        <v>7.0424625230723598E-2</v>
      </c>
      <c r="H2715">
        <v>5.36400413255348E-2</v>
      </c>
      <c r="I2715">
        <v>1.66695502626358E-2</v>
      </c>
      <c r="J2715">
        <v>2.8432050885563699E-2</v>
      </c>
      <c r="K2715">
        <v>3.3143777505365998E-2</v>
      </c>
      <c r="L2715">
        <v>1965.0701331800699</v>
      </c>
      <c r="M2715">
        <v>41.251297250779302</v>
      </c>
      <c r="N2715">
        <v>47.724476242601298</v>
      </c>
      <c r="O2715">
        <v>47.525022832361202</v>
      </c>
      <c r="P2715">
        <v>-0.20905912690086201</v>
      </c>
      <c r="Q2715">
        <v>3.6585708760297299E-2</v>
      </c>
      <c r="R2715">
        <v>0.99058376756911304</v>
      </c>
      <c r="S2715" t="s">
        <v>9283</v>
      </c>
      <c r="T2715" t="s">
        <v>13134</v>
      </c>
      <c r="U2715" t="s">
        <v>13134</v>
      </c>
      <c r="V2715" t="s">
        <v>13134</v>
      </c>
      <c r="W2715" t="s">
        <v>15801</v>
      </c>
      <c r="X2715">
        <v>13</v>
      </c>
      <c r="Y2715" t="s">
        <v>22238</v>
      </c>
      <c r="Z2715" t="s">
        <v>28683</v>
      </c>
      <c r="AA2715">
        <v>0.38114802976036011</v>
      </c>
      <c r="AB2715" t="str">
        <f>HYPERLINK("Melting_Curves/meltCurve_P48200_IREB2.pdf", "Melting_Curves/meltCurve_P48200_IREB2.pdf")</f>
        <v>Melting_Curves/meltCurve_P48200_IREB2.pdf</v>
      </c>
    </row>
    <row r="2716" spans="1:28" x14ac:dyDescent="0.25">
      <c r="A2716" t="s">
        <v>2720</v>
      </c>
      <c r="B2716">
        <v>0.99472303558308395</v>
      </c>
      <c r="C2716">
        <v>0.885397155344676</v>
      </c>
      <c r="D2716">
        <v>0.97282709825225999</v>
      </c>
      <c r="E2716">
        <v>0.83341090438120502</v>
      </c>
      <c r="F2716">
        <v>0.70395769968765198</v>
      </c>
      <c r="G2716">
        <v>0.40025659243443501</v>
      </c>
      <c r="H2716">
        <v>0.16323656150527399</v>
      </c>
      <c r="I2716">
        <v>0.15352221978548899</v>
      </c>
      <c r="J2716">
        <v>0.16231151090236001</v>
      </c>
      <c r="K2716">
        <v>0.192885464008417</v>
      </c>
      <c r="L2716">
        <v>992.33991189781</v>
      </c>
      <c r="M2716">
        <v>19.341692537721201</v>
      </c>
      <c r="N2716">
        <v>52.149046819589898</v>
      </c>
      <c r="O2716">
        <v>50.766746523381798</v>
      </c>
      <c r="P2716">
        <v>-8.2459828096561702E-2</v>
      </c>
      <c r="Q2716">
        <v>0.13429258472894001</v>
      </c>
      <c r="R2716">
        <v>0.97833734909691705</v>
      </c>
      <c r="S2716" t="s">
        <v>9284</v>
      </c>
      <c r="T2716" t="s">
        <v>13134</v>
      </c>
      <c r="U2716" t="s">
        <v>13134</v>
      </c>
      <c r="V2716" t="s">
        <v>13134</v>
      </c>
      <c r="W2716" t="s">
        <v>15802</v>
      </c>
      <c r="X2716">
        <v>3</v>
      </c>
      <c r="Y2716" t="s">
        <v>22239</v>
      </c>
      <c r="Z2716" t="s">
        <v>28684</v>
      </c>
      <c r="AA2716">
        <v>0.55903888793890266</v>
      </c>
      <c r="AB2716" t="str">
        <f>HYPERLINK("Melting_Curves/meltCurve_P48357_2_LEPR.pdf", "Melting_Curves/meltCurve_P48357_2_LEPR.pdf")</f>
        <v>Melting_Curves/meltCurve_P48357_2_LEPR.pdf</v>
      </c>
    </row>
    <row r="2717" spans="1:28" x14ac:dyDescent="0.25">
      <c r="A2717" t="s">
        <v>2721</v>
      </c>
      <c r="B2717">
        <v>0.99472303558308395</v>
      </c>
      <c r="C2717">
        <v>0.97727933221386798</v>
      </c>
      <c r="D2717">
        <v>0.66797506725894795</v>
      </c>
      <c r="E2717">
        <v>0.76091150118900097</v>
      </c>
      <c r="F2717">
        <v>0.439331026596121</v>
      </c>
      <c r="G2717">
        <v>0.25859468688501802</v>
      </c>
      <c r="H2717">
        <v>0.25172096872274802</v>
      </c>
      <c r="I2717">
        <v>0.18894767273204299</v>
      </c>
      <c r="J2717">
        <v>0.23646035899827</v>
      </c>
      <c r="K2717">
        <v>0.19612555099265699</v>
      </c>
      <c r="L2717">
        <v>581.93539430480701</v>
      </c>
      <c r="M2717">
        <v>12.2506883036085</v>
      </c>
      <c r="N2717">
        <v>49.0650360341319</v>
      </c>
      <c r="O2717">
        <v>46.289716902376298</v>
      </c>
      <c r="P2717">
        <v>-5.5487607851832502E-2</v>
      </c>
      <c r="Q2717">
        <v>0.161537999445337</v>
      </c>
      <c r="R2717">
        <v>0.94820364024901205</v>
      </c>
      <c r="S2717" t="s">
        <v>9285</v>
      </c>
      <c r="T2717" t="s">
        <v>13134</v>
      </c>
      <c r="U2717" t="s">
        <v>13134</v>
      </c>
      <c r="V2717" t="s">
        <v>13134</v>
      </c>
      <c r="W2717" t="s">
        <v>15803</v>
      </c>
      <c r="X2717">
        <v>1</v>
      </c>
      <c r="Y2717" t="s">
        <v>22240</v>
      </c>
      <c r="Z2717" t="s">
        <v>28685</v>
      </c>
      <c r="AA2717">
        <v>0.48111644648595242</v>
      </c>
      <c r="AB2717" t="str">
        <f>HYPERLINK("Melting_Curves/meltCurve_P48378_RFX2.pdf", "Melting_Curves/meltCurve_P48378_RFX2.pdf")</f>
        <v>Melting_Curves/meltCurve_P48378_RFX2.pdf</v>
      </c>
    </row>
    <row r="2718" spans="1:28" x14ac:dyDescent="0.25">
      <c r="A2718" t="s">
        <v>2722</v>
      </c>
      <c r="B2718">
        <v>0.99472303558308395</v>
      </c>
      <c r="C2718">
        <v>0.94784191343921598</v>
      </c>
      <c r="D2718">
        <v>0.79019236682202099</v>
      </c>
      <c r="E2718">
        <v>0.64997284373963504</v>
      </c>
      <c r="F2718">
        <v>0.57835196538341704</v>
      </c>
      <c r="G2718">
        <v>0.19199212803691099</v>
      </c>
      <c r="H2718">
        <v>6.9715357571822206E-2</v>
      </c>
      <c r="I2718">
        <v>4.0011155174169602E-2</v>
      </c>
      <c r="J2718">
        <v>4.36003527297954E-2</v>
      </c>
      <c r="K2718">
        <v>3.2427721032759302E-2</v>
      </c>
      <c r="L2718">
        <v>645.92817672288402</v>
      </c>
      <c r="M2718">
        <v>13.122738484381699</v>
      </c>
      <c r="N2718">
        <v>49.222044023646603</v>
      </c>
      <c r="O2718">
        <v>48.121106372033999</v>
      </c>
      <c r="P2718">
        <v>-6.8187197599124394E-2</v>
      </c>
      <c r="Q2718">
        <v>0</v>
      </c>
      <c r="R2718">
        <v>0.97522773169625698</v>
      </c>
      <c r="S2718" t="s">
        <v>9286</v>
      </c>
      <c r="T2718" t="s">
        <v>13134</v>
      </c>
      <c r="U2718" t="s">
        <v>13134</v>
      </c>
      <c r="V2718" t="s">
        <v>13134</v>
      </c>
      <c r="W2718" t="s">
        <v>15804</v>
      </c>
      <c r="X2718">
        <v>30</v>
      </c>
      <c r="Y2718" t="s">
        <v>22241</v>
      </c>
      <c r="Z2718" t="s">
        <v>28686</v>
      </c>
      <c r="AA2718">
        <v>0.43343192886379839</v>
      </c>
      <c r="AB2718" t="str">
        <f>HYPERLINK("Melting_Curves/meltCurve_P48444_ARCN1.pdf", "Melting_Curves/meltCurve_P48444_ARCN1.pdf")</f>
        <v>Melting_Curves/meltCurve_P48444_ARCN1.pdf</v>
      </c>
    </row>
    <row r="2719" spans="1:28" x14ac:dyDescent="0.25">
      <c r="A2719" t="s">
        <v>2723</v>
      </c>
      <c r="B2719">
        <v>0.99472303558308395</v>
      </c>
      <c r="C2719">
        <v>0.96906480762707803</v>
      </c>
      <c r="D2719">
        <v>0.98469974745624</v>
      </c>
      <c r="E2719">
        <v>0.90345953242244503</v>
      </c>
      <c r="F2719">
        <v>0.65008266662164504</v>
      </c>
      <c r="G2719">
        <v>0.28111270184731102</v>
      </c>
      <c r="H2719">
        <v>0.104145806394564</v>
      </c>
      <c r="I2719">
        <v>7.5258671263489396E-2</v>
      </c>
      <c r="J2719">
        <v>8.59632167513288E-2</v>
      </c>
      <c r="K2719">
        <v>7.1652678272140197E-2</v>
      </c>
      <c r="L2719">
        <v>1254.9138013658201</v>
      </c>
      <c r="M2719">
        <v>24.528960651607701</v>
      </c>
      <c r="N2719">
        <v>51.4452695211898</v>
      </c>
      <c r="O2719">
        <v>50.824111415343403</v>
      </c>
      <c r="P2719">
        <v>-0.1129982761473</v>
      </c>
      <c r="Q2719">
        <v>6.3482251577205703E-2</v>
      </c>
      <c r="R2719">
        <v>0.99867394061900105</v>
      </c>
      <c r="S2719" t="s">
        <v>9287</v>
      </c>
      <c r="T2719" t="s">
        <v>13134</v>
      </c>
      <c r="U2719" t="s">
        <v>13134</v>
      </c>
      <c r="V2719" t="s">
        <v>13134</v>
      </c>
      <c r="W2719" t="s">
        <v>15805</v>
      </c>
      <c r="X2719">
        <v>31</v>
      </c>
      <c r="Y2719" t="s">
        <v>22242</v>
      </c>
      <c r="Z2719" t="s">
        <v>28687</v>
      </c>
      <c r="AA2719">
        <v>0.51410008556587361</v>
      </c>
      <c r="AB2719" t="str">
        <f>HYPERLINK("Melting_Curves/meltCurve_P48449_LSS.pdf", "Melting_Curves/meltCurve_P48449_LSS.pdf")</f>
        <v>Melting_Curves/meltCurve_P48449_LSS.pdf</v>
      </c>
    </row>
    <row r="2720" spans="1:28" x14ac:dyDescent="0.25">
      <c r="A2720" t="s">
        <v>2724</v>
      </c>
      <c r="B2720">
        <v>0.99472303558308395</v>
      </c>
      <c r="C2720">
        <v>0.98430714404020703</v>
      </c>
      <c r="D2720">
        <v>0.931027090479005</v>
      </c>
      <c r="E2720">
        <v>0.81158693690463801</v>
      </c>
      <c r="F2720">
        <v>0.67793230805981297</v>
      </c>
      <c r="G2720">
        <v>0.39993128341113998</v>
      </c>
      <c r="H2720">
        <v>0.12669852729343001</v>
      </c>
      <c r="I2720">
        <v>5.38554396755834E-2</v>
      </c>
      <c r="J2720">
        <v>6.0665496466671499E-2</v>
      </c>
      <c r="K2720">
        <v>4.2693464770914E-2</v>
      </c>
      <c r="L2720">
        <v>832.84466408351398</v>
      </c>
      <c r="M2720">
        <v>16.0232789293017</v>
      </c>
      <c r="N2720">
        <v>51.977160057612203</v>
      </c>
      <c r="O2720">
        <v>51.1878005120018</v>
      </c>
      <c r="P2720">
        <v>-7.8263416191885704E-2</v>
      </c>
      <c r="Q2720">
        <v>0</v>
      </c>
      <c r="R2720">
        <v>0.99285709396701904</v>
      </c>
      <c r="S2720" t="s">
        <v>9288</v>
      </c>
      <c r="T2720" t="s">
        <v>13134</v>
      </c>
      <c r="U2720" t="s">
        <v>13134</v>
      </c>
      <c r="V2720" t="s">
        <v>13134</v>
      </c>
      <c r="W2720" t="s">
        <v>15806</v>
      </c>
      <c r="X2720">
        <v>8</v>
      </c>
      <c r="Y2720" t="s">
        <v>22243</v>
      </c>
      <c r="Z2720" t="s">
        <v>28688</v>
      </c>
      <c r="AA2720">
        <v>0.51693294902257625</v>
      </c>
      <c r="AB2720" t="str">
        <f>HYPERLINK("Melting_Curves/meltCurve_P48454_PPP3CC.pdf", "Melting_Curves/meltCurve_P48454_PPP3CC.pdf")</f>
        <v>Melting_Curves/meltCurve_P48454_PPP3CC.pdf</v>
      </c>
    </row>
    <row r="2721" spans="1:28" x14ac:dyDescent="0.25">
      <c r="A2721" t="s">
        <v>2725</v>
      </c>
      <c r="B2721">
        <v>0.99472303558308395</v>
      </c>
      <c r="C2721">
        <v>1.0026417914247601</v>
      </c>
      <c r="D2721">
        <v>0.93036254727450196</v>
      </c>
      <c r="E2721">
        <v>0.85364183302962504</v>
      </c>
      <c r="F2721">
        <v>0.646803014426092</v>
      </c>
      <c r="G2721">
        <v>0.30953505728050201</v>
      </c>
      <c r="H2721">
        <v>0.134805940721725</v>
      </c>
      <c r="I2721">
        <v>8.5552738175265097E-2</v>
      </c>
      <c r="J2721">
        <v>0.11423890308132199</v>
      </c>
      <c r="K2721">
        <v>8.7806830890205204E-2</v>
      </c>
      <c r="L2721">
        <v>1015.96888173793</v>
      </c>
      <c r="M2721">
        <v>19.895935646688098</v>
      </c>
      <c r="N2721">
        <v>51.448996275229703</v>
      </c>
      <c r="O2721">
        <v>50.556667691602698</v>
      </c>
      <c r="P2721">
        <v>-9.1585070831839699E-2</v>
      </c>
      <c r="Q2721">
        <v>6.9140067677671696E-2</v>
      </c>
      <c r="R2721">
        <v>0.995794351012949</v>
      </c>
      <c r="S2721" t="s">
        <v>9289</v>
      </c>
      <c r="T2721" t="s">
        <v>13134</v>
      </c>
      <c r="U2721" t="s">
        <v>13134</v>
      </c>
      <c r="V2721" t="s">
        <v>13134</v>
      </c>
      <c r="W2721" t="s">
        <v>15807</v>
      </c>
      <c r="X2721">
        <v>12</v>
      </c>
      <c r="Y2721" t="s">
        <v>22244</v>
      </c>
      <c r="Z2721" t="s">
        <v>28689</v>
      </c>
      <c r="AA2721">
        <v>0.51781733286865539</v>
      </c>
      <c r="AB2721" t="str">
        <f>HYPERLINK("Melting_Curves/meltCurve_P48506_GCLC.pdf", "Melting_Curves/meltCurve_P48506_GCLC.pdf")</f>
        <v>Melting_Curves/meltCurve_P48506_GCLC.pdf</v>
      </c>
    </row>
    <row r="2722" spans="1:28" x14ac:dyDescent="0.25">
      <c r="A2722" t="s">
        <v>2726</v>
      </c>
      <c r="B2722">
        <v>0.99472303558308395</v>
      </c>
      <c r="C2722">
        <v>0.99252487018594804</v>
      </c>
      <c r="D2722">
        <v>0.97263195254696999</v>
      </c>
      <c r="E2722">
        <v>0.75810848948191001</v>
      </c>
      <c r="F2722">
        <v>0.26091466205022901</v>
      </c>
      <c r="G2722">
        <v>0.15735347671556399</v>
      </c>
      <c r="H2722">
        <v>9.1594688726858803E-2</v>
      </c>
      <c r="I2722">
        <v>7.9212181566450296E-2</v>
      </c>
      <c r="J2722">
        <v>8.8569511059325007E-2</v>
      </c>
      <c r="K2722">
        <v>7.2277550633681104E-2</v>
      </c>
      <c r="L2722">
        <v>1514.8271262145399</v>
      </c>
      <c r="M2722">
        <v>31.525935020299599</v>
      </c>
      <c r="N2722">
        <v>48.3473301208167</v>
      </c>
      <c r="O2722">
        <v>47.858094101572902</v>
      </c>
      <c r="P2722">
        <v>-0.15018124484343801</v>
      </c>
      <c r="Q2722">
        <v>8.8071523058148596E-2</v>
      </c>
      <c r="R2722">
        <v>0.99862132834509099</v>
      </c>
      <c r="S2722" t="s">
        <v>9290</v>
      </c>
      <c r="T2722" t="s">
        <v>13134</v>
      </c>
      <c r="U2722" t="s">
        <v>13134</v>
      </c>
      <c r="V2722" t="s">
        <v>13134</v>
      </c>
      <c r="W2722" t="s">
        <v>15808</v>
      </c>
      <c r="X2722">
        <v>11</v>
      </c>
      <c r="Y2722" t="s">
        <v>22245</v>
      </c>
      <c r="Z2722" t="s">
        <v>28690</v>
      </c>
      <c r="AA2722">
        <v>0.42886396824146072</v>
      </c>
      <c r="AB2722" t="str">
        <f>HYPERLINK("Melting_Curves/meltCurve_P48507_GCLM.pdf", "Melting_Curves/meltCurve_P48507_GCLM.pdf")</f>
        <v>Melting_Curves/meltCurve_P48507_GCLM.pdf</v>
      </c>
    </row>
    <row r="2723" spans="1:28" x14ac:dyDescent="0.25">
      <c r="A2723" t="s">
        <v>2727</v>
      </c>
      <c r="B2723">
        <v>0.99472303558308395</v>
      </c>
      <c r="C2723">
        <v>1.01504316823336</v>
      </c>
      <c r="D2723">
        <v>0.904345541798665</v>
      </c>
      <c r="E2723">
        <v>0.86054564576634796</v>
      </c>
      <c r="F2723">
        <v>0.65744350301537402</v>
      </c>
      <c r="G2723">
        <v>0.33538337706744797</v>
      </c>
      <c r="H2723">
        <v>0.25335156666961101</v>
      </c>
      <c r="I2723">
        <v>0.39448446584993302</v>
      </c>
      <c r="J2723">
        <v>0.37989723837380401</v>
      </c>
      <c r="K2723">
        <v>0.44713780769484801</v>
      </c>
      <c r="L2723">
        <v>1409.36276856934</v>
      </c>
      <c r="M2723">
        <v>28.574430303929901</v>
      </c>
      <c r="N2723">
        <v>51.562874437167501</v>
      </c>
      <c r="O2723">
        <v>49.082840122472199</v>
      </c>
      <c r="P2723">
        <v>-9.3798050236882494E-2</v>
      </c>
      <c r="Q2723">
        <v>0.35553034760268198</v>
      </c>
      <c r="R2723">
        <v>0.94786486822230898</v>
      </c>
      <c r="S2723" t="s">
        <v>9291</v>
      </c>
      <c r="T2723" t="s">
        <v>13134</v>
      </c>
      <c r="U2723" t="s">
        <v>13134</v>
      </c>
      <c r="V2723" t="s">
        <v>13134</v>
      </c>
      <c r="W2723" t="s">
        <v>15809</v>
      </c>
      <c r="X2723">
        <v>54</v>
      </c>
      <c r="Y2723" t="s">
        <v>22246</v>
      </c>
      <c r="Z2723" t="s">
        <v>28691</v>
      </c>
      <c r="AA2723">
        <v>0.62455204115887619</v>
      </c>
      <c r="AB2723" t="str">
        <f>HYPERLINK("Melting_Curves/meltCurve_P48634_PRRC2A.pdf", "Melting_Curves/meltCurve_P48634_PRRC2A.pdf")</f>
        <v>Melting_Curves/meltCurve_P48634_PRRC2A.pdf</v>
      </c>
    </row>
    <row r="2724" spans="1:28" x14ac:dyDescent="0.25">
      <c r="A2724" t="s">
        <v>2728</v>
      </c>
      <c r="B2724">
        <v>0.99472303558308395</v>
      </c>
      <c r="C2724">
        <v>1.0028306999455501</v>
      </c>
      <c r="D2724">
        <v>1.01424793903209</v>
      </c>
      <c r="E2724">
        <v>0.91899813854526102</v>
      </c>
      <c r="F2724">
        <v>0.81267641952761105</v>
      </c>
      <c r="G2724">
        <v>0.63076992055560799</v>
      </c>
      <c r="H2724">
        <v>0.43356125173864901</v>
      </c>
      <c r="I2724">
        <v>0.51269308182528694</v>
      </c>
      <c r="J2724">
        <v>0.60843603682508796</v>
      </c>
      <c r="K2724">
        <v>0.23504043008141101</v>
      </c>
      <c r="L2724">
        <v>885.416053311121</v>
      </c>
      <c r="M2724">
        <v>16.9552307157638</v>
      </c>
      <c r="N2724">
        <v>57.765961917992101</v>
      </c>
      <c r="O2724">
        <v>51.510630989835903</v>
      </c>
      <c r="P2724">
        <v>-4.92290431287144E-2</v>
      </c>
      <c r="Q2724">
        <v>0.40179858926425199</v>
      </c>
      <c r="R2724">
        <v>0.88589398354462301</v>
      </c>
      <c r="S2724" t="s">
        <v>9292</v>
      </c>
      <c r="T2724" t="s">
        <v>13134</v>
      </c>
      <c r="U2724" t="s">
        <v>13134</v>
      </c>
      <c r="V2724" t="s">
        <v>13134</v>
      </c>
      <c r="W2724" t="s">
        <v>15810</v>
      </c>
      <c r="X2724">
        <v>31</v>
      </c>
      <c r="Y2724" t="s">
        <v>22247</v>
      </c>
      <c r="Z2724" t="s">
        <v>28692</v>
      </c>
      <c r="AA2724">
        <v>0.71503813278953487</v>
      </c>
      <c r="AB2724" t="str">
        <f>HYPERLINK("Melting_Curves/meltCurve_P48637_GSS.pdf", "Melting_Curves/meltCurve_P48637_GSS.pdf")</f>
        <v>Melting_Curves/meltCurve_P48637_GSS.pdf</v>
      </c>
    </row>
    <row r="2725" spans="1:28" x14ac:dyDescent="0.25">
      <c r="A2725" t="s">
        <v>2729</v>
      </c>
      <c r="B2725">
        <v>0.99472303558308395</v>
      </c>
      <c r="C2725">
        <v>0.93277454638427304</v>
      </c>
      <c r="D2725">
        <v>0.79833893574271797</v>
      </c>
      <c r="E2725">
        <v>0.69160168920424603</v>
      </c>
      <c r="F2725">
        <v>0.88307236577106996</v>
      </c>
      <c r="G2725">
        <v>0.374164815900068</v>
      </c>
      <c r="H2725">
        <v>0.355846080818712</v>
      </c>
      <c r="I2725">
        <v>0.61394484968914598</v>
      </c>
      <c r="J2725">
        <v>0.57028319142730499</v>
      </c>
      <c r="K2725">
        <v>0.189074976694902</v>
      </c>
      <c r="L2725">
        <v>367.728118207531</v>
      </c>
      <c r="M2725">
        <v>7.1884508850759499</v>
      </c>
      <c r="N2725">
        <v>56.850986544922698</v>
      </c>
      <c r="O2725">
        <v>47.640846037481403</v>
      </c>
      <c r="P2725">
        <v>-2.80872987388842E-2</v>
      </c>
      <c r="Q2725">
        <v>0.25666527436339098</v>
      </c>
      <c r="R2725">
        <v>0.68099117423403799</v>
      </c>
      <c r="S2725" t="s">
        <v>9293</v>
      </c>
      <c r="T2725" t="s">
        <v>13134</v>
      </c>
      <c r="U2725" t="s">
        <v>13134</v>
      </c>
      <c r="V2725" t="s">
        <v>13134</v>
      </c>
      <c r="W2725" t="s">
        <v>15811</v>
      </c>
      <c r="X2725">
        <v>40</v>
      </c>
      <c r="Y2725" t="s">
        <v>22248</v>
      </c>
      <c r="Z2725" t="s">
        <v>28693</v>
      </c>
      <c r="AA2725">
        <v>0.63358234670927893</v>
      </c>
      <c r="AB2725" t="str">
        <f>HYPERLINK("Melting_Curves/meltCurve_P48643_CCT5.pdf", "Melting_Curves/meltCurve_P48643_CCT5.pdf")</f>
        <v>Melting_Curves/meltCurve_P48643_CCT5.pdf</v>
      </c>
    </row>
    <row r="2726" spans="1:28" x14ac:dyDescent="0.25">
      <c r="A2726" t="s">
        <v>2730</v>
      </c>
      <c r="B2726">
        <v>0.99472303558308395</v>
      </c>
      <c r="C2726">
        <v>0.95640342854097105</v>
      </c>
      <c r="D2726">
        <v>0.75756717402740004</v>
      </c>
      <c r="E2726">
        <v>0.57437939131131699</v>
      </c>
      <c r="F2726">
        <v>0.56695832622693398</v>
      </c>
      <c r="G2726">
        <v>0.26617265353839997</v>
      </c>
      <c r="H2726">
        <v>0.18982428846208399</v>
      </c>
      <c r="I2726">
        <v>0.14759395557088201</v>
      </c>
      <c r="J2726">
        <v>0.18923650519332699</v>
      </c>
      <c r="K2726">
        <v>0.16864742388423401</v>
      </c>
      <c r="L2726">
        <v>533.39969495579601</v>
      </c>
      <c r="M2726">
        <v>11.127119999995401</v>
      </c>
      <c r="N2726">
        <v>49.004066133567299</v>
      </c>
      <c r="O2726">
        <v>46.466773454430097</v>
      </c>
      <c r="P2726">
        <v>-5.3441956027964699E-2</v>
      </c>
      <c r="Q2726">
        <v>0.10759554439468</v>
      </c>
      <c r="R2726">
        <v>0.97124732916918799</v>
      </c>
      <c r="S2726" t="s">
        <v>9294</v>
      </c>
      <c r="T2726" t="s">
        <v>13134</v>
      </c>
      <c r="U2726" t="s">
        <v>13134</v>
      </c>
      <c r="V2726" t="s">
        <v>13134</v>
      </c>
      <c r="W2726" t="s">
        <v>15812</v>
      </c>
      <c r="X2726">
        <v>7</v>
      </c>
      <c r="Y2726" t="s">
        <v>22249</v>
      </c>
      <c r="Z2726" t="s">
        <v>28694</v>
      </c>
      <c r="AA2726">
        <v>0.46416043658784611</v>
      </c>
      <c r="AB2726" t="str">
        <f>HYPERLINK("Melting_Curves/meltCurve_P48681_NES.pdf", "Melting_Curves/meltCurve_P48681_NES.pdf")</f>
        <v>Melting_Curves/meltCurve_P48681_NES.pdf</v>
      </c>
    </row>
    <row r="2727" spans="1:28" x14ac:dyDescent="0.25">
      <c r="A2727" t="s">
        <v>2731</v>
      </c>
      <c r="B2727">
        <v>0.99472303558308395</v>
      </c>
      <c r="C2727">
        <v>1.11587250814779</v>
      </c>
      <c r="D2727">
        <v>1.06897851500251</v>
      </c>
      <c r="E2727">
        <v>0.88622585642568297</v>
      </c>
      <c r="F2727">
        <v>0.58958214046333901</v>
      </c>
      <c r="G2727">
        <v>0.33882388667741198</v>
      </c>
      <c r="H2727">
        <v>8.9347825084301002E-2</v>
      </c>
      <c r="I2727">
        <v>7.3298302560197995E-2</v>
      </c>
      <c r="J2727">
        <v>6.7729628598292999E-2</v>
      </c>
      <c r="K2727">
        <v>6.7804248525077701E-2</v>
      </c>
      <c r="L2727">
        <v>1110.24224026412</v>
      </c>
      <c r="M2727">
        <v>21.725182824524101</v>
      </c>
      <c r="N2727">
        <v>51.357568659843501</v>
      </c>
      <c r="O2727">
        <v>50.676848276018198</v>
      </c>
      <c r="P2727">
        <v>-0.10172558646294801</v>
      </c>
      <c r="Q2727">
        <v>5.0868939602733303E-2</v>
      </c>
      <c r="R2727">
        <v>0.98577499990738704</v>
      </c>
      <c r="S2727" t="s">
        <v>9295</v>
      </c>
      <c r="T2727" t="s">
        <v>13134</v>
      </c>
      <c r="U2727" t="s">
        <v>13134</v>
      </c>
      <c r="V2727" t="s">
        <v>13134</v>
      </c>
      <c r="W2727" t="s">
        <v>15813</v>
      </c>
      <c r="X2727">
        <v>9</v>
      </c>
      <c r="Y2727" t="s">
        <v>22250</v>
      </c>
      <c r="Z2727" t="s">
        <v>28695</v>
      </c>
      <c r="AA2727">
        <v>0.50787143684247438</v>
      </c>
      <c r="AB2727" t="str">
        <f>HYPERLINK("Melting_Curves/meltCurve_P48723_HSPA13.pdf", "Melting_Curves/meltCurve_P48723_HSPA13.pdf")</f>
        <v>Melting_Curves/meltCurve_P48723_HSPA13.pdf</v>
      </c>
    </row>
    <row r="2728" spans="1:28" x14ac:dyDescent="0.25">
      <c r="A2728" t="s">
        <v>2732</v>
      </c>
      <c r="B2728">
        <v>0.99472303558308395</v>
      </c>
      <c r="C2728">
        <v>1.2287144243874399</v>
      </c>
      <c r="D2728">
        <v>1.0439440988453701</v>
      </c>
      <c r="E2728">
        <v>0.95296630072340105</v>
      </c>
      <c r="F2728">
        <v>0.44790679979452502</v>
      </c>
      <c r="G2728">
        <v>0.483915643849674</v>
      </c>
      <c r="H2728">
        <v>0.16056856990373899</v>
      </c>
      <c r="I2728">
        <v>0</v>
      </c>
      <c r="J2728">
        <v>2.6175636000902901E-2</v>
      </c>
      <c r="K2728">
        <v>0</v>
      </c>
      <c r="L2728">
        <v>894.58899621101102</v>
      </c>
      <c r="M2728">
        <v>17.301059716158601</v>
      </c>
      <c r="N2728">
        <v>51.707190206427804</v>
      </c>
      <c r="O2728">
        <v>51.031204801427997</v>
      </c>
      <c r="P2728">
        <v>-8.4762145217868498E-2</v>
      </c>
      <c r="Q2728">
        <v>0</v>
      </c>
      <c r="R2728">
        <v>0.94032776584903099</v>
      </c>
      <c r="S2728" t="s">
        <v>9296</v>
      </c>
      <c r="T2728" t="s">
        <v>13134</v>
      </c>
      <c r="U2728" t="s">
        <v>13134</v>
      </c>
      <c r="V2728" t="s">
        <v>13134</v>
      </c>
      <c r="W2728" t="s">
        <v>13537</v>
      </c>
      <c r="X2728">
        <v>14</v>
      </c>
      <c r="Y2728" t="s">
        <v>20029</v>
      </c>
      <c r="Z2728" t="s">
        <v>28696</v>
      </c>
      <c r="AA2728">
        <v>0.50638410453424576</v>
      </c>
      <c r="AB2728" t="str">
        <f>HYPERLINK("Melting_Curves/meltCurve_P48729_CSNK1A1.pdf", "Melting_Curves/meltCurve_P48729_CSNK1A1.pdf")</f>
        <v>Melting_Curves/meltCurve_P48729_CSNK1A1.pdf</v>
      </c>
    </row>
    <row r="2729" spans="1:28" x14ac:dyDescent="0.25">
      <c r="A2729" t="s">
        <v>2733</v>
      </c>
      <c r="B2729">
        <v>0.99472303558308395</v>
      </c>
      <c r="C2729">
        <v>0.9022155230037</v>
      </c>
      <c r="D2729">
        <v>0.91947606130991</v>
      </c>
      <c r="E2729">
        <v>0.78579949567343399</v>
      </c>
      <c r="F2729">
        <v>0.55371922508115101</v>
      </c>
      <c r="G2729">
        <v>0.380594033084519</v>
      </c>
      <c r="H2729">
        <v>0.148023579184594</v>
      </c>
      <c r="I2729">
        <v>0.10379164338577899</v>
      </c>
      <c r="J2729">
        <v>0.122508889699219</v>
      </c>
      <c r="K2729">
        <v>0.110765632548186</v>
      </c>
      <c r="L2729">
        <v>698.824484096535</v>
      </c>
      <c r="M2729">
        <v>13.8126976724202</v>
      </c>
      <c r="N2729">
        <v>50.996135286029201</v>
      </c>
      <c r="O2729">
        <v>49.567827278165197</v>
      </c>
      <c r="P2729">
        <v>-6.6071040554675303E-2</v>
      </c>
      <c r="Q2729">
        <v>5.1729968096678902E-2</v>
      </c>
      <c r="R2729">
        <v>0.98981360186529399</v>
      </c>
      <c r="S2729" t="s">
        <v>9297</v>
      </c>
      <c r="T2729" t="s">
        <v>13134</v>
      </c>
      <c r="U2729" t="s">
        <v>13134</v>
      </c>
      <c r="V2729" t="s">
        <v>13134</v>
      </c>
      <c r="W2729" t="s">
        <v>15814</v>
      </c>
      <c r="X2729">
        <v>10</v>
      </c>
      <c r="Y2729" t="s">
        <v>22251</v>
      </c>
      <c r="Z2729" t="s">
        <v>28697</v>
      </c>
      <c r="AA2729">
        <v>0.50301781209922636</v>
      </c>
      <c r="AB2729" t="str">
        <f>HYPERLINK("Melting_Curves/meltCurve_P48730_CSNK1D.pdf", "Melting_Curves/meltCurve_P48730_CSNK1D.pdf")</f>
        <v>Melting_Curves/meltCurve_P48730_CSNK1D.pdf</v>
      </c>
    </row>
    <row r="2730" spans="1:28" x14ac:dyDescent="0.25">
      <c r="A2730" t="s">
        <v>2734</v>
      </c>
      <c r="B2730">
        <v>0.99472303558308395</v>
      </c>
      <c r="C2730">
        <v>1.0332095605375</v>
      </c>
      <c r="D2730">
        <v>0.93576026348864105</v>
      </c>
      <c r="E2730">
        <v>0.82532923370157396</v>
      </c>
      <c r="F2730">
        <v>0.56265146135158794</v>
      </c>
      <c r="G2730">
        <v>0.15064122857835699</v>
      </c>
      <c r="H2730">
        <v>6.0441203502180199E-2</v>
      </c>
      <c r="I2730">
        <v>4.0447506663054099E-2</v>
      </c>
      <c r="J2730">
        <v>4.7183241806590698E-2</v>
      </c>
      <c r="K2730">
        <v>4.2519613710053202E-2</v>
      </c>
      <c r="L2730">
        <v>1172.5285473771501</v>
      </c>
      <c r="M2730">
        <v>23.350617008541501</v>
      </c>
      <c r="N2730">
        <v>50.323312273058299</v>
      </c>
      <c r="O2730">
        <v>49.8500952754952</v>
      </c>
      <c r="P2730">
        <v>-0.114211089804945</v>
      </c>
      <c r="Q2730">
        <v>2.4722390066786702E-2</v>
      </c>
      <c r="R2730">
        <v>0.99446716771088906</v>
      </c>
      <c r="S2730" t="s">
        <v>9298</v>
      </c>
      <c r="T2730" t="s">
        <v>13134</v>
      </c>
      <c r="U2730" t="s">
        <v>13134</v>
      </c>
      <c r="V2730" t="s">
        <v>13134</v>
      </c>
      <c r="W2730" t="s">
        <v>15815</v>
      </c>
      <c r="X2730">
        <v>23</v>
      </c>
      <c r="Y2730" t="s">
        <v>22252</v>
      </c>
      <c r="Z2730" t="s">
        <v>28698</v>
      </c>
      <c r="AA2730">
        <v>0.46401620123998139</v>
      </c>
      <c r="AB2730" t="str">
        <f>HYPERLINK("Melting_Curves/meltCurve_P48735_IDH2.pdf", "Melting_Curves/meltCurve_P48735_IDH2.pdf")</f>
        <v>Melting_Curves/meltCurve_P48735_IDH2.pdf</v>
      </c>
    </row>
    <row r="2731" spans="1:28" x14ac:dyDescent="0.25">
      <c r="A2731" t="s">
        <v>2735</v>
      </c>
      <c r="B2731">
        <v>0.99472303558308395</v>
      </c>
      <c r="C2731">
        <v>0.86774250020368404</v>
      </c>
      <c r="D2731">
        <v>0.75070585275399004</v>
      </c>
      <c r="E2731">
        <v>0.63699571439837699</v>
      </c>
      <c r="F2731">
        <v>0.67807456791781995</v>
      </c>
      <c r="G2731">
        <v>0.37202168823700099</v>
      </c>
      <c r="H2731">
        <v>0.342174088050331</v>
      </c>
      <c r="I2731">
        <v>0.106108692494646</v>
      </c>
      <c r="J2731">
        <v>0.112606468397941</v>
      </c>
      <c r="K2731">
        <v>0.122476785327695</v>
      </c>
      <c r="L2731">
        <v>420.64824214096001</v>
      </c>
      <c r="M2731">
        <v>8.2560195571896298</v>
      </c>
      <c r="N2731">
        <v>50.950489710268798</v>
      </c>
      <c r="O2731">
        <v>48.223550990213099</v>
      </c>
      <c r="P2731">
        <v>-4.2843802070426797E-2</v>
      </c>
      <c r="Q2731">
        <v>0</v>
      </c>
      <c r="R2731">
        <v>0.95196532942975498</v>
      </c>
      <c r="S2731" t="s">
        <v>9299</v>
      </c>
      <c r="T2731" t="s">
        <v>13134</v>
      </c>
      <c r="U2731" t="s">
        <v>13134</v>
      </c>
      <c r="V2731" t="s">
        <v>13134</v>
      </c>
      <c r="W2731" t="s">
        <v>15816</v>
      </c>
      <c r="X2731">
        <v>5</v>
      </c>
      <c r="Y2731" t="s">
        <v>22253</v>
      </c>
      <c r="Z2731" t="s">
        <v>28699</v>
      </c>
      <c r="AA2731">
        <v>0.49960103607752437</v>
      </c>
      <c r="AB2731" t="str">
        <f>HYPERLINK("Melting_Curves/meltCurve_P48736_PIK3CG.pdf", "Melting_Curves/meltCurve_P48736_PIK3CG.pdf")</f>
        <v>Melting_Curves/meltCurve_P48736_PIK3CG.pdf</v>
      </c>
    </row>
    <row r="2732" spans="1:28" x14ac:dyDescent="0.25">
      <c r="A2732" t="s">
        <v>2736</v>
      </c>
      <c r="B2732">
        <v>0.99472303558308395</v>
      </c>
      <c r="C2732">
        <v>1.0012900418503601</v>
      </c>
      <c r="D2732">
        <v>1.03222848036741</v>
      </c>
      <c r="E2732">
        <v>0.94206015474058002</v>
      </c>
      <c r="F2732">
        <v>0.67367300354479798</v>
      </c>
      <c r="G2732">
        <v>0.25550935939310099</v>
      </c>
      <c r="H2732">
        <v>6.8919285170828196E-2</v>
      </c>
      <c r="I2732">
        <v>3.6388661489618702E-2</v>
      </c>
      <c r="J2732">
        <v>4.1819147138405503E-2</v>
      </c>
      <c r="K2732">
        <v>3.2900426161754197E-2</v>
      </c>
      <c r="L2732">
        <v>1433.40028770104</v>
      </c>
      <c r="M2732">
        <v>27.867292942147799</v>
      </c>
      <c r="N2732">
        <v>51.5472730748562</v>
      </c>
      <c r="O2732">
        <v>51.173968425634698</v>
      </c>
      <c r="P2732">
        <v>-0.132189821266915</v>
      </c>
      <c r="Q2732">
        <v>2.9023934173108799E-2</v>
      </c>
      <c r="R2732">
        <v>0.99912288690932405</v>
      </c>
      <c r="S2732" t="s">
        <v>9300</v>
      </c>
      <c r="T2732" t="s">
        <v>13134</v>
      </c>
      <c r="U2732" t="s">
        <v>13134</v>
      </c>
      <c r="V2732" t="s">
        <v>13134</v>
      </c>
      <c r="W2732" t="s">
        <v>15817</v>
      </c>
      <c r="X2732">
        <v>19</v>
      </c>
      <c r="Y2732" t="s">
        <v>22254</v>
      </c>
      <c r="Z2732" t="s">
        <v>28700</v>
      </c>
      <c r="AA2732">
        <v>0.50328927596958473</v>
      </c>
      <c r="AB2732" t="str">
        <f>HYPERLINK("Melting_Curves/meltCurve_P48739_PITPNB.pdf", "Melting_Curves/meltCurve_P48739_PITPNB.pdf")</f>
        <v>Melting_Curves/meltCurve_P48739_PITPNB.pdf</v>
      </c>
    </row>
    <row r="2733" spans="1:28" x14ac:dyDescent="0.25">
      <c r="A2733" t="s">
        <v>2737</v>
      </c>
      <c r="B2733">
        <v>0.99472303558308395</v>
      </c>
      <c r="C2733">
        <v>0.98534246095073497</v>
      </c>
      <c r="D2733">
        <v>0.90569661242989796</v>
      </c>
      <c r="E2733">
        <v>0.84192969507804105</v>
      </c>
      <c r="F2733">
        <v>0.73610104055956405</v>
      </c>
      <c r="G2733">
        <v>0.49384684135421397</v>
      </c>
      <c r="H2733">
        <v>0.44084405261086501</v>
      </c>
      <c r="I2733">
        <v>0.40723930432641198</v>
      </c>
      <c r="J2733">
        <v>0.52813056003839698</v>
      </c>
      <c r="K2733">
        <v>0.52117513022657702</v>
      </c>
      <c r="L2733">
        <v>933.99759809789703</v>
      </c>
      <c r="M2733">
        <v>19.0548578425758</v>
      </c>
      <c r="N2733">
        <v>56.479693742702302</v>
      </c>
      <c r="O2733">
        <v>48.485962082058798</v>
      </c>
      <c r="P2733">
        <v>-5.3087299936258603E-2</v>
      </c>
      <c r="Q2733">
        <v>0.459688990175812</v>
      </c>
      <c r="R2733">
        <v>0.94952936371916596</v>
      </c>
      <c r="S2733" t="s">
        <v>9301</v>
      </c>
      <c r="T2733" t="s">
        <v>13134</v>
      </c>
      <c r="U2733" t="s">
        <v>13134</v>
      </c>
      <c r="V2733" t="s">
        <v>13134</v>
      </c>
      <c r="W2733" t="s">
        <v>15818</v>
      </c>
      <c r="X2733">
        <v>4</v>
      </c>
      <c r="Y2733" t="s">
        <v>22255</v>
      </c>
      <c r="Z2733" t="s">
        <v>28701</v>
      </c>
      <c r="AA2733">
        <v>0.68387455568187905</v>
      </c>
      <c r="AB2733" t="str">
        <f>HYPERLINK("Melting_Curves/meltCurve_P48960_2_CD97.pdf", "Melting_Curves/meltCurve_P48960_2_CD97.pdf")</f>
        <v>Melting_Curves/meltCurve_P48960_2_CD97.pdf</v>
      </c>
    </row>
    <row r="2734" spans="1:28" x14ac:dyDescent="0.25">
      <c r="A2734" t="s">
        <v>2738</v>
      </c>
      <c r="B2734">
        <v>0.99472303558308395</v>
      </c>
      <c r="C2734">
        <v>0.89330737649240299</v>
      </c>
      <c r="D2734">
        <v>0.97131630090023002</v>
      </c>
      <c r="E2734">
        <v>0.71685729190051795</v>
      </c>
      <c r="F2734">
        <v>0.28020300414648802</v>
      </c>
      <c r="G2734">
        <v>0.15944390530545699</v>
      </c>
      <c r="H2734">
        <v>8.2664851061820602E-2</v>
      </c>
      <c r="I2734">
        <v>6.8474298134795705E-2</v>
      </c>
      <c r="J2734">
        <v>8.6462639479795295E-2</v>
      </c>
      <c r="K2734">
        <v>6.29975637162946E-2</v>
      </c>
      <c r="L2734">
        <v>1250.6497480829901</v>
      </c>
      <c r="M2734">
        <v>26.058594897270499</v>
      </c>
      <c r="N2734">
        <v>48.296212406075099</v>
      </c>
      <c r="O2734">
        <v>47.713786009300499</v>
      </c>
      <c r="P2734">
        <v>-0.12625811545086901</v>
      </c>
      <c r="Q2734">
        <v>7.5286446488429803E-2</v>
      </c>
      <c r="R2734">
        <v>0.99175820170850004</v>
      </c>
      <c r="S2734" t="s">
        <v>9302</v>
      </c>
      <c r="T2734" t="s">
        <v>13134</v>
      </c>
      <c r="U2734" t="s">
        <v>13134</v>
      </c>
      <c r="V2734" t="s">
        <v>13134</v>
      </c>
      <c r="W2734" t="s">
        <v>15819</v>
      </c>
      <c r="X2734">
        <v>16</v>
      </c>
      <c r="Y2734" t="s">
        <v>22256</v>
      </c>
      <c r="Z2734" t="s">
        <v>28702</v>
      </c>
      <c r="AA2734">
        <v>0.42141273404912011</v>
      </c>
      <c r="AB2734" t="str">
        <f>HYPERLINK("Melting_Curves/meltCurve_P49005_POLD2.pdf", "Melting_Curves/meltCurve_P49005_POLD2.pdf")</f>
        <v>Melting_Curves/meltCurve_P49005_POLD2.pdf</v>
      </c>
    </row>
    <row r="2735" spans="1:28" x14ac:dyDescent="0.25">
      <c r="A2735" t="s">
        <v>2739</v>
      </c>
      <c r="B2735">
        <v>0.99472303558308395</v>
      </c>
      <c r="C2735">
        <v>0.95665493844551197</v>
      </c>
      <c r="D2735">
        <v>1.13720114378033</v>
      </c>
      <c r="E2735">
        <v>0.99405495012649103</v>
      </c>
      <c r="F2735">
        <v>0.66051758338897903</v>
      </c>
      <c r="G2735">
        <v>0.77856108230270604</v>
      </c>
      <c r="H2735">
        <v>0.51068184331076605</v>
      </c>
      <c r="I2735">
        <v>0.88788867864903598</v>
      </c>
      <c r="J2735">
        <v>1.02878582645144</v>
      </c>
      <c r="K2735">
        <v>0.711096843910479</v>
      </c>
      <c r="L2735">
        <v>11820.560953034599</v>
      </c>
      <c r="M2735">
        <v>250</v>
      </c>
      <c r="O2735">
        <v>47.2792208279985</v>
      </c>
      <c r="P2735">
        <v>-0.31340147517561001</v>
      </c>
      <c r="Q2735">
        <v>0.76292197329205402</v>
      </c>
      <c r="R2735">
        <v>0.46150482673801702</v>
      </c>
      <c r="S2735" t="s">
        <v>9303</v>
      </c>
      <c r="T2735" t="s">
        <v>13134</v>
      </c>
      <c r="U2735" t="s">
        <v>13134</v>
      </c>
      <c r="V2735" t="s">
        <v>13134</v>
      </c>
      <c r="W2735" t="s">
        <v>15820</v>
      </c>
      <c r="X2735">
        <v>13</v>
      </c>
      <c r="Y2735" t="s">
        <v>22257</v>
      </c>
      <c r="Z2735" t="s">
        <v>28703</v>
      </c>
      <c r="AA2735">
        <v>0.84419811503608233</v>
      </c>
      <c r="AB2735" t="str">
        <f>HYPERLINK("Melting_Curves/meltCurve_P49006_MARCKSL1.pdf", "Melting_Curves/meltCurve_P49006_MARCKSL1.pdf")</f>
        <v>Melting_Curves/meltCurve_P49006_MARCKSL1.pdf</v>
      </c>
    </row>
    <row r="2736" spans="1:28" x14ac:dyDescent="0.25">
      <c r="A2736" t="s">
        <v>2740</v>
      </c>
      <c r="B2736">
        <v>0.99472303558308395</v>
      </c>
      <c r="C2736">
        <v>1.0078272398086301</v>
      </c>
      <c r="D2736">
        <v>0.93487565644543003</v>
      </c>
      <c r="E2736">
        <v>0.84747986241639095</v>
      </c>
      <c r="F2736">
        <v>0.60926488639586596</v>
      </c>
      <c r="G2736">
        <v>0.47088967709004398</v>
      </c>
      <c r="H2736">
        <v>0.31179636419697099</v>
      </c>
      <c r="I2736">
        <v>0.25032469563252302</v>
      </c>
      <c r="J2736">
        <v>0.247459849962095</v>
      </c>
      <c r="K2736">
        <v>0.13687375014461001</v>
      </c>
      <c r="L2736">
        <v>671.19162466664602</v>
      </c>
      <c r="M2736">
        <v>13.034939387039501</v>
      </c>
      <c r="N2736">
        <v>52.8492241501961</v>
      </c>
      <c r="O2736">
        <v>50.3250314181102</v>
      </c>
      <c r="P2736">
        <v>-5.5551246571178298E-2</v>
      </c>
      <c r="Q2736">
        <v>0.14226542811005399</v>
      </c>
      <c r="R2736">
        <v>0.99363101695268496</v>
      </c>
      <c r="S2736" t="s">
        <v>9304</v>
      </c>
      <c r="T2736" t="s">
        <v>13134</v>
      </c>
      <c r="U2736" t="s">
        <v>13134</v>
      </c>
      <c r="V2736" t="s">
        <v>13134</v>
      </c>
      <c r="W2736" t="s">
        <v>15821</v>
      </c>
      <c r="X2736">
        <v>12</v>
      </c>
      <c r="Y2736" t="s">
        <v>22258</v>
      </c>
      <c r="Z2736" t="s">
        <v>28704</v>
      </c>
      <c r="AA2736">
        <v>0.57637580287644696</v>
      </c>
      <c r="AB2736" t="str">
        <f>HYPERLINK("Melting_Curves/meltCurve_P49023_2_PXN.pdf", "Melting_Curves/meltCurve_P49023_2_PXN.pdf")</f>
        <v>Melting_Curves/meltCurve_P49023_2_PXN.pdf</v>
      </c>
    </row>
    <row r="2737" spans="1:28" x14ac:dyDescent="0.25">
      <c r="A2737" t="s">
        <v>2741</v>
      </c>
      <c r="B2737">
        <v>0.99472303558308395</v>
      </c>
      <c r="C2737">
        <v>1.11455051770133</v>
      </c>
      <c r="D2737">
        <v>0.92370819055812403</v>
      </c>
      <c r="E2737">
        <v>0.83323588650463898</v>
      </c>
      <c r="F2737">
        <v>0.66653283304157995</v>
      </c>
      <c r="G2737">
        <v>0.476238061409056</v>
      </c>
      <c r="H2737">
        <v>0.37612985091433598</v>
      </c>
      <c r="I2737">
        <v>0.37828797868434899</v>
      </c>
      <c r="J2737">
        <v>0.45135372285796199</v>
      </c>
      <c r="K2737">
        <v>0.33652188977324399</v>
      </c>
      <c r="L2737">
        <v>930.61687639965703</v>
      </c>
      <c r="M2737">
        <v>18.817705604187498</v>
      </c>
      <c r="N2737">
        <v>53.242184433840997</v>
      </c>
      <c r="O2737">
        <v>48.905961176500497</v>
      </c>
      <c r="P2737">
        <v>-6.0708544007989397E-2</v>
      </c>
      <c r="Q2737">
        <v>0.36891609521892899</v>
      </c>
      <c r="R2737">
        <v>0.96631639916344103</v>
      </c>
      <c r="S2737" t="s">
        <v>9305</v>
      </c>
      <c r="T2737" t="s">
        <v>13134</v>
      </c>
      <c r="U2737" t="s">
        <v>13134</v>
      </c>
      <c r="V2737" t="s">
        <v>13134</v>
      </c>
      <c r="W2737" t="s">
        <v>15822</v>
      </c>
      <c r="X2737">
        <v>7</v>
      </c>
      <c r="Y2737" t="s">
        <v>22259</v>
      </c>
      <c r="Z2737" t="s">
        <v>28705</v>
      </c>
      <c r="AA2737">
        <v>0.64016918437654602</v>
      </c>
      <c r="AB2737" t="str">
        <f>HYPERLINK("Melting_Curves/meltCurve_P49069_CAMLG.pdf", "Melting_Curves/meltCurve_P49069_CAMLG.pdf")</f>
        <v>Melting_Curves/meltCurve_P49069_CAMLG.pdf</v>
      </c>
    </row>
    <row r="2738" spans="1:28" x14ac:dyDescent="0.25">
      <c r="A2738" t="s">
        <v>2742</v>
      </c>
      <c r="B2738">
        <v>0.99472303558308395</v>
      </c>
      <c r="C2738">
        <v>1.01301404019041</v>
      </c>
      <c r="D2738">
        <v>0.93710903893900499</v>
      </c>
      <c r="E2738">
        <v>0.73427069634836195</v>
      </c>
      <c r="F2738">
        <v>0.481991431766288</v>
      </c>
      <c r="G2738">
        <v>0.21317858284871399</v>
      </c>
      <c r="H2738">
        <v>0.10536026463418301</v>
      </c>
      <c r="I2738">
        <v>6.8886102435996396E-2</v>
      </c>
      <c r="J2738">
        <v>8.1931563483724698E-2</v>
      </c>
      <c r="K2738">
        <v>6.5895256596456994E-2</v>
      </c>
      <c r="L2738">
        <v>887.59191639040398</v>
      </c>
      <c r="M2738">
        <v>17.982428281753599</v>
      </c>
      <c r="N2738">
        <v>49.649911164498498</v>
      </c>
      <c r="O2738">
        <v>48.760582434869299</v>
      </c>
      <c r="P2738">
        <v>-8.7589596445161802E-2</v>
      </c>
      <c r="Q2738">
        <v>5.00263612608908E-2</v>
      </c>
      <c r="R2738">
        <v>0.998155965494254</v>
      </c>
      <c r="S2738" t="s">
        <v>9306</v>
      </c>
      <c r="T2738" t="s">
        <v>13134</v>
      </c>
      <c r="U2738" t="s">
        <v>13134</v>
      </c>
      <c r="V2738" t="s">
        <v>13134</v>
      </c>
      <c r="W2738" t="s">
        <v>15823</v>
      </c>
      <c r="X2738">
        <v>8</v>
      </c>
      <c r="Y2738" t="s">
        <v>22260</v>
      </c>
      <c r="Z2738" t="s">
        <v>28706</v>
      </c>
      <c r="AA2738">
        <v>0.45646723923909349</v>
      </c>
      <c r="AB2738" t="str">
        <f>HYPERLINK("Melting_Curves/meltCurve_P49116_NR2C2.pdf", "Melting_Curves/meltCurve_P49116_NR2C2.pdf")</f>
        <v>Melting_Curves/meltCurve_P49116_NR2C2.pdf</v>
      </c>
    </row>
    <row r="2739" spans="1:28" x14ac:dyDescent="0.25">
      <c r="A2739" t="s">
        <v>2743</v>
      </c>
      <c r="B2739">
        <v>0.99472303558308395</v>
      </c>
      <c r="C2739">
        <v>1.03253179498382</v>
      </c>
      <c r="D2739">
        <v>1.0521384926077699</v>
      </c>
      <c r="E2739">
        <v>0.86619654806625102</v>
      </c>
      <c r="F2739">
        <v>0.48275460417731603</v>
      </c>
      <c r="G2739">
        <v>0.20078693910960499</v>
      </c>
      <c r="H2739">
        <v>7.7719322916651401E-2</v>
      </c>
      <c r="I2739">
        <v>5.1355165509810202E-2</v>
      </c>
      <c r="J2739">
        <v>5.9788429672671603E-2</v>
      </c>
      <c r="K2739">
        <v>5.0370542751495898E-2</v>
      </c>
      <c r="L2739">
        <v>1293.73963950141</v>
      </c>
      <c r="M2739">
        <v>25.9098009567114</v>
      </c>
      <c r="N2739">
        <v>50.145225712224303</v>
      </c>
      <c r="O2739">
        <v>49.6378444397347</v>
      </c>
      <c r="P2739">
        <v>-0.123702369362524</v>
      </c>
      <c r="Q2739">
        <v>5.2057969981853601E-2</v>
      </c>
      <c r="R2739">
        <v>0.99653694994222597</v>
      </c>
      <c r="S2739" t="s">
        <v>9307</v>
      </c>
      <c r="T2739" t="s">
        <v>13134</v>
      </c>
      <c r="U2739" t="s">
        <v>13134</v>
      </c>
      <c r="V2739" t="s">
        <v>13134</v>
      </c>
      <c r="W2739" t="s">
        <v>15824</v>
      </c>
      <c r="X2739">
        <v>16</v>
      </c>
      <c r="Y2739" t="s">
        <v>22261</v>
      </c>
      <c r="Z2739" t="s">
        <v>28707</v>
      </c>
      <c r="AA2739">
        <v>0.46843362002569849</v>
      </c>
      <c r="AB2739" t="str">
        <f>HYPERLINK("Melting_Curves/meltCurve_P49137_MAPKAPK2.pdf", "Melting_Curves/meltCurve_P49137_MAPKAPK2.pdf")</f>
        <v>Melting_Curves/meltCurve_P49137_MAPKAPK2.pdf</v>
      </c>
    </row>
    <row r="2740" spans="1:28" x14ac:dyDescent="0.25">
      <c r="A2740" t="s">
        <v>2744</v>
      </c>
      <c r="B2740">
        <v>0.99472303558308395</v>
      </c>
      <c r="C2740">
        <v>0.92619639161338696</v>
      </c>
      <c r="D2740">
        <v>0.83881696419763596</v>
      </c>
      <c r="E2740">
        <v>0.75996763210421003</v>
      </c>
      <c r="F2740">
        <v>0.70082621534256395</v>
      </c>
      <c r="G2740">
        <v>0.45346610737953802</v>
      </c>
      <c r="H2740">
        <v>0.28159188936620599</v>
      </c>
      <c r="I2740">
        <v>0.14755729934360701</v>
      </c>
      <c r="J2740">
        <v>0.107044004049617</v>
      </c>
      <c r="K2740">
        <v>8.1419793026201906E-2</v>
      </c>
      <c r="L2740">
        <v>555.64071901020304</v>
      </c>
      <c r="M2740">
        <v>10.5812924177143</v>
      </c>
      <c r="N2740">
        <v>52.511611725121902</v>
      </c>
      <c r="O2740">
        <v>50.7401541876675</v>
      </c>
      <c r="P2740">
        <v>-5.2155128834451898E-2</v>
      </c>
      <c r="Q2740">
        <v>0</v>
      </c>
      <c r="R2740">
        <v>0.98502770566808395</v>
      </c>
      <c r="S2740" t="s">
        <v>9308</v>
      </c>
      <c r="T2740" t="s">
        <v>13134</v>
      </c>
      <c r="U2740" t="s">
        <v>13134</v>
      </c>
      <c r="V2740" t="s">
        <v>13134</v>
      </c>
      <c r="W2740" t="s">
        <v>15825</v>
      </c>
      <c r="X2740">
        <v>22</v>
      </c>
      <c r="Y2740" t="s">
        <v>22262</v>
      </c>
      <c r="Z2740" t="s">
        <v>28708</v>
      </c>
      <c r="AA2740">
        <v>0.54108051733250495</v>
      </c>
      <c r="AB2740" t="str">
        <f>HYPERLINK("Melting_Curves/meltCurve_P49189_ALDH9A1.pdf", "Melting_Curves/meltCurve_P49189_ALDH9A1.pdf")</f>
        <v>Melting_Curves/meltCurve_P49189_ALDH9A1.pdf</v>
      </c>
    </row>
    <row r="2741" spans="1:28" x14ac:dyDescent="0.25">
      <c r="A2741" t="s">
        <v>2745</v>
      </c>
      <c r="B2741">
        <v>0.99472303558308395</v>
      </c>
      <c r="C2741">
        <v>0.36602314748400799</v>
      </c>
      <c r="D2741">
        <v>1.03176746439956</v>
      </c>
      <c r="E2741">
        <v>0.62082704083371099</v>
      </c>
      <c r="F2741">
        <v>0.20008695187426101</v>
      </c>
      <c r="G2741">
        <v>0.25500756423774701</v>
      </c>
      <c r="H2741">
        <v>0.206176068873965</v>
      </c>
      <c r="I2741">
        <v>0.10192998131219</v>
      </c>
      <c r="J2741">
        <v>7.9654802293133098E-2</v>
      </c>
      <c r="K2741">
        <v>0.16391252020015001</v>
      </c>
      <c r="L2741">
        <v>375.40074583880698</v>
      </c>
      <c r="M2741">
        <v>7.9809839634620401</v>
      </c>
      <c r="N2741">
        <v>47.036900215934999</v>
      </c>
      <c r="O2741">
        <v>44.359189536630801</v>
      </c>
      <c r="P2741">
        <v>-4.5030640072957602E-2</v>
      </c>
      <c r="Q2741">
        <v>0</v>
      </c>
      <c r="R2741">
        <v>0.67050791186085301</v>
      </c>
      <c r="S2741" t="s">
        <v>9309</v>
      </c>
      <c r="T2741" t="s">
        <v>13134</v>
      </c>
      <c r="U2741" t="s">
        <v>13134</v>
      </c>
      <c r="V2741" t="s">
        <v>13134</v>
      </c>
      <c r="W2741" t="s">
        <v>15826</v>
      </c>
      <c r="X2741">
        <v>4</v>
      </c>
      <c r="Y2741" t="s">
        <v>22263</v>
      </c>
      <c r="Z2741" t="s">
        <v>28709</v>
      </c>
      <c r="AA2741">
        <v>0.39188213991021592</v>
      </c>
      <c r="AB2741" t="str">
        <f>HYPERLINK("Melting_Curves/meltCurve_P49207_RPL34.pdf", "Melting_Curves/meltCurve_P49207_RPL34.pdf")</f>
        <v>Melting_Curves/meltCurve_P49207_RPL34.pdf</v>
      </c>
    </row>
    <row r="2742" spans="1:28" x14ac:dyDescent="0.25">
      <c r="A2742" t="s">
        <v>2746</v>
      </c>
      <c r="B2742">
        <v>0.99472303558308395</v>
      </c>
      <c r="C2742">
        <v>0.99907847146295303</v>
      </c>
      <c r="D2742">
        <v>0.92920926525010294</v>
      </c>
      <c r="E2742">
        <v>0.84500421770241396</v>
      </c>
      <c r="F2742">
        <v>0.82985614659142704</v>
      </c>
      <c r="G2742">
        <v>0.54745205079353698</v>
      </c>
      <c r="H2742">
        <v>0.49892386134279798</v>
      </c>
      <c r="I2742">
        <v>0.52649665927225797</v>
      </c>
      <c r="J2742">
        <v>0.83316449837865703</v>
      </c>
      <c r="K2742">
        <v>0.77083698263320799</v>
      </c>
      <c r="L2742">
        <v>1082.63502139255</v>
      </c>
      <c r="M2742">
        <v>22.7474514639473</v>
      </c>
      <c r="O2742">
        <v>47.230443182716002</v>
      </c>
      <c r="P2742">
        <v>-4.2853317742609302E-2</v>
      </c>
      <c r="Q2742">
        <v>0.64410226595930298</v>
      </c>
      <c r="R2742">
        <v>0.64090064991112505</v>
      </c>
      <c r="S2742" t="s">
        <v>9310</v>
      </c>
      <c r="T2742" t="s">
        <v>13134</v>
      </c>
      <c r="U2742" t="s">
        <v>13134</v>
      </c>
      <c r="V2742" t="s">
        <v>13134</v>
      </c>
      <c r="W2742" t="s">
        <v>15827</v>
      </c>
      <c r="X2742">
        <v>14</v>
      </c>
      <c r="Y2742" t="s">
        <v>22264</v>
      </c>
      <c r="Z2742" t="s">
        <v>28710</v>
      </c>
      <c r="AA2742">
        <v>0.7734127867951488</v>
      </c>
      <c r="AB2742" t="str">
        <f>HYPERLINK("Melting_Curves/meltCurve_P49247_RPIA.pdf", "Melting_Curves/meltCurve_P49247_RPIA.pdf")</f>
        <v>Melting_Curves/meltCurve_P49247_RPIA.pdf</v>
      </c>
    </row>
    <row r="2743" spans="1:28" x14ac:dyDescent="0.25">
      <c r="A2743" t="s">
        <v>2747</v>
      </c>
      <c r="B2743">
        <v>0.99472303558308395</v>
      </c>
      <c r="C2743">
        <v>0.94026627095162096</v>
      </c>
      <c r="D2743">
        <v>0.816080740518078</v>
      </c>
      <c r="E2743">
        <v>0.63046065526456696</v>
      </c>
      <c r="F2743">
        <v>0.40480251296992098</v>
      </c>
      <c r="G2743">
        <v>0.10960187926623401</v>
      </c>
      <c r="H2743">
        <v>6.0560573571345998E-2</v>
      </c>
      <c r="I2743">
        <v>3.5551167287481401E-2</v>
      </c>
      <c r="J2743">
        <v>4.4925456621792002E-2</v>
      </c>
      <c r="K2743">
        <v>3.8440511993116197E-2</v>
      </c>
      <c r="L2743">
        <v>712.21297990007997</v>
      </c>
      <c r="M2743">
        <v>14.804152935100401</v>
      </c>
      <c r="N2743">
        <v>48.108999202855202</v>
      </c>
      <c r="O2743">
        <v>47.256759768602898</v>
      </c>
      <c r="P2743">
        <v>-7.8325983292028306E-2</v>
      </c>
      <c r="Q2743">
        <v>0</v>
      </c>
      <c r="R2743">
        <v>0.99298217924889198</v>
      </c>
      <c r="S2743" t="s">
        <v>9311</v>
      </c>
      <c r="T2743" t="s">
        <v>13134</v>
      </c>
      <c r="U2743" t="s">
        <v>13134</v>
      </c>
      <c r="V2743" t="s">
        <v>13134</v>
      </c>
      <c r="W2743" t="s">
        <v>15828</v>
      </c>
      <c r="X2743">
        <v>17</v>
      </c>
      <c r="Y2743" t="s">
        <v>22265</v>
      </c>
      <c r="Z2743" t="s">
        <v>28711</v>
      </c>
      <c r="AA2743">
        <v>0.39275746173440862</v>
      </c>
      <c r="AB2743" t="str">
        <f>HYPERLINK("Melting_Curves/meltCurve_P49257_LMAN1.pdf", "Melting_Curves/meltCurve_P49257_LMAN1.pdf")</f>
        <v>Melting_Curves/meltCurve_P49257_LMAN1.pdf</v>
      </c>
    </row>
    <row r="2744" spans="1:28" x14ac:dyDescent="0.25">
      <c r="A2744" t="s">
        <v>2748</v>
      </c>
      <c r="B2744">
        <v>0.99472303558308395</v>
      </c>
      <c r="C2744">
        <v>0.95968449855989302</v>
      </c>
      <c r="D2744">
        <v>0.87962323689835398</v>
      </c>
      <c r="E2744">
        <v>0.81931429471933204</v>
      </c>
      <c r="F2744">
        <v>0.72034899444250799</v>
      </c>
      <c r="G2744">
        <v>0.45645962799919898</v>
      </c>
      <c r="H2744">
        <v>0.16909841189736499</v>
      </c>
      <c r="I2744">
        <v>0.293154746065098</v>
      </c>
      <c r="J2744">
        <v>0.269748240070811</v>
      </c>
      <c r="K2744">
        <v>0.39497788149174001</v>
      </c>
      <c r="L2744">
        <v>949.932175075901</v>
      </c>
      <c r="M2744">
        <v>18.877016875953299</v>
      </c>
      <c r="N2744">
        <v>52.458463137376803</v>
      </c>
      <c r="O2744">
        <v>49.767633205203403</v>
      </c>
      <c r="P2744">
        <v>-6.9396115919030402E-2</v>
      </c>
      <c r="Q2744">
        <v>0.26820245170201201</v>
      </c>
      <c r="R2744">
        <v>0.93153708470421104</v>
      </c>
      <c r="S2744" t="s">
        <v>9312</v>
      </c>
      <c r="T2744" t="s">
        <v>13134</v>
      </c>
      <c r="U2744" t="s">
        <v>13134</v>
      </c>
      <c r="V2744" t="s">
        <v>13134</v>
      </c>
      <c r="W2744" t="s">
        <v>15829</v>
      </c>
      <c r="X2744">
        <v>2</v>
      </c>
      <c r="Y2744" t="s">
        <v>22266</v>
      </c>
      <c r="Z2744" t="s">
        <v>28712</v>
      </c>
      <c r="AA2744">
        <v>0.60379046842687978</v>
      </c>
      <c r="AB2744" t="str">
        <f>HYPERLINK("Melting_Curves/meltCurve_P49281_5_SLC11A2.pdf", "Melting_Curves/meltCurve_P49281_5_SLC11A2.pdf")</f>
        <v>Melting_Curves/meltCurve_P49281_5_SLC11A2.pdf</v>
      </c>
    </row>
    <row r="2745" spans="1:28" x14ac:dyDescent="0.25">
      <c r="A2745" t="s">
        <v>2749</v>
      </c>
      <c r="B2745">
        <v>0.99472303558308395</v>
      </c>
      <c r="C2745">
        <v>0.99654610891259998</v>
      </c>
      <c r="D2745">
        <v>1.0585548661238999</v>
      </c>
      <c r="E2745">
        <v>0.93963184754033802</v>
      </c>
      <c r="F2745">
        <v>0.61033711718203398</v>
      </c>
      <c r="G2745">
        <v>0.16843824792484</v>
      </c>
      <c r="H2745">
        <v>6.5336720554906094E-2</v>
      </c>
      <c r="I2745">
        <v>5.0603363205079598E-2</v>
      </c>
      <c r="J2745">
        <v>6.1113873829992303E-2</v>
      </c>
      <c r="K2745">
        <v>5.7884521526576402E-2</v>
      </c>
      <c r="L2745">
        <v>1721.86490314922</v>
      </c>
      <c r="M2745">
        <v>33.958480546950298</v>
      </c>
      <c r="N2745">
        <v>50.873098655195797</v>
      </c>
      <c r="O2745">
        <v>50.530151301610701</v>
      </c>
      <c r="P2745">
        <v>-0.15909519146608</v>
      </c>
      <c r="Q2745">
        <v>5.3070757171758499E-2</v>
      </c>
      <c r="R2745">
        <v>0.99783715662656502</v>
      </c>
      <c r="S2745" t="s">
        <v>9313</v>
      </c>
      <c r="T2745" t="s">
        <v>13134</v>
      </c>
      <c r="U2745" t="s">
        <v>13134</v>
      </c>
      <c r="V2745" t="s">
        <v>13134</v>
      </c>
      <c r="W2745" t="s">
        <v>15830</v>
      </c>
      <c r="X2745">
        <v>35</v>
      </c>
      <c r="Y2745" t="s">
        <v>22267</v>
      </c>
      <c r="Z2745" t="s">
        <v>28713</v>
      </c>
      <c r="AA2745">
        <v>0.49025882413632871</v>
      </c>
      <c r="AB2745" t="str">
        <f>HYPERLINK("Melting_Curves/meltCurve_P49321_NASP.pdf", "Melting_Curves/meltCurve_P49321_NASP.pdf")</f>
        <v>Melting_Curves/meltCurve_P49321_NASP.pdf</v>
      </c>
    </row>
    <row r="2746" spans="1:28" x14ac:dyDescent="0.25">
      <c r="A2746" t="s">
        <v>2750</v>
      </c>
      <c r="B2746">
        <v>0.99472303558308395</v>
      </c>
      <c r="C2746">
        <v>0.95469030982608005</v>
      </c>
      <c r="D2746">
        <v>0.70223712524648196</v>
      </c>
      <c r="E2746">
        <v>0.59594451794803605</v>
      </c>
      <c r="F2746">
        <v>0.51173761264924</v>
      </c>
      <c r="G2746">
        <v>8.7476009547232003E-2</v>
      </c>
      <c r="H2746">
        <v>6.0141978620386498E-2</v>
      </c>
      <c r="I2746">
        <v>3.6745113284513201E-2</v>
      </c>
      <c r="J2746">
        <v>4.7075499771839301E-2</v>
      </c>
      <c r="K2746">
        <v>3.8099872273125703E-2</v>
      </c>
      <c r="L2746">
        <v>605.59451637178495</v>
      </c>
      <c r="M2746">
        <v>12.6464180635211</v>
      </c>
      <c r="N2746">
        <v>47.8866304484932</v>
      </c>
      <c r="O2746">
        <v>46.736588347221797</v>
      </c>
      <c r="P2746">
        <v>-6.7660580847205998E-2</v>
      </c>
      <c r="Q2746">
        <v>0</v>
      </c>
      <c r="R2746">
        <v>0.96313737722680604</v>
      </c>
      <c r="S2746" t="s">
        <v>9314</v>
      </c>
      <c r="T2746" t="s">
        <v>13134</v>
      </c>
      <c r="U2746" t="s">
        <v>13134</v>
      </c>
      <c r="V2746" t="s">
        <v>13134</v>
      </c>
      <c r="W2746" t="s">
        <v>15831</v>
      </c>
      <c r="X2746">
        <v>105</v>
      </c>
      <c r="Y2746" t="s">
        <v>22268</v>
      </c>
      <c r="Z2746" t="s">
        <v>28714</v>
      </c>
      <c r="AA2746">
        <v>0.3919799733328434</v>
      </c>
      <c r="AB2746" t="str">
        <f>HYPERLINK("Melting_Curves/meltCurve_P49327_FASN.pdf", "Melting_Curves/meltCurve_P49327_FASN.pdf")</f>
        <v>Melting_Curves/meltCurve_P49327_FASN.pdf</v>
      </c>
    </row>
    <row r="2747" spans="1:28" x14ac:dyDescent="0.25">
      <c r="A2747" t="s">
        <v>2751</v>
      </c>
      <c r="B2747">
        <v>0.99472303558308395</v>
      </c>
      <c r="C2747">
        <v>0.85768581257870102</v>
      </c>
      <c r="D2747">
        <v>0.93766752728800695</v>
      </c>
      <c r="E2747">
        <v>0.78116426950298701</v>
      </c>
      <c r="F2747">
        <v>0.84493689229559099</v>
      </c>
      <c r="G2747">
        <v>0.51335798161021595</v>
      </c>
      <c r="H2747">
        <v>9.7020843260143499E-2</v>
      </c>
      <c r="I2747">
        <v>7.4169308443987503E-2</v>
      </c>
      <c r="J2747">
        <v>5.2198768606960898E-2</v>
      </c>
      <c r="K2747">
        <v>4.5425338737319E-2</v>
      </c>
      <c r="L2747">
        <v>1163.85410360832</v>
      </c>
      <c r="M2747">
        <v>21.8010091358225</v>
      </c>
      <c r="N2747">
        <v>53.431157931066103</v>
      </c>
      <c r="O2747">
        <v>52.942217013555698</v>
      </c>
      <c r="P2747">
        <v>-0.10199598031264</v>
      </c>
      <c r="Q2747">
        <v>9.2622157769971809E-3</v>
      </c>
      <c r="R2747">
        <v>0.954435548336527</v>
      </c>
      <c r="S2747" t="s">
        <v>9315</v>
      </c>
      <c r="T2747" t="s">
        <v>13134</v>
      </c>
      <c r="U2747" t="s">
        <v>13134</v>
      </c>
      <c r="V2747" t="s">
        <v>13134</v>
      </c>
      <c r="W2747" t="s">
        <v>15832</v>
      </c>
      <c r="X2747">
        <v>4</v>
      </c>
      <c r="Y2747" t="s">
        <v>22269</v>
      </c>
      <c r="Z2747" t="s">
        <v>28715</v>
      </c>
      <c r="AA2747">
        <v>0.56124549405255819</v>
      </c>
      <c r="AB2747" t="str">
        <f>HYPERLINK("Melting_Curves/meltCurve_P49336_2_CDK8.pdf", "Melting_Curves/meltCurve_P49336_2_CDK8.pdf")</f>
        <v>Melting_Curves/meltCurve_P49336_2_CDK8.pdf</v>
      </c>
    </row>
    <row r="2748" spans="1:28" x14ac:dyDescent="0.25">
      <c r="A2748" t="s">
        <v>2752</v>
      </c>
      <c r="B2748">
        <v>0.99472303558308395</v>
      </c>
      <c r="C2748">
        <v>0.91069969052196198</v>
      </c>
      <c r="D2748">
        <v>0.97193407957871902</v>
      </c>
      <c r="E2748">
        <v>0.84238190276672198</v>
      </c>
      <c r="F2748">
        <v>0.62927857376873897</v>
      </c>
      <c r="G2748">
        <v>0.32034287088595398</v>
      </c>
      <c r="H2748">
        <v>9.4916923564087097E-2</v>
      </c>
      <c r="I2748">
        <v>5.8187576457702103E-2</v>
      </c>
      <c r="J2748">
        <v>6.08523699302779E-2</v>
      </c>
      <c r="K2748">
        <v>5.81042737345508E-2</v>
      </c>
      <c r="L2748">
        <v>962.80407474545905</v>
      </c>
      <c r="M2748">
        <v>18.7890325463751</v>
      </c>
      <c r="N2748">
        <v>51.378811061253799</v>
      </c>
      <c r="O2748">
        <v>50.672995812541899</v>
      </c>
      <c r="P2748">
        <v>-9.0453538784044996E-2</v>
      </c>
      <c r="Q2748">
        <v>2.4247575404636401E-2</v>
      </c>
      <c r="R2748">
        <v>0.99261610888687801</v>
      </c>
      <c r="S2748" t="s">
        <v>9316</v>
      </c>
      <c r="T2748" t="s">
        <v>13134</v>
      </c>
      <c r="U2748" t="s">
        <v>13134</v>
      </c>
      <c r="V2748" t="s">
        <v>13134</v>
      </c>
      <c r="W2748" t="s">
        <v>15833</v>
      </c>
      <c r="X2748">
        <v>10</v>
      </c>
      <c r="Y2748" t="s">
        <v>22270</v>
      </c>
      <c r="Z2748" t="s">
        <v>28716</v>
      </c>
      <c r="AA2748">
        <v>0.50158781702062893</v>
      </c>
      <c r="AB2748" t="str">
        <f>HYPERLINK("Melting_Curves/meltCurve_P49354_FNTA.pdf", "Melting_Curves/meltCurve_P49354_FNTA.pdf")</f>
        <v>Melting_Curves/meltCurve_P49354_FNTA.pdf</v>
      </c>
    </row>
    <row r="2749" spans="1:28" x14ac:dyDescent="0.25">
      <c r="A2749" t="s">
        <v>2753</v>
      </c>
      <c r="B2749">
        <v>0.99472303558308395</v>
      </c>
      <c r="C2749">
        <v>0.96702004929257002</v>
      </c>
      <c r="D2749">
        <v>0.86898264928505897</v>
      </c>
      <c r="E2749">
        <v>0.81953826397281604</v>
      </c>
      <c r="F2749">
        <v>0.68851897589854605</v>
      </c>
      <c r="G2749">
        <v>0.47372868689272102</v>
      </c>
      <c r="H2749">
        <v>0.32775394455201201</v>
      </c>
      <c r="I2749">
        <v>0.228539862342723</v>
      </c>
      <c r="J2749">
        <v>0.183252443331482</v>
      </c>
      <c r="K2749">
        <v>0.15293556400794001</v>
      </c>
      <c r="L2749">
        <v>539.19762783345402</v>
      </c>
      <c r="M2749">
        <v>10.16796066691</v>
      </c>
      <c r="N2749">
        <v>53.446626387364098</v>
      </c>
      <c r="O2749">
        <v>51.100607781228099</v>
      </c>
      <c r="P2749">
        <v>-4.7867327187924601E-2</v>
      </c>
      <c r="Q2749">
        <v>3.8181269204771398E-2</v>
      </c>
      <c r="R2749">
        <v>0.99571283080369899</v>
      </c>
      <c r="S2749" t="s">
        <v>9317</v>
      </c>
      <c r="T2749" t="s">
        <v>13134</v>
      </c>
      <c r="U2749" t="s">
        <v>13134</v>
      </c>
      <c r="V2749" t="s">
        <v>13134</v>
      </c>
      <c r="W2749" t="s">
        <v>15834</v>
      </c>
      <c r="X2749">
        <v>15</v>
      </c>
      <c r="Y2749" t="s">
        <v>22271</v>
      </c>
      <c r="Z2749" t="s">
        <v>28717</v>
      </c>
      <c r="AA2749">
        <v>0.57344377339315</v>
      </c>
      <c r="AB2749" t="str">
        <f>HYPERLINK("Melting_Curves/meltCurve_P49366_DHPS.pdf", "Melting_Curves/meltCurve_P49366_DHPS.pdf")</f>
        <v>Melting_Curves/meltCurve_P49366_DHPS.pdf</v>
      </c>
    </row>
    <row r="2750" spans="1:28" x14ac:dyDescent="0.25">
      <c r="A2750" t="s">
        <v>2754</v>
      </c>
      <c r="B2750">
        <v>0.99472303558308395</v>
      </c>
      <c r="C2750">
        <v>0.93582047485166697</v>
      </c>
      <c r="D2750">
        <v>0.75759225114550599</v>
      </c>
      <c r="E2750">
        <v>0.67672286696084405</v>
      </c>
      <c r="F2750">
        <v>0.95832387623647097</v>
      </c>
      <c r="G2750">
        <v>0.392177970241323</v>
      </c>
      <c r="H2750">
        <v>0.31926915429736702</v>
      </c>
      <c r="I2750">
        <v>0.23038641215941</v>
      </c>
      <c r="J2750">
        <v>0.12359667478358601</v>
      </c>
      <c r="K2750">
        <v>9.8775508018323396E-2</v>
      </c>
      <c r="L2750">
        <v>524.81623418028403</v>
      </c>
      <c r="M2750">
        <v>9.8152964933294093</v>
      </c>
      <c r="N2750">
        <v>53.4692271401263</v>
      </c>
      <c r="O2750">
        <v>51.391534440167</v>
      </c>
      <c r="P2750">
        <v>-4.7772570697641702E-2</v>
      </c>
      <c r="Q2750">
        <v>0</v>
      </c>
      <c r="R2750">
        <v>0.87081450816122596</v>
      </c>
      <c r="S2750" t="s">
        <v>9318</v>
      </c>
      <c r="T2750" t="s">
        <v>13134</v>
      </c>
      <c r="U2750" t="s">
        <v>13134</v>
      </c>
      <c r="V2750" t="s">
        <v>13134</v>
      </c>
      <c r="W2750" t="s">
        <v>15835</v>
      </c>
      <c r="X2750">
        <v>40</v>
      </c>
      <c r="Y2750" t="s">
        <v>22272</v>
      </c>
      <c r="Z2750" t="s">
        <v>28718</v>
      </c>
      <c r="AA2750">
        <v>0.56914617924730637</v>
      </c>
      <c r="AB2750" t="str">
        <f>HYPERLINK("Melting_Curves/meltCurve_P49368_CCT3.pdf", "Melting_Curves/meltCurve_P49368_CCT3.pdf")</f>
        <v>Melting_Curves/meltCurve_P49368_CCT3.pdf</v>
      </c>
    </row>
    <row r="2751" spans="1:28" x14ac:dyDescent="0.25">
      <c r="A2751" t="s">
        <v>2755</v>
      </c>
      <c r="B2751">
        <v>0.99472303558308395</v>
      </c>
      <c r="C2751">
        <v>0.89997743392832896</v>
      </c>
      <c r="D2751">
        <v>0.880888266321466</v>
      </c>
      <c r="E2751">
        <v>0.46080143432483001</v>
      </c>
      <c r="F2751">
        <v>0.35041169601801803</v>
      </c>
      <c r="G2751">
        <v>0.124848653791349</v>
      </c>
      <c r="H2751">
        <v>7.3259837350723597E-2</v>
      </c>
      <c r="I2751">
        <v>3.2032842529462903E-2</v>
      </c>
      <c r="J2751">
        <v>3.5057693545348101E-2</v>
      </c>
      <c r="K2751">
        <v>4.4207433924084702E-2</v>
      </c>
      <c r="L2751">
        <v>726.39295947162395</v>
      </c>
      <c r="M2751">
        <v>15.470623866084701</v>
      </c>
      <c r="N2751">
        <v>47.087049711388701</v>
      </c>
      <c r="O2751">
        <v>46.189515985634202</v>
      </c>
      <c r="P2751">
        <v>-8.1938545665862006E-2</v>
      </c>
      <c r="Q2751">
        <v>2.15356730411949E-2</v>
      </c>
      <c r="R2751">
        <v>0.98728883335953499</v>
      </c>
      <c r="S2751" t="s">
        <v>9319</v>
      </c>
      <c r="T2751" t="s">
        <v>13134</v>
      </c>
      <c r="U2751" t="s">
        <v>13134</v>
      </c>
      <c r="V2751" t="s">
        <v>13134</v>
      </c>
      <c r="W2751" t="s">
        <v>15836</v>
      </c>
      <c r="X2751">
        <v>3</v>
      </c>
      <c r="Y2751" t="s">
        <v>22273</v>
      </c>
      <c r="Z2751" t="s">
        <v>28719</v>
      </c>
      <c r="AA2751">
        <v>0.36701183810606519</v>
      </c>
      <c r="AB2751" t="str">
        <f>HYPERLINK("Melting_Curves/meltCurve_P49406_MRPL19.pdf", "Melting_Curves/meltCurve_P49406_MRPL19.pdf")</f>
        <v>Melting_Curves/meltCurve_P49406_MRPL19.pdf</v>
      </c>
    </row>
    <row r="2752" spans="1:28" x14ac:dyDescent="0.25">
      <c r="A2752" t="s">
        <v>2756</v>
      </c>
      <c r="B2752">
        <v>0.99472303558308395</v>
      </c>
      <c r="C2752">
        <v>1.00511016663857</v>
      </c>
      <c r="D2752">
        <v>0.96986342486523403</v>
      </c>
      <c r="E2752">
        <v>0.80778200107855402</v>
      </c>
      <c r="F2752">
        <v>0.34633280764941099</v>
      </c>
      <c r="G2752">
        <v>0.10055695888611201</v>
      </c>
      <c r="H2752">
        <v>5.5259762608694502E-2</v>
      </c>
      <c r="I2752">
        <v>3.7018281706376402E-2</v>
      </c>
      <c r="J2752">
        <v>5.2695192480849799E-2</v>
      </c>
      <c r="K2752">
        <v>3.9937181940464798E-2</v>
      </c>
      <c r="L2752">
        <v>1394.3224150189801</v>
      </c>
      <c r="M2752">
        <v>28.543699575684499</v>
      </c>
      <c r="N2752">
        <v>48.994823080151697</v>
      </c>
      <c r="O2752">
        <v>48.610819274147303</v>
      </c>
      <c r="P2752">
        <v>-0.14080813575770601</v>
      </c>
      <c r="Q2752">
        <v>4.0804980806057302E-2</v>
      </c>
      <c r="R2752">
        <v>0.99978484572551896</v>
      </c>
      <c r="S2752" t="s">
        <v>9320</v>
      </c>
      <c r="T2752" t="s">
        <v>13134</v>
      </c>
      <c r="U2752" t="s">
        <v>13134</v>
      </c>
      <c r="V2752" t="s">
        <v>13134</v>
      </c>
      <c r="W2752" t="s">
        <v>15837</v>
      </c>
      <c r="X2752">
        <v>29</v>
      </c>
      <c r="Y2752" t="s">
        <v>22274</v>
      </c>
      <c r="Z2752" t="s">
        <v>28720</v>
      </c>
      <c r="AA2752">
        <v>0.42601620265585388</v>
      </c>
      <c r="AB2752" t="str">
        <f>HYPERLINK("Melting_Curves/meltCurve_P49411_TUFM.pdf", "Melting_Curves/meltCurve_P49411_TUFM.pdf")</f>
        <v>Melting_Curves/meltCurve_P49411_TUFM.pdf</v>
      </c>
    </row>
    <row r="2753" spans="1:28" x14ac:dyDescent="0.25">
      <c r="A2753" t="s">
        <v>2757</v>
      </c>
      <c r="B2753">
        <v>0.99472303558308395</v>
      </c>
      <c r="C2753">
        <v>0.96661209241962098</v>
      </c>
      <c r="D2753">
        <v>0.93234626519222497</v>
      </c>
      <c r="E2753">
        <v>0.47863724272802399</v>
      </c>
      <c r="F2753">
        <v>0.25589638535182802</v>
      </c>
      <c r="G2753">
        <v>0.120856964686302</v>
      </c>
      <c r="H2753">
        <v>6.3627013973896807E-2</v>
      </c>
      <c r="I2753">
        <v>4.6805860495673098E-2</v>
      </c>
      <c r="J2753">
        <v>4.3272746904234903E-2</v>
      </c>
      <c r="K2753">
        <v>3.9734271029140303E-2</v>
      </c>
      <c r="L2753">
        <v>1030.4761803178001</v>
      </c>
      <c r="M2753">
        <v>22.089842633717801</v>
      </c>
      <c r="N2753">
        <v>46.879209765123299</v>
      </c>
      <c r="O2753">
        <v>46.272063933998602</v>
      </c>
      <c r="P2753">
        <v>-0.11322376926171999</v>
      </c>
      <c r="Q2753">
        <v>5.1331879755170798E-2</v>
      </c>
      <c r="R2753">
        <v>0.994364779362787</v>
      </c>
      <c r="S2753" t="s">
        <v>9321</v>
      </c>
      <c r="T2753" t="s">
        <v>13134</v>
      </c>
      <c r="U2753" t="s">
        <v>13134</v>
      </c>
      <c r="V2753" t="s">
        <v>13134</v>
      </c>
      <c r="W2753" t="s">
        <v>15838</v>
      </c>
      <c r="X2753">
        <v>8</v>
      </c>
      <c r="Y2753" t="s">
        <v>22275</v>
      </c>
      <c r="Z2753" t="s">
        <v>28721</v>
      </c>
      <c r="AA2753">
        <v>0.3666410395022896</v>
      </c>
      <c r="AB2753" t="str">
        <f>HYPERLINK("Melting_Curves/meltCurve_P49427_CDC34.pdf", "Melting_Curves/meltCurve_P49427_CDC34.pdf")</f>
        <v>Melting_Curves/meltCurve_P49427_CDC34.pdf</v>
      </c>
    </row>
    <row r="2754" spans="1:28" x14ac:dyDescent="0.25">
      <c r="A2754" t="s">
        <v>2758</v>
      </c>
      <c r="B2754">
        <v>0.99472303558308395</v>
      </c>
      <c r="C2754">
        <v>0.98229830005605401</v>
      </c>
      <c r="D2754">
        <v>0.96960851682543003</v>
      </c>
      <c r="E2754">
        <v>0.87430662599285702</v>
      </c>
      <c r="F2754">
        <v>0.74116678001104996</v>
      </c>
      <c r="G2754">
        <v>0.58039510397124106</v>
      </c>
      <c r="H2754">
        <v>0.35977214569330401</v>
      </c>
      <c r="I2754">
        <v>0.129858563015776</v>
      </c>
      <c r="J2754">
        <v>7.1082954584466396E-2</v>
      </c>
      <c r="K2754">
        <v>8.7241113356537406E-2</v>
      </c>
      <c r="L2754">
        <v>757.33301113370396</v>
      </c>
      <c r="M2754">
        <v>13.9175606283303</v>
      </c>
      <c r="N2754">
        <v>54.415643105439798</v>
      </c>
      <c r="O2754">
        <v>53.329129164533299</v>
      </c>
      <c r="P2754">
        <v>-6.5252543638095406E-2</v>
      </c>
      <c r="Q2754">
        <v>0</v>
      </c>
      <c r="R2754">
        <v>0.99310182099396105</v>
      </c>
      <c r="S2754" t="s">
        <v>9322</v>
      </c>
      <c r="T2754" t="s">
        <v>13134</v>
      </c>
      <c r="U2754" t="s">
        <v>13134</v>
      </c>
      <c r="V2754" t="s">
        <v>13134</v>
      </c>
      <c r="W2754" t="s">
        <v>15839</v>
      </c>
      <c r="X2754">
        <v>4</v>
      </c>
      <c r="Y2754" t="s">
        <v>22276</v>
      </c>
      <c r="Z2754" t="s">
        <v>28722</v>
      </c>
      <c r="AA2754">
        <v>0.59649441013443105</v>
      </c>
      <c r="AB2754" t="str">
        <f>HYPERLINK("Melting_Curves/meltCurve_P49441_INPP1.pdf", "Melting_Curves/meltCurve_P49441_INPP1.pdf")</f>
        <v>Melting_Curves/meltCurve_P49441_INPP1.pdf</v>
      </c>
    </row>
    <row r="2755" spans="1:28" x14ac:dyDescent="0.25">
      <c r="A2755" t="s">
        <v>2759</v>
      </c>
      <c r="B2755">
        <v>0.99472303558308395</v>
      </c>
      <c r="C2755">
        <v>1.13351633366178</v>
      </c>
      <c r="D2755">
        <v>0.84370024033798097</v>
      </c>
      <c r="E2755">
        <v>0.68815164015651498</v>
      </c>
      <c r="F2755">
        <v>0.862090124369991</v>
      </c>
      <c r="G2755">
        <v>0.521003551653895</v>
      </c>
      <c r="H2755">
        <v>0.295917087233385</v>
      </c>
      <c r="I2755">
        <v>0.13310826128939099</v>
      </c>
      <c r="J2755">
        <v>8.3203158279916895E-2</v>
      </c>
      <c r="K2755">
        <v>7.8997535167527999E-2</v>
      </c>
      <c r="L2755">
        <v>684.65137090488599</v>
      </c>
      <c r="M2755">
        <v>12.7298961796645</v>
      </c>
      <c r="N2755">
        <v>53.782942241249998</v>
      </c>
      <c r="O2755">
        <v>52.507539418347498</v>
      </c>
      <c r="P2755">
        <v>-6.06214681744894E-2</v>
      </c>
      <c r="Q2755">
        <v>0</v>
      </c>
      <c r="R2755">
        <v>0.93184930684455203</v>
      </c>
      <c r="S2755" t="s">
        <v>9323</v>
      </c>
      <c r="T2755" t="s">
        <v>13134</v>
      </c>
      <c r="U2755" t="s">
        <v>13134</v>
      </c>
      <c r="V2755" t="s">
        <v>13134</v>
      </c>
      <c r="W2755" t="s">
        <v>15840</v>
      </c>
      <c r="X2755">
        <v>17</v>
      </c>
      <c r="Y2755" t="s">
        <v>22277</v>
      </c>
      <c r="Z2755" t="s">
        <v>28723</v>
      </c>
      <c r="AA2755">
        <v>0.57772002609594286</v>
      </c>
      <c r="AB2755" t="str">
        <f>HYPERLINK("Melting_Curves/meltCurve_P49448_GLUD2.pdf", "Melting_Curves/meltCurve_P49448_GLUD2.pdf")</f>
        <v>Melting_Curves/meltCurve_P49448_GLUD2.pdf</v>
      </c>
    </row>
    <row r="2756" spans="1:28" x14ac:dyDescent="0.25">
      <c r="A2756" t="s">
        <v>2760</v>
      </c>
      <c r="B2756">
        <v>0.99472303558308395</v>
      </c>
      <c r="C2756">
        <v>0.87072011892717704</v>
      </c>
      <c r="D2756">
        <v>0.61586935830010903</v>
      </c>
      <c r="E2756">
        <v>0.30059337415292697</v>
      </c>
      <c r="F2756">
        <v>0.20753960171571201</v>
      </c>
      <c r="G2756">
        <v>0.104542475546007</v>
      </c>
      <c r="H2756">
        <v>6.9167309693777407E-2</v>
      </c>
      <c r="I2756">
        <v>5.0183076249676099E-2</v>
      </c>
      <c r="J2756">
        <v>6.9334687900996297E-2</v>
      </c>
      <c r="K2756">
        <v>6.7794256590289495E-2</v>
      </c>
      <c r="L2756">
        <v>760.92078479834902</v>
      </c>
      <c r="M2756">
        <v>17.298429768166699</v>
      </c>
      <c r="N2756">
        <v>44.336095358017701</v>
      </c>
      <c r="O2756">
        <v>43.4126229965375</v>
      </c>
      <c r="P2756">
        <v>-9.3293760535737305E-2</v>
      </c>
      <c r="Q2756">
        <v>6.3523522214896405E-2</v>
      </c>
      <c r="R2756">
        <v>0.99657128848875898</v>
      </c>
      <c r="S2756" t="s">
        <v>9324</v>
      </c>
      <c r="T2756" t="s">
        <v>13134</v>
      </c>
      <c r="U2756" t="s">
        <v>13134</v>
      </c>
      <c r="V2756" t="s">
        <v>13134</v>
      </c>
      <c r="W2756" t="s">
        <v>15841</v>
      </c>
      <c r="X2756">
        <v>63</v>
      </c>
      <c r="Y2756" t="s">
        <v>22278</v>
      </c>
      <c r="Z2756" t="s">
        <v>28724</v>
      </c>
      <c r="AA2756">
        <v>0.29885609227601401</v>
      </c>
      <c r="AB2756" t="str">
        <f>HYPERLINK("Melting_Curves/meltCurve_P49454_CENPF.pdf", "Melting_Curves/meltCurve_P49454_CENPF.pdf")</f>
        <v>Melting_Curves/meltCurve_P49454_CENPF.pdf</v>
      </c>
    </row>
    <row r="2757" spans="1:28" x14ac:dyDescent="0.25">
      <c r="A2757" t="s">
        <v>2761</v>
      </c>
      <c r="B2757">
        <v>0.99472303558308395</v>
      </c>
      <c r="C2757">
        <v>0.87262366268338598</v>
      </c>
      <c r="D2757">
        <v>0.91422429925942705</v>
      </c>
      <c r="E2757">
        <v>0.83217759301510896</v>
      </c>
      <c r="F2757">
        <v>0.61984938363261399</v>
      </c>
      <c r="G2757">
        <v>0.481177518972082</v>
      </c>
      <c r="H2757">
        <v>0.28498573154901702</v>
      </c>
      <c r="I2757">
        <v>0.29364879445033198</v>
      </c>
      <c r="J2757">
        <v>0.30739298153723299</v>
      </c>
      <c r="K2757">
        <v>0.200738114449829</v>
      </c>
      <c r="L2757">
        <v>602.43717972378397</v>
      </c>
      <c r="M2757">
        <v>11.847592564216299</v>
      </c>
      <c r="N2757">
        <v>52.895441724303701</v>
      </c>
      <c r="O2757">
        <v>49.4651318800328</v>
      </c>
      <c r="P2757">
        <v>-4.8882363999687699E-2</v>
      </c>
      <c r="Q2757">
        <v>0.18384760360287999</v>
      </c>
      <c r="R2757">
        <v>0.97596012548092503</v>
      </c>
      <c r="S2757" t="s">
        <v>9325</v>
      </c>
      <c r="T2757" t="s">
        <v>13134</v>
      </c>
      <c r="U2757" t="s">
        <v>13134</v>
      </c>
      <c r="V2757" t="s">
        <v>13134</v>
      </c>
      <c r="W2757" t="s">
        <v>15842</v>
      </c>
      <c r="X2757">
        <v>10</v>
      </c>
      <c r="Y2757" t="s">
        <v>22279</v>
      </c>
      <c r="Z2757" t="s">
        <v>28725</v>
      </c>
      <c r="AA2757">
        <v>0.58239181158206266</v>
      </c>
      <c r="AB2757" t="str">
        <f>HYPERLINK("Melting_Curves/meltCurve_P49458_SRP9.pdf", "Melting_Curves/meltCurve_P49458_SRP9.pdf")</f>
        <v>Melting_Curves/meltCurve_P49458_SRP9.pdf</v>
      </c>
    </row>
    <row r="2758" spans="1:28" x14ac:dyDescent="0.25">
      <c r="A2758" t="s">
        <v>2762</v>
      </c>
      <c r="B2758">
        <v>0.99472303558308395</v>
      </c>
      <c r="C2758">
        <v>0.98633452585794201</v>
      </c>
      <c r="D2758">
        <v>0.84223047578825005</v>
      </c>
      <c r="E2758">
        <v>0.88205336155852898</v>
      </c>
      <c r="F2758">
        <v>0.79217653887553796</v>
      </c>
      <c r="G2758">
        <v>0.37976039680727702</v>
      </c>
      <c r="H2758">
        <v>0.158175156192505</v>
      </c>
      <c r="I2758">
        <v>0.10594310934562599</v>
      </c>
      <c r="J2758">
        <v>0.12846633116088901</v>
      </c>
      <c r="K2758">
        <v>0.103126604614054</v>
      </c>
      <c r="L2758">
        <v>1259.26038717453</v>
      </c>
      <c r="M2758">
        <v>24.125011713537099</v>
      </c>
      <c r="N2758">
        <v>52.638414455140598</v>
      </c>
      <c r="O2758">
        <v>51.842618888587602</v>
      </c>
      <c r="P2758">
        <v>-0.105691899068521</v>
      </c>
      <c r="Q2758">
        <v>9.1522123758854698E-2</v>
      </c>
      <c r="R2758">
        <v>0.97710422653012396</v>
      </c>
      <c r="S2758" t="s">
        <v>9326</v>
      </c>
      <c r="T2758" t="s">
        <v>13134</v>
      </c>
      <c r="U2758" t="s">
        <v>13134</v>
      </c>
      <c r="V2758" t="s">
        <v>13134</v>
      </c>
      <c r="W2758" t="s">
        <v>15843</v>
      </c>
      <c r="X2758">
        <v>5</v>
      </c>
      <c r="Y2758" t="s">
        <v>22280</v>
      </c>
      <c r="Z2758" t="s">
        <v>28726</v>
      </c>
      <c r="AA2758">
        <v>0.56030815136600043</v>
      </c>
      <c r="AB2758" t="str">
        <f>HYPERLINK("Melting_Curves/meltCurve_P49459_UBE2A.pdf", "Melting_Curves/meltCurve_P49459_UBE2A.pdf")</f>
        <v>Melting_Curves/meltCurve_P49459_UBE2A.pdf</v>
      </c>
    </row>
    <row r="2759" spans="1:28" x14ac:dyDescent="0.25">
      <c r="A2759" t="s">
        <v>2763</v>
      </c>
      <c r="B2759">
        <v>0.99472303558308395</v>
      </c>
      <c r="C2759">
        <v>0.99273855708325298</v>
      </c>
      <c r="D2759">
        <v>1.0135941840882501</v>
      </c>
      <c r="E2759">
        <v>0.82988841996743401</v>
      </c>
      <c r="F2759">
        <v>0.54289407505037901</v>
      </c>
      <c r="G2759">
        <v>0.240640003310787</v>
      </c>
      <c r="H2759">
        <v>9.1609936459225605E-2</v>
      </c>
      <c r="I2759">
        <v>5.5463847492787897E-2</v>
      </c>
      <c r="J2759">
        <v>6.64069803486428E-2</v>
      </c>
      <c r="K2759">
        <v>5.8142853257652401E-2</v>
      </c>
      <c r="L2759">
        <v>1078.3705645561599</v>
      </c>
      <c r="M2759">
        <v>21.435740157607501</v>
      </c>
      <c r="N2759">
        <v>50.529859617008803</v>
      </c>
      <c r="O2759">
        <v>49.875448378920701</v>
      </c>
      <c r="P2759">
        <v>-0.102605237485049</v>
      </c>
      <c r="Q2759">
        <v>4.5079876575393897E-2</v>
      </c>
      <c r="R2759">
        <v>0.998354927291356</v>
      </c>
      <c r="S2759" t="s">
        <v>9327</v>
      </c>
      <c r="T2759" t="s">
        <v>13134</v>
      </c>
      <c r="U2759" t="s">
        <v>13134</v>
      </c>
      <c r="V2759" t="s">
        <v>13134</v>
      </c>
      <c r="W2759" t="s">
        <v>15844</v>
      </c>
      <c r="X2759">
        <v>21</v>
      </c>
      <c r="Y2759" t="s">
        <v>22281</v>
      </c>
      <c r="Z2759" t="s">
        <v>28727</v>
      </c>
      <c r="AA2759">
        <v>0.47977606309887849</v>
      </c>
      <c r="AB2759" t="str">
        <f>HYPERLINK("Melting_Curves/meltCurve_P49585_PCYT1A.pdf", "Melting_Curves/meltCurve_P49585_PCYT1A.pdf")</f>
        <v>Melting_Curves/meltCurve_P49585_PCYT1A.pdf</v>
      </c>
    </row>
    <row r="2760" spans="1:28" x14ac:dyDescent="0.25">
      <c r="A2760" t="s">
        <v>2764</v>
      </c>
      <c r="B2760">
        <v>0.99472303558308395</v>
      </c>
      <c r="C2760">
        <v>0.96848159921970201</v>
      </c>
      <c r="D2760">
        <v>1.0147191588569899</v>
      </c>
      <c r="E2760">
        <v>0.86094423095216999</v>
      </c>
      <c r="F2760">
        <v>0.61837404846754296</v>
      </c>
      <c r="G2760">
        <v>0.29433243432999501</v>
      </c>
      <c r="H2760">
        <v>0.10297560380023101</v>
      </c>
      <c r="I2760">
        <v>6.2528400187075395E-2</v>
      </c>
      <c r="J2760">
        <v>7.2475454186370802E-2</v>
      </c>
      <c r="K2760">
        <v>6.5248616616848901E-2</v>
      </c>
      <c r="L2760">
        <v>1086.8769060992699</v>
      </c>
      <c r="M2760">
        <v>21.2968471765594</v>
      </c>
      <c r="N2760">
        <v>51.268803711043702</v>
      </c>
      <c r="O2760">
        <v>50.591061201221301</v>
      </c>
      <c r="P2760">
        <v>-0.10036536529418399</v>
      </c>
      <c r="Q2760">
        <v>4.6344984858071203E-2</v>
      </c>
      <c r="R2760">
        <v>0.99751299254516701</v>
      </c>
      <c r="S2760" t="s">
        <v>9328</v>
      </c>
      <c r="T2760" t="s">
        <v>13134</v>
      </c>
      <c r="U2760" t="s">
        <v>13134</v>
      </c>
      <c r="V2760" t="s">
        <v>13134</v>
      </c>
      <c r="W2760" t="s">
        <v>15845</v>
      </c>
      <c r="X2760">
        <v>58</v>
      </c>
      <c r="Y2760" t="s">
        <v>22282</v>
      </c>
      <c r="Z2760" t="s">
        <v>28728</v>
      </c>
      <c r="AA2760">
        <v>0.50370625879244746</v>
      </c>
      <c r="AB2760" t="str">
        <f>HYPERLINK("Melting_Curves/meltCurve_P49588_AARS.pdf", "Melting_Curves/meltCurve_P49588_AARS.pdf")</f>
        <v>Melting_Curves/meltCurve_P49588_AARS.pdf</v>
      </c>
    </row>
    <row r="2761" spans="1:28" x14ac:dyDescent="0.25">
      <c r="A2761" t="s">
        <v>2765</v>
      </c>
      <c r="B2761">
        <v>0.99472303558308395</v>
      </c>
      <c r="C2761">
        <v>0.97184315280580003</v>
      </c>
      <c r="D2761">
        <v>0.86905645088224204</v>
      </c>
      <c r="E2761">
        <v>0.79545758219317497</v>
      </c>
      <c r="F2761">
        <v>0.70198859991175999</v>
      </c>
      <c r="G2761">
        <v>0.26667431246704298</v>
      </c>
      <c r="H2761">
        <v>0.10435203141522301</v>
      </c>
      <c r="I2761">
        <v>7.6805344973825102E-2</v>
      </c>
      <c r="J2761">
        <v>8.1514113172206207E-2</v>
      </c>
      <c r="K2761">
        <v>7.4911824380376996E-2</v>
      </c>
      <c r="L2761">
        <v>916.11576157564798</v>
      </c>
      <c r="M2761">
        <v>17.913307500707099</v>
      </c>
      <c r="N2761">
        <v>51.334543572711098</v>
      </c>
      <c r="O2761">
        <v>50.517062405708899</v>
      </c>
      <c r="P2761">
        <v>-8.5768511580310097E-2</v>
      </c>
      <c r="Q2761">
        <v>3.2550438679551097E-2</v>
      </c>
      <c r="R2761">
        <v>0.97883091371641096</v>
      </c>
      <c r="S2761" t="s">
        <v>9329</v>
      </c>
      <c r="T2761" t="s">
        <v>13134</v>
      </c>
      <c r="U2761" t="s">
        <v>13134</v>
      </c>
      <c r="V2761" t="s">
        <v>13134</v>
      </c>
      <c r="W2761" t="s">
        <v>15846</v>
      </c>
      <c r="X2761">
        <v>39</v>
      </c>
      <c r="Y2761" t="s">
        <v>22283</v>
      </c>
      <c r="Z2761" t="s">
        <v>28729</v>
      </c>
      <c r="AA2761">
        <v>0.50366550483744965</v>
      </c>
      <c r="AB2761" t="str">
        <f>HYPERLINK("Melting_Curves/meltCurve_P49589_3_CARS.pdf", "Melting_Curves/meltCurve_P49589_3_CARS.pdf")</f>
        <v>Melting_Curves/meltCurve_P49589_3_CARS.pdf</v>
      </c>
    </row>
    <row r="2762" spans="1:28" x14ac:dyDescent="0.25">
      <c r="A2762" t="s">
        <v>2766</v>
      </c>
      <c r="B2762">
        <v>0.99472303558308395</v>
      </c>
      <c r="C2762">
        <v>0.98773025991589203</v>
      </c>
      <c r="D2762">
        <v>1.0017756389869901</v>
      </c>
      <c r="E2762">
        <v>0.86058829790019897</v>
      </c>
      <c r="F2762">
        <v>0.44949303355778097</v>
      </c>
      <c r="G2762">
        <v>0.135638274533042</v>
      </c>
      <c r="H2762">
        <v>7.8838211284912599E-2</v>
      </c>
      <c r="I2762">
        <v>6.1164372347978502E-2</v>
      </c>
      <c r="J2762">
        <v>6.7226857491218206E-2</v>
      </c>
      <c r="K2762">
        <v>6.3289148039829796E-2</v>
      </c>
      <c r="L2762">
        <v>1432.60540457554</v>
      </c>
      <c r="M2762">
        <v>28.917418187557299</v>
      </c>
      <c r="N2762">
        <v>49.761653340994897</v>
      </c>
      <c r="O2762">
        <v>49.306158064176401</v>
      </c>
      <c r="P2762">
        <v>-0.13781000495590701</v>
      </c>
      <c r="Q2762">
        <v>6.0105518114179503E-2</v>
      </c>
      <c r="R2762">
        <v>0.999632016006199</v>
      </c>
      <c r="S2762" t="s">
        <v>9330</v>
      </c>
      <c r="T2762" t="s">
        <v>13134</v>
      </c>
      <c r="U2762" t="s">
        <v>13134</v>
      </c>
      <c r="V2762" t="s">
        <v>13134</v>
      </c>
      <c r="W2762" t="s">
        <v>15847</v>
      </c>
      <c r="X2762">
        <v>18</v>
      </c>
      <c r="Y2762" t="s">
        <v>22284</v>
      </c>
      <c r="Z2762" t="s">
        <v>28730</v>
      </c>
      <c r="AA2762">
        <v>0.45917572212133728</v>
      </c>
      <c r="AB2762" t="str">
        <f>HYPERLINK("Melting_Curves/meltCurve_P49593_PPM1F.pdf", "Melting_Curves/meltCurve_P49593_PPM1F.pdf")</f>
        <v>Melting_Curves/meltCurve_P49593_PPM1F.pdf</v>
      </c>
    </row>
    <row r="2763" spans="1:28" x14ac:dyDescent="0.25">
      <c r="A2763" t="s">
        <v>2767</v>
      </c>
      <c r="B2763">
        <v>0.99472303558308395</v>
      </c>
      <c r="C2763">
        <v>0.89251906348849097</v>
      </c>
      <c r="D2763">
        <v>0.77707445172521095</v>
      </c>
      <c r="E2763">
        <v>0.43133608817204999</v>
      </c>
      <c r="F2763">
        <v>0.18093473725935899</v>
      </c>
      <c r="G2763">
        <v>8.7642918259476399E-2</v>
      </c>
      <c r="H2763">
        <v>4.82499451695148E-2</v>
      </c>
      <c r="I2763">
        <v>3.0833196917039101E-2</v>
      </c>
      <c r="J2763">
        <v>3.7055246905151801E-2</v>
      </c>
      <c r="K2763">
        <v>3.3267742525468803E-2</v>
      </c>
      <c r="L2763">
        <v>809.27129087989601</v>
      </c>
      <c r="M2763">
        <v>17.707034112572799</v>
      </c>
      <c r="N2763">
        <v>45.832978327671498</v>
      </c>
      <c r="O2763">
        <v>45.1324115775435</v>
      </c>
      <c r="P2763">
        <v>-9.5693801218751595E-2</v>
      </c>
      <c r="Q2763">
        <v>2.44181849108801E-2</v>
      </c>
      <c r="R2763">
        <v>0.99848879464051798</v>
      </c>
      <c r="S2763" t="s">
        <v>9331</v>
      </c>
      <c r="T2763" t="s">
        <v>13134</v>
      </c>
      <c r="U2763" t="s">
        <v>13134</v>
      </c>
      <c r="V2763" t="s">
        <v>13134</v>
      </c>
      <c r="W2763" t="s">
        <v>15848</v>
      </c>
      <c r="X2763">
        <v>13</v>
      </c>
      <c r="Y2763" t="s">
        <v>22285</v>
      </c>
      <c r="Z2763" t="s">
        <v>28731</v>
      </c>
      <c r="AA2763">
        <v>0.32379655955516728</v>
      </c>
      <c r="AB2763" t="str">
        <f>HYPERLINK("Melting_Curves/meltCurve_P49642_PRIM1.pdf", "Melting_Curves/meltCurve_P49642_PRIM1.pdf")</f>
        <v>Melting_Curves/meltCurve_P49642_PRIM1.pdf</v>
      </c>
    </row>
    <row r="2764" spans="1:28" x14ac:dyDescent="0.25">
      <c r="A2764" t="s">
        <v>2768</v>
      </c>
      <c r="B2764">
        <v>0.99472303558308395</v>
      </c>
      <c r="C2764">
        <v>0.89857531753159703</v>
      </c>
      <c r="D2764">
        <v>0.70978859407758899</v>
      </c>
      <c r="E2764">
        <v>0.44123607790204999</v>
      </c>
      <c r="F2764">
        <v>0.14089351365025901</v>
      </c>
      <c r="G2764">
        <v>6.5348189645906204E-2</v>
      </c>
      <c r="H2764">
        <v>4.5197541762796098E-2</v>
      </c>
      <c r="I2764">
        <v>3.3456990730068102E-2</v>
      </c>
      <c r="J2764">
        <v>5.3524171052526298E-2</v>
      </c>
      <c r="K2764">
        <v>4.8985174103220397E-2</v>
      </c>
      <c r="L2764">
        <v>794.51674958042202</v>
      </c>
      <c r="M2764">
        <v>17.538096260522</v>
      </c>
      <c r="N2764">
        <v>45.449798844432799</v>
      </c>
      <c r="O2764">
        <v>44.725659616183499</v>
      </c>
      <c r="P2764">
        <v>-9.5325561305533907E-2</v>
      </c>
      <c r="Q2764">
        <v>2.7656026871696299E-2</v>
      </c>
      <c r="R2764">
        <v>0.99616824862435904</v>
      </c>
      <c r="S2764" t="s">
        <v>9332</v>
      </c>
      <c r="T2764" t="s">
        <v>13134</v>
      </c>
      <c r="U2764" t="s">
        <v>13134</v>
      </c>
      <c r="V2764" t="s">
        <v>13134</v>
      </c>
      <c r="W2764" t="s">
        <v>15849</v>
      </c>
      <c r="X2764">
        <v>11</v>
      </c>
      <c r="Y2764" t="s">
        <v>22286</v>
      </c>
      <c r="Z2764" t="s">
        <v>28732</v>
      </c>
      <c r="AA2764">
        <v>0.31346653134379759</v>
      </c>
      <c r="AB2764" t="str">
        <f>HYPERLINK("Melting_Curves/meltCurve_P49643_PRIM2.pdf", "Melting_Curves/meltCurve_P49643_PRIM2.pdf")</f>
        <v>Melting_Curves/meltCurve_P49643_PRIM2.pdf</v>
      </c>
    </row>
    <row r="2765" spans="1:28" x14ac:dyDescent="0.25">
      <c r="A2765" t="s">
        <v>2769</v>
      </c>
      <c r="B2765">
        <v>0.99472303558308395</v>
      </c>
      <c r="C2765">
        <v>1.2532601508275401</v>
      </c>
      <c r="D2765">
        <v>0.98949511635246101</v>
      </c>
      <c r="E2765">
        <v>0.700296762970395</v>
      </c>
      <c r="F2765">
        <v>0.27442783560823097</v>
      </c>
      <c r="G2765">
        <v>0.12674158654155199</v>
      </c>
      <c r="H2765">
        <v>9.4940022143648203E-2</v>
      </c>
      <c r="I2765">
        <v>4.7919343743347803E-2</v>
      </c>
      <c r="J2765">
        <v>9.4608518391061394E-2</v>
      </c>
      <c r="K2765">
        <v>7.3858155853263399E-2</v>
      </c>
      <c r="L2765">
        <v>1419.2483513633699</v>
      </c>
      <c r="M2765">
        <v>29.6498683179477</v>
      </c>
      <c r="N2765">
        <v>48.149315567268602</v>
      </c>
      <c r="O2765">
        <v>47.6507802010386</v>
      </c>
      <c r="P2765">
        <v>-0.143145245878643</v>
      </c>
      <c r="Q2765">
        <v>7.9802230439082994E-2</v>
      </c>
      <c r="R2765">
        <v>0.96584048290867597</v>
      </c>
      <c r="S2765" t="s">
        <v>9333</v>
      </c>
      <c r="T2765" t="s">
        <v>13134</v>
      </c>
      <c r="U2765" t="s">
        <v>13134</v>
      </c>
      <c r="V2765" t="s">
        <v>13134</v>
      </c>
      <c r="W2765" t="s">
        <v>15850</v>
      </c>
      <c r="X2765">
        <v>9</v>
      </c>
      <c r="Y2765" t="s">
        <v>22287</v>
      </c>
      <c r="Z2765" t="s">
        <v>28733</v>
      </c>
      <c r="AA2765">
        <v>0.41869271179670142</v>
      </c>
      <c r="AB2765" t="str">
        <f>HYPERLINK("Melting_Curves/meltCurve_P49674_CSNK1E.pdf", "Melting_Curves/meltCurve_P49674_CSNK1E.pdf")</f>
        <v>Melting_Curves/meltCurve_P49674_CSNK1E.pdf</v>
      </c>
    </row>
    <row r="2766" spans="1:28" x14ac:dyDescent="0.25">
      <c r="A2766" t="s">
        <v>2770</v>
      </c>
      <c r="B2766">
        <v>0.99472303558308395</v>
      </c>
      <c r="C2766">
        <v>0.96426560349204105</v>
      </c>
      <c r="D2766">
        <v>0.99536015461780702</v>
      </c>
      <c r="E2766">
        <v>0.70976692812504205</v>
      </c>
      <c r="F2766">
        <v>0.39803530192648601</v>
      </c>
      <c r="G2766">
        <v>0.180216383129881</v>
      </c>
      <c r="H2766">
        <v>0.10396616234115701</v>
      </c>
      <c r="I2766">
        <v>8.8220198219884999E-2</v>
      </c>
      <c r="J2766">
        <v>0.10542504232224401</v>
      </c>
      <c r="K2766">
        <v>7.4814395300335304E-2</v>
      </c>
      <c r="L2766">
        <v>1052.96968892636</v>
      </c>
      <c r="M2766">
        <v>21.691635409501998</v>
      </c>
      <c r="N2766">
        <v>48.947348940475599</v>
      </c>
      <c r="O2766">
        <v>48.135748299760998</v>
      </c>
      <c r="P2766">
        <v>-0.103412524506828</v>
      </c>
      <c r="Q2766">
        <v>8.2093807863800494E-2</v>
      </c>
      <c r="R2766">
        <v>0.99701028077468401</v>
      </c>
      <c r="S2766" t="s">
        <v>9334</v>
      </c>
      <c r="T2766" t="s">
        <v>13134</v>
      </c>
      <c r="U2766" t="s">
        <v>13134</v>
      </c>
      <c r="V2766" t="s">
        <v>13134</v>
      </c>
      <c r="W2766" t="s">
        <v>15851</v>
      </c>
      <c r="X2766">
        <v>2</v>
      </c>
      <c r="Y2766" t="s">
        <v>22288</v>
      </c>
      <c r="Z2766" t="s">
        <v>28734</v>
      </c>
      <c r="AA2766">
        <v>0.44563474548385162</v>
      </c>
      <c r="AB2766" t="str">
        <f>HYPERLINK("Melting_Curves/meltCurve_P49711_CTCF.pdf", "Melting_Curves/meltCurve_P49711_CTCF.pdf")</f>
        <v>Melting_Curves/meltCurve_P49711_CTCF.pdf</v>
      </c>
    </row>
    <row r="2767" spans="1:28" x14ac:dyDescent="0.25">
      <c r="A2767" t="s">
        <v>2771</v>
      </c>
      <c r="B2767">
        <v>0.99472303558308395</v>
      </c>
      <c r="C2767">
        <v>0.97071750749167596</v>
      </c>
      <c r="D2767">
        <v>0.89425808616424995</v>
      </c>
      <c r="E2767">
        <v>0.63250342930663195</v>
      </c>
      <c r="F2767">
        <v>0.82028078005439997</v>
      </c>
      <c r="G2767">
        <v>0.32341309343656999</v>
      </c>
      <c r="H2767">
        <v>0.164741725555758</v>
      </c>
      <c r="I2767">
        <v>0.136469886645154</v>
      </c>
      <c r="J2767">
        <v>0.202110218331991</v>
      </c>
      <c r="K2767">
        <v>0.27028778517782098</v>
      </c>
      <c r="L2767">
        <v>686.12589068210605</v>
      </c>
      <c r="M2767">
        <v>13.6167618543098</v>
      </c>
      <c r="N2767">
        <v>51.571629435222903</v>
      </c>
      <c r="O2767">
        <v>49.3388321909623</v>
      </c>
      <c r="P2767">
        <v>-5.9747920277263097E-2</v>
      </c>
      <c r="Q2767">
        <v>0.13416773469856799</v>
      </c>
      <c r="R2767">
        <v>0.89835376587309801</v>
      </c>
      <c r="S2767" t="s">
        <v>9335</v>
      </c>
      <c r="T2767" t="s">
        <v>13134</v>
      </c>
      <c r="U2767" t="s">
        <v>13134</v>
      </c>
      <c r="V2767" t="s">
        <v>13134</v>
      </c>
      <c r="W2767" t="s">
        <v>15852</v>
      </c>
      <c r="X2767">
        <v>7</v>
      </c>
      <c r="Y2767" t="s">
        <v>22289</v>
      </c>
      <c r="Z2767" t="s">
        <v>28735</v>
      </c>
      <c r="AA2767">
        <v>0.5408864172096165</v>
      </c>
      <c r="AB2767" t="str">
        <f>HYPERLINK("Melting_Curves/meltCurve_P49721_PSMB2.pdf", "Melting_Curves/meltCurve_P49721_PSMB2.pdf")</f>
        <v>Melting_Curves/meltCurve_P49721_PSMB2.pdf</v>
      </c>
    </row>
    <row r="2768" spans="1:28" x14ac:dyDescent="0.25">
      <c r="A2768" t="s">
        <v>2772</v>
      </c>
      <c r="B2768">
        <v>0.99472303558308395</v>
      </c>
      <c r="C2768">
        <v>0.94313718288711301</v>
      </c>
      <c r="D2768">
        <v>0.79687405841642101</v>
      </c>
      <c r="E2768">
        <v>0.64951594439898697</v>
      </c>
      <c r="F2768">
        <v>0.50519267727487405</v>
      </c>
      <c r="G2768">
        <v>0.110630919716034</v>
      </c>
      <c r="H2768">
        <v>7.9018766316369796E-2</v>
      </c>
      <c r="I2768">
        <v>5.1087362594031703E-2</v>
      </c>
      <c r="J2768">
        <v>5.8574130789726099E-2</v>
      </c>
      <c r="K2768">
        <v>4.8079251546674598E-2</v>
      </c>
      <c r="L2768">
        <v>667.20595045702999</v>
      </c>
      <c r="M2768">
        <v>13.714135832730999</v>
      </c>
      <c r="N2768">
        <v>48.650965618401301</v>
      </c>
      <c r="O2768">
        <v>47.651502434333203</v>
      </c>
      <c r="P2768">
        <v>-7.1960489004158107E-2</v>
      </c>
      <c r="Q2768">
        <v>0</v>
      </c>
      <c r="R2768">
        <v>0.98003037148868499</v>
      </c>
      <c r="S2768" t="s">
        <v>9336</v>
      </c>
      <c r="T2768" t="s">
        <v>13134</v>
      </c>
      <c r="U2768" t="s">
        <v>13134</v>
      </c>
      <c r="V2768" t="s">
        <v>13134</v>
      </c>
      <c r="W2768" t="s">
        <v>13488</v>
      </c>
      <c r="X2768">
        <v>37</v>
      </c>
      <c r="Y2768" t="s">
        <v>22290</v>
      </c>
      <c r="Z2768" t="s">
        <v>28736</v>
      </c>
      <c r="AA2768">
        <v>0.41333016409315088</v>
      </c>
      <c r="AB2768" t="str">
        <f>HYPERLINK("Melting_Curves/meltCurve_P49736_MCM2.pdf", "Melting_Curves/meltCurve_P49736_MCM2.pdf")</f>
        <v>Melting_Curves/meltCurve_P49736_MCM2.pdf</v>
      </c>
    </row>
    <row r="2769" spans="1:28" x14ac:dyDescent="0.25">
      <c r="A2769" t="s">
        <v>2773</v>
      </c>
      <c r="B2769">
        <v>0.99472303558308395</v>
      </c>
      <c r="C2769">
        <v>1.00276123029805</v>
      </c>
      <c r="D2769">
        <v>1.00637554158722</v>
      </c>
      <c r="E2769">
        <v>0.92249806493707798</v>
      </c>
      <c r="F2769">
        <v>0.72316840916999203</v>
      </c>
      <c r="G2769">
        <v>0.57751609822448602</v>
      </c>
      <c r="H2769">
        <v>0.33465459068289399</v>
      </c>
      <c r="I2769">
        <v>0.17269017808314599</v>
      </c>
      <c r="J2769">
        <v>9.5682278373594096E-2</v>
      </c>
      <c r="K2769">
        <v>8.9794902588375095E-2</v>
      </c>
      <c r="L2769">
        <v>753.85675522199801</v>
      </c>
      <c r="M2769">
        <v>13.8319230651362</v>
      </c>
      <c r="N2769">
        <v>54.502800072966799</v>
      </c>
      <c r="O2769">
        <v>53.399936489838097</v>
      </c>
      <c r="P2769">
        <v>-6.4752315564553298E-2</v>
      </c>
      <c r="Q2769">
        <v>1.9977755827483101E-4</v>
      </c>
      <c r="R2769">
        <v>0.99646395540864197</v>
      </c>
      <c r="S2769" t="s">
        <v>9337</v>
      </c>
      <c r="T2769" t="s">
        <v>13134</v>
      </c>
      <c r="U2769" t="s">
        <v>13134</v>
      </c>
      <c r="V2769" t="s">
        <v>13134</v>
      </c>
      <c r="W2769" t="s">
        <v>15853</v>
      </c>
      <c r="X2769">
        <v>29</v>
      </c>
      <c r="Y2769" t="s">
        <v>22291</v>
      </c>
      <c r="Z2769" t="s">
        <v>28737</v>
      </c>
      <c r="AA2769">
        <v>0.5992432768418946</v>
      </c>
      <c r="AB2769" t="str">
        <f>HYPERLINK("Melting_Curves/meltCurve_P49748_2_ACADVL.pdf", "Melting_Curves/meltCurve_P49748_2_ACADVL.pdf")</f>
        <v>Melting_Curves/meltCurve_P49748_2_ACADVL.pdf</v>
      </c>
    </row>
    <row r="2770" spans="1:28" x14ac:dyDescent="0.25">
      <c r="A2770" t="s">
        <v>2774</v>
      </c>
      <c r="B2770">
        <v>0.99472303558308395</v>
      </c>
      <c r="C2770">
        <v>0.98911080491319903</v>
      </c>
      <c r="D2770">
        <v>0.84330508093838696</v>
      </c>
      <c r="E2770">
        <v>0.78465200655392897</v>
      </c>
      <c r="F2770">
        <v>0.305690660980944</v>
      </c>
      <c r="G2770">
        <v>0.15108706134896399</v>
      </c>
      <c r="H2770">
        <v>9.0948377924785495E-2</v>
      </c>
      <c r="I2770">
        <v>7.9229733410266207E-2</v>
      </c>
      <c r="J2770">
        <v>9.7987098124102404E-2</v>
      </c>
      <c r="K2770">
        <v>8.1872109946163701E-2</v>
      </c>
      <c r="L2770">
        <v>1187.7094805654499</v>
      </c>
      <c r="M2770">
        <v>24.6039486436038</v>
      </c>
      <c r="N2770">
        <v>48.612313960230999</v>
      </c>
      <c r="O2770">
        <v>47.957619198213798</v>
      </c>
      <c r="P2770">
        <v>-0.11814440931871099</v>
      </c>
      <c r="Q2770">
        <v>7.8872501558288996E-2</v>
      </c>
      <c r="R2770">
        <v>0.98841894164983202</v>
      </c>
      <c r="S2770" t="s">
        <v>9338</v>
      </c>
      <c r="T2770" t="s">
        <v>13134</v>
      </c>
      <c r="U2770" t="s">
        <v>13134</v>
      </c>
      <c r="V2770" t="s">
        <v>13134</v>
      </c>
      <c r="W2770" t="s">
        <v>15854</v>
      </c>
      <c r="X2770">
        <v>18</v>
      </c>
      <c r="Y2770" t="s">
        <v>22292</v>
      </c>
      <c r="Z2770" t="s">
        <v>28738</v>
      </c>
      <c r="AA2770">
        <v>0.4331372481939354</v>
      </c>
      <c r="AB2770" t="str">
        <f>HYPERLINK("Melting_Curves/meltCurve_P49750_YLPM1.pdf", "Melting_Curves/meltCurve_P49750_YLPM1.pdf")</f>
        <v>Melting_Curves/meltCurve_P49750_YLPM1.pdf</v>
      </c>
    </row>
    <row r="2771" spans="1:28" x14ac:dyDescent="0.25">
      <c r="A2771" t="s">
        <v>2775</v>
      </c>
      <c r="B2771">
        <v>0.99472303558308395</v>
      </c>
      <c r="C2771">
        <v>0.98568329470093996</v>
      </c>
      <c r="D2771">
        <v>0.82598978850878402</v>
      </c>
      <c r="E2771">
        <v>0.75994774421145495</v>
      </c>
      <c r="F2771">
        <v>0.60586445939639699</v>
      </c>
      <c r="G2771">
        <v>0.30779333999335701</v>
      </c>
      <c r="H2771">
        <v>0.13497903160706901</v>
      </c>
      <c r="I2771">
        <v>5.1528723688667698E-2</v>
      </c>
      <c r="J2771">
        <v>5.3031760173364702E-2</v>
      </c>
      <c r="K2771">
        <v>6.0128176042448703E-2</v>
      </c>
      <c r="L2771">
        <v>686.27087131871303</v>
      </c>
      <c r="M2771">
        <v>13.5310630311713</v>
      </c>
      <c r="N2771">
        <v>50.718180166678899</v>
      </c>
      <c r="O2771">
        <v>49.648854034102897</v>
      </c>
      <c r="P2771">
        <v>-6.8144112028130796E-2</v>
      </c>
      <c r="Q2771">
        <v>0</v>
      </c>
      <c r="R2771">
        <v>0.98769103309781103</v>
      </c>
      <c r="S2771" t="s">
        <v>9339</v>
      </c>
      <c r="T2771" t="s">
        <v>13134</v>
      </c>
      <c r="U2771" t="s">
        <v>13134</v>
      </c>
      <c r="V2771" t="s">
        <v>13134</v>
      </c>
      <c r="W2771" t="s">
        <v>15855</v>
      </c>
      <c r="X2771">
        <v>12</v>
      </c>
      <c r="Y2771" t="s">
        <v>22293</v>
      </c>
      <c r="Z2771" t="s">
        <v>28739</v>
      </c>
      <c r="AA2771">
        <v>0.48051528931784843</v>
      </c>
      <c r="AB2771" t="str">
        <f>HYPERLINK("Melting_Curves/meltCurve_P49755_TMED10.pdf", "Melting_Curves/meltCurve_P49755_TMED10.pdf")</f>
        <v>Melting_Curves/meltCurve_P49755_TMED10.pdf</v>
      </c>
    </row>
    <row r="2772" spans="1:28" x14ac:dyDescent="0.25">
      <c r="A2772" t="s">
        <v>2776</v>
      </c>
      <c r="B2772">
        <v>0.99472303558308395</v>
      </c>
      <c r="C2772">
        <v>0.939060042062145</v>
      </c>
      <c r="D2772">
        <v>0.89180317744166304</v>
      </c>
      <c r="E2772">
        <v>0.57585193146636005</v>
      </c>
      <c r="F2772">
        <v>0.162528108788386</v>
      </c>
      <c r="G2772">
        <v>8.9150363370128896E-2</v>
      </c>
      <c r="H2772">
        <v>5.39683790280256E-2</v>
      </c>
      <c r="I2772">
        <v>3.8349588929089101E-2</v>
      </c>
      <c r="J2772">
        <v>4.4792258269181297E-2</v>
      </c>
      <c r="K2772">
        <v>3.5234005448549398E-2</v>
      </c>
      <c r="L2772">
        <v>1166.4335546161899</v>
      </c>
      <c r="M2772">
        <v>24.887264938994601</v>
      </c>
      <c r="N2772">
        <v>47.019209922842897</v>
      </c>
      <c r="O2772">
        <v>46.569228312291301</v>
      </c>
      <c r="P2772">
        <v>-0.12848960515086999</v>
      </c>
      <c r="Q2772">
        <v>3.8290522584742102E-2</v>
      </c>
      <c r="R2772">
        <v>0.99726340564048599</v>
      </c>
      <c r="S2772" t="s">
        <v>9340</v>
      </c>
      <c r="T2772" t="s">
        <v>13134</v>
      </c>
      <c r="U2772" t="s">
        <v>13134</v>
      </c>
      <c r="V2772" t="s">
        <v>13134</v>
      </c>
      <c r="W2772" t="s">
        <v>15856</v>
      </c>
      <c r="X2772">
        <v>29</v>
      </c>
      <c r="Y2772" t="s">
        <v>22294</v>
      </c>
      <c r="Z2772" t="s">
        <v>28740</v>
      </c>
      <c r="AA2772">
        <v>0.36278626371079631</v>
      </c>
      <c r="AB2772" t="str">
        <f>HYPERLINK("Melting_Curves/meltCurve_P49756_RBM25.pdf", "Melting_Curves/meltCurve_P49756_RBM25.pdf")</f>
        <v>Melting_Curves/meltCurve_P49756_RBM25.pdf</v>
      </c>
    </row>
    <row r="2773" spans="1:28" x14ac:dyDescent="0.25">
      <c r="A2773" t="s">
        <v>2777</v>
      </c>
      <c r="B2773">
        <v>0.99472303558308395</v>
      </c>
      <c r="C2773">
        <v>1.0071747487285201</v>
      </c>
      <c r="D2773">
        <v>0.89283453159008097</v>
      </c>
      <c r="E2773">
        <v>0.68452339318563304</v>
      </c>
      <c r="F2773">
        <v>0.48955663593638798</v>
      </c>
      <c r="G2773">
        <v>0.22064472392344101</v>
      </c>
      <c r="H2773">
        <v>0.119206154877043</v>
      </c>
      <c r="I2773">
        <v>9.4215357589630497E-2</v>
      </c>
      <c r="J2773">
        <v>0.11579872196131299</v>
      </c>
      <c r="K2773">
        <v>8.9094579330319501E-2</v>
      </c>
      <c r="L2773">
        <v>783.71358414456995</v>
      </c>
      <c r="M2773">
        <v>16.019106460684799</v>
      </c>
      <c r="N2773">
        <v>49.373335332754202</v>
      </c>
      <c r="O2773">
        <v>48.180304488589996</v>
      </c>
      <c r="P2773">
        <v>-7.7484943340306006E-2</v>
      </c>
      <c r="Q2773">
        <v>6.7873918773669994E-2</v>
      </c>
      <c r="R2773">
        <v>0.99518372786270404</v>
      </c>
      <c r="S2773" t="s">
        <v>9341</v>
      </c>
      <c r="T2773" t="s">
        <v>13134</v>
      </c>
      <c r="U2773" t="s">
        <v>13134</v>
      </c>
      <c r="V2773" t="s">
        <v>13134</v>
      </c>
      <c r="W2773" t="s">
        <v>15857</v>
      </c>
      <c r="X2773">
        <v>9</v>
      </c>
      <c r="Y2773" t="s">
        <v>22295</v>
      </c>
      <c r="Z2773" t="s">
        <v>28741</v>
      </c>
      <c r="AA2773">
        <v>0.45642518740758081</v>
      </c>
      <c r="AB2773" t="str">
        <f>HYPERLINK("Melting_Curves/meltCurve_P49757_4_NUMB.pdf", "Melting_Curves/meltCurve_P49757_4_NUMB.pdf")</f>
        <v>Melting_Curves/meltCurve_P49757_4_NUMB.pdf</v>
      </c>
    </row>
    <row r="2774" spans="1:28" x14ac:dyDescent="0.25">
      <c r="A2774" t="s">
        <v>2778</v>
      </c>
      <c r="B2774">
        <v>0.99472303558308395</v>
      </c>
      <c r="C2774">
        <v>0.814116690959655</v>
      </c>
      <c r="D2774">
        <v>0.50848109027232102</v>
      </c>
      <c r="E2774">
        <v>0.45444708268051098</v>
      </c>
      <c r="F2774">
        <v>0.32585326246714902</v>
      </c>
      <c r="G2774">
        <v>0.249193754817299</v>
      </c>
      <c r="H2774">
        <v>0.14952768054275101</v>
      </c>
      <c r="I2774">
        <v>0.133639927881499</v>
      </c>
      <c r="J2774">
        <v>0.11684189147910801</v>
      </c>
      <c r="K2774">
        <v>8.1728907476160295E-2</v>
      </c>
      <c r="L2774">
        <v>479.29873153915798</v>
      </c>
      <c r="M2774">
        <v>10.806688542584</v>
      </c>
      <c r="N2774">
        <v>45.178402885497697</v>
      </c>
      <c r="O2774">
        <v>42.914338669857798</v>
      </c>
      <c r="P2774">
        <v>-5.7330041548514801E-2</v>
      </c>
      <c r="Q2774">
        <v>8.9677926164991595E-2</v>
      </c>
      <c r="R2774">
        <v>0.97037848880115296</v>
      </c>
      <c r="S2774" t="s">
        <v>9342</v>
      </c>
      <c r="T2774" t="s">
        <v>13134</v>
      </c>
      <c r="U2774" t="s">
        <v>13134</v>
      </c>
      <c r="V2774" t="s">
        <v>13134</v>
      </c>
      <c r="W2774" t="s">
        <v>15858</v>
      </c>
      <c r="X2774">
        <v>2</v>
      </c>
      <c r="Y2774" t="s">
        <v>22296</v>
      </c>
      <c r="Z2774" t="s">
        <v>28742</v>
      </c>
      <c r="AA2774">
        <v>0.35426825049009908</v>
      </c>
      <c r="AB2774" t="str">
        <f>HYPERLINK("Melting_Curves/meltCurve_P49761_1_CLK3.pdf", "Melting_Curves/meltCurve_P49761_1_CLK3.pdf")</f>
        <v>Melting_Curves/meltCurve_P49761_1_CLK3.pdf</v>
      </c>
    </row>
    <row r="2775" spans="1:28" x14ac:dyDescent="0.25">
      <c r="A2775" t="s">
        <v>2779</v>
      </c>
      <c r="B2775">
        <v>0.99472303558308395</v>
      </c>
      <c r="C2775">
        <v>1.05479827221752</v>
      </c>
      <c r="D2775">
        <v>0.83425482305272702</v>
      </c>
      <c r="E2775">
        <v>0.73356905051715104</v>
      </c>
      <c r="F2775">
        <v>0.74309798592388498</v>
      </c>
      <c r="G2775">
        <v>0.72299235224066005</v>
      </c>
      <c r="H2775">
        <v>0.26560056716265201</v>
      </c>
      <c r="I2775">
        <v>7.7812988511145695E-2</v>
      </c>
      <c r="J2775">
        <v>6.4242861237581897E-2</v>
      </c>
      <c r="K2775">
        <v>5.2404939388072301E-2</v>
      </c>
      <c r="L2775">
        <v>752.28997331673304</v>
      </c>
      <c r="M2775">
        <v>13.878881664613401</v>
      </c>
      <c r="N2775">
        <v>54.203933140964303</v>
      </c>
      <c r="O2775">
        <v>53.115805664457</v>
      </c>
      <c r="P2775">
        <v>-6.5332632506476696E-2</v>
      </c>
      <c r="Q2775">
        <v>0</v>
      </c>
      <c r="R2775">
        <v>0.92557089862268704</v>
      </c>
      <c r="S2775" t="s">
        <v>9343</v>
      </c>
      <c r="T2775" t="s">
        <v>13134</v>
      </c>
      <c r="U2775" t="s">
        <v>13134</v>
      </c>
      <c r="V2775" t="s">
        <v>13134</v>
      </c>
      <c r="W2775" t="s">
        <v>15859</v>
      </c>
      <c r="X2775">
        <v>19</v>
      </c>
      <c r="Y2775" t="s">
        <v>22297</v>
      </c>
      <c r="Z2775" t="s">
        <v>28743</v>
      </c>
      <c r="AA2775">
        <v>0.58998512425674587</v>
      </c>
      <c r="AB2775" t="str">
        <f>HYPERLINK("Melting_Curves/meltCurve_P49770_EIF2B2.pdf", "Melting_Curves/meltCurve_P49770_EIF2B2.pdf")</f>
        <v>Melting_Curves/meltCurve_P49770_EIF2B2.pdf</v>
      </c>
    </row>
    <row r="2776" spans="1:28" x14ac:dyDescent="0.25">
      <c r="A2776" t="s">
        <v>2780</v>
      </c>
      <c r="B2776">
        <v>0.99472303558308395</v>
      </c>
      <c r="C2776">
        <v>1.00005209017041</v>
      </c>
      <c r="D2776">
        <v>1.07840894354738</v>
      </c>
      <c r="E2776">
        <v>0.96701755234056497</v>
      </c>
      <c r="F2776">
        <v>0.718137390058599</v>
      </c>
      <c r="G2776">
        <v>0.67322230865947597</v>
      </c>
      <c r="H2776">
        <v>0.45553997097648002</v>
      </c>
      <c r="I2776">
        <v>0.32801000080857101</v>
      </c>
      <c r="J2776">
        <v>0.255598027401648</v>
      </c>
      <c r="K2776">
        <v>0.19097537593536601</v>
      </c>
      <c r="L2776">
        <v>708.23304411565198</v>
      </c>
      <c r="M2776">
        <v>12.820012069439301</v>
      </c>
      <c r="N2776">
        <v>56.457619431004602</v>
      </c>
      <c r="O2776">
        <v>53.951911356311101</v>
      </c>
      <c r="P2776">
        <v>-5.2261832089734998E-2</v>
      </c>
      <c r="Q2776">
        <v>0.12040640599059201</v>
      </c>
      <c r="R2776">
        <v>0.97870753692402501</v>
      </c>
      <c r="S2776" t="s">
        <v>9344</v>
      </c>
      <c r="T2776" t="s">
        <v>13134</v>
      </c>
      <c r="U2776" t="s">
        <v>13134</v>
      </c>
      <c r="V2776" t="s">
        <v>13134</v>
      </c>
      <c r="W2776" t="s">
        <v>15860</v>
      </c>
      <c r="X2776">
        <v>11</v>
      </c>
      <c r="Y2776" t="s">
        <v>22298</v>
      </c>
      <c r="Z2776" t="s">
        <v>28744</v>
      </c>
      <c r="AA2776">
        <v>0.66724326415333102</v>
      </c>
      <c r="AB2776" t="str">
        <f>HYPERLINK("Melting_Curves/meltCurve_P49773_HINT1.pdf", "Melting_Curves/meltCurve_P49773_HINT1.pdf")</f>
        <v>Melting_Curves/meltCurve_P49773_HINT1.pdf</v>
      </c>
    </row>
    <row r="2777" spans="1:28" x14ac:dyDescent="0.25">
      <c r="A2777" t="s">
        <v>2781</v>
      </c>
      <c r="B2777">
        <v>0.99472303558308395</v>
      </c>
      <c r="C2777">
        <v>0.96762045334186497</v>
      </c>
      <c r="D2777">
        <v>0.80702035545428197</v>
      </c>
      <c r="E2777">
        <v>0.60561333860924804</v>
      </c>
      <c r="F2777">
        <v>0.461889557073837</v>
      </c>
      <c r="G2777">
        <v>0.320028408018036</v>
      </c>
      <c r="H2777">
        <v>0.24655822162094601</v>
      </c>
      <c r="I2777">
        <v>0.197584046114157</v>
      </c>
      <c r="J2777">
        <v>0.20359558466358299</v>
      </c>
      <c r="K2777">
        <v>0.18413147050435</v>
      </c>
      <c r="L2777">
        <v>611.57117935261203</v>
      </c>
      <c r="M2777">
        <v>12.911452708522701</v>
      </c>
      <c r="N2777">
        <v>48.921684637476503</v>
      </c>
      <c r="O2777">
        <v>46.273489220235099</v>
      </c>
      <c r="P2777">
        <v>-5.8025637320849102E-2</v>
      </c>
      <c r="Q2777">
        <v>0.16831616072331401</v>
      </c>
      <c r="R2777">
        <v>0.99665593639338002</v>
      </c>
      <c r="S2777" t="s">
        <v>9345</v>
      </c>
      <c r="T2777" t="s">
        <v>13134</v>
      </c>
      <c r="U2777" t="s">
        <v>13134</v>
      </c>
      <c r="V2777" t="s">
        <v>13134</v>
      </c>
      <c r="W2777" t="s">
        <v>15861</v>
      </c>
      <c r="X2777">
        <v>35</v>
      </c>
      <c r="Y2777" t="s">
        <v>22299</v>
      </c>
      <c r="Z2777" t="s">
        <v>28745</v>
      </c>
      <c r="AA2777">
        <v>0.47962326151942031</v>
      </c>
      <c r="AB2777" t="str">
        <f>HYPERLINK("Melting_Curves/meltCurve_P49790_NUP153.pdf", "Melting_Curves/meltCurve_P49790_NUP153.pdf")</f>
        <v>Melting_Curves/meltCurve_P49790_NUP153.pdf</v>
      </c>
    </row>
    <row r="2778" spans="1:28" x14ac:dyDescent="0.25">
      <c r="A2778" t="s">
        <v>2782</v>
      </c>
      <c r="B2778">
        <v>0.99472303558308395</v>
      </c>
      <c r="C2778">
        <v>0.80730379202963498</v>
      </c>
      <c r="D2778">
        <v>0.584833266923933</v>
      </c>
      <c r="E2778">
        <v>0.28010200298108201</v>
      </c>
      <c r="F2778">
        <v>0.16135941507969201</v>
      </c>
      <c r="G2778">
        <v>7.9914400725423607E-2</v>
      </c>
      <c r="H2778">
        <v>5.8659874306539198E-2</v>
      </c>
      <c r="I2778">
        <v>4.10213257867095E-2</v>
      </c>
      <c r="J2778">
        <v>4.8436778443281002E-2</v>
      </c>
      <c r="K2778">
        <v>4.5629703618937999E-2</v>
      </c>
      <c r="L2778">
        <v>718.00347165991502</v>
      </c>
      <c r="M2778">
        <v>16.458066674266099</v>
      </c>
      <c r="N2778">
        <v>43.859534996581402</v>
      </c>
      <c r="O2778">
        <v>42.997410636699698</v>
      </c>
      <c r="P2778">
        <v>-9.1688061219602601E-2</v>
      </c>
      <c r="Q2778">
        <v>4.19111638677842E-2</v>
      </c>
      <c r="R2778">
        <v>0.99737824384808405</v>
      </c>
      <c r="S2778" t="s">
        <v>9346</v>
      </c>
      <c r="T2778" t="s">
        <v>13134</v>
      </c>
      <c r="U2778" t="s">
        <v>13134</v>
      </c>
      <c r="V2778" t="s">
        <v>13134</v>
      </c>
      <c r="W2778" t="s">
        <v>15862</v>
      </c>
      <c r="X2778">
        <v>35</v>
      </c>
      <c r="Y2778" t="s">
        <v>22300</v>
      </c>
      <c r="Z2778" t="s">
        <v>28746</v>
      </c>
      <c r="AA2778">
        <v>0.27345872846345631</v>
      </c>
      <c r="AB2778" t="str">
        <f>HYPERLINK("Melting_Curves/meltCurve_P49792_RANBP2.pdf", "Melting_Curves/meltCurve_P49792_RANBP2.pdf")</f>
        <v>Melting_Curves/meltCurve_P49792_RANBP2.pdf</v>
      </c>
    </row>
    <row r="2779" spans="1:28" x14ac:dyDescent="0.25">
      <c r="A2779" t="s">
        <v>2783</v>
      </c>
      <c r="B2779">
        <v>0.99472303558308395</v>
      </c>
      <c r="C2779">
        <v>1.00831292222867</v>
      </c>
      <c r="D2779">
        <v>0.77577439269214998</v>
      </c>
      <c r="E2779">
        <v>0.61308339763678799</v>
      </c>
      <c r="F2779">
        <v>0.440258935870183</v>
      </c>
      <c r="G2779">
        <v>0.20424742047147801</v>
      </c>
      <c r="H2779">
        <v>0.117583390471724</v>
      </c>
      <c r="I2779">
        <v>9.7551280650298194E-2</v>
      </c>
      <c r="J2779">
        <v>0.103299418621429</v>
      </c>
      <c r="K2779">
        <v>7.5821139527946294E-2</v>
      </c>
      <c r="L2779">
        <v>643.84081129503204</v>
      </c>
      <c r="M2779">
        <v>13.416019510156399</v>
      </c>
      <c r="N2779">
        <v>48.372841421255799</v>
      </c>
      <c r="O2779">
        <v>46.961824424394401</v>
      </c>
      <c r="P2779">
        <v>-6.7837118689137194E-2</v>
      </c>
      <c r="Q2779">
        <v>5.0312322506553001E-2</v>
      </c>
      <c r="R2779">
        <v>0.99016479479029695</v>
      </c>
      <c r="S2779" t="s">
        <v>9347</v>
      </c>
      <c r="T2779" t="s">
        <v>13134</v>
      </c>
      <c r="U2779" t="s">
        <v>13134</v>
      </c>
      <c r="V2779" t="s">
        <v>13134</v>
      </c>
      <c r="W2779" t="s">
        <v>15863</v>
      </c>
      <c r="X2779">
        <v>1</v>
      </c>
      <c r="Y2779" t="s">
        <v>22301</v>
      </c>
      <c r="Z2779" t="s">
        <v>28747</v>
      </c>
      <c r="AA2779">
        <v>0.42332986791048488</v>
      </c>
      <c r="AB2779" t="str">
        <f>HYPERLINK("Melting_Curves/meltCurve_P49795_RGS19.pdf", "Melting_Curves/meltCurve_P49795_RGS19.pdf")</f>
        <v>Melting_Curves/meltCurve_P49795_RGS19.pdf</v>
      </c>
    </row>
    <row r="2780" spans="1:28" x14ac:dyDescent="0.25">
      <c r="A2780" t="s">
        <v>2784</v>
      </c>
      <c r="B2780">
        <v>0.99472303558308395</v>
      </c>
      <c r="C2780">
        <v>1.01724682707849</v>
      </c>
      <c r="D2780">
        <v>0.98309975231052504</v>
      </c>
      <c r="E2780">
        <v>0.96663548593585202</v>
      </c>
      <c r="F2780">
        <v>0.731951499644656</v>
      </c>
      <c r="G2780">
        <v>0.54397411533627704</v>
      </c>
      <c r="H2780">
        <v>0.177569631081445</v>
      </c>
      <c r="I2780">
        <v>7.8054743343969904E-2</v>
      </c>
      <c r="J2780">
        <v>7.4814732045670601E-2</v>
      </c>
      <c r="K2780">
        <v>6.5982435135281195E-2</v>
      </c>
      <c r="L2780">
        <v>1055.0585979966099</v>
      </c>
      <c r="M2780">
        <v>19.757860492239399</v>
      </c>
      <c r="N2780">
        <v>53.548319692056097</v>
      </c>
      <c r="O2780">
        <v>52.8614597052173</v>
      </c>
      <c r="P2780">
        <v>-9.0947505019161906E-2</v>
      </c>
      <c r="Q2780">
        <v>2.6726285308811298E-2</v>
      </c>
      <c r="R2780">
        <v>0.99306035958946703</v>
      </c>
      <c r="S2780" t="s">
        <v>9348</v>
      </c>
      <c r="T2780" t="s">
        <v>13134</v>
      </c>
      <c r="U2780" t="s">
        <v>13134</v>
      </c>
      <c r="V2780" t="s">
        <v>13134</v>
      </c>
      <c r="W2780" t="s">
        <v>15864</v>
      </c>
      <c r="X2780">
        <v>11</v>
      </c>
      <c r="Y2780" t="s">
        <v>22302</v>
      </c>
      <c r="Z2780" t="s">
        <v>28748</v>
      </c>
      <c r="AA2780">
        <v>0.57105719973836777</v>
      </c>
      <c r="AB2780" t="str">
        <f>HYPERLINK("Melting_Curves/meltCurve_P49840_GSK3A.pdf", "Melting_Curves/meltCurve_P49840_GSK3A.pdf")</f>
        <v>Melting_Curves/meltCurve_P49840_GSK3A.pdf</v>
      </c>
    </row>
    <row r="2781" spans="1:28" x14ac:dyDescent="0.25">
      <c r="A2781" t="s">
        <v>2785</v>
      </c>
      <c r="B2781">
        <v>0.99472303558308395</v>
      </c>
      <c r="C2781">
        <v>1.0579169009709899</v>
      </c>
      <c r="D2781">
        <v>0.89225121413588304</v>
      </c>
      <c r="E2781">
        <v>0.91084506760191697</v>
      </c>
      <c r="F2781">
        <v>0.67349194207576202</v>
      </c>
      <c r="G2781">
        <v>0.51927311068427895</v>
      </c>
      <c r="H2781">
        <v>0.298845554499507</v>
      </c>
      <c r="I2781">
        <v>7.3003095631681197E-2</v>
      </c>
      <c r="J2781">
        <v>4.0984888625984303E-2</v>
      </c>
      <c r="K2781">
        <v>4.1849532019188299E-2</v>
      </c>
      <c r="L2781">
        <v>792.93235635681799</v>
      </c>
      <c r="M2781">
        <v>14.8567447188843</v>
      </c>
      <c r="N2781">
        <v>53.371852514272597</v>
      </c>
      <c r="O2781">
        <v>52.432888732967001</v>
      </c>
      <c r="P2781">
        <v>-7.0844382356270094E-2</v>
      </c>
      <c r="Q2781">
        <v>0</v>
      </c>
      <c r="R2781">
        <v>0.98563647039866298</v>
      </c>
      <c r="S2781" t="s">
        <v>9349</v>
      </c>
      <c r="T2781" t="s">
        <v>13134</v>
      </c>
      <c r="U2781" t="s">
        <v>13134</v>
      </c>
      <c r="V2781" t="s">
        <v>13134</v>
      </c>
      <c r="W2781" t="s">
        <v>15865</v>
      </c>
      <c r="X2781">
        <v>11</v>
      </c>
      <c r="Y2781" t="s">
        <v>22303</v>
      </c>
      <c r="Z2781" t="s">
        <v>28749</v>
      </c>
      <c r="AA2781">
        <v>0.56315472075044704</v>
      </c>
      <c r="AB2781" t="str">
        <f>HYPERLINK("Melting_Curves/meltCurve_P49841_GSK3B.pdf", "Melting_Curves/meltCurve_P49841_GSK3B.pdf")</f>
        <v>Melting_Curves/meltCurve_P49841_GSK3B.pdf</v>
      </c>
    </row>
    <row r="2782" spans="1:28" x14ac:dyDescent="0.25">
      <c r="A2782" t="s">
        <v>2786</v>
      </c>
      <c r="B2782">
        <v>0.99472303558308395</v>
      </c>
      <c r="C2782">
        <v>0.92341251523596801</v>
      </c>
      <c r="D2782">
        <v>0.87216955810391905</v>
      </c>
      <c r="E2782">
        <v>0.78318514188186605</v>
      </c>
      <c r="F2782">
        <v>0.71558410889574597</v>
      </c>
      <c r="G2782">
        <v>0.51967114286194405</v>
      </c>
      <c r="H2782">
        <v>0.39216464963714298</v>
      </c>
      <c r="I2782">
        <v>0.27605598595595499</v>
      </c>
      <c r="J2782">
        <v>0.164214559087591</v>
      </c>
      <c r="K2782">
        <v>0.125110264993749</v>
      </c>
      <c r="L2782">
        <v>485.46189795966097</v>
      </c>
      <c r="M2782">
        <v>8.9673027036028703</v>
      </c>
      <c r="N2782">
        <v>54.136894684463499</v>
      </c>
      <c r="O2782">
        <v>51.647817436622702</v>
      </c>
      <c r="P2782">
        <v>-4.3437949778745197E-2</v>
      </c>
      <c r="Q2782">
        <v>0</v>
      </c>
      <c r="R2782">
        <v>0.99134397190445001</v>
      </c>
      <c r="S2782" t="s">
        <v>9350</v>
      </c>
      <c r="T2782" t="s">
        <v>13134</v>
      </c>
      <c r="U2782" t="s">
        <v>13134</v>
      </c>
      <c r="V2782" t="s">
        <v>13134</v>
      </c>
      <c r="W2782" t="s">
        <v>15866</v>
      </c>
      <c r="X2782">
        <v>11</v>
      </c>
      <c r="Y2782" t="s">
        <v>22304</v>
      </c>
      <c r="Z2782" t="s">
        <v>28750</v>
      </c>
      <c r="AA2782">
        <v>0.58686475777362801</v>
      </c>
      <c r="AB2782" t="str">
        <f>HYPERLINK("Melting_Curves/meltCurve_P49902_NT5C2.pdf", "Melting_Curves/meltCurve_P49902_NT5C2.pdf")</f>
        <v>Melting_Curves/meltCurve_P49902_NT5C2.pdf</v>
      </c>
    </row>
    <row r="2783" spans="1:28" x14ac:dyDescent="0.25">
      <c r="A2783" t="s">
        <v>2787</v>
      </c>
      <c r="B2783">
        <v>0.99472303558308395</v>
      </c>
      <c r="C2783">
        <v>1.0406113540428401</v>
      </c>
      <c r="D2783">
        <v>0.92906879624143301</v>
      </c>
      <c r="E2783">
        <v>0.91103077017928802</v>
      </c>
      <c r="F2783">
        <v>0.82479442250875701</v>
      </c>
      <c r="G2783">
        <v>0.60603400584275302</v>
      </c>
      <c r="H2783">
        <v>0.54814653142638103</v>
      </c>
      <c r="I2783">
        <v>0.56921615138746695</v>
      </c>
      <c r="J2783">
        <v>0.80842499357614805</v>
      </c>
      <c r="K2783">
        <v>0.65265774782483299</v>
      </c>
      <c r="L2783">
        <v>1489.23670642859</v>
      </c>
      <c r="M2783">
        <v>30.1069897914699</v>
      </c>
      <c r="O2783">
        <v>49.248124264778603</v>
      </c>
      <c r="P2783">
        <v>-5.5748905359738199E-2</v>
      </c>
      <c r="Q2783">
        <v>0.63523269724092701</v>
      </c>
      <c r="R2783">
        <v>0.81121998185252697</v>
      </c>
      <c r="S2783" t="s">
        <v>9351</v>
      </c>
      <c r="T2783" t="s">
        <v>13134</v>
      </c>
      <c r="U2783" t="s">
        <v>13134</v>
      </c>
      <c r="V2783" t="s">
        <v>13134</v>
      </c>
      <c r="W2783" t="s">
        <v>15867</v>
      </c>
      <c r="X2783">
        <v>13</v>
      </c>
      <c r="Y2783" t="s">
        <v>22305</v>
      </c>
      <c r="Z2783" t="s">
        <v>28751</v>
      </c>
      <c r="AA2783">
        <v>0.7889937775907524</v>
      </c>
      <c r="AB2783" t="str">
        <f>HYPERLINK("Melting_Curves/meltCurve_P49903_SEPHS1.pdf", "Melting_Curves/meltCurve_P49903_SEPHS1.pdf")</f>
        <v>Melting_Curves/meltCurve_P49903_SEPHS1.pdf</v>
      </c>
    </row>
    <row r="2784" spans="1:28" x14ac:dyDescent="0.25">
      <c r="A2784" t="s">
        <v>2788</v>
      </c>
      <c r="B2784">
        <v>0.99472303558308395</v>
      </c>
      <c r="C2784">
        <v>0.978817747337835</v>
      </c>
      <c r="D2784">
        <v>0.832580286798423</v>
      </c>
      <c r="E2784">
        <v>0.79045665780366303</v>
      </c>
      <c r="F2784">
        <v>1.02160212084793</v>
      </c>
      <c r="G2784">
        <v>0.49627142656289103</v>
      </c>
      <c r="H2784">
        <v>0.531844623230181</v>
      </c>
      <c r="I2784">
        <v>0.35473058696985699</v>
      </c>
      <c r="J2784">
        <v>0.603407622322916</v>
      </c>
      <c r="K2784">
        <v>0.80883674816560502</v>
      </c>
      <c r="L2784">
        <v>12958.6203276014</v>
      </c>
      <c r="M2784">
        <v>250</v>
      </c>
      <c r="O2784">
        <v>51.831164332832799</v>
      </c>
      <c r="P2784">
        <v>-0.53176103831793597</v>
      </c>
      <c r="Q2784">
        <v>0.55901130103798302</v>
      </c>
      <c r="R2784">
        <v>0.62273637210019905</v>
      </c>
      <c r="S2784" t="s">
        <v>9352</v>
      </c>
      <c r="T2784" t="s">
        <v>13134</v>
      </c>
      <c r="U2784" t="s">
        <v>13134</v>
      </c>
      <c r="V2784" t="s">
        <v>13134</v>
      </c>
      <c r="W2784" t="s">
        <v>15868</v>
      </c>
      <c r="X2784">
        <v>8</v>
      </c>
      <c r="Y2784" t="s">
        <v>22305</v>
      </c>
      <c r="Z2784" t="s">
        <v>28752</v>
      </c>
      <c r="AA2784">
        <v>0.77711270430523149</v>
      </c>
      <c r="AB2784" t="str">
        <f>HYPERLINK("Melting_Curves/meltCurve_P49903_3_SEPHS1.pdf", "Melting_Curves/meltCurve_P49903_3_SEPHS1.pdf")</f>
        <v>Melting_Curves/meltCurve_P49903_3_SEPHS1.pdf</v>
      </c>
    </row>
    <row r="2785" spans="1:28" x14ac:dyDescent="0.25">
      <c r="A2785" t="s">
        <v>2789</v>
      </c>
      <c r="B2785">
        <v>0.99472303558308395</v>
      </c>
      <c r="C2785">
        <v>0.90242922260746605</v>
      </c>
      <c r="D2785">
        <v>0.98834271282626196</v>
      </c>
      <c r="E2785">
        <v>0.93046695754102404</v>
      </c>
      <c r="F2785">
        <v>0.65469634776457797</v>
      </c>
      <c r="G2785">
        <v>0.285917474604785</v>
      </c>
      <c r="H2785">
        <v>9.1049654387030707E-2</v>
      </c>
      <c r="I2785">
        <v>6.0271233320847703E-2</v>
      </c>
      <c r="J2785">
        <v>7.1408802831946894E-2</v>
      </c>
      <c r="K2785">
        <v>5.54342113745653E-2</v>
      </c>
      <c r="L2785">
        <v>1296.76423992848</v>
      </c>
      <c r="M2785">
        <v>25.264851738435599</v>
      </c>
      <c r="N2785">
        <v>51.540633825497999</v>
      </c>
      <c r="O2785">
        <v>51.008489918796897</v>
      </c>
      <c r="P2785">
        <v>-0.117667599900455</v>
      </c>
      <c r="Q2785">
        <v>4.9751948217285499E-2</v>
      </c>
      <c r="R2785">
        <v>0.99377193580033196</v>
      </c>
      <c r="S2785" t="s">
        <v>9353</v>
      </c>
      <c r="T2785" t="s">
        <v>13134</v>
      </c>
      <c r="U2785" t="s">
        <v>13134</v>
      </c>
      <c r="V2785" t="s">
        <v>13134</v>
      </c>
      <c r="W2785" t="s">
        <v>15869</v>
      </c>
      <c r="X2785">
        <v>5</v>
      </c>
      <c r="Y2785" t="s">
        <v>22306</v>
      </c>
      <c r="Z2785" t="s">
        <v>28753</v>
      </c>
      <c r="AA2785">
        <v>0.51179116669999281</v>
      </c>
      <c r="AB2785" t="str">
        <f>HYPERLINK("Melting_Curves/meltCurve_P49914_MTHFS.pdf", "Melting_Curves/meltCurve_P49914_MTHFS.pdf")</f>
        <v>Melting_Curves/meltCurve_P49914_MTHFS.pdf</v>
      </c>
    </row>
    <row r="2786" spans="1:28" x14ac:dyDescent="0.25">
      <c r="A2786" t="s">
        <v>2790</v>
      </c>
      <c r="B2786">
        <v>0.99472303558308395</v>
      </c>
      <c r="C2786">
        <v>0.92854519709670202</v>
      </c>
      <c r="D2786">
        <v>0.99336826254673904</v>
      </c>
      <c r="E2786">
        <v>0.81863094093473299</v>
      </c>
      <c r="F2786">
        <v>0.435777381457079</v>
      </c>
      <c r="G2786">
        <v>0.118124235802978</v>
      </c>
      <c r="H2786">
        <v>5.2027361413377403E-2</v>
      </c>
      <c r="I2786">
        <v>3.3609420194905197E-2</v>
      </c>
      <c r="J2786">
        <v>3.5213425463008902E-2</v>
      </c>
      <c r="K2786">
        <v>3.4041049849616603E-2</v>
      </c>
      <c r="L2786">
        <v>1260.5238209020399</v>
      </c>
      <c r="M2786">
        <v>25.4916618582313</v>
      </c>
      <c r="N2786">
        <v>49.554165623125101</v>
      </c>
      <c r="O2786">
        <v>49.147157679909697</v>
      </c>
      <c r="P2786">
        <v>-0.12624067397179101</v>
      </c>
      <c r="Q2786">
        <v>2.6458747187638802E-2</v>
      </c>
      <c r="R2786">
        <v>0.99668008375535599</v>
      </c>
      <c r="S2786" t="s">
        <v>9354</v>
      </c>
      <c r="T2786" t="s">
        <v>13134</v>
      </c>
      <c r="U2786" t="s">
        <v>13134</v>
      </c>
      <c r="V2786" t="s">
        <v>13134</v>
      </c>
      <c r="W2786" t="s">
        <v>13936</v>
      </c>
      <c r="X2786">
        <v>45</v>
      </c>
      <c r="Y2786" t="s">
        <v>20428</v>
      </c>
      <c r="Z2786" t="s">
        <v>28754</v>
      </c>
      <c r="AA2786">
        <v>0.43857704323655938</v>
      </c>
      <c r="AB2786" t="str">
        <f>HYPERLINK("Melting_Curves/meltCurve_P49915_GMPS.pdf", "Melting_Curves/meltCurve_P49915_GMPS.pdf")</f>
        <v>Melting_Curves/meltCurve_P49915_GMPS.pdf</v>
      </c>
    </row>
    <row r="2787" spans="1:28" x14ac:dyDescent="0.25">
      <c r="A2787" t="s">
        <v>2791</v>
      </c>
      <c r="B2787">
        <v>0.99472303558308395</v>
      </c>
      <c r="C2787">
        <v>0.94850310654126302</v>
      </c>
      <c r="D2787">
        <v>0.85754418310109803</v>
      </c>
      <c r="E2787">
        <v>0.35350957041381098</v>
      </c>
      <c r="F2787">
        <v>0.14651935970726301</v>
      </c>
      <c r="G2787">
        <v>8.8075663335717494E-2</v>
      </c>
      <c r="H2787">
        <v>5.7386431510419E-2</v>
      </c>
      <c r="I2787">
        <v>4.3357476731708498E-2</v>
      </c>
      <c r="J2787">
        <v>5.3563364204580598E-2</v>
      </c>
      <c r="K2787">
        <v>4.4964495565105699E-2</v>
      </c>
      <c r="L2787">
        <v>1251.06398097486</v>
      </c>
      <c r="M2787">
        <v>27.5339247249353</v>
      </c>
      <c r="N2787">
        <v>45.6369635660038</v>
      </c>
      <c r="O2787">
        <v>45.199533494509403</v>
      </c>
      <c r="P2787">
        <v>-0.143645835610475</v>
      </c>
      <c r="Q2787">
        <v>5.6775918231988499E-2</v>
      </c>
      <c r="R2787">
        <v>0.99790587932888197</v>
      </c>
      <c r="S2787" t="s">
        <v>9355</v>
      </c>
      <c r="T2787" t="s">
        <v>13134</v>
      </c>
      <c r="U2787" t="s">
        <v>13134</v>
      </c>
      <c r="V2787" t="s">
        <v>13134</v>
      </c>
      <c r="W2787" t="s">
        <v>15870</v>
      </c>
      <c r="X2787">
        <v>31</v>
      </c>
      <c r="Y2787" t="s">
        <v>20942</v>
      </c>
      <c r="Z2787" t="s">
        <v>28755</v>
      </c>
      <c r="AA2787">
        <v>0.32840804359731302</v>
      </c>
      <c r="AB2787" t="str">
        <f>HYPERLINK("Melting_Curves/meltCurve_P49916_LIG3.pdf", "Melting_Curves/meltCurve_P49916_LIG3.pdf")</f>
        <v>Melting_Curves/meltCurve_P49916_LIG3.pdf</v>
      </c>
    </row>
    <row r="2788" spans="1:28" x14ac:dyDescent="0.25">
      <c r="A2788" t="s">
        <v>2792</v>
      </c>
      <c r="B2788">
        <v>0.99472303558308395</v>
      </c>
      <c r="C2788">
        <v>0.91524876276792799</v>
      </c>
      <c r="D2788">
        <v>0.89886591279613004</v>
      </c>
      <c r="E2788">
        <v>0.67409570887549597</v>
      </c>
      <c r="F2788">
        <v>0.29353258051367598</v>
      </c>
      <c r="G2788">
        <v>0.12631892733096101</v>
      </c>
      <c r="H2788">
        <v>8.1388009389119401E-2</v>
      </c>
      <c r="I2788">
        <v>8.5313676852884796E-2</v>
      </c>
      <c r="J2788">
        <v>0.14032731105972299</v>
      </c>
      <c r="K2788">
        <v>8.5649972611527195E-2</v>
      </c>
      <c r="L2788">
        <v>1081.9120288955601</v>
      </c>
      <c r="M2788">
        <v>22.7413466225942</v>
      </c>
      <c r="N2788">
        <v>47.975653016886</v>
      </c>
      <c r="O2788">
        <v>47.2113802307504</v>
      </c>
      <c r="P2788">
        <v>-0.110002455949162</v>
      </c>
      <c r="Q2788">
        <v>8.6550820843657006E-2</v>
      </c>
      <c r="R2788">
        <v>0.99249070263981598</v>
      </c>
      <c r="S2788" t="s">
        <v>9356</v>
      </c>
      <c r="T2788" t="s">
        <v>13134</v>
      </c>
      <c r="U2788" t="s">
        <v>13134</v>
      </c>
      <c r="V2788" t="s">
        <v>13134</v>
      </c>
      <c r="W2788" t="s">
        <v>15871</v>
      </c>
      <c r="X2788">
        <v>2</v>
      </c>
      <c r="Y2788" t="s">
        <v>22307</v>
      </c>
      <c r="Z2788" t="s">
        <v>28756</v>
      </c>
      <c r="AA2788">
        <v>0.41786394725100179</v>
      </c>
      <c r="AB2788" t="str">
        <f>HYPERLINK("Melting_Curves/meltCurve_P49917_LIG4.pdf", "Melting_Curves/meltCurve_P49917_LIG4.pdf")</f>
        <v>Melting_Curves/meltCurve_P49917_LIG4.pdf</v>
      </c>
    </row>
    <row r="2789" spans="1:28" x14ac:dyDescent="0.25">
      <c r="A2789" t="s">
        <v>2793</v>
      </c>
      <c r="B2789">
        <v>0.99472303558308395</v>
      </c>
      <c r="C2789">
        <v>0.88185324713250601</v>
      </c>
      <c r="D2789">
        <v>0.82882451426361803</v>
      </c>
      <c r="E2789">
        <v>0.62323331154414896</v>
      </c>
      <c r="F2789">
        <v>0.40024794514203399</v>
      </c>
      <c r="G2789">
        <v>0.30148886632034499</v>
      </c>
      <c r="H2789">
        <v>0.20923506846918899</v>
      </c>
      <c r="I2789">
        <v>0.14725761235681201</v>
      </c>
      <c r="J2789">
        <v>0.106322190802565</v>
      </c>
      <c r="K2789">
        <v>6.6209113126334193E-2</v>
      </c>
      <c r="L2789">
        <v>517.65248806429895</v>
      </c>
      <c r="M2789">
        <v>10.677472370354399</v>
      </c>
      <c r="N2789">
        <v>48.855649862318998</v>
      </c>
      <c r="O2789">
        <v>46.873065958026402</v>
      </c>
      <c r="P2789">
        <v>-5.4729871924301197E-2</v>
      </c>
      <c r="Q2789">
        <v>3.9328177286804003E-2</v>
      </c>
      <c r="R2789">
        <v>0.99594699653666496</v>
      </c>
      <c r="S2789" t="s">
        <v>9357</v>
      </c>
      <c r="T2789" t="s">
        <v>13134</v>
      </c>
      <c r="U2789" t="s">
        <v>13134</v>
      </c>
      <c r="V2789" t="s">
        <v>13134</v>
      </c>
      <c r="W2789" t="s">
        <v>15872</v>
      </c>
      <c r="X2789">
        <v>24</v>
      </c>
      <c r="Y2789" t="s">
        <v>22308</v>
      </c>
      <c r="Z2789" t="s">
        <v>28757</v>
      </c>
      <c r="AA2789">
        <v>0.44127367860513222</v>
      </c>
      <c r="AB2789" t="str">
        <f>HYPERLINK("Melting_Curves/meltCurve_P49959_MRE11A.pdf", "Melting_Curves/meltCurve_P49959_MRE11A.pdf")</f>
        <v>Melting_Curves/meltCurve_P49959_MRE11A.pdf</v>
      </c>
    </row>
    <row r="2790" spans="1:28" x14ac:dyDescent="0.25">
      <c r="A2790" t="s">
        <v>2794</v>
      </c>
      <c r="B2790">
        <v>0.99472303558308395</v>
      </c>
      <c r="C2790">
        <v>1.09727610907678</v>
      </c>
      <c r="D2790">
        <v>0.84622682622802603</v>
      </c>
      <c r="E2790">
        <v>0.87606911479225702</v>
      </c>
      <c r="F2790">
        <v>0.83547631701195801</v>
      </c>
      <c r="G2790">
        <v>0.62106676730594601</v>
      </c>
      <c r="H2790">
        <v>0.65008898754014</v>
      </c>
      <c r="I2790">
        <v>0.66613293574551402</v>
      </c>
      <c r="J2790">
        <v>0.98036106780201604</v>
      </c>
      <c r="K2790">
        <v>0.66086317777777703</v>
      </c>
      <c r="L2790">
        <v>878.12075486388801</v>
      </c>
      <c r="M2790">
        <v>19.1636209912906</v>
      </c>
      <c r="O2790">
        <v>45.332061497361202</v>
      </c>
      <c r="P2790">
        <v>-2.9085109826806899E-2</v>
      </c>
      <c r="Q2790">
        <v>0.72480417768584704</v>
      </c>
      <c r="R2790">
        <v>0.52768855525511904</v>
      </c>
      <c r="S2790" t="s">
        <v>9358</v>
      </c>
      <c r="T2790" t="s">
        <v>13134</v>
      </c>
      <c r="U2790" t="s">
        <v>13134</v>
      </c>
      <c r="V2790" t="s">
        <v>13134</v>
      </c>
      <c r="W2790" t="s">
        <v>15873</v>
      </c>
      <c r="X2790">
        <v>3</v>
      </c>
      <c r="Y2790" t="s">
        <v>22309</v>
      </c>
      <c r="Z2790" t="s">
        <v>28758</v>
      </c>
      <c r="AA2790">
        <v>0.80965850778976223</v>
      </c>
      <c r="AB2790" t="str">
        <f>HYPERLINK("Melting_Curves/meltCurve_P50053_KHK.pdf", "Melting_Curves/meltCurve_P50053_KHK.pdf")</f>
        <v>Melting_Curves/meltCurve_P50053_KHK.pdf</v>
      </c>
    </row>
    <row r="2791" spans="1:28" x14ac:dyDescent="0.25">
      <c r="A2791" t="s">
        <v>2795</v>
      </c>
      <c r="B2791">
        <v>0.99472303558308395</v>
      </c>
      <c r="C2791">
        <v>0.99549117698419198</v>
      </c>
      <c r="D2791">
        <v>0.957531704533511</v>
      </c>
      <c r="E2791">
        <v>0.92655224606487296</v>
      </c>
      <c r="F2791">
        <v>0.69514836541949199</v>
      </c>
      <c r="G2791">
        <v>0.20703920829029601</v>
      </c>
      <c r="H2791">
        <v>0.16193905541923601</v>
      </c>
      <c r="I2791">
        <v>5.7975923549320303E-2</v>
      </c>
      <c r="J2791">
        <v>8.4365832395510806E-2</v>
      </c>
      <c r="K2791">
        <v>9.9085602906258993E-2</v>
      </c>
      <c r="L2791">
        <v>1690.45149700671</v>
      </c>
      <c r="M2791">
        <v>33.074891716159797</v>
      </c>
      <c r="N2791">
        <v>51.412911642070299</v>
      </c>
      <c r="O2791">
        <v>50.924064066442099</v>
      </c>
      <c r="P2791">
        <v>-0.14799113911197201</v>
      </c>
      <c r="Q2791">
        <v>8.8580357563060402E-2</v>
      </c>
      <c r="R2791">
        <v>0.99510336150547596</v>
      </c>
      <c r="S2791" t="s">
        <v>9359</v>
      </c>
      <c r="T2791" t="s">
        <v>13134</v>
      </c>
      <c r="U2791" t="s">
        <v>13134</v>
      </c>
      <c r="V2791" t="s">
        <v>13134</v>
      </c>
      <c r="W2791" t="s">
        <v>15874</v>
      </c>
      <c r="X2791">
        <v>1</v>
      </c>
      <c r="Y2791" t="s">
        <v>22310</v>
      </c>
      <c r="Z2791" t="s">
        <v>28759</v>
      </c>
      <c r="AA2791">
        <v>0.52194167610519393</v>
      </c>
      <c r="AB2791" t="str">
        <f>HYPERLINK("Melting_Curves/meltCurve_P50135_HNMT.pdf", "Melting_Curves/meltCurve_P50135_HNMT.pdf")</f>
        <v>Melting_Curves/meltCurve_P50135_HNMT.pdf</v>
      </c>
    </row>
    <row r="2792" spans="1:28" x14ac:dyDescent="0.25">
      <c r="A2792" t="s">
        <v>2796</v>
      </c>
      <c r="B2792">
        <v>0.99472303558308395</v>
      </c>
      <c r="C2792">
        <v>0.96497342096070005</v>
      </c>
      <c r="D2792">
        <v>0.90400312069411803</v>
      </c>
      <c r="E2792">
        <v>0.90169204002850101</v>
      </c>
      <c r="F2792">
        <v>0.74550521908788003</v>
      </c>
      <c r="G2792">
        <v>0.52379240264582105</v>
      </c>
      <c r="H2792">
        <v>0.218707143199594</v>
      </c>
      <c r="I2792">
        <v>9.6331323825169304E-2</v>
      </c>
      <c r="J2792">
        <v>9.4109799347404294E-2</v>
      </c>
      <c r="K2792">
        <v>7.7713276566760997E-2</v>
      </c>
      <c r="L2792">
        <v>870.57776392302105</v>
      </c>
      <c r="M2792">
        <v>16.304199159211802</v>
      </c>
      <c r="N2792">
        <v>53.517217138980897</v>
      </c>
      <c r="O2792">
        <v>52.612050593495503</v>
      </c>
      <c r="P2792">
        <v>-7.6073944272483901E-2</v>
      </c>
      <c r="Q2792">
        <v>1.8139115967900299E-2</v>
      </c>
      <c r="R2792">
        <v>0.99091933571061297</v>
      </c>
      <c r="S2792" t="s">
        <v>9360</v>
      </c>
      <c r="T2792" t="s">
        <v>13134</v>
      </c>
      <c r="U2792" t="s">
        <v>13134</v>
      </c>
      <c r="V2792" t="s">
        <v>13134</v>
      </c>
      <c r="W2792" t="s">
        <v>15875</v>
      </c>
      <c r="X2792">
        <v>10</v>
      </c>
      <c r="Y2792" t="s">
        <v>22311</v>
      </c>
      <c r="Z2792" t="s">
        <v>28760</v>
      </c>
      <c r="AA2792">
        <v>0.57039112427608929</v>
      </c>
      <c r="AB2792" t="str">
        <f>HYPERLINK("Melting_Curves/meltCurve_P50148_GNAQ.pdf", "Melting_Curves/meltCurve_P50148_GNAQ.pdf")</f>
        <v>Melting_Curves/meltCurve_P50148_GNAQ.pdf</v>
      </c>
    </row>
    <row r="2793" spans="1:28" x14ac:dyDescent="0.25">
      <c r="A2793" t="s">
        <v>2797</v>
      </c>
      <c r="B2793">
        <v>0.99472303558308395</v>
      </c>
      <c r="C2793">
        <v>0.97148369893511999</v>
      </c>
      <c r="D2793">
        <v>0.93044586382330996</v>
      </c>
      <c r="E2793">
        <v>0.86138912695310399</v>
      </c>
      <c r="F2793">
        <v>0.723654888130151</v>
      </c>
      <c r="G2793">
        <v>0.44477717226867403</v>
      </c>
      <c r="H2793">
        <v>0.17337675717289699</v>
      </c>
      <c r="I2793">
        <v>7.54165760412807E-2</v>
      </c>
      <c r="J2793">
        <v>6.11030959690569E-2</v>
      </c>
      <c r="K2793">
        <v>6.04791665354436E-2</v>
      </c>
      <c r="L2793">
        <v>868.37961733196698</v>
      </c>
      <c r="M2793">
        <v>16.469807628254799</v>
      </c>
      <c r="N2793">
        <v>52.747422182997703</v>
      </c>
      <c r="O2793">
        <v>51.966623874574303</v>
      </c>
      <c r="P2793">
        <v>-7.8968581065541193E-2</v>
      </c>
      <c r="Q2793">
        <v>3.40224284697529E-3</v>
      </c>
      <c r="R2793">
        <v>0.99462382165511298</v>
      </c>
      <c r="S2793" t="s">
        <v>9361</v>
      </c>
      <c r="T2793" t="s">
        <v>13134</v>
      </c>
      <c r="U2793" t="s">
        <v>13134</v>
      </c>
      <c r="V2793" t="s">
        <v>13134</v>
      </c>
      <c r="W2793" t="s">
        <v>15876</v>
      </c>
      <c r="X2793">
        <v>16</v>
      </c>
      <c r="Y2793" t="s">
        <v>22312</v>
      </c>
      <c r="Z2793" t="s">
        <v>28761</v>
      </c>
      <c r="AA2793">
        <v>0.54220193578340969</v>
      </c>
      <c r="AB2793" t="str">
        <f>HYPERLINK("Melting_Curves/meltCurve_P50213_IDH3A.pdf", "Melting_Curves/meltCurve_P50213_IDH3A.pdf")</f>
        <v>Melting_Curves/meltCurve_P50213_IDH3A.pdf</v>
      </c>
    </row>
    <row r="2794" spans="1:28" x14ac:dyDescent="0.25">
      <c r="A2794" t="s">
        <v>2798</v>
      </c>
      <c r="B2794">
        <v>0.99472303558308395</v>
      </c>
      <c r="C2794">
        <v>0.97406508042461004</v>
      </c>
      <c r="D2794">
        <v>0.954910325719874</v>
      </c>
      <c r="E2794">
        <v>0.72870746530547004</v>
      </c>
      <c r="F2794">
        <v>0.19244721976952001</v>
      </c>
      <c r="G2794">
        <v>7.7260503707153205E-2</v>
      </c>
      <c r="H2794">
        <v>3.7527151285796999E-2</v>
      </c>
      <c r="I2794">
        <v>2.72435277696432E-2</v>
      </c>
      <c r="J2794">
        <v>3.24463714422E-2</v>
      </c>
      <c r="K2794">
        <v>2.45201356109047E-2</v>
      </c>
      <c r="L2794">
        <v>1584.9239560189001</v>
      </c>
      <c r="M2794">
        <v>33.109477097440099</v>
      </c>
      <c r="N2794">
        <v>47.966010509148198</v>
      </c>
      <c r="O2794">
        <v>47.695585119090801</v>
      </c>
      <c r="P2794">
        <v>-0.16793789094393999</v>
      </c>
      <c r="Q2794">
        <v>3.23181505815721E-2</v>
      </c>
      <c r="R2794">
        <v>0.99896314287830401</v>
      </c>
      <c r="S2794" t="s">
        <v>9362</v>
      </c>
      <c r="T2794" t="s">
        <v>13134</v>
      </c>
      <c r="U2794" t="s">
        <v>13134</v>
      </c>
      <c r="V2794" t="s">
        <v>13134</v>
      </c>
      <c r="W2794" t="s">
        <v>15877</v>
      </c>
      <c r="X2794">
        <v>6</v>
      </c>
      <c r="Y2794" t="s">
        <v>22313</v>
      </c>
      <c r="Z2794" t="s">
        <v>28762</v>
      </c>
      <c r="AA2794">
        <v>0.38760325436497761</v>
      </c>
      <c r="AB2794" t="str">
        <f>HYPERLINK("Melting_Curves/meltCurve_P50224_SULT1A3.pdf", "Melting_Curves/meltCurve_P50224_SULT1A3.pdf")</f>
        <v>Melting_Curves/meltCurve_P50224_SULT1A3.pdf</v>
      </c>
    </row>
    <row r="2795" spans="1:28" x14ac:dyDescent="0.25">
      <c r="A2795" t="s">
        <v>2799</v>
      </c>
      <c r="B2795">
        <v>0.99472303558308395</v>
      </c>
      <c r="C2795">
        <v>1.09923024769161</v>
      </c>
      <c r="D2795">
        <v>1.0668228019688699</v>
      </c>
      <c r="E2795">
        <v>0.82788509555023804</v>
      </c>
      <c r="F2795">
        <v>0.32851349652433298</v>
      </c>
      <c r="G2795">
        <v>0.18692426084480701</v>
      </c>
      <c r="H2795">
        <v>0.12333182610707299</v>
      </c>
      <c r="I2795">
        <v>2.3447176447584199E-2</v>
      </c>
      <c r="J2795">
        <v>7.6718490812274401E-2</v>
      </c>
      <c r="K2795">
        <v>3.8367762060886698E-2</v>
      </c>
      <c r="L2795">
        <v>1500.26244907965</v>
      </c>
      <c r="M2795">
        <v>30.726232767063799</v>
      </c>
      <c r="N2795">
        <v>49.0799778044018</v>
      </c>
      <c r="O2795">
        <v>48.621341920767101</v>
      </c>
      <c r="P2795">
        <v>-0.14640775655624599</v>
      </c>
      <c r="Q2795">
        <v>7.3300108271925707E-2</v>
      </c>
      <c r="R2795">
        <v>0.98605994653115703</v>
      </c>
      <c r="S2795" t="s">
        <v>9363</v>
      </c>
      <c r="T2795" t="s">
        <v>13134</v>
      </c>
      <c r="U2795" t="s">
        <v>13134</v>
      </c>
      <c r="V2795" t="s">
        <v>13134</v>
      </c>
      <c r="W2795" t="s">
        <v>15878</v>
      </c>
      <c r="X2795">
        <v>7</v>
      </c>
      <c r="Y2795" t="s">
        <v>22314</v>
      </c>
      <c r="Z2795" t="s">
        <v>28763</v>
      </c>
      <c r="AA2795">
        <v>0.44394108969788371</v>
      </c>
      <c r="AB2795" t="str">
        <f>HYPERLINK("Melting_Curves/meltCurve_P50225_SULT1A1.pdf", "Melting_Curves/meltCurve_P50225_SULT1A1.pdf")</f>
        <v>Melting_Curves/meltCurve_P50225_SULT1A1.pdf</v>
      </c>
    </row>
    <row r="2796" spans="1:28" x14ac:dyDescent="0.25">
      <c r="A2796" t="s">
        <v>2800</v>
      </c>
      <c r="B2796">
        <v>0.99472303558308395</v>
      </c>
      <c r="C2796">
        <v>1.01854859589782</v>
      </c>
      <c r="D2796">
        <v>1.0057370514414301</v>
      </c>
      <c r="E2796">
        <v>0.78459399280027797</v>
      </c>
      <c r="F2796">
        <v>0.33544907786561201</v>
      </c>
      <c r="G2796">
        <v>0.161269757832259</v>
      </c>
      <c r="H2796">
        <v>0.100309582182821</v>
      </c>
      <c r="I2796">
        <v>7.0840598757958201E-2</v>
      </c>
      <c r="J2796">
        <v>6.8269361217147995E-2</v>
      </c>
      <c r="K2796">
        <v>6.1171161544104097E-2</v>
      </c>
      <c r="L2796">
        <v>1350.3460414064</v>
      </c>
      <c r="M2796">
        <v>27.777626808494301</v>
      </c>
      <c r="N2796">
        <v>48.899156886312497</v>
      </c>
      <c r="O2796">
        <v>48.362865097606303</v>
      </c>
      <c r="P2796">
        <v>-0.13280980008222501</v>
      </c>
      <c r="Q2796">
        <v>7.5082136692100301E-2</v>
      </c>
      <c r="R2796">
        <v>0.99843775615537</v>
      </c>
      <c r="S2796" t="s">
        <v>9364</v>
      </c>
      <c r="T2796" t="s">
        <v>13134</v>
      </c>
      <c r="U2796" t="s">
        <v>13134</v>
      </c>
      <c r="V2796" t="s">
        <v>13134</v>
      </c>
      <c r="W2796" t="s">
        <v>15879</v>
      </c>
      <c r="X2796">
        <v>13</v>
      </c>
      <c r="Y2796" t="s">
        <v>22315</v>
      </c>
      <c r="Z2796" t="s">
        <v>28764</v>
      </c>
      <c r="AA2796">
        <v>0.43956783398409399</v>
      </c>
      <c r="AB2796" t="str">
        <f>HYPERLINK("Melting_Curves/meltCurve_P50336_PPOX.pdf", "Melting_Curves/meltCurve_P50336_PPOX.pdf")</f>
        <v>Melting_Curves/meltCurve_P50336_PPOX.pdf</v>
      </c>
    </row>
    <row r="2797" spans="1:28" x14ac:dyDescent="0.25">
      <c r="A2797" t="s">
        <v>2801</v>
      </c>
      <c r="B2797">
        <v>0.99472303558308395</v>
      </c>
      <c r="C2797">
        <v>0.92117121358329301</v>
      </c>
      <c r="D2797">
        <v>0.79373770479742201</v>
      </c>
      <c r="E2797">
        <v>0.66185544179214695</v>
      </c>
      <c r="F2797">
        <v>0.39149207917094703</v>
      </c>
      <c r="G2797">
        <v>0.18874183077760801</v>
      </c>
      <c r="H2797">
        <v>0.110584671323169</v>
      </c>
      <c r="I2797">
        <v>0.10316965163939899</v>
      </c>
      <c r="J2797">
        <v>0.13554660965131701</v>
      </c>
      <c r="K2797">
        <v>0.13365592753386701</v>
      </c>
      <c r="L2797">
        <v>697.93114501602702</v>
      </c>
      <c r="M2797">
        <v>14.668195217387</v>
      </c>
      <c r="N2797">
        <v>48.191077997709797</v>
      </c>
      <c r="O2797">
        <v>46.723131541685397</v>
      </c>
      <c r="P2797">
        <v>-7.1844663923345195E-2</v>
      </c>
      <c r="Q2797">
        <v>8.4703337826565903E-2</v>
      </c>
      <c r="R2797">
        <v>0.99024651534599295</v>
      </c>
      <c r="S2797" t="s">
        <v>9365</v>
      </c>
      <c r="T2797" t="s">
        <v>13134</v>
      </c>
      <c r="U2797" t="s">
        <v>13134</v>
      </c>
      <c r="V2797" t="s">
        <v>13134</v>
      </c>
      <c r="W2797" t="s">
        <v>15880</v>
      </c>
      <c r="X2797">
        <v>13</v>
      </c>
      <c r="Y2797" t="s">
        <v>22316</v>
      </c>
      <c r="Z2797" t="s">
        <v>28765</v>
      </c>
      <c r="AA2797">
        <v>0.4286784985503862</v>
      </c>
      <c r="AB2797" t="str">
        <f>HYPERLINK("Melting_Curves/meltCurve_P50402_EMD.pdf", "Melting_Curves/meltCurve_P50402_EMD.pdf")</f>
        <v>Melting_Curves/meltCurve_P50402_EMD.pdf</v>
      </c>
    </row>
    <row r="2798" spans="1:28" x14ac:dyDescent="0.25">
      <c r="A2798" t="s">
        <v>2802</v>
      </c>
      <c r="B2798">
        <v>0.99472303558308395</v>
      </c>
      <c r="C2798">
        <v>0.90290787653906901</v>
      </c>
      <c r="D2798">
        <v>0.85698284633918198</v>
      </c>
      <c r="E2798">
        <v>0.63162398492005201</v>
      </c>
      <c r="F2798">
        <v>0.241781455891419</v>
      </c>
      <c r="G2798">
        <v>0.104382559376025</v>
      </c>
      <c r="H2798">
        <v>7.1723965603915696E-2</v>
      </c>
      <c r="I2798">
        <v>4.87573856078692E-2</v>
      </c>
      <c r="J2798">
        <v>5.4391210983546399E-2</v>
      </c>
      <c r="K2798">
        <v>4.5184705218583802E-2</v>
      </c>
      <c r="L2798">
        <v>919.801861288586</v>
      </c>
      <c r="M2798">
        <v>19.449863586629402</v>
      </c>
      <c r="N2798">
        <v>47.475332352001701</v>
      </c>
      <c r="O2798">
        <v>46.799512528621896</v>
      </c>
      <c r="P2798">
        <v>-0.10012301878421399</v>
      </c>
      <c r="Q2798">
        <v>3.63864083476114E-2</v>
      </c>
      <c r="R2798">
        <v>0.99385903440353995</v>
      </c>
      <c r="S2798" t="s">
        <v>9366</v>
      </c>
      <c r="T2798" t="s">
        <v>13134</v>
      </c>
      <c r="U2798" t="s">
        <v>13134</v>
      </c>
      <c r="V2798" t="s">
        <v>13134</v>
      </c>
      <c r="W2798" t="s">
        <v>15881</v>
      </c>
      <c r="X2798">
        <v>14</v>
      </c>
      <c r="Y2798" t="s">
        <v>22317</v>
      </c>
      <c r="Z2798" t="s">
        <v>28766</v>
      </c>
      <c r="AA2798">
        <v>0.38026211177737762</v>
      </c>
      <c r="AB2798" t="str">
        <f>HYPERLINK("Melting_Curves/meltCurve_P50416_CPT1A.pdf", "Melting_Curves/meltCurve_P50416_CPT1A.pdf")</f>
        <v>Melting_Curves/meltCurve_P50416_CPT1A.pdf</v>
      </c>
    </row>
    <row r="2799" spans="1:28" x14ac:dyDescent="0.25">
      <c r="A2799" t="s">
        <v>2803</v>
      </c>
      <c r="B2799">
        <v>0.99472303558308395</v>
      </c>
      <c r="C2799">
        <v>0.99102226361693901</v>
      </c>
      <c r="D2799">
        <v>1.0104735462434999</v>
      </c>
      <c r="E2799">
        <v>0.9866430040577</v>
      </c>
      <c r="F2799">
        <v>0.83810475449436395</v>
      </c>
      <c r="G2799">
        <v>0.69277175242746103</v>
      </c>
      <c r="H2799">
        <v>0.43418731417286899</v>
      </c>
      <c r="I2799">
        <v>0.13681886352414799</v>
      </c>
      <c r="J2799">
        <v>0.10159496303069999</v>
      </c>
      <c r="K2799">
        <v>0.106572104151394</v>
      </c>
      <c r="L2799">
        <v>1012.48989333446</v>
      </c>
      <c r="M2799">
        <v>18.123528577830999</v>
      </c>
      <c r="N2799">
        <v>56.018673562430202</v>
      </c>
      <c r="O2799">
        <v>55.199206080282103</v>
      </c>
      <c r="P2799">
        <v>-8.0108934296669196E-2</v>
      </c>
      <c r="Q2799">
        <v>2.4089120177160299E-2</v>
      </c>
      <c r="R2799">
        <v>0.99296534119060897</v>
      </c>
      <c r="S2799" t="s">
        <v>9367</v>
      </c>
      <c r="T2799" t="s">
        <v>13134</v>
      </c>
      <c r="U2799" t="s">
        <v>13134</v>
      </c>
      <c r="V2799" t="s">
        <v>13134</v>
      </c>
      <c r="W2799" t="s">
        <v>15882</v>
      </c>
      <c r="X2799">
        <v>27</v>
      </c>
      <c r="Y2799" t="s">
        <v>22318</v>
      </c>
      <c r="Z2799" t="s">
        <v>28767</v>
      </c>
      <c r="AA2799">
        <v>0.64875162179513646</v>
      </c>
      <c r="AB2799" t="str">
        <f>HYPERLINK("Melting_Curves/meltCurve_P50453_SERPINB9.pdf", "Melting_Curves/meltCurve_P50453_SERPINB9.pdf")</f>
        <v>Melting_Curves/meltCurve_P50453_SERPINB9.pdf</v>
      </c>
    </row>
    <row r="2800" spans="1:28" x14ac:dyDescent="0.25">
      <c r="A2800" t="s">
        <v>2804</v>
      </c>
      <c r="B2800">
        <v>0.99472303558308395</v>
      </c>
      <c r="C2800">
        <v>0.92900852252145305</v>
      </c>
      <c r="D2800">
        <v>1.0280516030081801</v>
      </c>
      <c r="E2800">
        <v>0.93773614676940598</v>
      </c>
      <c r="F2800">
        <v>0.71103668496831396</v>
      </c>
      <c r="G2800">
        <v>0.42054006322557103</v>
      </c>
      <c r="H2800">
        <v>7.8266470176233005E-2</v>
      </c>
      <c r="I2800">
        <v>5.3041949186242297E-2</v>
      </c>
      <c r="J2800">
        <v>5.3406177557350401E-2</v>
      </c>
      <c r="K2800">
        <v>5.1200916637202901E-2</v>
      </c>
      <c r="L2800">
        <v>1194.95248125071</v>
      </c>
      <c r="M2800">
        <v>22.809894131724199</v>
      </c>
      <c r="N2800">
        <v>52.4967765383265</v>
      </c>
      <c r="O2800">
        <v>51.989799681812798</v>
      </c>
      <c r="P2800">
        <v>-0.10714261186370801</v>
      </c>
      <c r="Q2800">
        <v>2.3193270244232001E-2</v>
      </c>
      <c r="R2800">
        <v>0.99182904214462897</v>
      </c>
      <c r="S2800" t="s">
        <v>9368</v>
      </c>
      <c r="T2800" t="s">
        <v>13134</v>
      </c>
      <c r="U2800" t="s">
        <v>13134</v>
      </c>
      <c r="V2800" t="s">
        <v>13134</v>
      </c>
      <c r="W2800" t="s">
        <v>15883</v>
      </c>
      <c r="X2800">
        <v>20</v>
      </c>
      <c r="Y2800" t="s">
        <v>22319</v>
      </c>
      <c r="Z2800" t="s">
        <v>28768</v>
      </c>
      <c r="AA2800">
        <v>0.53434876262227005</v>
      </c>
      <c r="AB2800" t="str">
        <f>HYPERLINK("Melting_Curves/meltCurve_P50454_SERPINH1.pdf", "Melting_Curves/meltCurve_P50454_SERPINH1.pdf")</f>
        <v>Melting_Curves/meltCurve_P50454_SERPINH1.pdf</v>
      </c>
    </row>
    <row r="2801" spans="1:28" x14ac:dyDescent="0.25">
      <c r="A2801" t="s">
        <v>2805</v>
      </c>
      <c r="B2801">
        <v>0.99472303558308395</v>
      </c>
      <c r="C2801">
        <v>1.0155483538878201</v>
      </c>
      <c r="D2801">
        <v>0.95550524499602596</v>
      </c>
      <c r="E2801">
        <v>0.85553288758270396</v>
      </c>
      <c r="F2801">
        <v>0.60109825285312302</v>
      </c>
      <c r="G2801">
        <v>0.40515628996432601</v>
      </c>
      <c r="H2801">
        <v>0.25784230431425198</v>
      </c>
      <c r="I2801">
        <v>0.18151486383736601</v>
      </c>
      <c r="J2801">
        <v>0.195844468677837</v>
      </c>
      <c r="K2801">
        <v>0.161322170389784</v>
      </c>
      <c r="L2801">
        <v>855.742938020574</v>
      </c>
      <c r="M2801">
        <v>16.8555417826087</v>
      </c>
      <c r="N2801">
        <v>51.8924554509925</v>
      </c>
      <c r="O2801">
        <v>50.070774635012398</v>
      </c>
      <c r="P2801">
        <v>-7.1299802244155303E-2</v>
      </c>
      <c r="Q2801">
        <v>0.152846304248275</v>
      </c>
      <c r="R2801">
        <v>0.99838387971519504</v>
      </c>
      <c r="S2801" t="s">
        <v>9369</v>
      </c>
      <c r="T2801" t="s">
        <v>13134</v>
      </c>
      <c r="U2801" t="s">
        <v>13134</v>
      </c>
      <c r="V2801" t="s">
        <v>13134</v>
      </c>
      <c r="W2801" t="s">
        <v>15884</v>
      </c>
      <c r="X2801">
        <v>14</v>
      </c>
      <c r="Y2801" t="s">
        <v>22320</v>
      </c>
      <c r="Z2801" t="s">
        <v>28769</v>
      </c>
      <c r="AA2801">
        <v>0.55626230356004491</v>
      </c>
      <c r="AB2801" t="str">
        <f>HYPERLINK("Melting_Curves/meltCurve_P50479_PDLIM4.pdf", "Melting_Curves/meltCurve_P50479_PDLIM4.pdf")</f>
        <v>Melting_Curves/meltCurve_P50479_PDLIM4.pdf</v>
      </c>
    </row>
    <row r="2802" spans="1:28" x14ac:dyDescent="0.25">
      <c r="A2802" t="s">
        <v>2806</v>
      </c>
      <c r="B2802">
        <v>0.99472303558308395</v>
      </c>
      <c r="C2802">
        <v>0.97288541085064395</v>
      </c>
      <c r="D2802">
        <v>1.00868704045488</v>
      </c>
      <c r="E2802">
        <v>0.86762978475261998</v>
      </c>
      <c r="F2802">
        <v>0.255825252535681</v>
      </c>
      <c r="G2802">
        <v>0.100369626729677</v>
      </c>
      <c r="H2802">
        <v>6.08131828438555E-2</v>
      </c>
      <c r="I2802">
        <v>4.7694746239445002E-2</v>
      </c>
      <c r="J2802">
        <v>5.62334288542954E-2</v>
      </c>
      <c r="K2802">
        <v>5.0507337111042598E-2</v>
      </c>
      <c r="L2802">
        <v>2008.1569570526101</v>
      </c>
      <c r="M2802">
        <v>41.302024705163298</v>
      </c>
      <c r="N2802">
        <v>48.768289113649097</v>
      </c>
      <c r="O2802">
        <v>48.507706647649897</v>
      </c>
      <c r="P2802">
        <v>-0.20040360212713601</v>
      </c>
      <c r="Q2802">
        <v>5.8535154623090002E-2</v>
      </c>
      <c r="R2802">
        <v>0.99905551657173997</v>
      </c>
      <c r="S2802" t="s">
        <v>9370</v>
      </c>
      <c r="T2802" t="s">
        <v>13134</v>
      </c>
      <c r="U2802" t="s">
        <v>13134</v>
      </c>
      <c r="V2802" t="s">
        <v>13134</v>
      </c>
      <c r="W2802" t="s">
        <v>15885</v>
      </c>
      <c r="X2802">
        <v>19</v>
      </c>
      <c r="Y2802" t="s">
        <v>22321</v>
      </c>
      <c r="Z2802" t="s">
        <v>28770</v>
      </c>
      <c r="AA2802">
        <v>0.42620189704984968</v>
      </c>
      <c r="AB2802" t="str">
        <f>HYPERLINK("Melting_Curves/meltCurve_P50502_ST13.pdf", "Melting_Curves/meltCurve_P50502_ST13.pdf")</f>
        <v>Melting_Curves/meltCurve_P50502_ST13.pdf</v>
      </c>
    </row>
    <row r="2803" spans="1:28" x14ac:dyDescent="0.25">
      <c r="A2803" t="s">
        <v>2807</v>
      </c>
      <c r="B2803">
        <v>0.99472303558308395</v>
      </c>
      <c r="C2803">
        <v>0.98173983177664503</v>
      </c>
      <c r="D2803">
        <v>0.94281635838329303</v>
      </c>
      <c r="E2803">
        <v>0.625221616244659</v>
      </c>
      <c r="F2803">
        <v>0.16068880113025499</v>
      </c>
      <c r="G2803">
        <v>9.6201306485088803E-2</v>
      </c>
      <c r="H2803">
        <v>5.5997592438480202E-2</v>
      </c>
      <c r="I2803">
        <v>4.2262364885276502E-2</v>
      </c>
      <c r="J2803">
        <v>4.7534696914883198E-2</v>
      </c>
      <c r="K2803">
        <v>4.55191176451714E-2</v>
      </c>
      <c r="L2803">
        <v>1473.91727732865</v>
      </c>
      <c r="M2803">
        <v>31.236407970804098</v>
      </c>
      <c r="N2803">
        <v>47.3463102529971</v>
      </c>
      <c r="O2803">
        <v>46.993746183106197</v>
      </c>
      <c r="P2803">
        <v>-0.157829301839782</v>
      </c>
      <c r="Q2803">
        <v>5.02174291043503E-2</v>
      </c>
      <c r="R2803">
        <v>0.99908022375768102</v>
      </c>
      <c r="S2803" t="s">
        <v>9371</v>
      </c>
      <c r="T2803" t="s">
        <v>13134</v>
      </c>
      <c r="U2803" t="s">
        <v>13134</v>
      </c>
      <c r="V2803" t="s">
        <v>13134</v>
      </c>
      <c r="W2803" t="s">
        <v>15886</v>
      </c>
      <c r="X2803">
        <v>21</v>
      </c>
      <c r="Y2803" t="s">
        <v>22322</v>
      </c>
      <c r="Z2803" t="s">
        <v>28771</v>
      </c>
      <c r="AA2803">
        <v>0.37780188680339849</v>
      </c>
      <c r="AB2803" t="str">
        <f>HYPERLINK("Melting_Curves/meltCurve_P50552_VASP.pdf", "Melting_Curves/meltCurve_P50552_VASP.pdf")</f>
        <v>Melting_Curves/meltCurve_P50552_VASP.pdf</v>
      </c>
    </row>
    <row r="2804" spans="1:28" x14ac:dyDescent="0.25">
      <c r="A2804" t="s">
        <v>2808</v>
      </c>
      <c r="B2804">
        <v>0.99472303558308395</v>
      </c>
      <c r="C2804">
        <v>0.90635801456112397</v>
      </c>
      <c r="D2804">
        <v>0.86041474771881099</v>
      </c>
      <c r="E2804">
        <v>0.71945682452168802</v>
      </c>
      <c r="F2804">
        <v>0.44882332652705598</v>
      </c>
      <c r="G2804">
        <v>8.9280192011828199E-2</v>
      </c>
      <c r="H2804">
        <v>5.4743737510864802E-2</v>
      </c>
      <c r="I2804">
        <v>3.3992783671860802E-2</v>
      </c>
      <c r="J2804">
        <v>4.2228074926869703E-2</v>
      </c>
      <c r="K2804">
        <v>3.9772795217048601E-2</v>
      </c>
      <c r="L2804">
        <v>849.57957544969599</v>
      </c>
      <c r="M2804">
        <v>17.3824879459759</v>
      </c>
      <c r="N2804">
        <v>48.894131622168899</v>
      </c>
      <c r="O2804">
        <v>48.242471874697202</v>
      </c>
      <c r="P2804">
        <v>-8.9788481303044301E-2</v>
      </c>
      <c r="Q2804">
        <v>3.2785420707969002E-3</v>
      </c>
      <c r="R2804">
        <v>0.98638561489076104</v>
      </c>
      <c r="S2804" t="s">
        <v>9372</v>
      </c>
      <c r="T2804" t="s">
        <v>13134</v>
      </c>
      <c r="U2804" t="s">
        <v>13134</v>
      </c>
      <c r="V2804" t="s">
        <v>13134</v>
      </c>
      <c r="W2804" t="s">
        <v>15887</v>
      </c>
      <c r="X2804">
        <v>32</v>
      </c>
      <c r="Y2804" t="s">
        <v>22323</v>
      </c>
      <c r="Z2804" t="s">
        <v>28772</v>
      </c>
      <c r="AA2804">
        <v>0.41468624269356807</v>
      </c>
      <c r="AB2804" t="str">
        <f>HYPERLINK("Melting_Curves/meltCurve_P50570_DNM2.pdf", "Melting_Curves/meltCurve_P50570_DNM2.pdf")</f>
        <v>Melting_Curves/meltCurve_P50570_DNM2.pdf</v>
      </c>
    </row>
    <row r="2805" spans="1:28" x14ac:dyDescent="0.25">
      <c r="A2805" t="s">
        <v>2809</v>
      </c>
      <c r="B2805">
        <v>0.99472303558308395</v>
      </c>
      <c r="C2805">
        <v>1.0029163981901199</v>
      </c>
      <c r="D2805">
        <v>1.02130596994115</v>
      </c>
      <c r="E2805">
        <v>0.94651112680212601</v>
      </c>
      <c r="F2805">
        <v>0.71880869364730204</v>
      </c>
      <c r="G2805">
        <v>0.59049135931601604</v>
      </c>
      <c r="H2805">
        <v>0.49574248484964301</v>
      </c>
      <c r="I2805">
        <v>0.46714948231667403</v>
      </c>
      <c r="J2805">
        <v>0.61149518226210797</v>
      </c>
      <c r="K2805">
        <v>0.32657541531205603</v>
      </c>
      <c r="L2805">
        <v>1127.7390094115101</v>
      </c>
      <c r="M2805">
        <v>22.364286047919698</v>
      </c>
      <c r="N2805">
        <v>57.170745608026898</v>
      </c>
      <c r="O2805">
        <v>50.027906625262503</v>
      </c>
      <c r="P2805">
        <v>-5.98745081446313E-2</v>
      </c>
      <c r="Q2805">
        <v>0.46426483421981601</v>
      </c>
      <c r="R2805">
        <v>0.92838610876871797</v>
      </c>
      <c r="S2805" t="s">
        <v>9373</v>
      </c>
      <c r="T2805" t="s">
        <v>13134</v>
      </c>
      <c r="U2805" t="s">
        <v>13134</v>
      </c>
      <c r="V2805" t="s">
        <v>13134</v>
      </c>
      <c r="W2805" t="s">
        <v>15888</v>
      </c>
      <c r="X2805">
        <v>28</v>
      </c>
      <c r="Y2805" t="s">
        <v>20395</v>
      </c>
      <c r="Z2805" t="s">
        <v>28773</v>
      </c>
      <c r="AA2805">
        <v>0.70980456329810815</v>
      </c>
      <c r="AB2805" t="str">
        <f>HYPERLINK("Melting_Curves/meltCurve_P50579_METAP2.pdf", "Melting_Curves/meltCurve_P50579_METAP2.pdf")</f>
        <v>Melting_Curves/meltCurve_P50579_METAP2.pdf</v>
      </c>
    </row>
    <row r="2806" spans="1:28" x14ac:dyDescent="0.25">
      <c r="A2806" t="s">
        <v>2810</v>
      </c>
      <c r="B2806">
        <v>0.99472303558308395</v>
      </c>
      <c r="C2806">
        <v>0.92594851468385098</v>
      </c>
      <c r="D2806">
        <v>1.0065395502623</v>
      </c>
      <c r="E2806">
        <v>0.90000742280978896</v>
      </c>
      <c r="F2806">
        <v>0.62797093773066803</v>
      </c>
      <c r="G2806">
        <v>0.42808444424902298</v>
      </c>
      <c r="H2806">
        <v>0.19003187660656001</v>
      </c>
      <c r="I2806">
        <v>8.7456559591152297E-2</v>
      </c>
      <c r="J2806">
        <v>0.100333227117457</v>
      </c>
      <c r="K2806">
        <v>7.9048915018027993E-2</v>
      </c>
      <c r="L2806">
        <v>894.44709315703506</v>
      </c>
      <c r="M2806">
        <v>17.2179822355228</v>
      </c>
      <c r="N2806">
        <v>52.265608215166303</v>
      </c>
      <c r="O2806">
        <v>51.262872638176503</v>
      </c>
      <c r="P2806">
        <v>-7.9808222840797596E-2</v>
      </c>
      <c r="Q2806">
        <v>4.9607961638771098E-2</v>
      </c>
      <c r="R2806">
        <v>0.99286396087757001</v>
      </c>
      <c r="S2806" t="s">
        <v>9374</v>
      </c>
      <c r="T2806" t="s">
        <v>13134</v>
      </c>
      <c r="U2806" t="s">
        <v>13134</v>
      </c>
      <c r="V2806" t="s">
        <v>13134</v>
      </c>
      <c r="W2806" t="s">
        <v>15889</v>
      </c>
      <c r="X2806">
        <v>4</v>
      </c>
      <c r="Y2806" t="s">
        <v>22324</v>
      </c>
      <c r="Z2806" t="s">
        <v>28774</v>
      </c>
      <c r="AA2806">
        <v>0.53848812768472698</v>
      </c>
      <c r="AB2806" t="str">
        <f>HYPERLINK("Melting_Curves/meltCurve_P50583_NUDT2.pdf", "Melting_Curves/meltCurve_P50583_NUDT2.pdf")</f>
        <v>Melting_Curves/meltCurve_P50583_NUDT2.pdf</v>
      </c>
    </row>
    <row r="2807" spans="1:28" x14ac:dyDescent="0.25">
      <c r="A2807" t="s">
        <v>2811</v>
      </c>
      <c r="B2807">
        <v>0.99472303558308395</v>
      </c>
      <c r="C2807">
        <v>0.93395149850788595</v>
      </c>
      <c r="D2807">
        <v>0.90408041922871296</v>
      </c>
      <c r="E2807">
        <v>0.74439913472285701</v>
      </c>
      <c r="F2807">
        <v>0.719836164224679</v>
      </c>
      <c r="G2807">
        <v>0.43764419026264101</v>
      </c>
      <c r="H2807">
        <v>0.15823172526336801</v>
      </c>
      <c r="I2807">
        <v>7.8721460332935006E-2</v>
      </c>
      <c r="J2807">
        <v>5.8559537782198301E-2</v>
      </c>
      <c r="K2807">
        <v>6.8487865266842599E-2</v>
      </c>
      <c r="L2807">
        <v>710.21702556614798</v>
      </c>
      <c r="M2807">
        <v>13.621495717567299</v>
      </c>
      <c r="N2807">
        <v>52.139419637967301</v>
      </c>
      <c r="O2807">
        <v>51.054189991864398</v>
      </c>
      <c r="P2807">
        <v>-6.6710989357136402E-2</v>
      </c>
      <c r="Q2807">
        <v>0</v>
      </c>
      <c r="R2807">
        <v>0.97875106572346204</v>
      </c>
      <c r="S2807" t="s">
        <v>9375</v>
      </c>
      <c r="T2807" t="s">
        <v>13134</v>
      </c>
      <c r="U2807" t="s">
        <v>13134</v>
      </c>
      <c r="V2807" t="s">
        <v>13134</v>
      </c>
      <c r="W2807" t="s">
        <v>15890</v>
      </c>
      <c r="X2807">
        <v>10</v>
      </c>
      <c r="Y2807" t="s">
        <v>22325</v>
      </c>
      <c r="Z2807" t="s">
        <v>28775</v>
      </c>
      <c r="AA2807">
        <v>0.52563940496902517</v>
      </c>
      <c r="AB2807" t="str">
        <f>HYPERLINK("Melting_Curves/meltCurve_P50613_CDK7.pdf", "Melting_Curves/meltCurve_P50613_CDK7.pdf")</f>
        <v>Melting_Curves/meltCurve_P50613_CDK7.pdf</v>
      </c>
    </row>
    <row r="2808" spans="1:28" x14ac:dyDescent="0.25">
      <c r="A2808" t="s">
        <v>2812</v>
      </c>
      <c r="B2808">
        <v>0.99472303558308395</v>
      </c>
      <c r="C2808">
        <v>0.95205054104027997</v>
      </c>
      <c r="D2808">
        <v>0.94419260520788895</v>
      </c>
      <c r="E2808">
        <v>0.80767365270341496</v>
      </c>
      <c r="F2808">
        <v>0.373357013232609</v>
      </c>
      <c r="G2808">
        <v>0.13263531469315301</v>
      </c>
      <c r="H2808">
        <v>7.3238131806052903E-2</v>
      </c>
      <c r="I2808">
        <v>5.9068963979432197E-2</v>
      </c>
      <c r="J2808">
        <v>5.06722217176147E-2</v>
      </c>
      <c r="K2808">
        <v>5.0257335555528297E-2</v>
      </c>
      <c r="L2808">
        <v>1255.5631698171001</v>
      </c>
      <c r="M2808">
        <v>25.651195069124199</v>
      </c>
      <c r="N2808">
        <v>49.148533650365302</v>
      </c>
      <c r="O2808">
        <v>48.652980988538602</v>
      </c>
      <c r="P2808">
        <v>-0.12524572950152499</v>
      </c>
      <c r="Q2808">
        <v>4.9790434717322099E-2</v>
      </c>
      <c r="R2808">
        <v>0.99810170098986195</v>
      </c>
      <c r="S2808" t="s">
        <v>9376</v>
      </c>
      <c r="T2808" t="s">
        <v>13134</v>
      </c>
      <c r="U2808" t="s">
        <v>13134</v>
      </c>
      <c r="V2808" t="s">
        <v>13134</v>
      </c>
      <c r="W2808" t="s">
        <v>15891</v>
      </c>
      <c r="X2808">
        <v>8</v>
      </c>
      <c r="Y2808" t="s">
        <v>22326</v>
      </c>
      <c r="Z2808" t="s">
        <v>28776</v>
      </c>
      <c r="AA2808">
        <v>0.43601684351902831</v>
      </c>
      <c r="AB2808" t="str">
        <f>HYPERLINK("Melting_Curves/meltCurve_P50747_HLCS.pdf", "Melting_Curves/meltCurve_P50747_HLCS.pdf")</f>
        <v>Melting_Curves/meltCurve_P50747_HLCS.pdf</v>
      </c>
    </row>
    <row r="2809" spans="1:28" x14ac:dyDescent="0.25">
      <c r="A2809" t="s">
        <v>2813</v>
      </c>
      <c r="B2809">
        <v>0.99472303558308395</v>
      </c>
      <c r="C2809">
        <v>0.85308663734810697</v>
      </c>
      <c r="D2809">
        <v>0.77348746637442001</v>
      </c>
      <c r="E2809">
        <v>0.51025557118904097</v>
      </c>
      <c r="F2809">
        <v>0.184537553676245</v>
      </c>
      <c r="G2809">
        <v>0.102337634522181</v>
      </c>
      <c r="H2809">
        <v>6.5032617338719206E-2</v>
      </c>
      <c r="I2809">
        <v>4.9669815916118902E-2</v>
      </c>
      <c r="J2809">
        <v>5.7493262368073297E-2</v>
      </c>
      <c r="K2809">
        <v>5.1896343210959303E-2</v>
      </c>
      <c r="L2809">
        <v>744.53326239026205</v>
      </c>
      <c r="M2809">
        <v>16.189339599894399</v>
      </c>
      <c r="N2809">
        <v>46.176386465075602</v>
      </c>
      <c r="O2809">
        <v>45.304579303035403</v>
      </c>
      <c r="P2809">
        <v>-8.6503895175861004E-2</v>
      </c>
      <c r="Q2809">
        <v>3.1775369669196599E-2</v>
      </c>
      <c r="R2809">
        <v>0.992208700446508</v>
      </c>
      <c r="S2809" t="s">
        <v>9377</v>
      </c>
      <c r="T2809" t="s">
        <v>13134</v>
      </c>
      <c r="U2809" t="s">
        <v>13134</v>
      </c>
      <c r="V2809" t="s">
        <v>13134</v>
      </c>
      <c r="W2809" t="s">
        <v>15892</v>
      </c>
      <c r="X2809">
        <v>19</v>
      </c>
      <c r="Y2809" t="s">
        <v>22327</v>
      </c>
      <c r="Z2809" t="s">
        <v>28777</v>
      </c>
      <c r="AA2809">
        <v>0.34118110269033142</v>
      </c>
      <c r="AB2809" t="str">
        <f>HYPERLINK("Melting_Curves/meltCurve_P50748_KNTC1.pdf", "Melting_Curves/meltCurve_P50748_KNTC1.pdf")</f>
        <v>Melting_Curves/meltCurve_P50748_KNTC1.pdf</v>
      </c>
    </row>
    <row r="2810" spans="1:28" x14ac:dyDescent="0.25">
      <c r="A2810" t="s">
        <v>2814</v>
      </c>
      <c r="B2810">
        <v>0.99472303558308395</v>
      </c>
      <c r="C2810">
        <v>0.88946095490217203</v>
      </c>
      <c r="D2810">
        <v>0.76843325639762605</v>
      </c>
      <c r="E2810">
        <v>0.64541876773476003</v>
      </c>
      <c r="F2810">
        <v>0.51597939472881804</v>
      </c>
      <c r="G2810">
        <v>0.25050513253805701</v>
      </c>
      <c r="H2810">
        <v>9.8358768821603507E-2</v>
      </c>
      <c r="I2810">
        <v>7.6493831314253996E-2</v>
      </c>
      <c r="J2810">
        <v>8.3149409198544702E-2</v>
      </c>
      <c r="K2810">
        <v>7.81945419696011E-2</v>
      </c>
      <c r="L2810">
        <v>533.93012938796198</v>
      </c>
      <c r="M2810">
        <v>10.909387635699</v>
      </c>
      <c r="N2810">
        <v>48.942260406159598</v>
      </c>
      <c r="O2810">
        <v>47.383944104203401</v>
      </c>
      <c r="P2810">
        <v>-5.7578529518471901E-2</v>
      </c>
      <c r="Q2810">
        <v>0</v>
      </c>
      <c r="R2810">
        <v>0.98496718385406801</v>
      </c>
      <c r="S2810" t="s">
        <v>9378</v>
      </c>
      <c r="T2810" t="s">
        <v>13134</v>
      </c>
      <c r="U2810" t="s">
        <v>13134</v>
      </c>
      <c r="V2810" t="s">
        <v>13134</v>
      </c>
      <c r="W2810" t="s">
        <v>15893</v>
      </c>
      <c r="X2810">
        <v>7</v>
      </c>
      <c r="Y2810" t="s">
        <v>22328</v>
      </c>
      <c r="Z2810" t="s">
        <v>28778</v>
      </c>
      <c r="AA2810">
        <v>0.43175246627224001</v>
      </c>
      <c r="AB2810" t="str">
        <f>HYPERLINK("Melting_Curves/meltCurve_P50750_CDK9.pdf", "Melting_Curves/meltCurve_P50750_CDK9.pdf")</f>
        <v>Melting_Curves/meltCurve_P50750_CDK9.pdf</v>
      </c>
    </row>
    <row r="2811" spans="1:28" x14ac:dyDescent="0.25">
      <c r="A2811" t="s">
        <v>2815</v>
      </c>
      <c r="B2811">
        <v>0.99472303558308395</v>
      </c>
      <c r="C2811">
        <v>0.84188239903114004</v>
      </c>
      <c r="D2811">
        <v>1.0713432608218101</v>
      </c>
      <c r="E2811">
        <v>0.868880556061154</v>
      </c>
      <c r="F2811">
        <v>0.52664051051258098</v>
      </c>
      <c r="G2811">
        <v>0.56348814519916801</v>
      </c>
      <c r="H2811">
        <v>0.39375007227347197</v>
      </c>
      <c r="I2811">
        <v>0.15056715955497901</v>
      </c>
      <c r="J2811">
        <v>0.14889013549772401</v>
      </c>
      <c r="K2811">
        <v>0.149017255539382</v>
      </c>
      <c r="L2811">
        <v>580.22917685205903</v>
      </c>
      <c r="M2811">
        <v>10.8953200723696</v>
      </c>
      <c r="N2811">
        <v>53.549264279918397</v>
      </c>
      <c r="O2811">
        <v>51.555094457875299</v>
      </c>
      <c r="P2811">
        <v>-5.1315717729657602E-2</v>
      </c>
      <c r="Q2811">
        <v>2.9065339062276301E-2</v>
      </c>
      <c r="R2811">
        <v>0.93559537513314395</v>
      </c>
      <c r="S2811" t="s">
        <v>9379</v>
      </c>
      <c r="T2811" t="s">
        <v>13134</v>
      </c>
      <c r="U2811" t="s">
        <v>13134</v>
      </c>
      <c r="V2811" t="s">
        <v>13134</v>
      </c>
      <c r="W2811" t="s">
        <v>15894</v>
      </c>
      <c r="X2811">
        <v>12</v>
      </c>
      <c r="Y2811" t="s">
        <v>22329</v>
      </c>
      <c r="Z2811" t="s">
        <v>28779</v>
      </c>
      <c r="AA2811">
        <v>0.57552890829549341</v>
      </c>
      <c r="AB2811" t="str">
        <f>HYPERLINK("Melting_Curves/meltCurve_P50897_PPT1.pdf", "Melting_Curves/meltCurve_P50897_PPT1.pdf")</f>
        <v>Melting_Curves/meltCurve_P50897_PPT1.pdf</v>
      </c>
    </row>
    <row r="2812" spans="1:28" x14ac:dyDescent="0.25">
      <c r="A2812" t="s">
        <v>2816</v>
      </c>
      <c r="B2812">
        <v>0.99472303558308395</v>
      </c>
      <c r="C2812">
        <v>0.95166763107994601</v>
      </c>
      <c r="D2812">
        <v>0.914165939810481</v>
      </c>
      <c r="E2812">
        <v>0.808956958775504</v>
      </c>
      <c r="F2812">
        <v>0.74514290346557499</v>
      </c>
      <c r="G2812">
        <v>0.277393269605688</v>
      </c>
      <c r="H2812">
        <v>0.24892230980885599</v>
      </c>
      <c r="I2812">
        <v>0.37391861312132402</v>
      </c>
      <c r="J2812">
        <v>0.27704544482858201</v>
      </c>
      <c r="K2812">
        <v>0.115886234734854</v>
      </c>
      <c r="L2812">
        <v>958.308204893739</v>
      </c>
      <c r="M2812">
        <v>18.992188917733699</v>
      </c>
      <c r="N2812">
        <v>51.9639273446654</v>
      </c>
      <c r="O2812">
        <v>49.908573606193599</v>
      </c>
      <c r="P2812">
        <v>-7.5003697186422205E-2</v>
      </c>
      <c r="Q2812">
        <v>0.211638103820179</v>
      </c>
      <c r="R2812">
        <v>0.93400524258884499</v>
      </c>
      <c r="S2812" t="s">
        <v>9380</v>
      </c>
      <c r="T2812" t="s">
        <v>13134</v>
      </c>
      <c r="U2812" t="s">
        <v>13134</v>
      </c>
      <c r="V2812" t="s">
        <v>13134</v>
      </c>
      <c r="W2812" t="s">
        <v>15895</v>
      </c>
      <c r="X2812">
        <v>51</v>
      </c>
      <c r="Y2812" t="s">
        <v>22330</v>
      </c>
      <c r="Z2812" t="s">
        <v>28780</v>
      </c>
      <c r="AA2812">
        <v>0.57660538852326981</v>
      </c>
      <c r="AB2812" t="str">
        <f>HYPERLINK("Melting_Curves/meltCurve_P50990_CCT8.pdf", "Melting_Curves/meltCurve_P50990_CCT8.pdf")</f>
        <v>Melting_Curves/meltCurve_P50990_CCT8.pdf</v>
      </c>
    </row>
    <row r="2813" spans="1:28" x14ac:dyDescent="0.25">
      <c r="A2813" t="s">
        <v>2817</v>
      </c>
      <c r="B2813">
        <v>0.99472303558308395</v>
      </c>
      <c r="C2813">
        <v>0.89568116046000901</v>
      </c>
      <c r="D2813">
        <v>0.76044303569384397</v>
      </c>
      <c r="E2813">
        <v>0.63830881229372805</v>
      </c>
      <c r="F2813">
        <v>0.86500795482930604</v>
      </c>
      <c r="G2813">
        <v>0.37232992687477501</v>
      </c>
      <c r="H2813">
        <v>0.25437299265637098</v>
      </c>
      <c r="I2813">
        <v>0.14767575846824199</v>
      </c>
      <c r="J2813">
        <v>9.3662914864704905E-2</v>
      </c>
      <c r="K2813">
        <v>7.27801571234898E-2</v>
      </c>
      <c r="L2813">
        <v>508.163223678789</v>
      </c>
      <c r="M2813">
        <v>9.7771855752353805</v>
      </c>
      <c r="N2813">
        <v>51.974386645314397</v>
      </c>
      <c r="O2813">
        <v>49.940021070809401</v>
      </c>
      <c r="P2813">
        <v>-4.8970585432794901E-2</v>
      </c>
      <c r="Q2813">
        <v>0</v>
      </c>
      <c r="R2813">
        <v>0.89917468372581399</v>
      </c>
      <c r="S2813" t="s">
        <v>9381</v>
      </c>
      <c r="T2813" t="s">
        <v>13134</v>
      </c>
      <c r="U2813" t="s">
        <v>13134</v>
      </c>
      <c r="V2813" t="s">
        <v>13134</v>
      </c>
      <c r="W2813" t="s">
        <v>15896</v>
      </c>
      <c r="X2813">
        <v>36</v>
      </c>
      <c r="Y2813" t="s">
        <v>22331</v>
      </c>
      <c r="Z2813" t="s">
        <v>28781</v>
      </c>
      <c r="AA2813">
        <v>0.52619651069091511</v>
      </c>
      <c r="AB2813" t="str">
        <f>HYPERLINK("Melting_Curves/meltCurve_P50991_CCT4.pdf", "Melting_Curves/meltCurve_P50991_CCT4.pdf")</f>
        <v>Melting_Curves/meltCurve_P50991_CCT4.pdf</v>
      </c>
    </row>
    <row r="2814" spans="1:28" x14ac:dyDescent="0.25">
      <c r="A2814" t="s">
        <v>2818</v>
      </c>
      <c r="B2814">
        <v>0.99472303558308395</v>
      </c>
      <c r="C2814">
        <v>1.0027795116090701</v>
      </c>
      <c r="D2814">
        <v>1.02344202814342</v>
      </c>
      <c r="E2814">
        <v>0.90990842431589003</v>
      </c>
      <c r="F2814">
        <v>0.68319360173406096</v>
      </c>
      <c r="G2814">
        <v>0.23967352865980501</v>
      </c>
      <c r="H2814">
        <v>7.5428370895327404E-2</v>
      </c>
      <c r="I2814">
        <v>4.4350335351924501E-2</v>
      </c>
      <c r="J2814">
        <v>4.4639479299821302E-2</v>
      </c>
      <c r="K2814">
        <v>4.5183287101866899E-2</v>
      </c>
      <c r="L2814">
        <v>1438.1522538973099</v>
      </c>
      <c r="M2814">
        <v>28.004408169193201</v>
      </c>
      <c r="N2814">
        <v>51.491294040457497</v>
      </c>
      <c r="O2814">
        <v>51.094771680238303</v>
      </c>
      <c r="P2814">
        <v>-0.13211144623672999</v>
      </c>
      <c r="Q2814">
        <v>3.5845195285986897E-2</v>
      </c>
      <c r="R2814">
        <v>0.99855011211611</v>
      </c>
      <c r="S2814" t="s">
        <v>9382</v>
      </c>
      <c r="T2814" t="s">
        <v>13134</v>
      </c>
      <c r="U2814" t="s">
        <v>13134</v>
      </c>
      <c r="V2814" t="s">
        <v>13134</v>
      </c>
      <c r="W2814" t="s">
        <v>15897</v>
      </c>
      <c r="X2814">
        <v>12</v>
      </c>
      <c r="Y2814" t="s">
        <v>22332</v>
      </c>
      <c r="Z2814" t="s">
        <v>28782</v>
      </c>
      <c r="AA2814">
        <v>0.50406767562176358</v>
      </c>
      <c r="AB2814" t="str">
        <f>HYPERLINK("Melting_Curves/meltCurve_P51003_PAPOLA.pdf", "Melting_Curves/meltCurve_P51003_PAPOLA.pdf")</f>
        <v>Melting_Curves/meltCurve_P51003_PAPOLA.pdf</v>
      </c>
    </row>
    <row r="2815" spans="1:28" x14ac:dyDescent="0.25">
      <c r="A2815" t="s">
        <v>2819</v>
      </c>
      <c r="B2815">
        <v>0.99472303558308395</v>
      </c>
      <c r="C2815">
        <v>1.0021699789734899</v>
      </c>
      <c r="D2815">
        <v>0.81874551608397395</v>
      </c>
      <c r="E2815">
        <v>0.51351880626909496</v>
      </c>
      <c r="F2815">
        <v>0.31043204146963399</v>
      </c>
      <c r="G2815">
        <v>0.18659343656549701</v>
      </c>
      <c r="H2815">
        <v>0.12497446859184801</v>
      </c>
      <c r="I2815">
        <v>8.28433738087586E-2</v>
      </c>
      <c r="J2815">
        <v>5.7063884101587199E-2</v>
      </c>
      <c r="K2815">
        <v>6.1264879844827598E-2</v>
      </c>
      <c r="L2815">
        <v>764.523421482701</v>
      </c>
      <c r="M2815">
        <v>16.350133676534401</v>
      </c>
      <c r="N2815">
        <v>47.166939714684197</v>
      </c>
      <c r="O2815">
        <v>46.076738554351998</v>
      </c>
      <c r="P2815">
        <v>-8.2874469202819795E-2</v>
      </c>
      <c r="Q2815">
        <v>6.5863992187551595E-2</v>
      </c>
      <c r="R2815">
        <v>0.99585115005277602</v>
      </c>
      <c r="S2815" t="s">
        <v>9383</v>
      </c>
      <c r="T2815" t="s">
        <v>13134</v>
      </c>
      <c r="U2815" t="s">
        <v>13134</v>
      </c>
      <c r="V2815" t="s">
        <v>13134</v>
      </c>
      <c r="W2815" t="s">
        <v>15898</v>
      </c>
      <c r="X2815">
        <v>11</v>
      </c>
      <c r="Y2815" t="s">
        <v>22333</v>
      </c>
      <c r="Z2815" t="s">
        <v>28783</v>
      </c>
      <c r="AA2815">
        <v>0.38778463733052398</v>
      </c>
      <c r="AB2815" t="str">
        <f>HYPERLINK("Melting_Curves/meltCurve_P51116_FXR2.pdf", "Melting_Curves/meltCurve_P51116_FXR2.pdf")</f>
        <v>Melting_Curves/meltCurve_P51116_FXR2.pdf</v>
      </c>
    </row>
    <row r="2816" spans="1:28" x14ac:dyDescent="0.25">
      <c r="A2816" t="s">
        <v>2820</v>
      </c>
      <c r="B2816">
        <v>0.99472303558308395</v>
      </c>
      <c r="C2816">
        <v>0.99826811892242795</v>
      </c>
      <c r="D2816">
        <v>0.98064188114585604</v>
      </c>
      <c r="E2816">
        <v>0.90398443676806195</v>
      </c>
      <c r="F2816">
        <v>0.73607533453792695</v>
      </c>
      <c r="G2816">
        <v>0.59399062893820898</v>
      </c>
      <c r="H2816">
        <v>0.503687443944005</v>
      </c>
      <c r="I2816">
        <v>0.59505581015752196</v>
      </c>
      <c r="J2816">
        <v>0.69020163831692205</v>
      </c>
      <c r="K2816">
        <v>0.55234744503095001</v>
      </c>
      <c r="L2816">
        <v>1391.56184373837</v>
      </c>
      <c r="M2816">
        <v>28.473759002775399</v>
      </c>
      <c r="O2816">
        <v>48.632586968795501</v>
      </c>
      <c r="P2816">
        <v>-6.1135584823891503E-2</v>
      </c>
      <c r="Q2816">
        <v>0.58233022186946803</v>
      </c>
      <c r="R2816">
        <v>0.94077575687384296</v>
      </c>
      <c r="S2816" t="s">
        <v>9384</v>
      </c>
      <c r="T2816" t="s">
        <v>13134</v>
      </c>
      <c r="U2816" t="s">
        <v>13134</v>
      </c>
      <c r="V2816" t="s">
        <v>13134</v>
      </c>
      <c r="W2816" t="s">
        <v>15899</v>
      </c>
      <c r="X2816">
        <v>12</v>
      </c>
      <c r="Y2816" t="s">
        <v>22334</v>
      </c>
      <c r="Z2816" t="s">
        <v>28784</v>
      </c>
      <c r="AA2816">
        <v>0.75040111569960144</v>
      </c>
      <c r="AB2816" t="str">
        <f>HYPERLINK("Melting_Curves/meltCurve_P51148_RAB5C.pdf", "Melting_Curves/meltCurve_P51148_RAB5C.pdf")</f>
        <v>Melting_Curves/meltCurve_P51148_RAB5C.pdf</v>
      </c>
    </row>
    <row r="2817" spans="1:28" x14ac:dyDescent="0.25">
      <c r="A2817" t="s">
        <v>2821</v>
      </c>
      <c r="B2817">
        <v>0.99472303558308395</v>
      </c>
      <c r="C2817">
        <v>0.93769552973722503</v>
      </c>
      <c r="D2817">
        <v>0.97817407891324404</v>
      </c>
      <c r="E2817">
        <v>0.91095808544360102</v>
      </c>
      <c r="F2817">
        <v>0.68001204716804897</v>
      </c>
      <c r="G2817">
        <v>0.58920644388366294</v>
      </c>
      <c r="H2817">
        <v>0.440590276589161</v>
      </c>
      <c r="I2817">
        <v>0.55960038805385803</v>
      </c>
      <c r="J2817">
        <v>0.54430588448233796</v>
      </c>
      <c r="K2817">
        <v>0.34538732745182998</v>
      </c>
      <c r="L2817">
        <v>966.59214029116595</v>
      </c>
      <c r="M2817">
        <v>19.426964416160398</v>
      </c>
      <c r="N2817">
        <v>57.211827850771797</v>
      </c>
      <c r="O2817">
        <v>49.236950835029504</v>
      </c>
      <c r="P2817">
        <v>-5.3242966985046998E-2</v>
      </c>
      <c r="Q2817">
        <v>0.46024982609606102</v>
      </c>
      <c r="R2817">
        <v>0.930180943510032</v>
      </c>
      <c r="S2817" t="s">
        <v>9385</v>
      </c>
      <c r="T2817" t="s">
        <v>13134</v>
      </c>
      <c r="U2817" t="s">
        <v>13134</v>
      </c>
      <c r="V2817" t="s">
        <v>13134</v>
      </c>
      <c r="W2817" t="s">
        <v>15900</v>
      </c>
      <c r="X2817">
        <v>20</v>
      </c>
      <c r="Y2817" t="s">
        <v>22335</v>
      </c>
      <c r="Z2817" t="s">
        <v>28785</v>
      </c>
      <c r="AA2817">
        <v>0.6972211208432828</v>
      </c>
      <c r="AB2817" t="str">
        <f>HYPERLINK("Melting_Curves/meltCurve_P51149_RAB7A.pdf", "Melting_Curves/meltCurve_P51149_RAB7A.pdf")</f>
        <v>Melting_Curves/meltCurve_P51149_RAB7A.pdf</v>
      </c>
    </row>
    <row r="2818" spans="1:28" x14ac:dyDescent="0.25">
      <c r="A2818" t="s">
        <v>2822</v>
      </c>
      <c r="B2818">
        <v>0.99472303558308395</v>
      </c>
      <c r="C2818">
        <v>0.91933563812036001</v>
      </c>
      <c r="D2818">
        <v>0.891293288240809</v>
      </c>
      <c r="E2818">
        <v>0.89390676010186898</v>
      </c>
      <c r="F2818">
        <v>0.777519836322772</v>
      </c>
      <c r="G2818">
        <v>0.57081307073960996</v>
      </c>
      <c r="H2818">
        <v>0.338768536697026</v>
      </c>
      <c r="I2818">
        <v>0.155741170408152</v>
      </c>
      <c r="J2818">
        <v>0.12508308405735499</v>
      </c>
      <c r="K2818">
        <v>0.121000399979155</v>
      </c>
      <c r="L2818">
        <v>701.58254528135103</v>
      </c>
      <c r="M2818">
        <v>12.8596185399751</v>
      </c>
      <c r="N2818">
        <v>54.561118158854399</v>
      </c>
      <c r="O2818">
        <v>53.288252126970598</v>
      </c>
      <c r="P2818">
        <v>-6.03125117867198E-2</v>
      </c>
      <c r="Q2818">
        <v>4.8198873655228101E-4</v>
      </c>
      <c r="R2818">
        <v>0.98610068589635602</v>
      </c>
      <c r="S2818" t="s">
        <v>9386</v>
      </c>
      <c r="T2818" t="s">
        <v>13134</v>
      </c>
      <c r="U2818" t="s">
        <v>13134</v>
      </c>
      <c r="V2818" t="s">
        <v>13134</v>
      </c>
      <c r="W2818" t="s">
        <v>15901</v>
      </c>
      <c r="X2818">
        <v>5</v>
      </c>
      <c r="Y2818" t="s">
        <v>22336</v>
      </c>
      <c r="Z2818" t="s">
        <v>28786</v>
      </c>
      <c r="AA2818">
        <v>0.60132952883612234</v>
      </c>
      <c r="AB2818" t="str">
        <f>HYPERLINK("Melting_Curves/meltCurve_P51151_RAB9A.pdf", "Melting_Curves/meltCurve_P51151_RAB9A.pdf")</f>
        <v>Melting_Curves/meltCurve_P51151_RAB9A.pdf</v>
      </c>
    </row>
    <row r="2819" spans="1:28" x14ac:dyDescent="0.25">
      <c r="A2819" t="s">
        <v>2823</v>
      </c>
      <c r="B2819">
        <v>0.99472303558308395</v>
      </c>
      <c r="C2819">
        <v>0.96313065342555104</v>
      </c>
      <c r="D2819">
        <v>0.93871709065564601</v>
      </c>
      <c r="E2819">
        <v>0.870872627782182</v>
      </c>
      <c r="F2819">
        <v>0.69611616127924703</v>
      </c>
      <c r="G2819">
        <v>0.49170564362172398</v>
      </c>
      <c r="H2819">
        <v>0.26169281091897501</v>
      </c>
      <c r="I2819">
        <v>0.15337049826660601</v>
      </c>
      <c r="J2819">
        <v>0.11673436718913199</v>
      </c>
      <c r="K2819">
        <v>7.5447902624688395E-2</v>
      </c>
      <c r="L2819">
        <v>703.80823550029197</v>
      </c>
      <c r="M2819">
        <v>13.217279053210699</v>
      </c>
      <c r="N2819">
        <v>53.323703978112903</v>
      </c>
      <c r="O2819">
        <v>52.074444449875401</v>
      </c>
      <c r="P2819">
        <v>-6.2882897831387605E-2</v>
      </c>
      <c r="Q2819">
        <v>9.1608647429166704E-3</v>
      </c>
      <c r="R2819">
        <v>0.99822783238041701</v>
      </c>
      <c r="S2819" t="s">
        <v>9387</v>
      </c>
      <c r="T2819" t="s">
        <v>13134</v>
      </c>
      <c r="U2819" t="s">
        <v>13134</v>
      </c>
      <c r="V2819" t="s">
        <v>13134</v>
      </c>
      <c r="W2819" t="s">
        <v>15902</v>
      </c>
      <c r="X2819">
        <v>10</v>
      </c>
      <c r="Y2819" t="s">
        <v>22337</v>
      </c>
      <c r="Z2819" t="s">
        <v>28787</v>
      </c>
      <c r="AA2819">
        <v>0.56494680481676796</v>
      </c>
      <c r="AB2819" t="str">
        <f>HYPERLINK("Melting_Curves/meltCurve_P51153_RAB13.pdf", "Melting_Curves/meltCurve_P51153_RAB13.pdf")</f>
        <v>Melting_Curves/meltCurve_P51153_RAB13.pdf</v>
      </c>
    </row>
    <row r="2820" spans="1:28" x14ac:dyDescent="0.25">
      <c r="A2820" t="s">
        <v>2824</v>
      </c>
      <c r="B2820">
        <v>0.99472303558308395</v>
      </c>
      <c r="C2820">
        <v>1.0508058432332501</v>
      </c>
      <c r="D2820">
        <v>0.94340091779678403</v>
      </c>
      <c r="E2820">
        <v>0.77311698930641304</v>
      </c>
      <c r="F2820">
        <v>0.55763566239506501</v>
      </c>
      <c r="G2820">
        <v>0.25199703634339599</v>
      </c>
      <c r="H2820">
        <v>0.20214079970797999</v>
      </c>
      <c r="I2820">
        <v>0.15874502320297901</v>
      </c>
      <c r="J2820">
        <v>0.123436242765482</v>
      </c>
      <c r="K2820">
        <v>8.1411293924338296E-2</v>
      </c>
      <c r="L2820">
        <v>874.15014886927804</v>
      </c>
      <c r="M2820">
        <v>17.528704923786599</v>
      </c>
      <c r="N2820">
        <v>50.507190223438101</v>
      </c>
      <c r="O2820">
        <v>49.234153608788098</v>
      </c>
      <c r="P2820">
        <v>-8.0177491338539797E-2</v>
      </c>
      <c r="Q2820">
        <v>9.9247843153554297E-2</v>
      </c>
      <c r="R2820">
        <v>0.99341080110353197</v>
      </c>
      <c r="S2820" t="s">
        <v>9388</v>
      </c>
      <c r="T2820" t="s">
        <v>13134</v>
      </c>
      <c r="U2820" t="s">
        <v>13134</v>
      </c>
      <c r="V2820" t="s">
        <v>13134</v>
      </c>
      <c r="W2820" t="s">
        <v>15903</v>
      </c>
      <c r="X2820">
        <v>3</v>
      </c>
      <c r="Y2820" t="s">
        <v>22338</v>
      </c>
      <c r="Z2820" t="s">
        <v>28788</v>
      </c>
      <c r="AA2820">
        <v>0.50050762989867459</v>
      </c>
      <c r="AB2820" t="str">
        <f>HYPERLINK("Melting_Curves/meltCurve_P51157_RAB28.pdf", "Melting_Curves/meltCurve_P51157_RAB28.pdf")</f>
        <v>Melting_Curves/meltCurve_P51157_RAB28.pdf</v>
      </c>
    </row>
    <row r="2821" spans="1:28" x14ac:dyDescent="0.25">
      <c r="A2821" t="s">
        <v>2825</v>
      </c>
      <c r="B2821">
        <v>0.99472303558308395</v>
      </c>
      <c r="C2821">
        <v>0.96511324556481703</v>
      </c>
      <c r="D2821">
        <v>0.95753912298725996</v>
      </c>
      <c r="E2821">
        <v>0.90930836495408696</v>
      </c>
      <c r="F2821">
        <v>0.66944182061323398</v>
      </c>
      <c r="G2821">
        <v>0.48125317605149498</v>
      </c>
      <c r="H2821">
        <v>0.28136291312130801</v>
      </c>
      <c r="I2821">
        <v>0.14727665348052099</v>
      </c>
      <c r="J2821">
        <v>9.9548200378910601E-2</v>
      </c>
      <c r="K2821">
        <v>9.7030110244734694E-2</v>
      </c>
      <c r="L2821">
        <v>758.14019145260102</v>
      </c>
      <c r="M2821">
        <v>14.315958542168101</v>
      </c>
      <c r="N2821">
        <v>53.234623175685698</v>
      </c>
      <c r="O2821">
        <v>51.956513093550797</v>
      </c>
      <c r="P2821">
        <v>-6.6420598525658694E-2</v>
      </c>
      <c r="Q2821">
        <v>3.5883077295773801E-2</v>
      </c>
      <c r="R2821">
        <v>0.99746980275235597</v>
      </c>
      <c r="S2821" t="s">
        <v>9389</v>
      </c>
      <c r="T2821" t="s">
        <v>13134</v>
      </c>
      <c r="U2821" t="s">
        <v>13134</v>
      </c>
      <c r="V2821" t="s">
        <v>13134</v>
      </c>
      <c r="W2821" t="s">
        <v>15904</v>
      </c>
      <c r="X2821">
        <v>10</v>
      </c>
      <c r="Y2821" t="s">
        <v>22339</v>
      </c>
      <c r="Z2821" t="s">
        <v>28789</v>
      </c>
      <c r="AA2821">
        <v>0.56674903161312651</v>
      </c>
      <c r="AB2821" t="str">
        <f>HYPERLINK("Melting_Curves/meltCurve_P51159_RAB27A.pdf", "Melting_Curves/meltCurve_P51159_RAB27A.pdf")</f>
        <v>Melting_Curves/meltCurve_P51159_RAB27A.pdf</v>
      </c>
    </row>
    <row r="2822" spans="1:28" x14ac:dyDescent="0.25">
      <c r="A2822" t="s">
        <v>2826</v>
      </c>
      <c r="B2822">
        <v>0.99472303558308395</v>
      </c>
      <c r="C2822">
        <v>0.88672342595245801</v>
      </c>
      <c r="D2822">
        <v>0.960430925929875</v>
      </c>
      <c r="E2822">
        <v>0.69328834772007897</v>
      </c>
      <c r="F2822">
        <v>0.21169345857934199</v>
      </c>
      <c r="G2822">
        <v>0.10418042550771101</v>
      </c>
      <c r="H2822">
        <v>6.4997443737338706E-2</v>
      </c>
      <c r="I2822">
        <v>3.8130192484635297E-2</v>
      </c>
      <c r="J2822">
        <v>5.0621336997864898E-2</v>
      </c>
      <c r="K2822">
        <v>4.2355858208346697E-2</v>
      </c>
      <c r="L2822">
        <v>1407.44538353909</v>
      </c>
      <c r="M2822">
        <v>29.5063272516674</v>
      </c>
      <c r="N2822">
        <v>47.869547459192802</v>
      </c>
      <c r="O2822">
        <v>47.482293091897802</v>
      </c>
      <c r="P2822">
        <v>-0.147638327767114</v>
      </c>
      <c r="Q2822">
        <v>4.9673984674481801E-2</v>
      </c>
      <c r="R2822">
        <v>0.99169825706623604</v>
      </c>
      <c r="S2822" t="s">
        <v>9390</v>
      </c>
      <c r="T2822" t="s">
        <v>13134</v>
      </c>
      <c r="U2822" t="s">
        <v>13134</v>
      </c>
      <c r="V2822" t="s">
        <v>13134</v>
      </c>
      <c r="W2822" t="s">
        <v>15905</v>
      </c>
      <c r="X2822">
        <v>18</v>
      </c>
      <c r="Y2822" t="s">
        <v>22340</v>
      </c>
      <c r="Z2822" t="s">
        <v>28790</v>
      </c>
      <c r="AA2822">
        <v>0.39440343707958597</v>
      </c>
      <c r="AB2822" t="str">
        <f>HYPERLINK("Melting_Curves/meltCurve_P51178_PLCD1.pdf", "Melting_Curves/meltCurve_P51178_PLCD1.pdf")</f>
        <v>Melting_Curves/meltCurve_P51178_PLCD1.pdf</v>
      </c>
    </row>
    <row r="2823" spans="1:28" x14ac:dyDescent="0.25">
      <c r="A2823" t="s">
        <v>2827</v>
      </c>
      <c r="B2823">
        <v>0.99472303558308395</v>
      </c>
      <c r="C2823">
        <v>0.85348618375759699</v>
      </c>
      <c r="D2823">
        <v>1.2549613713255401</v>
      </c>
      <c r="E2823">
        <v>0.65124155565028796</v>
      </c>
      <c r="F2823">
        <v>0.65629083038170599</v>
      </c>
      <c r="G2823">
        <v>0.64049128553236501</v>
      </c>
      <c r="H2823">
        <v>0.577677153393509</v>
      </c>
      <c r="I2823">
        <v>0.227729914991711</v>
      </c>
      <c r="J2823">
        <v>0.220901215224868</v>
      </c>
      <c r="K2823">
        <v>0.53707755398415002</v>
      </c>
      <c r="L2823">
        <v>654.23817270838401</v>
      </c>
      <c r="M2823">
        <v>12.884912466155599</v>
      </c>
      <c r="N2823">
        <v>55.426987433561003</v>
      </c>
      <c r="O2823">
        <v>49.599106728612597</v>
      </c>
      <c r="P2823">
        <v>-4.3493712175900701E-2</v>
      </c>
      <c r="Q2823">
        <v>0.33042437540490099</v>
      </c>
      <c r="R2823">
        <v>0.71297562935016401</v>
      </c>
      <c r="S2823" t="s">
        <v>9391</v>
      </c>
      <c r="T2823" t="s">
        <v>13134</v>
      </c>
      <c r="U2823" t="s">
        <v>13134</v>
      </c>
      <c r="V2823" t="s">
        <v>13134</v>
      </c>
      <c r="W2823" t="s">
        <v>15906</v>
      </c>
      <c r="X2823">
        <v>2</v>
      </c>
      <c r="Y2823" t="s">
        <v>22341</v>
      </c>
      <c r="Z2823" t="s">
        <v>28791</v>
      </c>
      <c r="AA2823">
        <v>0.65430786485968895</v>
      </c>
      <c r="AB2823" t="str">
        <f>HYPERLINK("Melting_Curves/meltCurve_P51397_DAP.pdf", "Melting_Curves/meltCurve_P51397_DAP.pdf")</f>
        <v>Melting_Curves/meltCurve_P51397_DAP.pdf</v>
      </c>
    </row>
    <row r="2824" spans="1:28" x14ac:dyDescent="0.25">
      <c r="A2824" t="s">
        <v>2828</v>
      </c>
      <c r="B2824">
        <v>0.99472303558308395</v>
      </c>
      <c r="C2824">
        <v>0.88810448440076095</v>
      </c>
      <c r="D2824">
        <v>0.86016210627803802</v>
      </c>
      <c r="E2824">
        <v>0.64338418479831505</v>
      </c>
      <c r="F2824">
        <v>0.20908482175290999</v>
      </c>
      <c r="G2824">
        <v>5.64537625100534E-2</v>
      </c>
      <c r="H2824">
        <v>3.3963761276014803E-2</v>
      </c>
      <c r="I2824">
        <v>2.38063896859315E-2</v>
      </c>
      <c r="J2824">
        <v>2.23618686426784E-2</v>
      </c>
      <c r="K2824">
        <v>2.0936970204706699E-2</v>
      </c>
      <c r="L2824">
        <v>1006.85902970942</v>
      </c>
      <c r="M2824">
        <v>21.2436545525219</v>
      </c>
      <c r="N2824">
        <v>47.430884201082399</v>
      </c>
      <c r="O2824">
        <v>46.9817682720807</v>
      </c>
      <c r="P2824">
        <v>-0.11216254009830599</v>
      </c>
      <c r="Q2824">
        <v>7.80550567633347E-3</v>
      </c>
      <c r="R2824">
        <v>0.99066283259937604</v>
      </c>
      <c r="S2824" t="s">
        <v>9392</v>
      </c>
      <c r="T2824" t="s">
        <v>13134</v>
      </c>
      <c r="U2824" t="s">
        <v>13134</v>
      </c>
      <c r="V2824" t="s">
        <v>13134</v>
      </c>
      <c r="W2824" t="s">
        <v>15907</v>
      </c>
      <c r="X2824">
        <v>6</v>
      </c>
      <c r="Y2824" t="s">
        <v>22342</v>
      </c>
      <c r="Z2824" t="s">
        <v>28792</v>
      </c>
      <c r="AA2824">
        <v>0.36319357629599403</v>
      </c>
      <c r="AB2824" t="str">
        <f>HYPERLINK("Melting_Curves/meltCurve_P51398_2_DAP3.pdf", "Melting_Curves/meltCurve_P51398_2_DAP3.pdf")</f>
        <v>Melting_Curves/meltCurve_P51398_2_DAP3.pdf</v>
      </c>
    </row>
    <row r="2825" spans="1:28" x14ac:dyDescent="0.25">
      <c r="A2825" t="s">
        <v>2829</v>
      </c>
      <c r="B2825">
        <v>0.99472303558308395</v>
      </c>
      <c r="C2825">
        <v>1.0795314589529701</v>
      </c>
      <c r="D2825">
        <v>1.0035535163768501</v>
      </c>
      <c r="E2825">
        <v>1.00687140789697</v>
      </c>
      <c r="F2825">
        <v>0.80836383719832605</v>
      </c>
      <c r="G2825">
        <v>0.32398089535601998</v>
      </c>
      <c r="H2825">
        <v>0.12303013316408699</v>
      </c>
      <c r="I2825">
        <v>6.5252016355696704E-2</v>
      </c>
      <c r="J2825">
        <v>4.4150868386060103E-2</v>
      </c>
      <c r="K2825">
        <v>4.2547598658577698E-2</v>
      </c>
      <c r="L2825">
        <v>1688.1787001973901</v>
      </c>
      <c r="M2825">
        <v>32.251332285314</v>
      </c>
      <c r="N2825">
        <v>52.519754983807701</v>
      </c>
      <c r="O2825">
        <v>52.144446574803098</v>
      </c>
      <c r="P2825">
        <v>-0.146736425921381</v>
      </c>
      <c r="Q2825">
        <v>5.10218219596466E-2</v>
      </c>
      <c r="R2825">
        <v>0.99608485964384297</v>
      </c>
      <c r="S2825" t="s">
        <v>9393</v>
      </c>
      <c r="T2825" t="s">
        <v>13134</v>
      </c>
      <c r="U2825" t="s">
        <v>13134</v>
      </c>
      <c r="V2825" t="s">
        <v>13134</v>
      </c>
      <c r="W2825" t="s">
        <v>15908</v>
      </c>
      <c r="X2825">
        <v>6</v>
      </c>
      <c r="Y2825" t="s">
        <v>22343</v>
      </c>
      <c r="Z2825" t="s">
        <v>28793</v>
      </c>
      <c r="AA2825">
        <v>0.5416369214120984</v>
      </c>
      <c r="AB2825" t="str">
        <f>HYPERLINK("Melting_Curves/meltCurve_P51452_DUSP3.pdf", "Melting_Curves/meltCurve_P51452_DUSP3.pdf")</f>
        <v>Melting_Curves/meltCurve_P51452_DUSP3.pdf</v>
      </c>
    </row>
    <row r="2826" spans="1:28" x14ac:dyDescent="0.25">
      <c r="A2826" t="s">
        <v>2830</v>
      </c>
      <c r="B2826">
        <v>0.99472303558308395</v>
      </c>
      <c r="C2826">
        <v>0.99319633199440904</v>
      </c>
      <c r="D2826">
        <v>0.74038037551827696</v>
      </c>
      <c r="E2826">
        <v>0.474684459772094</v>
      </c>
      <c r="F2826">
        <v>0.34324084989303499</v>
      </c>
      <c r="G2826">
        <v>0.23505493288009899</v>
      </c>
      <c r="H2826">
        <v>0.165072508559267</v>
      </c>
      <c r="I2826">
        <v>0.160894702754833</v>
      </c>
      <c r="J2826">
        <v>0.176909469862609</v>
      </c>
      <c r="K2826">
        <v>0.14379938860715599</v>
      </c>
      <c r="L2826">
        <v>764.04312702899097</v>
      </c>
      <c r="M2826">
        <v>16.786869507103201</v>
      </c>
      <c r="N2826">
        <v>46.570460168714497</v>
      </c>
      <c r="O2826">
        <v>44.883157751382399</v>
      </c>
      <c r="P2826">
        <v>-7.87061124721945E-2</v>
      </c>
      <c r="Q2826">
        <v>0.15830660141129599</v>
      </c>
      <c r="R2826">
        <v>0.99184347066047296</v>
      </c>
      <c r="S2826" t="s">
        <v>9394</v>
      </c>
      <c r="T2826" t="s">
        <v>13134</v>
      </c>
      <c r="U2826" t="s">
        <v>13134</v>
      </c>
      <c r="V2826" t="s">
        <v>13134</v>
      </c>
      <c r="W2826" t="s">
        <v>15909</v>
      </c>
      <c r="X2826">
        <v>17</v>
      </c>
      <c r="Y2826" t="s">
        <v>22344</v>
      </c>
      <c r="Z2826" t="s">
        <v>28794</v>
      </c>
      <c r="AA2826">
        <v>0.41294222832240152</v>
      </c>
      <c r="AB2826" t="str">
        <f>HYPERLINK("Melting_Curves/meltCurve_P51531_2_SMARCA2.pdf", "Melting_Curves/meltCurve_P51531_2_SMARCA2.pdf")</f>
        <v>Melting_Curves/meltCurve_P51531_2_SMARCA2.pdf</v>
      </c>
    </row>
    <row r="2827" spans="1:28" x14ac:dyDescent="0.25">
      <c r="A2827" t="s">
        <v>2831</v>
      </c>
      <c r="B2827">
        <v>0.99472303558308395</v>
      </c>
      <c r="C2827">
        <v>1.03311144476891</v>
      </c>
      <c r="D2827">
        <v>0.83403027287653497</v>
      </c>
      <c r="E2827">
        <v>0.74881037877470802</v>
      </c>
      <c r="F2827">
        <v>0.63785737094324702</v>
      </c>
      <c r="G2827">
        <v>0.34149367602825298</v>
      </c>
      <c r="H2827">
        <v>0.167889111602428</v>
      </c>
      <c r="I2827">
        <v>7.6450072382443196E-2</v>
      </c>
      <c r="J2827">
        <v>8.3222886791056702E-2</v>
      </c>
      <c r="K2827">
        <v>7.3966803463280398E-2</v>
      </c>
      <c r="L2827">
        <v>650.01206609955705</v>
      </c>
      <c r="M2827">
        <v>12.701366158680001</v>
      </c>
      <c r="N2827">
        <v>51.176547680934597</v>
      </c>
      <c r="O2827">
        <v>49.957703562089797</v>
      </c>
      <c r="P2827">
        <v>-6.3572893352156601E-2</v>
      </c>
      <c r="Q2827">
        <v>0</v>
      </c>
      <c r="R2827">
        <v>0.98508231247576095</v>
      </c>
      <c r="S2827" t="s">
        <v>9395</v>
      </c>
      <c r="T2827" t="s">
        <v>13134</v>
      </c>
      <c r="U2827" t="s">
        <v>13134</v>
      </c>
      <c r="V2827" t="s">
        <v>13134</v>
      </c>
      <c r="W2827" t="s">
        <v>15910</v>
      </c>
      <c r="X2827">
        <v>11</v>
      </c>
      <c r="Y2827" t="s">
        <v>22345</v>
      </c>
      <c r="Z2827" t="s">
        <v>28795</v>
      </c>
      <c r="AA2827">
        <v>0.49679069907058743</v>
      </c>
      <c r="AB2827" t="str">
        <f>HYPERLINK("Melting_Curves/meltCurve_P51553_IDH3G.pdf", "Melting_Curves/meltCurve_P51553_IDH3G.pdf")</f>
        <v>Melting_Curves/meltCurve_P51553_IDH3G.pdf</v>
      </c>
    </row>
    <row r="2828" spans="1:28" x14ac:dyDescent="0.25">
      <c r="A2828" t="s">
        <v>2832</v>
      </c>
      <c r="B2828">
        <v>0.99472303558308395</v>
      </c>
      <c r="C2828">
        <v>1.0153849342163901</v>
      </c>
      <c r="D2828">
        <v>0.98163842332755702</v>
      </c>
      <c r="E2828">
        <v>0.84370630191934903</v>
      </c>
      <c r="F2828">
        <v>0.59860393894950503</v>
      </c>
      <c r="G2828">
        <v>0.31777663953947899</v>
      </c>
      <c r="H2828">
        <v>0.102817351260114</v>
      </c>
      <c r="I2828">
        <v>6.3013520553666297E-2</v>
      </c>
      <c r="J2828">
        <v>5.6857493087358803E-2</v>
      </c>
      <c r="K2828">
        <v>4.8535505431577003E-2</v>
      </c>
      <c r="L2828">
        <v>960.58415717252501</v>
      </c>
      <c r="M2828">
        <v>18.801228631087302</v>
      </c>
      <c r="N2828">
        <v>51.235965978367602</v>
      </c>
      <c r="O2828">
        <v>50.524090292843503</v>
      </c>
      <c r="P2828">
        <v>-9.0634140308136699E-2</v>
      </c>
      <c r="Q2828">
        <v>2.5804684898889499E-2</v>
      </c>
      <c r="R2828">
        <v>0.99839717903580705</v>
      </c>
      <c r="S2828" t="s">
        <v>9396</v>
      </c>
      <c r="T2828" t="s">
        <v>13134</v>
      </c>
      <c r="U2828" t="s">
        <v>13134</v>
      </c>
      <c r="V2828" t="s">
        <v>13134</v>
      </c>
      <c r="W2828" t="s">
        <v>15911</v>
      </c>
      <c r="X2828">
        <v>16</v>
      </c>
      <c r="Y2828" t="s">
        <v>22346</v>
      </c>
      <c r="Z2828" t="s">
        <v>28796</v>
      </c>
      <c r="AA2828">
        <v>0.4974910552093077</v>
      </c>
      <c r="AB2828" t="str">
        <f>HYPERLINK("Melting_Curves/meltCurve_P51570_GALK1.pdf", "Melting_Curves/meltCurve_P51570_GALK1.pdf")</f>
        <v>Melting_Curves/meltCurve_P51570_GALK1.pdf</v>
      </c>
    </row>
    <row r="2829" spans="1:28" x14ac:dyDescent="0.25">
      <c r="A2829" t="s">
        <v>2833</v>
      </c>
      <c r="B2829">
        <v>0.99472303558308395</v>
      </c>
      <c r="C2829">
        <v>0.86869375985446595</v>
      </c>
      <c r="D2829">
        <v>0.81727144746733005</v>
      </c>
      <c r="E2829">
        <v>0.74717380893505803</v>
      </c>
      <c r="F2829">
        <v>0.72820132048289699</v>
      </c>
      <c r="G2829">
        <v>0.447796419427412</v>
      </c>
      <c r="H2829">
        <v>0.32826274376287101</v>
      </c>
      <c r="I2829">
        <v>0.13107927216596499</v>
      </c>
      <c r="J2829">
        <v>0.10471916210226399</v>
      </c>
      <c r="K2829">
        <v>0.14657789479827901</v>
      </c>
      <c r="L2829">
        <v>500.61506725356998</v>
      </c>
      <c r="M2829">
        <v>9.5191991459754099</v>
      </c>
      <c r="N2829">
        <v>52.590040353034297</v>
      </c>
      <c r="O2829">
        <v>50.426084152163099</v>
      </c>
      <c r="P2829">
        <v>-4.7221521169272099E-2</v>
      </c>
      <c r="Q2829">
        <v>0</v>
      </c>
      <c r="R2829">
        <v>0.963522926041258</v>
      </c>
      <c r="S2829" t="s">
        <v>9397</v>
      </c>
      <c r="T2829" t="s">
        <v>13134</v>
      </c>
      <c r="U2829" t="s">
        <v>13134</v>
      </c>
      <c r="V2829" t="s">
        <v>13134</v>
      </c>
      <c r="W2829" t="s">
        <v>15912</v>
      </c>
      <c r="X2829">
        <v>7</v>
      </c>
      <c r="Y2829" t="s">
        <v>22347</v>
      </c>
      <c r="Z2829" t="s">
        <v>28797</v>
      </c>
      <c r="AA2829">
        <v>0.54416666504731015</v>
      </c>
      <c r="AB2829" t="str">
        <f>HYPERLINK("Melting_Curves/meltCurve_P51571_SSR4.pdf", "Melting_Curves/meltCurve_P51571_SSR4.pdf")</f>
        <v>Melting_Curves/meltCurve_P51571_SSR4.pdf</v>
      </c>
    </row>
    <row r="2830" spans="1:28" x14ac:dyDescent="0.25">
      <c r="A2830" t="s">
        <v>2834</v>
      </c>
      <c r="B2830">
        <v>0.99472303558308395</v>
      </c>
      <c r="C2830">
        <v>0.96514060684699299</v>
      </c>
      <c r="D2830">
        <v>0.70196380491766697</v>
      </c>
      <c r="E2830">
        <v>0.56495896910135601</v>
      </c>
      <c r="F2830">
        <v>0.66134222429245104</v>
      </c>
      <c r="G2830">
        <v>0.360687751583052</v>
      </c>
      <c r="H2830">
        <v>0.251033456822782</v>
      </c>
      <c r="I2830">
        <v>0.20398472577781501</v>
      </c>
      <c r="J2830">
        <v>0.193794201071462</v>
      </c>
      <c r="K2830">
        <v>0.43203262667209802</v>
      </c>
      <c r="L2830">
        <v>511.07555002205697</v>
      </c>
      <c r="M2830">
        <v>10.915402845187799</v>
      </c>
      <c r="N2830">
        <v>49.708943106810601</v>
      </c>
      <c r="O2830">
        <v>45.33225083392</v>
      </c>
      <c r="P2830">
        <v>-4.6079883903075297E-2</v>
      </c>
      <c r="Q2830">
        <v>0.23477714978502601</v>
      </c>
      <c r="R2830">
        <v>0.87627493932307399</v>
      </c>
      <c r="S2830" t="s">
        <v>9398</v>
      </c>
      <c r="T2830" t="s">
        <v>13134</v>
      </c>
      <c r="U2830" t="s">
        <v>13134</v>
      </c>
      <c r="V2830" t="s">
        <v>13134</v>
      </c>
      <c r="W2830" t="s">
        <v>15913</v>
      </c>
      <c r="X2830">
        <v>25</v>
      </c>
      <c r="Y2830" t="s">
        <v>22348</v>
      </c>
      <c r="Z2830" t="s">
        <v>28798</v>
      </c>
      <c r="AA2830">
        <v>0.51470537650038617</v>
      </c>
      <c r="AB2830" t="str">
        <f>HYPERLINK("Melting_Curves/meltCurve_P51572_BCAP31.pdf", "Melting_Curves/meltCurve_P51572_BCAP31.pdf")</f>
        <v>Melting_Curves/meltCurve_P51572_BCAP31.pdf</v>
      </c>
    </row>
    <row r="2831" spans="1:28" x14ac:dyDescent="0.25">
      <c r="A2831" t="s">
        <v>2835</v>
      </c>
      <c r="B2831">
        <v>0.99472303558308395</v>
      </c>
      <c r="C2831">
        <v>1.0121758542269601</v>
      </c>
      <c r="D2831">
        <v>1.00254672903178</v>
      </c>
      <c r="E2831">
        <v>0.96275249900258597</v>
      </c>
      <c r="F2831">
        <v>0.74223578494290599</v>
      </c>
      <c r="G2831">
        <v>0.51558612636312795</v>
      </c>
      <c r="H2831">
        <v>0.19586144901677199</v>
      </c>
      <c r="I2831">
        <v>5.3346150485894403E-2</v>
      </c>
      <c r="J2831">
        <v>4.3027223355547199E-2</v>
      </c>
      <c r="K2831">
        <v>4.1104114253449398E-2</v>
      </c>
      <c r="L2831">
        <v>1039.3306719249399</v>
      </c>
      <c r="M2831">
        <v>19.422832143624301</v>
      </c>
      <c r="N2831">
        <v>53.510768222653702</v>
      </c>
      <c r="O2831">
        <v>52.953209137811399</v>
      </c>
      <c r="P2831">
        <v>-9.1701433023754206E-2</v>
      </c>
      <c r="Q2831">
        <v>0</v>
      </c>
      <c r="R2831">
        <v>0.99670923171850001</v>
      </c>
      <c r="S2831" t="s">
        <v>9399</v>
      </c>
      <c r="T2831" t="s">
        <v>13134</v>
      </c>
      <c r="U2831" t="s">
        <v>13134</v>
      </c>
      <c r="V2831" t="s">
        <v>13134</v>
      </c>
      <c r="W2831" t="s">
        <v>15914</v>
      </c>
      <c r="X2831">
        <v>12</v>
      </c>
      <c r="Y2831" t="s">
        <v>22349</v>
      </c>
      <c r="Z2831" t="s">
        <v>28799</v>
      </c>
      <c r="AA2831">
        <v>0.56322142184745116</v>
      </c>
      <c r="AB2831" t="str">
        <f>HYPERLINK("Melting_Curves/meltCurve_P51580_TPMT.pdf", "Melting_Curves/meltCurve_P51580_TPMT.pdf")</f>
        <v>Melting_Curves/meltCurve_P51580_TPMT.pdf</v>
      </c>
    </row>
    <row r="2832" spans="1:28" x14ac:dyDescent="0.25">
      <c r="A2832" t="s">
        <v>2836</v>
      </c>
      <c r="B2832">
        <v>0.99472303558308395</v>
      </c>
      <c r="C2832">
        <v>0.84956906537069499</v>
      </c>
      <c r="D2832">
        <v>0.92653062358640204</v>
      </c>
      <c r="E2832">
        <v>0.61834631625700598</v>
      </c>
      <c r="F2832">
        <v>0.38456574724614301</v>
      </c>
      <c r="G2832">
        <v>0.21405813206208299</v>
      </c>
      <c r="H2832">
        <v>0.146079454684339</v>
      </c>
      <c r="I2832">
        <v>0.10381918773379099</v>
      </c>
      <c r="J2832">
        <v>0.12900043388487401</v>
      </c>
      <c r="K2832">
        <v>0.105383445293072</v>
      </c>
      <c r="L2832">
        <v>755.52048972756597</v>
      </c>
      <c r="M2832">
        <v>15.8289231437852</v>
      </c>
      <c r="N2832">
        <v>48.352954221569398</v>
      </c>
      <c r="O2832">
        <v>46.988056506822602</v>
      </c>
      <c r="P2832">
        <v>-7.6459991974939107E-2</v>
      </c>
      <c r="Q2832">
        <v>9.2190297066130703E-2</v>
      </c>
      <c r="R2832">
        <v>0.98560282428956203</v>
      </c>
      <c r="S2832" t="s">
        <v>9400</v>
      </c>
      <c r="T2832" t="s">
        <v>13134</v>
      </c>
      <c r="U2832" t="s">
        <v>13134</v>
      </c>
      <c r="V2832" t="s">
        <v>13134</v>
      </c>
      <c r="W2832" t="s">
        <v>15915</v>
      </c>
      <c r="X2832">
        <v>8</v>
      </c>
      <c r="Y2832" t="s">
        <v>22350</v>
      </c>
      <c r="Z2832" t="s">
        <v>28800</v>
      </c>
      <c r="AA2832">
        <v>0.43521560391147801</v>
      </c>
      <c r="AB2832" t="str">
        <f>HYPERLINK("Melting_Curves/meltCurve_P51608_MECP2.pdf", "Melting_Curves/meltCurve_P51608_MECP2.pdf")</f>
        <v>Melting_Curves/meltCurve_P51608_MECP2.pdf</v>
      </c>
    </row>
    <row r="2833" spans="1:28" x14ac:dyDescent="0.25">
      <c r="A2833" t="s">
        <v>2837</v>
      </c>
      <c r="B2833">
        <v>0.99472303558308395</v>
      </c>
      <c r="C2833">
        <v>0.96215963717127895</v>
      </c>
      <c r="D2833">
        <v>0.89160302594843499</v>
      </c>
      <c r="E2833">
        <v>0.62040721353758099</v>
      </c>
      <c r="F2833">
        <v>1.02356799116109</v>
      </c>
      <c r="G2833">
        <v>0.30762760058629302</v>
      </c>
      <c r="H2833">
        <v>0.35839569718288</v>
      </c>
      <c r="I2833">
        <v>0.332331401725172</v>
      </c>
      <c r="J2833">
        <v>0.285734531609387</v>
      </c>
      <c r="K2833">
        <v>0.530008292742012</v>
      </c>
      <c r="L2833">
        <v>667.59314786755294</v>
      </c>
      <c r="M2833">
        <v>13.361393494456101</v>
      </c>
      <c r="N2833">
        <v>54.176090429331502</v>
      </c>
      <c r="O2833">
        <v>48.884940033437097</v>
      </c>
      <c r="P2833">
        <v>-4.6263899475680402E-2</v>
      </c>
      <c r="Q2833">
        <v>0.32304997435542598</v>
      </c>
      <c r="R2833">
        <v>0.69222451208039903</v>
      </c>
      <c r="S2833" t="s">
        <v>9401</v>
      </c>
      <c r="T2833" t="s">
        <v>13134</v>
      </c>
      <c r="U2833" t="s">
        <v>13134</v>
      </c>
      <c r="V2833" t="s">
        <v>13134</v>
      </c>
      <c r="W2833" t="s">
        <v>15916</v>
      </c>
      <c r="X2833">
        <v>40</v>
      </c>
      <c r="Y2833" t="s">
        <v>19657</v>
      </c>
      <c r="Z2833" t="s">
        <v>28801</v>
      </c>
      <c r="AA2833">
        <v>0.63221003123307418</v>
      </c>
      <c r="AB2833" t="str">
        <f>HYPERLINK("Melting_Curves/meltCurve_P51610_2_HCFC1.pdf", "Melting_Curves/meltCurve_P51610_2_HCFC1.pdf")</f>
        <v>Melting_Curves/meltCurve_P51610_2_HCFC1.pdf</v>
      </c>
    </row>
    <row r="2834" spans="1:28" x14ac:dyDescent="0.25">
      <c r="A2834" t="s">
        <v>2838</v>
      </c>
      <c r="B2834">
        <v>0.99472303558308395</v>
      </c>
      <c r="C2834">
        <v>0.98055053841746798</v>
      </c>
      <c r="D2834">
        <v>0.85837343329104099</v>
      </c>
      <c r="E2834">
        <v>0.73544603223458405</v>
      </c>
      <c r="F2834">
        <v>0.66757665405064104</v>
      </c>
      <c r="G2834">
        <v>0.24435207069340201</v>
      </c>
      <c r="H2834">
        <v>7.5451701023106804E-2</v>
      </c>
      <c r="I2834">
        <v>3.7718745796577302E-2</v>
      </c>
      <c r="J2834">
        <v>3.5808595824040702E-2</v>
      </c>
      <c r="K2834">
        <v>3.0675062299973101E-2</v>
      </c>
      <c r="L2834">
        <v>811.34841027900495</v>
      </c>
      <c r="M2834">
        <v>16.0009472183458</v>
      </c>
      <c r="N2834">
        <v>50.706275031287603</v>
      </c>
      <c r="O2834">
        <v>49.934110455047303</v>
      </c>
      <c r="P2834">
        <v>-8.0116587181387103E-2</v>
      </c>
      <c r="Q2834">
        <v>0</v>
      </c>
      <c r="R2834">
        <v>0.978058268700847</v>
      </c>
      <c r="S2834" t="s">
        <v>9402</v>
      </c>
      <c r="T2834" t="s">
        <v>13134</v>
      </c>
      <c r="U2834" t="s">
        <v>13134</v>
      </c>
      <c r="V2834" t="s">
        <v>13134</v>
      </c>
      <c r="W2834" t="s">
        <v>15917</v>
      </c>
      <c r="X2834">
        <v>28</v>
      </c>
      <c r="Y2834" t="s">
        <v>22351</v>
      </c>
      <c r="Z2834" t="s">
        <v>28802</v>
      </c>
      <c r="AA2834">
        <v>0.47549994125933298</v>
      </c>
      <c r="AB2834" t="str">
        <f>HYPERLINK("Melting_Curves/meltCurve_P51659_HSD17B4.pdf", "Melting_Curves/meltCurve_P51659_HSD17B4.pdf")</f>
        <v>Melting_Curves/meltCurve_P51659_HSD17B4.pdf</v>
      </c>
    </row>
    <row r="2835" spans="1:28" x14ac:dyDescent="0.25">
      <c r="A2835" t="s">
        <v>2839</v>
      </c>
      <c r="B2835">
        <v>0.99472303558308395</v>
      </c>
      <c r="C2835">
        <v>0.83663373242051298</v>
      </c>
      <c r="D2835">
        <v>0.80431987565360097</v>
      </c>
      <c r="E2835">
        <v>0.61212722954133103</v>
      </c>
      <c r="F2835">
        <v>0.389041036100368</v>
      </c>
      <c r="G2835">
        <v>0.182383883808695</v>
      </c>
      <c r="H2835">
        <v>7.9685822515555504E-2</v>
      </c>
      <c r="I2835">
        <v>4.63503666542084E-2</v>
      </c>
      <c r="J2835">
        <v>4.6614406831693898E-2</v>
      </c>
      <c r="K2835">
        <v>4.4835310117222499E-2</v>
      </c>
      <c r="L2835">
        <v>588.44664721121603</v>
      </c>
      <c r="M2835">
        <v>12.2896116972875</v>
      </c>
      <c r="N2835">
        <v>47.881611457905898</v>
      </c>
      <c r="O2835">
        <v>46.666801241440403</v>
      </c>
      <c r="P2835">
        <v>-6.5851476825669303E-2</v>
      </c>
      <c r="Q2835">
        <v>0</v>
      </c>
      <c r="R2835">
        <v>0.99091883826965399</v>
      </c>
      <c r="S2835" t="s">
        <v>9403</v>
      </c>
      <c r="T2835" t="s">
        <v>13134</v>
      </c>
      <c r="U2835" t="s">
        <v>13134</v>
      </c>
      <c r="V2835" t="s">
        <v>13134</v>
      </c>
      <c r="W2835" t="s">
        <v>15918</v>
      </c>
      <c r="X2835">
        <v>11</v>
      </c>
      <c r="Y2835" t="s">
        <v>22352</v>
      </c>
      <c r="Z2835" t="s">
        <v>28803</v>
      </c>
      <c r="AA2835">
        <v>0.39311148630660758</v>
      </c>
      <c r="AB2835" t="str">
        <f>HYPERLINK("Melting_Curves/meltCurve_P51665_PSMD7.pdf", "Melting_Curves/meltCurve_P51665_PSMD7.pdf")</f>
        <v>Melting_Curves/meltCurve_P51665_PSMD7.pdf</v>
      </c>
    </row>
    <row r="2836" spans="1:28" x14ac:dyDescent="0.25">
      <c r="A2836" t="s">
        <v>2840</v>
      </c>
      <c r="B2836">
        <v>0.99472303558308395</v>
      </c>
      <c r="C2836">
        <v>0.91030255129618398</v>
      </c>
      <c r="D2836">
        <v>0.90004268307426505</v>
      </c>
      <c r="E2836">
        <v>0.70430283901455104</v>
      </c>
      <c r="F2836">
        <v>0.60283409683899603</v>
      </c>
      <c r="G2836">
        <v>0.48387409372423401</v>
      </c>
      <c r="H2836">
        <v>0.20094169624732899</v>
      </c>
      <c r="I2836">
        <v>0.43661159043247399</v>
      </c>
      <c r="J2836">
        <v>0.20575585260009199</v>
      </c>
      <c r="K2836">
        <v>0.347847138473727</v>
      </c>
      <c r="L2836">
        <v>598.74399567066905</v>
      </c>
      <c r="M2836">
        <v>12.2816987300133</v>
      </c>
      <c r="N2836">
        <v>51.821572485864301</v>
      </c>
      <c r="O2836">
        <v>47.5125045633811</v>
      </c>
      <c r="P2836">
        <v>-4.7928772134055601E-2</v>
      </c>
      <c r="Q2836">
        <v>0.25850179795932399</v>
      </c>
      <c r="R2836">
        <v>0.92360659632694897</v>
      </c>
      <c r="S2836" t="s">
        <v>9404</v>
      </c>
      <c r="T2836" t="s">
        <v>13134</v>
      </c>
      <c r="U2836" t="s">
        <v>13134</v>
      </c>
      <c r="V2836" t="s">
        <v>13134</v>
      </c>
      <c r="W2836" t="s">
        <v>15919</v>
      </c>
      <c r="X2836">
        <v>3</v>
      </c>
      <c r="Y2836" t="s">
        <v>22353</v>
      </c>
      <c r="Z2836" t="s">
        <v>28804</v>
      </c>
      <c r="AA2836">
        <v>0.57058124892472351</v>
      </c>
      <c r="AB2836" t="str">
        <f>HYPERLINK("Melting_Curves/meltCurve_P51687_SUOX.pdf", "Melting_Curves/meltCurve_P51687_SUOX.pdf")</f>
        <v>Melting_Curves/meltCurve_P51687_SUOX.pdf</v>
      </c>
    </row>
    <row r="2837" spans="1:28" x14ac:dyDescent="0.25">
      <c r="A2837" t="s">
        <v>2841</v>
      </c>
      <c r="B2837">
        <v>0.99472303558308395</v>
      </c>
      <c r="C2837">
        <v>0.99583369144862199</v>
      </c>
      <c r="D2837">
        <v>0.93902818741517502</v>
      </c>
      <c r="E2837">
        <v>0.52461765660198201</v>
      </c>
      <c r="F2837">
        <v>0.13881756928550501</v>
      </c>
      <c r="G2837">
        <v>6.84979093504062E-2</v>
      </c>
      <c r="H2837">
        <v>2.99238433678231E-2</v>
      </c>
      <c r="I2837">
        <v>8.6884067182195594E-3</v>
      </c>
      <c r="J2837">
        <v>4.6979652620688598E-3</v>
      </c>
      <c r="K2837">
        <v>5.1914902719780902E-3</v>
      </c>
      <c r="L2837">
        <v>1331.0516502410001</v>
      </c>
      <c r="M2837">
        <v>28.469130461292</v>
      </c>
      <c r="N2837">
        <v>46.810522227139003</v>
      </c>
      <c r="O2837">
        <v>46.525364823345598</v>
      </c>
      <c r="P2837">
        <v>-0.150402415647749</v>
      </c>
      <c r="Q2837">
        <v>1.6834338108519298E-2</v>
      </c>
      <c r="R2837">
        <v>0.99912462777255895</v>
      </c>
      <c r="S2837" t="s">
        <v>9405</v>
      </c>
      <c r="T2837" t="s">
        <v>13134</v>
      </c>
      <c r="U2837" t="s">
        <v>13134</v>
      </c>
      <c r="V2837" t="s">
        <v>13134</v>
      </c>
      <c r="W2837" t="s">
        <v>15920</v>
      </c>
      <c r="X2837">
        <v>34</v>
      </c>
      <c r="Y2837" t="s">
        <v>22354</v>
      </c>
      <c r="Z2837" t="s">
        <v>28805</v>
      </c>
      <c r="AA2837">
        <v>0.34282589611244418</v>
      </c>
      <c r="AB2837" t="str">
        <f>HYPERLINK("Melting_Curves/meltCurve_P51692_STAT5B.pdf", "Melting_Curves/meltCurve_P51692_STAT5B.pdf")</f>
        <v>Melting_Curves/meltCurve_P51692_STAT5B.pdf</v>
      </c>
    </row>
    <row r="2838" spans="1:28" x14ac:dyDescent="0.25">
      <c r="A2838" t="s">
        <v>2842</v>
      </c>
      <c r="B2838">
        <v>0.99472303558308395</v>
      </c>
      <c r="C2838">
        <v>0.95141934573840803</v>
      </c>
      <c r="D2838">
        <v>0.90136886590343501</v>
      </c>
      <c r="E2838">
        <v>0.78088430075834103</v>
      </c>
      <c r="F2838">
        <v>0.76633963444901898</v>
      </c>
      <c r="G2838">
        <v>0.41303107340617701</v>
      </c>
      <c r="H2838">
        <v>0.234766281605433</v>
      </c>
      <c r="I2838">
        <v>0.102399250461033</v>
      </c>
      <c r="J2838">
        <v>6.4952480349594194E-2</v>
      </c>
      <c r="K2838">
        <v>7.9321031754379906E-2</v>
      </c>
      <c r="L2838">
        <v>718.54129471489796</v>
      </c>
      <c r="M2838">
        <v>13.631018899314499</v>
      </c>
      <c r="N2838">
        <v>52.713689270016303</v>
      </c>
      <c r="O2838">
        <v>51.617975644939598</v>
      </c>
      <c r="P2838">
        <v>-6.6028456524011306E-2</v>
      </c>
      <c r="Q2838">
        <v>0</v>
      </c>
      <c r="R2838">
        <v>0.98292663029531502</v>
      </c>
      <c r="S2838" t="s">
        <v>9406</v>
      </c>
      <c r="T2838" t="s">
        <v>13134</v>
      </c>
      <c r="U2838" t="s">
        <v>13134</v>
      </c>
      <c r="V2838" t="s">
        <v>13134</v>
      </c>
      <c r="W2838" t="s">
        <v>15921</v>
      </c>
      <c r="X2838">
        <v>8</v>
      </c>
      <c r="Y2838" t="s">
        <v>22355</v>
      </c>
      <c r="Z2838" t="s">
        <v>28806</v>
      </c>
      <c r="AA2838">
        <v>0.54374555625782184</v>
      </c>
      <c r="AB2838" t="str">
        <f>HYPERLINK("Melting_Curves/meltCurve_P51790_4_CLCN3.pdf", "Melting_Curves/meltCurve_P51790_4_CLCN3.pdf")</f>
        <v>Melting_Curves/meltCurve_P51790_4_CLCN3.pdf</v>
      </c>
    </row>
    <row r="2839" spans="1:28" x14ac:dyDescent="0.25">
      <c r="A2839" t="s">
        <v>2843</v>
      </c>
      <c r="B2839">
        <v>0.99472303558308395</v>
      </c>
      <c r="C2839">
        <v>0.96415295673095103</v>
      </c>
      <c r="D2839">
        <v>0.74433538894926499</v>
      </c>
      <c r="E2839">
        <v>0.574081110825578</v>
      </c>
      <c r="F2839">
        <v>0.469362848282393</v>
      </c>
      <c r="G2839">
        <v>0.21564269382271101</v>
      </c>
      <c r="H2839">
        <v>0.14429128635248001</v>
      </c>
      <c r="I2839">
        <v>8.8285242973774603E-2</v>
      </c>
      <c r="J2839">
        <v>0.105024211936915</v>
      </c>
      <c r="K2839">
        <v>9.3412578486622794E-2</v>
      </c>
      <c r="L2839">
        <v>559.19474601656998</v>
      </c>
      <c r="M2839">
        <v>11.684207545133701</v>
      </c>
      <c r="N2839">
        <v>48.222170815870598</v>
      </c>
      <c r="O2839">
        <v>46.521614022222302</v>
      </c>
      <c r="P2839">
        <v>-6.0160825137126797E-2</v>
      </c>
      <c r="Q2839">
        <v>4.2115331432676602E-2</v>
      </c>
      <c r="R2839">
        <v>0.987563518084277</v>
      </c>
      <c r="S2839" t="s">
        <v>9407</v>
      </c>
      <c r="T2839" t="s">
        <v>13134</v>
      </c>
      <c r="U2839" t="s">
        <v>13134</v>
      </c>
      <c r="V2839" t="s">
        <v>13134</v>
      </c>
      <c r="W2839" t="s">
        <v>15922</v>
      </c>
      <c r="X2839">
        <v>1</v>
      </c>
      <c r="Y2839" t="s">
        <v>22356</v>
      </c>
      <c r="Z2839" t="s">
        <v>28807</v>
      </c>
      <c r="AA2839">
        <v>0.4202421720487734</v>
      </c>
      <c r="AB2839" t="str">
        <f>HYPERLINK("Melting_Curves/meltCurve_P51795_CLCN5.pdf", "Melting_Curves/meltCurve_P51795_CLCN5.pdf")</f>
        <v>Melting_Curves/meltCurve_P51795_CLCN5.pdf</v>
      </c>
    </row>
    <row r="2840" spans="1:28" x14ac:dyDescent="0.25">
      <c r="A2840" t="s">
        <v>2844</v>
      </c>
      <c r="B2840">
        <v>0.99472303558308395</v>
      </c>
      <c r="C2840">
        <v>1.0889332768009501</v>
      </c>
      <c r="D2840">
        <v>0.76808413453311297</v>
      </c>
      <c r="E2840">
        <v>0.49515659026931602</v>
      </c>
      <c r="F2840">
        <v>0.38877256755909001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812.53428457257803</v>
      </c>
      <c r="M2840">
        <v>17.280204262208098</v>
      </c>
      <c r="N2840">
        <v>47.021086802963303</v>
      </c>
      <c r="O2840">
        <v>46.404954972464701</v>
      </c>
      <c r="P2840">
        <v>-9.3100034582943497E-2</v>
      </c>
      <c r="Q2840">
        <v>0</v>
      </c>
      <c r="R2840">
        <v>0.96853347624926101</v>
      </c>
      <c r="S2840" t="s">
        <v>9408</v>
      </c>
      <c r="T2840" t="s">
        <v>13134</v>
      </c>
      <c r="U2840" t="s">
        <v>13134</v>
      </c>
      <c r="V2840" t="s">
        <v>13134</v>
      </c>
      <c r="W2840" t="s">
        <v>15923</v>
      </c>
      <c r="X2840">
        <v>1</v>
      </c>
      <c r="Y2840" t="s">
        <v>22357</v>
      </c>
      <c r="Z2840" t="s">
        <v>28808</v>
      </c>
      <c r="AA2840">
        <v>0.35138074408195308</v>
      </c>
      <c r="AB2840" t="str">
        <f>HYPERLINK("Melting_Curves/meltCurve_P51797_CLCN6.pdf", "Melting_Curves/meltCurve_P51797_CLCN6.pdf")</f>
        <v>Melting_Curves/meltCurve_P51797_CLCN6.pdf</v>
      </c>
    </row>
    <row r="2841" spans="1:28" x14ac:dyDescent="0.25">
      <c r="A2841" t="s">
        <v>2845</v>
      </c>
      <c r="B2841">
        <v>0.99472303558308395</v>
      </c>
      <c r="C2841">
        <v>1.0697510721855701</v>
      </c>
      <c r="D2841">
        <v>0.89578481739272697</v>
      </c>
      <c r="E2841">
        <v>0.76107272115491897</v>
      </c>
      <c r="F2841">
        <v>0.593684358950755</v>
      </c>
      <c r="G2841">
        <v>0.25994216172634399</v>
      </c>
      <c r="H2841">
        <v>0.12584806103958801</v>
      </c>
      <c r="I2841">
        <v>7.7595611885243707E-2</v>
      </c>
      <c r="J2841">
        <v>8.6357520597229995E-2</v>
      </c>
      <c r="K2841">
        <v>6.5373595529340106E-2</v>
      </c>
      <c r="L2841">
        <v>821.822019516252</v>
      </c>
      <c r="M2841">
        <v>16.313678241971601</v>
      </c>
      <c r="N2841">
        <v>50.608905063435998</v>
      </c>
      <c r="O2841">
        <v>49.6375395958176</v>
      </c>
      <c r="P2841">
        <v>-7.9201744542975003E-2</v>
      </c>
      <c r="Q2841">
        <v>3.6123168939233397E-2</v>
      </c>
      <c r="R2841">
        <v>0.98920551734571804</v>
      </c>
      <c r="S2841" t="s">
        <v>9409</v>
      </c>
      <c r="T2841" t="s">
        <v>13134</v>
      </c>
      <c r="U2841" t="s">
        <v>13134</v>
      </c>
      <c r="V2841" t="s">
        <v>13134</v>
      </c>
      <c r="W2841" t="s">
        <v>15924</v>
      </c>
      <c r="X2841">
        <v>8</v>
      </c>
      <c r="Y2841" t="s">
        <v>22358</v>
      </c>
      <c r="Z2841" t="s">
        <v>28809</v>
      </c>
      <c r="AA2841">
        <v>0.48350353111274752</v>
      </c>
      <c r="AB2841" t="str">
        <f>HYPERLINK("Melting_Curves/meltCurve_P51798_2_CLCN7.pdf", "Melting_Curves/meltCurve_P51798_2_CLCN7.pdf")</f>
        <v>Melting_Curves/meltCurve_P51798_2_CLCN7.pdf</v>
      </c>
    </row>
    <row r="2842" spans="1:28" x14ac:dyDescent="0.25">
      <c r="A2842" t="s">
        <v>2846</v>
      </c>
      <c r="B2842">
        <v>0.99472303558308395</v>
      </c>
      <c r="C2842">
        <v>0.97900220034103103</v>
      </c>
      <c r="D2842">
        <v>0.96727299787840804</v>
      </c>
      <c r="E2842">
        <v>0.81972373494137496</v>
      </c>
      <c r="F2842">
        <v>0.56901765956077199</v>
      </c>
      <c r="G2842">
        <v>0.40567546958564799</v>
      </c>
      <c r="H2842">
        <v>0.10051103945510299</v>
      </c>
      <c r="I2842">
        <v>5.5690309662771199E-2</v>
      </c>
      <c r="J2842">
        <v>4.4325544045163201E-2</v>
      </c>
      <c r="K2842">
        <v>3.3865287773891598E-2</v>
      </c>
      <c r="L2842">
        <v>809.55252983823198</v>
      </c>
      <c r="M2842">
        <v>15.7538835619444</v>
      </c>
      <c r="N2842">
        <v>51.387489822312702</v>
      </c>
      <c r="O2842">
        <v>50.5808573550053</v>
      </c>
      <c r="P2842">
        <v>-7.7871340774820802E-2</v>
      </c>
      <c r="Q2842">
        <v>0</v>
      </c>
      <c r="R2842">
        <v>0.99315440695316404</v>
      </c>
      <c r="S2842" t="s">
        <v>9410</v>
      </c>
      <c r="T2842" t="s">
        <v>13134</v>
      </c>
      <c r="U2842" t="s">
        <v>13134</v>
      </c>
      <c r="V2842" t="s">
        <v>13134</v>
      </c>
      <c r="W2842" t="s">
        <v>15925</v>
      </c>
      <c r="X2842">
        <v>10</v>
      </c>
      <c r="Y2842" t="s">
        <v>22359</v>
      </c>
      <c r="Z2842" t="s">
        <v>28810</v>
      </c>
      <c r="AA2842">
        <v>0.49814966870769689</v>
      </c>
      <c r="AB2842" t="str">
        <f>HYPERLINK("Melting_Curves/meltCurve_P51809_VAMP7.pdf", "Melting_Curves/meltCurve_P51809_VAMP7.pdf")</f>
        <v>Melting_Curves/meltCurve_P51809_VAMP7.pdf</v>
      </c>
    </row>
    <row r="2843" spans="1:28" x14ac:dyDescent="0.25">
      <c r="A2843" t="s">
        <v>2847</v>
      </c>
      <c r="B2843">
        <v>0.99472303558308395</v>
      </c>
      <c r="C2843">
        <v>1.2481747114731101</v>
      </c>
      <c r="D2843">
        <v>0.760221129653467</v>
      </c>
      <c r="E2843">
        <v>0.92929754063667003</v>
      </c>
      <c r="F2843">
        <v>0.65814395973542295</v>
      </c>
      <c r="G2843">
        <v>0.41218241588023902</v>
      </c>
      <c r="H2843">
        <v>0.24162505678002</v>
      </c>
      <c r="I2843">
        <v>0.168780494869471</v>
      </c>
      <c r="J2843">
        <v>0.17953572048487601</v>
      </c>
      <c r="K2843">
        <v>0.31588759961898599</v>
      </c>
      <c r="L2843">
        <v>1069.31372656857</v>
      </c>
      <c r="M2843">
        <v>21.0365935929998</v>
      </c>
      <c r="N2843">
        <v>52.140604190645298</v>
      </c>
      <c r="O2843">
        <v>50.378477396569501</v>
      </c>
      <c r="P2843">
        <v>-8.2973269107800507E-2</v>
      </c>
      <c r="Q2843">
        <v>0.205202952639578</v>
      </c>
      <c r="R2843">
        <v>0.90093921029467705</v>
      </c>
      <c r="S2843" t="s">
        <v>9411</v>
      </c>
      <c r="T2843" t="s">
        <v>13134</v>
      </c>
      <c r="U2843" t="s">
        <v>13134</v>
      </c>
      <c r="V2843" t="s">
        <v>13134</v>
      </c>
      <c r="W2843" t="s">
        <v>15926</v>
      </c>
      <c r="X2843">
        <v>1</v>
      </c>
      <c r="Y2843" t="s">
        <v>22360</v>
      </c>
      <c r="Z2843" t="s">
        <v>28811</v>
      </c>
      <c r="AA2843">
        <v>0.58119467280326931</v>
      </c>
      <c r="AB2843" t="str">
        <f>HYPERLINK("Melting_Curves/meltCurve_P51811_XK.pdf", "Melting_Curves/meltCurve_P51811_XK.pdf")</f>
        <v>Melting_Curves/meltCurve_P51811_XK.pdf</v>
      </c>
    </row>
    <row r="2844" spans="1:28" x14ac:dyDescent="0.25">
      <c r="A2844" t="s">
        <v>2848</v>
      </c>
      <c r="B2844">
        <v>0.99472303558308395</v>
      </c>
      <c r="C2844">
        <v>0.96009211508831604</v>
      </c>
      <c r="D2844">
        <v>0.94467269428497003</v>
      </c>
      <c r="E2844">
        <v>0.77022103350679405</v>
      </c>
      <c r="F2844">
        <v>0.25566741108582097</v>
      </c>
      <c r="G2844">
        <v>9.7124603780161398E-2</v>
      </c>
      <c r="H2844">
        <v>7.0188685459726896E-2</v>
      </c>
      <c r="I2844">
        <v>5.2593135125356703E-2</v>
      </c>
      <c r="J2844">
        <v>6.5429743060031006E-2</v>
      </c>
      <c r="K2844">
        <v>5.1867209634572697E-2</v>
      </c>
      <c r="L2844">
        <v>1524.65869818653</v>
      </c>
      <c r="M2844">
        <v>31.646698253406498</v>
      </c>
      <c r="N2844">
        <v>48.367035028327599</v>
      </c>
      <c r="O2844">
        <v>47.986349584812402</v>
      </c>
      <c r="P2844">
        <v>-0.15525934271011599</v>
      </c>
      <c r="Q2844">
        <v>5.8316959005493503E-2</v>
      </c>
      <c r="R2844">
        <v>0.99813100963481405</v>
      </c>
      <c r="S2844" t="s">
        <v>9412</v>
      </c>
      <c r="T2844" t="s">
        <v>13134</v>
      </c>
      <c r="U2844" t="s">
        <v>13134</v>
      </c>
      <c r="V2844" t="s">
        <v>13134</v>
      </c>
      <c r="W2844" t="s">
        <v>15927</v>
      </c>
      <c r="X2844">
        <v>28</v>
      </c>
      <c r="Y2844" t="s">
        <v>22361</v>
      </c>
      <c r="Z2844" t="s">
        <v>28812</v>
      </c>
      <c r="AA2844">
        <v>0.41419857087255407</v>
      </c>
      <c r="AB2844" t="str">
        <f>HYPERLINK("Melting_Curves/meltCurve_P51812_RPS6KA3.pdf", "Melting_Curves/meltCurve_P51812_RPS6KA3.pdf")</f>
        <v>Melting_Curves/meltCurve_P51812_RPS6KA3.pdf</v>
      </c>
    </row>
    <row r="2845" spans="1:28" x14ac:dyDescent="0.25">
      <c r="A2845" t="s">
        <v>2849</v>
      </c>
      <c r="B2845">
        <v>0.99472303558308395</v>
      </c>
      <c r="C2845">
        <v>0.74849471832303904</v>
      </c>
      <c r="D2845">
        <v>1.3189957411714199</v>
      </c>
      <c r="E2845">
        <v>0.69226563396305296</v>
      </c>
      <c r="F2845">
        <v>0.13590803288486</v>
      </c>
      <c r="G2845">
        <v>6.8323377083493106E-2</v>
      </c>
      <c r="H2845">
        <v>2.26737927720898E-2</v>
      </c>
      <c r="I2845">
        <v>2.5156336611719399E-2</v>
      </c>
      <c r="J2845">
        <v>1.8066139049561902E-2</v>
      </c>
      <c r="K2845">
        <v>2.6434656120387201E-2</v>
      </c>
      <c r="L2845">
        <v>2326.3042831950402</v>
      </c>
      <c r="M2845">
        <v>49.064434182415397</v>
      </c>
      <c r="N2845">
        <v>47.489631778708201</v>
      </c>
      <c r="O2845">
        <v>47.334685747792903</v>
      </c>
      <c r="P2845">
        <v>-0.24930418186968401</v>
      </c>
      <c r="Q2845">
        <v>3.7940662924419298E-2</v>
      </c>
      <c r="R2845">
        <v>0.91981878875789502</v>
      </c>
      <c r="S2845" t="s">
        <v>9413</v>
      </c>
      <c r="T2845" t="s">
        <v>13134</v>
      </c>
      <c r="U2845" t="s">
        <v>13134</v>
      </c>
      <c r="V2845" t="s">
        <v>13134</v>
      </c>
      <c r="W2845" t="s">
        <v>15928</v>
      </c>
      <c r="X2845">
        <v>2</v>
      </c>
      <c r="Y2845" t="s">
        <v>22362</v>
      </c>
      <c r="Z2845" t="s">
        <v>28813</v>
      </c>
      <c r="AA2845">
        <v>0.3739694430202477</v>
      </c>
      <c r="AB2845" t="str">
        <f>HYPERLINK("Melting_Curves/meltCurve_P51857_2_AKR1D1.pdf", "Melting_Curves/meltCurve_P51857_2_AKR1D1.pdf")</f>
        <v>Melting_Curves/meltCurve_P51857_2_AKR1D1.pdf</v>
      </c>
    </row>
    <row r="2846" spans="1:28" x14ac:dyDescent="0.25">
      <c r="A2846" t="s">
        <v>2850</v>
      </c>
      <c r="B2846">
        <v>0.99472303558308395</v>
      </c>
      <c r="C2846">
        <v>1.0318724066023099</v>
      </c>
      <c r="D2846">
        <v>1.0223124220653099</v>
      </c>
      <c r="E2846">
        <v>0.93707867925100297</v>
      </c>
      <c r="F2846">
        <v>0.59264576867441399</v>
      </c>
      <c r="G2846">
        <v>0.34538829111872499</v>
      </c>
      <c r="H2846">
        <v>0.20362420051614699</v>
      </c>
      <c r="I2846">
        <v>0.19736597641130599</v>
      </c>
      <c r="J2846">
        <v>0.27661997958764101</v>
      </c>
      <c r="K2846">
        <v>0.21102562251976201</v>
      </c>
      <c r="L2846">
        <v>1486.1168454881999</v>
      </c>
      <c r="M2846">
        <v>29.6267527200065</v>
      </c>
      <c r="N2846">
        <v>51.174177538025603</v>
      </c>
      <c r="O2846">
        <v>49.934443229221998</v>
      </c>
      <c r="P2846">
        <v>-0.11542494163942001</v>
      </c>
      <c r="Q2846">
        <v>0.22183294440981699</v>
      </c>
      <c r="R2846">
        <v>0.99351947139694596</v>
      </c>
      <c r="S2846" t="s">
        <v>9414</v>
      </c>
      <c r="T2846" t="s">
        <v>13134</v>
      </c>
      <c r="U2846" t="s">
        <v>13134</v>
      </c>
      <c r="V2846" t="s">
        <v>13134</v>
      </c>
      <c r="W2846" t="s">
        <v>15929</v>
      </c>
      <c r="X2846">
        <v>25</v>
      </c>
      <c r="Y2846" t="s">
        <v>22363</v>
      </c>
      <c r="Z2846" t="s">
        <v>28814</v>
      </c>
      <c r="AA2846">
        <v>0.56812948724303092</v>
      </c>
      <c r="AB2846" t="str">
        <f>HYPERLINK("Melting_Curves/meltCurve_P51858_HDGF.pdf", "Melting_Curves/meltCurve_P51858_HDGF.pdf")</f>
        <v>Melting_Curves/meltCurve_P51858_HDGF.pdf</v>
      </c>
    </row>
    <row r="2847" spans="1:28" x14ac:dyDescent="0.25">
      <c r="A2847" t="s">
        <v>2851</v>
      </c>
      <c r="B2847">
        <v>0.99472303558308395</v>
      </c>
      <c r="C2847">
        <v>0.98219565202506498</v>
      </c>
      <c r="D2847">
        <v>1.10894170734702</v>
      </c>
      <c r="E2847">
        <v>0.703936792880275</v>
      </c>
      <c r="F2847">
        <v>0.16503430866284199</v>
      </c>
      <c r="G2847">
        <v>0.103829636888398</v>
      </c>
      <c r="H2847">
        <v>0.134104727095125</v>
      </c>
      <c r="I2847">
        <v>6.30524815717938E-2</v>
      </c>
      <c r="J2847">
        <v>0.18190737307727101</v>
      </c>
      <c r="K2847">
        <v>5.8779543389002403E-2</v>
      </c>
      <c r="L2847">
        <v>2529.07700498129</v>
      </c>
      <c r="M2847">
        <v>53.548745536159501</v>
      </c>
      <c r="N2847">
        <v>47.452452481741197</v>
      </c>
      <c r="O2847">
        <v>47.163702550274401</v>
      </c>
      <c r="P2847">
        <v>-0.25226849474581903</v>
      </c>
      <c r="Q2847">
        <v>0.111246472232813</v>
      </c>
      <c r="R2847">
        <v>0.98617887753238198</v>
      </c>
      <c r="S2847" t="s">
        <v>9415</v>
      </c>
      <c r="T2847" t="s">
        <v>13134</v>
      </c>
      <c r="U2847" t="s">
        <v>13134</v>
      </c>
      <c r="V2847" t="s">
        <v>13134</v>
      </c>
      <c r="W2847" t="s">
        <v>15930</v>
      </c>
      <c r="X2847">
        <v>3</v>
      </c>
      <c r="Y2847" t="s">
        <v>22364</v>
      </c>
      <c r="Z2847" t="s">
        <v>28815</v>
      </c>
      <c r="AA2847">
        <v>0.4159077982393235</v>
      </c>
      <c r="AB2847" t="str">
        <f>HYPERLINK("Melting_Curves/meltCurve_P51911_CNN1.pdf", "Melting_Curves/meltCurve_P51911_CNN1.pdf")</f>
        <v>Melting_Curves/meltCurve_P51911_CNN1.pdf</v>
      </c>
    </row>
    <row r="2848" spans="1:28" x14ac:dyDescent="0.25">
      <c r="A2848" t="s">
        <v>2852</v>
      </c>
      <c r="B2848">
        <v>0.99472303558308395</v>
      </c>
      <c r="C2848">
        <v>1.05616702592443</v>
      </c>
      <c r="D2848">
        <v>0.81042194807427503</v>
      </c>
      <c r="E2848">
        <v>0.76983792699085396</v>
      </c>
      <c r="F2848">
        <v>0.69769771097537203</v>
      </c>
      <c r="G2848">
        <v>0.446637162458698</v>
      </c>
      <c r="H2848">
        <v>0.21139559384886</v>
      </c>
      <c r="I2848">
        <v>0.123725102903204</v>
      </c>
      <c r="J2848">
        <v>0.12876980622412401</v>
      </c>
      <c r="K2848">
        <v>0.103142654023545</v>
      </c>
      <c r="L2848">
        <v>597.18112912474703</v>
      </c>
      <c r="M2848">
        <v>11.4086588057156</v>
      </c>
      <c r="N2848">
        <v>52.344551561235498</v>
      </c>
      <c r="O2848">
        <v>50.813716448185403</v>
      </c>
      <c r="P2848">
        <v>-5.6146266920114103E-2</v>
      </c>
      <c r="Q2848">
        <v>0</v>
      </c>
      <c r="R2848">
        <v>0.97374686144172495</v>
      </c>
      <c r="S2848" t="s">
        <v>9416</v>
      </c>
      <c r="T2848" t="s">
        <v>13134</v>
      </c>
      <c r="U2848" t="s">
        <v>13134</v>
      </c>
      <c r="V2848" t="s">
        <v>13134</v>
      </c>
      <c r="W2848" t="s">
        <v>15931</v>
      </c>
      <c r="X2848">
        <v>8</v>
      </c>
      <c r="Y2848" t="s">
        <v>22365</v>
      </c>
      <c r="Z2848" t="s">
        <v>28816</v>
      </c>
      <c r="AA2848">
        <v>0.53513984772340906</v>
      </c>
      <c r="AB2848" t="str">
        <f>HYPERLINK("Melting_Curves/meltCurve_P51948_MNAT1.pdf", "Melting_Curves/meltCurve_P51948_MNAT1.pdf")</f>
        <v>Melting_Curves/meltCurve_P51948_MNAT1.pdf</v>
      </c>
    </row>
    <row r="2849" spans="1:28" x14ac:dyDescent="0.25">
      <c r="A2849" t="s">
        <v>2853</v>
      </c>
      <c r="B2849">
        <v>0.99472303558308395</v>
      </c>
      <c r="C2849">
        <v>0.90824194268408998</v>
      </c>
      <c r="D2849">
        <v>0.91985401536085898</v>
      </c>
      <c r="E2849">
        <v>0.69970268335463104</v>
      </c>
      <c r="F2849">
        <v>0.47778434267472197</v>
      </c>
      <c r="G2849">
        <v>0.26817099420652002</v>
      </c>
      <c r="H2849">
        <v>0.11974823548494599</v>
      </c>
      <c r="I2849">
        <v>0.116045038131374</v>
      </c>
      <c r="J2849">
        <v>9.7723623805095694E-2</v>
      </c>
      <c r="K2849">
        <v>6.2643749486214595E-2</v>
      </c>
      <c r="L2849">
        <v>703.55776233398103</v>
      </c>
      <c r="M2849">
        <v>14.272017936694199</v>
      </c>
      <c r="N2849">
        <v>49.626357477871103</v>
      </c>
      <c r="O2849">
        <v>48.358776915124999</v>
      </c>
      <c r="P2849">
        <v>-7.0449972125675497E-2</v>
      </c>
      <c r="Q2849">
        <v>4.5276848849724098E-2</v>
      </c>
      <c r="R2849">
        <v>0.99505752232766997</v>
      </c>
      <c r="S2849" t="s">
        <v>9417</v>
      </c>
      <c r="T2849" t="s">
        <v>13134</v>
      </c>
      <c r="U2849" t="s">
        <v>13134</v>
      </c>
      <c r="V2849" t="s">
        <v>13134</v>
      </c>
      <c r="W2849" t="s">
        <v>15932</v>
      </c>
      <c r="X2849">
        <v>7</v>
      </c>
      <c r="Y2849" t="s">
        <v>22366</v>
      </c>
      <c r="Z2849" t="s">
        <v>28817</v>
      </c>
      <c r="AA2849">
        <v>0.45856026686407297</v>
      </c>
      <c r="AB2849" t="str">
        <f>HYPERLINK("Melting_Curves/meltCurve_P51970_NDUFA8.pdf", "Melting_Curves/meltCurve_P51970_NDUFA8.pdf")</f>
        <v>Melting_Curves/meltCurve_P51970_NDUFA8.pdf</v>
      </c>
    </row>
    <row r="2850" spans="1:28" x14ac:dyDescent="0.25">
      <c r="A2850" t="s">
        <v>2854</v>
      </c>
      <c r="B2850">
        <v>0.99472303558308395</v>
      </c>
      <c r="C2850">
        <v>0.91869426419477696</v>
      </c>
      <c r="D2850">
        <v>0.85360875896687805</v>
      </c>
      <c r="E2850">
        <v>0.76833087182174697</v>
      </c>
      <c r="F2850">
        <v>0.36533653581285402</v>
      </c>
      <c r="G2850">
        <v>0.14456700666900599</v>
      </c>
      <c r="H2850">
        <v>8.8998553745566006E-2</v>
      </c>
      <c r="I2850">
        <v>7.8279591856445493E-2</v>
      </c>
      <c r="J2850">
        <v>9.0740577355557003E-2</v>
      </c>
      <c r="K2850">
        <v>8.5631907627532394E-2</v>
      </c>
      <c r="L2850">
        <v>995.38334751303796</v>
      </c>
      <c r="M2850">
        <v>20.536726072117698</v>
      </c>
      <c r="N2850">
        <v>48.803000980137703</v>
      </c>
      <c r="O2850">
        <v>48.015911717019797</v>
      </c>
      <c r="P2850">
        <v>-9.9908995841519799E-2</v>
      </c>
      <c r="Q2850">
        <v>6.5658167610809906E-2</v>
      </c>
      <c r="R2850">
        <v>0.98843126007789395</v>
      </c>
      <c r="S2850" t="s">
        <v>9418</v>
      </c>
      <c r="T2850" t="s">
        <v>13134</v>
      </c>
      <c r="U2850" t="s">
        <v>13134</v>
      </c>
      <c r="V2850" t="s">
        <v>13134</v>
      </c>
      <c r="W2850" t="s">
        <v>15933</v>
      </c>
      <c r="X2850">
        <v>5</v>
      </c>
      <c r="Y2850" t="s">
        <v>22367</v>
      </c>
      <c r="Z2850" t="s">
        <v>28818</v>
      </c>
      <c r="AA2850">
        <v>0.43454136722660458</v>
      </c>
      <c r="AB2850" t="str">
        <f>HYPERLINK("Melting_Curves/meltCurve_P51991_HNRNPA3.pdf", "Melting_Curves/meltCurve_P51991_HNRNPA3.pdf")</f>
        <v>Melting_Curves/meltCurve_P51991_HNRNPA3.pdf</v>
      </c>
    </row>
    <row r="2851" spans="1:28" x14ac:dyDescent="0.25">
      <c r="A2851" t="s">
        <v>2855</v>
      </c>
      <c r="B2851">
        <v>0.99472303558308395</v>
      </c>
      <c r="C2851">
        <v>0.86179856202838501</v>
      </c>
      <c r="D2851">
        <v>0.869507455955014</v>
      </c>
      <c r="E2851">
        <v>0.44828757879937597</v>
      </c>
      <c r="F2851">
        <v>0.156865694298365</v>
      </c>
      <c r="G2851">
        <v>8.4105200222014398E-2</v>
      </c>
      <c r="H2851">
        <v>4.8137341161819301E-2</v>
      </c>
      <c r="I2851">
        <v>3.9711510072506298E-2</v>
      </c>
      <c r="J2851">
        <v>4.0052722877285001E-2</v>
      </c>
      <c r="K2851">
        <v>3.70199760712576E-2</v>
      </c>
      <c r="L2851">
        <v>1000.00383057303</v>
      </c>
      <c r="M2851">
        <v>21.728220054290102</v>
      </c>
      <c r="N2851">
        <v>46.1790441964827</v>
      </c>
      <c r="O2851">
        <v>45.638759369206397</v>
      </c>
      <c r="P2851">
        <v>-0.114819778066821</v>
      </c>
      <c r="Q2851">
        <v>3.53357229764132E-2</v>
      </c>
      <c r="R2851">
        <v>0.99096165798313596</v>
      </c>
      <c r="S2851" t="s">
        <v>9419</v>
      </c>
      <c r="T2851" t="s">
        <v>13134</v>
      </c>
      <c r="U2851" t="s">
        <v>13134</v>
      </c>
      <c r="V2851" t="s">
        <v>13134</v>
      </c>
      <c r="W2851" t="s">
        <v>15934</v>
      </c>
      <c r="X2851">
        <v>38</v>
      </c>
      <c r="Y2851" t="s">
        <v>20980</v>
      </c>
      <c r="Z2851" t="s">
        <v>28819</v>
      </c>
      <c r="AA2851">
        <v>0.33613756015197749</v>
      </c>
      <c r="AB2851" t="str">
        <f>HYPERLINK("Melting_Curves/meltCurve_P52272_2_HNRNPM.pdf", "Melting_Curves/meltCurve_P52272_2_HNRNPM.pdf")</f>
        <v>Melting_Curves/meltCurve_P52272_2_HNRNPM.pdf</v>
      </c>
    </row>
    <row r="2852" spans="1:28" x14ac:dyDescent="0.25">
      <c r="A2852" t="s">
        <v>2856</v>
      </c>
      <c r="B2852">
        <v>0.99472303558308395</v>
      </c>
      <c r="C2852">
        <v>0.93173568246205796</v>
      </c>
      <c r="D2852">
        <v>0.76538231061734396</v>
      </c>
      <c r="E2852">
        <v>0.2774682228823</v>
      </c>
      <c r="F2852">
        <v>8.8471729008101699E-2</v>
      </c>
      <c r="G2852">
        <v>4.6434501556250202E-2</v>
      </c>
      <c r="H2852">
        <v>3.1075519103358901E-2</v>
      </c>
      <c r="I2852">
        <v>2.1331594258924599E-2</v>
      </c>
      <c r="J2852">
        <v>2.3668454586956999E-2</v>
      </c>
      <c r="K2852">
        <v>2.0382093986407598E-2</v>
      </c>
      <c r="L2852">
        <v>1151.2673780113</v>
      </c>
      <c r="M2852">
        <v>25.702653180871</v>
      </c>
      <c r="N2852">
        <v>44.881471371268702</v>
      </c>
      <c r="O2852">
        <v>44.523269259845797</v>
      </c>
      <c r="P2852">
        <v>-0.140710304248542</v>
      </c>
      <c r="Q2852">
        <v>2.5033363890604701E-2</v>
      </c>
      <c r="R2852">
        <v>0.99915958112832204</v>
      </c>
      <c r="S2852" t="s">
        <v>9420</v>
      </c>
      <c r="T2852" t="s">
        <v>13134</v>
      </c>
      <c r="U2852" t="s">
        <v>13134</v>
      </c>
      <c r="V2852" t="s">
        <v>13134</v>
      </c>
      <c r="W2852" t="s">
        <v>15935</v>
      </c>
      <c r="X2852">
        <v>15</v>
      </c>
      <c r="Y2852" t="s">
        <v>22368</v>
      </c>
      <c r="Z2852" t="s">
        <v>28820</v>
      </c>
      <c r="AA2852">
        <v>0.28579891134992308</v>
      </c>
      <c r="AB2852" t="str">
        <f>HYPERLINK("Melting_Curves/meltCurve_P52292_KPNA2.pdf", "Melting_Curves/meltCurve_P52292_KPNA2.pdf")</f>
        <v>Melting_Curves/meltCurve_P52292_KPNA2.pdf</v>
      </c>
    </row>
    <row r="2853" spans="1:28" x14ac:dyDescent="0.25">
      <c r="A2853" t="s">
        <v>2857</v>
      </c>
      <c r="B2853">
        <v>0.99472303558308395</v>
      </c>
      <c r="C2853">
        <v>1.07361664076645</v>
      </c>
      <c r="D2853">
        <v>0.87360365897133496</v>
      </c>
      <c r="E2853">
        <v>0.45235819612929201</v>
      </c>
      <c r="F2853">
        <v>0.161697686955869</v>
      </c>
      <c r="G2853">
        <v>9.7510819165690904E-2</v>
      </c>
      <c r="H2853">
        <v>6.6441439728941801E-2</v>
      </c>
      <c r="I2853">
        <v>5.2105721451454201E-2</v>
      </c>
      <c r="J2853">
        <v>6.9487659171221003E-2</v>
      </c>
      <c r="K2853">
        <v>6.0832271346125802E-2</v>
      </c>
      <c r="L2853">
        <v>1278.66552058612</v>
      </c>
      <c r="M2853">
        <v>27.7705274233865</v>
      </c>
      <c r="N2853">
        <v>46.280535842281999</v>
      </c>
      <c r="O2853">
        <v>45.807196311586601</v>
      </c>
      <c r="P2853">
        <v>-0.14153519141859899</v>
      </c>
      <c r="Q2853">
        <v>6.6164800338505997E-2</v>
      </c>
      <c r="R2853">
        <v>0.99497157972191097</v>
      </c>
      <c r="S2853" t="s">
        <v>9421</v>
      </c>
      <c r="T2853" t="s">
        <v>13134</v>
      </c>
      <c r="U2853" t="s">
        <v>13134</v>
      </c>
      <c r="V2853" t="s">
        <v>13134</v>
      </c>
      <c r="W2853" t="s">
        <v>15936</v>
      </c>
      <c r="X2853">
        <v>13</v>
      </c>
      <c r="Y2853" t="s">
        <v>22369</v>
      </c>
      <c r="Z2853" t="s">
        <v>28821</v>
      </c>
      <c r="AA2853">
        <v>0.35392746162989702</v>
      </c>
      <c r="AB2853" t="str">
        <f>HYPERLINK("Melting_Curves/meltCurve_P52294_KPNA1.pdf", "Melting_Curves/meltCurve_P52294_KPNA1.pdf")</f>
        <v>Melting_Curves/meltCurve_P52294_KPNA1.pdf</v>
      </c>
    </row>
    <row r="2854" spans="1:28" x14ac:dyDescent="0.25">
      <c r="A2854" t="s">
        <v>2858</v>
      </c>
      <c r="B2854">
        <v>0.99472303558308395</v>
      </c>
      <c r="C2854">
        <v>0.946158289628242</v>
      </c>
      <c r="D2854">
        <v>0.928197031540831</v>
      </c>
      <c r="E2854">
        <v>0.87040229127946001</v>
      </c>
      <c r="F2854">
        <v>0.67227522405256301</v>
      </c>
      <c r="G2854">
        <v>0.29037276883684898</v>
      </c>
      <c r="H2854">
        <v>0.107299114682189</v>
      </c>
      <c r="I2854">
        <v>6.5858414237828497E-2</v>
      </c>
      <c r="J2854">
        <v>8.4648657639506006E-2</v>
      </c>
      <c r="K2854">
        <v>6.1277036874285797E-2</v>
      </c>
      <c r="L2854">
        <v>1113.72919758597</v>
      </c>
      <c r="M2854">
        <v>21.704073697917</v>
      </c>
      <c r="N2854">
        <v>51.547949000096899</v>
      </c>
      <c r="O2854">
        <v>50.884632222289802</v>
      </c>
      <c r="P2854">
        <v>-0.101640585283109</v>
      </c>
      <c r="Q2854">
        <v>4.6847688734002302E-2</v>
      </c>
      <c r="R2854">
        <v>0.99340239432233202</v>
      </c>
      <c r="S2854" t="s">
        <v>9422</v>
      </c>
      <c r="T2854" t="s">
        <v>13134</v>
      </c>
      <c r="U2854" t="s">
        <v>13134</v>
      </c>
      <c r="V2854" t="s">
        <v>13134</v>
      </c>
      <c r="W2854" t="s">
        <v>15937</v>
      </c>
      <c r="X2854">
        <v>8</v>
      </c>
      <c r="Y2854" t="s">
        <v>22370</v>
      </c>
      <c r="Z2854" t="s">
        <v>28822</v>
      </c>
      <c r="AA2854">
        <v>0.51247949634980627</v>
      </c>
      <c r="AB2854" t="str">
        <f>HYPERLINK("Melting_Curves/meltCurve_P52298_NCBP2.pdf", "Melting_Curves/meltCurve_P52298_NCBP2.pdf")</f>
        <v>Melting_Curves/meltCurve_P52298_NCBP2.pdf</v>
      </c>
    </row>
    <row r="2855" spans="1:28" x14ac:dyDescent="0.25">
      <c r="A2855" t="s">
        <v>2859</v>
      </c>
      <c r="B2855">
        <v>0.99472303558308395</v>
      </c>
      <c r="C2855">
        <v>1.0136192831149899</v>
      </c>
      <c r="D2855">
        <v>0.96292939749584905</v>
      </c>
      <c r="E2855">
        <v>0.76010612310738601</v>
      </c>
      <c r="F2855">
        <v>0.31688816970651801</v>
      </c>
      <c r="G2855">
        <v>0.167180024369638</v>
      </c>
      <c r="H2855">
        <v>0.11176139081440201</v>
      </c>
      <c r="I2855">
        <v>8.7763207699415105E-2</v>
      </c>
      <c r="J2855">
        <v>0.102041692531722</v>
      </c>
      <c r="K2855">
        <v>7.5633201772547107E-2</v>
      </c>
      <c r="L2855">
        <v>1317.22036881604</v>
      </c>
      <c r="M2855">
        <v>27.283049348635199</v>
      </c>
      <c r="N2855">
        <v>48.648623116707597</v>
      </c>
      <c r="O2855">
        <v>48.022671667996299</v>
      </c>
      <c r="P2855">
        <v>-0.12876407236095899</v>
      </c>
      <c r="Q2855">
        <v>9.3424615784134593E-2</v>
      </c>
      <c r="R2855">
        <v>0.99903015636320203</v>
      </c>
      <c r="S2855" t="s">
        <v>9423</v>
      </c>
      <c r="T2855" t="s">
        <v>13134</v>
      </c>
      <c r="U2855" t="s">
        <v>13134</v>
      </c>
      <c r="V2855" t="s">
        <v>13134</v>
      </c>
      <c r="W2855" t="s">
        <v>15938</v>
      </c>
      <c r="X2855">
        <v>15</v>
      </c>
      <c r="Y2855" t="s">
        <v>22371</v>
      </c>
      <c r="Z2855" t="s">
        <v>28823</v>
      </c>
      <c r="AA2855">
        <v>0.4408153264616711</v>
      </c>
      <c r="AB2855" t="str">
        <f>HYPERLINK("Melting_Curves/meltCurve_P52306_RAP1GDS1.pdf", "Melting_Curves/meltCurve_P52306_RAP1GDS1.pdf")</f>
        <v>Melting_Curves/meltCurve_P52306_RAP1GDS1.pdf</v>
      </c>
    </row>
    <row r="2856" spans="1:28" x14ac:dyDescent="0.25">
      <c r="A2856" t="s">
        <v>2860</v>
      </c>
      <c r="B2856">
        <v>0.99472303558308395</v>
      </c>
      <c r="C2856">
        <v>0.93146068979312102</v>
      </c>
      <c r="D2856">
        <v>0.99407054322491395</v>
      </c>
      <c r="E2856">
        <v>0.92782939739874504</v>
      </c>
      <c r="F2856">
        <v>0.62056156205426005</v>
      </c>
      <c r="G2856">
        <v>0.37607433351854302</v>
      </c>
      <c r="H2856">
        <v>9.94932807192251E-2</v>
      </c>
      <c r="I2856">
        <v>4.7385458507848803E-2</v>
      </c>
      <c r="J2856">
        <v>4.8781134059392703E-2</v>
      </c>
      <c r="K2856">
        <v>4.3738387897962E-2</v>
      </c>
      <c r="L2856">
        <v>1040.9238598683</v>
      </c>
      <c r="M2856">
        <v>20.119059240205399</v>
      </c>
      <c r="N2856">
        <v>51.835226057700901</v>
      </c>
      <c r="O2856">
        <v>51.235169348600202</v>
      </c>
      <c r="P2856">
        <v>-9.6359018161435994E-2</v>
      </c>
      <c r="Q2856">
        <v>1.84799224473246E-2</v>
      </c>
      <c r="R2856">
        <v>0.99366812409326</v>
      </c>
      <c r="S2856" t="s">
        <v>9424</v>
      </c>
      <c r="T2856" t="s">
        <v>13134</v>
      </c>
      <c r="U2856" t="s">
        <v>13134</v>
      </c>
      <c r="V2856" t="s">
        <v>13134</v>
      </c>
      <c r="W2856" t="s">
        <v>15939</v>
      </c>
      <c r="X2856">
        <v>14</v>
      </c>
      <c r="Y2856" t="s">
        <v>22372</v>
      </c>
      <c r="Z2856" t="s">
        <v>28824</v>
      </c>
      <c r="AA2856">
        <v>0.51328738952153041</v>
      </c>
      <c r="AB2856" t="str">
        <f>HYPERLINK("Melting_Curves/meltCurve_P52565_ARHGDIA.pdf", "Melting_Curves/meltCurve_P52565_ARHGDIA.pdf")</f>
        <v>Melting_Curves/meltCurve_P52565_ARHGDIA.pdf</v>
      </c>
    </row>
    <row r="2857" spans="1:28" x14ac:dyDescent="0.25">
      <c r="A2857" t="s">
        <v>2861</v>
      </c>
      <c r="B2857">
        <v>0.99472303558308395</v>
      </c>
      <c r="C2857">
        <v>1.01520589804874</v>
      </c>
      <c r="D2857">
        <v>1.0424146226012201</v>
      </c>
      <c r="E2857">
        <v>0.95374118736027902</v>
      </c>
      <c r="F2857">
        <v>0.64522616466206295</v>
      </c>
      <c r="G2857">
        <v>0.38558909094406901</v>
      </c>
      <c r="H2857">
        <v>0.126138566367127</v>
      </c>
      <c r="I2857">
        <v>6.3921824203229005E-2</v>
      </c>
      <c r="J2857">
        <v>6.1638291453706397E-2</v>
      </c>
      <c r="K2857">
        <v>4.7864642135185903E-2</v>
      </c>
      <c r="L2857">
        <v>1112.2945064309199</v>
      </c>
      <c r="M2857">
        <v>21.4242442812684</v>
      </c>
      <c r="N2857">
        <v>52.102530822526397</v>
      </c>
      <c r="O2857">
        <v>51.471579640101801</v>
      </c>
      <c r="P2857">
        <v>-0.100250568953479</v>
      </c>
      <c r="Q2857">
        <v>3.6619007433636303E-2</v>
      </c>
      <c r="R2857">
        <v>0.99538772946907295</v>
      </c>
      <c r="S2857" t="s">
        <v>9425</v>
      </c>
      <c r="T2857" t="s">
        <v>13134</v>
      </c>
      <c r="U2857" t="s">
        <v>13134</v>
      </c>
      <c r="V2857" t="s">
        <v>13134</v>
      </c>
      <c r="W2857" t="s">
        <v>15940</v>
      </c>
      <c r="X2857">
        <v>7</v>
      </c>
      <c r="Y2857" t="s">
        <v>22373</v>
      </c>
      <c r="Z2857" t="s">
        <v>28825</v>
      </c>
      <c r="AA2857">
        <v>0.52681199162450765</v>
      </c>
      <c r="AB2857" t="str">
        <f>HYPERLINK("Melting_Curves/meltCurve_P52566_ARHGDIB.pdf", "Melting_Curves/meltCurve_P52566_ARHGDIB.pdf")</f>
        <v>Melting_Curves/meltCurve_P52566_ARHGDIB.pdf</v>
      </c>
    </row>
    <row r="2858" spans="1:28" x14ac:dyDescent="0.25">
      <c r="A2858" t="s">
        <v>2862</v>
      </c>
      <c r="B2858">
        <v>0.99472303558308395</v>
      </c>
      <c r="C2858">
        <v>0.84330028565822401</v>
      </c>
      <c r="D2858">
        <v>0.821487034548402</v>
      </c>
      <c r="E2858">
        <v>0.42288557565602802</v>
      </c>
      <c r="F2858">
        <v>0.114674200306369</v>
      </c>
      <c r="G2858">
        <v>6.7777257786342499E-2</v>
      </c>
      <c r="H2858">
        <v>4.52634847476494E-2</v>
      </c>
      <c r="I2858">
        <v>3.1589605996669101E-2</v>
      </c>
      <c r="J2858">
        <v>3.3522384710822202E-2</v>
      </c>
      <c r="K2858">
        <v>2.7170534704964701E-2</v>
      </c>
      <c r="L2858">
        <v>929.43915710743795</v>
      </c>
      <c r="M2858">
        <v>20.363093967050101</v>
      </c>
      <c r="N2858">
        <v>45.747078604156002</v>
      </c>
      <c r="O2858">
        <v>45.209982291453301</v>
      </c>
      <c r="P2858">
        <v>-0.110065004353635</v>
      </c>
      <c r="Q2858">
        <v>2.25681159980025E-2</v>
      </c>
      <c r="R2858">
        <v>0.98943809493775403</v>
      </c>
      <c r="S2858" t="s">
        <v>9426</v>
      </c>
      <c r="T2858" t="s">
        <v>13134</v>
      </c>
      <c r="U2858" t="s">
        <v>13134</v>
      </c>
      <c r="V2858" t="s">
        <v>13134</v>
      </c>
      <c r="W2858" t="s">
        <v>15941</v>
      </c>
      <c r="X2858">
        <v>14</v>
      </c>
      <c r="Y2858" t="s">
        <v>22374</v>
      </c>
      <c r="Z2858" t="s">
        <v>28826</v>
      </c>
      <c r="AA2858">
        <v>0.31650056464989951</v>
      </c>
      <c r="AB2858" t="str">
        <f>HYPERLINK("Melting_Curves/meltCurve_P52597_HNRNPF.pdf", "Melting_Curves/meltCurve_P52597_HNRNPF.pdf")</f>
        <v>Melting_Curves/meltCurve_P52597_HNRNPF.pdf</v>
      </c>
    </row>
    <row r="2859" spans="1:28" x14ac:dyDescent="0.25">
      <c r="A2859" t="s">
        <v>2863</v>
      </c>
      <c r="B2859">
        <v>0.99472303558308395</v>
      </c>
      <c r="C2859">
        <v>0.97910668689421698</v>
      </c>
      <c r="D2859">
        <v>0.784176543007022</v>
      </c>
      <c r="E2859">
        <v>0.40468355919535998</v>
      </c>
      <c r="F2859">
        <v>0.19816904562359999</v>
      </c>
      <c r="G2859">
        <v>0.102801289969156</v>
      </c>
      <c r="H2859">
        <v>6.93324152746332E-2</v>
      </c>
      <c r="I2859">
        <v>5.4501632898793999E-2</v>
      </c>
      <c r="J2859">
        <v>7.0352334273744294E-2</v>
      </c>
      <c r="K2859">
        <v>3.9456548105640497E-2</v>
      </c>
      <c r="L2859">
        <v>944.76269043719799</v>
      </c>
      <c r="M2859">
        <v>20.7456930376296</v>
      </c>
      <c r="N2859">
        <v>45.809872391008703</v>
      </c>
      <c r="O2859">
        <v>45.123393328668797</v>
      </c>
      <c r="P2859">
        <v>-0.108334608512343</v>
      </c>
      <c r="Q2859">
        <v>5.7484290906860802E-2</v>
      </c>
      <c r="R2859">
        <v>0.998604827604058</v>
      </c>
      <c r="S2859" t="s">
        <v>9427</v>
      </c>
      <c r="T2859" t="s">
        <v>13134</v>
      </c>
      <c r="U2859" t="s">
        <v>13134</v>
      </c>
      <c r="V2859" t="s">
        <v>13134</v>
      </c>
      <c r="W2859" t="s">
        <v>15942</v>
      </c>
      <c r="X2859">
        <v>14</v>
      </c>
      <c r="Y2859" t="s">
        <v>22375</v>
      </c>
      <c r="Z2859" t="s">
        <v>28827</v>
      </c>
      <c r="AA2859">
        <v>0.33723117028762939</v>
      </c>
      <c r="AB2859" t="str">
        <f>HYPERLINK("Melting_Curves/meltCurve_P52630_4_STAT2.pdf", "Melting_Curves/meltCurve_P52630_4_STAT2.pdf")</f>
        <v>Melting_Curves/meltCurve_P52630_4_STAT2.pdf</v>
      </c>
    </row>
    <row r="2860" spans="1:28" x14ac:dyDescent="0.25">
      <c r="A2860" t="s">
        <v>2864</v>
      </c>
      <c r="B2860">
        <v>0.99472303558308395</v>
      </c>
      <c r="C2860">
        <v>0.92098233555645703</v>
      </c>
      <c r="D2860">
        <v>0.92613133346794096</v>
      </c>
      <c r="E2860">
        <v>0.91659014650580195</v>
      </c>
      <c r="F2860">
        <v>0.927492918722024</v>
      </c>
      <c r="G2860">
        <v>0.61952589463785801</v>
      </c>
      <c r="H2860">
        <v>0.59945248917257299</v>
      </c>
      <c r="I2860">
        <v>0.49084983617572298</v>
      </c>
      <c r="J2860">
        <v>0.54724066196756704</v>
      </c>
      <c r="K2860">
        <v>0.526738141543868</v>
      </c>
      <c r="L2860">
        <v>1991.7048060586301</v>
      </c>
      <c r="M2860">
        <v>38.261647708558598</v>
      </c>
      <c r="O2860">
        <v>51.913275859103202</v>
      </c>
      <c r="P2860">
        <v>-8.5863067509559798E-2</v>
      </c>
      <c r="Q2860">
        <v>0.53400625931041901</v>
      </c>
      <c r="R2860">
        <v>0.93761827451511703</v>
      </c>
      <c r="S2860" t="s">
        <v>9428</v>
      </c>
      <c r="T2860" t="s">
        <v>13134</v>
      </c>
      <c r="U2860" t="s">
        <v>13134</v>
      </c>
      <c r="V2860" t="s">
        <v>13134</v>
      </c>
      <c r="W2860" t="s">
        <v>15943</v>
      </c>
      <c r="X2860">
        <v>2</v>
      </c>
      <c r="Y2860" t="s">
        <v>22376</v>
      </c>
      <c r="Z2860" t="s">
        <v>28828</v>
      </c>
      <c r="AA2860">
        <v>0.76968251846505076</v>
      </c>
      <c r="AB2860" t="str">
        <f>HYPERLINK("Melting_Curves/meltCurve_P52655_GTF2A1.pdf", "Melting_Curves/meltCurve_P52655_GTF2A1.pdf")</f>
        <v>Melting_Curves/meltCurve_P52655_GTF2A1.pdf</v>
      </c>
    </row>
    <row r="2861" spans="1:28" x14ac:dyDescent="0.25">
      <c r="A2861" t="s">
        <v>2865</v>
      </c>
      <c r="B2861">
        <v>0.99472303558308395</v>
      </c>
      <c r="C2861">
        <v>1.21079525015297</v>
      </c>
      <c r="D2861">
        <v>1.0307007239724799</v>
      </c>
      <c r="E2861">
        <v>0.97126317316533195</v>
      </c>
      <c r="F2861">
        <v>0.67058350134502198</v>
      </c>
      <c r="G2861">
        <v>0.662863784485761</v>
      </c>
      <c r="H2861">
        <v>0.45849160629463298</v>
      </c>
      <c r="I2861">
        <v>0.59664787347577997</v>
      </c>
      <c r="J2861">
        <v>0.86871935161810598</v>
      </c>
      <c r="K2861">
        <v>0.46896249530411299</v>
      </c>
      <c r="L2861">
        <v>2668.9716019165398</v>
      </c>
      <c r="M2861">
        <v>54.808084629936801</v>
      </c>
      <c r="O2861">
        <v>48.631984174032297</v>
      </c>
      <c r="P2861">
        <v>-0.109828173418414</v>
      </c>
      <c r="Q2861">
        <v>0.61019195954474703</v>
      </c>
      <c r="R2861">
        <v>0.73518657601702098</v>
      </c>
      <c r="S2861" t="s">
        <v>9429</v>
      </c>
      <c r="T2861" t="s">
        <v>13134</v>
      </c>
      <c r="U2861" t="s">
        <v>13134</v>
      </c>
      <c r="V2861" t="s">
        <v>13134</v>
      </c>
      <c r="W2861" t="s">
        <v>15944</v>
      </c>
      <c r="X2861">
        <v>4</v>
      </c>
      <c r="Y2861" t="s">
        <v>22377</v>
      </c>
      <c r="Z2861" t="s">
        <v>28829</v>
      </c>
      <c r="AA2861">
        <v>0.7628701095412348</v>
      </c>
      <c r="AB2861" t="str">
        <f>HYPERLINK("Melting_Curves/meltCurve_P52657_GTF2A2.pdf", "Melting_Curves/meltCurve_P52657_GTF2A2.pdf")</f>
        <v>Melting_Curves/meltCurve_P52657_GTF2A2.pdf</v>
      </c>
    </row>
    <row r="2862" spans="1:28" x14ac:dyDescent="0.25">
      <c r="A2862" t="s">
        <v>2866</v>
      </c>
      <c r="B2862">
        <v>0.99472303558308395</v>
      </c>
      <c r="C2862">
        <v>0.85211146767691504</v>
      </c>
      <c r="D2862">
        <v>0.77108768666272898</v>
      </c>
      <c r="E2862">
        <v>0.31313474601806601</v>
      </c>
      <c r="F2862">
        <v>0.104779475525168</v>
      </c>
      <c r="G2862">
        <v>6.5532382807993103E-2</v>
      </c>
      <c r="H2862">
        <v>5.0367391490551E-2</v>
      </c>
      <c r="I2862">
        <v>4.0278369020690701E-2</v>
      </c>
      <c r="J2862">
        <v>4.9711017872074999E-2</v>
      </c>
      <c r="K2862">
        <v>4.2785865029942201E-2</v>
      </c>
      <c r="L2862">
        <v>982.22448727456901</v>
      </c>
      <c r="M2862">
        <v>21.925480268969899</v>
      </c>
      <c r="N2862">
        <v>44.964217976600203</v>
      </c>
      <c r="O2862">
        <v>44.430644392939598</v>
      </c>
      <c r="P2862">
        <v>-0.118578367856105</v>
      </c>
      <c r="Q2862">
        <v>3.8854515818181501E-2</v>
      </c>
      <c r="R2862">
        <v>0.99242119876028601</v>
      </c>
      <c r="S2862" t="s">
        <v>9430</v>
      </c>
      <c r="T2862" t="s">
        <v>13134</v>
      </c>
      <c r="U2862" t="s">
        <v>13134</v>
      </c>
      <c r="V2862" t="s">
        <v>13134</v>
      </c>
      <c r="W2862" t="s">
        <v>15945</v>
      </c>
      <c r="X2862">
        <v>41</v>
      </c>
      <c r="Y2862" t="s">
        <v>22378</v>
      </c>
      <c r="Z2862" t="s">
        <v>28830</v>
      </c>
      <c r="AA2862">
        <v>0.29911095526276499</v>
      </c>
      <c r="AB2862" t="str">
        <f>HYPERLINK("Melting_Curves/meltCurve_P52701_MSH6.pdf", "Melting_Curves/meltCurve_P52701_MSH6.pdf")</f>
        <v>Melting_Curves/meltCurve_P52701_MSH6.pdf</v>
      </c>
    </row>
    <row r="2863" spans="1:28" x14ac:dyDescent="0.25">
      <c r="A2863" t="s">
        <v>2867</v>
      </c>
      <c r="B2863">
        <v>0.99472303558308395</v>
      </c>
      <c r="C2863">
        <v>0.942795142170059</v>
      </c>
      <c r="D2863">
        <v>0.85218458518415796</v>
      </c>
      <c r="E2863">
        <v>0.387463036961121</v>
      </c>
      <c r="F2863">
        <v>0.137314564154356</v>
      </c>
      <c r="G2863">
        <v>7.9402420932436504E-2</v>
      </c>
      <c r="H2863">
        <v>4.94069783304283E-2</v>
      </c>
      <c r="I2863">
        <v>3.7346187859573103E-2</v>
      </c>
      <c r="J2863">
        <v>4.1475919353014701E-2</v>
      </c>
      <c r="K2863">
        <v>3.78238191599801E-2</v>
      </c>
      <c r="L2863">
        <v>1160.6800903692299</v>
      </c>
      <c r="M2863">
        <v>25.4331954072514</v>
      </c>
      <c r="N2863">
        <v>45.801829522631401</v>
      </c>
      <c r="O2863">
        <v>45.357112291572697</v>
      </c>
      <c r="P2863">
        <v>-0.13403388439219299</v>
      </c>
      <c r="Q2863">
        <v>4.3877808787423297E-2</v>
      </c>
      <c r="R2863">
        <v>0.99868908024629399</v>
      </c>
      <c r="S2863" t="s">
        <v>9431</v>
      </c>
      <c r="T2863" t="s">
        <v>13134</v>
      </c>
      <c r="U2863" t="s">
        <v>13134</v>
      </c>
      <c r="V2863" t="s">
        <v>13134</v>
      </c>
      <c r="W2863" t="s">
        <v>15946</v>
      </c>
      <c r="X2863">
        <v>34</v>
      </c>
      <c r="Y2863" t="s">
        <v>22379</v>
      </c>
      <c r="Z2863" t="s">
        <v>28831</v>
      </c>
      <c r="AA2863">
        <v>0.3267419300713616</v>
      </c>
      <c r="AB2863" t="str">
        <f>HYPERLINK("Melting_Curves/meltCurve_P52732_KIF11.pdf", "Melting_Curves/meltCurve_P52732_KIF11.pdf")</f>
        <v>Melting_Curves/meltCurve_P52732_KIF11.pdf</v>
      </c>
    </row>
    <row r="2864" spans="1:28" x14ac:dyDescent="0.25">
      <c r="A2864" t="s">
        <v>2868</v>
      </c>
      <c r="B2864">
        <v>0.99472303558308395</v>
      </c>
      <c r="C2864">
        <v>1.0565351029049099</v>
      </c>
      <c r="D2864">
        <v>0.99240459102130896</v>
      </c>
      <c r="E2864">
        <v>0.92275440126865005</v>
      </c>
      <c r="F2864">
        <v>0.82006689953499501</v>
      </c>
      <c r="G2864">
        <v>0.68254320108460598</v>
      </c>
      <c r="H2864">
        <v>0.51642253397867099</v>
      </c>
      <c r="I2864">
        <v>0.65664878547873395</v>
      </c>
      <c r="J2864">
        <v>0.84871586917499398</v>
      </c>
      <c r="K2864">
        <v>0.60479211053868398</v>
      </c>
      <c r="L2864">
        <v>1476.48043656557</v>
      </c>
      <c r="M2864">
        <v>29.814684167967599</v>
      </c>
      <c r="O2864">
        <v>49.300738367934301</v>
      </c>
      <c r="P2864">
        <v>-5.1825409459644499E-2</v>
      </c>
      <c r="Q2864">
        <v>0.65721404167685804</v>
      </c>
      <c r="R2864">
        <v>0.78858320778343904</v>
      </c>
      <c r="S2864" t="s">
        <v>9432</v>
      </c>
      <c r="T2864" t="s">
        <v>13134</v>
      </c>
      <c r="U2864" t="s">
        <v>13134</v>
      </c>
      <c r="V2864" t="s">
        <v>13134</v>
      </c>
      <c r="W2864" t="s">
        <v>15947</v>
      </c>
      <c r="X2864">
        <v>5</v>
      </c>
      <c r="Y2864" t="s">
        <v>22380</v>
      </c>
      <c r="Z2864" t="s">
        <v>28832</v>
      </c>
      <c r="AA2864">
        <v>0.80240429507807887</v>
      </c>
      <c r="AB2864" t="str">
        <f>HYPERLINK("Melting_Curves/meltCurve_P52758_HRSP12.pdf", "Melting_Curves/meltCurve_P52758_HRSP12.pdf")</f>
        <v>Melting_Curves/meltCurve_P52758_HRSP12.pdf</v>
      </c>
    </row>
    <row r="2865" spans="1:28" x14ac:dyDescent="0.25">
      <c r="A2865" t="s">
        <v>2869</v>
      </c>
      <c r="B2865">
        <v>0.99472303558308395</v>
      </c>
      <c r="C2865">
        <v>1.02040502254268</v>
      </c>
      <c r="D2865">
        <v>1.0092875032862301</v>
      </c>
      <c r="E2865">
        <v>0.92201916344768398</v>
      </c>
      <c r="F2865">
        <v>0.74717513288937498</v>
      </c>
      <c r="G2865">
        <v>0.61724692132262204</v>
      </c>
      <c r="H2865">
        <v>0.43209900281161401</v>
      </c>
      <c r="I2865">
        <v>0.25390037518150799</v>
      </c>
      <c r="J2865">
        <v>0.12590428749996199</v>
      </c>
      <c r="K2865">
        <v>0.13284078409744501</v>
      </c>
      <c r="L2865">
        <v>681.33993121954495</v>
      </c>
      <c r="M2865">
        <v>12.243372548554801</v>
      </c>
      <c r="N2865">
        <v>55.649693689087101</v>
      </c>
      <c r="O2865">
        <v>54.227540287762601</v>
      </c>
      <c r="P2865">
        <v>-5.6457019655545601E-2</v>
      </c>
      <c r="Q2865">
        <v>0</v>
      </c>
      <c r="R2865">
        <v>0.99431905534008502</v>
      </c>
      <c r="S2865" t="s">
        <v>9433</v>
      </c>
      <c r="T2865" t="s">
        <v>13134</v>
      </c>
      <c r="U2865" t="s">
        <v>13134</v>
      </c>
      <c r="V2865" t="s">
        <v>13134</v>
      </c>
      <c r="W2865" t="s">
        <v>15948</v>
      </c>
      <c r="X2865">
        <v>24</v>
      </c>
      <c r="Y2865" t="s">
        <v>22381</v>
      </c>
      <c r="Z2865" t="s">
        <v>28833</v>
      </c>
      <c r="AA2865">
        <v>0.63327916920550775</v>
      </c>
      <c r="AB2865" t="str">
        <f>HYPERLINK("Melting_Curves/meltCurve_P52788_SMS.pdf", "Melting_Curves/meltCurve_P52788_SMS.pdf")</f>
        <v>Melting_Curves/meltCurve_P52788_SMS.pdf</v>
      </c>
    </row>
    <row r="2866" spans="1:28" x14ac:dyDescent="0.25">
      <c r="A2866" t="s">
        <v>2870</v>
      </c>
      <c r="B2866">
        <v>0.99472303558308395</v>
      </c>
      <c r="C2866">
        <v>0.92599380593790803</v>
      </c>
      <c r="D2866">
        <v>0.85707927921409699</v>
      </c>
      <c r="E2866">
        <v>0.51361163125202103</v>
      </c>
      <c r="F2866">
        <v>0.15741613090675999</v>
      </c>
      <c r="G2866">
        <v>7.5514975332886494E-2</v>
      </c>
      <c r="H2866">
        <v>4.6797553846965698E-2</v>
      </c>
      <c r="I2866">
        <v>3.3018202599606701E-2</v>
      </c>
      <c r="J2866">
        <v>3.9871847390679602E-2</v>
      </c>
      <c r="K2866">
        <v>3.2244892593122798E-2</v>
      </c>
      <c r="L2866">
        <v>1031.06861094943</v>
      </c>
      <c r="M2866">
        <v>22.209381251496101</v>
      </c>
      <c r="N2866">
        <v>46.552949780335403</v>
      </c>
      <c r="O2866">
        <v>46.053464898685696</v>
      </c>
      <c r="P2866">
        <v>-0.116993615959088</v>
      </c>
      <c r="Q2866">
        <v>2.9627446756726999E-2</v>
      </c>
      <c r="R2866">
        <v>0.99769609866118203</v>
      </c>
      <c r="S2866" t="s">
        <v>9434</v>
      </c>
      <c r="T2866" t="s">
        <v>13134</v>
      </c>
      <c r="U2866" t="s">
        <v>13134</v>
      </c>
      <c r="V2866" t="s">
        <v>13134</v>
      </c>
      <c r="W2866" t="s">
        <v>15949</v>
      </c>
      <c r="X2866">
        <v>42</v>
      </c>
      <c r="Y2866" t="s">
        <v>22382</v>
      </c>
      <c r="Z2866" t="s">
        <v>28834</v>
      </c>
      <c r="AA2866">
        <v>0.34476068407779847</v>
      </c>
      <c r="AB2866" t="str">
        <f>HYPERLINK("Melting_Curves/meltCurve_P52789_HK2.pdf", "Melting_Curves/meltCurve_P52789_HK2.pdf")</f>
        <v>Melting_Curves/meltCurve_P52789_HK2.pdf</v>
      </c>
    </row>
    <row r="2867" spans="1:28" x14ac:dyDescent="0.25">
      <c r="A2867" t="s">
        <v>2871</v>
      </c>
      <c r="B2867">
        <v>0.99472303558308395</v>
      </c>
      <c r="C2867">
        <v>1.02848658618426</v>
      </c>
      <c r="D2867">
        <v>0.71351480160940095</v>
      </c>
      <c r="E2867">
        <v>0.76314540383479701</v>
      </c>
      <c r="F2867">
        <v>0.69276813885726296</v>
      </c>
      <c r="G2867">
        <v>0.35005562365228898</v>
      </c>
      <c r="H2867">
        <v>0.23039829735383499</v>
      </c>
      <c r="I2867">
        <v>0.15142090132054301</v>
      </c>
      <c r="J2867">
        <v>0.21705457029321801</v>
      </c>
      <c r="K2867">
        <v>0.226200640074007</v>
      </c>
      <c r="L2867">
        <v>562.35471398972697</v>
      </c>
      <c r="M2867">
        <v>11.1825538562139</v>
      </c>
      <c r="N2867">
        <v>51.453236814895099</v>
      </c>
      <c r="O2867">
        <v>48.760793936893798</v>
      </c>
      <c r="P2867">
        <v>-5.09392106032606E-2</v>
      </c>
      <c r="Q2867">
        <v>0.111812872098479</v>
      </c>
      <c r="R2867">
        <v>0.93361037722205198</v>
      </c>
      <c r="S2867" t="s">
        <v>9435</v>
      </c>
      <c r="T2867" t="s">
        <v>13134</v>
      </c>
      <c r="U2867" t="s">
        <v>13134</v>
      </c>
      <c r="V2867" t="s">
        <v>13134</v>
      </c>
      <c r="W2867" t="s">
        <v>15950</v>
      </c>
      <c r="X2867">
        <v>8</v>
      </c>
      <c r="Y2867" t="s">
        <v>22383</v>
      </c>
      <c r="Z2867" t="s">
        <v>28835</v>
      </c>
      <c r="AA2867">
        <v>0.53154406900199513</v>
      </c>
      <c r="AB2867" t="str">
        <f>HYPERLINK("Melting_Curves/meltCurve_P52815_MRPL12.pdf", "Melting_Curves/meltCurve_P52815_MRPL12.pdf")</f>
        <v>Melting_Curves/meltCurve_P52815_MRPL12.pdf</v>
      </c>
    </row>
    <row r="2868" spans="1:28" x14ac:dyDescent="0.25">
      <c r="A2868" t="s">
        <v>2872</v>
      </c>
      <c r="B2868">
        <v>0.99472303558308395</v>
      </c>
      <c r="C2868">
        <v>0.93137308605115199</v>
      </c>
      <c r="D2868">
        <v>1.05026619905804</v>
      </c>
      <c r="E2868">
        <v>0.90400391341826702</v>
      </c>
      <c r="F2868">
        <v>0.69613872678620203</v>
      </c>
      <c r="G2868">
        <v>0.57290830368252799</v>
      </c>
      <c r="H2868">
        <v>0.37942429674527201</v>
      </c>
      <c r="I2868">
        <v>0.37998670300412501</v>
      </c>
      <c r="J2868">
        <v>0.26449536463767098</v>
      </c>
      <c r="K2868">
        <v>0.124420821650942</v>
      </c>
      <c r="L2868">
        <v>605.63742737156997</v>
      </c>
      <c r="M2868">
        <v>11.124737414290699</v>
      </c>
      <c r="N2868">
        <v>55.410799608783101</v>
      </c>
      <c r="O2868">
        <v>52.770328199188803</v>
      </c>
      <c r="P2868">
        <v>-4.8055182834344699E-2</v>
      </c>
      <c r="Q2868">
        <v>8.8493307494298901E-2</v>
      </c>
      <c r="R2868">
        <v>0.97207589540682904</v>
      </c>
      <c r="S2868" t="s">
        <v>9436</v>
      </c>
      <c r="T2868" t="s">
        <v>13134</v>
      </c>
      <c r="U2868" t="s">
        <v>13134</v>
      </c>
      <c r="V2868" t="s">
        <v>13134</v>
      </c>
      <c r="W2868" t="s">
        <v>15951</v>
      </c>
      <c r="X2868">
        <v>36</v>
      </c>
      <c r="Y2868" t="s">
        <v>22384</v>
      </c>
      <c r="Z2868" t="s">
        <v>28836</v>
      </c>
      <c r="AA2868">
        <v>0.63311167840787619</v>
      </c>
      <c r="AB2868" t="str">
        <f>HYPERLINK("Melting_Curves/meltCurve_P52888_THOP1.pdf", "Melting_Curves/meltCurve_P52888_THOP1.pdf")</f>
        <v>Melting_Curves/meltCurve_P52888_THOP1.pdf</v>
      </c>
    </row>
    <row r="2869" spans="1:28" x14ac:dyDescent="0.25">
      <c r="A2869" t="s">
        <v>2873</v>
      </c>
      <c r="B2869">
        <v>0.99472303558308395</v>
      </c>
      <c r="C2869">
        <v>0.93169546641314005</v>
      </c>
      <c r="D2869">
        <v>0.96168443567028905</v>
      </c>
      <c r="E2869">
        <v>0.84303374654751395</v>
      </c>
      <c r="F2869">
        <v>0.63383052880926005</v>
      </c>
      <c r="G2869">
        <v>0.27739375264969401</v>
      </c>
      <c r="H2869">
        <v>0.13390995602382599</v>
      </c>
      <c r="I2869">
        <v>9.5866198855486306E-2</v>
      </c>
      <c r="J2869">
        <v>9.86525874641839E-2</v>
      </c>
      <c r="K2869">
        <v>7.3790548507212297E-2</v>
      </c>
      <c r="L2869">
        <v>1023.19627131087</v>
      </c>
      <c r="M2869">
        <v>20.110670255037899</v>
      </c>
      <c r="N2869">
        <v>51.230744659822697</v>
      </c>
      <c r="O2869">
        <v>50.3832214688737</v>
      </c>
      <c r="P2869">
        <v>-9.3344396959336107E-2</v>
      </c>
      <c r="Q2869">
        <v>6.46077086831751E-2</v>
      </c>
      <c r="R2869">
        <v>0.99459142620725605</v>
      </c>
      <c r="S2869" t="s">
        <v>9437</v>
      </c>
      <c r="T2869" t="s">
        <v>13134</v>
      </c>
      <c r="U2869" t="s">
        <v>13134</v>
      </c>
      <c r="V2869" t="s">
        <v>13134</v>
      </c>
      <c r="W2869" t="s">
        <v>15952</v>
      </c>
      <c r="X2869">
        <v>14</v>
      </c>
      <c r="Y2869" t="s">
        <v>22385</v>
      </c>
      <c r="Z2869" t="s">
        <v>28837</v>
      </c>
      <c r="AA2869">
        <v>0.50947570207282122</v>
      </c>
      <c r="AB2869" t="str">
        <f>HYPERLINK("Melting_Curves/meltCurve_P52907_CAPZA1.pdf", "Melting_Curves/meltCurve_P52907_CAPZA1.pdf")</f>
        <v>Melting_Curves/meltCurve_P52907_CAPZA1.pdf</v>
      </c>
    </row>
    <row r="2870" spans="1:28" x14ac:dyDescent="0.25">
      <c r="A2870" t="s">
        <v>2874</v>
      </c>
      <c r="B2870">
        <v>0.99472303558308395</v>
      </c>
      <c r="C2870">
        <v>0.99778234375656305</v>
      </c>
      <c r="D2870">
        <v>0.88150263858004396</v>
      </c>
      <c r="E2870">
        <v>0.75052981044725797</v>
      </c>
      <c r="F2870">
        <v>0.81219319940877799</v>
      </c>
      <c r="G2870">
        <v>0.58314387824235503</v>
      </c>
      <c r="H2870">
        <v>0.540788254094972</v>
      </c>
      <c r="I2870">
        <v>0.54779780281163803</v>
      </c>
      <c r="J2870">
        <v>0.79758212673052498</v>
      </c>
      <c r="K2870">
        <v>0.43039228009091401</v>
      </c>
      <c r="L2870">
        <v>584.36889171771998</v>
      </c>
      <c r="M2870">
        <v>12.324836109666601</v>
      </c>
      <c r="O2870">
        <v>46.217563228929301</v>
      </c>
      <c r="P2870">
        <v>-2.96694120861128E-2</v>
      </c>
      <c r="Q2870">
        <v>0.555061143847421</v>
      </c>
      <c r="R2870">
        <v>0.73799471467927502</v>
      </c>
      <c r="S2870" t="s">
        <v>9438</v>
      </c>
      <c r="T2870" t="s">
        <v>13134</v>
      </c>
      <c r="U2870" t="s">
        <v>13134</v>
      </c>
      <c r="V2870" t="s">
        <v>13134</v>
      </c>
      <c r="W2870" t="s">
        <v>15953</v>
      </c>
      <c r="X2870">
        <v>2</v>
      </c>
      <c r="Y2870" t="s">
        <v>22386</v>
      </c>
      <c r="Z2870" t="s">
        <v>28838</v>
      </c>
      <c r="AA2870">
        <v>0.72326422289768677</v>
      </c>
      <c r="AB2870" t="str">
        <f>HYPERLINK("Melting_Curves/meltCurve_P52943_CRIP2.pdf", "Melting_Curves/meltCurve_P52943_CRIP2.pdf")</f>
        <v>Melting_Curves/meltCurve_P52943_CRIP2.pdf</v>
      </c>
    </row>
    <row r="2871" spans="1:28" x14ac:dyDescent="0.25">
      <c r="A2871" t="s">
        <v>2875</v>
      </c>
      <c r="B2871">
        <v>0.99472303558308395</v>
      </c>
      <c r="C2871">
        <v>0.93182323562476099</v>
      </c>
      <c r="D2871">
        <v>0.66678716943507499</v>
      </c>
      <c r="E2871">
        <v>0.30154162535088402</v>
      </c>
      <c r="F2871">
        <v>0.15812466530243099</v>
      </c>
      <c r="G2871">
        <v>7.2501709491589406E-2</v>
      </c>
      <c r="H2871">
        <v>4.8034165390449197E-2</v>
      </c>
      <c r="I2871">
        <v>3.9166191704444901E-2</v>
      </c>
      <c r="J2871">
        <v>5.2852961237342497E-2</v>
      </c>
      <c r="K2871">
        <v>5.2929733582453502E-2</v>
      </c>
      <c r="L2871">
        <v>908.73588224896503</v>
      </c>
      <c r="M2871">
        <v>20.472648549564902</v>
      </c>
      <c r="N2871">
        <v>44.610673322701601</v>
      </c>
      <c r="O2871">
        <v>43.970800420739401</v>
      </c>
      <c r="P2871">
        <v>-0.110744167803873</v>
      </c>
      <c r="Q2871">
        <v>4.8610604542477703E-2</v>
      </c>
      <c r="R2871">
        <v>0.99874149110995403</v>
      </c>
      <c r="S2871" t="s">
        <v>9439</v>
      </c>
      <c r="T2871" t="s">
        <v>13134</v>
      </c>
      <c r="U2871" t="s">
        <v>13134</v>
      </c>
      <c r="V2871" t="s">
        <v>13134</v>
      </c>
      <c r="W2871" t="s">
        <v>15954</v>
      </c>
      <c r="X2871">
        <v>22</v>
      </c>
      <c r="Y2871" t="s">
        <v>22387</v>
      </c>
      <c r="Z2871" t="s">
        <v>28839</v>
      </c>
      <c r="AA2871">
        <v>0.29489496829014727</v>
      </c>
      <c r="AB2871" t="str">
        <f>HYPERLINK("Melting_Curves/meltCurve_P52948_6_NUP98.pdf", "Melting_Curves/meltCurve_P52948_6_NUP98.pdf")</f>
        <v>Melting_Curves/meltCurve_P52948_6_NUP98.pdf</v>
      </c>
    </row>
    <row r="2872" spans="1:28" x14ac:dyDescent="0.25">
      <c r="A2872" t="s">
        <v>2876</v>
      </c>
      <c r="B2872">
        <v>0.99472303558308395</v>
      </c>
      <c r="C2872">
        <v>0.99551011780410004</v>
      </c>
      <c r="D2872">
        <v>1.05624280356083</v>
      </c>
      <c r="E2872">
        <v>0.94271290134906205</v>
      </c>
      <c r="F2872">
        <v>0.67722359700062695</v>
      </c>
      <c r="G2872">
        <v>0.38976245428523498</v>
      </c>
      <c r="H2872">
        <v>9.5286300278341493E-2</v>
      </c>
      <c r="I2872">
        <v>5.3652515235627501E-2</v>
      </c>
      <c r="J2872">
        <v>5.4330049003285003E-2</v>
      </c>
      <c r="K2872">
        <v>5.6770574871204099E-2</v>
      </c>
      <c r="L2872">
        <v>1177.63183658553</v>
      </c>
      <c r="M2872">
        <v>22.6224257076159</v>
      </c>
      <c r="N2872">
        <v>52.207951469173999</v>
      </c>
      <c r="O2872">
        <v>51.654292092106999</v>
      </c>
      <c r="P2872">
        <v>-0.106002471716337</v>
      </c>
      <c r="Q2872">
        <v>3.1867839096616599E-2</v>
      </c>
      <c r="R2872">
        <v>0.99476035178718303</v>
      </c>
      <c r="S2872" t="s">
        <v>9440</v>
      </c>
      <c r="T2872" t="s">
        <v>13134</v>
      </c>
      <c r="U2872" t="s">
        <v>13134</v>
      </c>
      <c r="V2872" t="s">
        <v>13134</v>
      </c>
      <c r="W2872" t="s">
        <v>15955</v>
      </c>
      <c r="X2872">
        <v>14</v>
      </c>
      <c r="Y2872" t="s">
        <v>22388</v>
      </c>
      <c r="Z2872" t="s">
        <v>28840</v>
      </c>
      <c r="AA2872">
        <v>0.52795421309549218</v>
      </c>
      <c r="AB2872" t="str">
        <f>HYPERLINK("Melting_Curves/meltCurve_P53004_BLVRA.pdf", "Melting_Curves/meltCurve_P53004_BLVRA.pdf")</f>
        <v>Melting_Curves/meltCurve_P53004_BLVRA.pdf</v>
      </c>
    </row>
    <row r="2873" spans="1:28" x14ac:dyDescent="0.25">
      <c r="A2873" t="s">
        <v>2877</v>
      </c>
      <c r="B2873">
        <v>0.99472303558308395</v>
      </c>
      <c r="C2873">
        <v>0.92174131337819198</v>
      </c>
      <c r="D2873">
        <v>0.826000900739294</v>
      </c>
      <c r="E2873">
        <v>0.70047589346894801</v>
      </c>
      <c r="F2873">
        <v>0.55335246859291898</v>
      </c>
      <c r="G2873">
        <v>0.37054561485874798</v>
      </c>
      <c r="H2873">
        <v>0.27269229483107599</v>
      </c>
      <c r="I2873">
        <v>0.30781202897426702</v>
      </c>
      <c r="J2873">
        <v>0.27292529513671998</v>
      </c>
      <c r="K2873">
        <v>0.47161807570088199</v>
      </c>
      <c r="L2873">
        <v>686.68469133448195</v>
      </c>
      <c r="M2873">
        <v>14.6270969194874</v>
      </c>
      <c r="N2873">
        <v>50.320943331989703</v>
      </c>
      <c r="O2873">
        <v>46.094777835133399</v>
      </c>
      <c r="P2873">
        <v>-5.4544112748761898E-2</v>
      </c>
      <c r="Q2873">
        <v>0.31253112372424402</v>
      </c>
      <c r="R2873">
        <v>0.94194495932496003</v>
      </c>
      <c r="S2873" t="s">
        <v>9441</v>
      </c>
      <c r="T2873" t="s">
        <v>13134</v>
      </c>
      <c r="U2873" t="s">
        <v>13134</v>
      </c>
      <c r="V2873" t="s">
        <v>13134</v>
      </c>
      <c r="W2873" t="s">
        <v>15956</v>
      </c>
      <c r="X2873">
        <v>15</v>
      </c>
      <c r="Y2873" t="s">
        <v>22389</v>
      </c>
      <c r="Z2873" t="s">
        <v>28841</v>
      </c>
      <c r="AA2873">
        <v>0.55665966318358973</v>
      </c>
      <c r="AB2873" t="str">
        <f>HYPERLINK("Melting_Curves/meltCurve_P53007_SLC25A1.pdf", "Melting_Curves/meltCurve_P53007_SLC25A1.pdf")</f>
        <v>Melting_Curves/meltCurve_P53007_SLC25A1.pdf</v>
      </c>
    </row>
    <row r="2874" spans="1:28" x14ac:dyDescent="0.25">
      <c r="A2874" t="s">
        <v>2878</v>
      </c>
      <c r="B2874">
        <v>0.99472303558308395</v>
      </c>
      <c r="C2874">
        <v>0.90324305311290298</v>
      </c>
      <c r="D2874">
        <v>0.83454236550060201</v>
      </c>
      <c r="E2874">
        <v>0.71945667875174801</v>
      </c>
      <c r="F2874">
        <v>0.57457668267794504</v>
      </c>
      <c r="G2874">
        <v>0.26894057055280002</v>
      </c>
      <c r="H2874">
        <v>7.4769459301428504E-2</v>
      </c>
      <c r="I2874">
        <v>4.9608620909909799E-2</v>
      </c>
      <c r="J2874">
        <v>5.46790840560877E-2</v>
      </c>
      <c r="K2874">
        <v>4.2092146768540298E-2</v>
      </c>
      <c r="L2874">
        <v>672.17108410399305</v>
      </c>
      <c r="M2874">
        <v>13.448335844523699</v>
      </c>
      <c r="N2874">
        <v>49.981739429140497</v>
      </c>
      <c r="O2874">
        <v>48.915384839032697</v>
      </c>
      <c r="P2874">
        <v>-6.8743289370641905E-2</v>
      </c>
      <c r="Q2874">
        <v>0</v>
      </c>
      <c r="R2874">
        <v>0.98344970179548097</v>
      </c>
      <c r="S2874" t="s">
        <v>9442</v>
      </c>
      <c r="T2874" t="s">
        <v>13134</v>
      </c>
      <c r="U2874" t="s">
        <v>13134</v>
      </c>
      <c r="V2874" t="s">
        <v>13134</v>
      </c>
      <c r="W2874" t="s">
        <v>15957</v>
      </c>
      <c r="X2874">
        <v>24</v>
      </c>
      <c r="Y2874" t="s">
        <v>22390</v>
      </c>
      <c r="Z2874" t="s">
        <v>28842</v>
      </c>
      <c r="AA2874">
        <v>0.45704705789549971</v>
      </c>
      <c r="AB2874" t="str">
        <f>HYPERLINK("Melting_Curves/meltCurve_P53350_PLK1.pdf", "Melting_Curves/meltCurve_P53350_PLK1.pdf")</f>
        <v>Melting_Curves/meltCurve_P53350_PLK1.pdf</v>
      </c>
    </row>
    <row r="2875" spans="1:28" x14ac:dyDescent="0.25">
      <c r="A2875" t="s">
        <v>2879</v>
      </c>
      <c r="B2875">
        <v>0.99472303558308395</v>
      </c>
      <c r="C2875">
        <v>1.0043577103841099</v>
      </c>
      <c r="D2875">
        <v>0.92443924311824199</v>
      </c>
      <c r="E2875">
        <v>0.77184796206984196</v>
      </c>
      <c r="F2875">
        <v>0.478248665485353</v>
      </c>
      <c r="G2875">
        <v>0.18562372608351799</v>
      </c>
      <c r="H2875">
        <v>0.17282227369030501</v>
      </c>
      <c r="I2875">
        <v>8.96365553604931E-2</v>
      </c>
      <c r="J2875">
        <v>0.13701668748488099</v>
      </c>
      <c r="K2875">
        <v>0.15732751525184399</v>
      </c>
      <c r="L2875">
        <v>1046.53173759216</v>
      </c>
      <c r="M2875">
        <v>21.3710856361864</v>
      </c>
      <c r="N2875">
        <v>49.599444305929403</v>
      </c>
      <c r="O2875">
        <v>48.546796766872703</v>
      </c>
      <c r="P2875">
        <v>-9.6976385247361102E-2</v>
      </c>
      <c r="Q2875">
        <v>0.118851506983969</v>
      </c>
      <c r="R2875">
        <v>0.99429788704812905</v>
      </c>
      <c r="S2875" t="s">
        <v>9443</v>
      </c>
      <c r="T2875" t="s">
        <v>13134</v>
      </c>
      <c r="U2875" t="s">
        <v>13134</v>
      </c>
      <c r="V2875" t="s">
        <v>13134</v>
      </c>
      <c r="W2875" t="s">
        <v>15958</v>
      </c>
      <c r="X2875">
        <v>12</v>
      </c>
      <c r="Y2875" t="s">
        <v>22391</v>
      </c>
      <c r="Z2875" t="s">
        <v>28843</v>
      </c>
      <c r="AA2875">
        <v>0.48068515027151232</v>
      </c>
      <c r="AB2875" t="str">
        <f>HYPERLINK("Melting_Curves/meltCurve_P53365_ARFIP2.pdf", "Melting_Curves/meltCurve_P53365_ARFIP2.pdf")</f>
        <v>Melting_Curves/meltCurve_P53365_ARFIP2.pdf</v>
      </c>
    </row>
    <row r="2876" spans="1:28" x14ac:dyDescent="0.25">
      <c r="A2876" t="s">
        <v>2880</v>
      </c>
      <c r="B2876">
        <v>0.99472303558308395</v>
      </c>
      <c r="C2876">
        <v>1.13122172527627</v>
      </c>
      <c r="D2876">
        <v>0.91674315204247503</v>
      </c>
      <c r="E2876">
        <v>0.61418473039778099</v>
      </c>
      <c r="F2876">
        <v>0.33637569839369602</v>
      </c>
      <c r="G2876">
        <v>0.21073763019278699</v>
      </c>
      <c r="H2876">
        <v>0.14822704465064801</v>
      </c>
      <c r="I2876">
        <v>4.1679088626530997E-2</v>
      </c>
      <c r="J2876">
        <v>4.8143300938101097E-2</v>
      </c>
      <c r="K2876">
        <v>7.3910289755927505E-2</v>
      </c>
      <c r="L2876">
        <v>921.54025471821706</v>
      </c>
      <c r="M2876">
        <v>19.261637244423898</v>
      </c>
      <c r="N2876">
        <v>48.217325949250103</v>
      </c>
      <c r="O2876">
        <v>47.336566980864198</v>
      </c>
      <c r="P2876">
        <v>-9.4671372266732001E-2</v>
      </c>
      <c r="Q2876">
        <v>6.9394132286228899E-2</v>
      </c>
      <c r="R2876">
        <v>0.98133430079853501</v>
      </c>
      <c r="S2876" t="s">
        <v>9444</v>
      </c>
      <c r="T2876" t="s">
        <v>13134</v>
      </c>
      <c r="U2876" t="s">
        <v>13134</v>
      </c>
      <c r="V2876" t="s">
        <v>13134</v>
      </c>
      <c r="W2876" t="s">
        <v>15959</v>
      </c>
      <c r="X2876">
        <v>13</v>
      </c>
      <c r="Y2876" t="s">
        <v>22392</v>
      </c>
      <c r="Z2876" t="s">
        <v>28844</v>
      </c>
      <c r="AA2876">
        <v>0.41887649261158388</v>
      </c>
      <c r="AB2876" t="str">
        <f>HYPERLINK("Melting_Curves/meltCurve_P53367_ARFIP1.pdf", "Melting_Curves/meltCurve_P53367_ARFIP1.pdf")</f>
        <v>Melting_Curves/meltCurve_P53367_ARFIP1.pdf</v>
      </c>
    </row>
    <row r="2877" spans="1:28" x14ac:dyDescent="0.25">
      <c r="A2877" t="s">
        <v>2881</v>
      </c>
      <c r="B2877">
        <v>0.99472303558308395</v>
      </c>
      <c r="C2877">
        <v>0.95826857426947298</v>
      </c>
      <c r="D2877">
        <v>0.96018697267977005</v>
      </c>
      <c r="E2877">
        <v>0.60222068249807104</v>
      </c>
      <c r="F2877">
        <v>0.21935861518500999</v>
      </c>
      <c r="G2877">
        <v>0.11247833833806301</v>
      </c>
      <c r="H2877">
        <v>6.4942916967461503E-2</v>
      </c>
      <c r="I2877">
        <v>6.14114878207681E-2</v>
      </c>
      <c r="J2877">
        <v>6.61361365147589E-2</v>
      </c>
      <c r="K2877">
        <v>6.1763829931715503E-2</v>
      </c>
      <c r="L2877">
        <v>1280.5673936877499</v>
      </c>
      <c r="M2877">
        <v>27.144600749855702</v>
      </c>
      <c r="N2877">
        <v>47.417975311940097</v>
      </c>
      <c r="O2877">
        <v>46.9219615125171</v>
      </c>
      <c r="P2877">
        <v>-0.135265295856</v>
      </c>
      <c r="Q2877">
        <v>6.47346308296982E-2</v>
      </c>
      <c r="R2877">
        <v>0.99862623037876497</v>
      </c>
      <c r="S2877" t="s">
        <v>9445</v>
      </c>
      <c r="T2877" t="s">
        <v>13134</v>
      </c>
      <c r="U2877" t="s">
        <v>13134</v>
      </c>
      <c r="V2877" t="s">
        <v>13134</v>
      </c>
      <c r="W2877" t="s">
        <v>15960</v>
      </c>
      <c r="X2877">
        <v>13</v>
      </c>
      <c r="Y2877" t="s">
        <v>22392</v>
      </c>
      <c r="Z2877" t="s">
        <v>28845</v>
      </c>
      <c r="AA2877">
        <v>0.38864297216615878</v>
      </c>
      <c r="AB2877" t="str">
        <f>HYPERLINK("Melting_Curves/meltCurve_P53367_2_ARFIP1.pdf", "Melting_Curves/meltCurve_P53367_2_ARFIP1.pdf")</f>
        <v>Melting_Curves/meltCurve_P53367_2_ARFIP1.pdf</v>
      </c>
    </row>
    <row r="2878" spans="1:28" x14ac:dyDescent="0.25">
      <c r="A2878" t="s">
        <v>2882</v>
      </c>
      <c r="B2878">
        <v>0.99472303558308395</v>
      </c>
      <c r="C2878">
        <v>0.99381849844318004</v>
      </c>
      <c r="D2878">
        <v>0.95281340210865795</v>
      </c>
      <c r="E2878">
        <v>0.94006242784899996</v>
      </c>
      <c r="F2878">
        <v>0.79017655402356601</v>
      </c>
      <c r="G2878">
        <v>0.54929695003395196</v>
      </c>
      <c r="H2878">
        <v>0.24660448838999799</v>
      </c>
      <c r="I2878">
        <v>8.3115533353366994E-2</v>
      </c>
      <c r="J2878">
        <v>8.2178561237543496E-2</v>
      </c>
      <c r="K2878">
        <v>5.9784060085928903E-2</v>
      </c>
      <c r="L2878">
        <v>1010.78949597774</v>
      </c>
      <c r="M2878">
        <v>18.746021144893501</v>
      </c>
      <c r="N2878">
        <v>54.033601179542401</v>
      </c>
      <c r="O2878">
        <v>53.317857254878298</v>
      </c>
      <c r="P2878">
        <v>-8.6205836577028502E-2</v>
      </c>
      <c r="Q2878">
        <v>1.9286863946905701E-2</v>
      </c>
      <c r="R2878">
        <v>0.99696013659274996</v>
      </c>
      <c r="S2878" t="s">
        <v>9446</v>
      </c>
      <c r="T2878" t="s">
        <v>13134</v>
      </c>
      <c r="U2878" t="s">
        <v>13134</v>
      </c>
      <c r="V2878" t="s">
        <v>13134</v>
      </c>
      <c r="W2878" t="s">
        <v>15961</v>
      </c>
      <c r="X2878">
        <v>8</v>
      </c>
      <c r="Y2878" t="s">
        <v>22393</v>
      </c>
      <c r="Z2878" t="s">
        <v>28846</v>
      </c>
      <c r="AA2878">
        <v>0.58532302576717299</v>
      </c>
      <c r="AB2878" t="str">
        <f>HYPERLINK("Melting_Curves/meltCurve_P53384_2_NUBP1.pdf", "Melting_Curves/meltCurve_P53384_2_NUBP1.pdf")</f>
        <v>Melting_Curves/meltCurve_P53384_2_NUBP1.pdf</v>
      </c>
    </row>
    <row r="2879" spans="1:28" x14ac:dyDescent="0.25">
      <c r="A2879" t="s">
        <v>2883</v>
      </c>
      <c r="B2879">
        <v>0.99472303558308395</v>
      </c>
      <c r="C2879">
        <v>0.89096464189218205</v>
      </c>
      <c r="D2879">
        <v>0.718044658859608</v>
      </c>
      <c r="E2879">
        <v>0.64052819116113102</v>
      </c>
      <c r="F2879">
        <v>0.746662505244027</v>
      </c>
      <c r="G2879">
        <v>0.176590492968207</v>
      </c>
      <c r="H2879">
        <v>6.1954393692535803E-2</v>
      </c>
      <c r="I2879">
        <v>4.2102904582448197E-2</v>
      </c>
      <c r="J2879">
        <v>4.42536611268163E-2</v>
      </c>
      <c r="K2879">
        <v>3.7172353385422401E-2</v>
      </c>
      <c r="L2879">
        <v>595.82214798422206</v>
      </c>
      <c r="M2879">
        <v>12.0120999629316</v>
      </c>
      <c r="N2879">
        <v>49.601850046457699</v>
      </c>
      <c r="O2879">
        <v>48.287102685636</v>
      </c>
      <c r="P2879">
        <v>-6.2205963667866702E-2</v>
      </c>
      <c r="Q2879">
        <v>0</v>
      </c>
      <c r="R2879">
        <v>0.90734396373114101</v>
      </c>
      <c r="S2879" t="s">
        <v>9447</v>
      </c>
      <c r="T2879" t="s">
        <v>13134</v>
      </c>
      <c r="U2879" t="s">
        <v>13134</v>
      </c>
      <c r="V2879" t="s">
        <v>13134</v>
      </c>
      <c r="W2879" t="s">
        <v>15962</v>
      </c>
      <c r="X2879">
        <v>63</v>
      </c>
      <c r="Y2879" t="s">
        <v>22394</v>
      </c>
      <c r="Z2879" t="s">
        <v>28847</v>
      </c>
      <c r="AA2879">
        <v>0.44872820777849032</v>
      </c>
      <c r="AB2879" t="str">
        <f>HYPERLINK("Melting_Curves/meltCurve_P53396_ACLY.pdf", "Melting_Curves/meltCurve_P53396_ACLY.pdf")</f>
        <v>Melting_Curves/meltCurve_P53396_ACLY.pdf</v>
      </c>
    </row>
    <row r="2880" spans="1:28" x14ac:dyDescent="0.25">
      <c r="A2880" t="s">
        <v>2884</v>
      </c>
      <c r="B2880">
        <v>0.99472303558308395</v>
      </c>
      <c r="C2880">
        <v>0.90618664334108501</v>
      </c>
      <c r="D2880">
        <v>1.03496006723483</v>
      </c>
      <c r="E2880">
        <v>0.71441673391490101</v>
      </c>
      <c r="F2880">
        <v>0.390483332741557</v>
      </c>
      <c r="G2880">
        <v>0.24494242720091799</v>
      </c>
      <c r="H2880">
        <v>0.108376219826365</v>
      </c>
      <c r="I2880">
        <v>6.2878068552854993E-2</v>
      </c>
      <c r="J2880">
        <v>8.2901593750808897E-2</v>
      </c>
      <c r="K2880">
        <v>6.9518839614781794E-2</v>
      </c>
      <c r="L2880">
        <v>974.33933536198697</v>
      </c>
      <c r="M2880">
        <v>19.960368484955001</v>
      </c>
      <c r="N2880">
        <v>49.183153069166899</v>
      </c>
      <c r="O2880">
        <v>48.331680296101197</v>
      </c>
      <c r="P2880">
        <v>-9.6062022034550207E-2</v>
      </c>
      <c r="Q2880">
        <v>6.9619386610608E-2</v>
      </c>
      <c r="R2880">
        <v>0.98688720453026002</v>
      </c>
      <c r="S2880" t="s">
        <v>9448</v>
      </c>
      <c r="T2880" t="s">
        <v>13134</v>
      </c>
      <c r="U2880" t="s">
        <v>13134</v>
      </c>
      <c r="V2880" t="s">
        <v>13134</v>
      </c>
      <c r="W2880" t="s">
        <v>15963</v>
      </c>
      <c r="X2880">
        <v>13</v>
      </c>
      <c r="Y2880" t="s">
        <v>22395</v>
      </c>
      <c r="Z2880" t="s">
        <v>28848</v>
      </c>
      <c r="AA2880">
        <v>0.44829180877027253</v>
      </c>
      <c r="AB2880" t="str">
        <f>HYPERLINK("Melting_Curves/meltCurve_P53582_METAP1.pdf", "Melting_Curves/meltCurve_P53582_METAP1.pdf")</f>
        <v>Melting_Curves/meltCurve_P53582_METAP1.pdf</v>
      </c>
    </row>
    <row r="2881" spans="1:28" x14ac:dyDescent="0.25">
      <c r="A2881" t="s">
        <v>2885</v>
      </c>
      <c r="B2881">
        <v>0.99472303558308395</v>
      </c>
      <c r="C2881">
        <v>0.97113017494397802</v>
      </c>
      <c r="D2881">
        <v>1.01834827312668</v>
      </c>
      <c r="E2881">
        <v>0.853730220823119</v>
      </c>
      <c r="F2881">
        <v>0.36706881351305998</v>
      </c>
      <c r="G2881">
        <v>0.110178463540772</v>
      </c>
      <c r="H2881">
        <v>6.2353242672038602E-2</v>
      </c>
      <c r="I2881">
        <v>4.9847648075716802E-2</v>
      </c>
      <c r="J2881">
        <v>6.1148004332754503E-2</v>
      </c>
      <c r="K2881">
        <v>4.5240200487655202E-2</v>
      </c>
      <c r="L2881">
        <v>1575.7784365385901</v>
      </c>
      <c r="M2881">
        <v>32.088047814261799</v>
      </c>
      <c r="N2881">
        <v>49.278120184543802</v>
      </c>
      <c r="O2881">
        <v>48.9184171904298</v>
      </c>
      <c r="P2881">
        <v>-0.15538835291147601</v>
      </c>
      <c r="Q2881">
        <v>5.2443129514268799E-2</v>
      </c>
      <c r="R2881">
        <v>0.99900929628105495</v>
      </c>
      <c r="S2881" t="s">
        <v>9449</v>
      </c>
      <c r="T2881" t="s">
        <v>13134</v>
      </c>
      <c r="U2881" t="s">
        <v>13134</v>
      </c>
      <c r="V2881" t="s">
        <v>13134</v>
      </c>
      <c r="W2881" t="s">
        <v>15964</v>
      </c>
      <c r="X2881">
        <v>9</v>
      </c>
      <c r="Y2881" t="s">
        <v>22396</v>
      </c>
      <c r="Z2881" t="s">
        <v>28849</v>
      </c>
      <c r="AA2881">
        <v>0.43988225180947588</v>
      </c>
      <c r="AB2881" t="str">
        <f>HYPERLINK("Melting_Curves/meltCurve_P53597_SUCLG1.pdf", "Melting_Curves/meltCurve_P53597_SUCLG1.pdf")</f>
        <v>Melting_Curves/meltCurve_P53597_SUCLG1.pdf</v>
      </c>
    </row>
    <row r="2882" spans="1:28" x14ac:dyDescent="0.25">
      <c r="A2882" t="s">
        <v>2886</v>
      </c>
      <c r="B2882">
        <v>0.99472303558308395</v>
      </c>
      <c r="C2882">
        <v>0.96995818153628099</v>
      </c>
      <c r="D2882">
        <v>0.987719953684705</v>
      </c>
      <c r="E2882">
        <v>0.90986413748674999</v>
      </c>
      <c r="F2882">
        <v>0.77385832521890296</v>
      </c>
      <c r="G2882">
        <v>0.49473744799644198</v>
      </c>
      <c r="H2882">
        <v>9.9185454594920994E-2</v>
      </c>
      <c r="I2882">
        <v>5.99032007473006E-2</v>
      </c>
      <c r="J2882">
        <v>5.44908255253789E-2</v>
      </c>
      <c r="K2882">
        <v>5.0165688766781E-2</v>
      </c>
      <c r="L2882">
        <v>1203.73904168065</v>
      </c>
      <c r="M2882">
        <v>22.6677933727102</v>
      </c>
      <c r="N2882">
        <v>53.188683961552599</v>
      </c>
      <c r="O2882">
        <v>52.6953841139456</v>
      </c>
      <c r="P2882">
        <v>-0.105626558341819</v>
      </c>
      <c r="Q2882">
        <v>1.78273330970549E-2</v>
      </c>
      <c r="R2882">
        <v>0.99229543099783302</v>
      </c>
      <c r="S2882" t="s">
        <v>9450</v>
      </c>
      <c r="T2882" t="s">
        <v>13134</v>
      </c>
      <c r="U2882" t="s">
        <v>13134</v>
      </c>
      <c r="V2882" t="s">
        <v>13134</v>
      </c>
      <c r="W2882" t="s">
        <v>15965</v>
      </c>
      <c r="X2882">
        <v>17</v>
      </c>
      <c r="Y2882" t="s">
        <v>22397</v>
      </c>
      <c r="Z2882" t="s">
        <v>28850</v>
      </c>
      <c r="AA2882">
        <v>0.55524022830436026</v>
      </c>
      <c r="AB2882" t="str">
        <f>HYPERLINK("Melting_Curves/meltCurve_P53602_MVD.pdf", "Melting_Curves/meltCurve_P53602_MVD.pdf")</f>
        <v>Melting_Curves/meltCurve_P53602_MVD.pdf</v>
      </c>
    </row>
    <row r="2883" spans="1:28" x14ac:dyDescent="0.25">
      <c r="A2883" t="s">
        <v>2887</v>
      </c>
      <c r="B2883">
        <v>0.99472303558308395</v>
      </c>
      <c r="C2883">
        <v>0.98228586457063005</v>
      </c>
      <c r="D2883">
        <v>1.13693111455704</v>
      </c>
      <c r="E2883">
        <v>0.95156946601831605</v>
      </c>
      <c r="F2883">
        <v>0.70893338092388403</v>
      </c>
      <c r="G2883">
        <v>0.41359196212565902</v>
      </c>
      <c r="H2883">
        <v>0.101373971610008</v>
      </c>
      <c r="I2883">
        <v>5.5930452408286403E-2</v>
      </c>
      <c r="J2883">
        <v>8.9872125865002997E-2</v>
      </c>
      <c r="K2883">
        <v>7.1026467284332095E-2</v>
      </c>
      <c r="L2883">
        <v>1265.4488745337101</v>
      </c>
      <c r="M2883">
        <v>24.221684617247298</v>
      </c>
      <c r="N2883">
        <v>52.480353858806701</v>
      </c>
      <c r="O2883">
        <v>51.892271266353298</v>
      </c>
      <c r="P2883">
        <v>-0.11067513090646</v>
      </c>
      <c r="Q2883">
        <v>5.1577941333964997E-2</v>
      </c>
      <c r="R2883">
        <v>0.98481519996794797</v>
      </c>
      <c r="S2883" t="s">
        <v>9451</v>
      </c>
      <c r="T2883" t="s">
        <v>13134</v>
      </c>
      <c r="U2883" t="s">
        <v>13134</v>
      </c>
      <c r="V2883" t="s">
        <v>13134</v>
      </c>
      <c r="W2883" t="s">
        <v>15966</v>
      </c>
      <c r="X2883">
        <v>9</v>
      </c>
      <c r="Y2883" t="s">
        <v>22398</v>
      </c>
      <c r="Z2883" t="s">
        <v>28851</v>
      </c>
      <c r="AA2883">
        <v>0.54240310587673357</v>
      </c>
      <c r="AB2883" t="str">
        <f>HYPERLINK("Melting_Curves/meltCurve_P53609_PGGT1B.pdf", "Melting_Curves/meltCurve_P53609_PGGT1B.pdf")</f>
        <v>Melting_Curves/meltCurve_P53609_PGGT1B.pdf</v>
      </c>
    </row>
    <row r="2884" spans="1:28" x14ac:dyDescent="0.25">
      <c r="A2884" t="s">
        <v>2888</v>
      </c>
      <c r="B2884">
        <v>0.99472303558308395</v>
      </c>
      <c r="C2884">
        <v>0.86315349721494705</v>
      </c>
      <c r="D2884">
        <v>0.714946088540521</v>
      </c>
      <c r="E2884">
        <v>0.608997262749434</v>
      </c>
      <c r="F2884">
        <v>0.64413752153509696</v>
      </c>
      <c r="G2884">
        <v>0.16023546069952099</v>
      </c>
      <c r="H2884">
        <v>6.0919731274218097E-2</v>
      </c>
      <c r="I2884">
        <v>3.88037850025994E-2</v>
      </c>
      <c r="J2884">
        <v>4.2496624003913901E-2</v>
      </c>
      <c r="K2884">
        <v>3.6855964858750902E-2</v>
      </c>
      <c r="L2884">
        <v>551.647579354546</v>
      </c>
      <c r="M2884">
        <v>11.3419807421079</v>
      </c>
      <c r="N2884">
        <v>48.637675568479999</v>
      </c>
      <c r="O2884">
        <v>47.1993052965706</v>
      </c>
      <c r="P2884">
        <v>-6.0092961058055998E-2</v>
      </c>
      <c r="Q2884">
        <v>0</v>
      </c>
      <c r="R2884">
        <v>0.93424567101934397</v>
      </c>
      <c r="S2884" t="s">
        <v>9452</v>
      </c>
      <c r="T2884" t="s">
        <v>13134</v>
      </c>
      <c r="U2884" t="s">
        <v>13134</v>
      </c>
      <c r="V2884" t="s">
        <v>13134</v>
      </c>
      <c r="W2884" t="s">
        <v>15639</v>
      </c>
      <c r="X2884">
        <v>37</v>
      </c>
      <c r="Y2884" t="s">
        <v>22399</v>
      </c>
      <c r="Z2884" t="s">
        <v>28852</v>
      </c>
      <c r="AA2884">
        <v>0.42061664348923927</v>
      </c>
      <c r="AB2884" t="str">
        <f>HYPERLINK("Melting_Curves/meltCurve_P53618_COPB1.pdf", "Melting_Curves/meltCurve_P53618_COPB1.pdf")</f>
        <v>Melting_Curves/meltCurve_P53618_COPB1.pdf</v>
      </c>
    </row>
    <row r="2885" spans="1:28" x14ac:dyDescent="0.25">
      <c r="A2885" t="s">
        <v>2889</v>
      </c>
      <c r="B2885">
        <v>0.99472303558308395</v>
      </c>
      <c r="C2885">
        <v>0.88346763223493696</v>
      </c>
      <c r="D2885">
        <v>0.70851575116755405</v>
      </c>
      <c r="E2885">
        <v>0.63209806700684601</v>
      </c>
      <c r="F2885">
        <v>0.62843184289244802</v>
      </c>
      <c r="G2885">
        <v>0.150629479982123</v>
      </c>
      <c r="H2885">
        <v>5.5440884689752397E-2</v>
      </c>
      <c r="I2885">
        <v>3.6907225430854999E-2</v>
      </c>
      <c r="J2885">
        <v>4.0883058695688097E-2</v>
      </c>
      <c r="K2885">
        <v>3.40313795996003E-2</v>
      </c>
      <c r="L2885">
        <v>573.69939312525503</v>
      </c>
      <c r="M2885">
        <v>11.780867990274499</v>
      </c>
      <c r="N2885">
        <v>48.697548762782198</v>
      </c>
      <c r="O2885">
        <v>47.357942363594297</v>
      </c>
      <c r="P2885">
        <v>-6.2206661962744499E-2</v>
      </c>
      <c r="Q2885">
        <v>0</v>
      </c>
      <c r="R2885">
        <v>0.93939519160440899</v>
      </c>
      <c r="S2885" t="s">
        <v>9453</v>
      </c>
      <c r="T2885" t="s">
        <v>13134</v>
      </c>
      <c r="U2885" t="s">
        <v>13134</v>
      </c>
      <c r="V2885" t="s">
        <v>13134</v>
      </c>
      <c r="W2885" t="s">
        <v>15967</v>
      </c>
      <c r="X2885">
        <v>52</v>
      </c>
      <c r="Y2885" t="s">
        <v>22400</v>
      </c>
      <c r="Z2885" t="s">
        <v>28853</v>
      </c>
      <c r="AA2885">
        <v>0.42089368464115678</v>
      </c>
      <c r="AB2885" t="str">
        <f>HYPERLINK("Melting_Curves/meltCurve_P53621_COPA.pdf", "Melting_Curves/meltCurve_P53621_COPA.pdf")</f>
        <v>Melting_Curves/meltCurve_P53621_COPA.pdf</v>
      </c>
    </row>
    <row r="2886" spans="1:28" x14ac:dyDescent="0.25">
      <c r="A2886" t="s">
        <v>2890</v>
      </c>
      <c r="B2886">
        <v>0.99472303558308395</v>
      </c>
      <c r="C2886">
        <v>0.91674384446579704</v>
      </c>
      <c r="D2886">
        <v>0.88672153750216598</v>
      </c>
      <c r="E2886">
        <v>0.80564003436576603</v>
      </c>
      <c r="F2886">
        <v>0.70441746615927903</v>
      </c>
      <c r="G2886">
        <v>0.55762239469819397</v>
      </c>
      <c r="H2886">
        <v>0.443873605109884</v>
      </c>
      <c r="I2886">
        <v>0.42420758128941399</v>
      </c>
      <c r="J2886">
        <v>0.42846715984576</v>
      </c>
      <c r="K2886">
        <v>0.25731036610368702</v>
      </c>
      <c r="L2886">
        <v>400.01158285980301</v>
      </c>
      <c r="M2886">
        <v>7.4446607358668198</v>
      </c>
      <c r="N2886">
        <v>56.637729363658998</v>
      </c>
      <c r="O2886">
        <v>50.263553114701303</v>
      </c>
      <c r="P2886">
        <v>-3.1195519368676899E-2</v>
      </c>
      <c r="Q2886">
        <v>0.15876141881822101</v>
      </c>
      <c r="R2886">
        <v>0.97789612304402496</v>
      </c>
      <c r="S2886" t="s">
        <v>9454</v>
      </c>
      <c r="T2886" t="s">
        <v>13134</v>
      </c>
      <c r="U2886" t="s">
        <v>13134</v>
      </c>
      <c r="V2886" t="s">
        <v>13134</v>
      </c>
      <c r="W2886" t="s">
        <v>15968</v>
      </c>
      <c r="X2886">
        <v>13</v>
      </c>
      <c r="Y2886" t="s">
        <v>22401</v>
      </c>
      <c r="Z2886" t="s">
        <v>28854</v>
      </c>
      <c r="AA2886">
        <v>0.64076658266080111</v>
      </c>
      <c r="AB2886" t="str">
        <f>HYPERLINK("Melting_Curves/meltCurve_P53634_CTSC.pdf", "Melting_Curves/meltCurve_P53634_CTSC.pdf")</f>
        <v>Melting_Curves/meltCurve_P53634_CTSC.pdf</v>
      </c>
    </row>
    <row r="2887" spans="1:28" x14ac:dyDescent="0.25">
      <c r="A2887" t="s">
        <v>2891</v>
      </c>
      <c r="B2887">
        <v>0.99472303558308395</v>
      </c>
      <c r="C2887">
        <v>1.0275206508496899</v>
      </c>
      <c r="D2887">
        <v>0.97252839606936303</v>
      </c>
      <c r="E2887">
        <v>0.93282451691231105</v>
      </c>
      <c r="F2887">
        <v>0.60810074410341597</v>
      </c>
      <c r="G2887">
        <v>0.55767986382783097</v>
      </c>
      <c r="H2887">
        <v>0.37280640987049402</v>
      </c>
      <c r="I2887">
        <v>0.31425387234819402</v>
      </c>
      <c r="J2887">
        <v>0.21724991822664499</v>
      </c>
      <c r="K2887">
        <v>0.137797681378968</v>
      </c>
      <c r="L2887">
        <v>635.99618068965799</v>
      </c>
      <c r="M2887">
        <v>11.933000425645901</v>
      </c>
      <c r="N2887">
        <v>54.386006756267697</v>
      </c>
      <c r="O2887">
        <v>51.8666245464957</v>
      </c>
      <c r="P2887">
        <v>-5.1419260752161501E-2</v>
      </c>
      <c r="Q2887">
        <v>0.106247714279012</v>
      </c>
      <c r="R2887">
        <v>0.97945133857019295</v>
      </c>
      <c r="S2887" t="s">
        <v>9455</v>
      </c>
      <c r="T2887" t="s">
        <v>13134</v>
      </c>
      <c r="U2887" t="s">
        <v>13134</v>
      </c>
      <c r="V2887" t="s">
        <v>13134</v>
      </c>
      <c r="W2887" t="s">
        <v>15969</v>
      </c>
      <c r="X2887">
        <v>16</v>
      </c>
      <c r="Y2887" t="s">
        <v>22402</v>
      </c>
      <c r="Z2887" t="s">
        <v>28855</v>
      </c>
      <c r="AA2887">
        <v>0.60986150826294616</v>
      </c>
      <c r="AB2887" t="str">
        <f>HYPERLINK("Melting_Curves/meltCurve_P53701_HCCS.pdf", "Melting_Curves/meltCurve_P53701_HCCS.pdf")</f>
        <v>Melting_Curves/meltCurve_P53701_HCCS.pdf</v>
      </c>
    </row>
    <row r="2888" spans="1:28" x14ac:dyDescent="0.25">
      <c r="A2888" t="s">
        <v>2892</v>
      </c>
      <c r="B2888">
        <v>0.99472303558308395</v>
      </c>
      <c r="C2888">
        <v>0.95392892022677001</v>
      </c>
      <c r="D2888">
        <v>0.95319038831436598</v>
      </c>
      <c r="E2888">
        <v>0.86082013465862395</v>
      </c>
      <c r="F2888">
        <v>0.63432234701558099</v>
      </c>
      <c r="G2888">
        <v>0.35329483962923203</v>
      </c>
      <c r="H2888">
        <v>0.112578515142428</v>
      </c>
      <c r="I2888">
        <v>7.1465068198165893E-2</v>
      </c>
      <c r="J2888">
        <v>7.4253208883243105E-2</v>
      </c>
      <c r="K2888">
        <v>6.6988339408992598E-2</v>
      </c>
      <c r="L2888">
        <v>948.81150681326403</v>
      </c>
      <c r="M2888">
        <v>18.452013011422899</v>
      </c>
      <c r="N2888">
        <v>51.619353688611703</v>
      </c>
      <c r="O2888">
        <v>50.827957218159902</v>
      </c>
      <c r="P2888">
        <v>-8.7647286386665399E-2</v>
      </c>
      <c r="Q2888">
        <v>3.4309573062817803E-2</v>
      </c>
      <c r="R2888">
        <v>0.99615910913505101</v>
      </c>
      <c r="S2888" t="s">
        <v>9456</v>
      </c>
      <c r="T2888" t="s">
        <v>13134</v>
      </c>
      <c r="U2888" t="s">
        <v>13134</v>
      </c>
      <c r="V2888" t="s">
        <v>13134</v>
      </c>
      <c r="W2888" t="s">
        <v>15970</v>
      </c>
      <c r="X2888">
        <v>4</v>
      </c>
      <c r="Y2888" t="s">
        <v>22403</v>
      </c>
      <c r="Z2888" t="s">
        <v>28856</v>
      </c>
      <c r="AA2888">
        <v>0.51279211632298016</v>
      </c>
      <c r="AB2888" t="str">
        <f>HYPERLINK("Melting_Curves/meltCurve_P53778_MAPK12.pdf", "Melting_Curves/meltCurve_P53778_MAPK12.pdf")</f>
        <v>Melting_Curves/meltCurve_P53778_MAPK12.pdf</v>
      </c>
    </row>
    <row r="2889" spans="1:28" x14ac:dyDescent="0.25">
      <c r="A2889" t="s">
        <v>2893</v>
      </c>
      <c r="B2889">
        <v>0.99472303558308395</v>
      </c>
      <c r="C2889">
        <v>1.0845933784780499</v>
      </c>
      <c r="D2889">
        <v>0.81284704528752105</v>
      </c>
      <c r="E2889">
        <v>0.95128316772242805</v>
      </c>
      <c r="F2889">
        <v>0.79824288866649695</v>
      </c>
      <c r="G2889">
        <v>0.63087099216199305</v>
      </c>
      <c r="H2889">
        <v>0.447923397578465</v>
      </c>
      <c r="I2889">
        <v>0.37421886441340302</v>
      </c>
      <c r="J2889">
        <v>0.47773301173766403</v>
      </c>
      <c r="K2889">
        <v>0.30821495714580299</v>
      </c>
      <c r="L2889">
        <v>757.01709726393403</v>
      </c>
      <c r="M2889">
        <v>14.3411028860457</v>
      </c>
      <c r="N2889">
        <v>56.967324730755003</v>
      </c>
      <c r="O2889">
        <v>51.7919764490196</v>
      </c>
      <c r="P2889">
        <v>-4.6699991360382102E-2</v>
      </c>
      <c r="Q2889">
        <v>0.32546511173038001</v>
      </c>
      <c r="R2889">
        <v>0.92484816178039997</v>
      </c>
      <c r="S2889" t="s">
        <v>9457</v>
      </c>
      <c r="T2889" t="s">
        <v>13134</v>
      </c>
      <c r="U2889" t="s">
        <v>13134</v>
      </c>
      <c r="V2889" t="s">
        <v>13134</v>
      </c>
      <c r="W2889" t="s">
        <v>15971</v>
      </c>
      <c r="X2889">
        <v>3</v>
      </c>
      <c r="Y2889" t="s">
        <v>22404</v>
      </c>
      <c r="Z2889" t="s">
        <v>28857</v>
      </c>
      <c r="AA2889">
        <v>0.69320284565969958</v>
      </c>
      <c r="AB2889" t="str">
        <f>HYPERLINK("Melting_Curves/meltCurve_P53794_SLC5A3.pdf", "Melting_Curves/meltCurve_P53794_SLC5A3.pdf")</f>
        <v>Melting_Curves/meltCurve_P53794_SLC5A3.pdf</v>
      </c>
    </row>
    <row r="2890" spans="1:28" x14ac:dyDescent="0.25">
      <c r="A2890" t="s">
        <v>2894</v>
      </c>
      <c r="B2890">
        <v>0.99472303558308395</v>
      </c>
      <c r="C2890">
        <v>0.87210477184412005</v>
      </c>
      <c r="D2890">
        <v>0.82476034991531899</v>
      </c>
      <c r="E2890">
        <v>0.71391985061326302</v>
      </c>
      <c r="F2890">
        <v>0.60472010378524399</v>
      </c>
      <c r="G2890">
        <v>0.54560794695562498</v>
      </c>
      <c r="H2890">
        <v>0.34496144323227501</v>
      </c>
      <c r="I2890">
        <v>0.34074647274499897</v>
      </c>
      <c r="J2890">
        <v>0.490743091658912</v>
      </c>
      <c r="K2890">
        <v>0.34272131791343502</v>
      </c>
      <c r="L2890">
        <v>458.72084991068402</v>
      </c>
      <c r="M2890">
        <v>9.5815933160667104</v>
      </c>
      <c r="N2890">
        <v>53.688509171579398</v>
      </c>
      <c r="O2890">
        <v>45.929144481270399</v>
      </c>
      <c r="P2890">
        <v>-3.5337683181644902E-2</v>
      </c>
      <c r="Q2890">
        <v>0.32282627120197799</v>
      </c>
      <c r="R2890">
        <v>0.93946736416464205</v>
      </c>
      <c r="S2890" t="s">
        <v>9458</v>
      </c>
      <c r="T2890" t="s">
        <v>13134</v>
      </c>
      <c r="U2890" t="s">
        <v>13134</v>
      </c>
      <c r="V2890" t="s">
        <v>13134</v>
      </c>
      <c r="W2890" t="s">
        <v>15972</v>
      </c>
      <c r="X2890">
        <v>4</v>
      </c>
      <c r="Y2890" t="s">
        <v>22405</v>
      </c>
      <c r="Z2890" t="s">
        <v>28858</v>
      </c>
      <c r="AA2890">
        <v>0.59727761237636234</v>
      </c>
      <c r="AB2890" t="str">
        <f>HYPERLINK("Melting_Curves/meltCurve_P53803_POLR2K.pdf", "Melting_Curves/meltCurve_P53803_POLR2K.pdf")</f>
        <v>Melting_Curves/meltCurve_P53803_POLR2K.pdf</v>
      </c>
    </row>
    <row r="2891" spans="1:28" x14ac:dyDescent="0.25">
      <c r="A2891" t="s">
        <v>2895</v>
      </c>
      <c r="B2891">
        <v>0.99472303558308395</v>
      </c>
      <c r="C2891">
        <v>0.99141236734265903</v>
      </c>
      <c r="D2891">
        <v>0.88999783587681203</v>
      </c>
      <c r="E2891">
        <v>0.70386797634402898</v>
      </c>
      <c r="F2891">
        <v>0.35205307528268498</v>
      </c>
      <c r="G2891">
        <v>0.173220836126289</v>
      </c>
      <c r="H2891">
        <v>9.1898042105947694E-2</v>
      </c>
      <c r="I2891">
        <v>8.3602285449751401E-2</v>
      </c>
      <c r="J2891">
        <v>0.100016788790965</v>
      </c>
      <c r="K2891">
        <v>8.0654540799367597E-2</v>
      </c>
      <c r="L2891">
        <v>963.81843458492494</v>
      </c>
      <c r="M2891">
        <v>20.020461372147501</v>
      </c>
      <c r="N2891">
        <v>48.531756094803001</v>
      </c>
      <c r="O2891">
        <v>47.669069337153701</v>
      </c>
      <c r="P2891">
        <v>-9.7196480226388604E-2</v>
      </c>
      <c r="Q2891">
        <v>7.4323768057377004E-2</v>
      </c>
      <c r="R2891">
        <v>0.99848558952947497</v>
      </c>
      <c r="S2891" t="s">
        <v>9459</v>
      </c>
      <c r="T2891" t="s">
        <v>13134</v>
      </c>
      <c r="U2891" t="s">
        <v>13134</v>
      </c>
      <c r="V2891" t="s">
        <v>13134</v>
      </c>
      <c r="W2891" t="s">
        <v>15973</v>
      </c>
      <c r="X2891">
        <v>12</v>
      </c>
      <c r="Y2891" t="s">
        <v>22406</v>
      </c>
      <c r="Z2891" t="s">
        <v>28859</v>
      </c>
      <c r="AA2891">
        <v>0.43025439903484791</v>
      </c>
      <c r="AB2891" t="str">
        <f>HYPERLINK("Melting_Curves/meltCurve_P53814_5_SMTN.pdf", "Melting_Curves/meltCurve_P53814_5_SMTN.pdf")</f>
        <v>Melting_Curves/meltCurve_P53814_5_SMTN.pdf</v>
      </c>
    </row>
    <row r="2892" spans="1:28" x14ac:dyDescent="0.25">
      <c r="A2892" t="s">
        <v>2896</v>
      </c>
      <c r="B2892">
        <v>0.99472303558308395</v>
      </c>
      <c r="C2892">
        <v>0.93806853687541802</v>
      </c>
      <c r="D2892">
        <v>0.71131758012674495</v>
      </c>
      <c r="E2892">
        <v>0.66580340309291097</v>
      </c>
      <c r="F2892">
        <v>0.66951027722637202</v>
      </c>
      <c r="G2892">
        <v>0.46657471737675998</v>
      </c>
      <c r="H2892">
        <v>0.33499135232736799</v>
      </c>
      <c r="I2892">
        <v>0.308113453967439</v>
      </c>
      <c r="J2892">
        <v>0.444286350514008</v>
      </c>
      <c r="K2892">
        <v>0.52445121288936603</v>
      </c>
      <c r="L2892">
        <v>526.97850423237696</v>
      </c>
      <c r="M2892">
        <v>11.5435074728834</v>
      </c>
      <c r="N2892">
        <v>52.565820486465498</v>
      </c>
      <c r="O2892">
        <v>44.345968655335199</v>
      </c>
      <c r="P2892">
        <v>-3.9677288415312303E-2</v>
      </c>
      <c r="Q2892">
        <v>0.39046772875437302</v>
      </c>
      <c r="R2892">
        <v>0.86912364916092399</v>
      </c>
      <c r="S2892" t="s">
        <v>9460</v>
      </c>
      <c r="T2892" t="s">
        <v>13134</v>
      </c>
      <c r="U2892" t="s">
        <v>13134</v>
      </c>
      <c r="V2892" t="s">
        <v>13134</v>
      </c>
      <c r="W2892" t="s">
        <v>15974</v>
      </c>
      <c r="X2892">
        <v>8</v>
      </c>
      <c r="Y2892" t="s">
        <v>22407</v>
      </c>
      <c r="Z2892" t="s">
        <v>28860</v>
      </c>
      <c r="AA2892">
        <v>0.58912553744817953</v>
      </c>
      <c r="AB2892" t="str">
        <f>HYPERLINK("Melting_Curves/meltCurve_P53985_SLC16A1.pdf", "Melting_Curves/meltCurve_P53985_SLC16A1.pdf")</f>
        <v>Melting_Curves/meltCurve_P53985_SLC16A1.pdf</v>
      </c>
    </row>
    <row r="2893" spans="1:28" x14ac:dyDescent="0.25">
      <c r="A2893" t="s">
        <v>2897</v>
      </c>
      <c r="B2893">
        <v>0.99472303558308395</v>
      </c>
      <c r="C2893">
        <v>0.959984336398084</v>
      </c>
      <c r="D2893">
        <v>0.98849517334973402</v>
      </c>
      <c r="E2893">
        <v>0.79074802020051604</v>
      </c>
      <c r="F2893">
        <v>0.27195032321797102</v>
      </c>
      <c r="G2893">
        <v>0.16205343260552901</v>
      </c>
      <c r="H2893">
        <v>0.130580572212361</v>
      </c>
      <c r="I2893">
        <v>0.14666378756950599</v>
      </c>
      <c r="J2893">
        <v>0.180706766502917</v>
      </c>
      <c r="K2893">
        <v>0.118047531012077</v>
      </c>
      <c r="L2893">
        <v>1856.70316008338</v>
      </c>
      <c r="M2893">
        <v>38.720027150459103</v>
      </c>
      <c r="N2893">
        <v>48.378510860587397</v>
      </c>
      <c r="O2893">
        <v>47.824640057406597</v>
      </c>
      <c r="P2893">
        <v>-0.173139362026905</v>
      </c>
      <c r="Q2893">
        <v>0.14459686687176601</v>
      </c>
      <c r="R2893">
        <v>0.99732169250157698</v>
      </c>
      <c r="S2893" t="s">
        <v>9461</v>
      </c>
      <c r="T2893" t="s">
        <v>13134</v>
      </c>
      <c r="U2893" t="s">
        <v>13134</v>
      </c>
      <c r="V2893" t="s">
        <v>13134</v>
      </c>
      <c r="W2893" t="s">
        <v>15975</v>
      </c>
      <c r="X2893">
        <v>9</v>
      </c>
      <c r="Y2893" t="s">
        <v>22408</v>
      </c>
      <c r="Z2893" t="s">
        <v>28861</v>
      </c>
      <c r="AA2893">
        <v>0.45990386630023589</v>
      </c>
      <c r="AB2893" t="str">
        <f>HYPERLINK("Melting_Curves/meltCurve_P53990_2_IST1.pdf", "Melting_Curves/meltCurve_P53990_2_IST1.pdf")</f>
        <v>Melting_Curves/meltCurve_P53990_2_IST1.pdf</v>
      </c>
    </row>
    <row r="2894" spans="1:28" x14ac:dyDescent="0.25">
      <c r="A2894" t="s">
        <v>2898</v>
      </c>
      <c r="B2894">
        <v>0.99472303558308395</v>
      </c>
      <c r="C2894">
        <v>0.91011305480549198</v>
      </c>
      <c r="D2894">
        <v>0.90159161860342296</v>
      </c>
      <c r="E2894">
        <v>0.71283506215842396</v>
      </c>
      <c r="F2894">
        <v>0.164012353104835</v>
      </c>
      <c r="G2894">
        <v>8.0885965208638194E-2</v>
      </c>
      <c r="H2894">
        <v>4.9958475838291098E-2</v>
      </c>
      <c r="I2894">
        <v>4.1366920243813998E-2</v>
      </c>
      <c r="J2894">
        <v>5.5798165058048001E-2</v>
      </c>
      <c r="K2894">
        <v>4.3818019788958801E-2</v>
      </c>
      <c r="L2894">
        <v>1616.79874865236</v>
      </c>
      <c r="M2894">
        <v>33.958018747932897</v>
      </c>
      <c r="N2894">
        <v>47.749723283857598</v>
      </c>
      <c r="O2894">
        <v>47.447487055978897</v>
      </c>
      <c r="P2894">
        <v>-0.17056169808195701</v>
      </c>
      <c r="Q2894">
        <v>4.6741584990851098E-2</v>
      </c>
      <c r="R2894">
        <v>0.99089101736609098</v>
      </c>
      <c r="S2894" t="s">
        <v>9462</v>
      </c>
      <c r="T2894" t="s">
        <v>13134</v>
      </c>
      <c r="U2894" t="s">
        <v>13134</v>
      </c>
      <c r="V2894" t="s">
        <v>13134</v>
      </c>
      <c r="W2894" t="s">
        <v>15976</v>
      </c>
      <c r="X2894">
        <v>30</v>
      </c>
      <c r="Y2894" t="s">
        <v>22409</v>
      </c>
      <c r="Z2894" t="s">
        <v>28862</v>
      </c>
      <c r="AA2894">
        <v>0.38829673838748052</v>
      </c>
      <c r="AB2894" t="str">
        <f>HYPERLINK("Melting_Curves/meltCurve_P53992_SEC24C.pdf", "Melting_Curves/meltCurve_P53992_SEC24C.pdf")</f>
        <v>Melting_Curves/meltCurve_P53992_SEC24C.pdf</v>
      </c>
    </row>
    <row r="2895" spans="1:28" x14ac:dyDescent="0.25">
      <c r="A2895" t="s">
        <v>2899</v>
      </c>
      <c r="B2895">
        <v>0.99472303558308395</v>
      </c>
      <c r="C2895">
        <v>0.98102262866808099</v>
      </c>
      <c r="D2895">
        <v>0.96987770416297803</v>
      </c>
      <c r="E2895">
        <v>0.93483995127952602</v>
      </c>
      <c r="F2895">
        <v>0.71970983883352002</v>
      </c>
      <c r="G2895">
        <v>0.54429580998015703</v>
      </c>
      <c r="H2895">
        <v>0.32181511058182999</v>
      </c>
      <c r="I2895">
        <v>0.20888596439041099</v>
      </c>
      <c r="J2895">
        <v>0.21010884510653099</v>
      </c>
      <c r="K2895">
        <v>0.16267368374582</v>
      </c>
      <c r="L2895">
        <v>844.52611428263401</v>
      </c>
      <c r="M2895">
        <v>15.938049672525599</v>
      </c>
      <c r="N2895">
        <v>54.066006496529802</v>
      </c>
      <c r="O2895">
        <v>52.174903770575497</v>
      </c>
      <c r="P2895">
        <v>-6.5978725129759899E-2</v>
      </c>
      <c r="Q2895">
        <v>0.13611504790180401</v>
      </c>
      <c r="R2895">
        <v>0.99694271753395103</v>
      </c>
      <c r="S2895" t="s">
        <v>9463</v>
      </c>
      <c r="T2895" t="s">
        <v>13134</v>
      </c>
      <c r="U2895" t="s">
        <v>13134</v>
      </c>
      <c r="V2895" t="s">
        <v>13134</v>
      </c>
      <c r="W2895" t="s">
        <v>15977</v>
      </c>
      <c r="X2895">
        <v>10</v>
      </c>
      <c r="Y2895" t="s">
        <v>22410</v>
      </c>
      <c r="Z2895" t="s">
        <v>28863</v>
      </c>
      <c r="AA2895">
        <v>0.61101803127019449</v>
      </c>
      <c r="AB2895" t="str">
        <f>HYPERLINK("Melting_Curves/meltCurve_P53999_SUB1.pdf", "Melting_Curves/meltCurve_P53999_SUB1.pdf")</f>
        <v>Melting_Curves/meltCurve_P53999_SUB1.pdf</v>
      </c>
    </row>
    <row r="2896" spans="1:28" x14ac:dyDescent="0.25">
      <c r="A2896" t="s">
        <v>2900</v>
      </c>
      <c r="B2896">
        <v>0.99472303558308395</v>
      </c>
      <c r="C2896">
        <v>0.95682852232995397</v>
      </c>
      <c r="D2896">
        <v>0.73338965274123802</v>
      </c>
      <c r="E2896">
        <v>0.58341295854231301</v>
      </c>
      <c r="F2896">
        <v>0.46980607788908302</v>
      </c>
      <c r="G2896">
        <v>0.21208644652803901</v>
      </c>
      <c r="H2896">
        <v>0.15434062959785799</v>
      </c>
      <c r="I2896">
        <v>7.7483728319469203E-2</v>
      </c>
      <c r="J2896">
        <v>0.102946342832881</v>
      </c>
      <c r="K2896">
        <v>0.10951238992932801</v>
      </c>
      <c r="L2896">
        <v>552.74672945137297</v>
      </c>
      <c r="M2896">
        <v>11.556375602028901</v>
      </c>
      <c r="N2896">
        <v>48.2111547960791</v>
      </c>
      <c r="O2896">
        <v>46.465508039596401</v>
      </c>
      <c r="P2896">
        <v>-5.9482379000149299E-2</v>
      </c>
      <c r="Q2896">
        <v>4.3607293762663903E-2</v>
      </c>
      <c r="R2896">
        <v>0.98587105749050996</v>
      </c>
      <c r="S2896" t="s">
        <v>9464</v>
      </c>
      <c r="T2896" t="s">
        <v>13134</v>
      </c>
      <c r="U2896" t="s">
        <v>13134</v>
      </c>
      <c r="V2896" t="s">
        <v>13134</v>
      </c>
      <c r="W2896" t="s">
        <v>15978</v>
      </c>
      <c r="X2896">
        <v>10</v>
      </c>
      <c r="Y2896" t="s">
        <v>22411</v>
      </c>
      <c r="Z2896" t="s">
        <v>28864</v>
      </c>
      <c r="AA2896">
        <v>0.42078727434277863</v>
      </c>
      <c r="AB2896" t="str">
        <f>HYPERLINK("Melting_Curves/meltCurve_P54098_POLG.pdf", "Melting_Curves/meltCurve_P54098_POLG.pdf")</f>
        <v>Melting_Curves/meltCurve_P54098_POLG.pdf</v>
      </c>
    </row>
    <row r="2897" spans="1:28" x14ac:dyDescent="0.25">
      <c r="A2897" t="s">
        <v>2901</v>
      </c>
      <c r="B2897">
        <v>0.99472303558308395</v>
      </c>
      <c r="C2897">
        <v>0.98709907851951495</v>
      </c>
      <c r="D2897">
        <v>0.97690606224879695</v>
      </c>
      <c r="E2897">
        <v>0.878793660459531</v>
      </c>
      <c r="F2897">
        <v>0.66215990707410699</v>
      </c>
      <c r="G2897">
        <v>0.33107047620211599</v>
      </c>
      <c r="H2897">
        <v>0.11362069450291</v>
      </c>
      <c r="I2897">
        <v>7.5481146474152799E-2</v>
      </c>
      <c r="J2897">
        <v>8.1547533611656994E-2</v>
      </c>
      <c r="K2897">
        <v>7.28764195623193E-2</v>
      </c>
      <c r="L2897">
        <v>1089.8654837398301</v>
      </c>
      <c r="M2897">
        <v>21.185713744007298</v>
      </c>
      <c r="N2897">
        <v>51.711480056241598</v>
      </c>
      <c r="O2897">
        <v>50.991649072569103</v>
      </c>
      <c r="P2897">
        <v>-9.8469561618754406E-2</v>
      </c>
      <c r="Q2897">
        <v>5.2003584361594302E-2</v>
      </c>
      <c r="R2897">
        <v>0.99819521739331996</v>
      </c>
      <c r="S2897" t="s">
        <v>9465</v>
      </c>
      <c r="T2897" t="s">
        <v>13134</v>
      </c>
      <c r="U2897" t="s">
        <v>13134</v>
      </c>
      <c r="V2897" t="s">
        <v>13134</v>
      </c>
      <c r="W2897" t="s">
        <v>15979</v>
      </c>
      <c r="X2897">
        <v>7</v>
      </c>
      <c r="Y2897" t="s">
        <v>22412</v>
      </c>
      <c r="Z2897" t="s">
        <v>28865</v>
      </c>
      <c r="AA2897">
        <v>0.51964143253966244</v>
      </c>
      <c r="AB2897" t="str">
        <f>HYPERLINK("Melting_Curves/meltCurve_P54105_CLNS1A.pdf", "Melting_Curves/meltCurve_P54105_CLNS1A.pdf")</f>
        <v>Melting_Curves/meltCurve_P54105_CLNS1A.pdf</v>
      </c>
    </row>
    <row r="2898" spans="1:28" x14ac:dyDescent="0.25">
      <c r="A2898" t="s">
        <v>2902</v>
      </c>
      <c r="B2898">
        <v>0.99472303558308395</v>
      </c>
      <c r="C2898">
        <v>0.93566872380473198</v>
      </c>
      <c r="D2898">
        <v>0.82135321086199498</v>
      </c>
      <c r="E2898">
        <v>0.388736106803721</v>
      </c>
      <c r="F2898">
        <v>0.15222420213790899</v>
      </c>
      <c r="G2898">
        <v>8.28869733693509E-2</v>
      </c>
      <c r="H2898">
        <v>5.6972289777007801E-2</v>
      </c>
      <c r="I2898">
        <v>5.1717479648819099E-2</v>
      </c>
      <c r="J2898">
        <v>6.3742813306456106E-2</v>
      </c>
      <c r="K2898">
        <v>5.1754424426656197E-2</v>
      </c>
      <c r="L2898">
        <v>1068.28996717157</v>
      </c>
      <c r="M2898">
        <v>23.490247998491501</v>
      </c>
      <c r="N2898">
        <v>45.702359544576602</v>
      </c>
      <c r="O2898">
        <v>45.152283641454297</v>
      </c>
      <c r="P2898">
        <v>-0.122981083401033</v>
      </c>
      <c r="Q2898">
        <v>5.4453597510704298E-2</v>
      </c>
      <c r="R2898">
        <v>0.99904087218051296</v>
      </c>
      <c r="S2898" t="s">
        <v>9466</v>
      </c>
      <c r="T2898" t="s">
        <v>13134</v>
      </c>
      <c r="U2898" t="s">
        <v>13134</v>
      </c>
      <c r="V2898" t="s">
        <v>13134</v>
      </c>
      <c r="W2898" t="s">
        <v>15980</v>
      </c>
      <c r="X2898">
        <v>38</v>
      </c>
      <c r="Y2898" t="s">
        <v>22413</v>
      </c>
      <c r="Z2898" t="s">
        <v>28866</v>
      </c>
      <c r="AA2898">
        <v>0.33053186807391299</v>
      </c>
      <c r="AB2898" t="str">
        <f>HYPERLINK("Melting_Curves/meltCurve_P54136_RARS.pdf", "Melting_Curves/meltCurve_P54136_RARS.pdf")</f>
        <v>Melting_Curves/meltCurve_P54136_RARS.pdf</v>
      </c>
    </row>
    <row r="2899" spans="1:28" x14ac:dyDescent="0.25">
      <c r="A2899" t="s">
        <v>2903</v>
      </c>
      <c r="B2899">
        <v>0.99472303558308395</v>
      </c>
      <c r="C2899">
        <v>0.919612890680652</v>
      </c>
      <c r="D2899">
        <v>0.75342823227547395</v>
      </c>
      <c r="E2899">
        <v>0.72121419186382396</v>
      </c>
      <c r="F2899">
        <v>0.80679148675267898</v>
      </c>
      <c r="G2899">
        <v>0.458042752856056</v>
      </c>
      <c r="H2899">
        <v>0.549411514182231</v>
      </c>
      <c r="I2899">
        <v>0.63867659010853495</v>
      </c>
      <c r="J2899">
        <v>0.90121411550666797</v>
      </c>
      <c r="K2899">
        <v>0.77189715424831495</v>
      </c>
      <c r="L2899">
        <v>1180.30136992335</v>
      </c>
      <c r="M2899">
        <v>28.5905366930109</v>
      </c>
      <c r="O2899">
        <v>41.082554762835002</v>
      </c>
      <c r="P2899">
        <v>-5.4058906426753699E-2</v>
      </c>
      <c r="Q2899">
        <v>0.68928733514040397</v>
      </c>
      <c r="R2899">
        <v>0.44274339849357203</v>
      </c>
      <c r="S2899" t="s">
        <v>9467</v>
      </c>
      <c r="T2899" t="s">
        <v>13134</v>
      </c>
      <c r="U2899" t="s">
        <v>13134</v>
      </c>
      <c r="V2899" t="s">
        <v>13134</v>
      </c>
      <c r="W2899" t="s">
        <v>15981</v>
      </c>
      <c r="X2899">
        <v>5</v>
      </c>
      <c r="Y2899" t="s">
        <v>22414</v>
      </c>
      <c r="Z2899" t="s">
        <v>28867</v>
      </c>
      <c r="AA2899">
        <v>0.73580255881028278</v>
      </c>
      <c r="AB2899" t="str">
        <f>HYPERLINK("Melting_Curves/meltCurve_P54259_ATN1.pdf", "Melting_Curves/meltCurve_P54259_ATN1.pdf")</f>
        <v>Melting_Curves/meltCurve_P54259_ATN1.pdf</v>
      </c>
    </row>
    <row r="2900" spans="1:28" x14ac:dyDescent="0.25">
      <c r="A2900" t="s">
        <v>2904</v>
      </c>
      <c r="B2900">
        <v>0.99472303558308395</v>
      </c>
      <c r="C2900">
        <v>0.847382466589091</v>
      </c>
      <c r="D2900">
        <v>0.657377153554077</v>
      </c>
      <c r="E2900">
        <v>0.33939506154037602</v>
      </c>
      <c r="F2900">
        <v>0.14187819411486499</v>
      </c>
      <c r="G2900">
        <v>7.48157130828878E-2</v>
      </c>
      <c r="H2900">
        <v>4.08615017258976E-2</v>
      </c>
      <c r="I2900">
        <v>1.02991766241524E-2</v>
      </c>
      <c r="J2900">
        <v>1.26275307669308E-2</v>
      </c>
      <c r="K2900">
        <v>7.9474997869922303E-3</v>
      </c>
      <c r="L2900">
        <v>713.45857665160099</v>
      </c>
      <c r="M2900">
        <v>15.9876338026095</v>
      </c>
      <c r="N2900">
        <v>44.654580077304601</v>
      </c>
      <c r="O2900">
        <v>43.944998070512298</v>
      </c>
      <c r="P2900">
        <v>-9.0491142599304103E-2</v>
      </c>
      <c r="Q2900">
        <v>5.1514149963512498E-3</v>
      </c>
      <c r="R2900">
        <v>0.99864523821999895</v>
      </c>
      <c r="S2900" t="s">
        <v>9468</v>
      </c>
      <c r="T2900" t="s">
        <v>13134</v>
      </c>
      <c r="U2900" t="s">
        <v>13134</v>
      </c>
      <c r="V2900" t="s">
        <v>13134</v>
      </c>
      <c r="W2900" t="s">
        <v>15982</v>
      </c>
      <c r="X2900">
        <v>4</v>
      </c>
      <c r="Y2900" t="s">
        <v>22415</v>
      </c>
      <c r="Z2900" t="s">
        <v>28868</v>
      </c>
      <c r="AA2900">
        <v>0.27910116244415673</v>
      </c>
      <c r="AB2900" t="str">
        <f>HYPERLINK("Melting_Curves/meltCurve_P54278_PMS2.pdf", "Melting_Curves/meltCurve_P54278_PMS2.pdf")</f>
        <v>Melting_Curves/meltCurve_P54278_PMS2.pdf</v>
      </c>
    </row>
    <row r="2901" spans="1:28" x14ac:dyDescent="0.25">
      <c r="A2901" t="s">
        <v>2905</v>
      </c>
      <c r="B2901">
        <v>0.99472303558308395</v>
      </c>
      <c r="C2901">
        <v>0.91329787496862003</v>
      </c>
      <c r="D2901">
        <v>0.88309630396022198</v>
      </c>
      <c r="E2901">
        <v>0.39525145837687398</v>
      </c>
      <c r="F2901">
        <v>0.15357902707440299</v>
      </c>
      <c r="G2901">
        <v>8.3316352067813695E-2</v>
      </c>
      <c r="H2901">
        <v>4.7082697724119903E-2</v>
      </c>
      <c r="I2901">
        <v>3.4547450499828498E-2</v>
      </c>
      <c r="J2901">
        <v>4.0481169732449099E-2</v>
      </c>
      <c r="K2901">
        <v>3.46996616951709E-2</v>
      </c>
      <c r="L2901">
        <v>1171.1895278365701</v>
      </c>
      <c r="M2901">
        <v>25.5759377649741</v>
      </c>
      <c r="N2901">
        <v>45.956777631179698</v>
      </c>
      <c r="O2901">
        <v>45.515431964910597</v>
      </c>
      <c r="P2901">
        <v>-0.13434910316076501</v>
      </c>
      <c r="Q2901">
        <v>4.3650741439040602E-2</v>
      </c>
      <c r="R2901">
        <v>0.99540287857098597</v>
      </c>
      <c r="S2901" t="s">
        <v>9469</v>
      </c>
      <c r="T2901" t="s">
        <v>13134</v>
      </c>
      <c r="U2901" t="s">
        <v>13134</v>
      </c>
      <c r="V2901" t="s">
        <v>13134</v>
      </c>
      <c r="W2901" t="s">
        <v>15983</v>
      </c>
      <c r="X2901">
        <v>52</v>
      </c>
      <c r="Y2901" t="s">
        <v>22416</v>
      </c>
      <c r="Z2901" t="s">
        <v>28869</v>
      </c>
      <c r="AA2901">
        <v>0.33148803119769532</v>
      </c>
      <c r="AB2901" t="str">
        <f>HYPERLINK("Melting_Curves/meltCurve_P54577_YARS.pdf", "Melting_Curves/meltCurve_P54577_YARS.pdf")</f>
        <v>Melting_Curves/meltCurve_P54577_YARS.pdf</v>
      </c>
    </row>
    <row r="2902" spans="1:28" x14ac:dyDescent="0.25">
      <c r="A2902" t="s">
        <v>2906</v>
      </c>
      <c r="B2902">
        <v>0.99472303558308395</v>
      </c>
      <c r="C2902">
        <v>0.95906992464997498</v>
      </c>
      <c r="D2902">
        <v>0.96239074784243595</v>
      </c>
      <c r="E2902">
        <v>0.87227253426764895</v>
      </c>
      <c r="F2902">
        <v>0.32890948861615599</v>
      </c>
      <c r="G2902">
        <v>0.10582583037462601</v>
      </c>
      <c r="H2902">
        <v>6.9002001247536499E-2</v>
      </c>
      <c r="I2902">
        <v>6.0736985187484598E-2</v>
      </c>
      <c r="J2902">
        <v>7.2647329780213196E-2</v>
      </c>
      <c r="K2902">
        <v>6.3464649579761695E-2</v>
      </c>
      <c r="L2902">
        <v>1764.7549761637799</v>
      </c>
      <c r="M2902">
        <v>36.075741156952297</v>
      </c>
      <c r="N2902">
        <v>49.110975257814097</v>
      </c>
      <c r="O2902">
        <v>48.7684766415044</v>
      </c>
      <c r="P2902">
        <v>-0.172717804361088</v>
      </c>
      <c r="Q2902">
        <v>6.6058651650665295E-2</v>
      </c>
      <c r="R2902">
        <v>0.99836562843292698</v>
      </c>
      <c r="S2902" t="s">
        <v>9470</v>
      </c>
      <c r="T2902" t="s">
        <v>13134</v>
      </c>
      <c r="U2902" t="s">
        <v>13134</v>
      </c>
      <c r="V2902" t="s">
        <v>13134</v>
      </c>
      <c r="W2902" t="s">
        <v>15984</v>
      </c>
      <c r="X2902">
        <v>28</v>
      </c>
      <c r="Y2902" t="s">
        <v>22417</v>
      </c>
      <c r="Z2902" t="s">
        <v>28870</v>
      </c>
      <c r="AA2902">
        <v>0.44097065188327972</v>
      </c>
      <c r="AB2902" t="str">
        <f>HYPERLINK("Melting_Curves/meltCurve_P54578_2_USP14.pdf", "Melting_Curves/meltCurve_P54578_2_USP14.pdf")</f>
        <v>Melting_Curves/meltCurve_P54578_2_USP14.pdf</v>
      </c>
    </row>
    <row r="2903" spans="1:28" x14ac:dyDescent="0.25">
      <c r="A2903" t="s">
        <v>2907</v>
      </c>
      <c r="B2903">
        <v>0.99472303558308395</v>
      </c>
      <c r="C2903">
        <v>0.84513837073720299</v>
      </c>
      <c r="D2903">
        <v>0.85146376877639596</v>
      </c>
      <c r="E2903">
        <v>0.65195296856281304</v>
      </c>
      <c r="F2903">
        <v>0.43610840453091898</v>
      </c>
      <c r="G2903">
        <v>0.23026234493047401</v>
      </c>
      <c r="H2903">
        <v>0.106110161026956</v>
      </c>
      <c r="I2903">
        <v>7.2418984499775504E-2</v>
      </c>
      <c r="J2903">
        <v>6.5509490509580007E-2</v>
      </c>
      <c r="K2903">
        <v>5.7567645766197197E-2</v>
      </c>
      <c r="L2903">
        <v>584.289825398777</v>
      </c>
      <c r="M2903">
        <v>11.983481304027199</v>
      </c>
      <c r="N2903">
        <v>48.757936934483801</v>
      </c>
      <c r="O2903">
        <v>47.459672877796699</v>
      </c>
      <c r="P2903">
        <v>-6.3139845212269202E-2</v>
      </c>
      <c r="Q2903">
        <v>0</v>
      </c>
      <c r="R2903">
        <v>0.99087933645406001</v>
      </c>
      <c r="S2903" t="s">
        <v>9471</v>
      </c>
      <c r="T2903" t="s">
        <v>13134</v>
      </c>
      <c r="U2903" t="s">
        <v>13134</v>
      </c>
      <c r="V2903" t="s">
        <v>13134</v>
      </c>
      <c r="W2903" t="s">
        <v>15985</v>
      </c>
      <c r="X2903">
        <v>10</v>
      </c>
      <c r="Y2903" t="s">
        <v>22418</v>
      </c>
      <c r="Z2903" t="s">
        <v>28871</v>
      </c>
      <c r="AA2903">
        <v>0.42210068318875721</v>
      </c>
      <c r="AB2903" t="str">
        <f>HYPERLINK("Melting_Curves/meltCurve_P54619_2_PRKAG1.pdf", "Melting_Curves/meltCurve_P54619_2_PRKAG1.pdf")</f>
        <v>Melting_Curves/meltCurve_P54619_2_PRKAG1.pdf</v>
      </c>
    </row>
    <row r="2904" spans="1:28" x14ac:dyDescent="0.25">
      <c r="A2904" t="s">
        <v>2908</v>
      </c>
      <c r="B2904">
        <v>0.99472303558308395</v>
      </c>
      <c r="C2904">
        <v>0.94802846358811999</v>
      </c>
      <c r="D2904">
        <v>1.00341616180571</v>
      </c>
      <c r="E2904">
        <v>0.91511395619299096</v>
      </c>
      <c r="F2904">
        <v>0.82788073152161401</v>
      </c>
      <c r="G2904">
        <v>0.66591462242228305</v>
      </c>
      <c r="H2904">
        <v>0.53055808290893403</v>
      </c>
      <c r="I2904">
        <v>0.502180996013734</v>
      </c>
      <c r="J2904">
        <v>0.40809484954893999</v>
      </c>
      <c r="K2904">
        <v>0.24029918828472099</v>
      </c>
      <c r="L2904">
        <v>477.39520445839798</v>
      </c>
      <c r="M2904">
        <v>8.0217867328962402</v>
      </c>
      <c r="N2904">
        <v>59.5123238734935</v>
      </c>
      <c r="O2904">
        <v>56.155655359566303</v>
      </c>
      <c r="P2904">
        <v>-3.5752264688340703E-2</v>
      </c>
      <c r="Q2904">
        <v>0</v>
      </c>
      <c r="R2904">
        <v>0.97902565841706102</v>
      </c>
      <c r="S2904" t="s">
        <v>9472</v>
      </c>
      <c r="T2904" t="s">
        <v>13134</v>
      </c>
      <c r="U2904" t="s">
        <v>13134</v>
      </c>
      <c r="V2904" t="s">
        <v>13134</v>
      </c>
      <c r="W2904" t="s">
        <v>15986</v>
      </c>
      <c r="X2904">
        <v>14</v>
      </c>
      <c r="Y2904" t="s">
        <v>22419</v>
      </c>
      <c r="Z2904" t="s">
        <v>28872</v>
      </c>
      <c r="AA2904">
        <v>0.7130418338401403</v>
      </c>
      <c r="AB2904" t="str">
        <f>HYPERLINK("Melting_Curves/meltCurve_P54687_BCAT1.pdf", "Melting_Curves/meltCurve_P54687_BCAT1.pdf")</f>
        <v>Melting_Curves/meltCurve_P54687_BCAT1.pdf</v>
      </c>
    </row>
    <row r="2905" spans="1:28" x14ac:dyDescent="0.25">
      <c r="A2905" t="s">
        <v>2909</v>
      </c>
      <c r="B2905">
        <v>0.99472303558308395</v>
      </c>
      <c r="C2905">
        <v>0.55995471845789901</v>
      </c>
      <c r="D2905">
        <v>0.979567064152286</v>
      </c>
      <c r="E2905">
        <v>0.58093696692463004</v>
      </c>
      <c r="F2905">
        <v>0.17006393086568</v>
      </c>
      <c r="G2905">
        <v>0.35243582501725801</v>
      </c>
      <c r="H2905">
        <v>0.412641670298105</v>
      </c>
      <c r="I2905">
        <v>0.14366477142398901</v>
      </c>
      <c r="J2905">
        <v>3.8785332471061203E-2</v>
      </c>
      <c r="K2905">
        <v>7.4253100233619002E-2</v>
      </c>
      <c r="L2905">
        <v>376.50146328348802</v>
      </c>
      <c r="M2905">
        <v>7.8425987826178698</v>
      </c>
      <c r="N2905">
        <v>48.007219700318601</v>
      </c>
      <c r="O2905">
        <v>45.186238361265602</v>
      </c>
      <c r="P2905">
        <v>-4.3443265836867598E-2</v>
      </c>
      <c r="Q2905">
        <v>0</v>
      </c>
      <c r="R2905">
        <v>0.76237591571056995</v>
      </c>
      <c r="S2905" t="s">
        <v>9473</v>
      </c>
      <c r="T2905" t="s">
        <v>13134</v>
      </c>
      <c r="U2905" t="s">
        <v>13134</v>
      </c>
      <c r="V2905" t="s">
        <v>13134</v>
      </c>
      <c r="W2905" t="s">
        <v>15987</v>
      </c>
      <c r="X2905">
        <v>5</v>
      </c>
      <c r="Y2905" t="s">
        <v>22420</v>
      </c>
      <c r="Z2905" t="s">
        <v>28873</v>
      </c>
      <c r="AA2905">
        <v>0.41983578919037479</v>
      </c>
      <c r="AB2905" t="str">
        <f>HYPERLINK("Melting_Curves/meltCurve_P54707_ATP12A.pdf", "Melting_Curves/meltCurve_P54707_ATP12A.pdf")</f>
        <v>Melting_Curves/meltCurve_P54707_ATP12A.pdf</v>
      </c>
    </row>
    <row r="2906" spans="1:28" x14ac:dyDescent="0.25">
      <c r="A2906" t="s">
        <v>2910</v>
      </c>
      <c r="B2906">
        <v>0.99472303558308395</v>
      </c>
      <c r="C2906">
        <v>0.86710456398028302</v>
      </c>
      <c r="D2906">
        <v>0.98367900609972503</v>
      </c>
      <c r="E2906">
        <v>0.85185805970231598</v>
      </c>
      <c r="F2906">
        <v>0.61287005451670995</v>
      </c>
      <c r="G2906">
        <v>0.47271705383444901</v>
      </c>
      <c r="H2906">
        <v>0.40824142206674302</v>
      </c>
      <c r="I2906">
        <v>0.33658076404891601</v>
      </c>
      <c r="J2906">
        <v>0.414901744803025</v>
      </c>
      <c r="K2906">
        <v>0.286832596927732</v>
      </c>
      <c r="L2906">
        <v>829.67558989212</v>
      </c>
      <c r="M2906">
        <v>16.722980305883599</v>
      </c>
      <c r="N2906">
        <v>53.055287955598999</v>
      </c>
      <c r="O2906">
        <v>48.919765800324797</v>
      </c>
      <c r="P2906">
        <v>-5.7172650765458403E-2</v>
      </c>
      <c r="Q2906">
        <v>0.33105533073493298</v>
      </c>
      <c r="R2906">
        <v>0.96376480656088603</v>
      </c>
      <c r="S2906" t="s">
        <v>9474</v>
      </c>
      <c r="T2906" t="s">
        <v>13134</v>
      </c>
      <c r="U2906" t="s">
        <v>13134</v>
      </c>
      <c r="V2906" t="s">
        <v>13134</v>
      </c>
      <c r="W2906" t="s">
        <v>15988</v>
      </c>
      <c r="X2906">
        <v>13</v>
      </c>
      <c r="Y2906" t="s">
        <v>22421</v>
      </c>
      <c r="Z2906" t="s">
        <v>28874</v>
      </c>
      <c r="AA2906">
        <v>0.62424947991101376</v>
      </c>
      <c r="AB2906" t="str">
        <f>HYPERLINK("Melting_Curves/meltCurve_P54709_ATP1B3.pdf", "Melting_Curves/meltCurve_P54709_ATP1B3.pdf")</f>
        <v>Melting_Curves/meltCurve_P54709_ATP1B3.pdf</v>
      </c>
    </row>
    <row r="2907" spans="1:28" x14ac:dyDescent="0.25">
      <c r="A2907" t="s">
        <v>2911</v>
      </c>
      <c r="B2907">
        <v>0.99472303558308395</v>
      </c>
      <c r="C2907">
        <v>0.93337637275319496</v>
      </c>
      <c r="D2907">
        <v>0.97055540707398202</v>
      </c>
      <c r="E2907">
        <v>0.83044405706815705</v>
      </c>
      <c r="F2907">
        <v>0.73048876284598896</v>
      </c>
      <c r="G2907">
        <v>0.63733579520616201</v>
      </c>
      <c r="H2907">
        <v>0.42280067792423098</v>
      </c>
      <c r="I2907">
        <v>0.445018467084703</v>
      </c>
      <c r="J2907">
        <v>0.49848883757898799</v>
      </c>
      <c r="K2907">
        <v>0.38874101312523601</v>
      </c>
      <c r="L2907">
        <v>644.92754387058994</v>
      </c>
      <c r="M2907">
        <v>12.6848110588276</v>
      </c>
      <c r="N2907">
        <v>57.597132954840603</v>
      </c>
      <c r="O2907">
        <v>49.628552739267803</v>
      </c>
      <c r="P2907">
        <v>-3.9174831727287099E-2</v>
      </c>
      <c r="Q2907">
        <v>0.38704227747823</v>
      </c>
      <c r="R2907">
        <v>0.96499426382724895</v>
      </c>
      <c r="S2907" t="s">
        <v>9475</v>
      </c>
      <c r="T2907" t="s">
        <v>13134</v>
      </c>
      <c r="U2907" t="s">
        <v>13134</v>
      </c>
      <c r="V2907" t="s">
        <v>13134</v>
      </c>
      <c r="W2907" t="s">
        <v>15989</v>
      </c>
      <c r="X2907">
        <v>16</v>
      </c>
      <c r="Y2907" t="s">
        <v>22422</v>
      </c>
      <c r="Z2907" t="s">
        <v>28875</v>
      </c>
      <c r="AA2907">
        <v>0.68510494863387639</v>
      </c>
      <c r="AB2907" t="str">
        <f>HYPERLINK("Melting_Curves/meltCurve_P54727_RAD23B.pdf", "Melting_Curves/meltCurve_P54727_RAD23B.pdf")</f>
        <v>Melting_Curves/meltCurve_P54727_RAD23B.pdf</v>
      </c>
    </row>
    <row r="2908" spans="1:28" x14ac:dyDescent="0.25">
      <c r="A2908" t="s">
        <v>2912</v>
      </c>
      <c r="B2908">
        <v>0.99472303558308395</v>
      </c>
      <c r="C2908">
        <v>0.90868931130878905</v>
      </c>
      <c r="D2908">
        <v>0.901207942147629</v>
      </c>
      <c r="E2908">
        <v>0.61494528863487696</v>
      </c>
      <c r="F2908">
        <v>0.21986113740132401</v>
      </c>
      <c r="G2908">
        <v>0.15615309176164099</v>
      </c>
      <c r="H2908">
        <v>9.6413116054273301E-2</v>
      </c>
      <c r="I2908">
        <v>6.5571127768571394E-2</v>
      </c>
      <c r="J2908">
        <v>7.6342561150132507E-2</v>
      </c>
      <c r="K2908">
        <v>5.9754231028683401E-2</v>
      </c>
      <c r="L2908">
        <v>1041.6401259035099</v>
      </c>
      <c r="M2908">
        <v>22.107898354324899</v>
      </c>
      <c r="N2908">
        <v>47.436097962066199</v>
      </c>
      <c r="O2908">
        <v>46.735777275377401</v>
      </c>
      <c r="P2908">
        <v>-0.11007239541705501</v>
      </c>
      <c r="Q2908">
        <v>6.9254554174834504E-2</v>
      </c>
      <c r="R2908">
        <v>0.993698488685685</v>
      </c>
      <c r="S2908" t="s">
        <v>9476</v>
      </c>
      <c r="T2908" t="s">
        <v>13134</v>
      </c>
      <c r="U2908" t="s">
        <v>13134</v>
      </c>
      <c r="V2908" t="s">
        <v>13134</v>
      </c>
      <c r="W2908" t="s">
        <v>15990</v>
      </c>
      <c r="X2908">
        <v>17</v>
      </c>
      <c r="Y2908" t="s">
        <v>22423</v>
      </c>
      <c r="Z2908" t="s">
        <v>28876</v>
      </c>
      <c r="AA2908">
        <v>0.39311633833614928</v>
      </c>
      <c r="AB2908" t="str">
        <f>HYPERLINK("Melting_Curves/meltCurve_P54760_EPHB4.pdf", "Melting_Curves/meltCurve_P54760_EPHB4.pdf")</f>
        <v>Melting_Curves/meltCurve_P54760_EPHB4.pdf</v>
      </c>
    </row>
    <row r="2909" spans="1:28" x14ac:dyDescent="0.25">
      <c r="A2909" t="s">
        <v>2913</v>
      </c>
      <c r="B2909">
        <v>0.99472303558308395</v>
      </c>
      <c r="C2909">
        <v>0.84445599321703502</v>
      </c>
      <c r="D2909">
        <v>0.77794102136426102</v>
      </c>
      <c r="E2909">
        <v>0.72078599741412996</v>
      </c>
      <c r="F2909">
        <v>0.73570303701238104</v>
      </c>
      <c r="G2909">
        <v>0.41361195504515902</v>
      </c>
      <c r="H2909">
        <v>0.29933551758983101</v>
      </c>
      <c r="I2909">
        <v>0.33083925741957798</v>
      </c>
      <c r="J2909">
        <v>0.26099992269245698</v>
      </c>
      <c r="K2909">
        <v>0.31377771022227002</v>
      </c>
      <c r="L2909">
        <v>392.893158395189</v>
      </c>
      <c r="M2909">
        <v>7.7538544764062802</v>
      </c>
      <c r="N2909">
        <v>52.936535077772</v>
      </c>
      <c r="O2909">
        <v>47.631290070852302</v>
      </c>
      <c r="P2909">
        <v>-3.4994549255972403E-2</v>
      </c>
      <c r="Q2909">
        <v>0.141216726684467</v>
      </c>
      <c r="R2909">
        <v>0.93065232347143301</v>
      </c>
      <c r="S2909" t="s">
        <v>9477</v>
      </c>
      <c r="T2909" t="s">
        <v>13134</v>
      </c>
      <c r="U2909" t="s">
        <v>13134</v>
      </c>
      <c r="V2909" t="s">
        <v>13134</v>
      </c>
      <c r="W2909" t="s">
        <v>15991</v>
      </c>
      <c r="X2909">
        <v>4</v>
      </c>
      <c r="Y2909" t="s">
        <v>22424</v>
      </c>
      <c r="Z2909" t="s">
        <v>28877</v>
      </c>
      <c r="AA2909">
        <v>0.56469972255438172</v>
      </c>
      <c r="AB2909" t="str">
        <f>HYPERLINK("Melting_Curves/meltCurve_P54802_NAGLU.pdf", "Melting_Curves/meltCurve_P54802_NAGLU.pdf")</f>
        <v>Melting_Curves/meltCurve_P54802_NAGLU.pdf</v>
      </c>
    </row>
    <row r="2910" spans="1:28" x14ac:dyDescent="0.25">
      <c r="A2910" t="s">
        <v>2914</v>
      </c>
      <c r="B2910">
        <v>0.99472303558308395</v>
      </c>
      <c r="C2910">
        <v>0.97512979990411197</v>
      </c>
      <c r="D2910">
        <v>1.0010941280404599</v>
      </c>
      <c r="E2910">
        <v>0.90135350029723404</v>
      </c>
      <c r="F2910">
        <v>0.72736047314545005</v>
      </c>
      <c r="G2910">
        <v>0.62629437755839301</v>
      </c>
      <c r="H2910">
        <v>0.58690743188098304</v>
      </c>
      <c r="I2910">
        <v>0.61163418700322703</v>
      </c>
      <c r="J2910">
        <v>0.69712761174709004</v>
      </c>
      <c r="K2910">
        <v>0.25325399712409402</v>
      </c>
      <c r="L2910">
        <v>357.188047919984</v>
      </c>
      <c r="M2910">
        <v>5.9370302814092701</v>
      </c>
      <c r="N2910">
        <v>63.163728932495303</v>
      </c>
      <c r="O2910">
        <v>54.398186158192701</v>
      </c>
      <c r="P2910">
        <v>-2.4012408775364199E-2</v>
      </c>
      <c r="Q2910">
        <v>0.12289204782223</v>
      </c>
      <c r="R2910">
        <v>0.79655900069873897</v>
      </c>
      <c r="S2910" t="s">
        <v>9478</v>
      </c>
      <c r="T2910" t="s">
        <v>13134</v>
      </c>
      <c r="U2910" t="s">
        <v>13134</v>
      </c>
      <c r="V2910" t="s">
        <v>13134</v>
      </c>
      <c r="W2910" t="s">
        <v>15992</v>
      </c>
      <c r="X2910">
        <v>24</v>
      </c>
      <c r="Y2910" t="s">
        <v>22425</v>
      </c>
      <c r="Z2910" t="s">
        <v>28878</v>
      </c>
      <c r="AA2910">
        <v>0.73603003675211054</v>
      </c>
      <c r="AB2910" t="str">
        <f>HYPERLINK("Melting_Curves/meltCurve_P54819_AK2.pdf", "Melting_Curves/meltCurve_P54819_AK2.pdf")</f>
        <v>Melting_Curves/meltCurve_P54819_AK2.pdf</v>
      </c>
    </row>
    <row r="2911" spans="1:28" x14ac:dyDescent="0.25">
      <c r="A2911" t="s">
        <v>2915</v>
      </c>
      <c r="B2911">
        <v>0.99472303558308395</v>
      </c>
      <c r="C2911">
        <v>1.0775169350032101</v>
      </c>
      <c r="D2911">
        <v>0.86825874173413398</v>
      </c>
      <c r="E2911">
        <v>0.75463833059369001</v>
      </c>
      <c r="F2911">
        <v>0.75827495557436797</v>
      </c>
      <c r="G2911">
        <v>0.33573948838406098</v>
      </c>
      <c r="H2911">
        <v>0.167555767016457</v>
      </c>
      <c r="I2911">
        <v>7.1613041073526298E-2</v>
      </c>
      <c r="J2911">
        <v>7.5875298118885603E-2</v>
      </c>
      <c r="K2911">
        <v>6.3158157692834394E-2</v>
      </c>
      <c r="L2911">
        <v>770.148592704414</v>
      </c>
      <c r="M2911">
        <v>14.8137315138242</v>
      </c>
      <c r="N2911">
        <v>51.988817706244497</v>
      </c>
      <c r="O2911">
        <v>51.069026148383202</v>
      </c>
      <c r="P2911">
        <v>-7.2525892193752203E-2</v>
      </c>
      <c r="Q2911">
        <v>0</v>
      </c>
      <c r="R2911">
        <v>0.97021692516920499</v>
      </c>
      <c r="S2911" t="s">
        <v>9479</v>
      </c>
      <c r="T2911" t="s">
        <v>13134</v>
      </c>
      <c r="U2911" t="s">
        <v>13134</v>
      </c>
      <c r="V2911" t="s">
        <v>13134</v>
      </c>
      <c r="W2911" t="s">
        <v>15993</v>
      </c>
      <c r="X2911">
        <v>19</v>
      </c>
      <c r="Y2911" t="s">
        <v>22426</v>
      </c>
      <c r="Z2911" t="s">
        <v>28879</v>
      </c>
      <c r="AA2911">
        <v>0.51905135966595661</v>
      </c>
      <c r="AB2911" t="str">
        <f>HYPERLINK("Melting_Curves/meltCurve_P54886_2_ALDH18A1.pdf", "Melting_Curves/meltCurve_P54886_2_ALDH18A1.pdf")</f>
        <v>Melting_Curves/meltCurve_P54886_2_ALDH18A1.pdf</v>
      </c>
    </row>
    <row r="2912" spans="1:28" x14ac:dyDescent="0.25">
      <c r="A2912" t="s">
        <v>2916</v>
      </c>
      <c r="B2912">
        <v>0.99472303558308395</v>
      </c>
      <c r="C2912">
        <v>0.97111488216103403</v>
      </c>
      <c r="D2912">
        <v>0.87255320290718597</v>
      </c>
      <c r="E2912">
        <v>0.85339785585147598</v>
      </c>
      <c r="F2912">
        <v>0.69801764633509</v>
      </c>
      <c r="G2912">
        <v>0.41758554610021498</v>
      </c>
      <c r="H2912">
        <v>0.18567438202914699</v>
      </c>
      <c r="I2912">
        <v>0.108100614310658</v>
      </c>
      <c r="J2912">
        <v>0.107361953718171</v>
      </c>
      <c r="K2912">
        <v>9.0885307268803894E-2</v>
      </c>
      <c r="L2912">
        <v>786.01396604197998</v>
      </c>
      <c r="M2912">
        <v>15.069193529932599</v>
      </c>
      <c r="N2912">
        <v>52.4065015644967</v>
      </c>
      <c r="O2912">
        <v>51.2676161738422</v>
      </c>
      <c r="P2912">
        <v>-7.0979160806080896E-2</v>
      </c>
      <c r="Q2912">
        <v>3.4169593727088499E-2</v>
      </c>
      <c r="R2912">
        <v>0.98968693819172504</v>
      </c>
      <c r="S2912" t="s">
        <v>9480</v>
      </c>
      <c r="T2912" t="s">
        <v>13134</v>
      </c>
      <c r="U2912" t="s">
        <v>13134</v>
      </c>
      <c r="V2912" t="s">
        <v>13134</v>
      </c>
      <c r="W2912" t="s">
        <v>15994</v>
      </c>
      <c r="X2912">
        <v>21</v>
      </c>
      <c r="Y2912" t="s">
        <v>22427</v>
      </c>
      <c r="Z2912" t="s">
        <v>28880</v>
      </c>
      <c r="AA2912">
        <v>0.54045446715573275</v>
      </c>
      <c r="AB2912" t="str">
        <f>HYPERLINK("Melting_Curves/meltCurve_P54920_NAPA.pdf", "Melting_Curves/meltCurve_P54920_NAPA.pdf")</f>
        <v>Melting_Curves/meltCurve_P54920_NAPA.pdf</v>
      </c>
    </row>
    <row r="2913" spans="1:28" x14ac:dyDescent="0.25">
      <c r="A2913" t="s">
        <v>2917</v>
      </c>
      <c r="B2913">
        <v>0.99472303558308395</v>
      </c>
      <c r="C2913">
        <v>1.27507162629076</v>
      </c>
      <c r="D2913">
        <v>1.1396684896845699</v>
      </c>
      <c r="E2913">
        <v>0.90984854396560799</v>
      </c>
      <c r="F2913">
        <v>0.81076630612633305</v>
      </c>
      <c r="G2913">
        <v>0.53208916881826596</v>
      </c>
      <c r="H2913">
        <v>0.31348141950968</v>
      </c>
      <c r="I2913">
        <v>8.4214620889136296E-2</v>
      </c>
      <c r="J2913">
        <v>7.6481144731986195E-2</v>
      </c>
      <c r="K2913">
        <v>0.18246657541376901</v>
      </c>
      <c r="L2913">
        <v>1118.25848689708</v>
      </c>
      <c r="M2913">
        <v>20.866451115757702</v>
      </c>
      <c r="N2913">
        <v>54.108968557183999</v>
      </c>
      <c r="O2913">
        <v>53.106293458216001</v>
      </c>
      <c r="P2913">
        <v>-8.9342582605236504E-2</v>
      </c>
      <c r="Q2913">
        <v>9.0497412524357196E-2</v>
      </c>
      <c r="R2913">
        <v>0.93734948278867403</v>
      </c>
      <c r="S2913" t="s">
        <v>9481</v>
      </c>
      <c r="T2913" t="s">
        <v>13134</v>
      </c>
      <c r="U2913" t="s">
        <v>13134</v>
      </c>
      <c r="V2913" t="s">
        <v>13134</v>
      </c>
      <c r="W2913" t="s">
        <v>15995</v>
      </c>
      <c r="X2913">
        <v>2</v>
      </c>
      <c r="Y2913" t="s">
        <v>22428</v>
      </c>
      <c r="Z2913" t="s">
        <v>28881</v>
      </c>
      <c r="AA2913">
        <v>0.60405767009684719</v>
      </c>
      <c r="AB2913" t="str">
        <f>HYPERLINK("Melting_Curves/meltCurve_P54922_ADPRH.pdf", "Melting_Curves/meltCurve_P54922_ADPRH.pdf")</f>
        <v>Melting_Curves/meltCurve_P54922_ADPRH.pdf</v>
      </c>
    </row>
    <row r="2914" spans="1:28" x14ac:dyDescent="0.25">
      <c r="A2914" t="s">
        <v>2918</v>
      </c>
      <c r="B2914">
        <v>0.99472303558308395</v>
      </c>
      <c r="C2914">
        <v>0.99104685921129598</v>
      </c>
      <c r="D2914">
        <v>1.03187045037008</v>
      </c>
      <c r="E2914">
        <v>0.93591738689914095</v>
      </c>
      <c r="F2914">
        <v>0.65568672948637396</v>
      </c>
      <c r="G2914">
        <v>0.24103553088099</v>
      </c>
      <c r="H2914">
        <v>8.0111611411070302E-2</v>
      </c>
      <c r="I2914">
        <v>4.6196732901170497E-2</v>
      </c>
      <c r="J2914">
        <v>4.9131656719526601E-2</v>
      </c>
      <c r="K2914">
        <v>4.7142376390905801E-2</v>
      </c>
      <c r="L2914">
        <v>1443.56619052716</v>
      </c>
      <c r="M2914">
        <v>28.1819154842388</v>
      </c>
      <c r="N2914">
        <v>51.380774997910002</v>
      </c>
      <c r="O2914">
        <v>50.967283249347801</v>
      </c>
      <c r="P2914">
        <v>-0.13251140596788599</v>
      </c>
      <c r="Q2914">
        <v>4.1414653714249801E-2</v>
      </c>
      <c r="R2914">
        <v>0.99913087637690201</v>
      </c>
      <c r="S2914" t="s">
        <v>9482</v>
      </c>
      <c r="T2914" t="s">
        <v>13134</v>
      </c>
      <c r="U2914" t="s">
        <v>13134</v>
      </c>
      <c r="V2914" t="s">
        <v>13134</v>
      </c>
      <c r="W2914" t="s">
        <v>15996</v>
      </c>
      <c r="X2914">
        <v>17</v>
      </c>
      <c r="Y2914" t="s">
        <v>22429</v>
      </c>
      <c r="Z2914" t="s">
        <v>28882</v>
      </c>
      <c r="AA2914">
        <v>0.50264321780266663</v>
      </c>
      <c r="AB2914" t="str">
        <f>HYPERLINK("Melting_Curves/meltCurve_P55010_EIF5.pdf", "Melting_Curves/meltCurve_P55010_EIF5.pdf")</f>
        <v>Melting_Curves/meltCurve_P55010_EIF5.pdf</v>
      </c>
    </row>
    <row r="2915" spans="1:28" x14ac:dyDescent="0.25">
      <c r="A2915" t="s">
        <v>2919</v>
      </c>
      <c r="B2915">
        <v>0.99472303558308395</v>
      </c>
      <c r="C2915">
        <v>0.95990873057744996</v>
      </c>
      <c r="D2915">
        <v>0.86477294807833205</v>
      </c>
      <c r="E2915">
        <v>0.79661134307983394</v>
      </c>
      <c r="F2915">
        <v>0.69233674647142096</v>
      </c>
      <c r="G2915">
        <v>0.39824704804914801</v>
      </c>
      <c r="H2915">
        <v>0.19880838798085601</v>
      </c>
      <c r="I2915">
        <v>8.3995295137774803E-2</v>
      </c>
      <c r="J2915">
        <v>7.9021603188137404E-2</v>
      </c>
      <c r="K2915">
        <v>7.2531026377987098E-2</v>
      </c>
      <c r="L2915">
        <v>688.09143100454298</v>
      </c>
      <c r="M2915">
        <v>13.212078332464401</v>
      </c>
      <c r="N2915">
        <v>52.080464616348301</v>
      </c>
      <c r="O2915">
        <v>50.9307284061465</v>
      </c>
      <c r="P2915">
        <v>-6.4863935530863101E-2</v>
      </c>
      <c r="Q2915">
        <v>0</v>
      </c>
      <c r="R2915">
        <v>0.98848185389051801</v>
      </c>
      <c r="S2915" t="s">
        <v>9483</v>
      </c>
      <c r="T2915" t="s">
        <v>13134</v>
      </c>
      <c r="U2915" t="s">
        <v>13134</v>
      </c>
      <c r="V2915" t="s">
        <v>13134</v>
      </c>
      <c r="W2915" t="s">
        <v>15997</v>
      </c>
      <c r="X2915">
        <v>14</v>
      </c>
      <c r="Y2915" t="s">
        <v>22430</v>
      </c>
      <c r="Z2915" t="s">
        <v>28883</v>
      </c>
      <c r="AA2915">
        <v>0.524395629375489</v>
      </c>
      <c r="AB2915" t="str">
        <f>HYPERLINK("Melting_Curves/meltCurve_P55011_3_SLC12A2.pdf", "Melting_Curves/meltCurve_P55011_3_SLC12A2.pdf")</f>
        <v>Melting_Curves/meltCurve_P55011_3_SLC12A2.pdf</v>
      </c>
    </row>
    <row r="2916" spans="1:28" x14ac:dyDescent="0.25">
      <c r="A2916" t="s">
        <v>2920</v>
      </c>
      <c r="B2916">
        <v>0.99472303558308395</v>
      </c>
      <c r="C2916">
        <v>0.966801972321642</v>
      </c>
      <c r="D2916">
        <v>0.82177211250919202</v>
      </c>
      <c r="E2916">
        <v>0.69725356177577003</v>
      </c>
      <c r="F2916">
        <v>0.61283638835436605</v>
      </c>
      <c r="G2916">
        <v>0.290027612378501</v>
      </c>
      <c r="H2916">
        <v>0.19129444384024299</v>
      </c>
      <c r="I2916">
        <v>7.7264007372453897E-2</v>
      </c>
      <c r="J2916">
        <v>8.2261797514634902E-2</v>
      </c>
      <c r="K2916">
        <v>7.6256645201445594E-2</v>
      </c>
      <c r="L2916">
        <v>581.24137547063197</v>
      </c>
      <c r="M2916">
        <v>11.513854091703299</v>
      </c>
      <c r="N2916">
        <v>50.481911143784799</v>
      </c>
      <c r="O2916">
        <v>49.031141151292204</v>
      </c>
      <c r="P2916">
        <v>-5.8723451533208501E-2</v>
      </c>
      <c r="Q2916">
        <v>0</v>
      </c>
      <c r="R2916">
        <v>0.98621033916378897</v>
      </c>
      <c r="S2916" t="s">
        <v>9484</v>
      </c>
      <c r="T2916" t="s">
        <v>13134</v>
      </c>
      <c r="U2916" t="s">
        <v>13134</v>
      </c>
      <c r="V2916" t="s">
        <v>13134</v>
      </c>
      <c r="W2916" t="s">
        <v>15998</v>
      </c>
      <c r="X2916">
        <v>15</v>
      </c>
      <c r="Y2916" t="s">
        <v>22431</v>
      </c>
      <c r="Z2916" t="s">
        <v>28884</v>
      </c>
      <c r="AA2916">
        <v>0.47769301938618552</v>
      </c>
      <c r="AB2916" t="str">
        <f>HYPERLINK("Melting_Curves/meltCurve_P55036_PSMD4.pdf", "Melting_Curves/meltCurve_P55036_PSMD4.pdf")</f>
        <v>Melting_Curves/meltCurve_P55036_PSMD4.pdf</v>
      </c>
    </row>
    <row r="2917" spans="1:28" x14ac:dyDescent="0.25">
      <c r="A2917" t="s">
        <v>2921</v>
      </c>
      <c r="B2917">
        <v>0.99472303558308395</v>
      </c>
      <c r="C2917">
        <v>0.97436348988282195</v>
      </c>
      <c r="D2917">
        <v>1.08300254964797</v>
      </c>
      <c r="E2917">
        <v>0.89246970212647103</v>
      </c>
      <c r="F2917">
        <v>0.52074973676660297</v>
      </c>
      <c r="G2917">
        <v>0.22117860129807901</v>
      </c>
      <c r="H2917">
        <v>5.7932960585808602E-2</v>
      </c>
      <c r="I2917">
        <v>4.4900768585962599E-2</v>
      </c>
      <c r="J2917">
        <v>4.9749906554203999E-2</v>
      </c>
      <c r="K2917">
        <v>4.3072431320032203E-2</v>
      </c>
      <c r="L2917">
        <v>1310.13958883089</v>
      </c>
      <c r="M2917">
        <v>26.0287323609802</v>
      </c>
      <c r="N2917">
        <v>50.498169331514397</v>
      </c>
      <c r="O2917">
        <v>50.0400643972335</v>
      </c>
      <c r="P2917">
        <v>-0.124776384404497</v>
      </c>
      <c r="Q2917">
        <v>4.04837713995898E-2</v>
      </c>
      <c r="R2917">
        <v>0.99401189658698896</v>
      </c>
      <c r="S2917" t="s">
        <v>9485</v>
      </c>
      <c r="T2917" t="s">
        <v>13134</v>
      </c>
      <c r="U2917" t="s">
        <v>13134</v>
      </c>
      <c r="V2917" t="s">
        <v>13134</v>
      </c>
      <c r="W2917" t="s">
        <v>15999</v>
      </c>
      <c r="X2917">
        <v>15</v>
      </c>
      <c r="Y2917" t="s">
        <v>22432</v>
      </c>
      <c r="Z2917" t="s">
        <v>28885</v>
      </c>
      <c r="AA2917">
        <v>0.47476636411838918</v>
      </c>
      <c r="AB2917" t="str">
        <f>HYPERLINK("Melting_Curves/meltCurve_P55039_DRG2.pdf", "Melting_Curves/meltCurve_P55039_DRG2.pdf")</f>
        <v>Melting_Curves/meltCurve_P55039_DRG2.pdf</v>
      </c>
    </row>
    <row r="2918" spans="1:28" x14ac:dyDescent="0.25">
      <c r="A2918" t="s">
        <v>2922</v>
      </c>
      <c r="B2918">
        <v>0.99472303558308395</v>
      </c>
      <c r="C2918">
        <v>0.96686437045412899</v>
      </c>
      <c r="D2918">
        <v>0.98517898147494198</v>
      </c>
      <c r="E2918">
        <v>0.79147433029314995</v>
      </c>
      <c r="F2918">
        <v>0.208922210034554</v>
      </c>
      <c r="G2918">
        <v>7.7453085198694593E-2</v>
      </c>
      <c r="H2918">
        <v>4.4388851518249103E-2</v>
      </c>
      <c r="I2918">
        <v>2.9327151440200001E-2</v>
      </c>
      <c r="J2918">
        <v>3.3500932837190502E-2</v>
      </c>
      <c r="K2918">
        <v>2.9282439689061801E-2</v>
      </c>
      <c r="L2918">
        <v>1790.5826980157301</v>
      </c>
      <c r="M2918">
        <v>37.157150321074802</v>
      </c>
      <c r="N2918">
        <v>48.290412069265898</v>
      </c>
      <c r="O2918">
        <v>48.050503836061303</v>
      </c>
      <c r="P2918">
        <v>-0.186099087361076</v>
      </c>
      <c r="Q2918">
        <v>3.7371716873555699E-2</v>
      </c>
      <c r="R2918">
        <v>0.99905097428023804</v>
      </c>
      <c r="S2918" t="s">
        <v>9486</v>
      </c>
      <c r="T2918" t="s">
        <v>13134</v>
      </c>
      <c r="U2918" t="s">
        <v>13134</v>
      </c>
      <c r="V2918" t="s">
        <v>13134</v>
      </c>
      <c r="W2918" t="s">
        <v>16000</v>
      </c>
      <c r="X2918">
        <v>39</v>
      </c>
      <c r="Y2918" t="s">
        <v>22433</v>
      </c>
      <c r="Z2918" t="s">
        <v>28886</v>
      </c>
      <c r="AA2918">
        <v>0.40013449224632758</v>
      </c>
      <c r="AB2918" t="str">
        <f>HYPERLINK("Melting_Curves/meltCurve_P55060_3_CSE1L.pdf", "Melting_Curves/meltCurve_P55060_3_CSE1L.pdf")</f>
        <v>Melting_Curves/meltCurve_P55060_3_CSE1L.pdf</v>
      </c>
    </row>
    <row r="2919" spans="1:28" x14ac:dyDescent="0.25">
      <c r="A2919" t="s">
        <v>2923</v>
      </c>
      <c r="B2919">
        <v>0.99472303558308395</v>
      </c>
      <c r="C2919">
        <v>0.94360498308113905</v>
      </c>
      <c r="D2919">
        <v>0.70471438804615505</v>
      </c>
      <c r="E2919">
        <v>0.62813638590665799</v>
      </c>
      <c r="F2919">
        <v>0.90121418075054704</v>
      </c>
      <c r="G2919">
        <v>0.40617255771331101</v>
      </c>
      <c r="H2919">
        <v>0.27468231728314702</v>
      </c>
      <c r="I2919">
        <v>0.12719929244327899</v>
      </c>
      <c r="J2919">
        <v>0.22831539457087299</v>
      </c>
      <c r="K2919">
        <v>0.28084660000577699</v>
      </c>
      <c r="L2919">
        <v>401.09958529104603</v>
      </c>
      <c r="M2919">
        <v>7.6590825633032198</v>
      </c>
      <c r="N2919">
        <v>52.645840407057499</v>
      </c>
      <c r="O2919">
        <v>49.157413180460402</v>
      </c>
      <c r="P2919">
        <v>-3.8234191068237999E-2</v>
      </c>
      <c r="Q2919">
        <v>1.97277193753496E-2</v>
      </c>
      <c r="R2919">
        <v>0.82486204261554896</v>
      </c>
      <c r="S2919" t="s">
        <v>9487</v>
      </c>
      <c r="T2919" t="s">
        <v>13134</v>
      </c>
      <c r="U2919" t="s">
        <v>13134</v>
      </c>
      <c r="V2919" t="s">
        <v>13134</v>
      </c>
      <c r="W2919" t="s">
        <v>16001</v>
      </c>
      <c r="X2919">
        <v>66</v>
      </c>
      <c r="Y2919" t="s">
        <v>19990</v>
      </c>
      <c r="Z2919" t="s">
        <v>28887</v>
      </c>
      <c r="AA2919">
        <v>0.54747827839536856</v>
      </c>
      <c r="AB2919" t="str">
        <f>HYPERLINK("Melting_Curves/meltCurve_P55072_VCP.pdf", "Melting_Curves/meltCurve_P55072_VCP.pdf")</f>
        <v>Melting_Curves/meltCurve_P55072_VCP.pdf</v>
      </c>
    </row>
    <row r="2920" spans="1:28" x14ac:dyDescent="0.25">
      <c r="A2920" t="s">
        <v>2924</v>
      </c>
      <c r="B2920">
        <v>0.99472303558308395</v>
      </c>
      <c r="C2920">
        <v>1.0176219012580501</v>
      </c>
      <c r="D2920">
        <v>0.99516678773963696</v>
      </c>
      <c r="E2920">
        <v>0.93662707535867895</v>
      </c>
      <c r="F2920">
        <v>0.75007019282300302</v>
      </c>
      <c r="G2920">
        <v>0.58389070553852596</v>
      </c>
      <c r="H2920">
        <v>0.46995984308092198</v>
      </c>
      <c r="I2920">
        <v>0.54678662422771196</v>
      </c>
      <c r="J2920">
        <v>0.80181274360335797</v>
      </c>
      <c r="K2920">
        <v>0.59160127255676598</v>
      </c>
      <c r="L2920">
        <v>1850.49308608448</v>
      </c>
      <c r="M2920">
        <v>37.541418083133003</v>
      </c>
      <c r="O2920">
        <v>49.152800482552799</v>
      </c>
      <c r="P2920">
        <v>-7.6906286616380701E-2</v>
      </c>
      <c r="Q2920">
        <v>0.59722894215511602</v>
      </c>
      <c r="R2920">
        <v>0.84126124109266498</v>
      </c>
      <c r="S2920" t="s">
        <v>9488</v>
      </c>
      <c r="T2920" t="s">
        <v>13134</v>
      </c>
      <c r="U2920" t="s">
        <v>13134</v>
      </c>
      <c r="V2920" t="s">
        <v>13134</v>
      </c>
      <c r="W2920" t="s">
        <v>16002</v>
      </c>
      <c r="X2920">
        <v>20</v>
      </c>
      <c r="Y2920" t="s">
        <v>22434</v>
      </c>
      <c r="Z2920" t="s">
        <v>28888</v>
      </c>
      <c r="AA2920">
        <v>0.76381680705632493</v>
      </c>
      <c r="AB2920" t="str">
        <f>HYPERLINK("Melting_Curves/meltCurve_P55081_MFAP1.pdf", "Melting_Curves/meltCurve_P55081_MFAP1.pdf")</f>
        <v>Melting_Curves/meltCurve_P55081_MFAP1.pdf</v>
      </c>
    </row>
    <row r="2921" spans="1:28" x14ac:dyDescent="0.25">
      <c r="A2921" t="s">
        <v>2925</v>
      </c>
      <c r="B2921">
        <v>0.99472303558308395</v>
      </c>
      <c r="C2921">
        <v>1.0144089447201099</v>
      </c>
      <c r="D2921">
        <v>1.01184511185532</v>
      </c>
      <c r="E2921">
        <v>0.67787710204426299</v>
      </c>
      <c r="F2921">
        <v>0.56250977793221002</v>
      </c>
      <c r="G2921">
        <v>0.41450590637627199</v>
      </c>
      <c r="H2921">
        <v>0.15218959316238201</v>
      </c>
      <c r="I2921">
        <v>0.2189752435566</v>
      </c>
      <c r="J2921">
        <v>0.23696769951472499</v>
      </c>
      <c r="K2921">
        <v>4.7910174216623497E-2</v>
      </c>
      <c r="L2921">
        <v>699.73338371248894</v>
      </c>
      <c r="M2921">
        <v>13.964996461779799</v>
      </c>
      <c r="N2921">
        <v>51.004105589399501</v>
      </c>
      <c r="O2921">
        <v>49.112329375606201</v>
      </c>
      <c r="P2921">
        <v>-6.33487294560032E-2</v>
      </c>
      <c r="Q2921">
        <v>0.10897565444212701</v>
      </c>
      <c r="R2921">
        <v>0.96368979561581403</v>
      </c>
      <c r="S2921" t="s">
        <v>9489</v>
      </c>
      <c r="T2921" t="s">
        <v>13134</v>
      </c>
      <c r="U2921" t="s">
        <v>13134</v>
      </c>
      <c r="V2921" t="s">
        <v>13134</v>
      </c>
      <c r="W2921" t="s">
        <v>16003</v>
      </c>
      <c r="X2921">
        <v>3</v>
      </c>
      <c r="Y2921" t="s">
        <v>22435</v>
      </c>
      <c r="Z2921" t="s">
        <v>28889</v>
      </c>
      <c r="AA2921">
        <v>0.51873829255322235</v>
      </c>
      <c r="AB2921" t="str">
        <f>HYPERLINK("Melting_Curves/meltCurve_P55082_2_MFAP3.pdf", "Melting_Curves/meltCurve_P55082_2_MFAP3.pdf")</f>
        <v>Melting_Curves/meltCurve_P55082_2_MFAP3.pdf</v>
      </c>
    </row>
    <row r="2922" spans="1:28" x14ac:dyDescent="0.25">
      <c r="A2922" t="s">
        <v>2926</v>
      </c>
      <c r="B2922">
        <v>0.99472303558308395</v>
      </c>
      <c r="C2922">
        <v>0.96746882704744097</v>
      </c>
      <c r="D2922">
        <v>0.98603459416908401</v>
      </c>
      <c r="E2922">
        <v>0.94881492392339895</v>
      </c>
      <c r="F2922">
        <v>0.73675378445008599</v>
      </c>
      <c r="G2922">
        <v>0.65983685407710602</v>
      </c>
      <c r="H2922">
        <v>0.59565873162440997</v>
      </c>
      <c r="I2922">
        <v>0.64377715089127996</v>
      </c>
      <c r="J2922">
        <v>0.83325828951387204</v>
      </c>
      <c r="K2922">
        <v>0.57884729428356196</v>
      </c>
      <c r="L2922">
        <v>1988.5490100090101</v>
      </c>
      <c r="M2922">
        <v>40.914469337173102</v>
      </c>
      <c r="O2922">
        <v>48.4869110841137</v>
      </c>
      <c r="P2922">
        <v>-7.1446010339479601E-2</v>
      </c>
      <c r="Q2922">
        <v>0.66132374978429398</v>
      </c>
      <c r="R2922">
        <v>0.83841432406637695</v>
      </c>
      <c r="S2922" t="s">
        <v>9490</v>
      </c>
      <c r="T2922" t="s">
        <v>13134</v>
      </c>
      <c r="U2922" t="s">
        <v>13134</v>
      </c>
      <c r="V2922" t="s">
        <v>13134</v>
      </c>
      <c r="W2922" t="s">
        <v>16004</v>
      </c>
      <c r="X2922">
        <v>13</v>
      </c>
      <c r="Y2922" t="s">
        <v>22436</v>
      </c>
      <c r="Z2922" t="s">
        <v>28890</v>
      </c>
      <c r="AA2922">
        <v>0.7933948094890696</v>
      </c>
      <c r="AB2922" t="str">
        <f>HYPERLINK("Melting_Curves/meltCurve_P55145_MANF.pdf", "Melting_Curves/meltCurve_P55145_MANF.pdf")</f>
        <v>Melting_Curves/meltCurve_P55145_MANF.pdf</v>
      </c>
    </row>
    <row r="2923" spans="1:28" x14ac:dyDescent="0.25">
      <c r="A2923" t="s">
        <v>2927</v>
      </c>
      <c r="B2923">
        <v>0.99472303558308395</v>
      </c>
      <c r="C2923">
        <v>0.96294537955967197</v>
      </c>
      <c r="D2923">
        <v>0.86628867892169903</v>
      </c>
      <c r="E2923">
        <v>0.85528080646512905</v>
      </c>
      <c r="F2923">
        <v>0.51532386409875897</v>
      </c>
      <c r="G2923">
        <v>0.17373357911347501</v>
      </c>
      <c r="H2923">
        <v>0.10723240557646201</v>
      </c>
      <c r="I2923">
        <v>5.5035301405996002E-2</v>
      </c>
      <c r="J2923">
        <v>0.103599674897038</v>
      </c>
      <c r="K2923">
        <v>6.4842281439661198E-2</v>
      </c>
      <c r="L2923">
        <v>1128.39439224014</v>
      </c>
      <c r="M2923">
        <v>22.6375300499008</v>
      </c>
      <c r="N2923">
        <v>50.1326931939236</v>
      </c>
      <c r="O2923">
        <v>49.4620768395582</v>
      </c>
      <c r="P2923">
        <v>-0.107477517707034</v>
      </c>
      <c r="Q2923">
        <v>6.0682538569464199E-2</v>
      </c>
      <c r="R2923">
        <v>0.988865261281338</v>
      </c>
      <c r="S2923" t="s">
        <v>9491</v>
      </c>
      <c r="T2923" t="s">
        <v>13134</v>
      </c>
      <c r="U2923" t="s">
        <v>13134</v>
      </c>
      <c r="V2923" t="s">
        <v>13134</v>
      </c>
      <c r="W2923" t="s">
        <v>16005</v>
      </c>
      <c r="X2923">
        <v>62</v>
      </c>
      <c r="Y2923" t="s">
        <v>20773</v>
      </c>
      <c r="Z2923" t="s">
        <v>28891</v>
      </c>
      <c r="AA2923">
        <v>0.47279210645269448</v>
      </c>
      <c r="AB2923" t="str">
        <f>HYPERLINK("Melting_Curves/meltCurve_P55196_3_MLLT4.pdf", "Melting_Curves/meltCurve_P55196_3_MLLT4.pdf")</f>
        <v>Melting_Curves/meltCurve_P55196_3_MLLT4.pdf</v>
      </c>
    </row>
    <row r="2924" spans="1:28" x14ac:dyDescent="0.25">
      <c r="A2924" t="s">
        <v>2928</v>
      </c>
      <c r="B2924">
        <v>0.99472303558308395</v>
      </c>
      <c r="C2924">
        <v>0.94899690248364599</v>
      </c>
      <c r="D2924">
        <v>0.95210976798123204</v>
      </c>
      <c r="E2924">
        <v>0.42447751554685598</v>
      </c>
      <c r="F2924">
        <v>0.217321985231169</v>
      </c>
      <c r="G2924">
        <v>0.119121417859352</v>
      </c>
      <c r="H2924">
        <v>8.5316361462475607E-2</v>
      </c>
      <c r="I2924">
        <v>5.8454640485418201E-2</v>
      </c>
      <c r="J2924">
        <v>6.3913220411804597E-2</v>
      </c>
      <c r="K2924">
        <v>5.3048259737869502E-2</v>
      </c>
      <c r="L2924">
        <v>1335.7982620208199</v>
      </c>
      <c r="M2924">
        <v>28.990816918731699</v>
      </c>
      <c r="N2924">
        <v>46.353756103181503</v>
      </c>
      <c r="O2924">
        <v>45.8590329694361</v>
      </c>
      <c r="P2924">
        <v>-0.145468523391176</v>
      </c>
      <c r="Q2924">
        <v>7.9571159138949799E-2</v>
      </c>
      <c r="R2924">
        <v>0.99207441862046997</v>
      </c>
      <c r="S2924" t="s">
        <v>9492</v>
      </c>
      <c r="T2924" t="s">
        <v>13134</v>
      </c>
      <c r="U2924" t="s">
        <v>13134</v>
      </c>
      <c r="V2924" t="s">
        <v>13134</v>
      </c>
      <c r="W2924" t="s">
        <v>16006</v>
      </c>
      <c r="X2924">
        <v>11</v>
      </c>
      <c r="Y2924" t="s">
        <v>22437</v>
      </c>
      <c r="Z2924" t="s">
        <v>28892</v>
      </c>
      <c r="AA2924">
        <v>0.36368897166694969</v>
      </c>
      <c r="AB2924" t="str">
        <f>HYPERLINK("Melting_Curves/meltCurve_P55199_ELL.pdf", "Melting_Curves/meltCurve_P55199_ELL.pdf")</f>
        <v>Melting_Curves/meltCurve_P55199_ELL.pdf</v>
      </c>
    </row>
    <row r="2925" spans="1:28" x14ac:dyDescent="0.25">
      <c r="A2925" t="s">
        <v>2929</v>
      </c>
      <c r="B2925">
        <v>0.99472303558308395</v>
      </c>
      <c r="C2925">
        <v>0.90944435423534897</v>
      </c>
      <c r="D2925">
        <v>0.80220911708583398</v>
      </c>
      <c r="E2925">
        <v>0.49328979302903098</v>
      </c>
      <c r="F2925">
        <v>0.11318506583879</v>
      </c>
      <c r="G2925">
        <v>9.6817484087669894E-2</v>
      </c>
      <c r="H2925">
        <v>5.0879379514154201E-2</v>
      </c>
      <c r="I2925">
        <v>3.90257312668984E-2</v>
      </c>
      <c r="J2925">
        <v>1.54582505202101E-2</v>
      </c>
      <c r="K2925">
        <v>3.1806901839142601E-2</v>
      </c>
      <c r="L2925">
        <v>926.87520144533801</v>
      </c>
      <c r="M2925">
        <v>20.139454966564401</v>
      </c>
      <c r="N2925">
        <v>46.134011378367298</v>
      </c>
      <c r="O2925">
        <v>45.576305203553403</v>
      </c>
      <c r="P2925">
        <v>-0.10785821222269699</v>
      </c>
      <c r="Q2925">
        <v>2.3683118087537602E-2</v>
      </c>
      <c r="R2925">
        <v>0.99379927379803101</v>
      </c>
      <c r="S2925" t="s">
        <v>9493</v>
      </c>
      <c r="T2925" t="s">
        <v>13134</v>
      </c>
      <c r="U2925" t="s">
        <v>13134</v>
      </c>
      <c r="V2925" t="s">
        <v>13134</v>
      </c>
      <c r="W2925" t="s">
        <v>16007</v>
      </c>
      <c r="X2925">
        <v>2</v>
      </c>
      <c r="Y2925" t="s">
        <v>22438</v>
      </c>
      <c r="Z2925" t="s">
        <v>28893</v>
      </c>
      <c r="AA2925">
        <v>0.32990697805074121</v>
      </c>
      <c r="AB2925" t="str">
        <f>HYPERLINK("Melting_Curves/meltCurve_P55201_4_BRPF1.pdf", "Melting_Curves/meltCurve_P55201_4_BRPF1.pdf")</f>
        <v>Melting_Curves/meltCurve_P55201_4_BRPF1.pdf</v>
      </c>
    </row>
    <row r="2926" spans="1:28" x14ac:dyDescent="0.25">
      <c r="A2926" t="s">
        <v>2930</v>
      </c>
      <c r="B2926">
        <v>0.99472303558308395</v>
      </c>
      <c r="C2926">
        <v>0.98789682474745899</v>
      </c>
      <c r="D2926">
        <v>0.97176672602366598</v>
      </c>
      <c r="E2926">
        <v>0.68331030417822503</v>
      </c>
      <c r="F2926">
        <v>0.29107688835797402</v>
      </c>
      <c r="G2926">
        <v>0.153796541205661</v>
      </c>
      <c r="H2926">
        <v>9.0757741702985506E-2</v>
      </c>
      <c r="I2926">
        <v>6.7329846794938503E-2</v>
      </c>
      <c r="J2926">
        <v>5.6548753831816602E-2</v>
      </c>
      <c r="K2926">
        <v>5.8980004388456603E-2</v>
      </c>
      <c r="L2926">
        <v>1167.96106490188</v>
      </c>
      <c r="M2926">
        <v>24.366522454492799</v>
      </c>
      <c r="N2926">
        <v>48.215821859630701</v>
      </c>
      <c r="O2926">
        <v>47.6136733460568</v>
      </c>
      <c r="P2926">
        <v>-0.119421473216033</v>
      </c>
      <c r="Q2926">
        <v>6.6586497033685202E-2</v>
      </c>
      <c r="R2926">
        <v>0.99888916034595099</v>
      </c>
      <c r="S2926" t="s">
        <v>9494</v>
      </c>
      <c r="T2926" t="s">
        <v>13134</v>
      </c>
      <c r="U2926" t="s">
        <v>13134</v>
      </c>
      <c r="V2926" t="s">
        <v>13134</v>
      </c>
      <c r="W2926" t="s">
        <v>16008</v>
      </c>
      <c r="X2926">
        <v>3</v>
      </c>
      <c r="Y2926" t="s">
        <v>22439</v>
      </c>
      <c r="Z2926" t="s">
        <v>28894</v>
      </c>
      <c r="AA2926">
        <v>0.41511437194727868</v>
      </c>
      <c r="AB2926" t="str">
        <f>HYPERLINK("Melting_Curves/meltCurve_P55211_2_CASP9.pdf", "Melting_Curves/meltCurve_P55211_2_CASP9.pdf")</f>
        <v>Melting_Curves/meltCurve_P55211_2_CASP9.pdf</v>
      </c>
    </row>
    <row r="2927" spans="1:28" x14ac:dyDescent="0.25">
      <c r="A2927" t="s">
        <v>2931</v>
      </c>
      <c r="B2927">
        <v>0.99472303558308395</v>
      </c>
      <c r="C2927">
        <v>0.99432512155429997</v>
      </c>
      <c r="D2927">
        <v>0.96871694144309395</v>
      </c>
      <c r="E2927">
        <v>0.90704196959654504</v>
      </c>
      <c r="F2927">
        <v>0.71824578454658405</v>
      </c>
      <c r="G2927">
        <v>0.58821851784780199</v>
      </c>
      <c r="H2927">
        <v>0.52111995134068101</v>
      </c>
      <c r="I2927">
        <v>0.58438827621757505</v>
      </c>
      <c r="J2927">
        <v>0.82413855677435799</v>
      </c>
      <c r="K2927">
        <v>0.59907529217466404</v>
      </c>
      <c r="L2927">
        <v>1654.6157957176099</v>
      </c>
      <c r="M2927">
        <v>34.323372561864701</v>
      </c>
      <c r="O2927">
        <v>48.043921939137299</v>
      </c>
      <c r="P2927">
        <v>-6.7190170222930806E-2</v>
      </c>
      <c r="Q2927">
        <v>0.62380538253279305</v>
      </c>
      <c r="R2927">
        <v>0.82586926566021601</v>
      </c>
      <c r="S2927" t="s">
        <v>9495</v>
      </c>
      <c r="T2927" t="s">
        <v>13134</v>
      </c>
      <c r="U2927" t="s">
        <v>13134</v>
      </c>
      <c r="V2927" t="s">
        <v>13134</v>
      </c>
      <c r="W2927" t="s">
        <v>16009</v>
      </c>
      <c r="X2927">
        <v>14</v>
      </c>
      <c r="Y2927" t="s">
        <v>22440</v>
      </c>
      <c r="Z2927" t="s">
        <v>28895</v>
      </c>
      <c r="AA2927">
        <v>0.76604142506465911</v>
      </c>
      <c r="AB2927" t="str">
        <f>HYPERLINK("Melting_Curves/meltCurve_P55212_CASP6.pdf", "Melting_Curves/meltCurve_P55212_CASP6.pdf")</f>
        <v>Melting_Curves/meltCurve_P55212_CASP6.pdf</v>
      </c>
    </row>
    <row r="2928" spans="1:28" x14ac:dyDescent="0.25">
      <c r="A2928" t="s">
        <v>2932</v>
      </c>
      <c r="B2928">
        <v>0.99472303558308395</v>
      </c>
      <c r="C2928">
        <v>0.91797425213553296</v>
      </c>
      <c r="D2928">
        <v>1.0871025757316799</v>
      </c>
      <c r="E2928">
        <v>0.92181521539650402</v>
      </c>
      <c r="F2928">
        <v>0.63037898476148102</v>
      </c>
      <c r="G2928">
        <v>0.63692265932932002</v>
      </c>
      <c r="H2928">
        <v>0.50810088616273896</v>
      </c>
      <c r="I2928">
        <v>0.35429527113179898</v>
      </c>
      <c r="J2928">
        <v>0.107973429272589</v>
      </c>
      <c r="K2928">
        <v>0.1199625506441</v>
      </c>
      <c r="L2928">
        <v>598.04677443089702</v>
      </c>
      <c r="M2928">
        <v>10.6842729614057</v>
      </c>
      <c r="N2928">
        <v>55.974502243031402</v>
      </c>
      <c r="O2928">
        <v>54.120476606302702</v>
      </c>
      <c r="P2928">
        <v>-4.9372741252169297E-2</v>
      </c>
      <c r="Q2928">
        <v>0</v>
      </c>
      <c r="R2928">
        <v>0.94531372333882802</v>
      </c>
      <c r="S2928" t="s">
        <v>9496</v>
      </c>
      <c r="T2928" t="s">
        <v>13134</v>
      </c>
      <c r="U2928" t="s">
        <v>13134</v>
      </c>
      <c r="V2928" t="s">
        <v>13134</v>
      </c>
      <c r="W2928" t="s">
        <v>16010</v>
      </c>
      <c r="X2928">
        <v>21</v>
      </c>
      <c r="Y2928" t="s">
        <v>22441</v>
      </c>
      <c r="Z2928" t="s">
        <v>28896</v>
      </c>
      <c r="AA2928">
        <v>0.64031146918281001</v>
      </c>
      <c r="AB2928" t="str">
        <f>HYPERLINK("Melting_Curves/meltCurve_P55263_ADK.pdf", "Melting_Curves/meltCurve_P55263_ADK.pdf")</f>
        <v>Melting_Curves/meltCurve_P55263_ADK.pdf</v>
      </c>
    </row>
    <row r="2929" spans="1:28" x14ac:dyDescent="0.25">
      <c r="A2929" t="s">
        <v>2933</v>
      </c>
      <c r="B2929">
        <v>0.99472303558308395</v>
      </c>
      <c r="C2929">
        <v>0.972771924703692</v>
      </c>
      <c r="D2929">
        <v>1.00234758228867</v>
      </c>
      <c r="E2929">
        <v>0.70224078319750904</v>
      </c>
      <c r="F2929">
        <v>0.28945190591976</v>
      </c>
      <c r="G2929">
        <v>0.155320711930825</v>
      </c>
      <c r="H2929">
        <v>6.2645136443178207E-2</v>
      </c>
      <c r="I2929">
        <v>3.8451502144810197E-2</v>
      </c>
      <c r="J2929">
        <v>3.7407169837755001E-2</v>
      </c>
      <c r="K2929">
        <v>2.9360881905463501E-2</v>
      </c>
      <c r="L2929">
        <v>1184.6825021263401</v>
      </c>
      <c r="M2929">
        <v>24.577831218390401</v>
      </c>
      <c r="N2929">
        <v>48.376491421526303</v>
      </c>
      <c r="O2929">
        <v>47.885564471662498</v>
      </c>
      <c r="P2929">
        <v>-0.12285279491845599</v>
      </c>
      <c r="Q2929">
        <v>4.2585860243942002E-2</v>
      </c>
      <c r="R2929">
        <v>0.99680643451239004</v>
      </c>
      <c r="S2929" t="s">
        <v>9497</v>
      </c>
      <c r="T2929" t="s">
        <v>13134</v>
      </c>
      <c r="U2929" t="s">
        <v>13134</v>
      </c>
      <c r="V2929" t="s">
        <v>13134</v>
      </c>
      <c r="W2929" t="s">
        <v>16011</v>
      </c>
      <c r="X2929">
        <v>7</v>
      </c>
      <c r="Y2929" t="s">
        <v>22442</v>
      </c>
      <c r="Z2929" t="s">
        <v>28897</v>
      </c>
      <c r="AA2929">
        <v>0.40852233917150832</v>
      </c>
      <c r="AB2929" t="str">
        <f>HYPERLINK("Melting_Curves/meltCurve_P55735_SEC13.pdf", "Melting_Curves/meltCurve_P55735_SEC13.pdf")</f>
        <v>Melting_Curves/meltCurve_P55735_SEC13.pdf</v>
      </c>
    </row>
    <row r="2930" spans="1:28" x14ac:dyDescent="0.25">
      <c r="A2930" t="s">
        <v>2934</v>
      </c>
      <c r="B2930">
        <v>0.99472303558308395</v>
      </c>
      <c r="C2930">
        <v>0.97862185828377102</v>
      </c>
      <c r="D2930">
        <v>0.90178379661886998</v>
      </c>
      <c r="E2930">
        <v>0.79600639960920005</v>
      </c>
      <c r="F2930">
        <v>0.54640921714908597</v>
      </c>
      <c r="G2930">
        <v>0.38951101381312198</v>
      </c>
      <c r="H2930">
        <v>0.29439654065683801</v>
      </c>
      <c r="I2930">
        <v>0.294320598230432</v>
      </c>
      <c r="J2930">
        <v>0.36329343664133201</v>
      </c>
      <c r="K2930">
        <v>0.28226928183793998</v>
      </c>
      <c r="L2930">
        <v>893.29043198177897</v>
      </c>
      <c r="M2930">
        <v>18.4002090195969</v>
      </c>
      <c r="N2930">
        <v>50.986785168723401</v>
      </c>
      <c r="O2930">
        <v>47.985317395593</v>
      </c>
      <c r="P2930">
        <v>-6.7812837974679005E-2</v>
      </c>
      <c r="Q2930">
        <v>0.29264425543119299</v>
      </c>
      <c r="R2930">
        <v>0.99057898515048004</v>
      </c>
      <c r="S2930" t="s">
        <v>9498</v>
      </c>
      <c r="T2930" t="s">
        <v>13134</v>
      </c>
      <c r="U2930" t="s">
        <v>13134</v>
      </c>
      <c r="V2930" t="s">
        <v>13134</v>
      </c>
      <c r="W2930" t="s">
        <v>16012</v>
      </c>
      <c r="X2930">
        <v>8</v>
      </c>
      <c r="Y2930" t="s">
        <v>22443</v>
      </c>
      <c r="Z2930" t="s">
        <v>28898</v>
      </c>
      <c r="AA2930">
        <v>0.57576713171159566</v>
      </c>
      <c r="AB2930" t="str">
        <f>HYPERLINK("Melting_Curves/meltCurve_P55789_GFER.pdf", "Melting_Curves/meltCurve_P55789_GFER.pdf")</f>
        <v>Melting_Curves/meltCurve_P55789_GFER.pdf</v>
      </c>
    </row>
    <row r="2931" spans="1:28" x14ac:dyDescent="0.25">
      <c r="A2931" t="s">
        <v>2935</v>
      </c>
      <c r="B2931">
        <v>0.99472303558308395</v>
      </c>
      <c r="C2931">
        <v>0.78814988661007102</v>
      </c>
      <c r="D2931">
        <v>0.383228175856486</v>
      </c>
      <c r="E2931">
        <v>0.17714007990523001</v>
      </c>
      <c r="F2931">
        <v>0.14506399198540201</v>
      </c>
      <c r="G2931">
        <v>8.6607958902756799E-2</v>
      </c>
      <c r="H2931">
        <v>7.8995485297746804E-2</v>
      </c>
      <c r="I2931">
        <v>5.17785087400289E-2</v>
      </c>
      <c r="J2931">
        <v>6.5512996350965899E-2</v>
      </c>
      <c r="K2931">
        <v>3.8314016324616403E-2</v>
      </c>
      <c r="L2931">
        <v>982.30428949948896</v>
      </c>
      <c r="M2931">
        <v>23.432045873793701</v>
      </c>
      <c r="N2931">
        <v>42.2121007281091</v>
      </c>
      <c r="O2931">
        <v>41.619657877807299</v>
      </c>
      <c r="P2931">
        <v>-0.13026624272385401</v>
      </c>
      <c r="Q2931">
        <v>7.4508096907416402E-2</v>
      </c>
      <c r="R2931">
        <v>0.99347065245438004</v>
      </c>
      <c r="S2931" t="s">
        <v>9499</v>
      </c>
      <c r="T2931" t="s">
        <v>13134</v>
      </c>
      <c r="U2931" t="s">
        <v>13134</v>
      </c>
      <c r="V2931" t="s">
        <v>13134</v>
      </c>
      <c r="W2931" t="s">
        <v>16013</v>
      </c>
      <c r="X2931">
        <v>10</v>
      </c>
      <c r="Y2931" t="s">
        <v>22444</v>
      </c>
      <c r="Z2931" t="s">
        <v>28899</v>
      </c>
      <c r="AA2931">
        <v>0.23599875107872309</v>
      </c>
      <c r="AB2931" t="str">
        <f>HYPERLINK("Melting_Curves/meltCurve_P55795_HNRNPH2.pdf", "Melting_Curves/meltCurve_P55795_HNRNPH2.pdf")</f>
        <v>Melting_Curves/meltCurve_P55795_HNRNPH2.pdf</v>
      </c>
    </row>
    <row r="2932" spans="1:28" x14ac:dyDescent="0.25">
      <c r="A2932" t="s">
        <v>2936</v>
      </c>
      <c r="B2932">
        <v>0.99472303558308395</v>
      </c>
      <c r="C2932">
        <v>0.95039958917657996</v>
      </c>
      <c r="D2932">
        <v>1.0013007465702899</v>
      </c>
      <c r="E2932">
        <v>0.85183204271182</v>
      </c>
      <c r="F2932">
        <v>0.56326533207600604</v>
      </c>
      <c r="G2932">
        <v>0.29244887448555601</v>
      </c>
      <c r="H2932">
        <v>9.7808228645487799E-2</v>
      </c>
      <c r="I2932">
        <v>6.6418106925349094E-2</v>
      </c>
      <c r="J2932">
        <v>7.25141142219725E-2</v>
      </c>
      <c r="K2932">
        <v>5.1031253842608898E-2</v>
      </c>
      <c r="L2932">
        <v>1014.5878068010099</v>
      </c>
      <c r="M2932">
        <v>20.012082307834799</v>
      </c>
      <c r="N2932">
        <v>50.918796227587599</v>
      </c>
      <c r="O2932">
        <v>50.200657838543698</v>
      </c>
      <c r="P2932">
        <v>-9.5535431665126194E-2</v>
      </c>
      <c r="Q2932">
        <v>4.1421935964747303E-2</v>
      </c>
      <c r="R2932">
        <v>0.997215176739501</v>
      </c>
      <c r="S2932" t="s">
        <v>9500</v>
      </c>
      <c r="T2932" t="s">
        <v>13134</v>
      </c>
      <c r="U2932" t="s">
        <v>13134</v>
      </c>
      <c r="V2932" t="s">
        <v>13134</v>
      </c>
      <c r="W2932" t="s">
        <v>16014</v>
      </c>
      <c r="X2932">
        <v>17</v>
      </c>
      <c r="Y2932" t="s">
        <v>22445</v>
      </c>
      <c r="Z2932" t="s">
        <v>28900</v>
      </c>
      <c r="AA2932">
        <v>0.49170142834346531</v>
      </c>
      <c r="AB2932" t="str">
        <f>HYPERLINK("Melting_Curves/meltCurve_P55809_OXCT1.pdf", "Melting_Curves/meltCurve_P55809_OXCT1.pdf")</f>
        <v>Melting_Curves/meltCurve_P55809_OXCT1.pdf</v>
      </c>
    </row>
    <row r="2933" spans="1:28" x14ac:dyDescent="0.25">
      <c r="A2933" t="s">
        <v>2937</v>
      </c>
      <c r="B2933">
        <v>0.99472303558308395</v>
      </c>
      <c r="C2933">
        <v>0.94841738879605297</v>
      </c>
      <c r="D2933">
        <v>0.76138273342860296</v>
      </c>
      <c r="E2933">
        <v>0.45164151615993597</v>
      </c>
      <c r="F2933">
        <v>0.13899266445856201</v>
      </c>
      <c r="G2933">
        <v>7.1634225020838604E-2</v>
      </c>
      <c r="H2933">
        <v>4.3016808642815103E-2</v>
      </c>
      <c r="I2933">
        <v>3.4076626219830701E-2</v>
      </c>
      <c r="J2933">
        <v>4.1335903011722401E-2</v>
      </c>
      <c r="K2933">
        <v>3.4100326709403203E-2</v>
      </c>
      <c r="L2933">
        <v>901.71013406403597</v>
      </c>
      <c r="M2933">
        <v>19.732066832532102</v>
      </c>
      <c r="N2933">
        <v>45.827282153167097</v>
      </c>
      <c r="O2933">
        <v>45.236132303596101</v>
      </c>
      <c r="P2933">
        <v>-0.106095212771777</v>
      </c>
      <c r="Q2933">
        <v>2.71327363861135E-2</v>
      </c>
      <c r="R2933">
        <v>0.99839736995446104</v>
      </c>
      <c r="S2933" t="s">
        <v>9501</v>
      </c>
      <c r="T2933" t="s">
        <v>13134</v>
      </c>
      <c r="U2933" t="s">
        <v>13134</v>
      </c>
      <c r="V2933" t="s">
        <v>13134</v>
      </c>
      <c r="W2933" t="s">
        <v>16015</v>
      </c>
      <c r="X2933">
        <v>39</v>
      </c>
      <c r="Y2933" t="s">
        <v>22446</v>
      </c>
      <c r="Z2933" t="s">
        <v>28901</v>
      </c>
      <c r="AA2933">
        <v>0.32227296219163348</v>
      </c>
      <c r="AB2933" t="str">
        <f>HYPERLINK("Melting_Curves/meltCurve_P55884_EIF3B.pdf", "Melting_Curves/meltCurve_P55884_EIF3B.pdf")</f>
        <v>Melting_Curves/meltCurve_P55884_EIF3B.pdf</v>
      </c>
    </row>
    <row r="2934" spans="1:28" x14ac:dyDescent="0.25">
      <c r="A2934" t="s">
        <v>2938</v>
      </c>
      <c r="B2934">
        <v>0.99472303558308395</v>
      </c>
      <c r="C2934">
        <v>1.0076171992101399</v>
      </c>
      <c r="D2934">
        <v>1.0651796809479099</v>
      </c>
      <c r="E2934">
        <v>0.966175273067028</v>
      </c>
      <c r="F2934">
        <v>0.73637851829363898</v>
      </c>
      <c r="G2934">
        <v>0.62377116408689204</v>
      </c>
      <c r="H2934">
        <v>0.548473255845778</v>
      </c>
      <c r="I2934">
        <v>0.57796553053413002</v>
      </c>
      <c r="J2934">
        <v>0.66164026830514699</v>
      </c>
      <c r="K2934">
        <v>0.444072164900225</v>
      </c>
      <c r="L2934">
        <v>1643.0470817553601</v>
      </c>
      <c r="M2934">
        <v>33.024979285915499</v>
      </c>
      <c r="O2934">
        <v>49.5703002791222</v>
      </c>
      <c r="P2934">
        <v>-7.3029973449816404E-2</v>
      </c>
      <c r="Q2934">
        <v>0.56153181414984199</v>
      </c>
      <c r="R2934">
        <v>0.934433403786599</v>
      </c>
      <c r="S2934" t="s">
        <v>9502</v>
      </c>
      <c r="T2934" t="s">
        <v>13134</v>
      </c>
      <c r="U2934" t="s">
        <v>13134</v>
      </c>
      <c r="V2934" t="s">
        <v>13134</v>
      </c>
      <c r="W2934" t="s">
        <v>16016</v>
      </c>
      <c r="X2934">
        <v>8</v>
      </c>
      <c r="Y2934" t="s">
        <v>22447</v>
      </c>
      <c r="Z2934" t="s">
        <v>28902</v>
      </c>
      <c r="AA2934">
        <v>0.75011814506463226</v>
      </c>
      <c r="AB2934" t="str">
        <f>HYPERLINK("Melting_Curves/meltCurve_P55957_BID.pdf", "Melting_Curves/meltCurve_P55957_BID.pdf")</f>
        <v>Melting_Curves/meltCurve_P55957_BID.pdf</v>
      </c>
    </row>
    <row r="2935" spans="1:28" x14ac:dyDescent="0.25">
      <c r="A2935" t="s">
        <v>2939</v>
      </c>
      <c r="B2935">
        <v>0.99472303558308395</v>
      </c>
      <c r="C2935">
        <v>0.95864141168935502</v>
      </c>
      <c r="D2935">
        <v>0.81578347595003298</v>
      </c>
      <c r="E2935">
        <v>0.811286269247672</v>
      </c>
      <c r="F2935">
        <v>0.77578861332768301</v>
      </c>
      <c r="G2935">
        <v>0.64305880462630804</v>
      </c>
      <c r="H2935">
        <v>0.60965374765940294</v>
      </c>
      <c r="I2935">
        <v>0.75343742728248397</v>
      </c>
      <c r="J2935">
        <v>1.10704350581267</v>
      </c>
      <c r="K2935">
        <v>0.85922063366409296</v>
      </c>
      <c r="L2935">
        <v>1894.5739611475401</v>
      </c>
      <c r="M2935">
        <v>46.120312584914203</v>
      </c>
      <c r="O2935">
        <v>41.001941032261698</v>
      </c>
      <c r="P2935">
        <v>-5.7954713357360299E-2</v>
      </c>
      <c r="Q2935">
        <v>0.79390834097695195</v>
      </c>
      <c r="R2935">
        <v>0.246542518664219</v>
      </c>
      <c r="S2935" t="s">
        <v>9503</v>
      </c>
      <c r="T2935" t="s">
        <v>13134</v>
      </c>
      <c r="U2935" t="s">
        <v>13134</v>
      </c>
      <c r="V2935" t="s">
        <v>13134</v>
      </c>
      <c r="W2935" t="s">
        <v>16017</v>
      </c>
      <c r="X2935">
        <v>18</v>
      </c>
      <c r="Y2935" t="s">
        <v>22448</v>
      </c>
      <c r="Z2935" t="s">
        <v>28903</v>
      </c>
      <c r="AA2935">
        <v>0.82239844325999967</v>
      </c>
      <c r="AB2935" t="str">
        <f>HYPERLINK("Melting_Curves/meltCurve_P56181_2_NDUFV3.pdf", "Melting_Curves/meltCurve_P56181_2_NDUFV3.pdf")</f>
        <v>Melting_Curves/meltCurve_P56181_2_NDUFV3.pdf</v>
      </c>
    </row>
    <row r="2936" spans="1:28" x14ac:dyDescent="0.25">
      <c r="A2936" t="s">
        <v>2940</v>
      </c>
      <c r="B2936">
        <v>0.99472303558308395</v>
      </c>
      <c r="C2936">
        <v>0.86854473571305602</v>
      </c>
      <c r="D2936">
        <v>0.85242640458102903</v>
      </c>
      <c r="E2936">
        <v>0.37044735152570102</v>
      </c>
      <c r="F2936">
        <v>0.15511950349522499</v>
      </c>
      <c r="G2936">
        <v>8.1977337112016602E-2</v>
      </c>
      <c r="H2936">
        <v>4.9015622254831498E-2</v>
      </c>
      <c r="I2936">
        <v>3.5289279510242799E-2</v>
      </c>
      <c r="J2936">
        <v>4.6859962525347201E-2</v>
      </c>
      <c r="K2936">
        <v>2.9933211393291199E-2</v>
      </c>
      <c r="L2936">
        <v>1033.8221648098299</v>
      </c>
      <c r="M2936">
        <v>22.704268736314301</v>
      </c>
      <c r="N2936">
        <v>45.702386058060398</v>
      </c>
      <c r="O2936">
        <v>45.185439732056203</v>
      </c>
      <c r="P2936">
        <v>-0.12058685033512399</v>
      </c>
      <c r="Q2936">
        <v>4.0063892478880599E-2</v>
      </c>
      <c r="R2936">
        <v>0.99103588241572804</v>
      </c>
      <c r="S2936" t="s">
        <v>9504</v>
      </c>
      <c r="T2936" t="s">
        <v>13134</v>
      </c>
      <c r="U2936" t="s">
        <v>13134</v>
      </c>
      <c r="V2936" t="s">
        <v>13134</v>
      </c>
      <c r="W2936" t="s">
        <v>16018</v>
      </c>
      <c r="X2936">
        <v>9</v>
      </c>
      <c r="Y2936" t="s">
        <v>22449</v>
      </c>
      <c r="Z2936" t="s">
        <v>28904</v>
      </c>
      <c r="AA2936">
        <v>0.322805201141805</v>
      </c>
      <c r="AB2936" t="str">
        <f>HYPERLINK("Melting_Curves/meltCurve_P56182_RRP1.pdf", "Melting_Curves/meltCurve_P56182_RRP1.pdf")</f>
        <v>Melting_Curves/meltCurve_P56182_RRP1.pdf</v>
      </c>
    </row>
    <row r="2937" spans="1:28" x14ac:dyDescent="0.25">
      <c r="A2937" t="s">
        <v>2941</v>
      </c>
      <c r="B2937">
        <v>0.99472303558308395</v>
      </c>
      <c r="C2937">
        <v>0.95012390020572002</v>
      </c>
      <c r="D2937">
        <v>0.77314891914306405</v>
      </c>
      <c r="E2937">
        <v>0.59512254767247097</v>
      </c>
      <c r="F2937">
        <v>0.20452740896153801</v>
      </c>
      <c r="G2937">
        <v>7.7301870815405099E-2</v>
      </c>
      <c r="H2937">
        <v>4.3065672403964202E-2</v>
      </c>
      <c r="I2937">
        <v>3.3846410934336303E-2</v>
      </c>
      <c r="J2937">
        <v>3.9284921708753799E-2</v>
      </c>
      <c r="K2937">
        <v>3.50230173244361E-2</v>
      </c>
      <c r="L2937">
        <v>833.81015772369904</v>
      </c>
      <c r="M2937">
        <v>17.815518548859</v>
      </c>
      <c r="N2937">
        <v>46.8808003944863</v>
      </c>
      <c r="O2937">
        <v>46.224712472016897</v>
      </c>
      <c r="P2937">
        <v>-9.4944593920814793E-2</v>
      </c>
      <c r="Q2937">
        <v>1.4665306357062599E-2</v>
      </c>
      <c r="R2937">
        <v>0.99279057570293705</v>
      </c>
      <c r="S2937" t="s">
        <v>9505</v>
      </c>
      <c r="T2937" t="s">
        <v>13134</v>
      </c>
      <c r="U2937" t="s">
        <v>13134</v>
      </c>
      <c r="V2937" t="s">
        <v>13134</v>
      </c>
      <c r="W2937" t="s">
        <v>16019</v>
      </c>
      <c r="X2937">
        <v>26</v>
      </c>
      <c r="Y2937" t="s">
        <v>22450</v>
      </c>
      <c r="Z2937" t="s">
        <v>28905</v>
      </c>
      <c r="AA2937">
        <v>0.35277316919230922</v>
      </c>
      <c r="AB2937" t="str">
        <f>HYPERLINK("Melting_Curves/meltCurve_P56192_MARS.pdf", "Melting_Curves/meltCurve_P56192_MARS.pdf")</f>
        <v>Melting_Curves/meltCurve_P56192_MARS.pdf</v>
      </c>
    </row>
    <row r="2938" spans="1:28" x14ac:dyDescent="0.25">
      <c r="A2938" t="s">
        <v>2942</v>
      </c>
      <c r="B2938">
        <v>0.99472303558308395</v>
      </c>
      <c r="C2938">
        <v>0.56604982410663196</v>
      </c>
      <c r="D2938">
        <v>1.02636423820448</v>
      </c>
      <c r="E2938">
        <v>0.69111187804826102</v>
      </c>
      <c r="F2938">
        <v>0.27541254578670499</v>
      </c>
      <c r="G2938">
        <v>0.302275970876488</v>
      </c>
      <c r="H2938">
        <v>0.32851185457578103</v>
      </c>
      <c r="I2938">
        <v>0.19259873645276801</v>
      </c>
      <c r="J2938">
        <v>0.309572408498965</v>
      </c>
      <c r="K2938">
        <v>0.224944965814562</v>
      </c>
      <c r="L2938">
        <v>6463.9354169711896</v>
      </c>
      <c r="M2938">
        <v>138.40639751147501</v>
      </c>
      <c r="N2938">
        <v>46.969380614721103</v>
      </c>
      <c r="O2938">
        <v>46.692835668544703</v>
      </c>
      <c r="P2938">
        <v>-0.53932584604492595</v>
      </c>
      <c r="Q2938">
        <v>0.27221142226401002</v>
      </c>
      <c r="R2938">
        <v>0.77110965668652298</v>
      </c>
      <c r="S2938" t="s">
        <v>9506</v>
      </c>
      <c r="T2938" t="s">
        <v>13134</v>
      </c>
      <c r="U2938" t="s">
        <v>13134</v>
      </c>
      <c r="V2938" t="s">
        <v>13134</v>
      </c>
      <c r="W2938" t="s">
        <v>16020</v>
      </c>
      <c r="X2938">
        <v>8</v>
      </c>
      <c r="Y2938" t="s">
        <v>22451</v>
      </c>
      <c r="Z2938" t="s">
        <v>28906</v>
      </c>
      <c r="AA2938">
        <v>0.50778695992636647</v>
      </c>
      <c r="AB2938" t="str">
        <f>HYPERLINK("Melting_Curves/meltCurve_P56270_2_MAZ.pdf", "Melting_Curves/meltCurve_P56270_2_MAZ.pdf")</f>
        <v>Melting_Curves/meltCurve_P56270_2_MAZ.pdf</v>
      </c>
    </row>
    <row r="2939" spans="1:28" x14ac:dyDescent="0.25">
      <c r="A2939" t="s">
        <v>2943</v>
      </c>
      <c r="B2939">
        <v>0.99472303558308395</v>
      </c>
      <c r="C2939">
        <v>1.1329138450988101</v>
      </c>
      <c r="D2939">
        <v>0.90898438406064697</v>
      </c>
      <c r="E2939">
        <v>0.93562785331759502</v>
      </c>
      <c r="F2939">
        <v>0.69891215855904198</v>
      </c>
      <c r="G2939">
        <v>0.58019858556589099</v>
      </c>
      <c r="H2939">
        <v>0.46889375305569497</v>
      </c>
      <c r="I2939">
        <v>0.56989119503459196</v>
      </c>
      <c r="J2939">
        <v>0.72067163270788703</v>
      </c>
      <c r="K2939">
        <v>0.55751622271673595</v>
      </c>
      <c r="L2939">
        <v>1736.55491304056</v>
      </c>
      <c r="M2939">
        <v>35.577439920854097</v>
      </c>
      <c r="O2939">
        <v>48.657109933170503</v>
      </c>
      <c r="P2939">
        <v>-7.7318600071133795E-2</v>
      </c>
      <c r="Q2939">
        <v>0.57702542621507202</v>
      </c>
      <c r="R2939">
        <v>0.86837304750041899</v>
      </c>
      <c r="S2939" t="s">
        <v>9507</v>
      </c>
      <c r="T2939" t="s">
        <v>13134</v>
      </c>
      <c r="U2939" t="s">
        <v>13134</v>
      </c>
      <c r="V2939" t="s">
        <v>13134</v>
      </c>
      <c r="W2939" t="s">
        <v>16021</v>
      </c>
      <c r="X2939">
        <v>4</v>
      </c>
      <c r="Y2939" t="s">
        <v>22452</v>
      </c>
      <c r="Z2939" t="s">
        <v>28907</v>
      </c>
      <c r="AA2939">
        <v>0.74535068774389146</v>
      </c>
      <c r="AB2939" t="str">
        <f>HYPERLINK("Melting_Curves/meltCurve_P56277_CMC4.pdf", "Melting_Curves/meltCurve_P56277_CMC4.pdf")</f>
        <v>Melting_Curves/meltCurve_P56277_CMC4.pdf</v>
      </c>
    </row>
    <row r="2940" spans="1:28" x14ac:dyDescent="0.25">
      <c r="A2940" t="s">
        <v>2944</v>
      </c>
      <c r="B2940">
        <v>0.99472303558308395</v>
      </c>
      <c r="C2940">
        <v>1.05871673908537</v>
      </c>
      <c r="D2940">
        <v>0.81545886380407695</v>
      </c>
      <c r="E2940">
        <v>0.51452668340569196</v>
      </c>
      <c r="F2940">
        <v>0.36276740753310899</v>
      </c>
      <c r="G2940">
        <v>0.238159844791652</v>
      </c>
      <c r="H2940">
        <v>0.152128825175319</v>
      </c>
      <c r="I2940">
        <v>0.105452144658415</v>
      </c>
      <c r="J2940">
        <v>0.10331860435056101</v>
      </c>
      <c r="K2940">
        <v>8.5021411437460101E-2</v>
      </c>
      <c r="L2940">
        <v>751.59524975756301</v>
      </c>
      <c r="M2940">
        <v>16.035972592238899</v>
      </c>
      <c r="N2940">
        <v>47.522740504818103</v>
      </c>
      <c r="O2940">
        <v>46.1586296741973</v>
      </c>
      <c r="P2940">
        <v>-7.8265805293656704E-2</v>
      </c>
      <c r="Q2940">
        <v>9.8935480577645799E-2</v>
      </c>
      <c r="R2940">
        <v>0.985749026512167</v>
      </c>
      <c r="S2940" t="s">
        <v>9508</v>
      </c>
      <c r="T2940" t="s">
        <v>13134</v>
      </c>
      <c r="U2940" t="s">
        <v>13134</v>
      </c>
      <c r="V2940" t="s">
        <v>13134</v>
      </c>
      <c r="W2940" t="s">
        <v>16022</v>
      </c>
      <c r="X2940">
        <v>2</v>
      </c>
      <c r="Y2940" t="s">
        <v>22453</v>
      </c>
      <c r="Z2940" t="s">
        <v>28908</v>
      </c>
      <c r="AA2940">
        <v>0.4133700979372853</v>
      </c>
      <c r="AB2940" t="str">
        <f>HYPERLINK("Melting_Curves/meltCurve_P56282_2_POLE2.pdf", "Melting_Curves/meltCurve_P56282_2_POLE2.pdf")</f>
        <v>Melting_Curves/meltCurve_P56282_2_POLE2.pdf</v>
      </c>
    </row>
    <row r="2941" spans="1:28" x14ac:dyDescent="0.25">
      <c r="A2941" t="s">
        <v>2945</v>
      </c>
      <c r="B2941">
        <v>0.99472303558308395</v>
      </c>
      <c r="C2941">
        <v>0.88521937079873902</v>
      </c>
      <c r="D2941">
        <v>0.78929984869661396</v>
      </c>
      <c r="E2941">
        <v>0.49621000310188101</v>
      </c>
      <c r="F2941">
        <v>0.33437002971753599</v>
      </c>
      <c r="G2941">
        <v>0.15786069663591601</v>
      </c>
      <c r="H2941">
        <v>0.12776739752508101</v>
      </c>
      <c r="I2941">
        <v>7.1123125500921494E-2</v>
      </c>
      <c r="J2941">
        <v>0.25888281822055997</v>
      </c>
      <c r="K2941">
        <v>0.17204262641250501</v>
      </c>
      <c r="L2941">
        <v>763.97674653172601</v>
      </c>
      <c r="M2941">
        <v>16.733365406473101</v>
      </c>
      <c r="N2941">
        <v>46.583993349897398</v>
      </c>
      <c r="O2941">
        <v>45.018793877003198</v>
      </c>
      <c r="P2941">
        <v>-7.9757412852026893E-2</v>
      </c>
      <c r="Q2941">
        <v>0.14175150565967501</v>
      </c>
      <c r="R2941">
        <v>0.97411528886146204</v>
      </c>
      <c r="S2941" t="s">
        <v>9509</v>
      </c>
      <c r="T2941" t="s">
        <v>13134</v>
      </c>
      <c r="U2941" t="s">
        <v>13134</v>
      </c>
      <c r="V2941" t="s">
        <v>13134</v>
      </c>
      <c r="W2941" t="s">
        <v>16023</v>
      </c>
      <c r="X2941">
        <v>1</v>
      </c>
      <c r="Y2941" t="s">
        <v>20701</v>
      </c>
      <c r="Z2941" t="s">
        <v>28909</v>
      </c>
      <c r="AA2941">
        <v>0.40550429297607432</v>
      </c>
      <c r="AB2941" t="str">
        <f>HYPERLINK("Melting_Curves/meltCurve_P56377_AP1S2.pdf", "Melting_Curves/meltCurve_P56377_AP1S2.pdf")</f>
        <v>Melting_Curves/meltCurve_P56377_AP1S2.pdf</v>
      </c>
    </row>
    <row r="2942" spans="1:28" x14ac:dyDescent="0.25">
      <c r="A2942" t="s">
        <v>2946</v>
      </c>
      <c r="B2942">
        <v>0.99472303558308395</v>
      </c>
      <c r="C2942">
        <v>0.63226241166302399</v>
      </c>
      <c r="D2942">
        <v>1.0309345553520799</v>
      </c>
      <c r="E2942">
        <v>0.70816119034907399</v>
      </c>
      <c r="F2942">
        <v>0.39674148553321398</v>
      </c>
      <c r="G2942">
        <v>0.26369197588392701</v>
      </c>
      <c r="H2942">
        <v>0.121755731262321</v>
      </c>
      <c r="I2942">
        <v>0.147303255869036</v>
      </c>
      <c r="J2942">
        <v>0.20493297111773301</v>
      </c>
      <c r="K2942">
        <v>0.24269154040495</v>
      </c>
      <c r="L2942">
        <v>1064.19163788629</v>
      </c>
      <c r="M2942">
        <v>22.200292802702599</v>
      </c>
      <c r="N2942">
        <v>48.892539400830401</v>
      </c>
      <c r="O2942">
        <v>47.552084470412503</v>
      </c>
      <c r="P2942">
        <v>-9.6157030962928505E-2</v>
      </c>
      <c r="Q2942">
        <v>0.17616103365018801</v>
      </c>
      <c r="R2942">
        <v>0.86051799723067901</v>
      </c>
      <c r="S2942" t="s">
        <v>9510</v>
      </c>
      <c r="T2942" t="s">
        <v>13134</v>
      </c>
      <c r="U2942" t="s">
        <v>13134</v>
      </c>
      <c r="V2942" t="s">
        <v>13134</v>
      </c>
      <c r="W2942" t="s">
        <v>16024</v>
      </c>
      <c r="X2942">
        <v>3</v>
      </c>
      <c r="Y2942" t="s">
        <v>22454</v>
      </c>
      <c r="Z2942" t="s">
        <v>28910</v>
      </c>
      <c r="AA2942">
        <v>0.48533163248305938</v>
      </c>
      <c r="AB2942" t="str">
        <f>HYPERLINK("Melting_Curves/meltCurve_P56381_ATP5E.pdf", "Melting_Curves/meltCurve_P56381_ATP5E.pdf")</f>
        <v>Melting_Curves/meltCurve_P56381_ATP5E.pdf</v>
      </c>
    </row>
    <row r="2943" spans="1:28" x14ac:dyDescent="0.25">
      <c r="A2943" t="s">
        <v>2947</v>
      </c>
      <c r="B2943">
        <v>0.99472303558308395</v>
      </c>
      <c r="C2943">
        <v>0.89182303339700997</v>
      </c>
      <c r="D2943">
        <v>0.82619310624370401</v>
      </c>
      <c r="E2943">
        <v>0.73417734138638102</v>
      </c>
      <c r="F2943">
        <v>0.53627883409226096</v>
      </c>
      <c r="G2943">
        <v>0.29072594795173301</v>
      </c>
      <c r="H2943">
        <v>0.222827190273481</v>
      </c>
      <c r="I2943">
        <v>0.238573274628052</v>
      </c>
      <c r="J2943">
        <v>0.31211854724476401</v>
      </c>
      <c r="K2943">
        <v>0.242125749791885</v>
      </c>
      <c r="L2943">
        <v>666.76419444946498</v>
      </c>
      <c r="M2943">
        <v>13.9046630993795</v>
      </c>
      <c r="N2943">
        <v>49.964970122094499</v>
      </c>
      <c r="O2943">
        <v>46.993376002906302</v>
      </c>
      <c r="P2943">
        <v>-5.8119530933015098E-2</v>
      </c>
      <c r="Q2943">
        <v>0.21440403203355299</v>
      </c>
      <c r="R2943">
        <v>0.97055883179769997</v>
      </c>
      <c r="S2943" t="s">
        <v>9511</v>
      </c>
      <c r="T2943" t="s">
        <v>13134</v>
      </c>
      <c r="U2943" t="s">
        <v>13134</v>
      </c>
      <c r="V2943" t="s">
        <v>13134</v>
      </c>
      <c r="W2943" t="s">
        <v>16025</v>
      </c>
      <c r="X2943">
        <v>4</v>
      </c>
      <c r="Y2943" t="s">
        <v>22455</v>
      </c>
      <c r="Z2943" t="s">
        <v>28911</v>
      </c>
      <c r="AA2943">
        <v>0.52084798829921342</v>
      </c>
      <c r="AB2943" t="str">
        <f>HYPERLINK("Melting_Curves/meltCurve_P56385_ATP5I.pdf", "Melting_Curves/meltCurve_P56385_ATP5I.pdf")</f>
        <v>Melting_Curves/meltCurve_P56385_ATP5I.pdf</v>
      </c>
    </row>
    <row r="2944" spans="1:28" x14ac:dyDescent="0.25">
      <c r="A2944" t="s">
        <v>2948</v>
      </c>
      <c r="B2944">
        <v>0.99472303558308395</v>
      </c>
      <c r="C2944">
        <v>1.0481429041477801</v>
      </c>
      <c r="D2944">
        <v>0.87642383098964505</v>
      </c>
      <c r="E2944">
        <v>0.868906142800981</v>
      </c>
      <c r="F2944">
        <v>0.63667762333621603</v>
      </c>
      <c r="G2944">
        <v>0.382860684365597</v>
      </c>
      <c r="H2944">
        <v>0.20888367817683101</v>
      </c>
      <c r="I2944">
        <v>0.11096832842828599</v>
      </c>
      <c r="J2944">
        <v>0.17102487885620599</v>
      </c>
      <c r="K2944">
        <v>0.14424817768204701</v>
      </c>
      <c r="L2944">
        <v>880.16898428608397</v>
      </c>
      <c r="M2944">
        <v>17.221465337276999</v>
      </c>
      <c r="N2944">
        <v>51.856393337962501</v>
      </c>
      <c r="O2944">
        <v>50.434624401745602</v>
      </c>
      <c r="P2944">
        <v>-7.5986128834393193E-2</v>
      </c>
      <c r="Q2944">
        <v>0.109923165862442</v>
      </c>
      <c r="R2944">
        <v>0.98774929564336</v>
      </c>
      <c r="S2944" t="s">
        <v>9512</v>
      </c>
      <c r="T2944" t="s">
        <v>13134</v>
      </c>
      <c r="U2944" t="s">
        <v>13134</v>
      </c>
      <c r="V2944" t="s">
        <v>13134</v>
      </c>
      <c r="W2944" t="s">
        <v>16026</v>
      </c>
      <c r="X2944">
        <v>5</v>
      </c>
      <c r="Y2944" t="s">
        <v>22456</v>
      </c>
      <c r="Z2944" t="s">
        <v>28912</v>
      </c>
      <c r="AA2944">
        <v>0.54324400366365466</v>
      </c>
      <c r="AB2944" t="str">
        <f>HYPERLINK("Melting_Curves/meltCurve_P56524_HDAC4.pdf", "Melting_Curves/meltCurve_P56524_HDAC4.pdf")</f>
        <v>Melting_Curves/meltCurve_P56524_HDAC4.pdf</v>
      </c>
    </row>
    <row r="2945" spans="1:28" x14ac:dyDescent="0.25">
      <c r="A2945" t="s">
        <v>2949</v>
      </c>
      <c r="B2945">
        <v>0.99472303558308395</v>
      </c>
      <c r="C2945">
        <v>1.0563490584475601</v>
      </c>
      <c r="D2945">
        <v>1.00383629792072</v>
      </c>
      <c r="E2945">
        <v>0.86334477184418101</v>
      </c>
      <c r="F2945">
        <v>0.83663903509176996</v>
      </c>
      <c r="G2945">
        <v>0.73852847096207497</v>
      </c>
      <c r="H2945">
        <v>0.728017679264236</v>
      </c>
      <c r="I2945">
        <v>0.77013548561210099</v>
      </c>
      <c r="J2945">
        <v>0.39824470408108198</v>
      </c>
      <c r="K2945">
        <v>0.196374183660043</v>
      </c>
      <c r="L2945">
        <v>593.40758974859102</v>
      </c>
      <c r="M2945">
        <v>9.5239508773658592</v>
      </c>
      <c r="N2945">
        <v>62.306862985756197</v>
      </c>
      <c r="O2945">
        <v>59.745482165779798</v>
      </c>
      <c r="P2945">
        <v>-3.98755267944578E-2</v>
      </c>
      <c r="Q2945">
        <v>0</v>
      </c>
      <c r="R2945">
        <v>0.85626074993714796</v>
      </c>
      <c r="S2945" t="s">
        <v>9513</v>
      </c>
      <c r="T2945" t="s">
        <v>13134</v>
      </c>
      <c r="U2945" t="s">
        <v>13134</v>
      </c>
      <c r="V2945" t="s">
        <v>13134</v>
      </c>
      <c r="W2945" t="s">
        <v>16027</v>
      </c>
      <c r="X2945">
        <v>8</v>
      </c>
      <c r="Y2945" t="s">
        <v>22457</v>
      </c>
      <c r="Z2945" t="s">
        <v>28913</v>
      </c>
      <c r="AA2945">
        <v>0.78607913507978877</v>
      </c>
      <c r="AB2945" t="str">
        <f>HYPERLINK("Melting_Curves/meltCurve_P56537_EIF6.pdf", "Melting_Curves/meltCurve_P56537_EIF6.pdf")</f>
        <v>Melting_Curves/meltCurve_P56537_EIF6.pdf</v>
      </c>
    </row>
    <row r="2946" spans="1:28" x14ac:dyDescent="0.25">
      <c r="A2946" t="s">
        <v>2950</v>
      </c>
      <c r="B2946">
        <v>0.99472303558308395</v>
      </c>
      <c r="C2946">
        <v>0.971298215683018</v>
      </c>
      <c r="D2946">
        <v>0.78249837477069495</v>
      </c>
      <c r="E2946">
        <v>0.45769318818167898</v>
      </c>
      <c r="F2946">
        <v>0.13717228923840599</v>
      </c>
      <c r="G2946">
        <v>8.1815378595828603E-2</v>
      </c>
      <c r="H2946">
        <v>4.4645516706899001E-2</v>
      </c>
      <c r="I2946">
        <v>3.9448522871920098E-2</v>
      </c>
      <c r="J2946">
        <v>3.4032443470463601E-2</v>
      </c>
      <c r="K2946">
        <v>3.2394698906146803E-2</v>
      </c>
      <c r="L2946">
        <v>954.88730324448602</v>
      </c>
      <c r="M2946">
        <v>20.833881913383799</v>
      </c>
      <c r="N2946">
        <v>45.971291858756402</v>
      </c>
      <c r="O2946">
        <v>45.417397479239</v>
      </c>
      <c r="P2946">
        <v>-0.11120919210576601</v>
      </c>
      <c r="Q2946">
        <v>3.0293000723038602E-2</v>
      </c>
      <c r="R2946">
        <v>0.99853622536370401</v>
      </c>
      <c r="S2946" t="s">
        <v>9514</v>
      </c>
      <c r="T2946" t="s">
        <v>13134</v>
      </c>
      <c r="U2946" t="s">
        <v>13134</v>
      </c>
      <c r="V2946" t="s">
        <v>13134</v>
      </c>
      <c r="W2946" t="s">
        <v>16028</v>
      </c>
      <c r="X2946">
        <v>5</v>
      </c>
      <c r="Y2946" t="s">
        <v>22458</v>
      </c>
      <c r="Z2946" t="s">
        <v>28914</v>
      </c>
      <c r="AA2946">
        <v>0.3274841026373585</v>
      </c>
      <c r="AB2946" t="str">
        <f>HYPERLINK("Melting_Curves/meltCurve_P56556_NDUFA6.pdf", "Melting_Curves/meltCurve_P56556_NDUFA6.pdf")</f>
        <v>Melting_Curves/meltCurve_P56556_NDUFA6.pdf</v>
      </c>
    </row>
    <row r="2947" spans="1:28" x14ac:dyDescent="0.25">
      <c r="A2947" t="s">
        <v>2951</v>
      </c>
      <c r="B2947">
        <v>0.99472303558308395</v>
      </c>
      <c r="C2947">
        <v>0.98414928735532603</v>
      </c>
      <c r="D2947">
        <v>0.86703240840517704</v>
      </c>
      <c r="E2947">
        <v>0.59085916582642195</v>
      </c>
      <c r="F2947">
        <v>0.156250880660977</v>
      </c>
      <c r="G2947">
        <v>7.6455312028501504E-2</v>
      </c>
      <c r="H2947">
        <v>5.5379663181009099E-2</v>
      </c>
      <c r="I2947">
        <v>3.9786002741789499E-2</v>
      </c>
      <c r="J2947">
        <v>5.1193567887841102E-2</v>
      </c>
      <c r="K2947">
        <v>4.3486351296573099E-2</v>
      </c>
      <c r="L2947">
        <v>1186.32795788619</v>
      </c>
      <c r="M2947">
        <v>25.302463232970702</v>
      </c>
      <c r="N2947">
        <v>47.039629335849902</v>
      </c>
      <c r="O2947">
        <v>46.595944982212501</v>
      </c>
      <c r="P2947">
        <v>-0.13036864753024099</v>
      </c>
      <c r="Q2947">
        <v>3.9686802735229898E-2</v>
      </c>
      <c r="R2947">
        <v>0.99715120407076796</v>
      </c>
      <c r="S2947" t="s">
        <v>9515</v>
      </c>
      <c r="T2947" t="s">
        <v>13134</v>
      </c>
      <c r="U2947" t="s">
        <v>13134</v>
      </c>
      <c r="V2947" t="s">
        <v>13134</v>
      </c>
      <c r="W2947" t="s">
        <v>16029</v>
      </c>
      <c r="X2947">
        <v>4</v>
      </c>
      <c r="Y2947" t="s">
        <v>22459</v>
      </c>
      <c r="Z2947" t="s">
        <v>28915</v>
      </c>
      <c r="AA2947">
        <v>0.3639966289662882</v>
      </c>
      <c r="AB2947" t="str">
        <f>HYPERLINK("Melting_Curves/meltCurve_P56589_PEX3.pdf", "Melting_Curves/meltCurve_P56589_PEX3.pdf")</f>
        <v>Melting_Curves/meltCurve_P56589_PEX3.pdf</v>
      </c>
    </row>
    <row r="2948" spans="1:28" x14ac:dyDescent="0.25">
      <c r="A2948" t="s">
        <v>2952</v>
      </c>
      <c r="B2948">
        <v>0.99472303558308395</v>
      </c>
      <c r="C2948">
        <v>0.93065363095112197</v>
      </c>
      <c r="D2948">
        <v>0.91056065564944999</v>
      </c>
      <c r="E2948">
        <v>0.80704321686653702</v>
      </c>
      <c r="F2948">
        <v>0.58761867611352503</v>
      </c>
      <c r="G2948">
        <v>0.42143867043820799</v>
      </c>
      <c r="H2948">
        <v>0.34820345265531699</v>
      </c>
      <c r="I2948">
        <v>0.36524346556126902</v>
      </c>
      <c r="J2948">
        <v>0.52962144977190695</v>
      </c>
      <c r="K2948">
        <v>0.47254202916014099</v>
      </c>
      <c r="L2948">
        <v>1078.56796755917</v>
      </c>
      <c r="M2948">
        <v>22.586808084079099</v>
      </c>
      <c r="N2948">
        <v>51.965167500737103</v>
      </c>
      <c r="O2948">
        <v>47.382529290131401</v>
      </c>
      <c r="P2948">
        <v>-6.9134573952686004E-2</v>
      </c>
      <c r="Q2948">
        <v>0.41989051320201798</v>
      </c>
      <c r="R2948">
        <v>0.94056235946130695</v>
      </c>
      <c r="S2948" t="s">
        <v>9516</v>
      </c>
      <c r="T2948" t="s">
        <v>13134</v>
      </c>
      <c r="U2948" t="s">
        <v>13134</v>
      </c>
      <c r="V2948" t="s">
        <v>13134</v>
      </c>
      <c r="W2948" t="s">
        <v>16030</v>
      </c>
      <c r="X2948">
        <v>4</v>
      </c>
      <c r="Y2948" t="s">
        <v>22460</v>
      </c>
      <c r="Z2948" t="s">
        <v>28916</v>
      </c>
      <c r="AA2948">
        <v>0.63382221307939846</v>
      </c>
      <c r="AB2948" t="str">
        <f>HYPERLINK("Melting_Curves/meltCurve_P56645_PER3.pdf", "Melting_Curves/meltCurve_P56645_PER3.pdf")</f>
        <v>Melting_Curves/meltCurve_P56645_PER3.pdf</v>
      </c>
    </row>
    <row r="2949" spans="1:28" x14ac:dyDescent="0.25">
      <c r="A2949" t="s">
        <v>2953</v>
      </c>
      <c r="B2949">
        <v>0.99472303558308395</v>
      </c>
      <c r="C2949">
        <v>1.0927531752830999</v>
      </c>
      <c r="D2949">
        <v>0.893966187376808</v>
      </c>
      <c r="E2949">
        <v>0.77242183520833896</v>
      </c>
      <c r="F2949">
        <v>0.88099506602125399</v>
      </c>
      <c r="G2949">
        <v>0.41498683242576601</v>
      </c>
      <c r="H2949">
        <v>0.41512764295654903</v>
      </c>
      <c r="I2949">
        <v>0.246645259706084</v>
      </c>
      <c r="J2949">
        <v>0.443354345734502</v>
      </c>
      <c r="K2949">
        <v>0.32325289119788603</v>
      </c>
      <c r="L2949">
        <v>914.31660553840004</v>
      </c>
      <c r="M2949">
        <v>17.858448135797001</v>
      </c>
      <c r="N2949">
        <v>54.182011815370899</v>
      </c>
      <c r="O2949">
        <v>50.568961758077599</v>
      </c>
      <c r="P2949">
        <v>-6.0656043403053403E-2</v>
      </c>
      <c r="Q2949">
        <v>0.31300704508131599</v>
      </c>
      <c r="R2949">
        <v>0.892140291426056</v>
      </c>
      <c r="S2949" t="s">
        <v>9517</v>
      </c>
      <c r="T2949" t="s">
        <v>13134</v>
      </c>
      <c r="U2949" t="s">
        <v>13134</v>
      </c>
      <c r="V2949" t="s">
        <v>13134</v>
      </c>
      <c r="W2949" t="s">
        <v>16031</v>
      </c>
      <c r="X2949">
        <v>1</v>
      </c>
      <c r="Y2949" t="s">
        <v>22461</v>
      </c>
      <c r="Z2949" t="s">
        <v>28917</v>
      </c>
      <c r="AA2949">
        <v>0.64887628108612305</v>
      </c>
      <c r="AB2949" t="str">
        <f>HYPERLINK("Melting_Curves/meltCurve_P56749_CLDN12.pdf", "Melting_Curves/meltCurve_P56749_CLDN12.pdf")</f>
        <v>Melting_Curves/meltCurve_P56749_CLDN12.pdf</v>
      </c>
    </row>
    <row r="2950" spans="1:28" x14ac:dyDescent="0.25">
      <c r="A2950" t="s">
        <v>2954</v>
      </c>
      <c r="B2950">
        <v>0.99472303558308395</v>
      </c>
      <c r="C2950">
        <v>0.96859818064580205</v>
      </c>
      <c r="D2950">
        <v>0.89037181377070795</v>
      </c>
      <c r="E2950">
        <v>0.79777735521848403</v>
      </c>
      <c r="F2950">
        <v>0.52384937258456399</v>
      </c>
      <c r="G2950">
        <v>0.183239949781418</v>
      </c>
      <c r="H2950">
        <v>9.2399400400452206E-2</v>
      </c>
      <c r="I2950">
        <v>5.4215444109083202E-2</v>
      </c>
      <c r="J2950">
        <v>8.5273389139222999E-2</v>
      </c>
      <c r="K2950">
        <v>7.6870170787705805E-2</v>
      </c>
      <c r="L2950">
        <v>974.79923115082704</v>
      </c>
      <c r="M2950">
        <v>19.598869816053899</v>
      </c>
      <c r="N2950">
        <v>49.991328877038399</v>
      </c>
      <c r="O2950">
        <v>49.228375952721201</v>
      </c>
      <c r="P2950">
        <v>-9.4820249141495394E-2</v>
      </c>
      <c r="Q2950">
        <v>4.7356522491749597E-2</v>
      </c>
      <c r="R2950">
        <v>0.99298153881644302</v>
      </c>
      <c r="S2950" t="s">
        <v>9518</v>
      </c>
      <c r="T2950" t="s">
        <v>13134</v>
      </c>
      <c r="U2950" t="s">
        <v>13134</v>
      </c>
      <c r="V2950" t="s">
        <v>13134</v>
      </c>
      <c r="W2950" t="s">
        <v>16032</v>
      </c>
      <c r="X2950">
        <v>6</v>
      </c>
      <c r="Y2950" t="s">
        <v>22462</v>
      </c>
      <c r="Z2950" t="s">
        <v>28918</v>
      </c>
      <c r="AA2950">
        <v>0.46484209517885738</v>
      </c>
      <c r="AB2950" t="str">
        <f>HYPERLINK("Melting_Curves/meltCurve_P56937_3_HSD17B7.pdf", "Melting_Curves/meltCurve_P56937_3_HSD17B7.pdf")</f>
        <v>Melting_Curves/meltCurve_P56937_3_HSD17B7.pdf</v>
      </c>
    </row>
    <row r="2951" spans="1:28" x14ac:dyDescent="0.25">
      <c r="A2951" t="s">
        <v>2955</v>
      </c>
      <c r="B2951">
        <v>0.99472303558308395</v>
      </c>
      <c r="C2951">
        <v>1.0308679185099301</v>
      </c>
      <c r="D2951">
        <v>0.80124744717508301</v>
      </c>
      <c r="E2951">
        <v>0.65637413316860305</v>
      </c>
      <c r="F2951">
        <v>0.36367002453413499</v>
      </c>
      <c r="G2951">
        <v>0.258906368434834</v>
      </c>
      <c r="H2951">
        <v>0.14322827720118</v>
      </c>
      <c r="I2951">
        <v>0.19341173839315001</v>
      </c>
      <c r="J2951">
        <v>0.17592521730042099</v>
      </c>
      <c r="K2951">
        <v>6.2834318471335499E-2</v>
      </c>
      <c r="L2951">
        <v>745.32365787977801</v>
      </c>
      <c r="M2951">
        <v>15.6849438664284</v>
      </c>
      <c r="N2951">
        <v>48.358411825261101</v>
      </c>
      <c r="O2951">
        <v>46.766122293767403</v>
      </c>
      <c r="P2951">
        <v>-7.3855688716380694E-2</v>
      </c>
      <c r="Q2951">
        <v>0.11924433338333</v>
      </c>
      <c r="R2951">
        <v>0.98412364864347801</v>
      </c>
      <c r="S2951" t="s">
        <v>9519</v>
      </c>
      <c r="T2951" t="s">
        <v>13134</v>
      </c>
      <c r="U2951" t="s">
        <v>13134</v>
      </c>
      <c r="V2951" t="s">
        <v>13134</v>
      </c>
      <c r="W2951" t="s">
        <v>16033</v>
      </c>
      <c r="X2951">
        <v>7</v>
      </c>
      <c r="Y2951" t="s">
        <v>22463</v>
      </c>
      <c r="Z2951" t="s">
        <v>28919</v>
      </c>
      <c r="AA2951">
        <v>0.44617637570967761</v>
      </c>
      <c r="AB2951" t="str">
        <f>HYPERLINK("Melting_Curves/meltCurve_P56945_4_BCAR1.pdf", "Melting_Curves/meltCurve_P56945_4_BCAR1.pdf")</f>
        <v>Melting_Curves/meltCurve_P56945_4_BCAR1.pdf</v>
      </c>
    </row>
    <row r="2952" spans="1:28" x14ac:dyDescent="0.25">
      <c r="A2952" t="s">
        <v>2956</v>
      </c>
      <c r="B2952">
        <v>0.99472303558308395</v>
      </c>
      <c r="C2952">
        <v>1.055539596839</v>
      </c>
      <c r="D2952">
        <v>0.76303594902699701</v>
      </c>
      <c r="E2952">
        <v>0.48776145259246401</v>
      </c>
      <c r="F2952">
        <v>0.19227735861414399</v>
      </c>
      <c r="G2952">
        <v>0.110177577783201</v>
      </c>
      <c r="H2952">
        <v>5.7066097740169998E-2</v>
      </c>
      <c r="I2952">
        <v>4.7204053680652398E-2</v>
      </c>
      <c r="J2952">
        <v>5.5283172821175001E-2</v>
      </c>
      <c r="K2952">
        <v>4.1251335230277499E-2</v>
      </c>
      <c r="L2952">
        <v>921.92295734750905</v>
      </c>
      <c r="M2952">
        <v>20.010207384819999</v>
      </c>
      <c r="N2952">
        <v>46.293034279178002</v>
      </c>
      <c r="O2952">
        <v>45.619896721484999</v>
      </c>
      <c r="P2952">
        <v>-0.104678311892708</v>
      </c>
      <c r="Q2952">
        <v>4.5435455190076898E-2</v>
      </c>
      <c r="R2952">
        <v>0.991599569124614</v>
      </c>
      <c r="S2952" t="s">
        <v>9520</v>
      </c>
      <c r="T2952" t="s">
        <v>13134</v>
      </c>
      <c r="U2952" t="s">
        <v>13134</v>
      </c>
      <c r="V2952" t="s">
        <v>13134</v>
      </c>
      <c r="W2952" t="s">
        <v>16034</v>
      </c>
      <c r="X2952">
        <v>3</v>
      </c>
      <c r="Y2952" t="s">
        <v>22464</v>
      </c>
      <c r="Z2952" t="s">
        <v>28920</v>
      </c>
      <c r="AA2952">
        <v>0.34658183981743262</v>
      </c>
      <c r="AB2952" t="str">
        <f>HYPERLINK("Melting_Curves/meltCurve_P56962_STX17.pdf", "Melting_Curves/meltCurve_P56962_STX17.pdf")</f>
        <v>Melting_Curves/meltCurve_P56962_STX17.pdf</v>
      </c>
    </row>
    <row r="2953" spans="1:28" x14ac:dyDescent="0.25">
      <c r="A2953" t="s">
        <v>2957</v>
      </c>
      <c r="B2953">
        <v>0.99472303558308395</v>
      </c>
      <c r="C2953">
        <v>0.96705542163886304</v>
      </c>
      <c r="D2953">
        <v>0.99464013948284002</v>
      </c>
      <c r="E2953">
        <v>0.78772730217795806</v>
      </c>
      <c r="F2953">
        <v>0.83796915939387195</v>
      </c>
      <c r="G2953">
        <v>0.46748792513901999</v>
      </c>
      <c r="H2953">
        <v>0.34587461254979801</v>
      </c>
      <c r="I2953">
        <v>0.26839857533566802</v>
      </c>
      <c r="J2953">
        <v>0.311611169691278</v>
      </c>
      <c r="K2953">
        <v>0.26985645579561301</v>
      </c>
      <c r="L2953">
        <v>899.394065867329</v>
      </c>
      <c r="M2953">
        <v>17.340186821003801</v>
      </c>
      <c r="N2953">
        <v>53.976025370064399</v>
      </c>
      <c r="O2953">
        <v>51.192547992288702</v>
      </c>
      <c r="P2953">
        <v>-6.3851808027348703E-2</v>
      </c>
      <c r="Q2953">
        <v>0.246017638703112</v>
      </c>
      <c r="R2953">
        <v>0.96523735873473804</v>
      </c>
      <c r="S2953" t="s">
        <v>9521</v>
      </c>
      <c r="T2953" t="s">
        <v>13134</v>
      </c>
      <c r="U2953" t="s">
        <v>13134</v>
      </c>
      <c r="V2953" t="s">
        <v>13134</v>
      </c>
      <c r="W2953" t="s">
        <v>16035</v>
      </c>
      <c r="X2953">
        <v>1</v>
      </c>
      <c r="Y2953" t="s">
        <v>22465</v>
      </c>
      <c r="Z2953" t="s">
        <v>28921</v>
      </c>
      <c r="AA2953">
        <v>0.63175054951551202</v>
      </c>
      <c r="AB2953" t="str">
        <f>HYPERLINK("Melting_Curves/meltCurve_P57054_3_PIGP.pdf", "Melting_Curves/meltCurve_P57054_3_PIGP.pdf")</f>
        <v>Melting_Curves/meltCurve_P57054_3_PIGP.pdf</v>
      </c>
    </row>
    <row r="2954" spans="1:28" x14ac:dyDescent="0.25">
      <c r="A2954" t="s">
        <v>2958</v>
      </c>
      <c r="B2954">
        <v>0.99472303558308395</v>
      </c>
      <c r="C2954">
        <v>1.0582381071429701</v>
      </c>
      <c r="D2954">
        <v>0.91680077371043001</v>
      </c>
      <c r="E2954">
        <v>0.79592469965775503</v>
      </c>
      <c r="F2954">
        <v>0.294928230411376</v>
      </c>
      <c r="G2954">
        <v>0.147460135638835</v>
      </c>
      <c r="H2954">
        <v>0.128925672374709</v>
      </c>
      <c r="I2954">
        <v>9.2376704424628406E-2</v>
      </c>
      <c r="J2954">
        <v>0.16147028187568599</v>
      </c>
      <c r="K2954">
        <v>9.1883623756705002E-2</v>
      </c>
      <c r="L2954">
        <v>1578.94931497521</v>
      </c>
      <c r="M2954">
        <v>32.766174593500999</v>
      </c>
      <c r="N2954">
        <v>48.582285060067399</v>
      </c>
      <c r="O2954">
        <v>48.009959185996699</v>
      </c>
      <c r="P2954">
        <v>-0.15071907742097401</v>
      </c>
      <c r="Q2954">
        <v>0.116651914718979</v>
      </c>
      <c r="R2954">
        <v>0.99259789471944604</v>
      </c>
      <c r="S2954" t="s">
        <v>9522</v>
      </c>
      <c r="T2954" t="s">
        <v>13134</v>
      </c>
      <c r="U2954" t="s">
        <v>13134</v>
      </c>
      <c r="V2954" t="s">
        <v>13134</v>
      </c>
      <c r="W2954" t="s">
        <v>16036</v>
      </c>
      <c r="X2954">
        <v>2</v>
      </c>
      <c r="Y2954" t="s">
        <v>22466</v>
      </c>
      <c r="Z2954" t="s">
        <v>28922</v>
      </c>
      <c r="AA2954">
        <v>0.45049095679130458</v>
      </c>
      <c r="AB2954" t="str">
        <f>HYPERLINK("Melting_Curves/meltCurve_P57060_RWDD2B.pdf", "Melting_Curves/meltCurve_P57060_RWDD2B.pdf")</f>
        <v>Melting_Curves/meltCurve_P57060_RWDD2B.pdf</v>
      </c>
    </row>
    <row r="2955" spans="1:28" x14ac:dyDescent="0.25">
      <c r="A2955" t="s">
        <v>2959</v>
      </c>
      <c r="B2955">
        <v>0.99472303558308395</v>
      </c>
      <c r="C2955">
        <v>0.95184915054306496</v>
      </c>
      <c r="D2955">
        <v>0.94226961172021395</v>
      </c>
      <c r="E2955">
        <v>0.26153592992678099</v>
      </c>
      <c r="F2955">
        <v>0.100640006920969</v>
      </c>
      <c r="G2955">
        <v>5.2400156028188399E-2</v>
      </c>
      <c r="H2955">
        <v>4.41964242222685E-2</v>
      </c>
      <c r="I2955">
        <v>2.56739478686842E-2</v>
      </c>
      <c r="J2955">
        <v>2.81397017418164E-2</v>
      </c>
      <c r="K2955">
        <v>2.58691441678792E-2</v>
      </c>
      <c r="L2955">
        <v>2093.6422108631</v>
      </c>
      <c r="M2955">
        <v>46.110661846927897</v>
      </c>
      <c r="N2955">
        <v>45.494136868354602</v>
      </c>
      <c r="O2955">
        <v>45.3195784552288</v>
      </c>
      <c r="P2955">
        <v>-0.24334620175918101</v>
      </c>
      <c r="Q2955">
        <v>4.3315894995253401E-2</v>
      </c>
      <c r="R2955">
        <v>0.99685064804483503</v>
      </c>
      <c r="S2955" t="s">
        <v>9523</v>
      </c>
      <c r="T2955" t="s">
        <v>13134</v>
      </c>
      <c r="U2955" t="s">
        <v>13134</v>
      </c>
      <c r="V2955" t="s">
        <v>13134</v>
      </c>
      <c r="W2955" t="s">
        <v>16037</v>
      </c>
      <c r="X2955">
        <v>12</v>
      </c>
      <c r="Y2955" t="s">
        <v>22467</v>
      </c>
      <c r="Z2955" t="s">
        <v>28923</v>
      </c>
      <c r="AA2955">
        <v>0.31359403870163849</v>
      </c>
      <c r="AB2955" t="str">
        <f>HYPERLINK("Melting_Curves/meltCurve_P57076_C21orf59.pdf", "Melting_Curves/meltCurve_P57076_C21orf59.pdf")</f>
        <v>Melting_Curves/meltCurve_P57076_C21orf59.pdf</v>
      </c>
    </row>
    <row r="2956" spans="1:28" x14ac:dyDescent="0.25">
      <c r="A2956" t="s">
        <v>2960</v>
      </c>
      <c r="B2956">
        <v>0.99472303558308395</v>
      </c>
      <c r="C2956">
        <v>0.79528541884197801</v>
      </c>
      <c r="D2956">
        <v>0.92352600765533099</v>
      </c>
      <c r="E2956">
        <v>0.79017963697710603</v>
      </c>
      <c r="F2956">
        <v>0.52209749799426297</v>
      </c>
      <c r="G2956">
        <v>0.31403200618542199</v>
      </c>
      <c r="H2956">
        <v>0.106397742985755</v>
      </c>
      <c r="I2956">
        <v>5.04156737093178E-2</v>
      </c>
      <c r="J2956">
        <v>5.6178055488707301E-2</v>
      </c>
      <c r="K2956">
        <v>5.0266798271131098E-2</v>
      </c>
      <c r="L2956">
        <v>710.39830711629497</v>
      </c>
      <c r="M2956">
        <v>14.0862152839758</v>
      </c>
      <c r="N2956">
        <v>50.432166559703298</v>
      </c>
      <c r="O2956">
        <v>49.448396466271298</v>
      </c>
      <c r="P2956">
        <v>-7.1225962708011098E-2</v>
      </c>
      <c r="Q2956">
        <v>0</v>
      </c>
      <c r="R2956">
        <v>0.97251382572289702</v>
      </c>
      <c r="S2956" t="s">
        <v>9524</v>
      </c>
      <c r="T2956" t="s">
        <v>13134</v>
      </c>
      <c r="U2956" t="s">
        <v>13134</v>
      </c>
      <c r="V2956" t="s">
        <v>13134</v>
      </c>
      <c r="W2956" t="s">
        <v>16038</v>
      </c>
      <c r="X2956">
        <v>11</v>
      </c>
      <c r="Y2956" t="s">
        <v>22468</v>
      </c>
      <c r="Z2956" t="s">
        <v>28924</v>
      </c>
      <c r="AA2956">
        <v>0.47015388688907889</v>
      </c>
      <c r="AB2956" t="str">
        <f>HYPERLINK("Melting_Curves/meltCurve_P57081_2_WDR4.pdf", "Melting_Curves/meltCurve_P57081_2_WDR4.pdf")</f>
        <v>Melting_Curves/meltCurve_P57081_2_WDR4.pdf</v>
      </c>
    </row>
    <row r="2957" spans="1:28" x14ac:dyDescent="0.25">
      <c r="A2957" t="s">
        <v>2961</v>
      </c>
      <c r="B2957">
        <v>0.99472303558308395</v>
      </c>
      <c r="C2957">
        <v>0.82417503958401905</v>
      </c>
      <c r="D2957">
        <v>0.81292398772865804</v>
      </c>
      <c r="E2957">
        <v>0.68684925935399699</v>
      </c>
      <c r="F2957">
        <v>0.60442497817000096</v>
      </c>
      <c r="G2957">
        <v>0.44686813880350901</v>
      </c>
      <c r="H2957">
        <v>0.34530880197932201</v>
      </c>
      <c r="I2957">
        <v>0.21632433008377699</v>
      </c>
      <c r="J2957">
        <v>0.13117509261382601</v>
      </c>
      <c r="K2957">
        <v>0.12222676777925499</v>
      </c>
      <c r="L2957">
        <v>400.53863634305299</v>
      </c>
      <c r="M2957">
        <v>7.7507327516706104</v>
      </c>
      <c r="N2957">
        <v>51.677518573978901</v>
      </c>
      <c r="O2957">
        <v>48.575468485434698</v>
      </c>
      <c r="P2957">
        <v>-3.99409232341092E-2</v>
      </c>
      <c r="Q2957">
        <v>0</v>
      </c>
      <c r="R2957">
        <v>0.981775878052768</v>
      </c>
      <c r="S2957" t="s">
        <v>9525</v>
      </c>
      <c r="T2957" t="s">
        <v>13134</v>
      </c>
      <c r="U2957" t="s">
        <v>13134</v>
      </c>
      <c r="V2957" t="s">
        <v>13134</v>
      </c>
      <c r="W2957" t="s">
        <v>16039</v>
      </c>
      <c r="X2957">
        <v>7</v>
      </c>
      <c r="Y2957" t="s">
        <v>22469</v>
      </c>
      <c r="Z2957" t="s">
        <v>28925</v>
      </c>
      <c r="AA2957">
        <v>0.5201023160470869</v>
      </c>
      <c r="AB2957" t="str">
        <f>HYPERLINK("Melting_Curves/meltCurve_P57088_TMEM33.pdf", "Melting_Curves/meltCurve_P57088_TMEM33.pdf")</f>
        <v>Melting_Curves/meltCurve_P57088_TMEM33.pdf</v>
      </c>
    </row>
    <row r="2958" spans="1:28" x14ac:dyDescent="0.25">
      <c r="A2958" t="s">
        <v>2962</v>
      </c>
      <c r="B2958">
        <v>0.99472303558308395</v>
      </c>
      <c r="C2958">
        <v>1.03278904126836</v>
      </c>
      <c r="D2958">
        <v>0.86658692976124396</v>
      </c>
      <c r="E2958">
        <v>0.85617042811148103</v>
      </c>
      <c r="F2958">
        <v>0.56380343466500904</v>
      </c>
      <c r="G2958">
        <v>0.31149434736596099</v>
      </c>
      <c r="H2958">
        <v>0.14764181424785</v>
      </c>
      <c r="I2958">
        <v>9.6635587040419704E-2</v>
      </c>
      <c r="J2958">
        <v>0.12860222217400599</v>
      </c>
      <c r="K2958">
        <v>0.142149804365411</v>
      </c>
      <c r="L2958">
        <v>942.792102960389</v>
      </c>
      <c r="M2958">
        <v>18.7451814896834</v>
      </c>
      <c r="N2958">
        <v>50.886617810437201</v>
      </c>
      <c r="O2958">
        <v>49.733248024468097</v>
      </c>
      <c r="P2958">
        <v>-8.5008520051214703E-2</v>
      </c>
      <c r="Q2958">
        <v>9.7885913489149198E-2</v>
      </c>
      <c r="R2958">
        <v>0.98891425775474795</v>
      </c>
      <c r="S2958" t="s">
        <v>9526</v>
      </c>
      <c r="T2958" t="s">
        <v>13134</v>
      </c>
      <c r="U2958" t="s">
        <v>13134</v>
      </c>
      <c r="V2958" t="s">
        <v>13134</v>
      </c>
      <c r="W2958" t="s">
        <v>16040</v>
      </c>
      <c r="X2958">
        <v>1</v>
      </c>
      <c r="Y2958" t="s">
        <v>22470</v>
      </c>
      <c r="Z2958" t="s">
        <v>28926</v>
      </c>
      <c r="AA2958">
        <v>0.51092353690589043</v>
      </c>
      <c r="AB2958" t="str">
        <f>HYPERLINK("Melting_Curves/meltCurve_P57105_SYNJ2BP.pdf", "Melting_Curves/meltCurve_P57105_SYNJ2BP.pdf")</f>
        <v>Melting_Curves/meltCurve_P57105_SYNJ2BP.pdf</v>
      </c>
    </row>
    <row r="2959" spans="1:28" x14ac:dyDescent="0.25">
      <c r="A2959" t="s">
        <v>2963</v>
      </c>
      <c r="B2959">
        <v>0.99472303558308395</v>
      </c>
      <c r="C2959">
        <v>1.0962546598204701</v>
      </c>
      <c r="D2959">
        <v>0.93465622350446098</v>
      </c>
      <c r="E2959">
        <v>0.70657209935043597</v>
      </c>
      <c r="F2959">
        <v>0.38814642237977998</v>
      </c>
      <c r="G2959">
        <v>0.27661732084901303</v>
      </c>
      <c r="H2959">
        <v>0.277713879302247</v>
      </c>
      <c r="I2959">
        <v>0.257735043498309</v>
      </c>
      <c r="J2959">
        <v>0.38851147983702</v>
      </c>
      <c r="K2959">
        <v>0.35996342656948399</v>
      </c>
      <c r="L2959">
        <v>1553.7494547195399</v>
      </c>
      <c r="M2959">
        <v>33.080509941099201</v>
      </c>
      <c r="N2959">
        <v>48.390424276755297</v>
      </c>
      <c r="O2959">
        <v>46.798082471894404</v>
      </c>
      <c r="P2959">
        <v>-0.121792433268987</v>
      </c>
      <c r="Q2959">
        <v>0.31081747011487498</v>
      </c>
      <c r="R2959">
        <v>0.974322838374999</v>
      </c>
      <c r="S2959" t="s">
        <v>9527</v>
      </c>
      <c r="T2959" t="s">
        <v>13134</v>
      </c>
      <c r="U2959" t="s">
        <v>13134</v>
      </c>
      <c r="V2959" t="s">
        <v>13134</v>
      </c>
      <c r="W2959" t="s">
        <v>16041</v>
      </c>
      <c r="X2959">
        <v>1</v>
      </c>
      <c r="Y2959" t="s">
        <v>22471</v>
      </c>
      <c r="Z2959" t="s">
        <v>28927</v>
      </c>
      <c r="AA2959">
        <v>0.54311147503348189</v>
      </c>
      <c r="AB2959" t="str">
        <f>HYPERLINK("Melting_Curves/meltCurve_P57682_KLF3.pdf", "Melting_Curves/meltCurve_P57682_KLF3.pdf")</f>
        <v>Melting_Curves/meltCurve_P57682_KLF3.pdf</v>
      </c>
    </row>
    <row r="2960" spans="1:28" x14ac:dyDescent="0.25">
      <c r="A2960" t="s">
        <v>2964</v>
      </c>
      <c r="B2960">
        <v>0.99472303558308395</v>
      </c>
      <c r="C2960">
        <v>0.94145315340226499</v>
      </c>
      <c r="D2960">
        <v>0.92681439509619001</v>
      </c>
      <c r="E2960">
        <v>0.57120254339795096</v>
      </c>
      <c r="F2960">
        <v>0.33400711383001502</v>
      </c>
      <c r="G2960">
        <v>0.23979971219420401</v>
      </c>
      <c r="H2960">
        <v>0.15532293893955901</v>
      </c>
      <c r="I2960">
        <v>0.13043786125832599</v>
      </c>
      <c r="J2960">
        <v>0.14064335222837701</v>
      </c>
      <c r="K2960">
        <v>0.109882851155263</v>
      </c>
      <c r="L2960">
        <v>894.78538385177603</v>
      </c>
      <c r="M2960">
        <v>19.015646224330599</v>
      </c>
      <c r="N2960">
        <v>47.805619513534999</v>
      </c>
      <c r="O2960">
        <v>46.544071705436899</v>
      </c>
      <c r="P2960">
        <v>-8.8962693901881704E-2</v>
      </c>
      <c r="Q2960">
        <v>0.12902822925801499</v>
      </c>
      <c r="R2960">
        <v>0.994589331069066</v>
      </c>
      <c r="S2960" t="s">
        <v>9528</v>
      </c>
      <c r="T2960" t="s">
        <v>13134</v>
      </c>
      <c r="U2960" t="s">
        <v>13134</v>
      </c>
      <c r="V2960" t="s">
        <v>13134</v>
      </c>
      <c r="W2960" t="s">
        <v>16042</v>
      </c>
      <c r="X2960">
        <v>35</v>
      </c>
      <c r="Y2960" t="s">
        <v>22472</v>
      </c>
      <c r="Z2960" t="s">
        <v>28928</v>
      </c>
      <c r="AA2960">
        <v>0.43353538013721182</v>
      </c>
      <c r="AB2960" t="str">
        <f>HYPERLINK("Melting_Curves/meltCurve_P57737_3_CORO7.pdf", "Melting_Curves/meltCurve_P57737_3_CORO7.pdf")</f>
        <v>Melting_Curves/meltCurve_P57737_3_CORO7.pdf</v>
      </c>
    </row>
    <row r="2961" spans="1:28" x14ac:dyDescent="0.25">
      <c r="A2961" t="s">
        <v>2965</v>
      </c>
      <c r="B2961">
        <v>0.99472303558308395</v>
      </c>
      <c r="C2961">
        <v>0.73135979345331503</v>
      </c>
      <c r="D2961">
        <v>0.52997599784002802</v>
      </c>
      <c r="E2961">
        <v>0.34231656249723103</v>
      </c>
      <c r="F2961">
        <v>0.343795515407045</v>
      </c>
      <c r="G2961">
        <v>8.8730630270371896E-2</v>
      </c>
      <c r="H2961">
        <v>6.8907166803184997E-2</v>
      </c>
      <c r="I2961">
        <v>5.1785261597848901E-2</v>
      </c>
      <c r="J2961">
        <v>6.6741220826859293E-2</v>
      </c>
      <c r="K2961">
        <v>4.4421134482329802E-2</v>
      </c>
      <c r="L2961">
        <v>494.27617781025901</v>
      </c>
      <c r="M2961">
        <v>11.2357447834148</v>
      </c>
      <c r="N2961">
        <v>44.199746144684298</v>
      </c>
      <c r="O2961">
        <v>42.666926739372201</v>
      </c>
      <c r="P2961">
        <v>-6.4156155886763294E-2</v>
      </c>
      <c r="Q2961">
        <v>2.57893791473063E-2</v>
      </c>
      <c r="R2961">
        <v>0.96783629475454702</v>
      </c>
      <c r="S2961" t="s">
        <v>9529</v>
      </c>
      <c r="T2961" t="s">
        <v>13134</v>
      </c>
      <c r="U2961" t="s">
        <v>13134</v>
      </c>
      <c r="V2961" t="s">
        <v>13134</v>
      </c>
      <c r="W2961" t="s">
        <v>16043</v>
      </c>
      <c r="X2961">
        <v>8</v>
      </c>
      <c r="Y2961" t="s">
        <v>22473</v>
      </c>
      <c r="Z2961" t="s">
        <v>28929</v>
      </c>
      <c r="AA2961">
        <v>0.2953385813871563</v>
      </c>
      <c r="AB2961" t="str">
        <f>HYPERLINK("Melting_Curves/meltCurve_P57740_NUP107.pdf", "Melting_Curves/meltCurve_P57740_NUP107.pdf")</f>
        <v>Melting_Curves/meltCurve_P57740_NUP107.pdf</v>
      </c>
    </row>
    <row r="2962" spans="1:28" x14ac:dyDescent="0.25">
      <c r="A2962" t="s">
        <v>2966</v>
      </c>
      <c r="B2962">
        <v>0.99472303558308395</v>
      </c>
      <c r="C2962">
        <v>1.07076147312373</v>
      </c>
      <c r="D2962">
        <v>0.96959553490109096</v>
      </c>
      <c r="E2962">
        <v>0.92093897571120198</v>
      </c>
      <c r="F2962">
        <v>0.631143398937272</v>
      </c>
      <c r="G2962">
        <v>0.33098657082980998</v>
      </c>
      <c r="H2962">
        <v>0.16131268527238099</v>
      </c>
      <c r="I2962">
        <v>0.18823256436923</v>
      </c>
      <c r="J2962">
        <v>0.121803596893594</v>
      </c>
      <c r="K2962">
        <v>0.12963733814458001</v>
      </c>
      <c r="L2962">
        <v>1214.0622285096599</v>
      </c>
      <c r="M2962">
        <v>23.8529721265188</v>
      </c>
      <c r="N2962">
        <v>51.561152181927298</v>
      </c>
      <c r="O2962">
        <v>50.544043026077702</v>
      </c>
      <c r="P2962">
        <v>-0.102392683993655</v>
      </c>
      <c r="Q2962">
        <v>0.13214061393776599</v>
      </c>
      <c r="R2962">
        <v>0.99436375676338196</v>
      </c>
      <c r="S2962" t="s">
        <v>9530</v>
      </c>
      <c r="T2962" t="s">
        <v>13134</v>
      </c>
      <c r="U2962" t="s">
        <v>13134</v>
      </c>
      <c r="V2962" t="s">
        <v>13134</v>
      </c>
      <c r="W2962" t="s">
        <v>16044</v>
      </c>
      <c r="X2962">
        <v>4</v>
      </c>
      <c r="Y2962" t="s">
        <v>22474</v>
      </c>
      <c r="Z2962" t="s">
        <v>28930</v>
      </c>
      <c r="AA2962">
        <v>0.54252802615050855</v>
      </c>
      <c r="AB2962" t="str">
        <f>HYPERLINK("Melting_Curves/meltCurve_P57768_SNX16.pdf", "Melting_Curves/meltCurve_P57768_SNX16.pdf")</f>
        <v>Melting_Curves/meltCurve_P57768_SNX16.pdf</v>
      </c>
    </row>
    <row r="2963" spans="1:28" x14ac:dyDescent="0.25">
      <c r="A2963" t="s">
        <v>2967</v>
      </c>
      <c r="B2963">
        <v>0.99472303558308395</v>
      </c>
      <c r="C2963">
        <v>0.927534529226965</v>
      </c>
      <c r="D2963">
        <v>1.02316456719533</v>
      </c>
      <c r="E2963">
        <v>0.73087799509442897</v>
      </c>
      <c r="F2963">
        <v>0.27076963200684301</v>
      </c>
      <c r="G2963">
        <v>0.112944814798751</v>
      </c>
      <c r="H2963">
        <v>7.5673855008798294E-2</v>
      </c>
      <c r="I2963">
        <v>4.6352858125809498E-2</v>
      </c>
      <c r="J2963">
        <v>6.2294915812404997E-2</v>
      </c>
      <c r="K2963">
        <v>4.5880659024872802E-2</v>
      </c>
      <c r="L2963">
        <v>1428.18370938831</v>
      </c>
      <c r="M2963">
        <v>29.682506392919901</v>
      </c>
      <c r="N2963">
        <v>48.317214325880897</v>
      </c>
      <c r="O2963">
        <v>47.898529354174698</v>
      </c>
      <c r="P2963">
        <v>-0.14588987737755399</v>
      </c>
      <c r="Q2963">
        <v>5.8319035272835898E-2</v>
      </c>
      <c r="R2963">
        <v>0.99511594154685401</v>
      </c>
      <c r="S2963" t="s">
        <v>9531</v>
      </c>
      <c r="T2963" t="s">
        <v>13134</v>
      </c>
      <c r="U2963" t="s">
        <v>13134</v>
      </c>
      <c r="V2963" t="s">
        <v>13134</v>
      </c>
      <c r="W2963" t="s">
        <v>16045</v>
      </c>
      <c r="X2963">
        <v>8</v>
      </c>
      <c r="Y2963" t="s">
        <v>22475</v>
      </c>
      <c r="Z2963" t="s">
        <v>28931</v>
      </c>
      <c r="AA2963">
        <v>0.41293202300513232</v>
      </c>
      <c r="AB2963" t="str">
        <f>HYPERLINK("Melting_Curves/meltCurve_P57772_EEFSEC.pdf", "Melting_Curves/meltCurve_P57772_EEFSEC.pdf")</f>
        <v>Melting_Curves/meltCurve_P57772_EEFSEC.pdf</v>
      </c>
    </row>
    <row r="2964" spans="1:28" x14ac:dyDescent="0.25">
      <c r="A2964" t="s">
        <v>2968</v>
      </c>
      <c r="B2964">
        <v>0.99472303558308395</v>
      </c>
      <c r="C2964">
        <v>1.0099494987920801</v>
      </c>
      <c r="D2964">
        <v>0.98714973886920898</v>
      </c>
      <c r="E2964">
        <v>0.67752141189294202</v>
      </c>
      <c r="F2964">
        <v>0.222850216982656</v>
      </c>
      <c r="G2964">
        <v>0.115329598288071</v>
      </c>
      <c r="H2964">
        <v>6.5639749086648505E-2</v>
      </c>
      <c r="I2964">
        <v>4.6013154388781403E-2</v>
      </c>
      <c r="J2964">
        <v>5.7003438720732699E-2</v>
      </c>
      <c r="K2964">
        <v>4.1444813857925498E-2</v>
      </c>
      <c r="L2964">
        <v>1424.5491279195901</v>
      </c>
      <c r="M2964">
        <v>29.8898447741757</v>
      </c>
      <c r="N2964">
        <v>47.851860338722702</v>
      </c>
      <c r="O2964">
        <v>47.448163202372697</v>
      </c>
      <c r="P2964">
        <v>-0.14859366179281799</v>
      </c>
      <c r="Q2964">
        <v>5.6475566701953701E-2</v>
      </c>
      <c r="R2964">
        <v>0.99887551033233601</v>
      </c>
      <c r="S2964" t="s">
        <v>9532</v>
      </c>
      <c r="T2964" t="s">
        <v>13134</v>
      </c>
      <c r="U2964" t="s">
        <v>13134</v>
      </c>
      <c r="V2964" t="s">
        <v>13134</v>
      </c>
      <c r="W2964" t="s">
        <v>16046</v>
      </c>
      <c r="X2964">
        <v>9</v>
      </c>
      <c r="Y2964" t="s">
        <v>22476</v>
      </c>
      <c r="Z2964" t="s">
        <v>28932</v>
      </c>
      <c r="AA2964">
        <v>0.39733413866189682</v>
      </c>
      <c r="AB2964" t="str">
        <f>HYPERLINK("Melting_Curves/meltCurve_P58004_SESN2.pdf", "Melting_Curves/meltCurve_P58004_SESN2.pdf")</f>
        <v>Melting_Curves/meltCurve_P58004_SESN2.pdf</v>
      </c>
    </row>
    <row r="2965" spans="1:28" x14ac:dyDescent="0.25">
      <c r="A2965" t="s">
        <v>2969</v>
      </c>
      <c r="B2965">
        <v>0.99472303558308395</v>
      </c>
      <c r="C2965">
        <v>0.61654291498000302</v>
      </c>
      <c r="D2965">
        <v>0.28018273191040899</v>
      </c>
      <c r="E2965">
        <v>0.211071905640071</v>
      </c>
      <c r="F2965">
        <v>0.147063922863089</v>
      </c>
      <c r="G2965">
        <v>7.8545222776498003E-2</v>
      </c>
      <c r="H2965">
        <v>5.0027439946025001E-2</v>
      </c>
      <c r="I2965">
        <v>3.4510118124200698E-2</v>
      </c>
      <c r="J2965">
        <v>3.5784287894656999E-2</v>
      </c>
      <c r="K2965">
        <v>2.4466665851189201E-2</v>
      </c>
      <c r="L2965">
        <v>869.59828641589104</v>
      </c>
      <c r="M2965">
        <v>21.269879061047899</v>
      </c>
      <c r="N2965">
        <v>41.155288752538603</v>
      </c>
      <c r="O2965">
        <v>40.527808534252998</v>
      </c>
      <c r="P2965">
        <v>-0.122627145925469</v>
      </c>
      <c r="Q2965">
        <v>6.5405174831188601E-2</v>
      </c>
      <c r="R2965">
        <v>0.97368916729482402</v>
      </c>
      <c r="S2965" t="s">
        <v>9533</v>
      </c>
      <c r="T2965" t="s">
        <v>13134</v>
      </c>
      <c r="U2965" t="s">
        <v>13134</v>
      </c>
      <c r="V2965" t="s">
        <v>13134</v>
      </c>
      <c r="W2965" t="s">
        <v>16047</v>
      </c>
      <c r="X2965">
        <v>18</v>
      </c>
      <c r="Y2965" t="s">
        <v>22477</v>
      </c>
      <c r="Z2965" t="s">
        <v>28933</v>
      </c>
      <c r="AA2965">
        <v>0.2005316665064916</v>
      </c>
      <c r="AB2965" t="str">
        <f>HYPERLINK("Melting_Curves/meltCurve_P58107_EPPK1.pdf", "Melting_Curves/meltCurve_P58107_EPPK1.pdf")</f>
        <v>Melting_Curves/meltCurve_P58107_EPPK1.pdf</v>
      </c>
    </row>
    <row r="2966" spans="1:28" x14ac:dyDescent="0.25">
      <c r="A2966" t="s">
        <v>2970</v>
      </c>
      <c r="B2966">
        <v>0.99472303558308395</v>
      </c>
      <c r="C2966">
        <v>0.97846382468409498</v>
      </c>
      <c r="D2966">
        <v>0.97437288263270805</v>
      </c>
      <c r="E2966">
        <v>0.89933461087741895</v>
      </c>
      <c r="F2966">
        <v>0.50986281468920103</v>
      </c>
      <c r="G2966">
        <v>0.17013700687558</v>
      </c>
      <c r="H2966">
        <v>7.5480582846378097E-2</v>
      </c>
      <c r="I2966">
        <v>4.9721180188955397E-2</v>
      </c>
      <c r="J2966">
        <v>7.1715346263595506E-2</v>
      </c>
      <c r="K2966">
        <v>5.8680895349146799E-2</v>
      </c>
      <c r="L2966">
        <v>1425.94257249153</v>
      </c>
      <c r="M2966">
        <v>28.486062473349602</v>
      </c>
      <c r="N2966">
        <v>50.266938673627998</v>
      </c>
      <c r="O2966">
        <v>49.812809144217901</v>
      </c>
      <c r="P2966">
        <v>-0.13496850378842401</v>
      </c>
      <c r="Q2966">
        <v>5.5944475875878197E-2</v>
      </c>
      <c r="R2966">
        <v>0.99935539904682202</v>
      </c>
      <c r="S2966" t="s">
        <v>9534</v>
      </c>
      <c r="T2966" t="s">
        <v>13134</v>
      </c>
      <c r="U2966" t="s">
        <v>13134</v>
      </c>
      <c r="V2966" t="s">
        <v>13134</v>
      </c>
      <c r="W2966" t="s">
        <v>16048</v>
      </c>
      <c r="X2966">
        <v>8</v>
      </c>
      <c r="Y2966" t="s">
        <v>22478</v>
      </c>
      <c r="Z2966" t="s">
        <v>28934</v>
      </c>
      <c r="AA2966">
        <v>0.47326541713868819</v>
      </c>
      <c r="AB2966" t="str">
        <f>HYPERLINK("Melting_Curves/meltCurve_P58546_MTPN.pdf", "Melting_Curves/meltCurve_P58546_MTPN.pdf")</f>
        <v>Melting_Curves/meltCurve_P58546_MTPN.pdf</v>
      </c>
    </row>
    <row r="2967" spans="1:28" x14ac:dyDescent="0.25">
      <c r="A2967" t="s">
        <v>2971</v>
      </c>
      <c r="B2967">
        <v>0.99472303558308395</v>
      </c>
      <c r="C2967">
        <v>0.91560977895221995</v>
      </c>
      <c r="D2967">
        <v>0.68362485837761799</v>
      </c>
      <c r="E2967">
        <v>0.38465254690885498</v>
      </c>
      <c r="F2967">
        <v>0.16392114511745401</v>
      </c>
      <c r="G2967">
        <v>0.101679938205785</v>
      </c>
      <c r="H2967">
        <v>8.1464676944630304E-2</v>
      </c>
      <c r="I2967">
        <v>5.7197978798588102E-2</v>
      </c>
      <c r="J2967">
        <v>7.4269445384939001E-2</v>
      </c>
      <c r="K2967">
        <v>0.104128673345181</v>
      </c>
      <c r="L2967">
        <v>837.337584232322</v>
      </c>
      <c r="M2967">
        <v>18.738883590906099</v>
      </c>
      <c r="N2967">
        <v>45.0525044977608</v>
      </c>
      <c r="O2967">
        <v>44.1849431336992</v>
      </c>
      <c r="P2967">
        <v>-9.8505463054617395E-2</v>
      </c>
      <c r="Q2967">
        <v>7.0963909503797301E-2</v>
      </c>
      <c r="R2967">
        <v>0.99806234817416795</v>
      </c>
      <c r="S2967" t="s">
        <v>9535</v>
      </c>
      <c r="T2967" t="s">
        <v>13134</v>
      </c>
      <c r="U2967" t="s">
        <v>13134</v>
      </c>
      <c r="V2967" t="s">
        <v>13134</v>
      </c>
      <c r="W2967" t="s">
        <v>16049</v>
      </c>
      <c r="X2967">
        <v>1</v>
      </c>
      <c r="Y2967" t="s">
        <v>22479</v>
      </c>
      <c r="Z2967" t="s">
        <v>28935</v>
      </c>
      <c r="AA2967">
        <v>0.32301478138198819</v>
      </c>
      <c r="AB2967" t="str">
        <f>HYPERLINK("Melting_Curves/meltCurve_P58557_4_YBEY.pdf", "Melting_Curves/meltCurve_P58557_4_YBEY.pdf")</f>
        <v>Melting_Curves/meltCurve_P58557_4_YBEY.pdf</v>
      </c>
    </row>
    <row r="2968" spans="1:28" x14ac:dyDescent="0.25">
      <c r="A2968" t="s">
        <v>2972</v>
      </c>
      <c r="B2968">
        <v>0.99472303558308395</v>
      </c>
      <c r="C2968">
        <v>1.28142650075979</v>
      </c>
      <c r="D2968">
        <v>1.38381043933656</v>
      </c>
      <c r="E2968">
        <v>1.2011249994234099</v>
      </c>
      <c r="F2968">
        <v>1.02574231052656</v>
      </c>
      <c r="G2968">
        <v>1.0006093859931999</v>
      </c>
      <c r="H2968">
        <v>0.82094931882675104</v>
      </c>
      <c r="I2968">
        <v>1.07997392309643</v>
      </c>
      <c r="J2968">
        <v>1.8568350384418399</v>
      </c>
      <c r="K2968">
        <v>1.9438919051635499</v>
      </c>
      <c r="L2968">
        <v>15000</v>
      </c>
      <c r="M2968">
        <v>244.24443909726199</v>
      </c>
      <c r="O2968">
        <v>61.409767886905797</v>
      </c>
      <c r="P2968">
        <v>0.49716121617115699</v>
      </c>
      <c r="Q2968">
        <v>1.5</v>
      </c>
      <c r="R2968">
        <v>0.50502675220549298</v>
      </c>
      <c r="S2968" t="s">
        <v>9536</v>
      </c>
      <c r="T2968" t="s">
        <v>13134</v>
      </c>
      <c r="U2968" t="s">
        <v>13134</v>
      </c>
      <c r="V2968" t="s">
        <v>13134</v>
      </c>
      <c r="W2968" t="s">
        <v>16050</v>
      </c>
      <c r="X2968">
        <v>2</v>
      </c>
      <c r="Y2968" t="s">
        <v>22480</v>
      </c>
      <c r="Z2968" t="s">
        <v>28936</v>
      </c>
      <c r="AA2968">
        <v>1.0930454489356021</v>
      </c>
      <c r="AB2968" t="str">
        <f>HYPERLINK("Melting_Curves/meltCurve_P59923_ZNF445.pdf", "Melting_Curves/meltCurve_P59923_ZNF445.pdf")</f>
        <v>Melting_Curves/meltCurve_P59923_ZNF445.pdf</v>
      </c>
    </row>
    <row r="2969" spans="1:28" x14ac:dyDescent="0.25">
      <c r="A2969" t="s">
        <v>2973</v>
      </c>
      <c r="B2969">
        <v>0.99472303558308395</v>
      </c>
      <c r="C2969">
        <v>0.856295966434936</v>
      </c>
      <c r="D2969">
        <v>0.91049451779888002</v>
      </c>
      <c r="E2969">
        <v>0.83306661254064296</v>
      </c>
      <c r="F2969">
        <v>0.972225162170677</v>
      </c>
      <c r="G2969">
        <v>0.63405599962612202</v>
      </c>
      <c r="H2969">
        <v>0.32558805348588099</v>
      </c>
      <c r="I2969">
        <v>0.19942158455432701</v>
      </c>
      <c r="J2969">
        <v>0.111884012381178</v>
      </c>
      <c r="K2969">
        <v>8.9511060622367605E-2</v>
      </c>
      <c r="L2969">
        <v>1204.37069140314</v>
      </c>
      <c r="M2969">
        <v>21.906039400877798</v>
      </c>
      <c r="N2969">
        <v>55.411664976474498</v>
      </c>
      <c r="O2969">
        <v>54.526922671492102</v>
      </c>
      <c r="P2969">
        <v>-9.2542409157970004E-2</v>
      </c>
      <c r="Q2969">
        <v>7.8621537357319304E-2</v>
      </c>
      <c r="R2969">
        <v>0.95409697036527497</v>
      </c>
      <c r="S2969" t="s">
        <v>9537</v>
      </c>
      <c r="T2969" t="s">
        <v>13134</v>
      </c>
      <c r="U2969" t="s">
        <v>13134</v>
      </c>
      <c r="V2969" t="s">
        <v>13134</v>
      </c>
      <c r="W2969" t="s">
        <v>16051</v>
      </c>
      <c r="X2969">
        <v>9</v>
      </c>
      <c r="Y2969" t="s">
        <v>22481</v>
      </c>
      <c r="Z2969" t="s">
        <v>28937</v>
      </c>
      <c r="AA2969">
        <v>0.64020680315279443</v>
      </c>
      <c r="AB2969" t="str">
        <f>HYPERLINK("Melting_Curves/meltCurve_P59998_ARPC4.pdf", "Melting_Curves/meltCurve_P59998_ARPC4.pdf")</f>
        <v>Melting_Curves/meltCurve_P59998_ARPC4.pdf</v>
      </c>
    </row>
    <row r="2970" spans="1:28" x14ac:dyDescent="0.25">
      <c r="A2970" t="s">
        <v>2974</v>
      </c>
      <c r="B2970">
        <v>0.99472303558308395</v>
      </c>
      <c r="C2970">
        <v>0.89415011502076702</v>
      </c>
      <c r="D2970">
        <v>1.14625483959283</v>
      </c>
      <c r="E2970">
        <v>0.93243639634118902</v>
      </c>
      <c r="F2970">
        <v>0.58677262181761403</v>
      </c>
      <c r="G2970">
        <v>0.73736073527203105</v>
      </c>
      <c r="H2970">
        <v>0.26690120179328702</v>
      </c>
      <c r="I2970">
        <v>1.00717707035449</v>
      </c>
      <c r="J2970">
        <v>1.0617844968524099</v>
      </c>
      <c r="K2970">
        <v>0.89870976045270601</v>
      </c>
      <c r="L2970">
        <v>11693.720512051101</v>
      </c>
      <c r="M2970">
        <v>250</v>
      </c>
      <c r="O2970">
        <v>46.771888691658503</v>
      </c>
      <c r="P2970">
        <v>-0.32099367161175402</v>
      </c>
      <c r="Q2970">
        <v>0.75978431543009295</v>
      </c>
      <c r="R2970">
        <v>0.21854863466871799</v>
      </c>
      <c r="S2970" t="s">
        <v>9538</v>
      </c>
      <c r="T2970" t="s">
        <v>13134</v>
      </c>
      <c r="U2970" t="s">
        <v>13134</v>
      </c>
      <c r="V2970" t="s">
        <v>13134</v>
      </c>
      <c r="W2970" t="s">
        <v>16052</v>
      </c>
      <c r="X2970">
        <v>1</v>
      </c>
      <c r="Y2970" t="s">
        <v>22482</v>
      </c>
      <c r="Z2970" t="s">
        <v>28938</v>
      </c>
      <c r="AA2970">
        <v>0.83807336730105264</v>
      </c>
      <c r="AB2970" t="str">
        <f>HYPERLINK("Melting_Curves/meltCurve_P60059_SEC61G.pdf", "Melting_Curves/meltCurve_P60059_SEC61G.pdf")</f>
        <v>Melting_Curves/meltCurve_P60059_SEC61G.pdf</v>
      </c>
    </row>
    <row r="2971" spans="1:28" x14ac:dyDescent="0.25">
      <c r="A2971" t="s">
        <v>2975</v>
      </c>
      <c r="B2971">
        <v>0.99472303558308395</v>
      </c>
      <c r="C2971">
        <v>1.01917097664236</v>
      </c>
      <c r="D2971">
        <v>0.99905596040261302</v>
      </c>
      <c r="E2971">
        <v>0.96269678186428398</v>
      </c>
      <c r="F2971">
        <v>0.85360051093773104</v>
      </c>
      <c r="G2971">
        <v>0.681206926371133</v>
      </c>
      <c r="H2971">
        <v>0.48217825168464201</v>
      </c>
      <c r="I2971">
        <v>0.46584489878546598</v>
      </c>
      <c r="J2971">
        <v>0.283833513449047</v>
      </c>
      <c r="K2971">
        <v>0.158505035999392</v>
      </c>
      <c r="L2971">
        <v>619.23232272342295</v>
      </c>
      <c r="M2971">
        <v>10.6354486396448</v>
      </c>
      <c r="N2971">
        <v>58.2234322274346</v>
      </c>
      <c r="O2971">
        <v>56.278148430884798</v>
      </c>
      <c r="P2971">
        <v>-4.7263164832066801E-2</v>
      </c>
      <c r="Q2971">
        <v>0</v>
      </c>
      <c r="R2971">
        <v>0.98437023690316605</v>
      </c>
      <c r="S2971" t="s">
        <v>9539</v>
      </c>
      <c r="T2971" t="s">
        <v>13134</v>
      </c>
      <c r="U2971" t="s">
        <v>13134</v>
      </c>
      <c r="V2971" t="s">
        <v>13134</v>
      </c>
      <c r="W2971" t="s">
        <v>16053</v>
      </c>
      <c r="X2971">
        <v>28</v>
      </c>
      <c r="Y2971" t="s">
        <v>22483</v>
      </c>
      <c r="Z2971" t="s">
        <v>28939</v>
      </c>
      <c r="AA2971">
        <v>0.69988264121831045</v>
      </c>
      <c r="AB2971" t="str">
        <f>HYPERLINK("Melting_Curves/meltCurve_P60174_1_TPI1.pdf", "Melting_Curves/meltCurve_P60174_1_TPI1.pdf")</f>
        <v>Melting_Curves/meltCurve_P60174_1_TPI1.pdf</v>
      </c>
    </row>
    <row r="2972" spans="1:28" x14ac:dyDescent="0.25">
      <c r="A2972" t="s">
        <v>2976</v>
      </c>
      <c r="B2972">
        <v>0.99472303558308395</v>
      </c>
      <c r="C2972">
        <v>0.85908418678340703</v>
      </c>
      <c r="D2972">
        <v>0.73605358541210297</v>
      </c>
      <c r="E2972">
        <v>0.45716824450524801</v>
      </c>
      <c r="F2972">
        <v>0.191677042595227</v>
      </c>
      <c r="G2972">
        <v>9.3945768379369604E-2</v>
      </c>
      <c r="H2972">
        <v>5.70160947601848E-2</v>
      </c>
      <c r="I2972">
        <v>3.7088573389236601E-2</v>
      </c>
      <c r="J2972">
        <v>4.1960251963429999E-2</v>
      </c>
      <c r="K2972">
        <v>3.6739645556843697E-2</v>
      </c>
      <c r="L2972">
        <v>703.11919618198306</v>
      </c>
      <c r="M2972">
        <v>15.4037864808896</v>
      </c>
      <c r="N2972">
        <v>45.7641645203691</v>
      </c>
      <c r="O2972">
        <v>44.897315107306198</v>
      </c>
      <c r="P2972">
        <v>-8.4105893766557194E-2</v>
      </c>
      <c r="Q2972">
        <v>1.9517681229886501E-2</v>
      </c>
      <c r="R2972">
        <v>0.99694209570446402</v>
      </c>
      <c r="S2972" t="s">
        <v>9540</v>
      </c>
      <c r="T2972" t="s">
        <v>13134</v>
      </c>
      <c r="U2972" t="s">
        <v>13134</v>
      </c>
      <c r="V2972" t="s">
        <v>13134</v>
      </c>
      <c r="W2972" t="s">
        <v>16054</v>
      </c>
      <c r="X2972">
        <v>13</v>
      </c>
      <c r="Y2972" t="s">
        <v>22484</v>
      </c>
      <c r="Z2972" t="s">
        <v>28940</v>
      </c>
      <c r="AA2972">
        <v>0.32377874572888188</v>
      </c>
      <c r="AB2972" t="str">
        <f>HYPERLINK("Melting_Curves/meltCurve_P60228_EIF3E.pdf", "Melting_Curves/meltCurve_P60228_EIF3E.pdf")</f>
        <v>Melting_Curves/meltCurve_P60228_EIF3E.pdf</v>
      </c>
    </row>
    <row r="2973" spans="1:28" x14ac:dyDescent="0.25">
      <c r="A2973" t="s">
        <v>2977</v>
      </c>
      <c r="B2973">
        <v>0.99472303558308395</v>
      </c>
      <c r="C2973">
        <v>1.0153900406479499</v>
      </c>
      <c r="D2973">
        <v>0.96273768744717703</v>
      </c>
      <c r="E2973">
        <v>0.82416657981663599</v>
      </c>
      <c r="F2973">
        <v>0.65233934122633996</v>
      </c>
      <c r="G2973">
        <v>0.50034770610747903</v>
      </c>
      <c r="H2973">
        <v>0.447673605081431</v>
      </c>
      <c r="I2973">
        <v>0.46502234067899301</v>
      </c>
      <c r="J2973">
        <v>0.54501812666916305</v>
      </c>
      <c r="K2973">
        <v>0.43609114565962098</v>
      </c>
      <c r="L2973">
        <v>1062.2148618367501</v>
      </c>
      <c r="M2973">
        <v>21.983275587145599</v>
      </c>
      <c r="N2973">
        <v>55.097557448885397</v>
      </c>
      <c r="O2973">
        <v>47.924696416198699</v>
      </c>
      <c r="P2973">
        <v>-6.1175645350603797E-2</v>
      </c>
      <c r="Q2973">
        <v>0.46654722732477899</v>
      </c>
      <c r="R2973">
        <v>0.98185024092240603</v>
      </c>
      <c r="S2973" t="s">
        <v>9541</v>
      </c>
      <c r="T2973" t="s">
        <v>13134</v>
      </c>
      <c r="U2973" t="s">
        <v>13134</v>
      </c>
      <c r="V2973" t="s">
        <v>13134</v>
      </c>
      <c r="W2973" t="s">
        <v>16055</v>
      </c>
      <c r="X2973">
        <v>3</v>
      </c>
      <c r="Y2973" t="s">
        <v>22485</v>
      </c>
      <c r="Z2973" t="s">
        <v>28941</v>
      </c>
      <c r="AA2973">
        <v>0.67368790001926049</v>
      </c>
      <c r="AB2973" t="str">
        <f>HYPERLINK("Melting_Curves/meltCurve_P60468_SEC61B.pdf", "Melting_Curves/meltCurve_P60468_SEC61B.pdf")</f>
        <v>Melting_Curves/meltCurve_P60468_SEC61B.pdf</v>
      </c>
    </row>
    <row r="2974" spans="1:28" x14ac:dyDescent="0.25">
      <c r="A2974" t="s">
        <v>2978</v>
      </c>
      <c r="B2974">
        <v>0.99472303558308395</v>
      </c>
      <c r="C2974">
        <v>1.0675220819092199</v>
      </c>
      <c r="D2974">
        <v>0.89720211548854301</v>
      </c>
      <c r="E2974">
        <v>0.86402640157581001</v>
      </c>
      <c r="F2974">
        <v>0.67521662443221397</v>
      </c>
      <c r="G2974">
        <v>0.49313191269645901</v>
      </c>
      <c r="H2974">
        <v>0.35858107416658203</v>
      </c>
      <c r="I2974">
        <v>0.239163316289177</v>
      </c>
      <c r="J2974">
        <v>0.22262330170422001</v>
      </c>
      <c r="K2974">
        <v>0.14968166394396901</v>
      </c>
      <c r="L2974">
        <v>639.11253007032599</v>
      </c>
      <c r="M2974">
        <v>12.128285180005699</v>
      </c>
      <c r="N2974">
        <v>53.748628604254499</v>
      </c>
      <c r="O2974">
        <v>51.324787742616202</v>
      </c>
      <c r="P2974">
        <v>-5.28435585874844E-2</v>
      </c>
      <c r="Q2974">
        <v>0.105707928756956</v>
      </c>
      <c r="R2974">
        <v>0.98970842354737099</v>
      </c>
      <c r="S2974" t="s">
        <v>9542</v>
      </c>
      <c r="T2974" t="s">
        <v>13134</v>
      </c>
      <c r="U2974" t="s">
        <v>13134</v>
      </c>
      <c r="V2974" t="s">
        <v>13134</v>
      </c>
      <c r="W2974" t="s">
        <v>16056</v>
      </c>
      <c r="X2974">
        <v>16</v>
      </c>
      <c r="Y2974" t="s">
        <v>22486</v>
      </c>
      <c r="Z2974" t="s">
        <v>28942</v>
      </c>
      <c r="AA2974">
        <v>0.59309405709512919</v>
      </c>
      <c r="AB2974" t="str">
        <f>HYPERLINK("Melting_Curves/meltCurve_P60510_PPP4C.pdf", "Melting_Curves/meltCurve_P60510_PPP4C.pdf")</f>
        <v>Melting_Curves/meltCurve_P60510_PPP4C.pdf</v>
      </c>
    </row>
    <row r="2975" spans="1:28" x14ac:dyDescent="0.25">
      <c r="A2975" t="s">
        <v>2979</v>
      </c>
      <c r="B2975">
        <v>0.99472303558308395</v>
      </c>
      <c r="C2975">
        <v>0.97777251441336499</v>
      </c>
      <c r="D2975">
        <v>0.97546499589216795</v>
      </c>
      <c r="E2975">
        <v>0.88164621069340399</v>
      </c>
      <c r="F2975">
        <v>0.61889846318470099</v>
      </c>
      <c r="G2975">
        <v>0.34996608082508301</v>
      </c>
      <c r="H2975">
        <v>0.15651092065441899</v>
      </c>
      <c r="I2975">
        <v>7.5076796588827099E-2</v>
      </c>
      <c r="J2975">
        <v>8.7345829439386902E-2</v>
      </c>
      <c r="K2975">
        <v>8.5944753270425805E-2</v>
      </c>
      <c r="L2975">
        <v>980.86885805570705</v>
      </c>
      <c r="M2975">
        <v>19.1217088160038</v>
      </c>
      <c r="N2975">
        <v>51.631866696017397</v>
      </c>
      <c r="O2975">
        <v>50.744947103170603</v>
      </c>
      <c r="P2975">
        <v>-8.8700666696539393E-2</v>
      </c>
      <c r="Q2975">
        <v>5.8465858761845603E-2</v>
      </c>
      <c r="R2975">
        <v>0.99875655984943801</v>
      </c>
      <c r="S2975" t="s">
        <v>9543</v>
      </c>
      <c r="T2975" t="s">
        <v>13134</v>
      </c>
      <c r="U2975" t="s">
        <v>13134</v>
      </c>
      <c r="V2975" t="s">
        <v>13134</v>
      </c>
      <c r="W2975" t="s">
        <v>16057</v>
      </c>
      <c r="X2975">
        <v>6</v>
      </c>
      <c r="Y2975" t="s">
        <v>22487</v>
      </c>
      <c r="Z2975" t="s">
        <v>28943</v>
      </c>
      <c r="AA2975">
        <v>0.52035289824206432</v>
      </c>
      <c r="AB2975" t="str">
        <f>HYPERLINK("Melting_Curves/meltCurve_P60520_GABARAPL2.pdf", "Melting_Curves/meltCurve_P60520_GABARAPL2.pdf")</f>
        <v>Melting_Curves/meltCurve_P60520_GABARAPL2.pdf</v>
      </c>
    </row>
    <row r="2976" spans="1:28" x14ac:dyDescent="0.25">
      <c r="A2976" t="s">
        <v>2980</v>
      </c>
      <c r="B2976">
        <v>0.99472303558308395</v>
      </c>
      <c r="C2976">
        <v>1.0368345896995499</v>
      </c>
      <c r="D2976">
        <v>0.88955575585625002</v>
      </c>
      <c r="E2976">
        <v>0.752944830989144</v>
      </c>
      <c r="F2976">
        <v>0.59076201055302602</v>
      </c>
      <c r="G2976">
        <v>0.41771881867351701</v>
      </c>
      <c r="H2976">
        <v>0.33045707585435102</v>
      </c>
      <c r="I2976">
        <v>0.32428428382600899</v>
      </c>
      <c r="J2976">
        <v>0.37618666947291102</v>
      </c>
      <c r="K2976">
        <v>0.47609805624482598</v>
      </c>
      <c r="L2976">
        <v>904.47226914436305</v>
      </c>
      <c r="M2976">
        <v>18.936834915700501</v>
      </c>
      <c r="N2976">
        <v>51.3939023923785</v>
      </c>
      <c r="O2976">
        <v>47.239503582846602</v>
      </c>
      <c r="P2976">
        <v>-6.3257949874614403E-2</v>
      </c>
      <c r="Q2976">
        <v>0.36881642666842201</v>
      </c>
      <c r="R2976">
        <v>0.96490633506611501</v>
      </c>
      <c r="S2976" t="s">
        <v>9544</v>
      </c>
      <c r="T2976" t="s">
        <v>13134</v>
      </c>
      <c r="U2976" t="s">
        <v>13134</v>
      </c>
      <c r="V2976" t="s">
        <v>13134</v>
      </c>
      <c r="W2976" t="s">
        <v>16058</v>
      </c>
      <c r="X2976">
        <v>4</v>
      </c>
      <c r="Y2976" t="s">
        <v>22488</v>
      </c>
      <c r="Z2976" t="s">
        <v>28944</v>
      </c>
      <c r="AA2976">
        <v>0.60444355217233536</v>
      </c>
      <c r="AB2976" t="str">
        <f>HYPERLINK("Melting_Curves/meltCurve_P60602_ROMO1.pdf", "Melting_Curves/meltCurve_P60602_ROMO1.pdf")</f>
        <v>Melting_Curves/meltCurve_P60602_ROMO1.pdf</v>
      </c>
    </row>
    <row r="2977" spans="1:28" x14ac:dyDescent="0.25">
      <c r="A2977" t="s">
        <v>2981</v>
      </c>
      <c r="B2977">
        <v>0.99472303558308395</v>
      </c>
      <c r="C2977">
        <v>0.87448731400749402</v>
      </c>
      <c r="D2977">
        <v>0.74928923733494102</v>
      </c>
      <c r="E2977">
        <v>0.55861699259377096</v>
      </c>
      <c r="F2977">
        <v>0.22441905578326099</v>
      </c>
      <c r="G2977">
        <v>0.10456638264731399</v>
      </c>
      <c r="H2977">
        <v>6.4148214460582095E-2</v>
      </c>
      <c r="I2977">
        <v>4.4235909289888201E-2</v>
      </c>
      <c r="J2977">
        <v>5.8243695637337098E-2</v>
      </c>
      <c r="K2977">
        <v>3.5698351522468898E-2</v>
      </c>
      <c r="L2977">
        <v>688.04818227091005</v>
      </c>
      <c r="M2977">
        <v>14.8194153021907</v>
      </c>
      <c r="N2977">
        <v>46.537092272082702</v>
      </c>
      <c r="O2977">
        <v>45.608003405599099</v>
      </c>
      <c r="P2977">
        <v>-7.9864663186427404E-2</v>
      </c>
      <c r="Q2977">
        <v>1.6943218554067999E-2</v>
      </c>
      <c r="R2977">
        <v>0.99281747071163995</v>
      </c>
      <c r="S2977" t="s">
        <v>9545</v>
      </c>
      <c r="T2977" t="s">
        <v>13134</v>
      </c>
      <c r="U2977" t="s">
        <v>13134</v>
      </c>
      <c r="V2977" t="s">
        <v>13134</v>
      </c>
      <c r="W2977" t="s">
        <v>16059</v>
      </c>
      <c r="X2977">
        <v>4</v>
      </c>
      <c r="Y2977" t="s">
        <v>22489</v>
      </c>
      <c r="Z2977" t="s">
        <v>28945</v>
      </c>
      <c r="AA2977">
        <v>0.34884533169736259</v>
      </c>
      <c r="AB2977" t="str">
        <f>HYPERLINK("Melting_Curves/meltCurve_P60604_2_UBE2G2.pdf", "Melting_Curves/meltCurve_P60604_2_UBE2G2.pdf")</f>
        <v>Melting_Curves/meltCurve_P60604_2_UBE2G2.pdf</v>
      </c>
    </row>
    <row r="2978" spans="1:28" x14ac:dyDescent="0.25">
      <c r="A2978" t="s">
        <v>2982</v>
      </c>
      <c r="B2978">
        <v>0.99472303558308395</v>
      </c>
      <c r="C2978">
        <v>0.94166417843990902</v>
      </c>
      <c r="D2978">
        <v>0.98375159641815502</v>
      </c>
      <c r="E2978">
        <v>0.93535449593555997</v>
      </c>
      <c r="F2978">
        <v>0.75072292350853398</v>
      </c>
      <c r="G2978">
        <v>0.41198873046673801</v>
      </c>
      <c r="H2978">
        <v>0.22977190483260801</v>
      </c>
      <c r="I2978">
        <v>0.199103119352805</v>
      </c>
      <c r="J2978">
        <v>0.29000351599948299</v>
      </c>
      <c r="K2978">
        <v>0.207360494468665</v>
      </c>
      <c r="L2978">
        <v>1431.3303763850899</v>
      </c>
      <c r="M2978">
        <v>27.791703903919</v>
      </c>
      <c r="N2978">
        <v>52.597946509186897</v>
      </c>
      <c r="O2978">
        <v>51.237634003477503</v>
      </c>
      <c r="P2978">
        <v>-0.105800166287042</v>
      </c>
      <c r="Q2978">
        <v>0.21978122407496001</v>
      </c>
      <c r="R2978">
        <v>0.99034049607388497</v>
      </c>
      <c r="S2978" t="s">
        <v>9546</v>
      </c>
      <c r="T2978" t="s">
        <v>13134</v>
      </c>
      <c r="U2978" t="s">
        <v>13134</v>
      </c>
      <c r="V2978" t="s">
        <v>13134</v>
      </c>
      <c r="W2978" t="s">
        <v>16060</v>
      </c>
      <c r="X2978">
        <v>38</v>
      </c>
      <c r="Y2978" t="s">
        <v>19989</v>
      </c>
      <c r="Z2978" t="s">
        <v>28946</v>
      </c>
      <c r="AA2978">
        <v>0.60260693468185644</v>
      </c>
      <c r="AB2978" t="str">
        <f>HYPERLINK("Melting_Curves/meltCurve_P60709_ACTB.pdf", "Melting_Curves/meltCurve_P60709_ACTB.pdf")</f>
        <v>Melting_Curves/meltCurve_P60709_ACTB.pdf</v>
      </c>
    </row>
    <row r="2979" spans="1:28" x14ac:dyDescent="0.25">
      <c r="A2979" t="s">
        <v>2983</v>
      </c>
      <c r="B2979">
        <v>0.99472303558308395</v>
      </c>
      <c r="C2979">
        <v>1.0654340881703701</v>
      </c>
      <c r="D2979">
        <v>0.98017717824592299</v>
      </c>
      <c r="E2979">
        <v>0.84202251917198401</v>
      </c>
      <c r="F2979">
        <v>0.65472282813581195</v>
      </c>
      <c r="G2979">
        <v>0.52586935491783005</v>
      </c>
      <c r="H2979">
        <v>0.29571537878771498</v>
      </c>
      <c r="I2979">
        <v>0.18004194242614699</v>
      </c>
      <c r="J2979">
        <v>0.103634989933163</v>
      </c>
      <c r="K2979">
        <v>7.8011568487640404E-2</v>
      </c>
      <c r="L2979">
        <v>660.88303300137795</v>
      </c>
      <c r="M2979">
        <v>12.350616117567</v>
      </c>
      <c r="N2979">
        <v>53.510126046849997</v>
      </c>
      <c r="O2979">
        <v>52.1653496118915</v>
      </c>
      <c r="P2979">
        <v>-5.9202538577841197E-2</v>
      </c>
      <c r="Q2979">
        <v>0</v>
      </c>
      <c r="R2979">
        <v>0.99196111323591596</v>
      </c>
      <c r="S2979" t="s">
        <v>9547</v>
      </c>
      <c r="T2979" t="s">
        <v>13134</v>
      </c>
      <c r="U2979" t="s">
        <v>13134</v>
      </c>
      <c r="V2979" t="s">
        <v>13134</v>
      </c>
      <c r="W2979" t="s">
        <v>16061</v>
      </c>
      <c r="X2979">
        <v>10</v>
      </c>
      <c r="Y2979" t="s">
        <v>22490</v>
      </c>
      <c r="Z2979" t="s">
        <v>28947</v>
      </c>
      <c r="AA2979">
        <v>0.56965000844649372</v>
      </c>
      <c r="AB2979" t="str">
        <f>HYPERLINK("Melting_Curves/meltCurve_P60763_RAC3.pdf", "Melting_Curves/meltCurve_P60763_RAC3.pdf")</f>
        <v>Melting_Curves/meltCurve_P60763_RAC3.pdf</v>
      </c>
    </row>
    <row r="2980" spans="1:28" x14ac:dyDescent="0.25">
      <c r="A2980" t="s">
        <v>2984</v>
      </c>
      <c r="B2980">
        <v>0.99472303558308395</v>
      </c>
      <c r="C2980">
        <v>0.96227071887548099</v>
      </c>
      <c r="D2980">
        <v>0.96829466215034099</v>
      </c>
      <c r="E2980">
        <v>0.81501809790145796</v>
      </c>
      <c r="F2980">
        <v>0.467590648577621</v>
      </c>
      <c r="G2980">
        <v>0.17123230057271999</v>
      </c>
      <c r="H2980">
        <v>6.9542513999597502E-2</v>
      </c>
      <c r="I2980">
        <v>4.1830509540483E-2</v>
      </c>
      <c r="J2980">
        <v>4.2699848637585601E-2</v>
      </c>
      <c r="K2980">
        <v>3.4122038267537097E-2</v>
      </c>
      <c r="L2980">
        <v>1103.8583334162299</v>
      </c>
      <c r="M2980">
        <v>22.2153457820543</v>
      </c>
      <c r="N2980">
        <v>49.820219771399699</v>
      </c>
      <c r="O2980">
        <v>49.291630230729403</v>
      </c>
      <c r="P2980">
        <v>-0.10947359722532</v>
      </c>
      <c r="Q2980">
        <v>2.8416493867368699E-2</v>
      </c>
      <c r="R2980">
        <v>0.99917467603894405</v>
      </c>
      <c r="S2980" t="s">
        <v>9548</v>
      </c>
      <c r="T2980" t="s">
        <v>13134</v>
      </c>
      <c r="U2980" t="s">
        <v>13134</v>
      </c>
      <c r="V2980" t="s">
        <v>13134</v>
      </c>
      <c r="W2980" t="s">
        <v>16062</v>
      </c>
      <c r="X2980">
        <v>30</v>
      </c>
      <c r="Y2980" t="s">
        <v>22491</v>
      </c>
      <c r="Z2980" t="s">
        <v>28948</v>
      </c>
      <c r="AA2980">
        <v>0.44994495231529058</v>
      </c>
      <c r="AB2980" t="str">
        <f>HYPERLINK("Melting_Curves/meltCurve_P60842_EIF4A1.pdf", "Melting_Curves/meltCurve_P60842_EIF4A1.pdf")</f>
        <v>Melting_Curves/meltCurve_P60842_EIF4A1.pdf</v>
      </c>
    </row>
    <row r="2981" spans="1:28" x14ac:dyDescent="0.25">
      <c r="A2981" t="s">
        <v>2985</v>
      </c>
      <c r="B2981">
        <v>0.99472303558308395</v>
      </c>
      <c r="C2981">
        <v>0.94498535971326902</v>
      </c>
      <c r="D2981">
        <v>1.0822484313670699</v>
      </c>
      <c r="E2981">
        <v>0.88712993330845802</v>
      </c>
      <c r="F2981">
        <v>0.62567512564183303</v>
      </c>
      <c r="G2981">
        <v>0.33103696183189601</v>
      </c>
      <c r="H2981">
        <v>0.15026516804388801</v>
      </c>
      <c r="I2981">
        <v>9.4167585784014504E-2</v>
      </c>
      <c r="J2981">
        <v>7.6774720803614693E-2</v>
      </c>
      <c r="K2981">
        <v>7.9917110534610605E-2</v>
      </c>
      <c r="L2981">
        <v>1095.9623572017799</v>
      </c>
      <c r="M2981">
        <v>21.386978794683401</v>
      </c>
      <c r="N2981">
        <v>51.6009971165414</v>
      </c>
      <c r="O2981">
        <v>50.802657288527399</v>
      </c>
      <c r="P2981">
        <v>-9.8017268043254502E-2</v>
      </c>
      <c r="Q2981">
        <v>6.8701721542373806E-2</v>
      </c>
      <c r="R2981">
        <v>0.99198203254471995</v>
      </c>
      <c r="S2981" t="s">
        <v>9549</v>
      </c>
      <c r="T2981" t="s">
        <v>13134</v>
      </c>
      <c r="U2981" t="s">
        <v>13134</v>
      </c>
      <c r="V2981" t="s">
        <v>13134</v>
      </c>
      <c r="W2981" t="s">
        <v>16063</v>
      </c>
      <c r="X2981">
        <v>11</v>
      </c>
      <c r="Y2981" t="s">
        <v>22492</v>
      </c>
      <c r="Z2981" t="s">
        <v>28949</v>
      </c>
      <c r="AA2981">
        <v>0.52176181878795957</v>
      </c>
      <c r="AB2981" t="str">
        <f>HYPERLINK("Melting_Curves/meltCurve_P60866_RPS20.pdf", "Melting_Curves/meltCurve_P60866_RPS20.pdf")</f>
        <v>Melting_Curves/meltCurve_P60866_RPS20.pdf</v>
      </c>
    </row>
    <row r="2982" spans="1:28" x14ac:dyDescent="0.25">
      <c r="A2982" t="s">
        <v>2986</v>
      </c>
      <c r="B2982">
        <v>0.99472303558308395</v>
      </c>
      <c r="C2982">
        <v>0.92957795072285299</v>
      </c>
      <c r="D2982">
        <v>0.93306129881382904</v>
      </c>
      <c r="E2982">
        <v>0.83755040332258102</v>
      </c>
      <c r="F2982">
        <v>0.88146897449469996</v>
      </c>
      <c r="G2982">
        <v>0.55645469667834901</v>
      </c>
      <c r="H2982">
        <v>0.41246832901715502</v>
      </c>
      <c r="I2982">
        <v>0.331588121449929</v>
      </c>
      <c r="J2982">
        <v>0.33610069744917298</v>
      </c>
      <c r="K2982">
        <v>0.19176011637003401</v>
      </c>
      <c r="L2982">
        <v>622.82839159497803</v>
      </c>
      <c r="M2982">
        <v>11.4201115660484</v>
      </c>
      <c r="N2982">
        <v>56.101012862180198</v>
      </c>
      <c r="O2982">
        <v>52.945924276546897</v>
      </c>
      <c r="P2982">
        <v>-4.6588854349302503E-2</v>
      </c>
      <c r="Q2982">
        <v>0.13627115195529699</v>
      </c>
      <c r="R2982">
        <v>0.96462470519724597</v>
      </c>
      <c r="S2982" t="s">
        <v>9550</v>
      </c>
      <c r="T2982" t="s">
        <v>13134</v>
      </c>
      <c r="U2982" t="s">
        <v>13134</v>
      </c>
      <c r="V2982" t="s">
        <v>13134</v>
      </c>
      <c r="W2982" t="s">
        <v>16064</v>
      </c>
      <c r="X2982">
        <v>17</v>
      </c>
      <c r="Y2982" t="s">
        <v>22493</v>
      </c>
      <c r="Z2982" t="s">
        <v>28950</v>
      </c>
      <c r="AA2982">
        <v>0.65488729786521882</v>
      </c>
      <c r="AB2982" t="str">
        <f>HYPERLINK("Melting_Curves/meltCurve_P60891_PRPS1.pdf", "Melting_Curves/meltCurve_P60891_PRPS1.pdf")</f>
        <v>Melting_Curves/meltCurve_P60891_PRPS1.pdf</v>
      </c>
    </row>
    <row r="2983" spans="1:28" x14ac:dyDescent="0.25">
      <c r="A2983" t="s">
        <v>2987</v>
      </c>
      <c r="B2983">
        <v>0.99472303558308395</v>
      </c>
      <c r="C2983">
        <v>0.97224139629147699</v>
      </c>
      <c r="D2983">
        <v>0.70006360503916798</v>
      </c>
      <c r="E2983">
        <v>0.67465096118563495</v>
      </c>
      <c r="F2983">
        <v>0.55606921569223899</v>
      </c>
      <c r="G2983">
        <v>0.43436646033634801</v>
      </c>
      <c r="H2983">
        <v>0.81143483546343198</v>
      </c>
      <c r="I2983">
        <v>1.4429270974683901</v>
      </c>
      <c r="J2983">
        <v>2.8052863547637799</v>
      </c>
      <c r="K2983">
        <v>1.6265280028706799</v>
      </c>
      <c r="L2983">
        <v>15000</v>
      </c>
      <c r="M2983">
        <v>247.950882814571</v>
      </c>
      <c r="O2983">
        <v>60.491896316551703</v>
      </c>
      <c r="P2983">
        <v>0.51236366744538397</v>
      </c>
      <c r="Q2983">
        <v>1.5</v>
      </c>
      <c r="R2983">
        <v>0.45051910074436002</v>
      </c>
      <c r="S2983" t="s">
        <v>9551</v>
      </c>
      <c r="T2983" t="s">
        <v>13134</v>
      </c>
      <c r="U2983" t="s">
        <v>13134</v>
      </c>
      <c r="V2983" t="s">
        <v>13134</v>
      </c>
      <c r="W2983" t="s">
        <v>16065</v>
      </c>
      <c r="X2983">
        <v>1</v>
      </c>
      <c r="Y2983" t="s">
        <v>22494</v>
      </c>
      <c r="Z2983" t="s">
        <v>28951</v>
      </c>
      <c r="AA2983">
        <v>1.1083484947503941</v>
      </c>
      <c r="AB2983" t="str">
        <f>HYPERLINK("Melting_Curves/meltCurve_P60896_SHFM1.pdf", "Melting_Curves/meltCurve_P60896_SHFM1.pdf")</f>
        <v>Melting_Curves/meltCurve_P60896_SHFM1.pdf</v>
      </c>
    </row>
    <row r="2984" spans="1:28" x14ac:dyDescent="0.25">
      <c r="A2984" t="s">
        <v>2988</v>
      </c>
      <c r="B2984">
        <v>0.99472303558308395</v>
      </c>
      <c r="C2984">
        <v>1.0207016389232599</v>
      </c>
      <c r="D2984">
        <v>1.0153043163661499</v>
      </c>
      <c r="E2984">
        <v>0.95428260558488698</v>
      </c>
      <c r="F2984">
        <v>0.74310139864026004</v>
      </c>
      <c r="G2984">
        <v>0.61950107384682296</v>
      </c>
      <c r="H2984">
        <v>0.51389594783097903</v>
      </c>
      <c r="I2984">
        <v>0.64208858611910402</v>
      </c>
      <c r="J2984">
        <v>0.762790499543061</v>
      </c>
      <c r="K2984">
        <v>0.59962807760436099</v>
      </c>
      <c r="L2984">
        <v>2044.38433164359</v>
      </c>
      <c r="M2984">
        <v>41.609070833365699</v>
      </c>
      <c r="O2984">
        <v>49.020073582814497</v>
      </c>
      <c r="P2984">
        <v>-7.9277280990943305E-2</v>
      </c>
      <c r="Q2984">
        <v>0.62641125330688496</v>
      </c>
      <c r="R2984">
        <v>0.90094600264276803</v>
      </c>
      <c r="S2984" t="s">
        <v>9552</v>
      </c>
      <c r="T2984" t="s">
        <v>13134</v>
      </c>
      <c r="U2984" t="s">
        <v>13134</v>
      </c>
      <c r="V2984" t="s">
        <v>13134</v>
      </c>
      <c r="W2984" t="s">
        <v>16066</v>
      </c>
      <c r="X2984">
        <v>10</v>
      </c>
      <c r="Y2984" t="s">
        <v>22495</v>
      </c>
      <c r="Z2984" t="s">
        <v>28952</v>
      </c>
      <c r="AA2984">
        <v>0.77867641537072818</v>
      </c>
      <c r="AB2984" t="str">
        <f>HYPERLINK("Melting_Curves/meltCurve_P60953_CDC42.pdf", "Melting_Curves/meltCurve_P60953_CDC42.pdf")</f>
        <v>Melting_Curves/meltCurve_P60953_CDC42.pdf</v>
      </c>
    </row>
    <row r="2985" spans="1:28" x14ac:dyDescent="0.25">
      <c r="A2985" t="s">
        <v>2989</v>
      </c>
      <c r="B2985">
        <v>0.99472303558308395</v>
      </c>
      <c r="C2985">
        <v>0.96778977970856594</v>
      </c>
      <c r="D2985">
        <v>0.99322687205384796</v>
      </c>
      <c r="E2985">
        <v>0.86279476152280099</v>
      </c>
      <c r="F2985">
        <v>0.54592902725224302</v>
      </c>
      <c r="G2985">
        <v>0.272584411628846</v>
      </c>
      <c r="H2985">
        <v>9.0031410462003997E-2</v>
      </c>
      <c r="I2985">
        <v>5.6569434247873703E-2</v>
      </c>
      <c r="J2985">
        <v>5.1548270348181199E-2</v>
      </c>
      <c r="K2985">
        <v>4.3143640029383999E-2</v>
      </c>
      <c r="L2985">
        <v>1047.3374916584</v>
      </c>
      <c r="M2985">
        <v>20.694903175224098</v>
      </c>
      <c r="N2985">
        <v>50.775264583094298</v>
      </c>
      <c r="O2985">
        <v>50.143035080153403</v>
      </c>
      <c r="P2985">
        <v>-9.9791790366729693E-2</v>
      </c>
      <c r="Q2985">
        <v>3.2859270471378599E-2</v>
      </c>
      <c r="R2985">
        <v>0.99870528056768804</v>
      </c>
      <c r="S2985" t="s">
        <v>9553</v>
      </c>
      <c r="T2985" t="s">
        <v>13134</v>
      </c>
      <c r="U2985" t="s">
        <v>13134</v>
      </c>
      <c r="V2985" t="s">
        <v>13134</v>
      </c>
      <c r="W2985" t="s">
        <v>16067</v>
      </c>
      <c r="X2985">
        <v>15</v>
      </c>
      <c r="Y2985" t="s">
        <v>22496</v>
      </c>
      <c r="Z2985" t="s">
        <v>28953</v>
      </c>
      <c r="AA2985">
        <v>0.48354761401051488</v>
      </c>
      <c r="AB2985" t="str">
        <f>HYPERLINK("Melting_Curves/meltCurve_P60981_DSTN.pdf", "Melting_Curves/meltCurve_P60981_DSTN.pdf")</f>
        <v>Melting_Curves/meltCurve_P60981_DSTN.pdf</v>
      </c>
    </row>
    <row r="2986" spans="1:28" x14ac:dyDescent="0.25">
      <c r="A2986" t="s">
        <v>2990</v>
      </c>
      <c r="B2986">
        <v>0.99472303558308395</v>
      </c>
      <c r="C2986">
        <v>1.0181324132966401</v>
      </c>
      <c r="D2986">
        <v>1.0262254136425799</v>
      </c>
      <c r="E2986">
        <v>0.88651535322905095</v>
      </c>
      <c r="F2986">
        <v>0.64236403033588196</v>
      </c>
      <c r="G2986">
        <v>0.52390006921278098</v>
      </c>
      <c r="H2986">
        <v>0.40918648603095698</v>
      </c>
      <c r="I2986">
        <v>0.34280623862009901</v>
      </c>
      <c r="J2986">
        <v>0.32471054307668701</v>
      </c>
      <c r="K2986">
        <v>0.22528361946855399</v>
      </c>
      <c r="L2986">
        <v>781.502688492375</v>
      </c>
      <c r="M2986">
        <v>15.214867138632099</v>
      </c>
      <c r="N2986">
        <v>54.010649073221401</v>
      </c>
      <c r="O2986">
        <v>50.501624867139597</v>
      </c>
      <c r="P2986">
        <v>-5.5534833848440303E-2</v>
      </c>
      <c r="Q2986">
        <v>0.262739303104499</v>
      </c>
      <c r="R2986">
        <v>0.98567293769827702</v>
      </c>
      <c r="S2986" t="s">
        <v>9554</v>
      </c>
      <c r="T2986" t="s">
        <v>13134</v>
      </c>
      <c r="U2986" t="s">
        <v>13134</v>
      </c>
      <c r="V2986" t="s">
        <v>13134</v>
      </c>
      <c r="W2986" t="s">
        <v>16068</v>
      </c>
      <c r="X2986">
        <v>7</v>
      </c>
      <c r="Y2986" t="s">
        <v>22497</v>
      </c>
      <c r="Z2986" t="s">
        <v>28954</v>
      </c>
      <c r="AA2986">
        <v>0.63008590601954106</v>
      </c>
      <c r="AB2986" t="str">
        <f>HYPERLINK("Melting_Curves/meltCurve_P60983_GMFB.pdf", "Melting_Curves/meltCurve_P60983_GMFB.pdf")</f>
        <v>Melting_Curves/meltCurve_P60983_GMFB.pdf</v>
      </c>
    </row>
    <row r="2987" spans="1:28" x14ac:dyDescent="0.25">
      <c r="A2987" t="s">
        <v>2991</v>
      </c>
      <c r="B2987">
        <v>0.99472303558308395</v>
      </c>
      <c r="C2987">
        <v>0.92526690488812302</v>
      </c>
      <c r="D2987">
        <v>0.99937891827662495</v>
      </c>
      <c r="E2987">
        <v>0.87410048927904604</v>
      </c>
      <c r="F2987">
        <v>0.62058935882774002</v>
      </c>
      <c r="G2987">
        <v>0.536695293262615</v>
      </c>
      <c r="H2987">
        <v>0.395528145893774</v>
      </c>
      <c r="I2987">
        <v>0.46445741613552899</v>
      </c>
      <c r="J2987">
        <v>0.511449688142946</v>
      </c>
      <c r="K2987">
        <v>0.36651230564013099</v>
      </c>
      <c r="L2987">
        <v>1144.61129758274</v>
      </c>
      <c r="M2987">
        <v>23.375441473181301</v>
      </c>
      <c r="N2987">
        <v>53.640720427901798</v>
      </c>
      <c r="O2987">
        <v>48.6122473612999</v>
      </c>
      <c r="P2987">
        <v>-6.7947436186933802E-2</v>
      </c>
      <c r="Q2987">
        <v>0.434787945624663</v>
      </c>
      <c r="R2987">
        <v>0.96219871396071799</v>
      </c>
      <c r="S2987" t="s">
        <v>9555</v>
      </c>
      <c r="T2987" t="s">
        <v>13134</v>
      </c>
      <c r="U2987" t="s">
        <v>13134</v>
      </c>
      <c r="V2987" t="s">
        <v>13134</v>
      </c>
      <c r="W2987" t="s">
        <v>16069</v>
      </c>
      <c r="X2987">
        <v>13</v>
      </c>
      <c r="Y2987" t="s">
        <v>22498</v>
      </c>
      <c r="Z2987" t="s">
        <v>28955</v>
      </c>
      <c r="AA2987">
        <v>0.66579838455235318</v>
      </c>
      <c r="AB2987" t="str">
        <f>HYPERLINK("Melting_Curves/meltCurve_P61006_RAB8A.pdf", "Melting_Curves/meltCurve_P61006_RAB8A.pdf")</f>
        <v>Melting_Curves/meltCurve_P61006_RAB8A.pdf</v>
      </c>
    </row>
    <row r="2988" spans="1:28" x14ac:dyDescent="0.25">
      <c r="A2988" t="s">
        <v>2992</v>
      </c>
      <c r="B2988">
        <v>0.99472303558308395</v>
      </c>
      <c r="C2988">
        <v>0.93892246104307997</v>
      </c>
      <c r="D2988">
        <v>0.846996285143234</v>
      </c>
      <c r="E2988">
        <v>0.81081384090256203</v>
      </c>
      <c r="F2988">
        <v>0.66952230460094897</v>
      </c>
      <c r="G2988">
        <v>0.29493796080698098</v>
      </c>
      <c r="H2988">
        <v>6.0430249714323599E-2</v>
      </c>
      <c r="I2988">
        <v>2.9229149164531499E-2</v>
      </c>
      <c r="J2988">
        <v>3.4149860339746103E-2</v>
      </c>
      <c r="K2988">
        <v>2.3043908373048299E-2</v>
      </c>
      <c r="L2988">
        <v>918.42345541564703</v>
      </c>
      <c r="M2988">
        <v>17.924245120498</v>
      </c>
      <c r="N2988">
        <v>51.239170820904697</v>
      </c>
      <c r="O2988">
        <v>50.614143485027803</v>
      </c>
      <c r="P2988">
        <v>-8.8538191270417593E-2</v>
      </c>
      <c r="Q2988">
        <v>0</v>
      </c>
      <c r="R2988">
        <v>0.98018671084077402</v>
      </c>
      <c r="S2988" t="s">
        <v>9556</v>
      </c>
      <c r="T2988" t="s">
        <v>13134</v>
      </c>
      <c r="U2988" t="s">
        <v>13134</v>
      </c>
      <c r="V2988" t="s">
        <v>13134</v>
      </c>
      <c r="W2988" t="s">
        <v>16070</v>
      </c>
      <c r="X2988">
        <v>4</v>
      </c>
      <c r="Y2988" t="s">
        <v>22499</v>
      </c>
      <c r="Z2988" t="s">
        <v>28956</v>
      </c>
      <c r="AA2988">
        <v>0.49016897580796009</v>
      </c>
      <c r="AB2988" t="str">
        <f>HYPERLINK("Melting_Curves/meltCurve_P61009_SPCS3.pdf", "Melting_Curves/meltCurve_P61009_SPCS3.pdf")</f>
        <v>Melting_Curves/meltCurve_P61009_SPCS3.pdf</v>
      </c>
    </row>
    <row r="2989" spans="1:28" x14ac:dyDescent="0.25">
      <c r="A2989" t="s">
        <v>2993</v>
      </c>
      <c r="B2989">
        <v>0.99472303558308395</v>
      </c>
      <c r="C2989">
        <v>0.90372110799093897</v>
      </c>
      <c r="D2989">
        <v>0.87293973646109202</v>
      </c>
      <c r="E2989">
        <v>0.74433290421364895</v>
      </c>
      <c r="F2989">
        <v>0.42918710937881199</v>
      </c>
      <c r="G2989">
        <v>0.143288685234334</v>
      </c>
      <c r="H2989">
        <v>5.3066747311965298E-2</v>
      </c>
      <c r="I2989">
        <v>3.4749584967243202E-2</v>
      </c>
      <c r="J2989">
        <v>5.5517101491115703E-2</v>
      </c>
      <c r="K2989">
        <v>2.54674121068992E-2</v>
      </c>
      <c r="L2989">
        <v>852.12173665549699</v>
      </c>
      <c r="M2989">
        <v>17.3752644678613</v>
      </c>
      <c r="N2989">
        <v>49.077661966631702</v>
      </c>
      <c r="O2989">
        <v>48.406442950891503</v>
      </c>
      <c r="P2989">
        <v>-8.9182246223366901E-2</v>
      </c>
      <c r="Q2989">
        <v>6.2308342463540198E-3</v>
      </c>
      <c r="R2989">
        <v>0.99132445541381997</v>
      </c>
      <c r="S2989" t="s">
        <v>9557</v>
      </c>
      <c r="T2989" t="s">
        <v>13134</v>
      </c>
      <c r="U2989" t="s">
        <v>13134</v>
      </c>
      <c r="V2989" t="s">
        <v>13134</v>
      </c>
      <c r="W2989" t="s">
        <v>16071</v>
      </c>
      <c r="X2989">
        <v>21</v>
      </c>
      <c r="Y2989" t="s">
        <v>22500</v>
      </c>
      <c r="Z2989" t="s">
        <v>28957</v>
      </c>
      <c r="AA2989">
        <v>0.42192415999136601</v>
      </c>
      <c r="AB2989" t="str">
        <f>HYPERLINK("Melting_Curves/meltCurve_P61011_SRP54.pdf", "Melting_Curves/meltCurve_P61011_SRP54.pdf")</f>
        <v>Melting_Curves/meltCurve_P61011_SRP54.pdf</v>
      </c>
    </row>
    <row r="2990" spans="1:28" x14ac:dyDescent="0.25">
      <c r="A2990" t="s">
        <v>2994</v>
      </c>
      <c r="B2990">
        <v>0.99472303558308395</v>
      </c>
      <c r="C2990">
        <v>1.0393923531323299</v>
      </c>
      <c r="D2990">
        <v>0.92657428328011904</v>
      </c>
      <c r="E2990">
        <v>0.872639917654912</v>
      </c>
      <c r="F2990">
        <v>0.77693462889701204</v>
      </c>
      <c r="G2990">
        <v>0.54041896633916198</v>
      </c>
      <c r="H2990">
        <v>0.435860914819791</v>
      </c>
      <c r="I2990">
        <v>0.454518538272776</v>
      </c>
      <c r="J2990">
        <v>0.54896864754123498</v>
      </c>
      <c r="K2990">
        <v>0.32465758086267998</v>
      </c>
      <c r="L2990">
        <v>871.742662475521</v>
      </c>
      <c r="M2990">
        <v>17.204052283164401</v>
      </c>
      <c r="N2990">
        <v>56.2682318811964</v>
      </c>
      <c r="O2990">
        <v>50.001010889776097</v>
      </c>
      <c r="P2990">
        <v>-5.0780089187581597E-2</v>
      </c>
      <c r="Q2990">
        <v>0.40969566725498602</v>
      </c>
      <c r="R2990">
        <v>0.94412584613510298</v>
      </c>
      <c r="S2990" t="s">
        <v>9558</v>
      </c>
      <c r="T2990" t="s">
        <v>13134</v>
      </c>
      <c r="U2990" t="s">
        <v>13134</v>
      </c>
      <c r="V2990" t="s">
        <v>13134</v>
      </c>
      <c r="W2990" t="s">
        <v>16072</v>
      </c>
      <c r="X2990">
        <v>5</v>
      </c>
      <c r="Y2990" t="s">
        <v>22501</v>
      </c>
      <c r="Z2990" t="s">
        <v>28958</v>
      </c>
      <c r="AA2990">
        <v>0.68857541455214155</v>
      </c>
      <c r="AB2990" t="str">
        <f>HYPERLINK("Melting_Curves/meltCurve_P61018_RAB4B.pdf", "Melting_Curves/meltCurve_P61018_RAB4B.pdf")</f>
        <v>Melting_Curves/meltCurve_P61018_RAB4B.pdf</v>
      </c>
    </row>
    <row r="2991" spans="1:28" x14ac:dyDescent="0.25">
      <c r="A2991" t="s">
        <v>2995</v>
      </c>
      <c r="B2991">
        <v>0.99472303558308395</v>
      </c>
      <c r="C2991">
        <v>0.97223451839820596</v>
      </c>
      <c r="D2991">
        <v>0.96352720723916796</v>
      </c>
      <c r="E2991">
        <v>0.90923117248019003</v>
      </c>
      <c r="F2991">
        <v>0.74197082564712102</v>
      </c>
      <c r="G2991">
        <v>0.61448756699370699</v>
      </c>
      <c r="H2991">
        <v>0.58644118130296397</v>
      </c>
      <c r="I2991">
        <v>0.63477345497788495</v>
      </c>
      <c r="J2991">
        <v>0.79016581554558396</v>
      </c>
      <c r="K2991">
        <v>0.52679646935358204</v>
      </c>
      <c r="L2991">
        <v>1412.0304976975899</v>
      </c>
      <c r="M2991">
        <v>29.1472314844466</v>
      </c>
      <c r="O2991">
        <v>48.218415106062501</v>
      </c>
      <c r="P2991">
        <v>-5.62094751022129E-2</v>
      </c>
      <c r="Q2991">
        <v>0.62805205962147004</v>
      </c>
      <c r="R2991">
        <v>0.85455980209522597</v>
      </c>
      <c r="S2991" t="s">
        <v>9559</v>
      </c>
      <c r="T2991" t="s">
        <v>13134</v>
      </c>
      <c r="U2991" t="s">
        <v>13134</v>
      </c>
      <c r="V2991" t="s">
        <v>13134</v>
      </c>
      <c r="W2991" t="s">
        <v>16073</v>
      </c>
      <c r="X2991">
        <v>16</v>
      </c>
      <c r="Y2991" t="s">
        <v>22502</v>
      </c>
      <c r="Z2991" t="s">
        <v>28959</v>
      </c>
      <c r="AA2991">
        <v>0.77230010474906974</v>
      </c>
      <c r="AB2991" t="str">
        <f>HYPERLINK("Melting_Curves/meltCurve_P61019_RAB2A.pdf", "Melting_Curves/meltCurve_P61019_RAB2A.pdf")</f>
        <v>Melting_Curves/meltCurve_P61019_RAB2A.pdf</v>
      </c>
    </row>
    <row r="2992" spans="1:28" x14ac:dyDescent="0.25">
      <c r="A2992" t="s">
        <v>2996</v>
      </c>
      <c r="B2992">
        <v>0.99472303558308395</v>
      </c>
      <c r="C2992">
        <v>1.04168174658679</v>
      </c>
      <c r="D2992">
        <v>1.0080463502577801</v>
      </c>
      <c r="E2992">
        <v>0.94573674721349898</v>
      </c>
      <c r="F2992">
        <v>0.79979771979778802</v>
      </c>
      <c r="G2992">
        <v>0.60438676593442597</v>
      </c>
      <c r="H2992">
        <v>0.52903202307432795</v>
      </c>
      <c r="I2992">
        <v>0.55085829606932701</v>
      </c>
      <c r="J2992">
        <v>0.60688639880624995</v>
      </c>
      <c r="K2992">
        <v>0.495721993703645</v>
      </c>
      <c r="L2992">
        <v>1477.3001393994</v>
      </c>
      <c r="M2992">
        <v>29.249507678030401</v>
      </c>
      <c r="O2992">
        <v>50.272521298310203</v>
      </c>
      <c r="P2992">
        <v>-6.6695479760948501E-2</v>
      </c>
      <c r="Q2992">
        <v>0.54147253450853405</v>
      </c>
      <c r="R2992">
        <v>0.97920659545590405</v>
      </c>
      <c r="S2992" t="s">
        <v>9560</v>
      </c>
      <c r="T2992" t="s">
        <v>13134</v>
      </c>
      <c r="U2992" t="s">
        <v>13134</v>
      </c>
      <c r="V2992" t="s">
        <v>13134</v>
      </c>
      <c r="W2992" t="s">
        <v>16074</v>
      </c>
      <c r="X2992">
        <v>7</v>
      </c>
      <c r="Y2992" t="s">
        <v>22503</v>
      </c>
      <c r="Z2992" t="s">
        <v>28960</v>
      </c>
      <c r="AA2992">
        <v>0.75089470266905189</v>
      </c>
      <c r="AB2992" t="str">
        <f>HYPERLINK("Melting_Curves/meltCurve_P61020_RAB5B.pdf", "Melting_Curves/meltCurve_P61020_RAB5B.pdf")</f>
        <v>Melting_Curves/meltCurve_P61020_RAB5B.pdf</v>
      </c>
    </row>
    <row r="2993" spans="1:28" x14ac:dyDescent="0.25">
      <c r="A2993" t="s">
        <v>2997</v>
      </c>
      <c r="B2993">
        <v>0.99472303558308395</v>
      </c>
      <c r="C2993">
        <v>0.98611740697753902</v>
      </c>
      <c r="D2993">
        <v>1.0441309389875999</v>
      </c>
      <c r="E2993">
        <v>0.90028340972562004</v>
      </c>
      <c r="F2993">
        <v>0.62861563417202104</v>
      </c>
      <c r="G2993">
        <v>0.54081332022822004</v>
      </c>
      <c r="H2993">
        <v>0.47446087763574202</v>
      </c>
      <c r="I2993">
        <v>0.51954932126671005</v>
      </c>
      <c r="J2993">
        <v>0.65188506268403701</v>
      </c>
      <c r="K2993">
        <v>0.473362441762532</v>
      </c>
      <c r="L2993">
        <v>1823.8909258981701</v>
      </c>
      <c r="M2993">
        <v>37.7331122975799</v>
      </c>
      <c r="O2993">
        <v>48.201450669238703</v>
      </c>
      <c r="P2993">
        <v>-9.1899911071717494E-2</v>
      </c>
      <c r="Q2993">
        <v>0.53041801748613604</v>
      </c>
      <c r="R2993">
        <v>0.95097278899091897</v>
      </c>
      <c r="S2993" t="s">
        <v>9561</v>
      </c>
      <c r="T2993" t="s">
        <v>13134</v>
      </c>
      <c r="U2993" t="s">
        <v>13134</v>
      </c>
      <c r="V2993" t="s">
        <v>13134</v>
      </c>
      <c r="W2993" t="s">
        <v>16075</v>
      </c>
      <c r="X2993">
        <v>15</v>
      </c>
      <c r="Y2993" t="s">
        <v>22504</v>
      </c>
      <c r="Z2993" t="s">
        <v>28961</v>
      </c>
      <c r="AA2993">
        <v>0.70963158346846988</v>
      </c>
      <c r="AB2993" t="str">
        <f>HYPERLINK("Melting_Curves/meltCurve_P61026_RAB10.pdf", "Melting_Curves/meltCurve_P61026_RAB10.pdf")</f>
        <v>Melting_Curves/meltCurve_P61026_RAB10.pdf</v>
      </c>
    </row>
    <row r="2994" spans="1:28" x14ac:dyDescent="0.25">
      <c r="A2994" t="s">
        <v>2998</v>
      </c>
      <c r="B2994">
        <v>0.99472303558308395</v>
      </c>
      <c r="C2994">
        <v>1.0020012077857201</v>
      </c>
      <c r="D2994">
        <v>1.02513897536805</v>
      </c>
      <c r="E2994">
        <v>0.90672502466265203</v>
      </c>
      <c r="F2994">
        <v>0.653741233002609</v>
      </c>
      <c r="G2994">
        <v>0.262126981538647</v>
      </c>
      <c r="H2994">
        <v>0.118420007612056</v>
      </c>
      <c r="I2994">
        <v>5.9405466184809998E-2</v>
      </c>
      <c r="J2994">
        <v>7.5924095895942706E-2</v>
      </c>
      <c r="K2994">
        <v>6.0496792618219698E-2</v>
      </c>
      <c r="L2994">
        <v>1303.00727785243</v>
      </c>
      <c r="M2994">
        <v>25.4603619826357</v>
      </c>
      <c r="N2994">
        <v>51.426745067026303</v>
      </c>
      <c r="O2994">
        <v>50.865310468117002</v>
      </c>
      <c r="P2994">
        <v>-0.11788471233236</v>
      </c>
      <c r="Q2994">
        <v>5.7960817705579398E-2</v>
      </c>
      <c r="R2994">
        <v>0.99878777901758597</v>
      </c>
      <c r="S2994" t="s">
        <v>9562</v>
      </c>
      <c r="T2994" t="s">
        <v>13134</v>
      </c>
      <c r="U2994" t="s">
        <v>13134</v>
      </c>
      <c r="V2994" t="s">
        <v>13134</v>
      </c>
      <c r="W2994" t="s">
        <v>16076</v>
      </c>
      <c r="X2994">
        <v>5</v>
      </c>
      <c r="Y2994" t="s">
        <v>22505</v>
      </c>
      <c r="Z2994" t="s">
        <v>28962</v>
      </c>
      <c r="AA2994">
        <v>0.51120849781961564</v>
      </c>
      <c r="AB2994" t="str">
        <f>HYPERLINK("Melting_Curves/meltCurve_P61077_UBE2D3.pdf", "Melting_Curves/meltCurve_P61077_UBE2D3.pdf")</f>
        <v>Melting_Curves/meltCurve_P61077_UBE2D3.pdf</v>
      </c>
    </row>
    <row r="2995" spans="1:28" x14ac:dyDescent="0.25">
      <c r="A2995" t="s">
        <v>2999</v>
      </c>
      <c r="B2995">
        <v>0.99472303558308395</v>
      </c>
      <c r="C2995">
        <v>0.88536941555113702</v>
      </c>
      <c r="D2995">
        <v>1.0113365206420499</v>
      </c>
      <c r="E2995">
        <v>0.90043890553624195</v>
      </c>
      <c r="F2995">
        <v>0.53121830719782404</v>
      </c>
      <c r="G2995">
        <v>0.133218450228793</v>
      </c>
      <c r="H2995">
        <v>6.5538823172598806E-2</v>
      </c>
      <c r="I2995">
        <v>3.56065609078869E-2</v>
      </c>
      <c r="J2995">
        <v>3.87729837058284E-2</v>
      </c>
      <c r="K2995">
        <v>3.3607243780870398E-2</v>
      </c>
      <c r="L2995">
        <v>1510.9620711212999</v>
      </c>
      <c r="M2995">
        <v>30.081971929847398</v>
      </c>
      <c r="N2995">
        <v>50.3446604573681</v>
      </c>
      <c r="O2995">
        <v>50.007745232292699</v>
      </c>
      <c r="P2995">
        <v>-0.14533108411897899</v>
      </c>
      <c r="Q2995">
        <v>3.3622515664441903E-2</v>
      </c>
      <c r="R2995">
        <v>0.99205287556852195</v>
      </c>
      <c r="S2995" t="s">
        <v>9563</v>
      </c>
      <c r="T2995" t="s">
        <v>13134</v>
      </c>
      <c r="U2995" t="s">
        <v>13134</v>
      </c>
      <c r="V2995" t="s">
        <v>13134</v>
      </c>
      <c r="W2995" t="s">
        <v>16077</v>
      </c>
      <c r="X2995">
        <v>11</v>
      </c>
      <c r="Y2995" t="s">
        <v>22506</v>
      </c>
      <c r="Z2995" t="s">
        <v>28963</v>
      </c>
      <c r="AA2995">
        <v>0.4656549582056988</v>
      </c>
      <c r="AB2995" t="str">
        <f>HYPERLINK("Melting_Curves/meltCurve_P61081_UBE2M.pdf", "Melting_Curves/meltCurve_P61081_UBE2M.pdf")</f>
        <v>Melting_Curves/meltCurve_P61081_UBE2M.pdf</v>
      </c>
    </row>
    <row r="2996" spans="1:28" x14ac:dyDescent="0.25">
      <c r="A2996" t="s">
        <v>3000</v>
      </c>
      <c r="B2996">
        <v>0.99472303558308395</v>
      </c>
      <c r="C2996">
        <v>0.981727152248143</v>
      </c>
      <c r="D2996">
        <v>1.0721288541790499</v>
      </c>
      <c r="E2996">
        <v>0.98218367693112996</v>
      </c>
      <c r="F2996">
        <v>0.73408102611180004</v>
      </c>
      <c r="G2996">
        <v>0.42732263149173599</v>
      </c>
      <c r="H2996">
        <v>0.106288749604209</v>
      </c>
      <c r="I2996">
        <v>6.9262487958813901E-2</v>
      </c>
      <c r="J2996">
        <v>7.3361434263325503E-2</v>
      </c>
      <c r="K2996">
        <v>5.5132249187647503E-2</v>
      </c>
      <c r="L2996">
        <v>1293.7903139535499</v>
      </c>
      <c r="M2996">
        <v>24.6297105686326</v>
      </c>
      <c r="N2996">
        <v>52.727132946898799</v>
      </c>
      <c r="O2996">
        <v>52.1870441582277</v>
      </c>
      <c r="P2996">
        <v>-0.112790948114821</v>
      </c>
      <c r="Q2996">
        <v>4.40582406836681E-2</v>
      </c>
      <c r="R2996">
        <v>0.99345199090508196</v>
      </c>
      <c r="S2996" t="s">
        <v>9564</v>
      </c>
      <c r="T2996" t="s">
        <v>13134</v>
      </c>
      <c r="U2996" t="s">
        <v>13134</v>
      </c>
      <c r="V2996" t="s">
        <v>13134</v>
      </c>
      <c r="W2996" t="s">
        <v>16078</v>
      </c>
      <c r="X2996">
        <v>13</v>
      </c>
      <c r="Y2996" t="s">
        <v>22507</v>
      </c>
      <c r="Z2996" t="s">
        <v>28964</v>
      </c>
      <c r="AA2996">
        <v>0.54759674062188834</v>
      </c>
      <c r="AB2996" t="str">
        <f>HYPERLINK("Melting_Curves/meltCurve_P61086_UBE2K.pdf", "Melting_Curves/meltCurve_P61086_UBE2K.pdf")</f>
        <v>Melting_Curves/meltCurve_P61086_UBE2K.pdf</v>
      </c>
    </row>
    <row r="2997" spans="1:28" x14ac:dyDescent="0.25">
      <c r="A2997" t="s">
        <v>3001</v>
      </c>
      <c r="B2997">
        <v>0.99472303558308395</v>
      </c>
      <c r="C2997">
        <v>0.98421597755475099</v>
      </c>
      <c r="D2997">
        <v>1.05410857084968</v>
      </c>
      <c r="E2997">
        <v>0.97068668152614701</v>
      </c>
      <c r="F2997">
        <v>0.74649824177769597</v>
      </c>
      <c r="G2997">
        <v>0.362182419153116</v>
      </c>
      <c r="H2997">
        <v>8.5249824095931501E-2</v>
      </c>
      <c r="I2997">
        <v>5.7997116860725E-2</v>
      </c>
      <c r="J2997">
        <v>5.2469237030537901E-2</v>
      </c>
      <c r="K2997">
        <v>4.7492299058207101E-2</v>
      </c>
      <c r="L2997">
        <v>1414.2389097519999</v>
      </c>
      <c r="M2997">
        <v>27.062943386585602</v>
      </c>
      <c r="N2997">
        <v>52.408545254423501</v>
      </c>
      <c r="O2997">
        <v>51.974562975299499</v>
      </c>
      <c r="P2997">
        <v>-0.12528799627046999</v>
      </c>
      <c r="Q2997">
        <v>3.75437203582717E-2</v>
      </c>
      <c r="R2997">
        <v>0.99714466588075101</v>
      </c>
      <c r="S2997" t="s">
        <v>9565</v>
      </c>
      <c r="T2997" t="s">
        <v>13134</v>
      </c>
      <c r="U2997" t="s">
        <v>13134</v>
      </c>
      <c r="V2997" t="s">
        <v>13134</v>
      </c>
      <c r="W2997" t="s">
        <v>16079</v>
      </c>
      <c r="X2997">
        <v>12</v>
      </c>
      <c r="Y2997" t="s">
        <v>22508</v>
      </c>
      <c r="Z2997" t="s">
        <v>28965</v>
      </c>
      <c r="AA2997">
        <v>0.53441617686760601</v>
      </c>
      <c r="AB2997" t="str">
        <f>HYPERLINK("Melting_Curves/meltCurve_P61088_UBE2N.pdf", "Melting_Curves/meltCurve_P61088_UBE2N.pdf")</f>
        <v>Melting_Curves/meltCurve_P61088_UBE2N.pdf</v>
      </c>
    </row>
    <row r="2998" spans="1:28" x14ac:dyDescent="0.25">
      <c r="A2998" t="s">
        <v>3002</v>
      </c>
      <c r="B2998">
        <v>0.99472303558308395</v>
      </c>
      <c r="C2998">
        <v>0.99772072805984902</v>
      </c>
      <c r="D2998">
        <v>0.94278825509778597</v>
      </c>
      <c r="E2998">
        <v>0.89953097238038404</v>
      </c>
      <c r="F2998">
        <v>0.71896065063340397</v>
      </c>
      <c r="G2998">
        <v>0.55065471492359397</v>
      </c>
      <c r="H2998">
        <v>0.459419632881016</v>
      </c>
      <c r="I2998">
        <v>0.46618817011938501</v>
      </c>
      <c r="J2998">
        <v>0.48586899078783102</v>
      </c>
      <c r="K2998">
        <v>0.28639712604099499</v>
      </c>
      <c r="L2998">
        <v>742.01874465918695</v>
      </c>
      <c r="M2998">
        <v>14.534491080252</v>
      </c>
      <c r="N2998">
        <v>56.213127493860803</v>
      </c>
      <c r="O2998">
        <v>50.115025669171203</v>
      </c>
      <c r="P2998">
        <v>-4.5804065360987599E-2</v>
      </c>
      <c r="Q2998">
        <v>0.36834103963624298</v>
      </c>
      <c r="R2998">
        <v>0.96566648862134197</v>
      </c>
      <c r="S2998" t="s">
        <v>9566</v>
      </c>
      <c r="T2998" t="s">
        <v>13134</v>
      </c>
      <c r="U2998" t="s">
        <v>13134</v>
      </c>
      <c r="V2998" t="s">
        <v>13134</v>
      </c>
      <c r="W2998" t="s">
        <v>16080</v>
      </c>
      <c r="X2998">
        <v>18</v>
      </c>
      <c r="Y2998" t="s">
        <v>22509</v>
      </c>
      <c r="Z2998" t="s">
        <v>28966</v>
      </c>
      <c r="AA2998">
        <v>0.67742547298116329</v>
      </c>
      <c r="AB2998" t="str">
        <f>HYPERLINK("Melting_Curves/meltCurve_P61106_RAB14.pdf", "Melting_Curves/meltCurve_P61106_RAB14.pdf")</f>
        <v>Melting_Curves/meltCurve_P61106_RAB14.pdf</v>
      </c>
    </row>
    <row r="2999" spans="1:28" x14ac:dyDescent="0.25">
      <c r="A2999" t="s">
        <v>3003</v>
      </c>
      <c r="B2999">
        <v>0.99472303558308395</v>
      </c>
      <c r="C2999">
        <v>0.59852931246000596</v>
      </c>
      <c r="D2999">
        <v>1.11565223763716</v>
      </c>
      <c r="E2999">
        <v>0.71072914220347805</v>
      </c>
      <c r="F2999">
        <v>0.289456454109915</v>
      </c>
      <c r="G2999">
        <v>0.36984963509325403</v>
      </c>
      <c r="H2999">
        <v>0.30153678702451497</v>
      </c>
      <c r="I2999">
        <v>0.16646019943854901</v>
      </c>
      <c r="J2999">
        <v>0.24445449569810199</v>
      </c>
      <c r="K2999">
        <v>0.12887594750717901</v>
      </c>
      <c r="L2999">
        <v>2443.3110332316201</v>
      </c>
      <c r="M2999">
        <v>51.915612273242402</v>
      </c>
      <c r="N2999">
        <v>47.680659365338201</v>
      </c>
      <c r="O2999">
        <v>46.993452395152403</v>
      </c>
      <c r="P2999">
        <v>-0.20858796258329099</v>
      </c>
      <c r="Q2999">
        <v>0.244754255517277</v>
      </c>
      <c r="R2999">
        <v>0.80378964402362296</v>
      </c>
      <c r="S2999" t="s">
        <v>9567</v>
      </c>
      <c r="T2999" t="s">
        <v>13134</v>
      </c>
      <c r="U2999" t="s">
        <v>13134</v>
      </c>
      <c r="V2999" t="s">
        <v>13134</v>
      </c>
      <c r="W2999" t="s">
        <v>16081</v>
      </c>
      <c r="X2999">
        <v>1</v>
      </c>
      <c r="Y2999" t="s">
        <v>22510</v>
      </c>
      <c r="Z2999" t="s">
        <v>28967</v>
      </c>
      <c r="AA2999">
        <v>0.49954574939062119</v>
      </c>
      <c r="AB2999" t="str">
        <f>HYPERLINK("Melting_Curves/meltCurve_P61129_ZC3H6.pdf", "Melting_Curves/meltCurve_P61129_ZC3H6.pdf")</f>
        <v>Melting_Curves/meltCurve_P61129_ZC3H6.pdf</v>
      </c>
    </row>
    <row r="3000" spans="1:28" x14ac:dyDescent="0.25">
      <c r="A3000" t="s">
        <v>3004</v>
      </c>
      <c r="B3000">
        <v>0.99472303558308395</v>
      </c>
      <c r="C3000">
        <v>0.95568730678324199</v>
      </c>
      <c r="D3000">
        <v>0.88681164556647896</v>
      </c>
      <c r="E3000">
        <v>0.84722332261233702</v>
      </c>
      <c r="F3000">
        <v>0.87272471425902298</v>
      </c>
      <c r="G3000">
        <v>0.54260960979594697</v>
      </c>
      <c r="H3000">
        <v>0.32216176786661699</v>
      </c>
      <c r="I3000">
        <v>0.178425256420324</v>
      </c>
      <c r="J3000">
        <v>0.12873571129657699</v>
      </c>
      <c r="K3000">
        <v>0.109518578846362</v>
      </c>
      <c r="L3000">
        <v>812.61750338001002</v>
      </c>
      <c r="M3000">
        <v>14.946154575778699</v>
      </c>
      <c r="N3000">
        <v>54.648116449305498</v>
      </c>
      <c r="O3000">
        <v>53.4242124630033</v>
      </c>
      <c r="P3000">
        <v>-6.7383552339838101E-2</v>
      </c>
      <c r="Q3000">
        <v>3.6663408280197998E-2</v>
      </c>
      <c r="R3000">
        <v>0.97878957495079</v>
      </c>
      <c r="S3000" t="s">
        <v>9568</v>
      </c>
      <c r="T3000" t="s">
        <v>13134</v>
      </c>
      <c r="U3000" t="s">
        <v>13134</v>
      </c>
      <c r="V3000" t="s">
        <v>13134</v>
      </c>
      <c r="W3000" t="s">
        <v>16082</v>
      </c>
      <c r="X3000">
        <v>22</v>
      </c>
      <c r="Y3000" t="s">
        <v>22511</v>
      </c>
      <c r="Z3000" t="s">
        <v>28968</v>
      </c>
      <c r="AA3000">
        <v>0.60936867937256722</v>
      </c>
      <c r="AB3000" t="str">
        <f>HYPERLINK("Melting_Curves/meltCurve_P61158_ACTR3.pdf", "Melting_Curves/meltCurve_P61158_ACTR3.pdf")</f>
        <v>Melting_Curves/meltCurve_P61158_ACTR3.pdf</v>
      </c>
    </row>
    <row r="3001" spans="1:28" x14ac:dyDescent="0.25">
      <c r="A3001" t="s">
        <v>3005</v>
      </c>
      <c r="B3001">
        <v>0.99472303558308395</v>
      </c>
      <c r="C3001">
        <v>0.95841039501824499</v>
      </c>
      <c r="D3001">
        <v>0.87334192384337905</v>
      </c>
      <c r="E3001">
        <v>0.77878080137511896</v>
      </c>
      <c r="F3001">
        <v>0.69695953647571496</v>
      </c>
      <c r="G3001">
        <v>0.409919897468212</v>
      </c>
      <c r="H3001">
        <v>0.23506549140959099</v>
      </c>
      <c r="I3001">
        <v>0.137339750092075</v>
      </c>
      <c r="J3001">
        <v>0.103473325702627</v>
      </c>
      <c r="K3001">
        <v>7.9840783284643904E-2</v>
      </c>
      <c r="L3001">
        <v>615.907540792845</v>
      </c>
      <c r="M3001">
        <v>11.774133177192599</v>
      </c>
      <c r="N3001">
        <v>52.3102237338761</v>
      </c>
      <c r="O3001">
        <v>50.869664704083803</v>
      </c>
      <c r="P3001">
        <v>-5.7879230149979699E-2</v>
      </c>
      <c r="Q3001">
        <v>0</v>
      </c>
      <c r="R3001">
        <v>0.99112228480952902</v>
      </c>
      <c r="S3001" t="s">
        <v>9569</v>
      </c>
      <c r="T3001" t="s">
        <v>13134</v>
      </c>
      <c r="U3001" t="s">
        <v>13134</v>
      </c>
      <c r="V3001" t="s">
        <v>13134</v>
      </c>
      <c r="W3001" t="s">
        <v>16083</v>
      </c>
      <c r="X3001">
        <v>18</v>
      </c>
      <c r="Y3001" t="s">
        <v>22512</v>
      </c>
      <c r="Z3001" t="s">
        <v>28969</v>
      </c>
      <c r="AA3001">
        <v>0.53361754116513693</v>
      </c>
      <c r="AB3001" t="str">
        <f>HYPERLINK("Melting_Curves/meltCurve_P61160_ACTR2.pdf", "Melting_Curves/meltCurve_P61160_ACTR2.pdf")</f>
        <v>Melting_Curves/meltCurve_P61160_ACTR2.pdf</v>
      </c>
    </row>
    <row r="3002" spans="1:28" x14ac:dyDescent="0.25">
      <c r="A3002" t="s">
        <v>3006</v>
      </c>
      <c r="B3002">
        <v>0.99472303558308395</v>
      </c>
      <c r="C3002">
        <v>0.843422011596073</v>
      </c>
      <c r="D3002">
        <v>0.71002900745550801</v>
      </c>
      <c r="E3002">
        <v>0.59535314710986398</v>
      </c>
      <c r="F3002">
        <v>0.70584776042589403</v>
      </c>
      <c r="G3002">
        <v>0.36458263775035799</v>
      </c>
      <c r="H3002">
        <v>0.25025671583658299</v>
      </c>
      <c r="I3002">
        <v>0.22068081915264001</v>
      </c>
      <c r="J3002">
        <v>0.15134931173152999</v>
      </c>
      <c r="K3002">
        <v>9.9315080720273494E-2</v>
      </c>
      <c r="L3002">
        <v>378.07634496174597</v>
      </c>
      <c r="M3002">
        <v>7.47775955572006</v>
      </c>
      <c r="N3002">
        <v>50.560109453098299</v>
      </c>
      <c r="O3002">
        <v>47.322849610870101</v>
      </c>
      <c r="P3002">
        <v>-3.9561393008167502E-2</v>
      </c>
      <c r="Q3002">
        <v>0</v>
      </c>
      <c r="R3002">
        <v>0.93865156633525204</v>
      </c>
      <c r="S3002" t="s">
        <v>9570</v>
      </c>
      <c r="T3002" t="s">
        <v>13134</v>
      </c>
      <c r="U3002" t="s">
        <v>13134</v>
      </c>
      <c r="V3002" t="s">
        <v>13134</v>
      </c>
      <c r="W3002" t="s">
        <v>16084</v>
      </c>
      <c r="X3002">
        <v>12</v>
      </c>
      <c r="Y3002" t="s">
        <v>22513</v>
      </c>
      <c r="Z3002" t="s">
        <v>28970</v>
      </c>
      <c r="AA3002">
        <v>0.49086952330975009</v>
      </c>
      <c r="AB3002" t="str">
        <f>HYPERLINK("Melting_Curves/meltCurve_P61163_ACTR1A.pdf", "Melting_Curves/meltCurve_P61163_ACTR1A.pdf")</f>
        <v>Melting_Curves/meltCurve_P61163_ACTR1A.pdf</v>
      </c>
    </row>
    <row r="3003" spans="1:28" x14ac:dyDescent="0.25">
      <c r="A3003" t="s">
        <v>3007</v>
      </c>
      <c r="B3003">
        <v>0.99472303558308395</v>
      </c>
      <c r="C3003">
        <v>0.95231305045202097</v>
      </c>
      <c r="D3003">
        <v>0.82150939771810705</v>
      </c>
      <c r="E3003">
        <v>0.75721813377585501</v>
      </c>
      <c r="F3003">
        <v>0.68776058907672299</v>
      </c>
      <c r="G3003">
        <v>0.31421858380769202</v>
      </c>
      <c r="H3003">
        <v>0.103096142212453</v>
      </c>
      <c r="I3003">
        <v>7.84071789515558E-2</v>
      </c>
      <c r="J3003">
        <v>9.6821392887967705E-2</v>
      </c>
      <c r="K3003">
        <v>0.10460103182604499</v>
      </c>
      <c r="L3003">
        <v>690.09145913251996</v>
      </c>
      <c r="M3003">
        <v>13.521512266353</v>
      </c>
      <c r="N3003">
        <v>51.1266845279564</v>
      </c>
      <c r="O3003">
        <v>49.959054061192298</v>
      </c>
      <c r="P3003">
        <v>-6.6876257848286796E-2</v>
      </c>
      <c r="Q3003">
        <v>1.1776731691467699E-2</v>
      </c>
      <c r="R3003">
        <v>0.96877864619210297</v>
      </c>
      <c r="S3003" t="s">
        <v>9571</v>
      </c>
      <c r="T3003" t="s">
        <v>13134</v>
      </c>
      <c r="U3003" t="s">
        <v>13134</v>
      </c>
      <c r="V3003" t="s">
        <v>13134</v>
      </c>
      <c r="W3003" t="s">
        <v>16085</v>
      </c>
      <c r="X3003">
        <v>18</v>
      </c>
      <c r="Y3003" t="s">
        <v>22514</v>
      </c>
      <c r="Z3003" t="s">
        <v>28971</v>
      </c>
      <c r="AA3003">
        <v>0.4967217110557221</v>
      </c>
      <c r="AB3003" t="str">
        <f>HYPERLINK("Melting_Curves/meltCurve_P61201_COPS2.pdf", "Melting_Curves/meltCurve_P61201_COPS2.pdf")</f>
        <v>Melting_Curves/meltCurve_P61201_COPS2.pdf</v>
      </c>
    </row>
    <row r="3004" spans="1:28" x14ac:dyDescent="0.25">
      <c r="A3004" t="s">
        <v>3008</v>
      </c>
      <c r="B3004">
        <v>0.99472303558308395</v>
      </c>
      <c r="C3004">
        <v>0.97982999865341902</v>
      </c>
      <c r="D3004">
        <v>0.88756073582845396</v>
      </c>
      <c r="E3004">
        <v>0.69458870519794602</v>
      </c>
      <c r="F3004">
        <v>0.61235583914134595</v>
      </c>
      <c r="G3004">
        <v>0.662096548726124</v>
      </c>
      <c r="H3004">
        <v>0.325251794702694</v>
      </c>
      <c r="I3004">
        <v>0.39639505935707098</v>
      </c>
      <c r="J3004">
        <v>0.43407469455890602</v>
      </c>
      <c r="K3004">
        <v>0.36818532391532099</v>
      </c>
      <c r="L3004">
        <v>524.61540102898198</v>
      </c>
      <c r="M3004">
        <v>10.734601254778701</v>
      </c>
      <c r="N3004">
        <v>54.681663847219397</v>
      </c>
      <c r="O3004">
        <v>47.267020028596001</v>
      </c>
      <c r="P3004">
        <v>-3.7475621025563399E-2</v>
      </c>
      <c r="Q3004">
        <v>0.34018801398180198</v>
      </c>
      <c r="R3004">
        <v>0.92471958171045998</v>
      </c>
      <c r="S3004" t="s">
        <v>9572</v>
      </c>
      <c r="T3004" t="s">
        <v>13134</v>
      </c>
      <c r="U3004" t="s">
        <v>13134</v>
      </c>
      <c r="V3004" t="s">
        <v>13134</v>
      </c>
      <c r="W3004" t="s">
        <v>16086</v>
      </c>
      <c r="X3004">
        <v>4</v>
      </c>
      <c r="Y3004" t="s">
        <v>22515</v>
      </c>
      <c r="Z3004" t="s">
        <v>28972</v>
      </c>
      <c r="AA3004">
        <v>0.62406101506018075</v>
      </c>
      <c r="AB3004" t="str">
        <f>HYPERLINK("Melting_Curves/meltCurve_P61218_POLR2F.pdf", "Melting_Curves/meltCurve_P61218_POLR2F.pdf")</f>
        <v>Melting_Curves/meltCurve_P61218_POLR2F.pdf</v>
      </c>
    </row>
    <row r="3005" spans="1:28" x14ac:dyDescent="0.25">
      <c r="A3005" t="s">
        <v>3009</v>
      </c>
      <c r="B3005">
        <v>0.99472303558308395</v>
      </c>
      <c r="C3005">
        <v>0.92107509638146201</v>
      </c>
      <c r="D3005">
        <v>1.0012120065673999</v>
      </c>
      <c r="E3005">
        <v>0.88923816088032803</v>
      </c>
      <c r="F3005">
        <v>0.72150570937223202</v>
      </c>
      <c r="G3005">
        <v>0.61990407802758796</v>
      </c>
      <c r="H3005">
        <v>0.57533770607573498</v>
      </c>
      <c r="I3005">
        <v>0.59828175320957999</v>
      </c>
      <c r="J3005">
        <v>0.56840429477196097</v>
      </c>
      <c r="K3005">
        <v>0.18268283791313</v>
      </c>
      <c r="L3005">
        <v>371.37824500051499</v>
      </c>
      <c r="M3005">
        <v>6.1146200746244599</v>
      </c>
      <c r="N3005">
        <v>60.736111218012503</v>
      </c>
      <c r="O3005">
        <v>55.201494518865204</v>
      </c>
      <c r="P3005">
        <v>-2.7776088692126898E-2</v>
      </c>
      <c r="Q3005">
        <v>0</v>
      </c>
      <c r="R3005">
        <v>0.85984897276735694</v>
      </c>
      <c r="S3005" t="s">
        <v>9573</v>
      </c>
      <c r="T3005" t="s">
        <v>13134</v>
      </c>
      <c r="U3005" t="s">
        <v>13134</v>
      </c>
      <c r="V3005" t="s">
        <v>13134</v>
      </c>
      <c r="W3005" t="s">
        <v>16087</v>
      </c>
      <c r="X3005">
        <v>35</v>
      </c>
      <c r="Y3005" t="s">
        <v>22516</v>
      </c>
      <c r="Z3005" t="s">
        <v>28973</v>
      </c>
      <c r="AA3005">
        <v>0.71264907260727561</v>
      </c>
      <c r="AB3005" t="str">
        <f>HYPERLINK("Melting_Curves/meltCurve_P61221_ABCE1.pdf", "Melting_Curves/meltCurve_P61221_ABCE1.pdf")</f>
        <v>Melting_Curves/meltCurve_P61221_ABCE1.pdf</v>
      </c>
    </row>
    <row r="3006" spans="1:28" x14ac:dyDescent="0.25">
      <c r="A3006" t="s">
        <v>3010</v>
      </c>
      <c r="B3006">
        <v>0.99472303558308395</v>
      </c>
      <c r="C3006">
        <v>1.00101742799071</v>
      </c>
      <c r="D3006">
        <v>0.94615620381281196</v>
      </c>
      <c r="E3006">
        <v>0.90199198997810504</v>
      </c>
      <c r="F3006">
        <v>0.76213287319897405</v>
      </c>
      <c r="G3006">
        <v>0.59822442162479705</v>
      </c>
      <c r="H3006">
        <v>0.53305957789264602</v>
      </c>
      <c r="I3006">
        <v>0.59835051542002504</v>
      </c>
      <c r="J3006">
        <v>0.70569334881038404</v>
      </c>
      <c r="K3006">
        <v>0.67107756430872101</v>
      </c>
      <c r="L3006">
        <v>1359.9903884468099</v>
      </c>
      <c r="M3006">
        <v>27.9900376032951</v>
      </c>
      <c r="O3006">
        <v>48.342384083663902</v>
      </c>
      <c r="P3006">
        <v>-5.5024675431555897E-2</v>
      </c>
      <c r="Q3006">
        <v>0.619864557669627</v>
      </c>
      <c r="R3006">
        <v>0.914612004498084</v>
      </c>
      <c r="S3006" t="s">
        <v>9574</v>
      </c>
      <c r="T3006" t="s">
        <v>13134</v>
      </c>
      <c r="U3006" t="s">
        <v>13134</v>
      </c>
      <c r="V3006" t="s">
        <v>13134</v>
      </c>
      <c r="W3006" t="s">
        <v>16088</v>
      </c>
      <c r="X3006">
        <v>18</v>
      </c>
      <c r="Y3006" t="s">
        <v>20300</v>
      </c>
      <c r="Z3006" t="s">
        <v>28974</v>
      </c>
      <c r="AA3006">
        <v>0.76931641930392936</v>
      </c>
      <c r="AB3006" t="str">
        <f>HYPERLINK("Melting_Curves/meltCurve_P61224_RAP1B.pdf", "Melting_Curves/meltCurve_P61224_RAP1B.pdf")</f>
        <v>Melting_Curves/meltCurve_P61224_RAP1B.pdf</v>
      </c>
    </row>
    <row r="3007" spans="1:28" x14ac:dyDescent="0.25">
      <c r="A3007" t="s">
        <v>3011</v>
      </c>
      <c r="B3007">
        <v>0.99472303558308395</v>
      </c>
      <c r="C3007">
        <v>0.933550554142064</v>
      </c>
      <c r="D3007">
        <v>0.877067084708266</v>
      </c>
      <c r="E3007">
        <v>0.82606519761150898</v>
      </c>
      <c r="F3007">
        <v>0.71791168213555501</v>
      </c>
      <c r="G3007">
        <v>0.53385327671305105</v>
      </c>
      <c r="H3007">
        <v>0.47834595137126901</v>
      </c>
      <c r="I3007">
        <v>0.47135284756471602</v>
      </c>
      <c r="J3007">
        <v>0.54952116180482402</v>
      </c>
      <c r="K3007">
        <v>0.37574908717912298</v>
      </c>
      <c r="L3007">
        <v>540.18478585118305</v>
      </c>
      <c r="M3007">
        <v>10.9110313129828</v>
      </c>
      <c r="N3007">
        <v>58.2848655030256</v>
      </c>
      <c r="O3007">
        <v>47.932225978295698</v>
      </c>
      <c r="P3007">
        <v>-3.3969065779721801E-2</v>
      </c>
      <c r="Q3007">
        <v>0.40330243984668301</v>
      </c>
      <c r="R3007">
        <v>0.95317191270386903</v>
      </c>
      <c r="S3007" t="s">
        <v>9575</v>
      </c>
      <c r="T3007" t="s">
        <v>13134</v>
      </c>
      <c r="U3007" t="s">
        <v>13134</v>
      </c>
      <c r="V3007" t="s">
        <v>13134</v>
      </c>
      <c r="W3007" t="s">
        <v>16089</v>
      </c>
      <c r="X3007">
        <v>9</v>
      </c>
      <c r="Y3007" t="s">
        <v>22517</v>
      </c>
      <c r="Z3007" t="s">
        <v>28975</v>
      </c>
      <c r="AA3007">
        <v>0.67137849627914548</v>
      </c>
      <c r="AB3007" t="str">
        <f>HYPERLINK("Melting_Curves/meltCurve_P61225_RAP2B.pdf", "Melting_Curves/meltCurve_P61225_RAP2B.pdf")</f>
        <v>Melting_Curves/meltCurve_P61225_RAP2B.pdf</v>
      </c>
    </row>
    <row r="3008" spans="1:28" x14ac:dyDescent="0.25">
      <c r="A3008" t="s">
        <v>3012</v>
      </c>
      <c r="B3008">
        <v>0.99472303558308395</v>
      </c>
      <c r="C3008">
        <v>1.0519233643674399</v>
      </c>
      <c r="D3008">
        <v>1.00047576601842</v>
      </c>
      <c r="E3008">
        <v>0.906456672227542</v>
      </c>
      <c r="F3008">
        <v>0.65671129442158604</v>
      </c>
      <c r="G3008">
        <v>0.46307980135159799</v>
      </c>
      <c r="H3008">
        <v>0.34702695783374099</v>
      </c>
      <c r="I3008">
        <v>0.30664818727677701</v>
      </c>
      <c r="J3008">
        <v>0.39745692697233498</v>
      </c>
      <c r="K3008">
        <v>0.24009098121265299</v>
      </c>
      <c r="L3008">
        <v>1099.94159674752</v>
      </c>
      <c r="M3008">
        <v>21.811946323380401</v>
      </c>
      <c r="N3008">
        <v>52.728100584972999</v>
      </c>
      <c r="O3008">
        <v>50.0102576852724</v>
      </c>
      <c r="P3008">
        <v>-7.5577378507442602E-2</v>
      </c>
      <c r="Q3008">
        <v>0.30688300964710902</v>
      </c>
      <c r="R3008">
        <v>0.983148318443682</v>
      </c>
      <c r="S3008" t="s">
        <v>9576</v>
      </c>
      <c r="T3008" t="s">
        <v>13134</v>
      </c>
      <c r="U3008" t="s">
        <v>13134</v>
      </c>
      <c r="V3008" t="s">
        <v>13134</v>
      </c>
      <c r="W3008" t="s">
        <v>16090</v>
      </c>
      <c r="X3008">
        <v>4</v>
      </c>
      <c r="Y3008" t="s">
        <v>22518</v>
      </c>
      <c r="Z3008" t="s">
        <v>28976</v>
      </c>
      <c r="AA3008">
        <v>0.62495734056377616</v>
      </c>
      <c r="AB3008" t="str">
        <f>HYPERLINK("Melting_Curves/meltCurve_P61244_2_MAX.pdf", "Melting_Curves/meltCurve_P61244_2_MAX.pdf")</f>
        <v>Melting_Curves/meltCurve_P61244_2_MAX.pdf</v>
      </c>
    </row>
    <row r="3009" spans="1:28" x14ac:dyDescent="0.25">
      <c r="A3009" t="s">
        <v>3013</v>
      </c>
      <c r="B3009">
        <v>0.99472303558308395</v>
      </c>
      <c r="C3009">
        <v>0.92209444284752995</v>
      </c>
      <c r="D3009">
        <v>0.87539556138619601</v>
      </c>
      <c r="E3009">
        <v>0.71323221347551902</v>
      </c>
      <c r="F3009">
        <v>0.71653505504331105</v>
      </c>
      <c r="G3009">
        <v>0.22736172348202599</v>
      </c>
      <c r="H3009">
        <v>0.121969385039652</v>
      </c>
      <c r="I3009">
        <v>9.0255291994178297E-2</v>
      </c>
      <c r="J3009">
        <v>6.4595366057009607E-2</v>
      </c>
      <c r="K3009">
        <v>8.60228126684765E-2</v>
      </c>
      <c r="L3009">
        <v>715.32481412124798</v>
      </c>
      <c r="M3009">
        <v>14.0740338907388</v>
      </c>
      <c r="N3009">
        <v>50.877685217867999</v>
      </c>
      <c r="O3009">
        <v>49.8327351199109</v>
      </c>
      <c r="P3009">
        <v>-7.0112927749322401E-2</v>
      </c>
      <c r="Q3009">
        <v>7.1173204944255299E-3</v>
      </c>
      <c r="R3009">
        <v>0.96205067164807401</v>
      </c>
      <c r="S3009" t="s">
        <v>9577</v>
      </c>
      <c r="T3009" t="s">
        <v>13134</v>
      </c>
      <c r="U3009" t="s">
        <v>13134</v>
      </c>
      <c r="V3009" t="s">
        <v>13134</v>
      </c>
      <c r="W3009" t="s">
        <v>16091</v>
      </c>
      <c r="X3009">
        <v>17</v>
      </c>
      <c r="Y3009" t="s">
        <v>22519</v>
      </c>
      <c r="Z3009" t="s">
        <v>28977</v>
      </c>
      <c r="AA3009">
        <v>0.48656197689024427</v>
      </c>
      <c r="AB3009" t="str">
        <f>HYPERLINK("Melting_Curves/meltCurve_P61247_RPS3A.pdf", "Melting_Curves/meltCurve_P61247_RPS3A.pdf")</f>
        <v>Melting_Curves/meltCurve_P61247_RPS3A.pdf</v>
      </c>
    </row>
    <row r="3010" spans="1:28" x14ac:dyDescent="0.25">
      <c r="A3010" t="s">
        <v>3014</v>
      </c>
      <c r="B3010">
        <v>0.99472303558308395</v>
      </c>
      <c r="C3010">
        <v>0.87672078747647897</v>
      </c>
      <c r="D3010">
        <v>0.92464533189703002</v>
      </c>
      <c r="E3010">
        <v>0.67684300853409896</v>
      </c>
      <c r="F3010">
        <v>0.57045637883217404</v>
      </c>
      <c r="G3010">
        <v>0.28307073116308401</v>
      </c>
      <c r="H3010">
        <v>0.14601059240183401</v>
      </c>
      <c r="I3010">
        <v>8.13021988987849E-2</v>
      </c>
      <c r="J3010">
        <v>7.6131150155579905E-2</v>
      </c>
      <c r="K3010">
        <v>8.2009717700363305E-2</v>
      </c>
      <c r="L3010">
        <v>618.71541648347795</v>
      </c>
      <c r="M3010">
        <v>12.338793405276199</v>
      </c>
      <c r="N3010">
        <v>50.188854484534502</v>
      </c>
      <c r="O3010">
        <v>48.881397705462497</v>
      </c>
      <c r="P3010">
        <v>-6.2772737232477005E-2</v>
      </c>
      <c r="Q3010">
        <v>5.4926250995127697E-3</v>
      </c>
      <c r="R3010">
        <v>0.98560921972680404</v>
      </c>
      <c r="S3010" t="s">
        <v>9578</v>
      </c>
      <c r="T3010" t="s">
        <v>13134</v>
      </c>
      <c r="U3010" t="s">
        <v>13134</v>
      </c>
      <c r="V3010" t="s">
        <v>13134</v>
      </c>
      <c r="W3010" t="s">
        <v>16092</v>
      </c>
      <c r="X3010">
        <v>10</v>
      </c>
      <c r="Y3010" t="s">
        <v>22520</v>
      </c>
      <c r="Z3010" t="s">
        <v>28978</v>
      </c>
      <c r="AA3010">
        <v>0.46791238743568492</v>
      </c>
      <c r="AB3010" t="str">
        <f>HYPERLINK("Melting_Curves/meltCurve_P61254_RPL26.pdf", "Melting_Curves/meltCurve_P61254_RPL26.pdf")</f>
        <v>Melting_Curves/meltCurve_P61254_RPL26.pdf</v>
      </c>
    </row>
    <row r="3011" spans="1:28" x14ac:dyDescent="0.25">
      <c r="A3011" t="s">
        <v>3015</v>
      </c>
      <c r="B3011">
        <v>0.99472303558308395</v>
      </c>
      <c r="C3011">
        <v>0.980804300575294</v>
      </c>
      <c r="D3011">
        <v>0.90949485098982796</v>
      </c>
      <c r="E3011">
        <v>0.87802426015241997</v>
      </c>
      <c r="F3011">
        <v>0.88864716171812097</v>
      </c>
      <c r="G3011">
        <v>0.64886379712136499</v>
      </c>
      <c r="H3011">
        <v>0.50905570510232101</v>
      </c>
      <c r="I3011">
        <v>0.51125575959824798</v>
      </c>
      <c r="J3011">
        <v>0.72103299139810395</v>
      </c>
      <c r="K3011">
        <v>0.76768529600922997</v>
      </c>
      <c r="L3011">
        <v>2408.5895667824102</v>
      </c>
      <c r="M3011">
        <v>47.259587027540697</v>
      </c>
      <c r="O3011">
        <v>50.874096024392401</v>
      </c>
      <c r="P3011">
        <v>-8.6832995698230095E-2</v>
      </c>
      <c r="Q3011">
        <v>0.62610376137074497</v>
      </c>
      <c r="R3011">
        <v>0.72868271376813398</v>
      </c>
      <c r="S3011" t="s">
        <v>9579</v>
      </c>
      <c r="T3011" t="s">
        <v>13134</v>
      </c>
      <c r="U3011" t="s">
        <v>13134</v>
      </c>
      <c r="V3011" t="s">
        <v>13134</v>
      </c>
      <c r="W3011" t="s">
        <v>13266</v>
      </c>
      <c r="X3011">
        <v>20</v>
      </c>
      <c r="Y3011" t="s">
        <v>19757</v>
      </c>
      <c r="Z3011" t="s">
        <v>28979</v>
      </c>
      <c r="AA3011">
        <v>0.80109489736085815</v>
      </c>
      <c r="AB3011" t="str">
        <f>HYPERLINK("Melting_Curves/meltCurve_P61289_PSME3.pdf", "Melting_Curves/meltCurve_P61289_PSME3.pdf")</f>
        <v>Melting_Curves/meltCurve_P61289_PSME3.pdf</v>
      </c>
    </row>
    <row r="3012" spans="1:28" x14ac:dyDescent="0.25">
      <c r="A3012" t="s">
        <v>3016</v>
      </c>
      <c r="B3012">
        <v>0.99472303558308395</v>
      </c>
      <c r="C3012">
        <v>1.00964988709319</v>
      </c>
      <c r="D3012">
        <v>1.0068946950875901</v>
      </c>
      <c r="E3012">
        <v>0.92663941580350795</v>
      </c>
      <c r="F3012">
        <v>0.56381995054720702</v>
      </c>
      <c r="G3012">
        <v>0.199880352558712</v>
      </c>
      <c r="H3012">
        <v>9.6236805854174504E-2</v>
      </c>
      <c r="I3012">
        <v>4.4703200719924299E-2</v>
      </c>
      <c r="J3012">
        <v>4.01059799830112E-2</v>
      </c>
      <c r="K3012">
        <v>3.9955956401446197E-2</v>
      </c>
      <c r="L3012">
        <v>1390.21843874653</v>
      </c>
      <c r="M3012">
        <v>27.486138277484901</v>
      </c>
      <c r="N3012">
        <v>50.745050619894201</v>
      </c>
      <c r="O3012">
        <v>50.313437740844797</v>
      </c>
      <c r="P3012">
        <v>-0.130698339407264</v>
      </c>
      <c r="Q3012">
        <v>4.3034422693707101E-2</v>
      </c>
      <c r="R3012">
        <v>0.99949484878474804</v>
      </c>
      <c r="S3012" t="s">
        <v>9580</v>
      </c>
      <c r="T3012" t="s">
        <v>13134</v>
      </c>
      <c r="U3012" t="s">
        <v>13134</v>
      </c>
      <c r="V3012" t="s">
        <v>13134</v>
      </c>
      <c r="W3012" t="s">
        <v>16093</v>
      </c>
      <c r="X3012">
        <v>12</v>
      </c>
      <c r="Y3012" t="s">
        <v>22521</v>
      </c>
      <c r="Z3012" t="s">
        <v>28980</v>
      </c>
      <c r="AA3012">
        <v>0.48321074047084339</v>
      </c>
      <c r="AB3012" t="str">
        <f>HYPERLINK("Melting_Curves/meltCurve_P61326_MAGOH.pdf", "Melting_Curves/meltCurve_P61326_MAGOH.pdf")</f>
        <v>Melting_Curves/meltCurve_P61326_MAGOH.pdf</v>
      </c>
    </row>
    <row r="3013" spans="1:28" x14ac:dyDescent="0.25">
      <c r="A3013" t="s">
        <v>3017</v>
      </c>
      <c r="B3013">
        <v>0.99472303558308395</v>
      </c>
      <c r="C3013">
        <v>0.85248776013926197</v>
      </c>
      <c r="D3013">
        <v>0.83029310324718597</v>
      </c>
      <c r="E3013">
        <v>0.70878326225594801</v>
      </c>
      <c r="F3013">
        <v>0.65200528339584196</v>
      </c>
      <c r="G3013">
        <v>0.27825644839213798</v>
      </c>
      <c r="H3013">
        <v>0.152581569671246</v>
      </c>
      <c r="I3013">
        <v>0.148833656879726</v>
      </c>
      <c r="J3013">
        <v>6.6316946376950806E-2</v>
      </c>
      <c r="K3013">
        <v>0.115946496442352</v>
      </c>
      <c r="L3013">
        <v>540.723440394406</v>
      </c>
      <c r="M3013">
        <v>10.6978992372463</v>
      </c>
      <c r="N3013">
        <v>50.544823430870203</v>
      </c>
      <c r="O3013">
        <v>48.874682588227898</v>
      </c>
      <c r="P3013">
        <v>-5.4741617812552899E-2</v>
      </c>
      <c r="Q3013">
        <v>0</v>
      </c>
      <c r="R3013">
        <v>0.96588148914662897</v>
      </c>
      <c r="S3013" t="s">
        <v>9581</v>
      </c>
      <c r="T3013" t="s">
        <v>13134</v>
      </c>
      <c r="U3013" t="s">
        <v>13134</v>
      </c>
      <c r="V3013" t="s">
        <v>13134</v>
      </c>
      <c r="W3013" t="s">
        <v>16094</v>
      </c>
      <c r="X3013">
        <v>5</v>
      </c>
      <c r="Y3013" t="s">
        <v>22522</v>
      </c>
      <c r="Z3013" t="s">
        <v>28981</v>
      </c>
      <c r="AA3013">
        <v>0.48173423865956122</v>
      </c>
      <c r="AB3013" t="str">
        <f>HYPERLINK("Melting_Curves/meltCurve_P61353_RPL27.pdf", "Melting_Curves/meltCurve_P61353_RPL27.pdf")</f>
        <v>Melting_Curves/meltCurve_P61353_RPL27.pdf</v>
      </c>
    </row>
    <row r="3014" spans="1:28" x14ac:dyDescent="0.25">
      <c r="A3014" t="s">
        <v>3018</v>
      </c>
      <c r="B3014">
        <v>0.99472303558308395</v>
      </c>
      <c r="C3014">
        <v>0.87458212047344197</v>
      </c>
      <c r="D3014">
        <v>1.0226230102659299</v>
      </c>
      <c r="E3014">
        <v>0.77966856470323098</v>
      </c>
      <c r="F3014">
        <v>0.44388552708139201</v>
      </c>
      <c r="G3014">
        <v>0.34741393391299402</v>
      </c>
      <c r="H3014">
        <v>0.21318533378626001</v>
      </c>
      <c r="I3014">
        <v>0.100304368915414</v>
      </c>
      <c r="J3014">
        <v>7.4978968474275501E-2</v>
      </c>
      <c r="K3014">
        <v>8.5714601315215799E-2</v>
      </c>
      <c r="L3014">
        <v>769.11295855914204</v>
      </c>
      <c r="M3014">
        <v>15.398331395295701</v>
      </c>
      <c r="N3014">
        <v>50.413782153599499</v>
      </c>
      <c r="O3014">
        <v>49.128146520671301</v>
      </c>
      <c r="P3014">
        <v>-7.3167132340984098E-2</v>
      </c>
      <c r="Q3014">
        <v>6.6330541612317703E-2</v>
      </c>
      <c r="R3014">
        <v>0.97796468253908797</v>
      </c>
      <c r="S3014" t="s">
        <v>9582</v>
      </c>
      <c r="T3014" t="s">
        <v>13134</v>
      </c>
      <c r="U3014" t="s">
        <v>13134</v>
      </c>
      <c r="V3014" t="s">
        <v>13134</v>
      </c>
      <c r="W3014" t="s">
        <v>16095</v>
      </c>
      <c r="X3014">
        <v>2</v>
      </c>
      <c r="Y3014" t="s">
        <v>22523</v>
      </c>
      <c r="Z3014" t="s">
        <v>28982</v>
      </c>
      <c r="AA3014">
        <v>0.48810768521571629</v>
      </c>
      <c r="AB3014" t="str">
        <f>HYPERLINK("Melting_Curves/meltCurve_P61457_PCBD1.pdf", "Melting_Curves/meltCurve_P61457_PCBD1.pdf")</f>
        <v>Melting_Curves/meltCurve_P61457_PCBD1.pdf</v>
      </c>
    </row>
    <row r="3015" spans="1:28" x14ac:dyDescent="0.25">
      <c r="A3015" t="s">
        <v>3019</v>
      </c>
      <c r="B3015">
        <v>0.99472303558308395</v>
      </c>
      <c r="C3015">
        <v>0.97700637283628999</v>
      </c>
      <c r="D3015">
        <v>0.97945282941034595</v>
      </c>
      <c r="E3015">
        <v>0.905505989206149</v>
      </c>
      <c r="F3015">
        <v>0.70597537061901705</v>
      </c>
      <c r="G3015">
        <v>0.54641034191232496</v>
      </c>
      <c r="H3015">
        <v>0.42915856428070098</v>
      </c>
      <c r="I3015">
        <v>0.47456423265023001</v>
      </c>
      <c r="J3015">
        <v>0.56802621743551596</v>
      </c>
      <c r="K3015">
        <v>0.43559759583743402</v>
      </c>
      <c r="L3015">
        <v>1252.3531075803601</v>
      </c>
      <c r="M3015">
        <v>25.2508076875522</v>
      </c>
      <c r="N3015">
        <v>56.1749693809655</v>
      </c>
      <c r="O3015">
        <v>49.288613923217902</v>
      </c>
      <c r="P3015">
        <v>-6.7367305978660502E-2</v>
      </c>
      <c r="Q3015">
        <v>0.474013003498367</v>
      </c>
      <c r="R3015">
        <v>0.97181396818937005</v>
      </c>
      <c r="S3015" t="s">
        <v>9583</v>
      </c>
      <c r="T3015" t="s">
        <v>13134</v>
      </c>
      <c r="U3015" t="s">
        <v>13134</v>
      </c>
      <c r="V3015" t="s">
        <v>13134</v>
      </c>
      <c r="W3015" t="s">
        <v>16096</v>
      </c>
      <c r="X3015">
        <v>12</v>
      </c>
      <c r="Y3015" t="s">
        <v>22524</v>
      </c>
      <c r="Z3015" t="s">
        <v>28983</v>
      </c>
      <c r="AA3015">
        <v>0.69935924036586405</v>
      </c>
      <c r="AB3015" t="str">
        <f>HYPERLINK("Melting_Curves/meltCurve_P61586_RHOA.pdf", "Melting_Curves/meltCurve_P61586_RHOA.pdf")</f>
        <v>Melting_Curves/meltCurve_P61586_RHOA.pdf</v>
      </c>
    </row>
    <row r="3016" spans="1:28" x14ac:dyDescent="0.25">
      <c r="A3016" t="s">
        <v>3020</v>
      </c>
      <c r="B3016">
        <v>0.99472303558308395</v>
      </c>
      <c r="C3016">
        <v>0.88101810626098098</v>
      </c>
      <c r="D3016">
        <v>0.957044709392322</v>
      </c>
      <c r="E3016">
        <v>0.85562038431606302</v>
      </c>
      <c r="F3016">
        <v>0.65086731795979702</v>
      </c>
      <c r="G3016">
        <v>0.123761073296328</v>
      </c>
      <c r="H3016">
        <v>6.5620318873982994E-2</v>
      </c>
      <c r="I3016">
        <v>4.2001787552439003E-2</v>
      </c>
      <c r="J3016">
        <v>4.5088525967156803E-2</v>
      </c>
      <c r="K3016">
        <v>2.7240733466528201E-2</v>
      </c>
      <c r="L3016">
        <v>1572.76230172697</v>
      </c>
      <c r="M3016">
        <v>30.9565412093575</v>
      </c>
      <c r="N3016">
        <v>50.902643748647797</v>
      </c>
      <c r="O3016">
        <v>50.594892137528397</v>
      </c>
      <c r="P3016">
        <v>-0.14857575673696499</v>
      </c>
      <c r="Q3016">
        <v>2.86859136652238E-2</v>
      </c>
      <c r="R3016">
        <v>0.98311889102503303</v>
      </c>
      <c r="S3016" t="s">
        <v>9584</v>
      </c>
      <c r="T3016" t="s">
        <v>13134</v>
      </c>
      <c r="U3016" t="s">
        <v>13134</v>
      </c>
      <c r="V3016" t="s">
        <v>13134</v>
      </c>
      <c r="W3016" t="s">
        <v>16097</v>
      </c>
      <c r="X3016">
        <v>4</v>
      </c>
      <c r="Y3016" t="s">
        <v>22525</v>
      </c>
      <c r="Z3016" t="s">
        <v>28984</v>
      </c>
      <c r="AA3016">
        <v>0.48134265404366028</v>
      </c>
      <c r="AB3016" t="str">
        <f>HYPERLINK("Melting_Curves/meltCurve_P61599_NAA20.pdf", "Melting_Curves/meltCurve_P61599_NAA20.pdf")</f>
        <v>Melting_Curves/meltCurve_P61599_NAA20.pdf</v>
      </c>
    </row>
    <row r="3017" spans="1:28" x14ac:dyDescent="0.25">
      <c r="A3017" t="s">
        <v>3021</v>
      </c>
      <c r="B3017">
        <v>0.99472303558308395</v>
      </c>
      <c r="C3017">
        <v>1.16760549948058</v>
      </c>
      <c r="D3017">
        <v>0.96560471679795501</v>
      </c>
      <c r="E3017">
        <v>0.977153641880249</v>
      </c>
      <c r="F3017">
        <v>1.0233429657125599</v>
      </c>
      <c r="G3017">
        <v>0.76330637674792501</v>
      </c>
      <c r="H3017">
        <v>0.68107319356943596</v>
      </c>
      <c r="I3017">
        <v>0.71423979910777002</v>
      </c>
      <c r="J3017">
        <v>1.0985656676715101</v>
      </c>
      <c r="K3017">
        <v>0.70269072797142396</v>
      </c>
      <c r="L3017">
        <v>6207.7967997362903</v>
      </c>
      <c r="M3017">
        <v>119.596312729595</v>
      </c>
      <c r="O3017">
        <v>51.891753576230798</v>
      </c>
      <c r="P3017">
        <v>-0.12009905565883799</v>
      </c>
      <c r="Q3017">
        <v>0.791560476597433</v>
      </c>
      <c r="R3017">
        <v>0.46669280370895899</v>
      </c>
      <c r="S3017" t="s">
        <v>9585</v>
      </c>
      <c r="T3017" t="s">
        <v>13134</v>
      </c>
      <c r="U3017" t="s">
        <v>13134</v>
      </c>
      <c r="V3017" t="s">
        <v>13134</v>
      </c>
      <c r="W3017" t="s">
        <v>16098</v>
      </c>
      <c r="X3017">
        <v>19</v>
      </c>
      <c r="Y3017" t="s">
        <v>22526</v>
      </c>
      <c r="Z3017" t="s">
        <v>28985</v>
      </c>
      <c r="AA3017">
        <v>0.89521193626828244</v>
      </c>
      <c r="AB3017" t="str">
        <f>HYPERLINK("Melting_Curves/meltCurve_P61604_HSPE1.pdf", "Melting_Curves/meltCurve_P61604_HSPE1.pdf")</f>
        <v>Melting_Curves/meltCurve_P61604_HSPE1.pdf</v>
      </c>
    </row>
    <row r="3018" spans="1:28" x14ac:dyDescent="0.25">
      <c r="A3018" t="s">
        <v>3022</v>
      </c>
      <c r="B3018">
        <v>0.99472303558308395</v>
      </c>
      <c r="C3018">
        <v>0.89169986668247703</v>
      </c>
      <c r="D3018">
        <v>1.05840278155238</v>
      </c>
      <c r="E3018">
        <v>0.87539952887792705</v>
      </c>
      <c r="F3018">
        <v>0.68475769589457003</v>
      </c>
      <c r="G3018">
        <v>0.57514878364264799</v>
      </c>
      <c r="H3018">
        <v>0.48331984973594699</v>
      </c>
      <c r="I3018">
        <v>0.36115225637987902</v>
      </c>
      <c r="J3018">
        <v>0.36117452732171301</v>
      </c>
      <c r="K3018">
        <v>0.18723242128421499</v>
      </c>
      <c r="L3018">
        <v>533.97949256603704</v>
      </c>
      <c r="M3018">
        <v>9.7944265494456708</v>
      </c>
      <c r="N3018">
        <v>56.253288568593199</v>
      </c>
      <c r="O3018">
        <v>52.391788845167198</v>
      </c>
      <c r="P3018">
        <v>-4.0666435882079001E-2</v>
      </c>
      <c r="Q3018">
        <v>0.13033568153757</v>
      </c>
      <c r="R3018">
        <v>0.95863054619321697</v>
      </c>
      <c r="S3018" t="s">
        <v>9586</v>
      </c>
      <c r="T3018" t="s">
        <v>13134</v>
      </c>
      <c r="U3018" t="s">
        <v>13134</v>
      </c>
      <c r="V3018" t="s">
        <v>13134</v>
      </c>
      <c r="W3018" t="s">
        <v>16099</v>
      </c>
      <c r="X3018">
        <v>18</v>
      </c>
      <c r="Y3018" t="s">
        <v>22527</v>
      </c>
      <c r="Z3018" t="s">
        <v>28986</v>
      </c>
      <c r="AA3018">
        <v>0.6508766512979528</v>
      </c>
      <c r="AB3018" t="str">
        <f>HYPERLINK("Melting_Curves/meltCurve_P61758_VBP1.pdf", "Melting_Curves/meltCurve_P61758_VBP1.pdf")</f>
        <v>Melting_Curves/meltCurve_P61758_VBP1.pdf</v>
      </c>
    </row>
    <row r="3019" spans="1:28" x14ac:dyDescent="0.25">
      <c r="A3019" t="s">
        <v>3023</v>
      </c>
      <c r="B3019">
        <v>0.99472303558308395</v>
      </c>
      <c r="C3019">
        <v>0.94695772244076903</v>
      </c>
      <c r="D3019">
        <v>1.02049314328878</v>
      </c>
      <c r="E3019">
        <v>0.74896838561587298</v>
      </c>
      <c r="F3019">
        <v>0.190336519533472</v>
      </c>
      <c r="G3019">
        <v>0.12555012226006301</v>
      </c>
      <c r="H3019">
        <v>6.8671816189449203E-2</v>
      </c>
      <c r="I3019">
        <v>6.3339753252941805E-2</v>
      </c>
      <c r="J3019">
        <v>8.5378604345851095E-2</v>
      </c>
      <c r="K3019">
        <v>7.8471554054819898E-2</v>
      </c>
      <c r="L3019">
        <v>1932.25148779449</v>
      </c>
      <c r="M3019">
        <v>40.4751699409452</v>
      </c>
      <c r="N3019">
        <v>47.950315052013799</v>
      </c>
      <c r="O3019">
        <v>47.623070516979602</v>
      </c>
      <c r="P3019">
        <v>-0.19513419610914801</v>
      </c>
      <c r="Q3019">
        <v>8.1622106396001898E-2</v>
      </c>
      <c r="R3019">
        <v>0.99674182227529595</v>
      </c>
      <c r="S3019" t="s">
        <v>9587</v>
      </c>
      <c r="T3019" t="s">
        <v>13134</v>
      </c>
      <c r="U3019" t="s">
        <v>13134</v>
      </c>
      <c r="V3019" t="s">
        <v>13134</v>
      </c>
      <c r="W3019" t="s">
        <v>16100</v>
      </c>
      <c r="X3019">
        <v>20</v>
      </c>
      <c r="Y3019" t="s">
        <v>22528</v>
      </c>
      <c r="Z3019" t="s">
        <v>28987</v>
      </c>
      <c r="AA3019">
        <v>0.41333585273001477</v>
      </c>
      <c r="AB3019" t="str">
        <f>HYPERLINK("Melting_Curves/meltCurve_P61764_STXBP1.pdf", "Melting_Curves/meltCurve_P61764_STXBP1.pdf")</f>
        <v>Melting_Curves/meltCurve_P61764_STXBP1.pdf</v>
      </c>
    </row>
    <row r="3020" spans="1:28" x14ac:dyDescent="0.25">
      <c r="A3020" t="s">
        <v>3024</v>
      </c>
      <c r="B3020">
        <v>0.99472303558308395</v>
      </c>
      <c r="C3020">
        <v>1.0260971898623199</v>
      </c>
      <c r="D3020">
        <v>0.81948548895362805</v>
      </c>
      <c r="E3020">
        <v>0.70784128053009399</v>
      </c>
      <c r="F3020">
        <v>0.55147928728500695</v>
      </c>
      <c r="G3020">
        <v>0.29974063391432498</v>
      </c>
      <c r="H3020">
        <v>0.12941396225689</v>
      </c>
      <c r="I3020">
        <v>8.4314983532381996E-2</v>
      </c>
      <c r="J3020">
        <v>8.0752377014151305E-2</v>
      </c>
      <c r="K3020">
        <v>5.5687485087100801E-2</v>
      </c>
      <c r="L3020">
        <v>623.05829279373495</v>
      </c>
      <c r="M3020">
        <v>12.4195970130063</v>
      </c>
      <c r="N3020">
        <v>50.167358237768298</v>
      </c>
      <c r="O3020">
        <v>48.919955830391999</v>
      </c>
      <c r="P3020">
        <v>-6.3482362230447203E-2</v>
      </c>
      <c r="Q3020">
        <v>0</v>
      </c>
      <c r="R3020">
        <v>0.98941853485071396</v>
      </c>
      <c r="S3020" t="s">
        <v>9588</v>
      </c>
      <c r="T3020" t="s">
        <v>13134</v>
      </c>
      <c r="U3020" t="s">
        <v>13134</v>
      </c>
      <c r="V3020" t="s">
        <v>13134</v>
      </c>
      <c r="W3020" t="s">
        <v>16101</v>
      </c>
      <c r="X3020">
        <v>9</v>
      </c>
      <c r="Y3020" t="s">
        <v>22529</v>
      </c>
      <c r="Z3020" t="s">
        <v>28988</v>
      </c>
      <c r="AA3020">
        <v>0.46550957731127091</v>
      </c>
      <c r="AB3020" t="str">
        <f>HYPERLINK("Melting_Curves/meltCurve_P61962_DCAF7.pdf", "Melting_Curves/meltCurve_P61962_DCAF7.pdf")</f>
        <v>Melting_Curves/meltCurve_P61962_DCAF7.pdf</v>
      </c>
    </row>
    <row r="3021" spans="1:28" x14ac:dyDescent="0.25">
      <c r="A3021" t="s">
        <v>3025</v>
      </c>
      <c r="B3021">
        <v>0.99472303558308395</v>
      </c>
      <c r="C3021">
        <v>0.87069366923339198</v>
      </c>
      <c r="D3021">
        <v>0.71889167179510505</v>
      </c>
      <c r="E3021">
        <v>0.64516056697673896</v>
      </c>
      <c r="F3021">
        <v>0.50671085753020295</v>
      </c>
      <c r="G3021">
        <v>0.32644432963875197</v>
      </c>
      <c r="H3021">
        <v>0.37786504284786099</v>
      </c>
      <c r="I3021">
        <v>0.44942492726880701</v>
      </c>
      <c r="J3021">
        <v>0.64557095155167998</v>
      </c>
      <c r="K3021">
        <v>0.44246336221486898</v>
      </c>
      <c r="L3021">
        <v>729.02944924404403</v>
      </c>
      <c r="M3021">
        <v>16.859746127891999</v>
      </c>
      <c r="N3021">
        <v>50.196282777085102</v>
      </c>
      <c r="O3021">
        <v>42.646240589797301</v>
      </c>
      <c r="P3021">
        <v>-5.4199442452551198E-2</v>
      </c>
      <c r="Q3021">
        <v>0.45165131964468302</v>
      </c>
      <c r="R3021">
        <v>0.834662646674042</v>
      </c>
      <c r="S3021" t="s">
        <v>9589</v>
      </c>
      <c r="T3021" t="s">
        <v>13134</v>
      </c>
      <c r="U3021" t="s">
        <v>13134</v>
      </c>
      <c r="V3021" t="s">
        <v>13134</v>
      </c>
      <c r="W3021" t="s">
        <v>16102</v>
      </c>
      <c r="X3021">
        <v>6</v>
      </c>
      <c r="Y3021" t="s">
        <v>22530</v>
      </c>
      <c r="Z3021" t="s">
        <v>28989</v>
      </c>
      <c r="AA3021">
        <v>0.57678451460191271</v>
      </c>
      <c r="AB3021" t="str">
        <f>HYPERLINK("Melting_Curves/meltCurve_P61964_WDR5.pdf", "Melting_Curves/meltCurve_P61964_WDR5.pdf")</f>
        <v>Melting_Curves/meltCurve_P61964_WDR5.pdf</v>
      </c>
    </row>
    <row r="3022" spans="1:28" x14ac:dyDescent="0.25">
      <c r="A3022" t="s">
        <v>3026</v>
      </c>
      <c r="B3022">
        <v>0.99472303558308395</v>
      </c>
      <c r="C3022">
        <v>0.93125199845395201</v>
      </c>
      <c r="D3022">
        <v>0.82295291083012601</v>
      </c>
      <c r="E3022">
        <v>0.49477484941729</v>
      </c>
      <c r="F3022">
        <v>0.25267818238372403</v>
      </c>
      <c r="G3022">
        <v>0.120617636078932</v>
      </c>
      <c r="H3022">
        <v>7.1868525706438799E-2</v>
      </c>
      <c r="I3022">
        <v>5.6358984314982402E-2</v>
      </c>
      <c r="J3022">
        <v>5.2301754967361599E-2</v>
      </c>
      <c r="K3022">
        <v>4.7706546512238102E-2</v>
      </c>
      <c r="L3022">
        <v>811.81002666986001</v>
      </c>
      <c r="M3022">
        <v>17.4897989928225</v>
      </c>
      <c r="N3022">
        <v>46.6542850710089</v>
      </c>
      <c r="O3022">
        <v>45.822139044628898</v>
      </c>
      <c r="P3022">
        <v>-9.1353386908386E-2</v>
      </c>
      <c r="Q3022">
        <v>4.2692961621763899E-2</v>
      </c>
      <c r="R3022">
        <v>0.99950493506595794</v>
      </c>
      <c r="S3022" t="s">
        <v>9590</v>
      </c>
      <c r="T3022" t="s">
        <v>13134</v>
      </c>
      <c r="U3022" t="s">
        <v>13134</v>
      </c>
      <c r="V3022" t="s">
        <v>13134</v>
      </c>
      <c r="W3022" t="s">
        <v>16103</v>
      </c>
      <c r="X3022">
        <v>3</v>
      </c>
      <c r="Y3022" t="s">
        <v>22531</v>
      </c>
      <c r="Z3022" t="s">
        <v>28990</v>
      </c>
      <c r="AA3022">
        <v>0.35947702898733819</v>
      </c>
      <c r="AB3022" t="str">
        <f>HYPERLINK("Melting_Curves/meltCurve_P61966_AP1S1.pdf", "Melting_Curves/meltCurve_P61966_AP1S1.pdf")</f>
        <v>Melting_Curves/meltCurve_P61966_AP1S1.pdf</v>
      </c>
    </row>
    <row r="3023" spans="1:28" x14ac:dyDescent="0.25">
      <c r="A3023" t="s">
        <v>3027</v>
      </c>
      <c r="B3023">
        <v>0.99472303558308395</v>
      </c>
      <c r="C3023">
        <v>0.97747578850650996</v>
      </c>
      <c r="D3023">
        <v>0.99334152106242402</v>
      </c>
      <c r="E3023">
        <v>0.926946573870576</v>
      </c>
      <c r="F3023">
        <v>0.86817454341796596</v>
      </c>
      <c r="G3023">
        <v>0.71688948343302195</v>
      </c>
      <c r="H3023">
        <v>0.69654927303698899</v>
      </c>
      <c r="I3023">
        <v>0.85624814142411998</v>
      </c>
      <c r="J3023">
        <v>1.0503570658192201</v>
      </c>
      <c r="K3023">
        <v>0.68948373971216703</v>
      </c>
      <c r="L3023">
        <v>1580.01600059316</v>
      </c>
      <c r="M3023">
        <v>33.213230510094803</v>
      </c>
      <c r="O3023">
        <v>47.4004273759694</v>
      </c>
      <c r="P3023">
        <v>-3.3916006328427298E-2</v>
      </c>
      <c r="Q3023">
        <v>0.80638727679359701</v>
      </c>
      <c r="R3023">
        <v>0.40038949179453698</v>
      </c>
      <c r="S3023" t="s">
        <v>9591</v>
      </c>
      <c r="T3023" t="s">
        <v>13134</v>
      </c>
      <c r="U3023" t="s">
        <v>13134</v>
      </c>
      <c r="V3023" t="s">
        <v>13134</v>
      </c>
      <c r="W3023" t="s">
        <v>16104</v>
      </c>
      <c r="X3023">
        <v>6</v>
      </c>
      <c r="Y3023" t="s">
        <v>22532</v>
      </c>
      <c r="Z3023" t="s">
        <v>28991</v>
      </c>
      <c r="AA3023">
        <v>0.87554218429262276</v>
      </c>
      <c r="AB3023" t="str">
        <f>HYPERLINK("Melting_Curves/meltCurve_P61970_NUTF2.pdf", "Melting_Curves/meltCurve_P61970_NUTF2.pdf")</f>
        <v>Melting_Curves/meltCurve_P61970_NUTF2.pdf</v>
      </c>
    </row>
    <row r="3024" spans="1:28" x14ac:dyDescent="0.25">
      <c r="A3024" t="s">
        <v>3028</v>
      </c>
      <c r="B3024">
        <v>0.99472303558308395</v>
      </c>
      <c r="C3024">
        <v>1.1821377276762</v>
      </c>
      <c r="D3024">
        <v>0.88808359606068499</v>
      </c>
      <c r="E3024">
        <v>1.07731844879537</v>
      </c>
      <c r="F3024">
        <v>0.55697604506124798</v>
      </c>
      <c r="G3024">
        <v>0.39629284541486898</v>
      </c>
      <c r="H3024">
        <v>0.296009191586037</v>
      </c>
      <c r="I3024">
        <v>0.18689491991432799</v>
      </c>
      <c r="J3024">
        <v>0.110735923514607</v>
      </c>
      <c r="K3024">
        <v>9.8164979010684605E-2</v>
      </c>
      <c r="L3024">
        <v>1083.37576612713</v>
      </c>
      <c r="M3024">
        <v>21.115084769617301</v>
      </c>
      <c r="N3024">
        <v>52.093680652542801</v>
      </c>
      <c r="O3024">
        <v>50.854599616302302</v>
      </c>
      <c r="P3024">
        <v>-8.9651050056577503E-2</v>
      </c>
      <c r="Q3024">
        <v>0.13634304494440699</v>
      </c>
      <c r="R3024">
        <v>0.94095442607200797</v>
      </c>
      <c r="S3024" t="s">
        <v>9592</v>
      </c>
      <c r="T3024" t="s">
        <v>13134</v>
      </c>
      <c r="U3024" t="s">
        <v>13134</v>
      </c>
      <c r="V3024" t="s">
        <v>13134</v>
      </c>
      <c r="W3024" t="s">
        <v>16105</v>
      </c>
      <c r="X3024">
        <v>28</v>
      </c>
      <c r="Y3024" t="s">
        <v>22533</v>
      </c>
      <c r="Z3024" t="s">
        <v>28992</v>
      </c>
      <c r="AA3024">
        <v>0.55855069467893748</v>
      </c>
      <c r="AB3024" t="str">
        <f>HYPERLINK("Melting_Curves/meltCurve_P61978_2_HNRNPK.pdf", "Melting_Curves/meltCurve_P61978_2_HNRNPK.pdf")</f>
        <v>Melting_Curves/meltCurve_P61978_2_HNRNPK.pdf</v>
      </c>
    </row>
    <row r="3025" spans="1:28" x14ac:dyDescent="0.25">
      <c r="A3025" t="s">
        <v>3029</v>
      </c>
      <c r="B3025">
        <v>0.99472303558308395</v>
      </c>
      <c r="C3025">
        <v>0.88857947941633497</v>
      </c>
      <c r="D3025">
        <v>1.06281251184563</v>
      </c>
      <c r="E3025">
        <v>0.73185205646231799</v>
      </c>
      <c r="F3025">
        <v>0.24159978904437099</v>
      </c>
      <c r="G3025">
        <v>9.6367357094300304E-2</v>
      </c>
      <c r="H3025">
        <v>5.5043727548029699E-2</v>
      </c>
      <c r="I3025">
        <v>4.30413061313831E-2</v>
      </c>
      <c r="J3025">
        <v>5.1494126360247E-2</v>
      </c>
      <c r="K3025">
        <v>4.0949684555401301E-2</v>
      </c>
      <c r="L3025">
        <v>1573.7679305839299</v>
      </c>
      <c r="M3025">
        <v>32.763311932402203</v>
      </c>
      <c r="N3025">
        <v>48.192580343450302</v>
      </c>
      <c r="O3025">
        <v>47.8565703023773</v>
      </c>
      <c r="P3025">
        <v>-0.162432282450096</v>
      </c>
      <c r="Q3025">
        <v>5.0960908416943701E-2</v>
      </c>
      <c r="R3025">
        <v>0.98870895268280901</v>
      </c>
      <c r="S3025" t="s">
        <v>9593</v>
      </c>
      <c r="T3025" t="s">
        <v>13134</v>
      </c>
      <c r="U3025" t="s">
        <v>13134</v>
      </c>
      <c r="V3025" t="s">
        <v>13134</v>
      </c>
      <c r="W3025" t="s">
        <v>16106</v>
      </c>
      <c r="X3025">
        <v>29</v>
      </c>
      <c r="Y3025" t="s">
        <v>22533</v>
      </c>
      <c r="Z3025" t="s">
        <v>28993</v>
      </c>
      <c r="AA3025">
        <v>0.40474310365493049</v>
      </c>
      <c r="AB3025" t="str">
        <f>HYPERLINK("Melting_Curves/meltCurve_P61978_3_HNRNPK.pdf", "Melting_Curves/meltCurve_P61978_3_HNRNPK.pdf")</f>
        <v>Melting_Curves/meltCurve_P61978_3_HNRNPK.pdf</v>
      </c>
    </row>
    <row r="3026" spans="1:28" x14ac:dyDescent="0.25">
      <c r="A3026" t="s">
        <v>3030</v>
      </c>
      <c r="B3026">
        <v>0.99472303558308395</v>
      </c>
      <c r="C3026">
        <v>0.87713762845848198</v>
      </c>
      <c r="D3026">
        <v>1.03063070037414</v>
      </c>
      <c r="E3026">
        <v>0.94556094036216798</v>
      </c>
      <c r="F3026">
        <v>0.80906991487439806</v>
      </c>
      <c r="G3026">
        <v>0.631274027192819</v>
      </c>
      <c r="H3026">
        <v>0.33054118517971198</v>
      </c>
      <c r="I3026">
        <v>0.162824445622266</v>
      </c>
      <c r="J3026">
        <v>0.12492051630800199</v>
      </c>
      <c r="K3026">
        <v>9.7750988847668002E-2</v>
      </c>
      <c r="L3026">
        <v>948.33155032238903</v>
      </c>
      <c r="M3026">
        <v>17.3214375562203</v>
      </c>
      <c r="N3026">
        <v>55.066013099651201</v>
      </c>
      <c r="O3026">
        <v>54.034915642740202</v>
      </c>
      <c r="P3026">
        <v>-7.6341565285558202E-2</v>
      </c>
      <c r="Q3026">
        <v>4.7452448843598803E-2</v>
      </c>
      <c r="R3026">
        <v>0.98549683250380604</v>
      </c>
      <c r="S3026" t="s">
        <v>9594</v>
      </c>
      <c r="T3026" t="s">
        <v>13134</v>
      </c>
      <c r="U3026" t="s">
        <v>13134</v>
      </c>
      <c r="V3026" t="s">
        <v>13134</v>
      </c>
      <c r="W3026" t="s">
        <v>16107</v>
      </c>
      <c r="X3026">
        <v>32</v>
      </c>
      <c r="Y3026" t="s">
        <v>22534</v>
      </c>
      <c r="Z3026" t="s">
        <v>28994</v>
      </c>
      <c r="AA3026">
        <v>0.62371382458484537</v>
      </c>
      <c r="AB3026" t="str">
        <f>HYPERLINK("Melting_Curves/meltCurve_P61981_YWHAG.pdf", "Melting_Curves/meltCurve_P61981_YWHAG.pdf")</f>
        <v>Melting_Curves/meltCurve_P61981_YWHAG.pdf</v>
      </c>
    </row>
    <row r="3027" spans="1:28" x14ac:dyDescent="0.25">
      <c r="A3027" t="s">
        <v>3031</v>
      </c>
      <c r="B3027">
        <v>0.99472303558308395</v>
      </c>
      <c r="C3027">
        <v>1.0446775816460001</v>
      </c>
      <c r="D3027">
        <v>0.94590160796499001</v>
      </c>
      <c r="E3027">
        <v>0.88431160864721503</v>
      </c>
      <c r="F3027">
        <v>0.74680232014787895</v>
      </c>
      <c r="G3027">
        <v>0.55830778575369</v>
      </c>
      <c r="H3027">
        <v>0.44633242926888</v>
      </c>
      <c r="I3027">
        <v>0.37559638019444802</v>
      </c>
      <c r="J3027">
        <v>0.26726771802885402</v>
      </c>
      <c r="K3027">
        <v>0.14614780029342</v>
      </c>
      <c r="L3027">
        <v>530.52576197836197</v>
      </c>
      <c r="M3027">
        <v>9.4933510724489203</v>
      </c>
      <c r="N3027">
        <v>56.138261585866402</v>
      </c>
      <c r="O3027">
        <v>53.572764736020702</v>
      </c>
      <c r="P3027">
        <v>-4.3394438263587298E-2</v>
      </c>
      <c r="Q3027">
        <v>2.1048956311503001E-2</v>
      </c>
      <c r="R3027">
        <v>0.98831432433908695</v>
      </c>
      <c r="S3027" t="s">
        <v>9595</v>
      </c>
      <c r="T3027" t="s">
        <v>13134</v>
      </c>
      <c r="U3027" t="s">
        <v>13134</v>
      </c>
      <c r="V3027" t="s">
        <v>13134</v>
      </c>
      <c r="W3027" t="s">
        <v>16108</v>
      </c>
      <c r="X3027">
        <v>14</v>
      </c>
      <c r="Y3027" t="s">
        <v>22535</v>
      </c>
      <c r="Z3027" t="s">
        <v>28995</v>
      </c>
      <c r="AA3027">
        <v>0.64251757428820533</v>
      </c>
      <c r="AB3027" t="str">
        <f>HYPERLINK("Melting_Curves/meltCurve_P62070_RRAS2.pdf", "Melting_Curves/meltCurve_P62070_RRAS2.pdf")</f>
        <v>Melting_Curves/meltCurve_P62070_RRAS2.pdf</v>
      </c>
    </row>
    <row r="3028" spans="1:28" x14ac:dyDescent="0.25">
      <c r="A3028" t="s">
        <v>3032</v>
      </c>
      <c r="B3028">
        <v>0.99472303558308395</v>
      </c>
      <c r="C3028">
        <v>1.0575150887899001</v>
      </c>
      <c r="D3028">
        <v>0.91409189400426405</v>
      </c>
      <c r="E3028">
        <v>0.89190172634047105</v>
      </c>
      <c r="F3028">
        <v>0.72152400019989404</v>
      </c>
      <c r="G3028">
        <v>0.58022846072453604</v>
      </c>
      <c r="H3028">
        <v>0.47990947663251898</v>
      </c>
      <c r="I3028">
        <v>0.58448744461656899</v>
      </c>
      <c r="J3028">
        <v>0.76556845607937496</v>
      </c>
      <c r="K3028">
        <v>0.57104268964217797</v>
      </c>
      <c r="L3028">
        <v>1318.05774346876</v>
      </c>
      <c r="M3028">
        <v>27.3304667658713</v>
      </c>
      <c r="O3028">
        <v>47.970694567249197</v>
      </c>
      <c r="P3028">
        <v>-5.7776944107091298E-2</v>
      </c>
      <c r="Q3028">
        <v>0.59436116679156803</v>
      </c>
      <c r="R3028">
        <v>0.84946387167540505</v>
      </c>
      <c r="S3028" t="s">
        <v>9596</v>
      </c>
      <c r="T3028" t="s">
        <v>13134</v>
      </c>
      <c r="U3028" t="s">
        <v>13134</v>
      </c>
      <c r="V3028" t="s">
        <v>13134</v>
      </c>
      <c r="W3028" t="s">
        <v>16109</v>
      </c>
      <c r="X3028">
        <v>11</v>
      </c>
      <c r="Y3028" t="s">
        <v>22536</v>
      </c>
      <c r="Z3028" t="s">
        <v>28996</v>
      </c>
      <c r="AA3028">
        <v>0.74906697302716907</v>
      </c>
      <c r="AB3028" t="str">
        <f>HYPERLINK("Melting_Curves/meltCurve_P62072_TIMM10.pdf", "Melting_Curves/meltCurve_P62072_TIMM10.pdf")</f>
        <v>Melting_Curves/meltCurve_P62072_TIMM10.pdf</v>
      </c>
    </row>
    <row r="3029" spans="1:28" x14ac:dyDescent="0.25">
      <c r="A3029" t="s">
        <v>3033</v>
      </c>
      <c r="B3029">
        <v>0.99472303558308395</v>
      </c>
      <c r="C3029">
        <v>0.72139614245211403</v>
      </c>
      <c r="D3029">
        <v>1.1249574335835</v>
      </c>
      <c r="E3029">
        <v>0.64608320752571002</v>
      </c>
      <c r="F3029">
        <v>0.39794573897276397</v>
      </c>
      <c r="G3029">
        <v>0.25182598043041898</v>
      </c>
      <c r="H3029">
        <v>0.135551948924651</v>
      </c>
      <c r="I3029">
        <v>7.6666513443185105E-2</v>
      </c>
      <c r="J3029">
        <v>7.6050158301174398E-2</v>
      </c>
      <c r="K3029">
        <v>6.8103475196902394E-2</v>
      </c>
      <c r="L3029">
        <v>883.31953261663296</v>
      </c>
      <c r="M3029">
        <v>18.156834073661599</v>
      </c>
      <c r="N3029">
        <v>49.060100865714503</v>
      </c>
      <c r="O3029">
        <v>48.0708107488934</v>
      </c>
      <c r="P3029">
        <v>-8.7774562968216105E-2</v>
      </c>
      <c r="Q3029">
        <v>7.0500235737622999E-2</v>
      </c>
      <c r="R3029">
        <v>0.91859104158698901</v>
      </c>
      <c r="S3029" t="s">
        <v>9597</v>
      </c>
      <c r="T3029" t="s">
        <v>13134</v>
      </c>
      <c r="U3029" t="s">
        <v>13134</v>
      </c>
      <c r="V3029" t="s">
        <v>13134</v>
      </c>
      <c r="W3029" t="s">
        <v>16110</v>
      </c>
      <c r="X3029">
        <v>16</v>
      </c>
      <c r="Y3029" t="s">
        <v>22537</v>
      </c>
      <c r="Z3029" t="s">
        <v>28997</v>
      </c>
      <c r="AA3029">
        <v>0.44602197779372121</v>
      </c>
      <c r="AB3029" t="str">
        <f>HYPERLINK("Melting_Curves/meltCurve_P62081_RPS7.pdf", "Melting_Curves/meltCurve_P62081_RPS7.pdf")</f>
        <v>Melting_Curves/meltCurve_P62081_RPS7.pdf</v>
      </c>
    </row>
    <row r="3030" spans="1:28" x14ac:dyDescent="0.25">
      <c r="A3030" t="s">
        <v>3034</v>
      </c>
      <c r="B3030">
        <v>0.99472303558308395</v>
      </c>
      <c r="C3030">
        <v>0.98327442032015799</v>
      </c>
      <c r="D3030">
        <v>0.93987678768274097</v>
      </c>
      <c r="E3030">
        <v>0.84639691209184098</v>
      </c>
      <c r="F3030">
        <v>0.61690082126978496</v>
      </c>
      <c r="G3030">
        <v>0.38910325054372402</v>
      </c>
      <c r="H3030">
        <v>0.19912461160457601</v>
      </c>
      <c r="I3030">
        <v>9.1944889295926299E-2</v>
      </c>
      <c r="J3030">
        <v>7.5141550995741505E-2</v>
      </c>
      <c r="K3030">
        <v>7.0639863370001596E-2</v>
      </c>
      <c r="L3030">
        <v>771.782586147762</v>
      </c>
      <c r="M3030">
        <v>14.9166250330982</v>
      </c>
      <c r="N3030">
        <v>51.896729556793296</v>
      </c>
      <c r="O3030">
        <v>50.836578413229198</v>
      </c>
      <c r="P3030">
        <v>-7.1745136052556696E-2</v>
      </c>
      <c r="Q3030">
        <v>2.20575791063123E-2</v>
      </c>
      <c r="R3030">
        <v>0.99908922202076</v>
      </c>
      <c r="S3030" t="s">
        <v>9598</v>
      </c>
      <c r="T3030" t="s">
        <v>13134</v>
      </c>
      <c r="U3030" t="s">
        <v>13134</v>
      </c>
      <c r="V3030" t="s">
        <v>13134</v>
      </c>
      <c r="W3030" t="s">
        <v>16111</v>
      </c>
      <c r="X3030">
        <v>23</v>
      </c>
      <c r="Y3030" t="s">
        <v>22538</v>
      </c>
      <c r="Z3030" t="s">
        <v>28998</v>
      </c>
      <c r="AA3030">
        <v>0.52166357074694991</v>
      </c>
      <c r="AB3030" t="str">
        <f>HYPERLINK("Melting_Curves/meltCurve_P62136_PPP1CA.pdf", "Melting_Curves/meltCurve_P62136_PPP1CA.pdf")</f>
        <v>Melting_Curves/meltCurve_P62136_PPP1CA.pdf</v>
      </c>
    </row>
    <row r="3031" spans="1:28" x14ac:dyDescent="0.25">
      <c r="A3031" t="s">
        <v>3035</v>
      </c>
      <c r="B3031">
        <v>0.99472303558308395</v>
      </c>
      <c r="C3031">
        <v>0.95449646566226698</v>
      </c>
      <c r="D3031">
        <v>0.91691256645472197</v>
      </c>
      <c r="E3031">
        <v>0.77676584158171802</v>
      </c>
      <c r="F3031">
        <v>0.53778088951607295</v>
      </c>
      <c r="G3031">
        <v>0.33004685699604902</v>
      </c>
      <c r="H3031">
        <v>0.199153530217556</v>
      </c>
      <c r="I3031">
        <v>0.126038241239362</v>
      </c>
      <c r="J3031">
        <v>0.125103711643441</v>
      </c>
      <c r="K3031">
        <v>0.105542369762819</v>
      </c>
      <c r="L3031">
        <v>722.96955619425501</v>
      </c>
      <c r="M3031">
        <v>14.411196040439201</v>
      </c>
      <c r="N3031">
        <v>50.742034312902803</v>
      </c>
      <c r="O3031">
        <v>49.230898122685197</v>
      </c>
      <c r="P3031">
        <v>-6.7678177200114903E-2</v>
      </c>
      <c r="Q3031">
        <v>7.5312348531171705E-2</v>
      </c>
      <c r="R3031">
        <v>0.99913973868751904</v>
      </c>
      <c r="S3031" t="s">
        <v>9599</v>
      </c>
      <c r="T3031" t="s">
        <v>13134</v>
      </c>
      <c r="U3031" t="s">
        <v>13134</v>
      </c>
      <c r="V3031" t="s">
        <v>13134</v>
      </c>
      <c r="W3031" t="s">
        <v>16112</v>
      </c>
      <c r="X3031">
        <v>17</v>
      </c>
      <c r="Y3031" t="s">
        <v>22539</v>
      </c>
      <c r="Z3031" t="s">
        <v>28999</v>
      </c>
      <c r="AA3031">
        <v>0.50149396838157945</v>
      </c>
      <c r="AB3031" t="str">
        <f>HYPERLINK("Melting_Curves/meltCurve_P62140_PPP1CB.pdf", "Melting_Curves/meltCurve_P62140_PPP1CB.pdf")</f>
        <v>Melting_Curves/meltCurve_P62140_PPP1CB.pdf</v>
      </c>
    </row>
    <row r="3032" spans="1:28" x14ac:dyDescent="0.25">
      <c r="A3032" t="s">
        <v>3036</v>
      </c>
      <c r="B3032">
        <v>0.99472303558308395</v>
      </c>
      <c r="C3032">
        <v>0.97262849512134597</v>
      </c>
      <c r="D3032">
        <v>1.00067219257301</v>
      </c>
      <c r="E3032">
        <v>0.85713961185482701</v>
      </c>
      <c r="F3032">
        <v>0.52788912071623895</v>
      </c>
      <c r="G3032">
        <v>0.35480957960229298</v>
      </c>
      <c r="H3032">
        <v>0.21023181139099201</v>
      </c>
      <c r="I3032">
        <v>0.174269533725082</v>
      </c>
      <c r="J3032">
        <v>0.22470400072135799</v>
      </c>
      <c r="K3032">
        <v>0.192977772128092</v>
      </c>
      <c r="L3032">
        <v>1107.9392745560399</v>
      </c>
      <c r="M3032">
        <v>22.2962048381067</v>
      </c>
      <c r="N3032">
        <v>50.792557070496997</v>
      </c>
      <c r="O3032">
        <v>49.297284288564597</v>
      </c>
      <c r="P3032">
        <v>-9.1408886825888297E-2</v>
      </c>
      <c r="Q3032">
        <v>0.19159090275458501</v>
      </c>
      <c r="R3032">
        <v>0.99555130016373194</v>
      </c>
      <c r="S3032" t="s">
        <v>9600</v>
      </c>
      <c r="T3032" t="s">
        <v>13134</v>
      </c>
      <c r="U3032" t="s">
        <v>13134</v>
      </c>
      <c r="V3032" t="s">
        <v>13134</v>
      </c>
      <c r="W3032" t="s">
        <v>16113</v>
      </c>
      <c r="X3032">
        <v>3</v>
      </c>
      <c r="Y3032" t="s">
        <v>22540</v>
      </c>
      <c r="Z3032" t="s">
        <v>29000</v>
      </c>
      <c r="AA3032">
        <v>0.54234236370692201</v>
      </c>
      <c r="AB3032" t="str">
        <f>HYPERLINK("Melting_Curves/meltCurve_P62166_NCS1.pdf", "Melting_Curves/meltCurve_P62166_NCS1.pdf")</f>
        <v>Melting_Curves/meltCurve_P62166_NCS1.pdf</v>
      </c>
    </row>
    <row r="3033" spans="1:28" x14ac:dyDescent="0.25">
      <c r="A3033" t="s">
        <v>3037</v>
      </c>
      <c r="B3033">
        <v>0.99472303558308395</v>
      </c>
      <c r="C3033">
        <v>0.94791594255414802</v>
      </c>
      <c r="D3033">
        <v>0.77934109017716602</v>
      </c>
      <c r="E3033">
        <v>0.67262685087278895</v>
      </c>
      <c r="F3033">
        <v>0.63308062014968802</v>
      </c>
      <c r="G3033">
        <v>0.242774491795132</v>
      </c>
      <c r="H3033">
        <v>0.107291712232032</v>
      </c>
      <c r="I3033">
        <v>5.0708467156981803E-2</v>
      </c>
      <c r="J3033">
        <v>0.100705180318859</v>
      </c>
      <c r="K3033">
        <v>4.8633549878915501E-2</v>
      </c>
      <c r="L3033">
        <v>598.19450949640702</v>
      </c>
      <c r="M3033">
        <v>11.993815305830299</v>
      </c>
      <c r="N3033">
        <v>49.875259176332399</v>
      </c>
      <c r="O3033">
        <v>48.549442527354799</v>
      </c>
      <c r="P3033">
        <v>-6.1775775090531199E-2</v>
      </c>
      <c r="Q3033">
        <v>0</v>
      </c>
      <c r="R3033">
        <v>0.96769609366194698</v>
      </c>
      <c r="S3033" t="s">
        <v>9601</v>
      </c>
      <c r="T3033" t="s">
        <v>13134</v>
      </c>
      <c r="U3033" t="s">
        <v>13134</v>
      </c>
      <c r="V3033" t="s">
        <v>13134</v>
      </c>
      <c r="W3033" t="s">
        <v>16114</v>
      </c>
      <c r="X3033">
        <v>28</v>
      </c>
      <c r="Y3033" t="s">
        <v>22541</v>
      </c>
      <c r="Z3033" t="s">
        <v>29001</v>
      </c>
      <c r="AA3033">
        <v>0.45741081089704377</v>
      </c>
      <c r="AB3033" t="str">
        <f>HYPERLINK("Melting_Curves/meltCurve_P62191_PSMC1.pdf", "Melting_Curves/meltCurve_P62191_PSMC1.pdf")</f>
        <v>Melting_Curves/meltCurve_P62191_PSMC1.pdf</v>
      </c>
    </row>
    <row r="3034" spans="1:28" x14ac:dyDescent="0.25">
      <c r="A3034" t="s">
        <v>3038</v>
      </c>
      <c r="B3034">
        <v>0.99472303558308395</v>
      </c>
      <c r="C3034">
        <v>0.93796144175364204</v>
      </c>
      <c r="D3034">
        <v>0.719540473772179</v>
      </c>
      <c r="E3034">
        <v>0.62042550754633496</v>
      </c>
      <c r="F3034">
        <v>0.682928814973912</v>
      </c>
      <c r="G3034">
        <v>0.25073318961519703</v>
      </c>
      <c r="H3034">
        <v>9.6278430883001795E-2</v>
      </c>
      <c r="I3034">
        <v>4.86833503865138E-2</v>
      </c>
      <c r="J3034">
        <v>4.25897629021336E-2</v>
      </c>
      <c r="K3034">
        <v>4.3915628346709201E-2</v>
      </c>
      <c r="L3034">
        <v>557.84686294833296</v>
      </c>
      <c r="M3034">
        <v>11.2623918202317</v>
      </c>
      <c r="N3034">
        <v>49.531848124032102</v>
      </c>
      <c r="O3034">
        <v>48.047267484861301</v>
      </c>
      <c r="P3034">
        <v>-5.86186596603799E-2</v>
      </c>
      <c r="Q3034">
        <v>0</v>
      </c>
      <c r="R3034">
        <v>0.94077998786919104</v>
      </c>
      <c r="S3034" t="s">
        <v>9602</v>
      </c>
      <c r="T3034" t="s">
        <v>13134</v>
      </c>
      <c r="U3034" t="s">
        <v>13134</v>
      </c>
      <c r="V3034" t="s">
        <v>13134</v>
      </c>
      <c r="W3034" t="s">
        <v>16115</v>
      </c>
      <c r="X3034">
        <v>25</v>
      </c>
      <c r="Y3034" t="s">
        <v>22542</v>
      </c>
      <c r="Z3034" t="s">
        <v>29002</v>
      </c>
      <c r="AA3034">
        <v>0.44884389839140693</v>
      </c>
      <c r="AB3034" t="str">
        <f>HYPERLINK("Melting_Curves/meltCurve_P62195_2_PSMC5.pdf", "Melting_Curves/meltCurve_P62195_2_PSMC5.pdf")</f>
        <v>Melting_Curves/meltCurve_P62195_2_PSMC5.pdf</v>
      </c>
    </row>
    <row r="3035" spans="1:28" x14ac:dyDescent="0.25">
      <c r="A3035" t="s">
        <v>3039</v>
      </c>
      <c r="B3035">
        <v>0.99472303558308395</v>
      </c>
      <c r="C3035">
        <v>0.87797611792186603</v>
      </c>
      <c r="D3035">
        <v>0.77818869789456602</v>
      </c>
      <c r="E3035">
        <v>0.56639592293441499</v>
      </c>
      <c r="F3035">
        <v>0.488368968450758</v>
      </c>
      <c r="G3035">
        <v>0.16130647657321601</v>
      </c>
      <c r="H3035">
        <v>0.10138774285803601</v>
      </c>
      <c r="I3035">
        <v>7.0267778885684404E-2</v>
      </c>
      <c r="J3035">
        <v>6.9613945982048994E-2</v>
      </c>
      <c r="K3035">
        <v>6.9718929911528504E-2</v>
      </c>
      <c r="L3035">
        <v>542.41097805034303</v>
      </c>
      <c r="M3035">
        <v>11.2837212821465</v>
      </c>
      <c r="N3035">
        <v>48.070221261600501</v>
      </c>
      <c r="O3035">
        <v>46.634632966386697</v>
      </c>
      <c r="P3035">
        <v>-6.0508540107822403E-2</v>
      </c>
      <c r="Q3035">
        <v>0</v>
      </c>
      <c r="R3035">
        <v>0.98286792948794799</v>
      </c>
      <c r="S3035" t="s">
        <v>9603</v>
      </c>
      <c r="T3035" t="s">
        <v>13134</v>
      </c>
      <c r="U3035" t="s">
        <v>13134</v>
      </c>
      <c r="V3035" t="s">
        <v>13134</v>
      </c>
      <c r="W3035" t="s">
        <v>16116</v>
      </c>
      <c r="X3035">
        <v>12</v>
      </c>
      <c r="Y3035" t="s">
        <v>22543</v>
      </c>
      <c r="Z3035" t="s">
        <v>29003</v>
      </c>
      <c r="AA3035">
        <v>0.40305788649034718</v>
      </c>
      <c r="AB3035" t="str">
        <f>HYPERLINK("Melting_Curves/meltCurve_P62241_RPS8.pdf", "Melting_Curves/meltCurve_P62241_RPS8.pdf")</f>
        <v>Melting_Curves/meltCurve_P62241_RPS8.pdf</v>
      </c>
    </row>
    <row r="3036" spans="1:28" x14ac:dyDescent="0.25">
      <c r="A3036" t="s">
        <v>3040</v>
      </c>
      <c r="B3036">
        <v>0.99472303558308395</v>
      </c>
      <c r="C3036">
        <v>0.75735378561068101</v>
      </c>
      <c r="D3036">
        <v>0.79125575488153799</v>
      </c>
      <c r="E3036">
        <v>0.65056616681763801</v>
      </c>
      <c r="F3036">
        <v>0.61128563055232299</v>
      </c>
      <c r="G3036">
        <v>0.214731548567689</v>
      </c>
      <c r="H3036">
        <v>0.10769447091119901</v>
      </c>
      <c r="I3036">
        <v>8.3726063049897298E-2</v>
      </c>
      <c r="J3036">
        <v>8.1172263202121495E-2</v>
      </c>
      <c r="K3036">
        <v>8.8147336956363204E-2</v>
      </c>
      <c r="L3036">
        <v>498.65724399395202</v>
      </c>
      <c r="M3036">
        <v>10.154191004894001</v>
      </c>
      <c r="N3036">
        <v>49.108503743168498</v>
      </c>
      <c r="O3036">
        <v>47.318059634516601</v>
      </c>
      <c r="P3036">
        <v>-5.3673212486381898E-2</v>
      </c>
      <c r="Q3036">
        <v>0</v>
      </c>
      <c r="R3036">
        <v>0.94101894540428399</v>
      </c>
      <c r="S3036" t="s">
        <v>9604</v>
      </c>
      <c r="T3036" t="s">
        <v>13134</v>
      </c>
      <c r="U3036" t="s">
        <v>13134</v>
      </c>
      <c r="V3036" t="s">
        <v>13134</v>
      </c>
      <c r="W3036" t="s">
        <v>16117</v>
      </c>
      <c r="X3036">
        <v>11</v>
      </c>
      <c r="Y3036" t="s">
        <v>22544</v>
      </c>
      <c r="Z3036" t="s">
        <v>29004</v>
      </c>
      <c r="AA3036">
        <v>0.43978985701438222</v>
      </c>
      <c r="AB3036" t="str">
        <f>HYPERLINK("Melting_Curves/meltCurve_P62249_RPS16.pdf", "Melting_Curves/meltCurve_P62249_RPS16.pdf")</f>
        <v>Melting_Curves/meltCurve_P62249_RPS16.pdf</v>
      </c>
    </row>
    <row r="3037" spans="1:28" x14ac:dyDescent="0.25">
      <c r="A3037" t="s">
        <v>3041</v>
      </c>
      <c r="B3037">
        <v>0.99472303558308395</v>
      </c>
      <c r="C3037">
        <v>0.99221051158413698</v>
      </c>
      <c r="D3037">
        <v>1.0606477435596999</v>
      </c>
      <c r="E3037">
        <v>0.88523382586419597</v>
      </c>
      <c r="F3037">
        <v>0.54768487817294498</v>
      </c>
      <c r="G3037">
        <v>0.24046311957062499</v>
      </c>
      <c r="H3037">
        <v>8.3680264647892799E-2</v>
      </c>
      <c r="I3037">
        <v>5.4244207633641003E-2</v>
      </c>
      <c r="J3037">
        <v>5.9167187787031998E-2</v>
      </c>
      <c r="K3037">
        <v>4.82521908007374E-2</v>
      </c>
      <c r="L3037">
        <v>1235.4487494238399</v>
      </c>
      <c r="M3037">
        <v>24.462835287235201</v>
      </c>
      <c r="N3037">
        <v>50.707460533739599</v>
      </c>
      <c r="O3037">
        <v>50.169231121072201</v>
      </c>
      <c r="P3037">
        <v>-0.116180584915324</v>
      </c>
      <c r="Q3037">
        <v>4.6945264994918801E-2</v>
      </c>
      <c r="R3037">
        <v>0.996497525864531</v>
      </c>
      <c r="S3037" t="s">
        <v>9605</v>
      </c>
      <c r="T3037" t="s">
        <v>13134</v>
      </c>
      <c r="U3037" t="s">
        <v>13134</v>
      </c>
      <c r="V3037" t="s">
        <v>13134</v>
      </c>
      <c r="W3037" t="s">
        <v>16118</v>
      </c>
      <c r="X3037">
        <v>3</v>
      </c>
      <c r="Y3037" t="s">
        <v>22545</v>
      </c>
      <c r="Z3037" t="s">
        <v>29005</v>
      </c>
      <c r="AA3037">
        <v>0.48464219853736951</v>
      </c>
      <c r="AB3037" t="str">
        <f>HYPERLINK("Melting_Curves/meltCurve_P62253_UBE2G1.pdf", "Melting_Curves/meltCurve_P62253_UBE2G1.pdf")</f>
        <v>Melting_Curves/meltCurve_P62253_UBE2G1.pdf</v>
      </c>
    </row>
    <row r="3038" spans="1:28" x14ac:dyDescent="0.25">
      <c r="A3038" t="s">
        <v>3042</v>
      </c>
      <c r="B3038">
        <v>0.99472303558308395</v>
      </c>
      <c r="C3038">
        <v>1.0033817705460899</v>
      </c>
      <c r="D3038">
        <v>0.94666063583624904</v>
      </c>
      <c r="E3038">
        <v>0.92316590439507495</v>
      </c>
      <c r="F3038">
        <v>0.81502800208216097</v>
      </c>
      <c r="G3038">
        <v>0.676997512730527</v>
      </c>
      <c r="H3038">
        <v>0.53652755500364901</v>
      </c>
      <c r="I3038">
        <v>0.25573061666024099</v>
      </c>
      <c r="J3038">
        <v>0.18800996196047001</v>
      </c>
      <c r="K3038">
        <v>0.148037072661242</v>
      </c>
      <c r="L3038">
        <v>695.14673648050496</v>
      </c>
      <c r="M3038">
        <v>12.209595445032701</v>
      </c>
      <c r="N3038">
        <v>56.934461191884402</v>
      </c>
      <c r="O3038">
        <v>55.471762961999602</v>
      </c>
      <c r="P3038">
        <v>-5.5038578152808097E-2</v>
      </c>
      <c r="Q3038">
        <v>0</v>
      </c>
      <c r="R3038">
        <v>0.99179579926401895</v>
      </c>
      <c r="S3038" t="s">
        <v>9606</v>
      </c>
      <c r="T3038" t="s">
        <v>13134</v>
      </c>
      <c r="U3038" t="s">
        <v>13134</v>
      </c>
      <c r="V3038" t="s">
        <v>13134</v>
      </c>
      <c r="W3038" t="s">
        <v>16119</v>
      </c>
      <c r="X3038">
        <v>22</v>
      </c>
      <c r="Y3038" t="s">
        <v>22546</v>
      </c>
      <c r="Z3038" t="s">
        <v>29006</v>
      </c>
      <c r="AA3038">
        <v>0.66987646397086109</v>
      </c>
      <c r="AB3038" t="str">
        <f>HYPERLINK("Melting_Curves/meltCurve_P62258_YWHAE.pdf", "Melting_Curves/meltCurve_P62258_YWHAE.pdf")</f>
        <v>Melting_Curves/meltCurve_P62258_YWHAE.pdf</v>
      </c>
    </row>
    <row r="3039" spans="1:28" x14ac:dyDescent="0.25">
      <c r="A3039" t="s">
        <v>3043</v>
      </c>
      <c r="B3039">
        <v>0.99472303558308395</v>
      </c>
      <c r="C3039">
        <v>0.93585370450738303</v>
      </c>
      <c r="D3039">
        <v>0.98536706473403801</v>
      </c>
      <c r="E3039">
        <v>0.66490684782889797</v>
      </c>
      <c r="F3039">
        <v>0.34403073931507799</v>
      </c>
      <c r="G3039">
        <v>0.158773563598895</v>
      </c>
      <c r="H3039">
        <v>6.5716917772165304E-2</v>
      </c>
      <c r="I3039">
        <v>5.7619110753923598E-2</v>
      </c>
      <c r="J3039">
        <v>5.5720420248214803E-2</v>
      </c>
      <c r="K3039">
        <v>5.60816956991851E-2</v>
      </c>
      <c r="L3039">
        <v>1017.44957320504</v>
      </c>
      <c r="M3039">
        <v>21.1099983147564</v>
      </c>
      <c r="N3039">
        <v>48.438326095233897</v>
      </c>
      <c r="O3039">
        <v>47.771262813996401</v>
      </c>
      <c r="P3039">
        <v>-0.10497420780701899</v>
      </c>
      <c r="Q3039">
        <v>4.98116785974956E-2</v>
      </c>
      <c r="R3039">
        <v>0.995650690609448</v>
      </c>
      <c r="S3039" t="s">
        <v>9607</v>
      </c>
      <c r="T3039" t="s">
        <v>13134</v>
      </c>
      <c r="U3039" t="s">
        <v>13134</v>
      </c>
      <c r="V3039" t="s">
        <v>13134</v>
      </c>
      <c r="W3039" t="s">
        <v>16120</v>
      </c>
      <c r="X3039">
        <v>9</v>
      </c>
      <c r="Y3039" t="s">
        <v>22547</v>
      </c>
      <c r="Z3039" t="s">
        <v>29007</v>
      </c>
      <c r="AA3039">
        <v>0.41574855531206861</v>
      </c>
      <c r="AB3039" t="str">
        <f>HYPERLINK("Melting_Curves/meltCurve_P62263_RPS14.pdf", "Melting_Curves/meltCurve_P62263_RPS14.pdf")</f>
        <v>Melting_Curves/meltCurve_P62263_RPS14.pdf</v>
      </c>
    </row>
    <row r="3040" spans="1:28" x14ac:dyDescent="0.25">
      <c r="A3040" t="s">
        <v>3044</v>
      </c>
      <c r="B3040">
        <v>0.99472303558308395</v>
      </c>
      <c r="C3040">
        <v>0.89639769607770803</v>
      </c>
      <c r="D3040">
        <v>0.98911287201349796</v>
      </c>
      <c r="E3040">
        <v>0.68580048849028796</v>
      </c>
      <c r="F3040">
        <v>0.42206074902249102</v>
      </c>
      <c r="G3040">
        <v>0.26548952311121199</v>
      </c>
      <c r="H3040">
        <v>0.15797158603445099</v>
      </c>
      <c r="I3040">
        <v>9.1391012934189497E-2</v>
      </c>
      <c r="J3040">
        <v>8.1000891532374594E-2</v>
      </c>
      <c r="K3040">
        <v>9.0600150203632407E-2</v>
      </c>
      <c r="L3040">
        <v>804.50185714479403</v>
      </c>
      <c r="M3040">
        <v>16.4713131670397</v>
      </c>
      <c r="N3040">
        <v>49.321452615075302</v>
      </c>
      <c r="O3040">
        <v>48.139698969819499</v>
      </c>
      <c r="P3040">
        <v>-7.9224064784802303E-2</v>
      </c>
      <c r="Q3040">
        <v>7.3891503067401706E-2</v>
      </c>
      <c r="R3040">
        <v>0.98912625575358304</v>
      </c>
      <c r="S3040" t="s">
        <v>9608</v>
      </c>
      <c r="T3040" t="s">
        <v>13134</v>
      </c>
      <c r="U3040" t="s">
        <v>13134</v>
      </c>
      <c r="V3040" t="s">
        <v>13134</v>
      </c>
      <c r="W3040" t="s">
        <v>16121</v>
      </c>
      <c r="X3040">
        <v>5</v>
      </c>
      <c r="Y3040" t="s">
        <v>22548</v>
      </c>
      <c r="Z3040" t="s">
        <v>29008</v>
      </c>
      <c r="AA3040">
        <v>0.4566428709398821</v>
      </c>
      <c r="AB3040" t="str">
        <f>HYPERLINK("Melting_Curves/meltCurve_P62266_RPS23.pdf", "Melting_Curves/meltCurve_P62266_RPS23.pdf")</f>
        <v>Melting_Curves/meltCurve_P62266_RPS23.pdf</v>
      </c>
    </row>
    <row r="3041" spans="1:28" x14ac:dyDescent="0.25">
      <c r="A3041" t="s">
        <v>3045</v>
      </c>
      <c r="B3041">
        <v>0.99472303558308395</v>
      </c>
      <c r="C3041">
        <v>0.81270211954734395</v>
      </c>
      <c r="D3041">
        <v>0.93781277580514999</v>
      </c>
      <c r="E3041">
        <v>0.74929092975796296</v>
      </c>
      <c r="F3041">
        <v>0.52483415765289998</v>
      </c>
      <c r="G3041">
        <v>0.22191839264882199</v>
      </c>
      <c r="H3041">
        <v>0.107725385730776</v>
      </c>
      <c r="I3041">
        <v>6.8167863972808607E-2</v>
      </c>
      <c r="J3041">
        <v>7.0284592619243899E-2</v>
      </c>
      <c r="K3041">
        <v>8.4385449826870795E-2</v>
      </c>
      <c r="L3041">
        <v>782.06028251907901</v>
      </c>
      <c r="M3041">
        <v>15.7318098001333</v>
      </c>
      <c r="N3041">
        <v>49.925224564525998</v>
      </c>
      <c r="O3041">
        <v>48.929550841865201</v>
      </c>
      <c r="P3041">
        <v>-7.7775327240217601E-2</v>
      </c>
      <c r="Q3041">
        <v>3.2484044355407499E-2</v>
      </c>
      <c r="R3041">
        <v>0.97486369656104299</v>
      </c>
      <c r="S3041" t="s">
        <v>9609</v>
      </c>
      <c r="T3041" t="s">
        <v>13134</v>
      </c>
      <c r="U3041" t="s">
        <v>13134</v>
      </c>
      <c r="V3041" t="s">
        <v>13134</v>
      </c>
      <c r="W3041" t="s">
        <v>16122</v>
      </c>
      <c r="X3041">
        <v>11</v>
      </c>
      <c r="Y3041" t="s">
        <v>22549</v>
      </c>
      <c r="Z3041" t="s">
        <v>29009</v>
      </c>
      <c r="AA3041">
        <v>0.46144483658211749</v>
      </c>
      <c r="AB3041" t="str">
        <f>HYPERLINK("Melting_Curves/meltCurve_P62269_RPS18.pdf", "Melting_Curves/meltCurve_P62269_RPS18.pdf")</f>
        <v>Melting_Curves/meltCurve_P62269_RPS18.pdf</v>
      </c>
    </row>
    <row r="3042" spans="1:28" x14ac:dyDescent="0.25">
      <c r="A3042" t="s">
        <v>3046</v>
      </c>
      <c r="B3042">
        <v>0.99472303558308395</v>
      </c>
      <c r="C3042">
        <v>0.637571478760667</v>
      </c>
      <c r="D3042">
        <v>1.04338935380701</v>
      </c>
      <c r="E3042">
        <v>0.85100557923430897</v>
      </c>
      <c r="F3042">
        <v>0.91783657538819197</v>
      </c>
      <c r="G3042">
        <v>0.47270198808279301</v>
      </c>
      <c r="H3042">
        <v>0.23906842607220699</v>
      </c>
      <c r="I3042">
        <v>0.21655833636344499</v>
      </c>
      <c r="J3042">
        <v>0.179584106215078</v>
      </c>
      <c r="K3042">
        <v>0.13768019037387499</v>
      </c>
      <c r="L3042">
        <v>1712.68588714104</v>
      </c>
      <c r="M3042">
        <v>32.320061108395599</v>
      </c>
      <c r="N3042">
        <v>53.690543040731697</v>
      </c>
      <c r="O3042">
        <v>52.789786493548398</v>
      </c>
      <c r="P3042">
        <v>-0.12677158345380801</v>
      </c>
      <c r="Q3042">
        <v>0.17175746482432999</v>
      </c>
      <c r="R3042">
        <v>0.868715312833513</v>
      </c>
      <c r="S3042" t="s">
        <v>9610</v>
      </c>
      <c r="T3042" t="s">
        <v>13134</v>
      </c>
      <c r="U3042" t="s">
        <v>13134</v>
      </c>
      <c r="V3042" t="s">
        <v>13134</v>
      </c>
      <c r="W3042" t="s">
        <v>16123</v>
      </c>
      <c r="X3042">
        <v>4</v>
      </c>
      <c r="Y3042" t="s">
        <v>22550</v>
      </c>
      <c r="Z3042" t="s">
        <v>29010</v>
      </c>
      <c r="AA3042">
        <v>0.61782887079663884</v>
      </c>
      <c r="AB3042" t="str">
        <f>HYPERLINK("Melting_Curves/meltCurve_P62273_RPS29.pdf", "Melting_Curves/meltCurve_P62273_RPS29.pdf")</f>
        <v>Melting_Curves/meltCurve_P62273_RPS29.pdf</v>
      </c>
    </row>
    <row r="3043" spans="1:28" x14ac:dyDescent="0.25">
      <c r="A3043" t="s">
        <v>3047</v>
      </c>
      <c r="B3043">
        <v>0.99472303558308395</v>
      </c>
      <c r="C3043">
        <v>0.80147387634733103</v>
      </c>
      <c r="D3043">
        <v>0.80085027489515104</v>
      </c>
      <c r="E3043">
        <v>0.74530703523925901</v>
      </c>
      <c r="F3043">
        <v>0.91264335514412798</v>
      </c>
      <c r="G3043">
        <v>0.26859530441958401</v>
      </c>
      <c r="H3043">
        <v>0.12985392879968399</v>
      </c>
      <c r="I3043">
        <v>0.111501830125791</v>
      </c>
      <c r="J3043">
        <v>8.7591894852458302E-2</v>
      </c>
      <c r="K3043">
        <v>0.120460367043921</v>
      </c>
      <c r="L3043">
        <v>2662.6401106737198</v>
      </c>
      <c r="M3043">
        <v>50.971839017095597</v>
      </c>
      <c r="N3043">
        <v>52.490675894259397</v>
      </c>
      <c r="O3043">
        <v>52.157255056690097</v>
      </c>
      <c r="P3043">
        <v>-0.21768997930460199</v>
      </c>
      <c r="Q3043">
        <v>0.108990112762791</v>
      </c>
      <c r="R3043">
        <v>0.89030006786748594</v>
      </c>
      <c r="S3043" t="s">
        <v>9611</v>
      </c>
      <c r="T3043" t="s">
        <v>13134</v>
      </c>
      <c r="U3043" t="s">
        <v>13134</v>
      </c>
      <c r="V3043" t="s">
        <v>13134</v>
      </c>
      <c r="W3043" t="s">
        <v>16124</v>
      </c>
      <c r="X3043">
        <v>8</v>
      </c>
      <c r="Y3043" t="s">
        <v>22551</v>
      </c>
      <c r="Z3043" t="s">
        <v>29011</v>
      </c>
      <c r="AA3043">
        <v>0.56352252793757729</v>
      </c>
      <c r="AB3043" t="str">
        <f>HYPERLINK("Melting_Curves/meltCurve_P62277_RPS13.pdf", "Melting_Curves/meltCurve_P62277_RPS13.pdf")</f>
        <v>Melting_Curves/meltCurve_P62277_RPS13.pdf</v>
      </c>
    </row>
    <row r="3044" spans="1:28" x14ac:dyDescent="0.25">
      <c r="A3044" t="s">
        <v>3048</v>
      </c>
      <c r="B3044">
        <v>0.99472303558308395</v>
      </c>
      <c r="C3044">
        <v>0.88380942438997401</v>
      </c>
      <c r="D3044">
        <v>0.79315707705868599</v>
      </c>
      <c r="E3044">
        <v>0.60467424557558502</v>
      </c>
      <c r="F3044">
        <v>0.510128290860274</v>
      </c>
      <c r="G3044">
        <v>0.16328932399077301</v>
      </c>
      <c r="H3044">
        <v>7.6532639721726595E-2</v>
      </c>
      <c r="I3044">
        <v>5.02473038679567E-2</v>
      </c>
      <c r="J3044">
        <v>4.58323764846299E-2</v>
      </c>
      <c r="K3044">
        <v>5.3524636939428702E-2</v>
      </c>
      <c r="L3044">
        <v>592.553205264442</v>
      </c>
      <c r="M3044">
        <v>12.239480935714701</v>
      </c>
      <c r="N3044">
        <v>48.413262697500997</v>
      </c>
      <c r="O3044">
        <v>47.175292715730599</v>
      </c>
      <c r="P3044">
        <v>-6.4876194720222505E-2</v>
      </c>
      <c r="Q3044">
        <v>0</v>
      </c>
      <c r="R3044">
        <v>0.98095570311261304</v>
      </c>
      <c r="S3044" t="s">
        <v>9612</v>
      </c>
      <c r="T3044" t="s">
        <v>13134</v>
      </c>
      <c r="U3044" t="s">
        <v>13134</v>
      </c>
      <c r="V3044" t="s">
        <v>13134</v>
      </c>
      <c r="W3044" t="s">
        <v>16125</v>
      </c>
      <c r="X3044">
        <v>10</v>
      </c>
      <c r="Y3044" t="s">
        <v>22552</v>
      </c>
      <c r="Z3044" t="s">
        <v>29012</v>
      </c>
      <c r="AA3044">
        <v>0.41025664618572832</v>
      </c>
      <c r="AB3044" t="str">
        <f>HYPERLINK("Melting_Curves/meltCurve_P62280_RPS11.pdf", "Melting_Curves/meltCurve_P62280_RPS11.pdf")</f>
        <v>Melting_Curves/meltCurve_P62280_RPS11.pdf</v>
      </c>
    </row>
    <row r="3045" spans="1:28" x14ac:dyDescent="0.25">
      <c r="A3045" t="s">
        <v>3049</v>
      </c>
      <c r="B3045">
        <v>0.99472303558308395</v>
      </c>
      <c r="C3045">
        <v>0.95182087903607204</v>
      </c>
      <c r="D3045">
        <v>0.91773851042879695</v>
      </c>
      <c r="E3045">
        <v>0.86198901494268798</v>
      </c>
      <c r="F3045">
        <v>0.90729708849465396</v>
      </c>
      <c r="G3045">
        <v>0.565251617940978</v>
      </c>
      <c r="H3045">
        <v>0.37223530105391101</v>
      </c>
      <c r="I3045">
        <v>0.35724295841930798</v>
      </c>
      <c r="J3045">
        <v>0.47153785281768801</v>
      </c>
      <c r="K3045">
        <v>0.37749012985333302</v>
      </c>
      <c r="L3045">
        <v>1908.6747550191501</v>
      </c>
      <c r="M3045">
        <v>36.441399302886502</v>
      </c>
      <c r="N3045">
        <v>54.637939704958399</v>
      </c>
      <c r="O3045">
        <v>52.2195826369069</v>
      </c>
      <c r="P3045">
        <v>-0.10653518728146601</v>
      </c>
      <c r="Q3045">
        <v>0.38935327054399499</v>
      </c>
      <c r="R3045">
        <v>0.94512458289961598</v>
      </c>
      <c r="S3045" t="s">
        <v>9613</v>
      </c>
      <c r="T3045" t="s">
        <v>13134</v>
      </c>
      <c r="U3045" t="s">
        <v>13134</v>
      </c>
      <c r="V3045" t="s">
        <v>13134</v>
      </c>
      <c r="W3045" t="s">
        <v>16126</v>
      </c>
      <c r="X3045">
        <v>4</v>
      </c>
      <c r="Y3045" t="s">
        <v>22553</v>
      </c>
      <c r="Z3045" t="s">
        <v>29013</v>
      </c>
      <c r="AA3045">
        <v>0.70499243229195618</v>
      </c>
      <c r="AB3045" t="str">
        <f>HYPERLINK("Melting_Curves/meltCurve_P62304_SNRPE.pdf", "Melting_Curves/meltCurve_P62304_SNRPE.pdf")</f>
        <v>Melting_Curves/meltCurve_P62304_SNRPE.pdf</v>
      </c>
    </row>
    <row r="3046" spans="1:28" x14ac:dyDescent="0.25">
      <c r="A3046" t="s">
        <v>3050</v>
      </c>
      <c r="B3046">
        <v>0.99472303558308395</v>
      </c>
      <c r="C3046">
        <v>0.83991061985009896</v>
      </c>
      <c r="D3046">
        <v>0.87628515454257505</v>
      </c>
      <c r="E3046">
        <v>0.78536399853823302</v>
      </c>
      <c r="F3046">
        <v>0.76954615937041404</v>
      </c>
      <c r="G3046">
        <v>0.50309674519511305</v>
      </c>
      <c r="H3046">
        <v>0.29067622420486999</v>
      </c>
      <c r="I3046">
        <v>0.339426022890361</v>
      </c>
      <c r="J3046">
        <v>0.43973936190765001</v>
      </c>
      <c r="K3046">
        <v>0.34108591530392801</v>
      </c>
      <c r="L3046">
        <v>528.98927969615397</v>
      </c>
      <c r="M3046">
        <v>10.502595330098501</v>
      </c>
      <c r="N3046">
        <v>54.522381250762798</v>
      </c>
      <c r="O3046">
        <v>48.644232733135297</v>
      </c>
      <c r="P3046">
        <v>-3.91263742169028E-2</v>
      </c>
      <c r="Q3046">
        <v>0.27541512201572999</v>
      </c>
      <c r="R3046">
        <v>0.90100408974100898</v>
      </c>
      <c r="S3046" t="s">
        <v>9614</v>
      </c>
      <c r="T3046" t="s">
        <v>13134</v>
      </c>
      <c r="U3046" t="s">
        <v>13134</v>
      </c>
      <c r="V3046" t="s">
        <v>13134</v>
      </c>
      <c r="W3046" t="s">
        <v>16127</v>
      </c>
      <c r="X3046">
        <v>2</v>
      </c>
      <c r="Y3046" t="s">
        <v>22554</v>
      </c>
      <c r="Z3046" t="s">
        <v>29014</v>
      </c>
      <c r="AA3046">
        <v>0.62094472660138278</v>
      </c>
      <c r="AB3046" t="str">
        <f>HYPERLINK("Melting_Curves/meltCurve_P62306_SNRPF.pdf", "Melting_Curves/meltCurve_P62306_SNRPF.pdf")</f>
        <v>Melting_Curves/meltCurve_P62306_SNRPF.pdf</v>
      </c>
    </row>
    <row r="3047" spans="1:28" x14ac:dyDescent="0.25">
      <c r="A3047" t="s">
        <v>3051</v>
      </c>
      <c r="B3047">
        <v>0.99472303558308395</v>
      </c>
      <c r="C3047">
        <v>0.86488135776604702</v>
      </c>
      <c r="D3047">
        <v>0.99465409944438599</v>
      </c>
      <c r="E3047">
        <v>0.783664939645214</v>
      </c>
      <c r="F3047">
        <v>0.59402251289588404</v>
      </c>
      <c r="G3047">
        <v>0.44158165897123702</v>
      </c>
      <c r="H3047">
        <v>0.30724936007123299</v>
      </c>
      <c r="I3047">
        <v>0.26949347478622598</v>
      </c>
      <c r="J3047">
        <v>0.36427433153217698</v>
      </c>
      <c r="K3047">
        <v>0.23061123242415099</v>
      </c>
      <c r="L3047">
        <v>763.64571041896204</v>
      </c>
      <c r="M3047">
        <v>15.414650559746001</v>
      </c>
      <c r="N3047">
        <v>51.988530139711898</v>
      </c>
      <c r="O3047">
        <v>48.728951799079297</v>
      </c>
      <c r="P3047">
        <v>-5.8680681298802599E-2</v>
      </c>
      <c r="Q3047">
        <v>0.25805947510396998</v>
      </c>
      <c r="R3047">
        <v>0.96574533208683599</v>
      </c>
      <c r="S3047" t="s">
        <v>9615</v>
      </c>
      <c r="T3047" t="s">
        <v>13134</v>
      </c>
      <c r="U3047" t="s">
        <v>13134</v>
      </c>
      <c r="V3047" t="s">
        <v>13134</v>
      </c>
      <c r="W3047" t="s">
        <v>16128</v>
      </c>
      <c r="X3047">
        <v>5</v>
      </c>
      <c r="Y3047" t="s">
        <v>22555</v>
      </c>
      <c r="Z3047" t="s">
        <v>29015</v>
      </c>
      <c r="AA3047">
        <v>0.58328729498477272</v>
      </c>
      <c r="AB3047" t="str">
        <f>HYPERLINK("Melting_Curves/meltCurve_P62308_SNRPG.pdf", "Melting_Curves/meltCurve_P62308_SNRPG.pdf")</f>
        <v>Melting_Curves/meltCurve_P62308_SNRPG.pdf</v>
      </c>
    </row>
    <row r="3048" spans="1:28" x14ac:dyDescent="0.25">
      <c r="A3048" t="s">
        <v>3052</v>
      </c>
      <c r="B3048">
        <v>0.99472303558308395</v>
      </c>
      <c r="C3048">
        <v>0.85555753110683497</v>
      </c>
      <c r="D3048">
        <v>1.1235587614287901</v>
      </c>
      <c r="E3048">
        <v>1.0809141184031399</v>
      </c>
      <c r="F3048">
        <v>0.98838324841046299</v>
      </c>
      <c r="G3048">
        <v>0.90947221856642202</v>
      </c>
      <c r="H3048">
        <v>0.32340722935324601</v>
      </c>
      <c r="I3048">
        <v>0.71854357599538898</v>
      </c>
      <c r="J3048">
        <v>0.66545489553585802</v>
      </c>
      <c r="K3048">
        <v>0.65400070905178598</v>
      </c>
      <c r="L3048">
        <v>13517.782720788</v>
      </c>
      <c r="M3048">
        <v>250</v>
      </c>
      <c r="O3048">
        <v>54.067670647893301</v>
      </c>
      <c r="P3048">
        <v>-0.473536646613547</v>
      </c>
      <c r="Q3048">
        <v>0.59035162498457305</v>
      </c>
      <c r="R3048">
        <v>0.73809992852473405</v>
      </c>
      <c r="S3048" t="s">
        <v>9616</v>
      </c>
      <c r="T3048" t="s">
        <v>13134</v>
      </c>
      <c r="U3048" t="s">
        <v>13134</v>
      </c>
      <c r="V3048" t="s">
        <v>13134</v>
      </c>
      <c r="W3048" t="s">
        <v>16129</v>
      </c>
      <c r="X3048">
        <v>3</v>
      </c>
      <c r="Y3048" t="s">
        <v>22556</v>
      </c>
      <c r="Z3048" t="s">
        <v>29016</v>
      </c>
      <c r="AA3048">
        <v>0.82349586568663513</v>
      </c>
      <c r="AB3048" t="str">
        <f>HYPERLINK("Melting_Curves/meltCurve_P62310_LSM3.pdf", "Melting_Curves/meltCurve_P62310_LSM3.pdf")</f>
        <v>Melting_Curves/meltCurve_P62310_LSM3.pdf</v>
      </c>
    </row>
    <row r="3049" spans="1:28" x14ac:dyDescent="0.25">
      <c r="A3049" t="s">
        <v>3053</v>
      </c>
      <c r="B3049">
        <v>0.99472303558308395</v>
      </c>
      <c r="C3049">
        <v>0.99037354413057099</v>
      </c>
      <c r="D3049">
        <v>1.06359499567745</v>
      </c>
      <c r="E3049">
        <v>1.0741384117111601</v>
      </c>
      <c r="F3049">
        <v>0.92503159025791803</v>
      </c>
      <c r="G3049">
        <v>0.837072208430377</v>
      </c>
      <c r="H3049">
        <v>0.57488562769421903</v>
      </c>
      <c r="I3049">
        <v>0.84427520456933403</v>
      </c>
      <c r="J3049">
        <v>1.17345778759533</v>
      </c>
      <c r="K3049">
        <v>0.92035393577084501</v>
      </c>
      <c r="L3049">
        <v>12534.472024172601</v>
      </c>
      <c r="M3049">
        <v>250</v>
      </c>
      <c r="O3049">
        <v>50.134684954495597</v>
      </c>
      <c r="P3049">
        <v>-0.16205230689528199</v>
      </c>
      <c r="Q3049">
        <v>0.87000895236371201</v>
      </c>
      <c r="R3049">
        <v>0.21806291533584099</v>
      </c>
      <c r="S3049" t="s">
        <v>9617</v>
      </c>
      <c r="T3049" t="s">
        <v>13134</v>
      </c>
      <c r="U3049" t="s">
        <v>13134</v>
      </c>
      <c r="V3049" t="s">
        <v>13134</v>
      </c>
      <c r="W3049" t="s">
        <v>16130</v>
      </c>
      <c r="X3049">
        <v>8</v>
      </c>
      <c r="Y3049" t="s">
        <v>22557</v>
      </c>
      <c r="Z3049" t="s">
        <v>29017</v>
      </c>
      <c r="AA3049">
        <v>0.9269473183476139</v>
      </c>
      <c r="AB3049" t="str">
        <f>HYPERLINK("Melting_Curves/meltCurve_P62312_LSM6.pdf", "Melting_Curves/meltCurve_P62312_LSM6.pdf")</f>
        <v>Melting_Curves/meltCurve_P62312_LSM6.pdf</v>
      </c>
    </row>
    <row r="3050" spans="1:28" x14ac:dyDescent="0.25">
      <c r="A3050" t="s">
        <v>3054</v>
      </c>
      <c r="B3050">
        <v>0.99472303558308395</v>
      </c>
      <c r="C3050">
        <v>1.02794615257999</v>
      </c>
      <c r="D3050">
        <v>0.88413997694424595</v>
      </c>
      <c r="E3050">
        <v>0.789793414091428</v>
      </c>
      <c r="F3050">
        <v>0.75069921949885099</v>
      </c>
      <c r="G3050">
        <v>0.41179148555721401</v>
      </c>
      <c r="H3050">
        <v>0.231355116847894</v>
      </c>
      <c r="I3050">
        <v>0.176165811235903</v>
      </c>
      <c r="J3050">
        <v>0.251434698711616</v>
      </c>
      <c r="K3050">
        <v>0.21523662983783601</v>
      </c>
      <c r="L3050">
        <v>819.065139663938</v>
      </c>
      <c r="M3050">
        <v>15.996611259956399</v>
      </c>
      <c r="N3050">
        <v>52.527164555392297</v>
      </c>
      <c r="O3050">
        <v>50.4223015449383</v>
      </c>
      <c r="P3050">
        <v>-6.6153168272739898E-2</v>
      </c>
      <c r="Q3050">
        <v>0.16599034539374699</v>
      </c>
      <c r="R3050">
        <v>0.97015949866927298</v>
      </c>
      <c r="S3050" t="s">
        <v>9618</v>
      </c>
      <c r="T3050" t="s">
        <v>13134</v>
      </c>
      <c r="U3050" t="s">
        <v>13134</v>
      </c>
      <c r="V3050" t="s">
        <v>13134</v>
      </c>
      <c r="W3050" t="s">
        <v>16131</v>
      </c>
      <c r="X3050">
        <v>4</v>
      </c>
      <c r="Y3050" t="s">
        <v>22558</v>
      </c>
      <c r="Z3050" t="s">
        <v>29018</v>
      </c>
      <c r="AA3050">
        <v>0.57610172636403356</v>
      </c>
      <c r="AB3050" t="str">
        <f>HYPERLINK("Melting_Curves/meltCurve_P62314_SNRPD1.pdf", "Melting_Curves/meltCurve_P62314_SNRPD1.pdf")</f>
        <v>Melting_Curves/meltCurve_P62314_SNRPD1.pdf</v>
      </c>
    </row>
    <row r="3051" spans="1:28" x14ac:dyDescent="0.25">
      <c r="A3051" t="s">
        <v>3055</v>
      </c>
      <c r="B3051">
        <v>0.99472303558308395</v>
      </c>
      <c r="C3051">
        <v>0.99819868141521995</v>
      </c>
      <c r="D3051">
        <v>0.93716489324441399</v>
      </c>
      <c r="E3051">
        <v>0.83371207603138797</v>
      </c>
      <c r="F3051">
        <v>0.73834200001471495</v>
      </c>
      <c r="G3051">
        <v>0.441251022852374</v>
      </c>
      <c r="H3051">
        <v>0.20620681205967301</v>
      </c>
      <c r="I3051">
        <v>0.19709392373135601</v>
      </c>
      <c r="J3051">
        <v>0.26665810540895302</v>
      </c>
      <c r="K3051">
        <v>0.225932755349078</v>
      </c>
      <c r="L3051">
        <v>1000.37380661182</v>
      </c>
      <c r="M3051">
        <v>19.4947911750366</v>
      </c>
      <c r="N3051">
        <v>52.643884166190297</v>
      </c>
      <c r="O3051">
        <v>50.784125270447802</v>
      </c>
      <c r="P3051">
        <v>-7.7321389584124406E-2</v>
      </c>
      <c r="Q3051">
        <v>0.19433707019190199</v>
      </c>
      <c r="R3051">
        <v>0.98096281107928096</v>
      </c>
      <c r="S3051" t="s">
        <v>9619</v>
      </c>
      <c r="T3051" t="s">
        <v>13134</v>
      </c>
      <c r="U3051" t="s">
        <v>13134</v>
      </c>
      <c r="V3051" t="s">
        <v>13134</v>
      </c>
      <c r="W3051" t="s">
        <v>16132</v>
      </c>
      <c r="X3051">
        <v>15</v>
      </c>
      <c r="Y3051" t="s">
        <v>22559</v>
      </c>
      <c r="Z3051" t="s">
        <v>29019</v>
      </c>
      <c r="AA3051">
        <v>0.58972920898227665</v>
      </c>
      <c r="AB3051" t="str">
        <f>HYPERLINK("Melting_Curves/meltCurve_P62316_SNRPD2.pdf", "Melting_Curves/meltCurve_P62316_SNRPD2.pdf")</f>
        <v>Melting_Curves/meltCurve_P62316_SNRPD2.pdf</v>
      </c>
    </row>
    <row r="3052" spans="1:28" x14ac:dyDescent="0.25">
      <c r="A3052" t="s">
        <v>3056</v>
      </c>
      <c r="B3052">
        <v>0.99472303558308395</v>
      </c>
      <c r="C3052">
        <v>1.08425877070858</v>
      </c>
      <c r="D3052">
        <v>0.95183404836146202</v>
      </c>
      <c r="E3052">
        <v>0.93827546424809405</v>
      </c>
      <c r="F3052">
        <v>0.75219944601404098</v>
      </c>
      <c r="G3052">
        <v>0.65287733788206304</v>
      </c>
      <c r="H3052">
        <v>0.62945136076905295</v>
      </c>
      <c r="I3052">
        <v>0.69878913359782902</v>
      </c>
      <c r="J3052">
        <v>1.0655798220532</v>
      </c>
      <c r="K3052">
        <v>0.74023335645202804</v>
      </c>
      <c r="L3052">
        <v>11700.326651625101</v>
      </c>
      <c r="M3052">
        <v>250</v>
      </c>
      <c r="O3052">
        <v>46.798311474284702</v>
      </c>
      <c r="P3052">
        <v>-0.32516966254121199</v>
      </c>
      <c r="Q3052">
        <v>0.75652174106454295</v>
      </c>
      <c r="R3052">
        <v>0.50273341196136201</v>
      </c>
      <c r="S3052" t="s">
        <v>9620</v>
      </c>
      <c r="T3052" t="s">
        <v>13134</v>
      </c>
      <c r="U3052" t="s">
        <v>13134</v>
      </c>
      <c r="V3052" t="s">
        <v>13134</v>
      </c>
      <c r="W3052" t="s">
        <v>16133</v>
      </c>
      <c r="X3052">
        <v>8</v>
      </c>
      <c r="Y3052" t="s">
        <v>22560</v>
      </c>
      <c r="Z3052" t="s">
        <v>29020</v>
      </c>
      <c r="AA3052">
        <v>0.8360885748836111</v>
      </c>
      <c r="AB3052" t="str">
        <f>HYPERLINK("Melting_Curves/meltCurve_P62328_TMSB4X.pdf", "Melting_Curves/meltCurve_P62328_TMSB4X.pdf")</f>
        <v>Melting_Curves/meltCurve_P62328_TMSB4X.pdf</v>
      </c>
    </row>
    <row r="3053" spans="1:28" x14ac:dyDescent="0.25">
      <c r="A3053" t="s">
        <v>3057</v>
      </c>
      <c r="B3053">
        <v>0.99472303558308395</v>
      </c>
      <c r="C3053">
        <v>1.1133362599935701</v>
      </c>
      <c r="D3053">
        <v>0.94251059600335996</v>
      </c>
      <c r="E3053">
        <v>0.88547845283119198</v>
      </c>
      <c r="F3053">
        <v>0.67182245273571595</v>
      </c>
      <c r="G3053">
        <v>0.48773033353461798</v>
      </c>
      <c r="H3053">
        <v>0.25688887180905601</v>
      </c>
      <c r="I3053">
        <v>0.19307838360742199</v>
      </c>
      <c r="J3053">
        <v>0.13712754482880099</v>
      </c>
      <c r="K3053">
        <v>6.8713804391413905E-2</v>
      </c>
      <c r="L3053">
        <v>752.887214889034</v>
      </c>
      <c r="M3053">
        <v>14.245169238481701</v>
      </c>
      <c r="N3053">
        <v>53.230092505774401</v>
      </c>
      <c r="O3053">
        <v>51.843282218386499</v>
      </c>
      <c r="P3053">
        <v>-6.5397115760509994E-2</v>
      </c>
      <c r="Q3053">
        <v>4.8103425591388103E-2</v>
      </c>
      <c r="R3053">
        <v>0.98681908269112895</v>
      </c>
      <c r="S3053" t="s">
        <v>9621</v>
      </c>
      <c r="T3053" t="s">
        <v>13134</v>
      </c>
      <c r="U3053" t="s">
        <v>13134</v>
      </c>
      <c r="V3053" t="s">
        <v>13134</v>
      </c>
      <c r="W3053" t="s">
        <v>16134</v>
      </c>
      <c r="X3053">
        <v>4</v>
      </c>
      <c r="Y3053" t="s">
        <v>22561</v>
      </c>
      <c r="Z3053" t="s">
        <v>29021</v>
      </c>
      <c r="AA3053">
        <v>0.569138964225544</v>
      </c>
      <c r="AB3053" t="str">
        <f>HYPERLINK("Melting_Curves/meltCurve_P62330_ARF6.pdf", "Melting_Curves/meltCurve_P62330_ARF6.pdf")</f>
        <v>Melting_Curves/meltCurve_P62330_ARF6.pdf</v>
      </c>
    </row>
    <row r="3054" spans="1:28" x14ac:dyDescent="0.25">
      <c r="A3054" t="s">
        <v>3058</v>
      </c>
      <c r="B3054">
        <v>0.99472303558308395</v>
      </c>
      <c r="C3054">
        <v>0.90603980134850004</v>
      </c>
      <c r="D3054">
        <v>0.81974734364819302</v>
      </c>
      <c r="E3054">
        <v>0.724000556906369</v>
      </c>
      <c r="F3054">
        <v>0.655667519143599</v>
      </c>
      <c r="G3054">
        <v>0.28289587640493402</v>
      </c>
      <c r="H3054">
        <v>0.11403731761172201</v>
      </c>
      <c r="I3054">
        <v>4.6431895797054298E-2</v>
      </c>
      <c r="J3054">
        <v>4.5430672686179001E-2</v>
      </c>
      <c r="K3054">
        <v>4.1249372412854202E-2</v>
      </c>
      <c r="L3054">
        <v>672.93219920869001</v>
      </c>
      <c r="M3054">
        <v>13.310595900391499</v>
      </c>
      <c r="N3054">
        <v>50.556131203488398</v>
      </c>
      <c r="O3054">
        <v>49.455888785403403</v>
      </c>
      <c r="P3054">
        <v>-6.7296025387062697E-2</v>
      </c>
      <c r="Q3054">
        <v>0</v>
      </c>
      <c r="R3054">
        <v>0.97306281249400794</v>
      </c>
      <c r="S3054" t="s">
        <v>9622</v>
      </c>
      <c r="T3054" t="s">
        <v>13134</v>
      </c>
      <c r="U3054" t="s">
        <v>13134</v>
      </c>
      <c r="V3054" t="s">
        <v>13134</v>
      </c>
      <c r="W3054" t="s">
        <v>16135</v>
      </c>
      <c r="X3054">
        <v>33</v>
      </c>
      <c r="Y3054" t="s">
        <v>22562</v>
      </c>
      <c r="Z3054" t="s">
        <v>29022</v>
      </c>
      <c r="AA3054">
        <v>0.47579543543694391</v>
      </c>
      <c r="AB3054" t="str">
        <f>HYPERLINK("Melting_Curves/meltCurve_P62333_PSMC6.pdf", "Melting_Curves/meltCurve_P62333_PSMC6.pdf")</f>
        <v>Melting_Curves/meltCurve_P62333_PSMC6.pdf</v>
      </c>
    </row>
    <row r="3055" spans="1:28" x14ac:dyDescent="0.25">
      <c r="A3055" t="s">
        <v>3059</v>
      </c>
      <c r="B3055">
        <v>0.99472303558308395</v>
      </c>
      <c r="C3055">
        <v>0.92146165006853098</v>
      </c>
      <c r="D3055">
        <v>0.83097539221691696</v>
      </c>
      <c r="E3055">
        <v>0.75907522664677296</v>
      </c>
      <c r="F3055">
        <v>0.96602117491186701</v>
      </c>
      <c r="G3055">
        <v>0.33055666843442799</v>
      </c>
      <c r="H3055">
        <v>0.24157833961318101</v>
      </c>
      <c r="I3055">
        <v>0.16309390936285201</v>
      </c>
      <c r="J3055">
        <v>5.9787127415081701E-2</v>
      </c>
      <c r="K3055">
        <v>0.16544084728521</v>
      </c>
      <c r="L3055">
        <v>3042.97756688646</v>
      </c>
      <c r="M3055">
        <v>57.838841074556697</v>
      </c>
      <c r="N3055">
        <v>52.948843144564897</v>
      </c>
      <c r="O3055">
        <v>52.548534455904999</v>
      </c>
      <c r="P3055">
        <v>-0.23274064813725601</v>
      </c>
      <c r="Q3055">
        <v>0.15418954496363399</v>
      </c>
      <c r="R3055">
        <v>0.91731377438986805</v>
      </c>
      <c r="S3055" t="s">
        <v>9623</v>
      </c>
      <c r="T3055" t="s">
        <v>13134</v>
      </c>
      <c r="U3055" t="s">
        <v>13134</v>
      </c>
      <c r="V3055" t="s">
        <v>13134</v>
      </c>
      <c r="W3055" t="s">
        <v>16136</v>
      </c>
      <c r="X3055">
        <v>11</v>
      </c>
      <c r="Y3055" t="s">
        <v>22563</v>
      </c>
      <c r="Z3055" t="s">
        <v>29023</v>
      </c>
      <c r="AA3055">
        <v>0.59579465311044899</v>
      </c>
      <c r="AB3055" t="str">
        <f>HYPERLINK("Melting_Curves/meltCurve_P62424_RPL7A.pdf", "Melting_Curves/meltCurve_P62424_RPL7A.pdf")</f>
        <v>Melting_Curves/meltCurve_P62424_RPL7A.pdf</v>
      </c>
    </row>
    <row r="3056" spans="1:28" x14ac:dyDescent="0.25">
      <c r="A3056" t="s">
        <v>3060</v>
      </c>
      <c r="B3056">
        <v>0.99472303558308395</v>
      </c>
      <c r="C3056">
        <v>0.96036094867742094</v>
      </c>
      <c r="D3056">
        <v>0.89140301709691605</v>
      </c>
      <c r="E3056">
        <v>0.88496657147676705</v>
      </c>
      <c r="F3056">
        <v>0.84480759329740795</v>
      </c>
      <c r="G3056">
        <v>0.73685444532983002</v>
      </c>
      <c r="H3056">
        <v>0.62429304762495397</v>
      </c>
      <c r="I3056">
        <v>0.71394235503902104</v>
      </c>
      <c r="J3056">
        <v>0.65921826124569005</v>
      </c>
      <c r="K3056">
        <v>0.229737810730406</v>
      </c>
      <c r="L3056">
        <v>377.88339364426298</v>
      </c>
      <c r="M3056">
        <v>5.8714855317403298</v>
      </c>
      <c r="N3056">
        <v>64.359077713519</v>
      </c>
      <c r="O3056">
        <v>58.075422236166297</v>
      </c>
      <c r="P3056">
        <v>-2.5363658970787399E-2</v>
      </c>
      <c r="Q3056">
        <v>0</v>
      </c>
      <c r="R3056">
        <v>0.79167091589957606</v>
      </c>
      <c r="S3056" t="s">
        <v>9624</v>
      </c>
      <c r="T3056" t="s">
        <v>13134</v>
      </c>
      <c r="U3056" t="s">
        <v>13134</v>
      </c>
      <c r="V3056" t="s">
        <v>13134</v>
      </c>
      <c r="W3056" t="s">
        <v>16137</v>
      </c>
      <c r="X3056">
        <v>6</v>
      </c>
      <c r="Y3056" t="s">
        <v>22564</v>
      </c>
      <c r="Z3056" t="s">
        <v>29024</v>
      </c>
      <c r="AA3056">
        <v>0.76922440301952288</v>
      </c>
      <c r="AB3056" t="str">
        <f>HYPERLINK("Melting_Curves/meltCurve_P62487_POLR2G.pdf", "Melting_Curves/meltCurve_P62487_POLR2G.pdf")</f>
        <v>Melting_Curves/meltCurve_P62487_POLR2G.pdf</v>
      </c>
    </row>
    <row r="3057" spans="1:28" x14ac:dyDescent="0.25">
      <c r="A3057" t="s">
        <v>3061</v>
      </c>
      <c r="B3057">
        <v>0.99472303558308395</v>
      </c>
      <c r="C3057">
        <v>0.93015912736210005</v>
      </c>
      <c r="D3057">
        <v>0.93779414810822703</v>
      </c>
      <c r="E3057">
        <v>0.90490526266101301</v>
      </c>
      <c r="F3057">
        <v>0.69319063153834504</v>
      </c>
      <c r="G3057">
        <v>0.13639219077482201</v>
      </c>
      <c r="H3057">
        <v>5.7650871032030697E-2</v>
      </c>
      <c r="I3057">
        <v>3.6509794438332202E-2</v>
      </c>
      <c r="J3057">
        <v>3.6970530608801899E-2</v>
      </c>
      <c r="K3057">
        <v>3.2677343034267198E-2</v>
      </c>
      <c r="L3057">
        <v>1944.20116811303</v>
      </c>
      <c r="M3057">
        <v>38.047469952649799</v>
      </c>
      <c r="N3057">
        <v>51.191295181589197</v>
      </c>
      <c r="O3057">
        <v>50.958805018631303</v>
      </c>
      <c r="P3057">
        <v>-0.18049400949562999</v>
      </c>
      <c r="Q3057">
        <v>3.30252365324206E-2</v>
      </c>
      <c r="R3057">
        <v>0.99183378913679998</v>
      </c>
      <c r="S3057" t="s">
        <v>9625</v>
      </c>
      <c r="T3057" t="s">
        <v>13134</v>
      </c>
      <c r="U3057" t="s">
        <v>13134</v>
      </c>
      <c r="V3057" t="s">
        <v>13134</v>
      </c>
      <c r="W3057" t="s">
        <v>16138</v>
      </c>
      <c r="X3057">
        <v>13</v>
      </c>
      <c r="Y3057" t="s">
        <v>22565</v>
      </c>
      <c r="Z3057" t="s">
        <v>29025</v>
      </c>
      <c r="AA3057">
        <v>0.49125265857789308</v>
      </c>
      <c r="AB3057" t="str">
        <f>HYPERLINK("Melting_Curves/meltCurve_P62495_ETF1.pdf", "Melting_Curves/meltCurve_P62495_ETF1.pdf")</f>
        <v>Melting_Curves/meltCurve_P62495_ETF1.pdf</v>
      </c>
    </row>
    <row r="3058" spans="1:28" x14ac:dyDescent="0.25">
      <c r="A3058" t="s">
        <v>3062</v>
      </c>
      <c r="B3058">
        <v>0.99472303558308395</v>
      </c>
      <c r="C3058">
        <v>1.01597988204982</v>
      </c>
      <c r="D3058">
        <v>1.0020401303848001</v>
      </c>
      <c r="E3058">
        <v>0.88025801667819603</v>
      </c>
      <c r="F3058">
        <v>0.67698740939714697</v>
      </c>
      <c r="G3058">
        <v>0.51040136249621604</v>
      </c>
      <c r="H3058">
        <v>0.38570183655740198</v>
      </c>
      <c r="I3058">
        <v>0.42705716830367801</v>
      </c>
      <c r="J3058">
        <v>0.62132055102696004</v>
      </c>
      <c r="K3058">
        <v>0.49362308775241898</v>
      </c>
      <c r="L3058">
        <v>1402.0067911165399</v>
      </c>
      <c r="M3058">
        <v>28.623475679940299</v>
      </c>
      <c r="N3058">
        <v>55.283553672039297</v>
      </c>
      <c r="O3058">
        <v>48.7438044143287</v>
      </c>
      <c r="P3058">
        <v>-7.6212293504522396E-2</v>
      </c>
      <c r="Q3058">
        <v>0.48086696508593402</v>
      </c>
      <c r="R3058">
        <v>0.93862777277970999</v>
      </c>
      <c r="S3058" t="s">
        <v>9626</v>
      </c>
      <c r="T3058" t="s">
        <v>13134</v>
      </c>
      <c r="U3058" t="s">
        <v>13134</v>
      </c>
      <c r="V3058" t="s">
        <v>13134</v>
      </c>
      <c r="W3058" t="s">
        <v>16139</v>
      </c>
      <c r="X3058">
        <v>12</v>
      </c>
      <c r="Y3058" t="s">
        <v>22566</v>
      </c>
      <c r="Z3058" t="s">
        <v>29026</v>
      </c>
      <c r="AA3058">
        <v>0.6916283436464139</v>
      </c>
      <c r="AB3058" t="str">
        <f>HYPERLINK("Melting_Curves/meltCurve_P62633_2_CNBP.pdf", "Melting_Curves/meltCurve_P62633_2_CNBP.pdf")</f>
        <v>Melting_Curves/meltCurve_P62633_2_CNBP.pdf</v>
      </c>
    </row>
    <row r="3059" spans="1:28" x14ac:dyDescent="0.25">
      <c r="A3059" t="s">
        <v>3063</v>
      </c>
      <c r="B3059">
        <v>0.99472303558308395</v>
      </c>
      <c r="C3059">
        <v>0.96729841242737602</v>
      </c>
      <c r="D3059">
        <v>0.92718863709218902</v>
      </c>
      <c r="E3059">
        <v>0.92559715411272003</v>
      </c>
      <c r="F3059">
        <v>0.68911678717017699</v>
      </c>
      <c r="G3059">
        <v>0.56260582453482699</v>
      </c>
      <c r="H3059">
        <v>0.40951474784144898</v>
      </c>
      <c r="I3059">
        <v>0.454998521011581</v>
      </c>
      <c r="J3059">
        <v>0.45138643929814798</v>
      </c>
      <c r="K3059">
        <v>0.39208248202607299</v>
      </c>
      <c r="L3059">
        <v>981.938767830752</v>
      </c>
      <c r="M3059">
        <v>19.558323023411202</v>
      </c>
      <c r="N3059">
        <v>55.1046033028802</v>
      </c>
      <c r="O3059">
        <v>49.6896593983477</v>
      </c>
      <c r="P3059">
        <v>-5.78495951355446E-2</v>
      </c>
      <c r="Q3059">
        <v>0.412132792562798</v>
      </c>
      <c r="R3059">
        <v>0.98255332878689905</v>
      </c>
      <c r="S3059" t="s">
        <v>9627</v>
      </c>
      <c r="T3059" t="s">
        <v>13134</v>
      </c>
      <c r="U3059" t="s">
        <v>13134</v>
      </c>
      <c r="V3059" t="s">
        <v>13134</v>
      </c>
      <c r="W3059" t="s">
        <v>16140</v>
      </c>
      <c r="X3059">
        <v>12</v>
      </c>
      <c r="Y3059" t="s">
        <v>22566</v>
      </c>
      <c r="Z3059" t="s">
        <v>29027</v>
      </c>
      <c r="AA3059">
        <v>0.67894546849722337</v>
      </c>
      <c r="AB3059" t="str">
        <f>HYPERLINK("Melting_Curves/meltCurve_P62633_4_CNBP.pdf", "Melting_Curves/meltCurve_P62633_4_CNBP.pdf")</f>
        <v>Melting_Curves/meltCurve_P62633_4_CNBP.pdf</v>
      </c>
    </row>
    <row r="3060" spans="1:28" x14ac:dyDescent="0.25">
      <c r="A3060" t="s">
        <v>3064</v>
      </c>
      <c r="B3060">
        <v>0.99472303558308395</v>
      </c>
      <c r="C3060">
        <v>0.77109979027403797</v>
      </c>
      <c r="D3060">
        <v>0.89630141047238698</v>
      </c>
      <c r="E3060">
        <v>0.77167096678523195</v>
      </c>
      <c r="F3060">
        <v>0.74050626778158701</v>
      </c>
      <c r="G3060">
        <v>0.47611400938119303</v>
      </c>
      <c r="H3060">
        <v>0.39142619866554801</v>
      </c>
      <c r="I3060">
        <v>0.39065476104637897</v>
      </c>
      <c r="J3060">
        <v>0.47858313773205002</v>
      </c>
      <c r="K3060">
        <v>0.39550915577213003</v>
      </c>
      <c r="L3060">
        <v>422.24794281312199</v>
      </c>
      <c r="M3060">
        <v>8.5289732320637999</v>
      </c>
      <c r="N3060">
        <v>55.984943591930801</v>
      </c>
      <c r="O3060">
        <v>47.010979401648299</v>
      </c>
      <c r="P3060">
        <v>-3.11594835067158E-2</v>
      </c>
      <c r="Q3060">
        <v>0.31361684587175298</v>
      </c>
      <c r="R3060">
        <v>0.87967498040950798</v>
      </c>
      <c r="S3060" t="s">
        <v>9628</v>
      </c>
      <c r="T3060" t="s">
        <v>13134</v>
      </c>
      <c r="U3060" t="s">
        <v>13134</v>
      </c>
      <c r="V3060" t="s">
        <v>13134</v>
      </c>
      <c r="W3060" t="s">
        <v>16141</v>
      </c>
      <c r="X3060">
        <v>11</v>
      </c>
      <c r="Y3060" t="s">
        <v>22566</v>
      </c>
      <c r="Z3060" t="s">
        <v>29028</v>
      </c>
      <c r="AA3060">
        <v>0.62813410896160626</v>
      </c>
      <c r="AB3060" t="str">
        <f>HYPERLINK("Melting_Curves/meltCurve_P62633_5_CNBP.pdf", "Melting_Curves/meltCurve_P62633_5_CNBP.pdf")</f>
        <v>Melting_Curves/meltCurve_P62633_5_CNBP.pdf</v>
      </c>
    </row>
    <row r="3061" spans="1:28" x14ac:dyDescent="0.25">
      <c r="A3061" t="s">
        <v>3065</v>
      </c>
      <c r="B3061">
        <v>0.99472303558308395</v>
      </c>
      <c r="C3061">
        <v>0.93625073391313596</v>
      </c>
      <c r="D3061">
        <v>0.730348021512496</v>
      </c>
      <c r="E3061">
        <v>0.51084672892627703</v>
      </c>
      <c r="F3061">
        <v>0.405061240196884</v>
      </c>
      <c r="G3061">
        <v>0.15027687360689401</v>
      </c>
      <c r="H3061">
        <v>8.4635616640771405E-2</v>
      </c>
      <c r="I3061">
        <v>4.9174569602924399E-2</v>
      </c>
      <c r="J3061">
        <v>4.3499889413602402E-2</v>
      </c>
      <c r="K3061">
        <v>6.4461448164067403E-2</v>
      </c>
      <c r="L3061">
        <v>579.30978231985102</v>
      </c>
      <c r="M3061">
        <v>12.2913688726667</v>
      </c>
      <c r="N3061">
        <v>47.195225915508502</v>
      </c>
      <c r="O3061">
        <v>45.935967114345203</v>
      </c>
      <c r="P3061">
        <v>-6.6357477488725794E-2</v>
      </c>
      <c r="Q3061">
        <v>8.2388621528147708E-3</v>
      </c>
      <c r="R3061">
        <v>0.98974564214048499</v>
      </c>
      <c r="S3061" t="s">
        <v>9629</v>
      </c>
      <c r="T3061" t="s">
        <v>13134</v>
      </c>
      <c r="U3061" t="s">
        <v>13134</v>
      </c>
      <c r="V3061" t="s">
        <v>13134</v>
      </c>
      <c r="W3061" t="s">
        <v>16142</v>
      </c>
      <c r="X3061">
        <v>3</v>
      </c>
      <c r="Y3061" t="s">
        <v>22567</v>
      </c>
      <c r="Z3061" t="s">
        <v>29029</v>
      </c>
      <c r="AA3061">
        <v>0.37434608911907091</v>
      </c>
      <c r="AB3061" t="str">
        <f>HYPERLINK("Melting_Curves/meltCurve_P62699_YPEL5.pdf", "Melting_Curves/meltCurve_P62699_YPEL5.pdf")</f>
        <v>Melting_Curves/meltCurve_P62699_YPEL5.pdf</v>
      </c>
    </row>
    <row r="3062" spans="1:28" x14ac:dyDescent="0.25">
      <c r="A3062" t="s">
        <v>3066</v>
      </c>
      <c r="B3062">
        <v>0.99472303558308395</v>
      </c>
      <c r="C3062">
        <v>0.87683625161077206</v>
      </c>
      <c r="D3062">
        <v>0.93585067149766399</v>
      </c>
      <c r="E3062">
        <v>0.676524243131436</v>
      </c>
      <c r="F3062">
        <v>0.47704363198592897</v>
      </c>
      <c r="G3062">
        <v>0.194938850446297</v>
      </c>
      <c r="H3062">
        <v>8.8436706385817299E-2</v>
      </c>
      <c r="I3062">
        <v>5.73921381307545E-2</v>
      </c>
      <c r="J3062">
        <v>4.8770548610552897E-2</v>
      </c>
      <c r="K3062">
        <v>6.2908595008338994E-2</v>
      </c>
      <c r="L3062">
        <v>750.34427171125299</v>
      </c>
      <c r="M3062">
        <v>15.2716221197217</v>
      </c>
      <c r="N3062">
        <v>49.245964973375898</v>
      </c>
      <c r="O3062">
        <v>48.313879836228701</v>
      </c>
      <c r="P3062">
        <v>-7.7672904978567797E-2</v>
      </c>
      <c r="Q3062">
        <v>1.71768766484586E-2</v>
      </c>
      <c r="R3062">
        <v>0.98897741111665805</v>
      </c>
      <c r="S3062" t="s">
        <v>9630</v>
      </c>
      <c r="T3062" t="s">
        <v>13134</v>
      </c>
      <c r="U3062" t="s">
        <v>13134</v>
      </c>
      <c r="V3062" t="s">
        <v>13134</v>
      </c>
      <c r="W3062" t="s">
        <v>16143</v>
      </c>
      <c r="X3062">
        <v>17</v>
      </c>
      <c r="Y3062" t="s">
        <v>22568</v>
      </c>
      <c r="Z3062" t="s">
        <v>29030</v>
      </c>
      <c r="AA3062">
        <v>0.43515843666255721</v>
      </c>
      <c r="AB3062" t="str">
        <f>HYPERLINK("Melting_Curves/meltCurve_P62701_RPS4X.pdf", "Melting_Curves/meltCurve_P62701_RPS4X.pdf")</f>
        <v>Melting_Curves/meltCurve_P62701_RPS4X.pdf</v>
      </c>
    </row>
    <row r="3063" spans="1:28" x14ac:dyDescent="0.25">
      <c r="A3063" t="s">
        <v>3067</v>
      </c>
      <c r="B3063">
        <v>0.99472303558308395</v>
      </c>
      <c r="C3063">
        <v>0.82552356111173697</v>
      </c>
      <c r="D3063">
        <v>0.89343864251765504</v>
      </c>
      <c r="E3063">
        <v>0.82141730652995304</v>
      </c>
      <c r="F3063">
        <v>0.72663356564023496</v>
      </c>
      <c r="G3063">
        <v>0.50993900762109601</v>
      </c>
      <c r="H3063">
        <v>0.45235978939961502</v>
      </c>
      <c r="I3063">
        <v>0.26224884623269001</v>
      </c>
      <c r="J3063">
        <v>0.13250840259323901</v>
      </c>
      <c r="K3063">
        <v>9.1547969968856904E-2</v>
      </c>
      <c r="L3063">
        <v>515.91895991149499</v>
      </c>
      <c r="M3063">
        <v>9.4923469900576602</v>
      </c>
      <c r="N3063">
        <v>54.351047994300998</v>
      </c>
      <c r="O3063">
        <v>52.102816825925501</v>
      </c>
      <c r="P3063">
        <v>-4.5573251339321802E-2</v>
      </c>
      <c r="Q3063">
        <v>0</v>
      </c>
      <c r="R3063">
        <v>0.96372553699795305</v>
      </c>
      <c r="S3063" t="s">
        <v>9631</v>
      </c>
      <c r="T3063" t="s">
        <v>13134</v>
      </c>
      <c r="U3063" t="s">
        <v>13134</v>
      </c>
      <c r="V3063" t="s">
        <v>13134</v>
      </c>
      <c r="W3063" t="s">
        <v>16144</v>
      </c>
      <c r="X3063">
        <v>19</v>
      </c>
      <c r="Y3063" t="s">
        <v>20056</v>
      </c>
      <c r="Z3063" t="s">
        <v>29031</v>
      </c>
      <c r="AA3063">
        <v>0.59350658078278506</v>
      </c>
      <c r="AB3063" t="str">
        <f>HYPERLINK("Melting_Curves/meltCurve_P62714_PPP2CB.pdf", "Melting_Curves/meltCurve_P62714_PPP2CB.pdf")</f>
        <v>Melting_Curves/meltCurve_P62714_PPP2CB.pdf</v>
      </c>
    </row>
    <row r="3064" spans="1:28" x14ac:dyDescent="0.25">
      <c r="A3064" t="s">
        <v>3068</v>
      </c>
      <c r="B3064">
        <v>0.99472303558308395</v>
      </c>
      <c r="C3064">
        <v>0.87411533440377898</v>
      </c>
      <c r="D3064">
        <v>0.97919377454337397</v>
      </c>
      <c r="E3064">
        <v>0.85375756156118099</v>
      </c>
      <c r="F3064">
        <v>0.63456651504652295</v>
      </c>
      <c r="G3064">
        <v>0.34808382783706299</v>
      </c>
      <c r="H3064">
        <v>0.17845902874776501</v>
      </c>
      <c r="I3064">
        <v>0.117251525677214</v>
      </c>
      <c r="J3064">
        <v>0.103183435358858</v>
      </c>
      <c r="K3064">
        <v>9.3223600006982807E-2</v>
      </c>
      <c r="L3064">
        <v>898.08371002406102</v>
      </c>
      <c r="M3064">
        <v>17.525622744903199</v>
      </c>
      <c r="N3064">
        <v>51.685895337529402</v>
      </c>
      <c r="O3064">
        <v>50.590817851920697</v>
      </c>
      <c r="P3064">
        <v>-8.0584222348512397E-2</v>
      </c>
      <c r="Q3064">
        <v>6.9568413472320206E-2</v>
      </c>
      <c r="R3064">
        <v>0.98881175095089202</v>
      </c>
      <c r="S3064" t="s">
        <v>9632</v>
      </c>
      <c r="T3064" t="s">
        <v>13134</v>
      </c>
      <c r="U3064" t="s">
        <v>13134</v>
      </c>
      <c r="V3064" t="s">
        <v>13134</v>
      </c>
      <c r="W3064" t="s">
        <v>16145</v>
      </c>
      <c r="X3064">
        <v>9</v>
      </c>
      <c r="Y3064" t="s">
        <v>22569</v>
      </c>
      <c r="Z3064" t="s">
        <v>29032</v>
      </c>
      <c r="AA3064">
        <v>0.52628211731186159</v>
      </c>
      <c r="AB3064" t="str">
        <f>HYPERLINK("Melting_Curves/meltCurve_P62750_RPL23A.pdf", "Melting_Curves/meltCurve_P62750_RPL23A.pdf")</f>
        <v>Melting_Curves/meltCurve_P62750_RPL23A.pdf</v>
      </c>
    </row>
    <row r="3065" spans="1:28" x14ac:dyDescent="0.25">
      <c r="A3065" t="s">
        <v>3069</v>
      </c>
      <c r="B3065">
        <v>0.99472303558308395</v>
      </c>
      <c r="C3065">
        <v>0.95215254570910801</v>
      </c>
      <c r="D3065">
        <v>0.82336642733086896</v>
      </c>
      <c r="E3065">
        <v>0.70151484886646198</v>
      </c>
      <c r="F3065">
        <v>0.70236750511555901</v>
      </c>
      <c r="G3065">
        <v>0.19843750982981101</v>
      </c>
      <c r="H3065">
        <v>0.110006345537846</v>
      </c>
      <c r="I3065">
        <v>6.5948757102180594E-2</v>
      </c>
      <c r="J3065">
        <v>5.0191403201053003E-2</v>
      </c>
      <c r="K3065">
        <v>6.7944060526100095E-2</v>
      </c>
      <c r="L3065">
        <v>699.56890355667895</v>
      </c>
      <c r="M3065">
        <v>13.860024363831499</v>
      </c>
      <c r="N3065">
        <v>50.473861246269301</v>
      </c>
      <c r="O3065">
        <v>49.457956774863398</v>
      </c>
      <c r="P3065">
        <v>-7.00692897328377E-2</v>
      </c>
      <c r="Q3065">
        <v>0</v>
      </c>
      <c r="R3065">
        <v>0.95824197455593296</v>
      </c>
      <c r="S3065" t="s">
        <v>9633</v>
      </c>
      <c r="T3065" t="s">
        <v>13134</v>
      </c>
      <c r="U3065" t="s">
        <v>13134</v>
      </c>
      <c r="V3065" t="s">
        <v>13134</v>
      </c>
      <c r="W3065" t="s">
        <v>16146</v>
      </c>
      <c r="X3065">
        <v>10</v>
      </c>
      <c r="Y3065" t="s">
        <v>22570</v>
      </c>
      <c r="Z3065" t="s">
        <v>29033</v>
      </c>
      <c r="AA3065">
        <v>0.47197352702949141</v>
      </c>
      <c r="AB3065" t="str">
        <f>HYPERLINK("Melting_Curves/meltCurve_P62753_RPS6.pdf", "Melting_Curves/meltCurve_P62753_RPS6.pdf")</f>
        <v>Melting_Curves/meltCurve_P62753_RPS6.pdf</v>
      </c>
    </row>
    <row r="3066" spans="1:28" x14ac:dyDescent="0.25">
      <c r="A3066" t="s">
        <v>3070</v>
      </c>
      <c r="B3066">
        <v>0.99472303558308395</v>
      </c>
      <c r="C3066">
        <v>0.86888407048981398</v>
      </c>
      <c r="D3066">
        <v>0.82265112457846001</v>
      </c>
      <c r="E3066">
        <v>0.48838029112300202</v>
      </c>
      <c r="F3066">
        <v>0.19966411958467101</v>
      </c>
      <c r="G3066">
        <v>0.128994486283001</v>
      </c>
      <c r="H3066">
        <v>7.6367124569111905E-2</v>
      </c>
      <c r="I3066">
        <v>8.81496536361841E-2</v>
      </c>
      <c r="J3066">
        <v>4.9917860615216497E-2</v>
      </c>
      <c r="K3066">
        <v>4.6397705520587598E-2</v>
      </c>
      <c r="L3066">
        <v>813.11876628953098</v>
      </c>
      <c r="M3066">
        <v>17.647601709643201</v>
      </c>
      <c r="N3066">
        <v>46.353403615287803</v>
      </c>
      <c r="O3066">
        <v>45.4959005138683</v>
      </c>
      <c r="P3066">
        <v>-9.2107399558305603E-2</v>
      </c>
      <c r="Q3066">
        <v>5.0231153850197399E-2</v>
      </c>
      <c r="R3066">
        <v>0.99368111461387598</v>
      </c>
      <c r="S3066" t="s">
        <v>9634</v>
      </c>
      <c r="T3066" t="s">
        <v>13134</v>
      </c>
      <c r="U3066" t="s">
        <v>13134</v>
      </c>
      <c r="V3066" t="s">
        <v>13134</v>
      </c>
      <c r="W3066" t="s">
        <v>16147</v>
      </c>
      <c r="X3066">
        <v>10</v>
      </c>
      <c r="Y3066" t="s">
        <v>22571</v>
      </c>
      <c r="Z3066" t="s">
        <v>29034</v>
      </c>
      <c r="AA3066">
        <v>0.35350007898661828</v>
      </c>
      <c r="AB3066" t="str">
        <f>HYPERLINK("Melting_Curves/meltCurve_P62805_HIST1H4A.pdf", "Melting_Curves/meltCurve_P62805_HIST1H4A.pdf")</f>
        <v>Melting_Curves/meltCurve_P62805_HIST1H4A.pdf</v>
      </c>
    </row>
    <row r="3067" spans="1:28" x14ac:dyDescent="0.25">
      <c r="A3067" t="s">
        <v>3071</v>
      </c>
      <c r="B3067">
        <v>0.99472303558308395</v>
      </c>
      <c r="C3067">
        <v>0.98166950429961197</v>
      </c>
      <c r="D3067">
        <v>1.00097138792942</v>
      </c>
      <c r="E3067">
        <v>0.93323406710796497</v>
      </c>
      <c r="F3067">
        <v>0.71953344467907998</v>
      </c>
      <c r="G3067">
        <v>0.61049668367898402</v>
      </c>
      <c r="H3067">
        <v>0.54556847637787997</v>
      </c>
      <c r="I3067">
        <v>0.61591001770960296</v>
      </c>
      <c r="J3067">
        <v>0.77752864247553999</v>
      </c>
      <c r="K3067">
        <v>0.63700174842953405</v>
      </c>
      <c r="L3067">
        <v>1945.33933525114</v>
      </c>
      <c r="M3067">
        <v>40.143720259260498</v>
      </c>
      <c r="O3067">
        <v>48.3395812944201</v>
      </c>
      <c r="P3067">
        <v>-7.5286642854430902E-2</v>
      </c>
      <c r="Q3067">
        <v>0.63737119150691501</v>
      </c>
      <c r="R3067">
        <v>0.89690624213200598</v>
      </c>
      <c r="S3067" t="s">
        <v>9635</v>
      </c>
      <c r="T3067" t="s">
        <v>13134</v>
      </c>
      <c r="U3067" t="s">
        <v>13134</v>
      </c>
      <c r="V3067" t="s">
        <v>13134</v>
      </c>
      <c r="W3067" t="s">
        <v>16148</v>
      </c>
      <c r="X3067">
        <v>20</v>
      </c>
      <c r="Y3067" t="s">
        <v>22572</v>
      </c>
      <c r="Z3067" t="s">
        <v>29035</v>
      </c>
      <c r="AA3067">
        <v>0.77709361505941321</v>
      </c>
      <c r="AB3067" t="str">
        <f>HYPERLINK("Melting_Curves/meltCurve_P62820_RAB1A.pdf", "Melting_Curves/meltCurve_P62820_RAB1A.pdf")</f>
        <v>Melting_Curves/meltCurve_P62820_RAB1A.pdf</v>
      </c>
    </row>
    <row r="3068" spans="1:28" x14ac:dyDescent="0.25">
      <c r="A3068" t="s">
        <v>3072</v>
      </c>
      <c r="B3068">
        <v>0.99472303558308395</v>
      </c>
      <c r="C3068">
        <v>0.82668470040845299</v>
      </c>
      <c r="D3068">
        <v>0.82582060622090903</v>
      </c>
      <c r="E3068">
        <v>0.72801256449635099</v>
      </c>
      <c r="F3068">
        <v>0.475271256235758</v>
      </c>
      <c r="G3068">
        <v>0.23879701551554</v>
      </c>
      <c r="H3068">
        <v>9.2565719110745695E-2</v>
      </c>
      <c r="I3068">
        <v>3.7156489162313698E-2</v>
      </c>
      <c r="J3068">
        <v>3.22134086141945E-2</v>
      </c>
      <c r="K3068">
        <v>3.1057693303451601E-2</v>
      </c>
      <c r="L3068">
        <v>642.246052776704</v>
      </c>
      <c r="M3068">
        <v>13.043325412474999</v>
      </c>
      <c r="N3068">
        <v>49.239427873980901</v>
      </c>
      <c r="O3068">
        <v>48.125151935354502</v>
      </c>
      <c r="P3068">
        <v>-6.7769137115501393E-2</v>
      </c>
      <c r="Q3068">
        <v>0</v>
      </c>
      <c r="R3068">
        <v>0.98072049814867801</v>
      </c>
      <c r="S3068" t="s">
        <v>9636</v>
      </c>
      <c r="T3068" t="s">
        <v>13134</v>
      </c>
      <c r="U3068" t="s">
        <v>13134</v>
      </c>
      <c r="V3068" t="s">
        <v>13134</v>
      </c>
      <c r="W3068" t="s">
        <v>16149</v>
      </c>
      <c r="X3068">
        <v>10</v>
      </c>
      <c r="Y3068" t="s">
        <v>22573</v>
      </c>
      <c r="Z3068" t="s">
        <v>29036</v>
      </c>
      <c r="AA3068">
        <v>0.43421151417686249</v>
      </c>
      <c r="AB3068" t="str">
        <f>HYPERLINK("Melting_Curves/meltCurve_P62829_RPL23.pdf", "Melting_Curves/meltCurve_P62829_RPL23.pdf")</f>
        <v>Melting_Curves/meltCurve_P62829_RPL23.pdf</v>
      </c>
    </row>
    <row r="3069" spans="1:28" x14ac:dyDescent="0.25">
      <c r="A3069" t="s">
        <v>3073</v>
      </c>
      <c r="B3069">
        <v>0.99472303558308395</v>
      </c>
      <c r="C3069">
        <v>0.99577452939771605</v>
      </c>
      <c r="D3069">
        <v>0.93877835152607803</v>
      </c>
      <c r="E3069">
        <v>0.93509032739578002</v>
      </c>
      <c r="F3069">
        <v>0.81645479775276297</v>
      </c>
      <c r="G3069">
        <v>0.64619334272784001</v>
      </c>
      <c r="H3069">
        <v>0.54128956831333397</v>
      </c>
      <c r="I3069">
        <v>0.57240139547486202</v>
      </c>
      <c r="J3069">
        <v>0.64749235433645502</v>
      </c>
      <c r="K3069">
        <v>0.64026227452381101</v>
      </c>
      <c r="L3069">
        <v>1421.16070241275</v>
      </c>
      <c r="M3069">
        <v>28.332738375690798</v>
      </c>
      <c r="O3069">
        <v>49.911761244013597</v>
      </c>
      <c r="P3069">
        <v>-5.7028675358327001E-2</v>
      </c>
      <c r="Q3069">
        <v>0.59814975052243402</v>
      </c>
      <c r="R3069">
        <v>0.95358919936513298</v>
      </c>
      <c r="S3069" t="s">
        <v>9637</v>
      </c>
      <c r="T3069" t="s">
        <v>13134</v>
      </c>
      <c r="U3069" t="s">
        <v>13134</v>
      </c>
      <c r="V3069" t="s">
        <v>13134</v>
      </c>
      <c r="W3069" t="s">
        <v>16150</v>
      </c>
      <c r="X3069">
        <v>16</v>
      </c>
      <c r="Y3069" t="s">
        <v>22574</v>
      </c>
      <c r="Z3069" t="s">
        <v>29037</v>
      </c>
      <c r="AA3069">
        <v>0.77718913213492347</v>
      </c>
      <c r="AB3069" t="str">
        <f>HYPERLINK("Melting_Curves/meltCurve_P62834_RAP1A.pdf", "Melting_Curves/meltCurve_P62834_RAP1A.pdf")</f>
        <v>Melting_Curves/meltCurve_P62834_RAP1A.pdf</v>
      </c>
    </row>
    <row r="3070" spans="1:28" x14ac:dyDescent="0.25">
      <c r="A3070" t="s">
        <v>3074</v>
      </c>
      <c r="B3070">
        <v>0.99472303558308395</v>
      </c>
      <c r="C3070">
        <v>2.1461901807204899</v>
      </c>
      <c r="D3070">
        <v>0.98827409637447505</v>
      </c>
      <c r="E3070">
        <v>1.1465561580652199</v>
      </c>
      <c r="F3070">
        <v>4.6515982017131199</v>
      </c>
      <c r="G3070">
        <v>0.86267654576975705</v>
      </c>
      <c r="H3070">
        <v>0.263090551092658</v>
      </c>
      <c r="I3070">
        <v>8.7092268377842202E-2</v>
      </c>
      <c r="J3070">
        <v>5.82243705854616E-2</v>
      </c>
      <c r="K3070">
        <v>4.9853850912702502E-2</v>
      </c>
      <c r="L3070">
        <v>3534.9407666258398</v>
      </c>
      <c r="M3070">
        <v>63.0018633382875</v>
      </c>
      <c r="N3070">
        <v>56.234847863359803</v>
      </c>
      <c r="O3070">
        <v>56.052063876504697</v>
      </c>
      <c r="P3070">
        <v>-0.26245436844870401</v>
      </c>
      <c r="Q3070">
        <v>6.5989290647010701E-2</v>
      </c>
      <c r="R3070">
        <v>0.170526965205264</v>
      </c>
      <c r="S3070" t="s">
        <v>9638</v>
      </c>
      <c r="T3070" t="s">
        <v>13134</v>
      </c>
      <c r="U3070" t="s">
        <v>13134</v>
      </c>
      <c r="V3070" t="s">
        <v>13134</v>
      </c>
      <c r="W3070" t="s">
        <v>16151</v>
      </c>
      <c r="X3070">
        <v>5</v>
      </c>
      <c r="Y3070" t="s">
        <v>22575</v>
      </c>
      <c r="Z3070" t="s">
        <v>29038</v>
      </c>
      <c r="AA3070">
        <v>0.66235925547164209</v>
      </c>
      <c r="AB3070" t="str">
        <f>HYPERLINK("Melting_Curves/meltCurve_P62837_UBE2D2.pdf", "Melting_Curves/meltCurve_P62837_UBE2D2.pdf")</f>
        <v>Melting_Curves/meltCurve_P62837_UBE2D2.pdf</v>
      </c>
    </row>
    <row r="3071" spans="1:28" x14ac:dyDescent="0.25">
      <c r="A3071" t="s">
        <v>3075</v>
      </c>
      <c r="B3071">
        <v>0.99472303558308395</v>
      </c>
      <c r="C3071">
        <v>0.74712997186687502</v>
      </c>
      <c r="D3071">
        <v>0.98067855722367503</v>
      </c>
      <c r="E3071">
        <v>0.92031625914318904</v>
      </c>
      <c r="F3071">
        <v>0.70232887338552297</v>
      </c>
      <c r="G3071">
        <v>0.38771353561733601</v>
      </c>
      <c r="H3071">
        <v>0.27412596068564299</v>
      </c>
      <c r="I3071">
        <v>0.21771910949420001</v>
      </c>
      <c r="J3071">
        <v>0.199579176541028</v>
      </c>
      <c r="K3071">
        <v>0.17953519135588999</v>
      </c>
      <c r="L3071">
        <v>1085.9503384617401</v>
      </c>
      <c r="M3071">
        <v>21.149578782229199</v>
      </c>
      <c r="N3071">
        <v>52.482331893043103</v>
      </c>
      <c r="O3071">
        <v>50.8937461734632</v>
      </c>
      <c r="P3071">
        <v>-8.4810692756058806E-2</v>
      </c>
      <c r="Q3071">
        <v>0.18367691196928501</v>
      </c>
      <c r="R3071">
        <v>0.93929199177190803</v>
      </c>
      <c r="S3071" t="s">
        <v>9639</v>
      </c>
      <c r="T3071" t="s">
        <v>13134</v>
      </c>
      <c r="U3071" t="s">
        <v>13134</v>
      </c>
      <c r="V3071" t="s">
        <v>13134</v>
      </c>
      <c r="W3071" t="s">
        <v>16152</v>
      </c>
      <c r="X3071">
        <v>5</v>
      </c>
      <c r="Y3071" t="s">
        <v>22576</v>
      </c>
      <c r="Z3071" t="s">
        <v>29039</v>
      </c>
      <c r="AA3071">
        <v>0.58375085160259166</v>
      </c>
      <c r="AB3071" t="str">
        <f>HYPERLINK("Melting_Curves/meltCurve_P62851_RPS25.pdf", "Melting_Curves/meltCurve_P62851_RPS25.pdf")</f>
        <v>Melting_Curves/meltCurve_P62851_RPS25.pdf</v>
      </c>
    </row>
    <row r="3072" spans="1:28" x14ac:dyDescent="0.25">
      <c r="A3072" t="s">
        <v>3076</v>
      </c>
      <c r="B3072">
        <v>0.99472303558308395</v>
      </c>
      <c r="C3072">
        <v>1.0327932871086301</v>
      </c>
      <c r="D3072">
        <v>0.95057714764318801</v>
      </c>
      <c r="E3072">
        <v>0.78738206553734602</v>
      </c>
      <c r="F3072">
        <v>0.62874430976254903</v>
      </c>
      <c r="G3072">
        <v>0.26354558932977301</v>
      </c>
      <c r="H3072">
        <v>0.121359194451585</v>
      </c>
      <c r="I3072">
        <v>9.1672553756153394E-2</v>
      </c>
      <c r="J3072">
        <v>9.3836113796613205E-2</v>
      </c>
      <c r="K3072">
        <v>9.7451707098620596E-2</v>
      </c>
      <c r="L3072">
        <v>953.59302558786896</v>
      </c>
      <c r="M3072">
        <v>18.855514438289202</v>
      </c>
      <c r="N3072">
        <v>50.940186757423596</v>
      </c>
      <c r="O3072">
        <v>50.015154996078302</v>
      </c>
      <c r="P3072">
        <v>-8.8274601693493798E-2</v>
      </c>
      <c r="Q3072">
        <v>6.3428244376095302E-2</v>
      </c>
      <c r="R3072">
        <v>0.99226368853394997</v>
      </c>
      <c r="S3072" t="s">
        <v>9640</v>
      </c>
      <c r="T3072" t="s">
        <v>13134</v>
      </c>
      <c r="U3072" t="s">
        <v>13134</v>
      </c>
      <c r="V3072" t="s">
        <v>13134</v>
      </c>
      <c r="W3072" t="s">
        <v>16153</v>
      </c>
      <c r="X3072">
        <v>3</v>
      </c>
      <c r="Y3072" t="s">
        <v>22577</v>
      </c>
      <c r="Z3072" t="s">
        <v>29040</v>
      </c>
      <c r="AA3072">
        <v>0.50076408132929429</v>
      </c>
      <c r="AB3072" t="str">
        <f>HYPERLINK("Melting_Curves/meltCurve_P62854_RPS26.pdf", "Melting_Curves/meltCurve_P62854_RPS26.pdf")</f>
        <v>Melting_Curves/meltCurve_P62854_RPS26.pdf</v>
      </c>
    </row>
    <row r="3073" spans="1:28" x14ac:dyDescent="0.25">
      <c r="A3073" t="s">
        <v>3077</v>
      </c>
      <c r="B3073">
        <v>0.99472303558308395</v>
      </c>
      <c r="C3073">
        <v>0.96905927948748904</v>
      </c>
      <c r="D3073">
        <v>1.05164103862851</v>
      </c>
      <c r="E3073">
        <v>1.0674036518799701</v>
      </c>
      <c r="F3073">
        <v>1.05250235376226</v>
      </c>
      <c r="G3073">
        <v>0.93100468492189603</v>
      </c>
      <c r="H3073">
        <v>0.84513657996501201</v>
      </c>
      <c r="I3073">
        <v>1.1083916553113899</v>
      </c>
      <c r="J3073">
        <v>1.3584236169966699</v>
      </c>
      <c r="K3073">
        <v>1.00952442110645</v>
      </c>
      <c r="L3073">
        <v>15000</v>
      </c>
      <c r="M3073">
        <v>246.262253240869</v>
      </c>
      <c r="O3073">
        <v>60.906658715658899</v>
      </c>
      <c r="P3073">
        <v>0.18596333471459001</v>
      </c>
      <c r="Q3073">
        <v>1.1839730611455499</v>
      </c>
      <c r="R3073">
        <v>0.390402723992269</v>
      </c>
      <c r="S3073" t="s">
        <v>9641</v>
      </c>
      <c r="T3073" t="s">
        <v>13134</v>
      </c>
      <c r="U3073" t="s">
        <v>13134</v>
      </c>
      <c r="V3073" t="s">
        <v>13134</v>
      </c>
      <c r="W3073" t="s">
        <v>16154</v>
      </c>
      <c r="X3073">
        <v>11</v>
      </c>
      <c r="Y3073" t="s">
        <v>22578</v>
      </c>
      <c r="Z3073" t="s">
        <v>29041</v>
      </c>
      <c r="AA3073">
        <v>1.0373221259370971</v>
      </c>
      <c r="AB3073" t="str">
        <f>HYPERLINK("Melting_Curves/meltCurve_P62857_RPS28.pdf", "Melting_Curves/meltCurve_P62857_RPS28.pdf")</f>
        <v>Melting_Curves/meltCurve_P62857_RPS28.pdf</v>
      </c>
    </row>
    <row r="3074" spans="1:28" x14ac:dyDescent="0.25">
      <c r="A3074" t="s">
        <v>3078</v>
      </c>
      <c r="B3074">
        <v>0.99472303558308395</v>
      </c>
      <c r="C3074">
        <v>0.99283470772461702</v>
      </c>
      <c r="D3074">
        <v>0.95336563395581098</v>
      </c>
      <c r="E3074">
        <v>0.94586610590909503</v>
      </c>
      <c r="F3074">
        <v>0.79738377493800205</v>
      </c>
      <c r="G3074">
        <v>0.59706746245471498</v>
      </c>
      <c r="H3074">
        <v>0.17471861021098301</v>
      </c>
      <c r="I3074">
        <v>4.48189203440853E-2</v>
      </c>
      <c r="J3074">
        <v>3.4355909049107597E-2</v>
      </c>
      <c r="K3074">
        <v>3.2819258820451003E-2</v>
      </c>
      <c r="L3074">
        <v>1205.7824488563001</v>
      </c>
      <c r="M3074">
        <v>22.287831808373401</v>
      </c>
      <c r="N3074">
        <v>54.100484734571502</v>
      </c>
      <c r="O3074">
        <v>53.670602144193701</v>
      </c>
      <c r="P3074">
        <v>-0.103819891636976</v>
      </c>
      <c r="Q3074">
        <v>0</v>
      </c>
      <c r="R3074">
        <v>0.99245244360434304</v>
      </c>
      <c r="S3074" t="s">
        <v>9642</v>
      </c>
      <c r="T3074" t="s">
        <v>13134</v>
      </c>
      <c r="U3074" t="s">
        <v>13134</v>
      </c>
      <c r="V3074" t="s">
        <v>13134</v>
      </c>
      <c r="W3074" t="s">
        <v>16155</v>
      </c>
      <c r="X3074">
        <v>10</v>
      </c>
      <c r="Y3074" t="s">
        <v>22579</v>
      </c>
      <c r="Z3074" t="s">
        <v>29042</v>
      </c>
      <c r="AA3074">
        <v>0.58039958909097111</v>
      </c>
      <c r="AB3074" t="str">
        <f>HYPERLINK("Melting_Curves/meltCurve_P62873_GNB1.pdf", "Melting_Curves/meltCurve_P62873_GNB1.pdf")</f>
        <v>Melting_Curves/meltCurve_P62873_GNB1.pdf</v>
      </c>
    </row>
    <row r="3075" spans="1:28" x14ac:dyDescent="0.25">
      <c r="A3075" t="s">
        <v>3079</v>
      </c>
      <c r="B3075">
        <v>0.99472303558308395</v>
      </c>
      <c r="C3075">
        <v>0.78556954251186695</v>
      </c>
      <c r="D3075">
        <v>0.72661077912734995</v>
      </c>
      <c r="E3075">
        <v>0.47595585684989</v>
      </c>
      <c r="F3075">
        <v>0.27200681412546202</v>
      </c>
      <c r="G3075">
        <v>8.3206970500042401E-2</v>
      </c>
      <c r="H3075">
        <v>4.6263972033786203E-2</v>
      </c>
      <c r="I3075">
        <v>3.44796751738215E-2</v>
      </c>
      <c r="J3075">
        <v>4.3425834867125097E-2</v>
      </c>
      <c r="K3075">
        <v>4.2520614220958798E-2</v>
      </c>
      <c r="L3075">
        <v>580.91945945674195</v>
      </c>
      <c r="M3075">
        <v>12.6584349164618</v>
      </c>
      <c r="N3075">
        <v>45.891886575541299</v>
      </c>
      <c r="O3075">
        <v>44.791759379886301</v>
      </c>
      <c r="P3075">
        <v>-7.0665411814081397E-2</v>
      </c>
      <c r="Q3075">
        <v>0</v>
      </c>
      <c r="R3075">
        <v>0.98798336274290499</v>
      </c>
      <c r="S3075" t="s">
        <v>9643</v>
      </c>
      <c r="T3075" t="s">
        <v>13134</v>
      </c>
      <c r="U3075" t="s">
        <v>13134</v>
      </c>
      <c r="V3075" t="s">
        <v>13134</v>
      </c>
      <c r="W3075" t="s">
        <v>16156</v>
      </c>
      <c r="X3075">
        <v>2</v>
      </c>
      <c r="Y3075" t="s">
        <v>22580</v>
      </c>
      <c r="Z3075" t="s">
        <v>29043</v>
      </c>
      <c r="AA3075">
        <v>0.32800198584938328</v>
      </c>
      <c r="AB3075" t="str">
        <f>HYPERLINK("Melting_Curves/meltCurve_P62875_POLR2L.pdf", "Melting_Curves/meltCurve_P62875_POLR2L.pdf")</f>
        <v>Melting_Curves/meltCurve_P62875_POLR2L.pdf</v>
      </c>
    </row>
    <row r="3076" spans="1:28" x14ac:dyDescent="0.25">
      <c r="A3076" t="s">
        <v>3080</v>
      </c>
      <c r="B3076">
        <v>0.99472303558308395</v>
      </c>
      <c r="C3076">
        <v>0.941619326257081</v>
      </c>
      <c r="D3076">
        <v>0.90749974568423597</v>
      </c>
      <c r="E3076">
        <v>0.83899319707539899</v>
      </c>
      <c r="F3076">
        <v>0.75155617297135902</v>
      </c>
      <c r="G3076">
        <v>0.45232238925555501</v>
      </c>
      <c r="H3076">
        <v>0.201767720113668</v>
      </c>
      <c r="I3076">
        <v>0.221836071027079</v>
      </c>
      <c r="J3076">
        <v>0.22722530084866199</v>
      </c>
      <c r="K3076">
        <v>0.187679139536791</v>
      </c>
      <c r="L3076">
        <v>903.64598756493103</v>
      </c>
      <c r="M3076">
        <v>17.4846066308762</v>
      </c>
      <c r="N3076">
        <v>52.869743229716498</v>
      </c>
      <c r="O3076">
        <v>51.020536039755598</v>
      </c>
      <c r="P3076">
        <v>-7.1766850255729306E-2</v>
      </c>
      <c r="Q3076">
        <v>0.16237621493685001</v>
      </c>
      <c r="R3076">
        <v>0.97808012136104805</v>
      </c>
      <c r="S3076" t="s">
        <v>9644</v>
      </c>
      <c r="T3076" t="s">
        <v>13134</v>
      </c>
      <c r="U3076" t="s">
        <v>13134</v>
      </c>
      <c r="V3076" t="s">
        <v>13134</v>
      </c>
      <c r="W3076" t="s">
        <v>16157</v>
      </c>
      <c r="X3076">
        <v>4</v>
      </c>
      <c r="Y3076" t="s">
        <v>22581</v>
      </c>
      <c r="Z3076" t="s">
        <v>29044</v>
      </c>
      <c r="AA3076">
        <v>0.58565265207162631</v>
      </c>
      <c r="AB3076" t="str">
        <f>HYPERLINK("Melting_Curves/meltCurve_P62877_RBX1.pdf", "Melting_Curves/meltCurve_P62877_RBX1.pdf")</f>
        <v>Melting_Curves/meltCurve_P62877_RBX1.pdf</v>
      </c>
    </row>
    <row r="3077" spans="1:28" x14ac:dyDescent="0.25">
      <c r="A3077" t="s">
        <v>3081</v>
      </c>
      <c r="B3077">
        <v>0.99472303558308395</v>
      </c>
      <c r="C3077">
        <v>0.95513398341806999</v>
      </c>
      <c r="D3077">
        <v>0.91753870966294304</v>
      </c>
      <c r="E3077">
        <v>0.84216447317091203</v>
      </c>
      <c r="F3077">
        <v>0.68188795925449297</v>
      </c>
      <c r="G3077">
        <v>0.39054412864940002</v>
      </c>
      <c r="H3077">
        <v>8.0044151759577103E-2</v>
      </c>
      <c r="I3077">
        <v>3.4381137857890501E-2</v>
      </c>
      <c r="J3077">
        <v>3.3456180053237E-2</v>
      </c>
      <c r="K3077">
        <v>2.8079078181333501E-2</v>
      </c>
      <c r="L3077">
        <v>954.51955742370001</v>
      </c>
      <c r="M3077">
        <v>18.375612720929901</v>
      </c>
      <c r="N3077">
        <v>51.944906853635402</v>
      </c>
      <c r="O3077">
        <v>51.341443848238399</v>
      </c>
      <c r="P3077">
        <v>-8.9481552781044194E-2</v>
      </c>
      <c r="Q3077">
        <v>0</v>
      </c>
      <c r="R3077">
        <v>0.99005325612649697</v>
      </c>
      <c r="S3077" t="s">
        <v>9645</v>
      </c>
      <c r="T3077" t="s">
        <v>13134</v>
      </c>
      <c r="U3077" t="s">
        <v>13134</v>
      </c>
      <c r="V3077" t="s">
        <v>13134</v>
      </c>
      <c r="W3077" t="s">
        <v>16158</v>
      </c>
      <c r="X3077">
        <v>12</v>
      </c>
      <c r="Y3077" t="s">
        <v>22582</v>
      </c>
      <c r="Z3077" t="s">
        <v>29045</v>
      </c>
      <c r="AA3077">
        <v>0.51286409153126</v>
      </c>
      <c r="AB3077" t="str">
        <f>HYPERLINK("Melting_Curves/meltCurve_P62879_GNB2.pdf", "Melting_Curves/meltCurve_P62879_GNB2.pdf")</f>
        <v>Melting_Curves/meltCurve_P62879_GNB2.pdf</v>
      </c>
    </row>
    <row r="3078" spans="1:28" x14ac:dyDescent="0.25">
      <c r="A3078" t="s">
        <v>3082</v>
      </c>
      <c r="B3078">
        <v>0.99472303558308395</v>
      </c>
      <c r="C3078">
        <v>0.85227482369029195</v>
      </c>
      <c r="D3078">
        <v>0.78525352389661696</v>
      </c>
      <c r="E3078">
        <v>0.68903432453342095</v>
      </c>
      <c r="F3078">
        <v>0.647388234276562</v>
      </c>
      <c r="G3078">
        <v>0.220204376661505</v>
      </c>
      <c r="H3078">
        <v>0.134357710335752</v>
      </c>
      <c r="I3078">
        <v>7.4544715228603703E-2</v>
      </c>
      <c r="J3078">
        <v>7.0757343630513794E-2</v>
      </c>
      <c r="K3078">
        <v>8.5588551696530304E-2</v>
      </c>
      <c r="L3078">
        <v>559.18240805639903</v>
      </c>
      <c r="M3078">
        <v>11.215676659771599</v>
      </c>
      <c r="N3078">
        <v>49.857211033600002</v>
      </c>
      <c r="O3078">
        <v>48.351035173106801</v>
      </c>
      <c r="P3078">
        <v>-5.8009044570389398E-2</v>
      </c>
      <c r="Q3078">
        <v>0</v>
      </c>
      <c r="R3078">
        <v>0.95649987081677601</v>
      </c>
      <c r="S3078" t="s">
        <v>9646</v>
      </c>
      <c r="T3078" t="s">
        <v>13134</v>
      </c>
      <c r="U3078" t="s">
        <v>13134</v>
      </c>
      <c r="V3078" t="s">
        <v>13134</v>
      </c>
      <c r="W3078" t="s">
        <v>16159</v>
      </c>
      <c r="X3078">
        <v>6</v>
      </c>
      <c r="Y3078" t="s">
        <v>22583</v>
      </c>
      <c r="Z3078" t="s">
        <v>29046</v>
      </c>
      <c r="AA3078">
        <v>0.45911001232366222</v>
      </c>
      <c r="AB3078" t="str">
        <f>HYPERLINK("Melting_Curves/meltCurve_P62899_RPL31.pdf", "Melting_Curves/meltCurve_P62899_RPL31.pdf")</f>
        <v>Melting_Curves/meltCurve_P62899_RPL31.pdf</v>
      </c>
    </row>
    <row r="3079" spans="1:28" x14ac:dyDescent="0.25">
      <c r="A3079" t="s">
        <v>3083</v>
      </c>
      <c r="B3079">
        <v>0.99472303558308395</v>
      </c>
      <c r="C3079">
        <v>0.89988636016493395</v>
      </c>
      <c r="D3079">
        <v>0.81089073003210599</v>
      </c>
      <c r="E3079">
        <v>0.70341408860482602</v>
      </c>
      <c r="F3079">
        <v>0.81337524125849503</v>
      </c>
      <c r="G3079">
        <v>0.32304498383658697</v>
      </c>
      <c r="H3079">
        <v>0.15568220322606999</v>
      </c>
      <c r="I3079">
        <v>7.3828621529446706E-2</v>
      </c>
      <c r="J3079">
        <v>4.3265875068238098E-2</v>
      </c>
      <c r="K3079">
        <v>7.5871433228786006E-2</v>
      </c>
      <c r="L3079">
        <v>680.08623846637101</v>
      </c>
      <c r="M3079">
        <v>13.156452104234701</v>
      </c>
      <c r="N3079">
        <v>51.692221698791101</v>
      </c>
      <c r="O3079">
        <v>50.541722125610598</v>
      </c>
      <c r="P3079">
        <v>-6.5088159286773903E-2</v>
      </c>
      <c r="Q3079">
        <v>0</v>
      </c>
      <c r="R3079">
        <v>0.93439400189657396</v>
      </c>
      <c r="S3079" t="s">
        <v>9647</v>
      </c>
      <c r="T3079" t="s">
        <v>13134</v>
      </c>
      <c r="U3079" t="s">
        <v>13134</v>
      </c>
      <c r="V3079" t="s">
        <v>13134</v>
      </c>
      <c r="W3079" t="s">
        <v>16160</v>
      </c>
      <c r="X3079">
        <v>5</v>
      </c>
      <c r="Y3079" t="s">
        <v>22584</v>
      </c>
      <c r="Z3079" t="s">
        <v>29047</v>
      </c>
      <c r="AA3079">
        <v>0.51223623960772902</v>
      </c>
      <c r="AB3079" t="str">
        <f>HYPERLINK("Melting_Curves/meltCurve_P62906_RPL10A.pdf", "Melting_Curves/meltCurve_P62906_RPL10A.pdf")</f>
        <v>Melting_Curves/meltCurve_P62906_RPL10A.pdf</v>
      </c>
    </row>
    <row r="3080" spans="1:28" x14ac:dyDescent="0.25">
      <c r="A3080" t="s">
        <v>3084</v>
      </c>
      <c r="B3080">
        <v>0.99472303558308395</v>
      </c>
      <c r="C3080">
        <v>0.99302319531380501</v>
      </c>
      <c r="D3080">
        <v>1.0051249054893101</v>
      </c>
      <c r="E3080">
        <v>0.59490202095915301</v>
      </c>
      <c r="F3080">
        <v>0.39403103340122902</v>
      </c>
      <c r="G3080">
        <v>0.23933936710477699</v>
      </c>
      <c r="H3080">
        <v>0.11209824099553201</v>
      </c>
      <c r="I3080">
        <v>5.9483000125539198E-2</v>
      </c>
      <c r="J3080">
        <v>6.06884249483838E-2</v>
      </c>
      <c r="K3080">
        <v>3.9575919713330299E-2</v>
      </c>
      <c r="L3080">
        <v>830.58000887379103</v>
      </c>
      <c r="M3080">
        <v>17.1598577541879</v>
      </c>
      <c r="N3080">
        <v>48.691191487205501</v>
      </c>
      <c r="O3080">
        <v>47.759500809833902</v>
      </c>
      <c r="P3080">
        <v>-8.5484768011395804E-2</v>
      </c>
      <c r="Q3080">
        <v>4.8368173634093597E-2</v>
      </c>
      <c r="R3080">
        <v>0.986754941603733</v>
      </c>
      <c r="S3080" t="s">
        <v>9648</v>
      </c>
      <c r="T3080" t="s">
        <v>13134</v>
      </c>
      <c r="U3080" t="s">
        <v>13134</v>
      </c>
      <c r="V3080" t="s">
        <v>13134</v>
      </c>
      <c r="W3080" t="s">
        <v>16161</v>
      </c>
      <c r="X3080">
        <v>9</v>
      </c>
      <c r="Y3080" t="s">
        <v>22585</v>
      </c>
      <c r="Z3080" t="s">
        <v>29048</v>
      </c>
      <c r="AA3080">
        <v>0.42659462725436448</v>
      </c>
      <c r="AB3080" t="str">
        <f>HYPERLINK("Melting_Curves/meltCurve_P62913_2_RPL11.pdf", "Melting_Curves/meltCurve_P62913_2_RPL11.pdf")</f>
        <v>Melting_Curves/meltCurve_P62913_2_RPL11.pdf</v>
      </c>
    </row>
    <row r="3081" spans="1:28" x14ac:dyDescent="0.25">
      <c r="A3081" t="s">
        <v>3085</v>
      </c>
      <c r="B3081">
        <v>0.99472303558308395</v>
      </c>
      <c r="C3081">
        <v>0.93772511364862898</v>
      </c>
      <c r="D3081">
        <v>1.03013539235342</v>
      </c>
      <c r="E3081">
        <v>0.91650361820444903</v>
      </c>
      <c r="F3081">
        <v>0.50196365780043095</v>
      </c>
      <c r="G3081">
        <v>0.166221867945226</v>
      </c>
      <c r="H3081">
        <v>7.0115475637796104E-2</v>
      </c>
      <c r="I3081">
        <v>4.8681010353054402E-2</v>
      </c>
      <c r="J3081">
        <v>5.1110399591894298E-2</v>
      </c>
      <c r="K3081">
        <v>4.5482576930695399E-2</v>
      </c>
      <c r="L3081">
        <v>1512.31892243474</v>
      </c>
      <c r="M3081">
        <v>30.1895188693329</v>
      </c>
      <c r="N3081">
        <v>50.266359477137897</v>
      </c>
      <c r="O3081">
        <v>49.875911638734998</v>
      </c>
      <c r="P3081">
        <v>-0.14389046435076</v>
      </c>
      <c r="Q3081">
        <v>4.9123967766120699E-2</v>
      </c>
      <c r="R3081">
        <v>0.99695594054082304</v>
      </c>
      <c r="S3081" t="s">
        <v>9649</v>
      </c>
      <c r="T3081" t="s">
        <v>13134</v>
      </c>
      <c r="U3081" t="s">
        <v>13134</v>
      </c>
      <c r="V3081" t="s">
        <v>13134</v>
      </c>
      <c r="W3081" t="s">
        <v>16162</v>
      </c>
      <c r="X3081">
        <v>18</v>
      </c>
      <c r="Y3081" t="s">
        <v>22586</v>
      </c>
      <c r="Z3081" t="s">
        <v>29049</v>
      </c>
      <c r="AA3081">
        <v>0.46992609841505839</v>
      </c>
      <c r="AB3081" t="str">
        <f>HYPERLINK("Melting_Curves/meltCurve_P62937_PPIA.pdf", "Melting_Curves/meltCurve_P62937_PPIA.pdf")</f>
        <v>Melting_Curves/meltCurve_P62937_PPIA.pdf</v>
      </c>
    </row>
    <row r="3082" spans="1:28" x14ac:dyDescent="0.25">
      <c r="A3082" t="s">
        <v>3086</v>
      </c>
      <c r="B3082">
        <v>0.99472303558308395</v>
      </c>
      <c r="C3082">
        <v>1.04853834045465</v>
      </c>
      <c r="D3082">
        <v>1.0484983401311101</v>
      </c>
      <c r="E3082">
        <v>0.98712651119983896</v>
      </c>
      <c r="F3082">
        <v>0.75169616442231602</v>
      </c>
      <c r="G3082">
        <v>0.61722395696900301</v>
      </c>
      <c r="H3082">
        <v>0.33642552550775101</v>
      </c>
      <c r="I3082">
        <v>0.27291872320973298</v>
      </c>
      <c r="J3082">
        <v>0.268343014396071</v>
      </c>
      <c r="K3082">
        <v>0.22069143381327999</v>
      </c>
      <c r="L3082">
        <v>1021.03874927572</v>
      </c>
      <c r="M3082">
        <v>19.1979156225423</v>
      </c>
      <c r="N3082">
        <v>54.797363565116498</v>
      </c>
      <c r="O3082">
        <v>52.617886576691099</v>
      </c>
      <c r="P3082">
        <v>-7.15327464228524E-2</v>
      </c>
      <c r="Q3082">
        <v>0.21579865163522799</v>
      </c>
      <c r="R3082">
        <v>0.98678622919246695</v>
      </c>
      <c r="S3082" t="s">
        <v>9650</v>
      </c>
      <c r="T3082" t="s">
        <v>13134</v>
      </c>
      <c r="U3082" t="s">
        <v>13134</v>
      </c>
      <c r="V3082" t="s">
        <v>13134</v>
      </c>
      <c r="W3082" t="s">
        <v>16163</v>
      </c>
      <c r="X3082">
        <v>7</v>
      </c>
      <c r="Y3082" t="s">
        <v>22587</v>
      </c>
      <c r="Z3082" t="s">
        <v>29050</v>
      </c>
      <c r="AA3082">
        <v>0.64926211146384083</v>
      </c>
      <c r="AB3082" t="str">
        <f>HYPERLINK("Melting_Curves/meltCurve_P62942_FKBP1A.pdf", "Melting_Curves/meltCurve_P62942_FKBP1A.pdf")</f>
        <v>Melting_Curves/meltCurve_P62942_FKBP1A.pdf</v>
      </c>
    </row>
    <row r="3083" spans="1:28" x14ac:dyDescent="0.25">
      <c r="A3083" t="s">
        <v>3087</v>
      </c>
      <c r="B3083">
        <v>0.99472303558308395</v>
      </c>
      <c r="C3083">
        <v>0.97184507539704301</v>
      </c>
      <c r="D3083">
        <v>0.838427817211852</v>
      </c>
      <c r="E3083">
        <v>0.69915684725988603</v>
      </c>
      <c r="F3083">
        <v>0.58329478724984896</v>
      </c>
      <c r="G3083">
        <v>0.381591912297362</v>
      </c>
      <c r="H3083">
        <v>0.28645733582719102</v>
      </c>
      <c r="I3083">
        <v>0.29189822262801801</v>
      </c>
      <c r="J3083">
        <v>0.39156064270595697</v>
      </c>
      <c r="K3083">
        <v>0.32380908992331198</v>
      </c>
      <c r="L3083">
        <v>683.59370138424003</v>
      </c>
      <c r="M3083">
        <v>14.3753510305744</v>
      </c>
      <c r="N3083">
        <v>50.782689698106203</v>
      </c>
      <c r="O3083">
        <v>46.661361055388298</v>
      </c>
      <c r="P3083">
        <v>-5.3952455105706301E-2</v>
      </c>
      <c r="Q3083">
        <v>0.299580345173666</v>
      </c>
      <c r="R3083">
        <v>0.97520296718950705</v>
      </c>
      <c r="S3083" t="s">
        <v>9651</v>
      </c>
      <c r="T3083" t="s">
        <v>13134</v>
      </c>
      <c r="U3083" t="s">
        <v>13134</v>
      </c>
      <c r="V3083" t="s">
        <v>13134</v>
      </c>
      <c r="W3083" t="s">
        <v>16164</v>
      </c>
      <c r="X3083">
        <v>8</v>
      </c>
      <c r="Y3083" t="s">
        <v>22588</v>
      </c>
      <c r="Z3083" t="s">
        <v>29051</v>
      </c>
      <c r="AA3083">
        <v>0.56272476512410985</v>
      </c>
      <c r="AB3083" t="str">
        <f>HYPERLINK("Melting_Curves/meltCurve_P62979_RPS27A.pdf", "Melting_Curves/meltCurve_P62979_RPS27A.pdf")</f>
        <v>Melting_Curves/meltCurve_P62979_RPS27A.pdf</v>
      </c>
    </row>
    <row r="3084" spans="1:28" x14ac:dyDescent="0.25">
      <c r="A3084" t="s">
        <v>3088</v>
      </c>
      <c r="B3084">
        <v>0.99472303558308395</v>
      </c>
      <c r="C3084">
        <v>0.95151974412652196</v>
      </c>
      <c r="D3084">
        <v>0.94440521099641095</v>
      </c>
      <c r="E3084">
        <v>0.80289301194232898</v>
      </c>
      <c r="F3084">
        <v>0.55706824829657997</v>
      </c>
      <c r="G3084">
        <v>0.272683732942549</v>
      </c>
      <c r="H3084">
        <v>8.8374322801793997E-2</v>
      </c>
      <c r="I3084">
        <v>5.6003330375305201E-2</v>
      </c>
      <c r="J3084">
        <v>6.2932055258859199E-2</v>
      </c>
      <c r="K3084">
        <v>5.3835296154130803E-2</v>
      </c>
      <c r="L3084">
        <v>892.03116839339498</v>
      </c>
      <c r="M3084">
        <v>17.676743688213001</v>
      </c>
      <c r="N3084">
        <v>50.601607430077202</v>
      </c>
      <c r="O3084">
        <v>49.8309917217261</v>
      </c>
      <c r="P3084">
        <v>-8.6600296623995293E-2</v>
      </c>
      <c r="Q3084">
        <v>2.3541761244905798E-2</v>
      </c>
      <c r="R3084">
        <v>0.99697566712136798</v>
      </c>
      <c r="S3084" t="s">
        <v>9652</v>
      </c>
      <c r="T3084" t="s">
        <v>13134</v>
      </c>
      <c r="U3084" t="s">
        <v>13134</v>
      </c>
      <c r="V3084" t="s">
        <v>13134</v>
      </c>
      <c r="W3084" t="s">
        <v>16165</v>
      </c>
      <c r="X3084">
        <v>21</v>
      </c>
      <c r="Y3084" t="s">
        <v>22589</v>
      </c>
      <c r="Z3084" t="s">
        <v>29052</v>
      </c>
      <c r="AA3084">
        <v>0.47749669549688822</v>
      </c>
      <c r="AB3084" t="str">
        <f>HYPERLINK("Melting_Curves/meltCurve_P62993_GRB2.pdf", "Melting_Curves/meltCurve_P62993_GRB2.pdf")</f>
        <v>Melting_Curves/meltCurve_P62993_GRB2.pdf</v>
      </c>
    </row>
    <row r="3085" spans="1:28" x14ac:dyDescent="0.25">
      <c r="A3085" t="s">
        <v>3089</v>
      </c>
      <c r="B3085">
        <v>0.99472303558308395</v>
      </c>
      <c r="C3085">
        <v>0.77598465525634996</v>
      </c>
      <c r="D3085">
        <v>0.74080057399322097</v>
      </c>
      <c r="E3085">
        <v>0.59699862050508801</v>
      </c>
      <c r="F3085">
        <v>0.65225312172393302</v>
      </c>
      <c r="G3085">
        <v>0.26115775455287699</v>
      </c>
      <c r="H3085">
        <v>0.25090143996637299</v>
      </c>
      <c r="I3085">
        <v>0.11667117750801601</v>
      </c>
      <c r="J3085">
        <v>0.127058688708926</v>
      </c>
      <c r="K3085">
        <v>0.15819746748420299</v>
      </c>
      <c r="L3085">
        <v>388.16818565356601</v>
      </c>
      <c r="M3085">
        <v>7.8424183045518401</v>
      </c>
      <c r="N3085">
        <v>49.4959784247757</v>
      </c>
      <c r="O3085">
        <v>46.587383477393999</v>
      </c>
      <c r="P3085">
        <v>-4.2135716422672602E-2</v>
      </c>
      <c r="Q3085">
        <v>0</v>
      </c>
      <c r="R3085">
        <v>0.93479736108359601</v>
      </c>
      <c r="S3085" t="s">
        <v>9653</v>
      </c>
      <c r="T3085" t="s">
        <v>13134</v>
      </c>
      <c r="U3085" t="s">
        <v>13134</v>
      </c>
      <c r="V3085" t="s">
        <v>13134</v>
      </c>
      <c r="W3085" t="s">
        <v>16166</v>
      </c>
      <c r="X3085">
        <v>5</v>
      </c>
      <c r="Y3085" t="s">
        <v>22590</v>
      </c>
      <c r="Z3085" t="s">
        <v>29053</v>
      </c>
      <c r="AA3085">
        <v>0.4608458891963842</v>
      </c>
      <c r="AB3085" t="str">
        <f>HYPERLINK("Melting_Curves/meltCurve_P62995_3_TRA2B.pdf", "Melting_Curves/meltCurve_P62995_3_TRA2B.pdf")</f>
        <v>Melting_Curves/meltCurve_P62995_3_TRA2B.pdf</v>
      </c>
    </row>
    <row r="3086" spans="1:28" x14ac:dyDescent="0.25">
      <c r="A3086" t="s">
        <v>3090</v>
      </c>
      <c r="B3086">
        <v>0.99472303558308395</v>
      </c>
      <c r="C3086">
        <v>1.0061379405983499</v>
      </c>
      <c r="D3086">
        <v>1.0303533666650799</v>
      </c>
      <c r="E3086">
        <v>0.97535201383897296</v>
      </c>
      <c r="F3086">
        <v>0.74687828353863495</v>
      </c>
      <c r="G3086">
        <v>0.60926266208142499</v>
      </c>
      <c r="H3086">
        <v>0.37542596303247799</v>
      </c>
      <c r="I3086">
        <v>0.38167167803093399</v>
      </c>
      <c r="J3086">
        <v>0.36503353943550398</v>
      </c>
      <c r="K3086">
        <v>0.195817713990834</v>
      </c>
      <c r="L3086">
        <v>891.82947601039803</v>
      </c>
      <c r="M3086">
        <v>16.830881055170199</v>
      </c>
      <c r="N3086">
        <v>55.391653822361498</v>
      </c>
      <c r="O3086">
        <v>52.256626335677801</v>
      </c>
      <c r="P3086">
        <v>-5.9657062143351397E-2</v>
      </c>
      <c r="Q3086">
        <v>0.25915312071193303</v>
      </c>
      <c r="R3086">
        <v>0.97587597673362403</v>
      </c>
      <c r="S3086" t="s">
        <v>9654</v>
      </c>
      <c r="T3086" t="s">
        <v>13134</v>
      </c>
      <c r="U3086" t="s">
        <v>13134</v>
      </c>
      <c r="V3086" t="s">
        <v>13134</v>
      </c>
      <c r="W3086" t="s">
        <v>16167</v>
      </c>
      <c r="X3086">
        <v>12</v>
      </c>
      <c r="Y3086" t="s">
        <v>22591</v>
      </c>
      <c r="Z3086" t="s">
        <v>29054</v>
      </c>
      <c r="AA3086">
        <v>0.66567166610235684</v>
      </c>
      <c r="AB3086" t="str">
        <f>HYPERLINK("Melting_Curves/meltCurve_P63000_RAC1.pdf", "Melting_Curves/meltCurve_P63000_RAC1.pdf")</f>
        <v>Melting_Curves/meltCurve_P63000_RAC1.pdf</v>
      </c>
    </row>
    <row r="3087" spans="1:28" x14ac:dyDescent="0.25">
      <c r="A3087" t="s">
        <v>3091</v>
      </c>
      <c r="B3087">
        <v>0.99472303558308395</v>
      </c>
      <c r="C3087">
        <v>0.90452435455410296</v>
      </c>
      <c r="D3087">
        <v>0.84442313135083102</v>
      </c>
      <c r="E3087">
        <v>0.71699877934354495</v>
      </c>
      <c r="F3087">
        <v>0.58333980225420701</v>
      </c>
      <c r="G3087">
        <v>0.23969586457630901</v>
      </c>
      <c r="H3087">
        <v>7.8507931902362299E-2</v>
      </c>
      <c r="I3087">
        <v>3.4821832812712901E-2</v>
      </c>
      <c r="J3087">
        <v>2.98129695723265E-2</v>
      </c>
      <c r="K3087">
        <v>3.1399571469664503E-2</v>
      </c>
      <c r="L3087">
        <v>712.69975412840097</v>
      </c>
      <c r="M3087">
        <v>14.267046078694699</v>
      </c>
      <c r="N3087">
        <v>49.954271525664304</v>
      </c>
      <c r="O3087">
        <v>49.003580032415201</v>
      </c>
      <c r="P3087">
        <v>-7.2794680017726904E-2</v>
      </c>
      <c r="Q3087">
        <v>0</v>
      </c>
      <c r="R3087">
        <v>0.98292400363937404</v>
      </c>
      <c r="S3087" t="s">
        <v>9655</v>
      </c>
      <c r="T3087" t="s">
        <v>13134</v>
      </c>
      <c r="U3087" t="s">
        <v>13134</v>
      </c>
      <c r="V3087" t="s">
        <v>13134</v>
      </c>
      <c r="W3087" t="s">
        <v>16168</v>
      </c>
      <c r="X3087">
        <v>34</v>
      </c>
      <c r="Y3087" t="s">
        <v>22592</v>
      </c>
      <c r="Z3087" t="s">
        <v>29055</v>
      </c>
      <c r="AA3087">
        <v>0.45428830624170441</v>
      </c>
      <c r="AB3087" t="str">
        <f>HYPERLINK("Melting_Curves/meltCurve_P63010_AP2B1.pdf", "Melting_Curves/meltCurve_P63010_AP2B1.pdf")</f>
        <v>Melting_Curves/meltCurve_P63010_AP2B1.pdf</v>
      </c>
    </row>
    <row r="3088" spans="1:28" x14ac:dyDescent="0.25">
      <c r="A3088" t="s">
        <v>3092</v>
      </c>
      <c r="B3088">
        <v>0.99472303558308395</v>
      </c>
      <c r="C3088">
        <v>0.97642141495110502</v>
      </c>
      <c r="D3088">
        <v>0.95241413947221298</v>
      </c>
      <c r="E3088">
        <v>0.81278658693899897</v>
      </c>
      <c r="F3088">
        <v>0.582221738185981</v>
      </c>
      <c r="G3088">
        <v>0.283187607275595</v>
      </c>
      <c r="H3088">
        <v>0.115627765401947</v>
      </c>
      <c r="I3088">
        <v>6.82037261141233E-2</v>
      </c>
      <c r="J3088">
        <v>6.9526762145205506E-2</v>
      </c>
      <c r="K3088">
        <v>6.5544021299286895E-2</v>
      </c>
      <c r="L3088">
        <v>910.38227732666496</v>
      </c>
      <c r="M3088">
        <v>17.9750546775396</v>
      </c>
      <c r="N3088">
        <v>50.862559476497999</v>
      </c>
      <c r="O3088">
        <v>50.032615910996</v>
      </c>
      <c r="P3088">
        <v>-8.6526765892442001E-2</v>
      </c>
      <c r="Q3088">
        <v>3.6677131182286903E-2</v>
      </c>
      <c r="R3088">
        <v>0.99830873553384802</v>
      </c>
      <c r="S3088" t="s">
        <v>9656</v>
      </c>
      <c r="T3088" t="s">
        <v>13134</v>
      </c>
      <c r="U3088" t="s">
        <v>13134</v>
      </c>
      <c r="V3088" t="s">
        <v>13134</v>
      </c>
      <c r="W3088" t="s">
        <v>16169</v>
      </c>
      <c r="X3088">
        <v>17</v>
      </c>
      <c r="Y3088" t="s">
        <v>22593</v>
      </c>
      <c r="Z3088" t="s">
        <v>29056</v>
      </c>
      <c r="AA3088">
        <v>0.48996254644789228</v>
      </c>
      <c r="AB3088" t="str">
        <f>HYPERLINK("Melting_Curves/meltCurve_P63092_GNAS.pdf", "Melting_Curves/meltCurve_P63092_GNAS.pdf")</f>
        <v>Melting_Curves/meltCurve_P63092_GNAS.pdf</v>
      </c>
    </row>
    <row r="3089" spans="1:28" x14ac:dyDescent="0.25">
      <c r="A3089" t="s">
        <v>3093</v>
      </c>
      <c r="B3089">
        <v>0.99472303558308395</v>
      </c>
      <c r="C3089">
        <v>0.99663517206146501</v>
      </c>
      <c r="D3089">
        <v>1.0050526097797901</v>
      </c>
      <c r="E3089">
        <v>0.97093013661424099</v>
      </c>
      <c r="F3089">
        <v>0.84571457949636397</v>
      </c>
      <c r="G3089">
        <v>0.70529635144108704</v>
      </c>
      <c r="H3089">
        <v>0.35213703685738501</v>
      </c>
      <c r="I3089">
        <v>9.8554867829782997E-2</v>
      </c>
      <c r="J3089">
        <v>6.5353316742878198E-2</v>
      </c>
      <c r="K3089">
        <v>6.5261270238347296E-2</v>
      </c>
      <c r="L3089">
        <v>1151.97542340977</v>
      </c>
      <c r="M3089">
        <v>20.726192398397998</v>
      </c>
      <c r="N3089">
        <v>55.619961149639501</v>
      </c>
      <c r="O3089">
        <v>55.070983806341602</v>
      </c>
      <c r="P3089">
        <v>-9.3407236178324707E-2</v>
      </c>
      <c r="Q3089">
        <v>7.2686383120736499E-3</v>
      </c>
      <c r="R3089">
        <v>0.99501576921689705</v>
      </c>
      <c r="S3089" t="s">
        <v>9657</v>
      </c>
      <c r="T3089" t="s">
        <v>13134</v>
      </c>
      <c r="U3089" t="s">
        <v>13134</v>
      </c>
      <c r="V3089" t="s">
        <v>13134</v>
      </c>
      <c r="W3089" t="s">
        <v>16170</v>
      </c>
      <c r="X3089">
        <v>29</v>
      </c>
      <c r="Y3089" t="s">
        <v>20148</v>
      </c>
      <c r="Z3089" t="s">
        <v>29057</v>
      </c>
      <c r="AA3089">
        <v>0.63244741102801427</v>
      </c>
      <c r="AB3089" t="str">
        <f>HYPERLINK("Melting_Curves/meltCurve_P63104_YWHAZ.pdf", "Melting_Curves/meltCurve_P63104_YWHAZ.pdf")</f>
        <v>Melting_Curves/meltCurve_P63104_YWHAZ.pdf</v>
      </c>
    </row>
    <row r="3090" spans="1:28" x14ac:dyDescent="0.25">
      <c r="A3090" t="s">
        <v>3094</v>
      </c>
      <c r="B3090">
        <v>0.99472303558308395</v>
      </c>
      <c r="C3090">
        <v>0.96512100664257905</v>
      </c>
      <c r="D3090">
        <v>0.61887072444787805</v>
      </c>
      <c r="E3090">
        <v>0.537062415199692</v>
      </c>
      <c r="F3090">
        <v>0.97967032346149097</v>
      </c>
      <c r="G3090">
        <v>0.256293918635422</v>
      </c>
      <c r="H3090">
        <v>8.3935582064831205E-2</v>
      </c>
      <c r="I3090">
        <v>2.35508482931246E-2</v>
      </c>
      <c r="J3090">
        <v>2.5500078181139099E-2</v>
      </c>
      <c r="K3090">
        <v>2.3164538972318599E-2</v>
      </c>
      <c r="L3090">
        <v>555.59948221320496</v>
      </c>
      <c r="M3090">
        <v>11.0318724177815</v>
      </c>
      <c r="N3090">
        <v>50.363115334191903</v>
      </c>
      <c r="O3090">
        <v>48.793140128393098</v>
      </c>
      <c r="P3090">
        <v>-5.6542544353731398E-2</v>
      </c>
      <c r="Q3090">
        <v>0</v>
      </c>
      <c r="R3090">
        <v>0.78037158082603397</v>
      </c>
      <c r="S3090" t="s">
        <v>9658</v>
      </c>
      <c r="T3090" t="s">
        <v>13134</v>
      </c>
      <c r="U3090" t="s">
        <v>13134</v>
      </c>
      <c r="V3090" t="s">
        <v>13134</v>
      </c>
      <c r="W3090" t="s">
        <v>16171</v>
      </c>
      <c r="X3090">
        <v>1</v>
      </c>
      <c r="Z3090" t="s">
        <v>29058</v>
      </c>
      <c r="AA3090">
        <v>0.47527951285740139</v>
      </c>
      <c r="AB3090" t="str">
        <f>HYPERLINK("Melting_Curves/meltCurve_P63120_.pdf", "Melting_Curves/meltCurve_P63120_.pdf")</f>
        <v>Melting_Curves/meltCurve_P63120_.pdf</v>
      </c>
    </row>
    <row r="3091" spans="1:28" x14ac:dyDescent="0.25">
      <c r="A3091" t="s">
        <v>3095</v>
      </c>
      <c r="B3091">
        <v>0.99472303558308395</v>
      </c>
      <c r="C3091">
        <v>0.96527109742543804</v>
      </c>
      <c r="D3091">
        <v>0.85778845027045303</v>
      </c>
      <c r="E3091">
        <v>0.80515291735373395</v>
      </c>
      <c r="F3091">
        <v>0.71265336116747802</v>
      </c>
      <c r="G3091">
        <v>0.43699554925659401</v>
      </c>
      <c r="H3091">
        <v>0.23341418295983801</v>
      </c>
      <c r="I3091">
        <v>0.109197355255617</v>
      </c>
      <c r="J3091">
        <v>7.6273611134418204E-2</v>
      </c>
      <c r="K3091">
        <v>6.8786309283148703E-2</v>
      </c>
      <c r="L3091">
        <v>674.32834207036001</v>
      </c>
      <c r="M3091">
        <v>12.831372658739401</v>
      </c>
      <c r="N3091">
        <v>52.553104848489298</v>
      </c>
      <c r="O3091">
        <v>51.325728146136903</v>
      </c>
      <c r="P3091">
        <v>-6.2511328620580897E-2</v>
      </c>
      <c r="Q3091">
        <v>0</v>
      </c>
      <c r="R3091">
        <v>0.98819255189313004</v>
      </c>
      <c r="S3091" t="s">
        <v>9659</v>
      </c>
      <c r="T3091" t="s">
        <v>13134</v>
      </c>
      <c r="U3091" t="s">
        <v>13134</v>
      </c>
      <c r="V3091" t="s">
        <v>13134</v>
      </c>
      <c r="W3091" t="s">
        <v>16172</v>
      </c>
      <c r="X3091">
        <v>18</v>
      </c>
      <c r="Y3091" t="s">
        <v>22594</v>
      </c>
      <c r="Z3091" t="s">
        <v>29059</v>
      </c>
      <c r="AA3091">
        <v>0.53972901550560204</v>
      </c>
      <c r="AB3091" t="str">
        <f>HYPERLINK("Melting_Curves/meltCurve_P63151_PPP2R2A.pdf", "Melting_Curves/meltCurve_P63151_PPP2R2A.pdf")</f>
        <v>Melting_Curves/meltCurve_P63151_PPP2R2A.pdf</v>
      </c>
    </row>
    <row r="3092" spans="1:28" x14ac:dyDescent="0.25">
      <c r="A3092" t="s">
        <v>3096</v>
      </c>
      <c r="B3092">
        <v>0.99472303558308395</v>
      </c>
      <c r="C3092">
        <v>0.90966707677944203</v>
      </c>
      <c r="D3092">
        <v>0.84525260744539998</v>
      </c>
      <c r="E3092">
        <v>0.65150313491733103</v>
      </c>
      <c r="F3092">
        <v>0.38728586752098698</v>
      </c>
      <c r="G3092">
        <v>0.223357552666123</v>
      </c>
      <c r="H3092">
        <v>0.108451373798078</v>
      </c>
      <c r="I3092">
        <v>8.36612172214206E-2</v>
      </c>
      <c r="J3092">
        <v>7.8627961498176899E-2</v>
      </c>
      <c r="K3092">
        <v>6.4017095519415104E-2</v>
      </c>
      <c r="L3092">
        <v>663.28257528324195</v>
      </c>
      <c r="M3092">
        <v>13.750251362507401</v>
      </c>
      <c r="N3092">
        <v>48.495067782729897</v>
      </c>
      <c r="O3092">
        <v>47.251916678866202</v>
      </c>
      <c r="P3092">
        <v>-7.0201264177420702E-2</v>
      </c>
      <c r="Q3092">
        <v>3.5167480072088697E-2</v>
      </c>
      <c r="R3092">
        <v>0.99785693435915601</v>
      </c>
      <c r="S3092" t="s">
        <v>9660</v>
      </c>
      <c r="T3092" t="s">
        <v>13134</v>
      </c>
      <c r="U3092" t="s">
        <v>13134</v>
      </c>
      <c r="V3092" t="s">
        <v>13134</v>
      </c>
      <c r="W3092" t="s">
        <v>16173</v>
      </c>
      <c r="X3092">
        <v>10</v>
      </c>
      <c r="Y3092" t="s">
        <v>22595</v>
      </c>
      <c r="Z3092" t="s">
        <v>29060</v>
      </c>
      <c r="AA3092">
        <v>0.42091496162111119</v>
      </c>
      <c r="AB3092" t="str">
        <f>HYPERLINK("Melting_Curves/meltCurve_P63167_DYNLL1.pdf", "Melting_Curves/meltCurve_P63167_DYNLL1.pdf")</f>
        <v>Melting_Curves/meltCurve_P63167_DYNLL1.pdf</v>
      </c>
    </row>
    <row r="3093" spans="1:28" x14ac:dyDescent="0.25">
      <c r="A3093" t="s">
        <v>3097</v>
      </c>
      <c r="B3093">
        <v>0.99472303558308395</v>
      </c>
      <c r="C3093">
        <v>0.93773828341376497</v>
      </c>
      <c r="D3093">
        <v>0.93193748470042104</v>
      </c>
      <c r="E3093">
        <v>0.76658870076165797</v>
      </c>
      <c r="F3093">
        <v>0.45506959011369702</v>
      </c>
      <c r="G3093">
        <v>0.30135189176562499</v>
      </c>
      <c r="H3093">
        <v>0.11301817053815599</v>
      </c>
      <c r="I3093">
        <v>8.1665639424570294E-2</v>
      </c>
      <c r="J3093">
        <v>7.8421360955515496E-2</v>
      </c>
      <c r="K3093">
        <v>6.8389393782458396E-2</v>
      </c>
      <c r="L3093">
        <v>788.07583663937203</v>
      </c>
      <c r="M3093">
        <v>15.8674703312363</v>
      </c>
      <c r="N3093">
        <v>49.953879551863302</v>
      </c>
      <c r="O3093">
        <v>48.897346876396099</v>
      </c>
      <c r="P3093">
        <v>-7.7589393622854594E-2</v>
      </c>
      <c r="Q3093">
        <v>4.3676507071157902E-2</v>
      </c>
      <c r="R3093">
        <v>0.99600657132452497</v>
      </c>
      <c r="S3093" t="s">
        <v>9661</v>
      </c>
      <c r="T3093" t="s">
        <v>13134</v>
      </c>
      <c r="U3093" t="s">
        <v>13134</v>
      </c>
      <c r="V3093" t="s">
        <v>13134</v>
      </c>
      <c r="W3093" t="s">
        <v>16174</v>
      </c>
      <c r="X3093">
        <v>5</v>
      </c>
      <c r="Y3093" t="s">
        <v>22596</v>
      </c>
      <c r="Z3093" t="s">
        <v>29061</v>
      </c>
      <c r="AA3093">
        <v>0.46598456751665079</v>
      </c>
      <c r="AB3093" t="str">
        <f>HYPERLINK("Melting_Curves/meltCurve_P63173_RPL38.pdf", "Melting_Curves/meltCurve_P63173_RPL38.pdf")</f>
        <v>Melting_Curves/meltCurve_P63173_RPL38.pdf</v>
      </c>
    </row>
    <row r="3094" spans="1:28" x14ac:dyDescent="0.25">
      <c r="A3094" t="s">
        <v>3098</v>
      </c>
      <c r="B3094">
        <v>0.99472303558308395</v>
      </c>
      <c r="C3094">
        <v>0.655969503695087</v>
      </c>
      <c r="D3094">
        <v>1.1049359307497599</v>
      </c>
      <c r="E3094">
        <v>0.80175432831987004</v>
      </c>
      <c r="F3094">
        <v>0.35142362433753699</v>
      </c>
      <c r="G3094">
        <v>0.40506393917862998</v>
      </c>
      <c r="H3094">
        <v>0.25763384049693799</v>
      </c>
      <c r="I3094">
        <v>0.26569419015666002</v>
      </c>
      <c r="J3094">
        <v>0.32696957591885301</v>
      </c>
      <c r="K3094">
        <v>0.228898470457428</v>
      </c>
      <c r="L3094">
        <v>2217.3886742844302</v>
      </c>
      <c r="M3094">
        <v>46.606880285416302</v>
      </c>
      <c r="N3094">
        <v>48.508075332369302</v>
      </c>
      <c r="O3094">
        <v>47.489082194387002</v>
      </c>
      <c r="P3094">
        <v>-0.17279840822599801</v>
      </c>
      <c r="Q3094">
        <v>0.29572385339547702</v>
      </c>
      <c r="R3094">
        <v>0.84407381276270999</v>
      </c>
      <c r="S3094" t="s">
        <v>9662</v>
      </c>
      <c r="T3094" t="s">
        <v>13134</v>
      </c>
      <c r="U3094" t="s">
        <v>13134</v>
      </c>
      <c r="V3094" t="s">
        <v>13134</v>
      </c>
      <c r="W3094" t="s">
        <v>16175</v>
      </c>
      <c r="X3094">
        <v>5</v>
      </c>
      <c r="Y3094" t="s">
        <v>22597</v>
      </c>
      <c r="Z3094" t="s">
        <v>29062</v>
      </c>
      <c r="AA3094">
        <v>0.54571706384836649</v>
      </c>
      <c r="AB3094" t="str">
        <f>HYPERLINK("Melting_Curves/meltCurve_P63218_GNG5.pdf", "Melting_Curves/meltCurve_P63218_GNG5.pdf")</f>
        <v>Melting_Curves/meltCurve_P63218_GNG5.pdf</v>
      </c>
    </row>
    <row r="3095" spans="1:28" x14ac:dyDescent="0.25">
      <c r="A3095" t="s">
        <v>3099</v>
      </c>
      <c r="B3095">
        <v>0.99472303558308395</v>
      </c>
      <c r="C3095">
        <v>0.97552959475923096</v>
      </c>
      <c r="D3095">
        <v>1.0439127363443801</v>
      </c>
      <c r="E3095">
        <v>0.74304328282032905</v>
      </c>
      <c r="F3095">
        <v>0.22871213890156999</v>
      </c>
      <c r="G3095">
        <v>0.123277553291404</v>
      </c>
      <c r="H3095">
        <v>8.1578383223717105E-2</v>
      </c>
      <c r="I3095">
        <v>7.1858663001476503E-2</v>
      </c>
      <c r="J3095">
        <v>9.2452362698492802E-2</v>
      </c>
      <c r="K3095">
        <v>7.0134358729835394E-2</v>
      </c>
      <c r="L3095">
        <v>1743.3383873878799</v>
      </c>
      <c r="M3095">
        <v>36.424153372870101</v>
      </c>
      <c r="N3095">
        <v>48.105708662352797</v>
      </c>
      <c r="O3095">
        <v>47.718573844061801</v>
      </c>
      <c r="P3095">
        <v>-0.17475984915350501</v>
      </c>
      <c r="Q3095">
        <v>8.4204907746543295E-2</v>
      </c>
      <c r="R3095">
        <v>0.99704472473598305</v>
      </c>
      <c r="S3095" t="s">
        <v>9663</v>
      </c>
      <c r="T3095" t="s">
        <v>13134</v>
      </c>
      <c r="U3095" t="s">
        <v>13134</v>
      </c>
      <c r="V3095" t="s">
        <v>13134</v>
      </c>
      <c r="W3095" t="s">
        <v>16176</v>
      </c>
      <c r="X3095">
        <v>14</v>
      </c>
      <c r="Y3095" t="s">
        <v>22598</v>
      </c>
      <c r="Z3095" t="s">
        <v>29063</v>
      </c>
      <c r="AA3095">
        <v>0.41944804042625611</v>
      </c>
      <c r="AB3095" t="str">
        <f>HYPERLINK("Melting_Curves/meltCurve_P63241_EIF5A.pdf", "Melting_Curves/meltCurve_P63241_EIF5A.pdf")</f>
        <v>Melting_Curves/meltCurve_P63241_EIF5A.pdf</v>
      </c>
    </row>
    <row r="3096" spans="1:28" x14ac:dyDescent="0.25">
      <c r="A3096" t="s">
        <v>3100</v>
      </c>
      <c r="B3096">
        <v>0.99472303558308395</v>
      </c>
      <c r="C3096">
        <v>0.91750724282361595</v>
      </c>
      <c r="D3096">
        <v>1.1333467913634701</v>
      </c>
      <c r="E3096">
        <v>0.89903918978416797</v>
      </c>
      <c r="F3096">
        <v>0.55624889789904197</v>
      </c>
      <c r="G3096">
        <v>0.29400812750571798</v>
      </c>
      <c r="H3096">
        <v>0.124011551416432</v>
      </c>
      <c r="I3096">
        <v>5.5200325448070603E-2</v>
      </c>
      <c r="J3096">
        <v>5.4475467052225703E-2</v>
      </c>
      <c r="K3096">
        <v>5.1107007745171198E-2</v>
      </c>
      <c r="L3096">
        <v>1156.2416353219301</v>
      </c>
      <c r="M3096">
        <v>22.749074054426199</v>
      </c>
      <c r="N3096">
        <v>51.0620840555749</v>
      </c>
      <c r="O3096">
        <v>50.438021923728201</v>
      </c>
      <c r="P3096">
        <v>-0.10712817195454701</v>
      </c>
      <c r="Q3096">
        <v>4.9943319192852803E-2</v>
      </c>
      <c r="R3096">
        <v>0.98225831934221797</v>
      </c>
      <c r="S3096" t="s">
        <v>9664</v>
      </c>
      <c r="T3096" t="s">
        <v>13134</v>
      </c>
      <c r="U3096" t="s">
        <v>13134</v>
      </c>
      <c r="V3096" t="s">
        <v>13134</v>
      </c>
      <c r="W3096" t="s">
        <v>16177</v>
      </c>
      <c r="X3096">
        <v>20</v>
      </c>
      <c r="Y3096" t="s">
        <v>22599</v>
      </c>
      <c r="Z3096" t="s">
        <v>29064</v>
      </c>
      <c r="AA3096">
        <v>0.49774210984583689</v>
      </c>
      <c r="AB3096" t="str">
        <f>HYPERLINK("Melting_Curves/meltCurve_P63244_GNB2L1.pdf", "Melting_Curves/meltCurve_P63244_GNB2L1.pdf")</f>
        <v>Melting_Curves/meltCurve_P63244_GNB2L1.pdf</v>
      </c>
    </row>
    <row r="3097" spans="1:28" x14ac:dyDescent="0.25">
      <c r="A3097" t="s">
        <v>3101</v>
      </c>
      <c r="B3097">
        <v>0.99472303558308395</v>
      </c>
      <c r="C3097">
        <v>0.92161241457117205</v>
      </c>
      <c r="D3097">
        <v>0.88239567881543302</v>
      </c>
      <c r="E3097">
        <v>0.84381123584412399</v>
      </c>
      <c r="F3097">
        <v>0.73977775164709902</v>
      </c>
      <c r="G3097">
        <v>0.50971948018107505</v>
      </c>
      <c r="H3097">
        <v>0.422372998063125</v>
      </c>
      <c r="I3097">
        <v>0.25200467202982502</v>
      </c>
      <c r="J3097">
        <v>0.14064840811808399</v>
      </c>
      <c r="K3097">
        <v>0.118559026858103</v>
      </c>
      <c r="L3097">
        <v>546.55391135836896</v>
      </c>
      <c r="M3097">
        <v>10.0297095463233</v>
      </c>
      <c r="N3097">
        <v>54.493493267833799</v>
      </c>
      <c r="O3097">
        <v>52.460114273850799</v>
      </c>
      <c r="P3097">
        <v>-4.78198221715051E-2</v>
      </c>
      <c r="Q3097">
        <v>0</v>
      </c>
      <c r="R3097">
        <v>0.98844132935808504</v>
      </c>
      <c r="S3097" t="s">
        <v>9665</v>
      </c>
      <c r="T3097" t="s">
        <v>13134</v>
      </c>
      <c r="U3097" t="s">
        <v>13134</v>
      </c>
      <c r="V3097" t="s">
        <v>13134</v>
      </c>
      <c r="W3097" t="s">
        <v>16178</v>
      </c>
      <c r="X3097">
        <v>19</v>
      </c>
      <c r="Y3097" t="s">
        <v>22600</v>
      </c>
      <c r="Z3097" t="s">
        <v>29065</v>
      </c>
      <c r="AA3097">
        <v>0.59814841205138691</v>
      </c>
      <c r="AB3097" t="str">
        <f>HYPERLINK("Melting_Curves/meltCurve_P67775_PPP2CA.pdf", "Melting_Curves/meltCurve_P67775_PPP2CA.pdf")</f>
        <v>Melting_Curves/meltCurve_P67775_PPP2CA.pdf</v>
      </c>
    </row>
    <row r="3098" spans="1:28" x14ac:dyDescent="0.25">
      <c r="A3098" t="s">
        <v>3102</v>
      </c>
      <c r="B3098">
        <v>0.99472303558308395</v>
      </c>
      <c r="C3098">
        <v>0.98994864903459401</v>
      </c>
      <c r="D3098">
        <v>0.74203985428677099</v>
      </c>
      <c r="E3098">
        <v>0.81581651562842905</v>
      </c>
      <c r="F3098">
        <v>0.67611813699699896</v>
      </c>
      <c r="G3098">
        <v>0.28419226858630098</v>
      </c>
      <c r="H3098">
        <v>0.200877441397179</v>
      </c>
      <c r="I3098">
        <v>0.17172301933088499</v>
      </c>
      <c r="J3098">
        <v>0.25304335159400498</v>
      </c>
      <c r="K3098">
        <v>0.287743977307302</v>
      </c>
      <c r="L3098">
        <v>753.88661167069699</v>
      </c>
      <c r="M3098">
        <v>15.2081157145288</v>
      </c>
      <c r="N3098">
        <v>51.120670982564299</v>
      </c>
      <c r="O3098">
        <v>48.737941505848397</v>
      </c>
      <c r="P3098">
        <v>-6.3611399634145804E-2</v>
      </c>
      <c r="Q3098">
        <v>0.18464799243996199</v>
      </c>
      <c r="R3098">
        <v>0.92292861309754304</v>
      </c>
      <c r="S3098" t="s">
        <v>9666</v>
      </c>
      <c r="T3098" t="s">
        <v>13134</v>
      </c>
      <c r="U3098" t="s">
        <v>13134</v>
      </c>
      <c r="V3098" t="s">
        <v>13134</v>
      </c>
      <c r="W3098" t="s">
        <v>16179</v>
      </c>
      <c r="X3098">
        <v>9</v>
      </c>
      <c r="Y3098" t="s">
        <v>22601</v>
      </c>
      <c r="Z3098" t="s">
        <v>29066</v>
      </c>
      <c r="AA3098">
        <v>0.54323105082635625</v>
      </c>
      <c r="AB3098" t="str">
        <f>HYPERLINK("Melting_Curves/meltCurve_P67809_YBX1.pdf", "Melting_Curves/meltCurve_P67809_YBX1.pdf")</f>
        <v>Melting_Curves/meltCurve_P67809_YBX1.pdf</v>
      </c>
    </row>
    <row r="3099" spans="1:28" x14ac:dyDescent="0.25">
      <c r="A3099" t="s">
        <v>3103</v>
      </c>
      <c r="B3099">
        <v>0.99472303558308395</v>
      </c>
      <c r="C3099">
        <v>1.0901839508227</v>
      </c>
      <c r="D3099">
        <v>0.98459229172896201</v>
      </c>
      <c r="E3099">
        <v>0.90020783261111903</v>
      </c>
      <c r="F3099">
        <v>0.73867528876662902</v>
      </c>
      <c r="G3099">
        <v>0.61543420859369802</v>
      </c>
      <c r="H3099">
        <v>0.55828362813131405</v>
      </c>
      <c r="I3099">
        <v>0.62746365435322504</v>
      </c>
      <c r="J3099">
        <v>0.94451000932629103</v>
      </c>
      <c r="K3099">
        <v>0.69448015793887796</v>
      </c>
      <c r="L3099">
        <v>1915.8341888544501</v>
      </c>
      <c r="M3099">
        <v>40.327651086565098</v>
      </c>
      <c r="O3099">
        <v>47.390346123125902</v>
      </c>
      <c r="P3099">
        <v>-6.5880044524956605E-2</v>
      </c>
      <c r="Q3099">
        <v>0.69032941266294801</v>
      </c>
      <c r="R3099">
        <v>0.68732394133632302</v>
      </c>
      <c r="S3099" t="s">
        <v>9667</v>
      </c>
      <c r="T3099" t="s">
        <v>13134</v>
      </c>
      <c r="U3099" t="s">
        <v>13134</v>
      </c>
      <c r="V3099" t="s">
        <v>13134</v>
      </c>
      <c r="W3099" t="s">
        <v>16180</v>
      </c>
      <c r="X3099">
        <v>40</v>
      </c>
      <c r="Y3099" t="s">
        <v>20946</v>
      </c>
      <c r="Z3099" t="s">
        <v>29067</v>
      </c>
      <c r="AA3099">
        <v>0.79978387301132925</v>
      </c>
      <c r="AB3099" t="str">
        <f>HYPERLINK("Melting_Curves/meltCurve_P67936_TPM4.pdf", "Melting_Curves/meltCurve_P67936_TPM4.pdf")</f>
        <v>Melting_Curves/meltCurve_P67936_TPM4.pdf</v>
      </c>
    </row>
    <row r="3100" spans="1:28" x14ac:dyDescent="0.25">
      <c r="A3100" t="s">
        <v>3104</v>
      </c>
      <c r="B3100">
        <v>0.99472303558308395</v>
      </c>
      <c r="C3100">
        <v>0.90095997027426999</v>
      </c>
      <c r="D3100">
        <v>1.1273454989645</v>
      </c>
      <c r="E3100">
        <v>0.93901770802802798</v>
      </c>
      <c r="F3100">
        <v>0.64940241400372101</v>
      </c>
      <c r="G3100">
        <v>0.61129083672158702</v>
      </c>
      <c r="H3100">
        <v>0.34017642079786597</v>
      </c>
      <c r="I3100">
        <v>0.172413391200155</v>
      </c>
      <c r="J3100">
        <v>0.19306578688435799</v>
      </c>
      <c r="K3100">
        <v>0.13860718877457501</v>
      </c>
      <c r="L3100">
        <v>792.622367106159</v>
      </c>
      <c r="M3100">
        <v>14.788898736004001</v>
      </c>
      <c r="N3100">
        <v>54.349755821016899</v>
      </c>
      <c r="O3100">
        <v>52.644409097277901</v>
      </c>
      <c r="P3100">
        <v>-6.37236972100413E-2</v>
      </c>
      <c r="Q3100">
        <v>9.2741332921767006E-2</v>
      </c>
      <c r="R3100">
        <v>0.95849568064772295</v>
      </c>
      <c r="S3100" t="s">
        <v>9668</v>
      </c>
      <c r="T3100" t="s">
        <v>13134</v>
      </c>
      <c r="U3100" t="s">
        <v>13134</v>
      </c>
      <c r="V3100" t="s">
        <v>13134</v>
      </c>
      <c r="W3100" t="s">
        <v>16181</v>
      </c>
      <c r="X3100">
        <v>17</v>
      </c>
      <c r="Y3100" t="s">
        <v>22602</v>
      </c>
      <c r="Z3100" t="s">
        <v>29068</v>
      </c>
      <c r="AA3100">
        <v>0.61015174094077052</v>
      </c>
      <c r="AB3100" t="str">
        <f>HYPERLINK("Melting_Curves/meltCurve_P68036_UBE2L3.pdf", "Melting_Curves/meltCurve_P68036_UBE2L3.pdf")</f>
        <v>Melting_Curves/meltCurve_P68036_UBE2L3.pdf</v>
      </c>
    </row>
    <row r="3101" spans="1:28" x14ac:dyDescent="0.25">
      <c r="A3101" t="s">
        <v>3105</v>
      </c>
      <c r="B3101">
        <v>0.99472303558308395</v>
      </c>
      <c r="C3101">
        <v>0.95242053705902197</v>
      </c>
      <c r="D3101">
        <v>0.95986170281376304</v>
      </c>
      <c r="E3101">
        <v>0.88041767272464599</v>
      </c>
      <c r="F3101">
        <v>0.63884271119074898</v>
      </c>
      <c r="G3101">
        <v>0.46347282960519798</v>
      </c>
      <c r="H3101">
        <v>0.16561739363921399</v>
      </c>
      <c r="I3101">
        <v>4.9551706936980799E-2</v>
      </c>
      <c r="J3101">
        <v>4.7252675652474499E-2</v>
      </c>
      <c r="K3101">
        <v>4.08656614859454E-2</v>
      </c>
      <c r="L3101">
        <v>846.60245968638299</v>
      </c>
      <c r="M3101">
        <v>16.156065342431901</v>
      </c>
      <c r="N3101">
        <v>52.401540492441796</v>
      </c>
      <c r="O3101">
        <v>51.618418241657103</v>
      </c>
      <c r="P3101">
        <v>-7.8253488050670506E-2</v>
      </c>
      <c r="Q3101">
        <v>0</v>
      </c>
      <c r="R3101">
        <v>0.99334901212672999</v>
      </c>
      <c r="S3101" t="s">
        <v>9669</v>
      </c>
      <c r="T3101" t="s">
        <v>13134</v>
      </c>
      <c r="U3101" t="s">
        <v>13134</v>
      </c>
      <c r="V3101" t="s">
        <v>13134</v>
      </c>
      <c r="W3101" t="s">
        <v>16182</v>
      </c>
      <c r="X3101">
        <v>37</v>
      </c>
      <c r="Y3101" t="s">
        <v>22603</v>
      </c>
      <c r="Z3101" t="s">
        <v>29069</v>
      </c>
      <c r="AA3101">
        <v>0.53052536542767748</v>
      </c>
      <c r="AB3101" t="str">
        <f>HYPERLINK("Melting_Curves/meltCurve_P68104_EEF1A1.pdf", "Melting_Curves/meltCurve_P68104_EEF1A1.pdf")</f>
        <v>Melting_Curves/meltCurve_P68104_EEF1A1.pdf</v>
      </c>
    </row>
    <row r="3102" spans="1:28" x14ac:dyDescent="0.25">
      <c r="A3102" t="s">
        <v>3106</v>
      </c>
      <c r="B3102">
        <v>0.99472303558308395</v>
      </c>
      <c r="C3102">
        <v>1.0328505102739001</v>
      </c>
      <c r="D3102">
        <v>1.06356334331418</v>
      </c>
      <c r="E3102">
        <v>1.06287279774285</v>
      </c>
      <c r="F3102">
        <v>0.63900596183918801</v>
      </c>
      <c r="G3102">
        <v>0.43370589230459899</v>
      </c>
      <c r="H3102">
        <v>0.205416856052025</v>
      </c>
      <c r="I3102">
        <v>0.22105614752196701</v>
      </c>
      <c r="J3102">
        <v>0.25180905346659399</v>
      </c>
      <c r="K3102">
        <v>0.15559338695201699</v>
      </c>
      <c r="L3102">
        <v>1427.1362800055699</v>
      </c>
      <c r="M3102">
        <v>27.8861835590886</v>
      </c>
      <c r="N3102">
        <v>52.164556134352502</v>
      </c>
      <c r="O3102">
        <v>50.916171804590803</v>
      </c>
      <c r="P3102">
        <v>-0.10884592730928599</v>
      </c>
      <c r="Q3102">
        <v>0.20505870335625501</v>
      </c>
      <c r="R3102">
        <v>0.97673011157288003</v>
      </c>
      <c r="S3102" t="s">
        <v>9670</v>
      </c>
      <c r="T3102" t="s">
        <v>13134</v>
      </c>
      <c r="U3102" t="s">
        <v>13134</v>
      </c>
      <c r="V3102" t="s">
        <v>13134</v>
      </c>
      <c r="W3102" t="s">
        <v>16183</v>
      </c>
      <c r="X3102">
        <v>23</v>
      </c>
      <c r="Y3102" t="s">
        <v>22604</v>
      </c>
      <c r="Z3102" t="s">
        <v>29070</v>
      </c>
      <c r="AA3102">
        <v>0.58644262975504025</v>
      </c>
      <c r="AB3102" t="str">
        <f>HYPERLINK("Melting_Curves/meltCurve_P68133_ACTA1.pdf", "Melting_Curves/meltCurve_P68133_ACTA1.pdf")</f>
        <v>Melting_Curves/meltCurve_P68133_ACTA1.pdf</v>
      </c>
    </row>
    <row r="3103" spans="1:28" x14ac:dyDescent="0.25">
      <c r="A3103" t="s">
        <v>3107</v>
      </c>
      <c r="B3103">
        <v>0.99472303558308395</v>
      </c>
      <c r="C3103">
        <v>0.954640677837998</v>
      </c>
      <c r="D3103">
        <v>0.94543890808297604</v>
      </c>
      <c r="E3103">
        <v>0.91456062478226696</v>
      </c>
      <c r="F3103">
        <v>0.73999829399954198</v>
      </c>
      <c r="G3103">
        <v>0.58640166616286304</v>
      </c>
      <c r="H3103">
        <v>0.35394208586171899</v>
      </c>
      <c r="I3103">
        <v>0.18847615047795399</v>
      </c>
      <c r="J3103">
        <v>6.0553363323507102E-2</v>
      </c>
      <c r="K3103">
        <v>6.4065557223372302E-2</v>
      </c>
      <c r="L3103">
        <v>760.08422556145001</v>
      </c>
      <c r="M3103">
        <v>13.9200288459896</v>
      </c>
      <c r="N3103">
        <v>54.603638780798697</v>
      </c>
      <c r="O3103">
        <v>53.513745026379098</v>
      </c>
      <c r="P3103">
        <v>-6.5038956641770604E-2</v>
      </c>
      <c r="Q3103">
        <v>0</v>
      </c>
      <c r="R3103">
        <v>0.99403606792541799</v>
      </c>
      <c r="S3103" t="s">
        <v>9671</v>
      </c>
      <c r="T3103" t="s">
        <v>13134</v>
      </c>
      <c r="U3103" t="s">
        <v>13134</v>
      </c>
      <c r="V3103" t="s">
        <v>13134</v>
      </c>
      <c r="W3103" t="s">
        <v>16184</v>
      </c>
      <c r="X3103">
        <v>31</v>
      </c>
      <c r="Y3103" t="s">
        <v>22605</v>
      </c>
      <c r="Z3103" t="s">
        <v>29071</v>
      </c>
      <c r="AA3103">
        <v>0.60227315494289735</v>
      </c>
      <c r="AB3103" t="str">
        <f>HYPERLINK("Melting_Curves/meltCurve_P68363_TUBA1B.pdf", "Melting_Curves/meltCurve_P68363_TUBA1B.pdf")</f>
        <v>Melting_Curves/meltCurve_P68363_TUBA1B.pdf</v>
      </c>
    </row>
    <row r="3104" spans="1:28" x14ac:dyDescent="0.25">
      <c r="A3104" t="s">
        <v>3108</v>
      </c>
      <c r="B3104">
        <v>0.99472303558308395</v>
      </c>
      <c r="C3104">
        <v>0.95220574845996697</v>
      </c>
      <c r="D3104">
        <v>0.96784835760256105</v>
      </c>
      <c r="E3104">
        <v>0.92236234048343102</v>
      </c>
      <c r="F3104">
        <v>0.78083457296055503</v>
      </c>
      <c r="G3104">
        <v>0.59603551902758001</v>
      </c>
      <c r="H3104">
        <v>0.30184694576027499</v>
      </c>
      <c r="I3104">
        <v>0.17659120565245401</v>
      </c>
      <c r="J3104">
        <v>7.6401778867656506E-2</v>
      </c>
      <c r="K3104">
        <v>7.6896749721619806E-2</v>
      </c>
      <c r="L3104">
        <v>827.03376517093795</v>
      </c>
      <c r="M3104">
        <v>15.129664574392701</v>
      </c>
      <c r="N3104">
        <v>54.663060513086698</v>
      </c>
      <c r="O3104">
        <v>53.734776109511103</v>
      </c>
      <c r="P3104">
        <v>-7.0397345564824507E-2</v>
      </c>
      <c r="Q3104">
        <v>0</v>
      </c>
      <c r="R3104">
        <v>0.99620020192876901</v>
      </c>
      <c r="S3104" t="s">
        <v>9672</v>
      </c>
      <c r="T3104" t="s">
        <v>13134</v>
      </c>
      <c r="U3104" t="s">
        <v>13134</v>
      </c>
      <c r="V3104" t="s">
        <v>13134</v>
      </c>
      <c r="W3104" t="s">
        <v>16185</v>
      </c>
      <c r="X3104">
        <v>35</v>
      </c>
      <c r="Y3104" t="s">
        <v>22606</v>
      </c>
      <c r="Z3104" t="s">
        <v>29072</v>
      </c>
      <c r="AA3104">
        <v>0.60356452489868295</v>
      </c>
      <c r="AB3104" t="str">
        <f>HYPERLINK("Melting_Curves/meltCurve_P68371_TUBB4B.pdf", "Melting_Curves/meltCurve_P68371_TUBB4B.pdf")</f>
        <v>Melting_Curves/meltCurve_P68371_TUBB4B.pdf</v>
      </c>
    </row>
    <row r="3105" spans="1:28" x14ac:dyDescent="0.25">
      <c r="A3105" t="s">
        <v>3109</v>
      </c>
      <c r="B3105">
        <v>0.99472303558308395</v>
      </c>
      <c r="C3105">
        <v>0.57506488721550297</v>
      </c>
      <c r="D3105">
        <v>1.16027737845477</v>
      </c>
      <c r="E3105">
        <v>0.49113739437250298</v>
      </c>
      <c r="F3105">
        <v>0.27828516869470499</v>
      </c>
      <c r="G3105">
        <v>0.152136020115788</v>
      </c>
      <c r="H3105">
        <v>8.0501931211285696E-2</v>
      </c>
      <c r="I3105">
        <v>4.8439312081118201E-2</v>
      </c>
      <c r="J3105">
        <v>5.3155998282741701E-2</v>
      </c>
      <c r="K3105">
        <v>4.1238678152535499E-2</v>
      </c>
      <c r="L3105">
        <v>1268.7362866593501</v>
      </c>
      <c r="M3105">
        <v>27.0208144647656</v>
      </c>
      <c r="N3105">
        <v>47.230578082675102</v>
      </c>
      <c r="O3105">
        <v>46.699127830342697</v>
      </c>
      <c r="P3105">
        <v>-0.134071632404862</v>
      </c>
      <c r="Q3105">
        <v>7.3164040055687399E-2</v>
      </c>
      <c r="R3105">
        <v>0.83844045360622499</v>
      </c>
      <c r="S3105" t="s">
        <v>9673</v>
      </c>
      <c r="T3105" t="s">
        <v>13134</v>
      </c>
      <c r="U3105" t="s">
        <v>13134</v>
      </c>
      <c r="V3105" t="s">
        <v>13134</v>
      </c>
      <c r="W3105" t="s">
        <v>16186</v>
      </c>
      <c r="X3105">
        <v>4</v>
      </c>
      <c r="Y3105" t="s">
        <v>22607</v>
      </c>
      <c r="Z3105" t="s">
        <v>29073</v>
      </c>
      <c r="AA3105">
        <v>0.38733911917325597</v>
      </c>
      <c r="AB3105" t="str">
        <f>HYPERLINK("Melting_Curves/meltCurve_P68402_PAFAH1B2.pdf", "Melting_Curves/meltCurve_P68402_PAFAH1B2.pdf")</f>
        <v>Melting_Curves/meltCurve_P68402_PAFAH1B2.pdf</v>
      </c>
    </row>
    <row r="3106" spans="1:28" x14ac:dyDescent="0.25">
      <c r="A3106" t="s">
        <v>3110</v>
      </c>
      <c r="B3106">
        <v>0.99472303558308395</v>
      </c>
      <c r="C3106">
        <v>0.81752781122231699</v>
      </c>
      <c r="D3106">
        <v>0.93267831132369705</v>
      </c>
      <c r="E3106">
        <v>0.87293827573675697</v>
      </c>
      <c r="F3106">
        <v>0.76246744521365595</v>
      </c>
      <c r="G3106">
        <v>0.62161141133342501</v>
      </c>
      <c r="H3106">
        <v>0.34396328109829399</v>
      </c>
      <c r="I3106">
        <v>0.42533113933694999</v>
      </c>
      <c r="J3106">
        <v>0.55758878906653497</v>
      </c>
      <c r="K3106">
        <v>0.30299191484640903</v>
      </c>
      <c r="L3106">
        <v>577.29622279491002</v>
      </c>
      <c r="M3106">
        <v>11.186025899276499</v>
      </c>
      <c r="N3106">
        <v>57.065896739411698</v>
      </c>
      <c r="O3106">
        <v>50.041734152723699</v>
      </c>
      <c r="P3106">
        <v>-3.7540577457557199E-2</v>
      </c>
      <c r="Q3106">
        <v>0.32844724614337301</v>
      </c>
      <c r="R3106">
        <v>0.85325098137634703</v>
      </c>
      <c r="S3106" t="s">
        <v>9674</v>
      </c>
      <c r="T3106" t="s">
        <v>13134</v>
      </c>
      <c r="U3106" t="s">
        <v>13134</v>
      </c>
      <c r="V3106" t="s">
        <v>13134</v>
      </c>
      <c r="W3106" t="s">
        <v>16187</v>
      </c>
      <c r="X3106">
        <v>11</v>
      </c>
      <c r="Y3106" t="s">
        <v>22608</v>
      </c>
      <c r="Z3106" t="s">
        <v>29074</v>
      </c>
      <c r="AA3106">
        <v>0.67302315100760224</v>
      </c>
      <c r="AB3106" t="str">
        <f>HYPERLINK("Melting_Curves/meltCurve_P69891_HBG1.pdf", "Melting_Curves/meltCurve_P69891_HBG1.pdf")</f>
        <v>Melting_Curves/meltCurve_P69891_HBG1.pdf</v>
      </c>
    </row>
    <row r="3107" spans="1:28" x14ac:dyDescent="0.25">
      <c r="A3107" t="s">
        <v>3111</v>
      </c>
      <c r="B3107">
        <v>0.99472303558308395</v>
      </c>
      <c r="C3107">
        <v>0.90876384399427901</v>
      </c>
      <c r="D3107">
        <v>1.0007279575871799</v>
      </c>
      <c r="E3107">
        <v>0.951186476104393</v>
      </c>
      <c r="F3107">
        <v>0.74487953121428796</v>
      </c>
      <c r="G3107">
        <v>0.66346913728401702</v>
      </c>
      <c r="H3107">
        <v>0.61151262705366605</v>
      </c>
      <c r="I3107">
        <v>0.65351807511290705</v>
      </c>
      <c r="J3107">
        <v>0.84320105403965995</v>
      </c>
      <c r="K3107">
        <v>0.51437785182017504</v>
      </c>
      <c r="L3107">
        <v>1893.1640098648199</v>
      </c>
      <c r="M3107">
        <v>38.7867905717223</v>
      </c>
      <c r="O3107">
        <v>48.680299596365899</v>
      </c>
      <c r="P3107">
        <v>-6.86446881648448E-2</v>
      </c>
      <c r="Q3107">
        <v>0.65538410325195395</v>
      </c>
      <c r="R3107">
        <v>0.76061516615963298</v>
      </c>
      <c r="S3107" t="s">
        <v>9675</v>
      </c>
      <c r="T3107" t="s">
        <v>13134</v>
      </c>
      <c r="U3107" t="s">
        <v>13134</v>
      </c>
      <c r="V3107" t="s">
        <v>13134</v>
      </c>
      <c r="W3107" t="s">
        <v>16188</v>
      </c>
      <c r="X3107">
        <v>11</v>
      </c>
      <c r="Y3107" t="s">
        <v>22609</v>
      </c>
      <c r="Z3107" t="s">
        <v>29075</v>
      </c>
      <c r="AA3107">
        <v>0.79227905921021768</v>
      </c>
      <c r="AB3107" t="str">
        <f>HYPERLINK("Melting_Curves/meltCurve_P69892_HBG2.pdf", "Melting_Curves/meltCurve_P69892_HBG2.pdf")</f>
        <v>Melting_Curves/meltCurve_P69892_HBG2.pdf</v>
      </c>
    </row>
    <row r="3108" spans="1:28" x14ac:dyDescent="0.25">
      <c r="A3108" t="s">
        <v>3112</v>
      </c>
      <c r="B3108">
        <v>0.99472303558308395</v>
      </c>
      <c r="C3108">
        <v>1.05153033689827</v>
      </c>
      <c r="D3108">
        <v>0.98722680722240197</v>
      </c>
      <c r="E3108">
        <v>0.93893015524201395</v>
      </c>
      <c r="F3108">
        <v>0.772481999021426</v>
      </c>
      <c r="G3108">
        <v>0.65141593146685295</v>
      </c>
      <c r="H3108">
        <v>0.58291440501673697</v>
      </c>
      <c r="I3108">
        <v>0.69752330010973396</v>
      </c>
      <c r="J3108">
        <v>0.92671892501910902</v>
      </c>
      <c r="K3108">
        <v>0.64285211977677204</v>
      </c>
      <c r="L3108">
        <v>1928.1445460345799</v>
      </c>
      <c r="M3108">
        <v>39.868966870957998</v>
      </c>
      <c r="O3108">
        <v>48.240846667155203</v>
      </c>
      <c r="P3108">
        <v>-6.1680060346582501E-2</v>
      </c>
      <c r="Q3108">
        <v>0.70147287010386805</v>
      </c>
      <c r="R3108">
        <v>0.724792710968441</v>
      </c>
      <c r="S3108" t="s">
        <v>9676</v>
      </c>
      <c r="T3108" t="s">
        <v>13134</v>
      </c>
      <c r="U3108" t="s">
        <v>13134</v>
      </c>
      <c r="V3108" t="s">
        <v>13134</v>
      </c>
      <c r="W3108" t="s">
        <v>16189</v>
      </c>
      <c r="X3108">
        <v>9</v>
      </c>
      <c r="Y3108" t="s">
        <v>22610</v>
      </c>
      <c r="Z3108" t="s">
        <v>29076</v>
      </c>
      <c r="AA3108">
        <v>0.81553996117943284</v>
      </c>
      <c r="AB3108" t="str">
        <f>HYPERLINK("Melting_Curves/meltCurve_P69905_HBA1.pdf", "Melting_Curves/meltCurve_P69905_HBA1.pdf")</f>
        <v>Melting_Curves/meltCurve_P69905_HBA1.pdf</v>
      </c>
    </row>
    <row r="3109" spans="1:28" x14ac:dyDescent="0.25">
      <c r="A3109" t="s">
        <v>3113</v>
      </c>
      <c r="B3109">
        <v>0.99472303558308395</v>
      </c>
      <c r="C3109">
        <v>1.0042097882409</v>
      </c>
      <c r="D3109">
        <v>0.97352478934798503</v>
      </c>
      <c r="E3109">
        <v>0.56423292151063498</v>
      </c>
      <c r="F3109">
        <v>0.28022409914071</v>
      </c>
      <c r="G3109">
        <v>0.15428499126124401</v>
      </c>
      <c r="H3109">
        <v>0.11788750514223</v>
      </c>
      <c r="I3109">
        <v>8.5623329219275804E-2</v>
      </c>
      <c r="J3109">
        <v>0.13857870248451501</v>
      </c>
      <c r="K3109">
        <v>0.108515257597406</v>
      </c>
      <c r="L3109">
        <v>1246.6121682918599</v>
      </c>
      <c r="M3109">
        <v>26.580335267261599</v>
      </c>
      <c r="N3109">
        <v>47.373721717404003</v>
      </c>
      <c r="O3109">
        <v>46.636742669423199</v>
      </c>
      <c r="P3109">
        <v>-0.12585257886156501</v>
      </c>
      <c r="Q3109">
        <v>0.116746678362615</v>
      </c>
      <c r="R3109">
        <v>0.99582632110455704</v>
      </c>
      <c r="S3109" t="s">
        <v>9677</v>
      </c>
      <c r="T3109" t="s">
        <v>13134</v>
      </c>
      <c r="U3109" t="s">
        <v>13134</v>
      </c>
      <c r="V3109" t="s">
        <v>13134</v>
      </c>
      <c r="W3109" t="s">
        <v>16190</v>
      </c>
      <c r="X3109">
        <v>7</v>
      </c>
      <c r="Y3109" t="s">
        <v>22611</v>
      </c>
      <c r="Z3109" t="s">
        <v>29077</v>
      </c>
      <c r="AA3109">
        <v>0.41475934346439303</v>
      </c>
      <c r="AB3109" t="str">
        <f>HYPERLINK("Melting_Curves/meltCurve_P78316_NOP14.pdf", "Melting_Curves/meltCurve_P78316_NOP14.pdf")</f>
        <v>Melting_Curves/meltCurve_P78316_NOP14.pdf</v>
      </c>
    </row>
    <row r="3110" spans="1:28" x14ac:dyDescent="0.25">
      <c r="A3110" t="s">
        <v>3114</v>
      </c>
      <c r="B3110">
        <v>0.99472303558308395</v>
      </c>
      <c r="C3110">
        <v>0.92687519283831199</v>
      </c>
      <c r="D3110">
        <v>0.99673033407737099</v>
      </c>
      <c r="E3110">
        <v>0.84362413899155797</v>
      </c>
      <c r="F3110">
        <v>0.456250942831193</v>
      </c>
      <c r="G3110">
        <v>0.189112288831046</v>
      </c>
      <c r="H3110">
        <v>9.5994574322734297E-2</v>
      </c>
      <c r="I3110">
        <v>8.19485256759893E-2</v>
      </c>
      <c r="J3110">
        <v>7.9892260023360806E-2</v>
      </c>
      <c r="K3110">
        <v>5.9761768241346103E-2</v>
      </c>
      <c r="L3110">
        <v>1238.68511582058</v>
      </c>
      <c r="M3110">
        <v>24.996843122447501</v>
      </c>
      <c r="N3110">
        <v>49.852502134466199</v>
      </c>
      <c r="O3110">
        <v>49.239786149908703</v>
      </c>
      <c r="P3110">
        <v>-0.11808496900142799</v>
      </c>
      <c r="Q3110">
        <v>6.9578525824940701E-2</v>
      </c>
      <c r="R3110">
        <v>0.99647919701617005</v>
      </c>
      <c r="S3110" t="s">
        <v>9678</v>
      </c>
      <c r="T3110" t="s">
        <v>13134</v>
      </c>
      <c r="U3110" t="s">
        <v>13134</v>
      </c>
      <c r="V3110" t="s">
        <v>13134</v>
      </c>
      <c r="W3110" t="s">
        <v>16191</v>
      </c>
      <c r="X3110">
        <v>16</v>
      </c>
      <c r="Y3110" t="s">
        <v>22612</v>
      </c>
      <c r="Z3110" t="s">
        <v>29078</v>
      </c>
      <c r="AA3110">
        <v>0.4670164298918944</v>
      </c>
      <c r="AB3110" t="str">
        <f>HYPERLINK("Melting_Curves/meltCurve_P78318_IGBP1.pdf", "Melting_Curves/meltCurve_P78318_IGBP1.pdf")</f>
        <v>Melting_Curves/meltCurve_P78318_IGBP1.pdf</v>
      </c>
    </row>
    <row r="3111" spans="1:28" x14ac:dyDescent="0.25">
      <c r="A3111" t="s">
        <v>3115</v>
      </c>
      <c r="B3111">
        <v>0.99472303558308395</v>
      </c>
      <c r="C3111">
        <v>1.0313215308559001</v>
      </c>
      <c r="D3111">
        <v>1.05420759640441</v>
      </c>
      <c r="E3111">
        <v>0.96453474795997296</v>
      </c>
      <c r="F3111">
        <v>0.84301171523449503</v>
      </c>
      <c r="G3111">
        <v>0.71241505019474705</v>
      </c>
      <c r="H3111">
        <v>0.63203907613267996</v>
      </c>
      <c r="I3111">
        <v>0.69952572246712397</v>
      </c>
      <c r="J3111">
        <v>0.90431537646656901</v>
      </c>
      <c r="K3111">
        <v>0.44514238204562101</v>
      </c>
      <c r="L3111">
        <v>1600.25521545679</v>
      </c>
      <c r="M3111">
        <v>31.804188973353298</v>
      </c>
      <c r="O3111">
        <v>50.118206716161801</v>
      </c>
      <c r="P3111">
        <v>-5.2404835550721E-2</v>
      </c>
      <c r="Q3111">
        <v>0.66967596942174701</v>
      </c>
      <c r="R3111">
        <v>0.68767201223919505</v>
      </c>
      <c r="S3111" t="s">
        <v>9679</v>
      </c>
      <c r="T3111" t="s">
        <v>13134</v>
      </c>
      <c r="U3111" t="s">
        <v>13134</v>
      </c>
      <c r="V3111" t="s">
        <v>13134</v>
      </c>
      <c r="W3111" t="s">
        <v>16192</v>
      </c>
      <c r="X3111">
        <v>10</v>
      </c>
      <c r="Y3111" t="s">
        <v>22613</v>
      </c>
      <c r="Z3111" t="s">
        <v>29079</v>
      </c>
      <c r="AA3111">
        <v>0.8181094090179305</v>
      </c>
      <c r="AB3111" t="str">
        <f>HYPERLINK("Melting_Curves/meltCurve_P78330_PSPH.pdf", "Melting_Curves/meltCurve_P78330_PSPH.pdf")</f>
        <v>Melting_Curves/meltCurve_P78330_PSPH.pdf</v>
      </c>
    </row>
    <row r="3112" spans="1:28" x14ac:dyDescent="0.25">
      <c r="A3112" t="s">
        <v>3116</v>
      </c>
      <c r="B3112">
        <v>0.99472303558308395</v>
      </c>
      <c r="C3112">
        <v>0.90663905046758497</v>
      </c>
      <c r="D3112">
        <v>0.78730677384616898</v>
      </c>
      <c r="E3112">
        <v>0.42261633025540701</v>
      </c>
      <c r="F3112">
        <v>0.214801424830139</v>
      </c>
      <c r="G3112">
        <v>0.100999937980928</v>
      </c>
      <c r="H3112">
        <v>6.9923961482607599E-2</v>
      </c>
      <c r="I3112">
        <v>6.3207032442815905E-2</v>
      </c>
      <c r="J3112">
        <v>7.9812228407542193E-2</v>
      </c>
      <c r="K3112">
        <v>7.1161573961902702E-2</v>
      </c>
      <c r="L3112">
        <v>852.76869129366696</v>
      </c>
      <c r="M3112">
        <v>18.7205918095339</v>
      </c>
      <c r="N3112">
        <v>45.874986440212901</v>
      </c>
      <c r="O3112">
        <v>45.042200755743401</v>
      </c>
      <c r="P3112">
        <v>-9.7502676192491103E-2</v>
      </c>
      <c r="Q3112">
        <v>6.1664271365526199E-2</v>
      </c>
      <c r="R3112">
        <v>0.99829401976541399</v>
      </c>
      <c r="S3112" t="s">
        <v>9680</v>
      </c>
      <c r="T3112" t="s">
        <v>13134</v>
      </c>
      <c r="U3112" t="s">
        <v>13134</v>
      </c>
      <c r="V3112" t="s">
        <v>13134</v>
      </c>
      <c r="W3112" t="s">
        <v>16193</v>
      </c>
      <c r="X3112">
        <v>15</v>
      </c>
      <c r="Y3112" t="s">
        <v>22614</v>
      </c>
      <c r="Z3112" t="s">
        <v>29080</v>
      </c>
      <c r="AA3112">
        <v>0.34323493589192522</v>
      </c>
      <c r="AB3112" t="str">
        <f>HYPERLINK("Melting_Curves/meltCurve_P78332_RBM6.pdf", "Melting_Curves/meltCurve_P78332_RBM6.pdf")</f>
        <v>Melting_Curves/meltCurve_P78332_RBM6.pdf</v>
      </c>
    </row>
    <row r="3113" spans="1:28" x14ac:dyDescent="0.25">
      <c r="A3113" t="s">
        <v>3117</v>
      </c>
      <c r="B3113">
        <v>0.99472303558308395</v>
      </c>
      <c r="C3113">
        <v>0.89212689720022498</v>
      </c>
      <c r="D3113">
        <v>0.817503122407917</v>
      </c>
      <c r="E3113">
        <v>0.62678477141212097</v>
      </c>
      <c r="F3113">
        <v>0.85150527115150498</v>
      </c>
      <c r="G3113">
        <v>0.27508714868981099</v>
      </c>
      <c r="H3113">
        <v>9.1270534016536106E-2</v>
      </c>
      <c r="I3113">
        <v>4.3264815613918498E-2</v>
      </c>
      <c r="J3113">
        <v>3.7440195559003402E-2</v>
      </c>
      <c r="K3113">
        <v>3.9921201625627602E-2</v>
      </c>
      <c r="L3113">
        <v>702.94963205725105</v>
      </c>
      <c r="M3113">
        <v>13.7386339760833</v>
      </c>
      <c r="N3113">
        <v>51.165904697856902</v>
      </c>
      <c r="O3113">
        <v>50.1184070708915</v>
      </c>
      <c r="P3113">
        <v>-6.85406518029444E-2</v>
      </c>
      <c r="Q3113">
        <v>0</v>
      </c>
      <c r="R3113">
        <v>0.90127080658889003</v>
      </c>
      <c r="S3113" t="s">
        <v>9681</v>
      </c>
      <c r="T3113" t="s">
        <v>13134</v>
      </c>
      <c r="U3113" t="s">
        <v>13134</v>
      </c>
      <c r="V3113" t="s">
        <v>13134</v>
      </c>
      <c r="W3113" t="s">
        <v>16194</v>
      </c>
      <c r="X3113">
        <v>4</v>
      </c>
      <c r="Y3113" t="s">
        <v>22615</v>
      </c>
      <c r="Z3113" t="s">
        <v>29081</v>
      </c>
      <c r="AA3113">
        <v>0.49444532356294879</v>
      </c>
      <c r="AB3113" t="str">
        <f>HYPERLINK("Melting_Curves/meltCurve_P78345_RPP38.pdf", "Melting_Curves/meltCurve_P78345_RPP38.pdf")</f>
        <v>Melting_Curves/meltCurve_P78345_RPP38.pdf</v>
      </c>
    </row>
    <row r="3114" spans="1:28" x14ac:dyDescent="0.25">
      <c r="A3114" t="s">
        <v>3118</v>
      </c>
      <c r="B3114">
        <v>0.99472303558308395</v>
      </c>
      <c r="C3114">
        <v>0.90252204463611696</v>
      </c>
      <c r="D3114">
        <v>0.87866067254168301</v>
      </c>
      <c r="E3114">
        <v>0.644114629117579</v>
      </c>
      <c r="F3114">
        <v>0.55418205264551401</v>
      </c>
      <c r="G3114">
        <v>0.38311785224214401</v>
      </c>
      <c r="H3114">
        <v>0.29690721364498501</v>
      </c>
      <c r="I3114">
        <v>0.24976159814263199</v>
      </c>
      <c r="J3114">
        <v>0.26148243764560197</v>
      </c>
      <c r="K3114">
        <v>0.10711122509328</v>
      </c>
      <c r="L3114">
        <v>472.80445187276501</v>
      </c>
      <c r="M3114">
        <v>9.4964129666494905</v>
      </c>
      <c r="N3114">
        <v>50.997322975066503</v>
      </c>
      <c r="O3114">
        <v>47.729883134110601</v>
      </c>
      <c r="P3114">
        <v>-4.4750980852570899E-2</v>
      </c>
      <c r="Q3114">
        <v>0.100841984126506</v>
      </c>
      <c r="R3114">
        <v>0.98371844932511099</v>
      </c>
      <c r="S3114" t="s">
        <v>9682</v>
      </c>
      <c r="T3114" t="s">
        <v>13134</v>
      </c>
      <c r="U3114" t="s">
        <v>13134</v>
      </c>
      <c r="V3114" t="s">
        <v>13134</v>
      </c>
      <c r="W3114" t="s">
        <v>16195</v>
      </c>
      <c r="X3114">
        <v>5</v>
      </c>
      <c r="Y3114" t="s">
        <v>22616</v>
      </c>
      <c r="Z3114" t="s">
        <v>29082</v>
      </c>
      <c r="AA3114">
        <v>0.51682879022863393</v>
      </c>
      <c r="AB3114" t="str">
        <f>HYPERLINK("Melting_Curves/meltCurve_P78346_RPP30.pdf", "Melting_Curves/meltCurve_P78346_RPP30.pdf")</f>
        <v>Melting_Curves/meltCurve_P78346_RPP30.pdf</v>
      </c>
    </row>
    <row r="3115" spans="1:28" x14ac:dyDescent="0.25">
      <c r="A3115" t="s">
        <v>3119</v>
      </c>
      <c r="B3115">
        <v>0.99472303558308395</v>
      </c>
      <c r="C3115">
        <v>0.89802110113594902</v>
      </c>
      <c r="D3115">
        <v>0.66510427928743499</v>
      </c>
      <c r="E3115">
        <v>0.22032806482005199</v>
      </c>
      <c r="F3115">
        <v>0.122310469582755</v>
      </c>
      <c r="G3115">
        <v>6.6709757631223499E-2</v>
      </c>
      <c r="H3115">
        <v>4.6819350869301897E-2</v>
      </c>
      <c r="I3115">
        <v>3.6262138226838402E-2</v>
      </c>
      <c r="J3115">
        <v>4.4613294863365599E-2</v>
      </c>
      <c r="K3115">
        <v>3.4205154974618901E-2</v>
      </c>
      <c r="L3115">
        <v>1027.3557320182899</v>
      </c>
      <c r="M3115">
        <v>23.360864981133201</v>
      </c>
      <c r="N3115">
        <v>44.151991875501103</v>
      </c>
      <c r="O3115">
        <v>43.659207496093103</v>
      </c>
      <c r="P3115">
        <v>-0.127876606312362</v>
      </c>
      <c r="Q3115">
        <v>4.4061072119802903E-2</v>
      </c>
      <c r="R3115">
        <v>0.99803483102519397</v>
      </c>
      <c r="S3115" t="s">
        <v>9683</v>
      </c>
      <c r="T3115" t="s">
        <v>13134</v>
      </c>
      <c r="U3115" t="s">
        <v>13134</v>
      </c>
      <c r="V3115" t="s">
        <v>13134</v>
      </c>
      <c r="W3115" t="s">
        <v>16196</v>
      </c>
      <c r="X3115">
        <v>43</v>
      </c>
      <c r="Y3115" t="s">
        <v>22617</v>
      </c>
      <c r="Z3115" t="s">
        <v>29083</v>
      </c>
      <c r="AA3115">
        <v>0.27550506745477948</v>
      </c>
      <c r="AB3115" t="str">
        <f>HYPERLINK("Melting_Curves/meltCurve_P78347_2_GTF2I.pdf", "Melting_Curves/meltCurve_P78347_2_GTF2I.pdf")</f>
        <v>Melting_Curves/meltCurve_P78347_2_GTF2I.pdf</v>
      </c>
    </row>
    <row r="3116" spans="1:28" x14ac:dyDescent="0.25">
      <c r="A3116" t="s">
        <v>3120</v>
      </c>
      <c r="B3116">
        <v>0.99472303558308395</v>
      </c>
      <c r="C3116">
        <v>0.96763337058158905</v>
      </c>
      <c r="D3116">
        <v>1.0061620063646599</v>
      </c>
      <c r="E3116">
        <v>0.83875959837699099</v>
      </c>
      <c r="F3116">
        <v>0.52587878781983999</v>
      </c>
      <c r="G3116">
        <v>0.21633357074148199</v>
      </c>
      <c r="H3116">
        <v>6.93521195220832E-2</v>
      </c>
      <c r="I3116">
        <v>3.7927553280249798E-2</v>
      </c>
      <c r="J3116">
        <v>4.32682043963208E-2</v>
      </c>
      <c r="K3116">
        <v>4.2929987730813697E-2</v>
      </c>
      <c r="L3116">
        <v>1112.8802714702699</v>
      </c>
      <c r="M3116">
        <v>22.1458270607739</v>
      </c>
      <c r="N3116">
        <v>50.382453162258301</v>
      </c>
      <c r="O3116">
        <v>49.848007221415997</v>
      </c>
      <c r="P3116">
        <v>-0.10798285889721899</v>
      </c>
      <c r="Q3116">
        <v>2.7787553181386201E-2</v>
      </c>
      <c r="R3116">
        <v>0.99851658728072701</v>
      </c>
      <c r="S3116" t="s">
        <v>9684</v>
      </c>
      <c r="T3116" t="s">
        <v>13134</v>
      </c>
      <c r="U3116" t="s">
        <v>13134</v>
      </c>
      <c r="V3116" t="s">
        <v>13134</v>
      </c>
      <c r="W3116" t="s">
        <v>16197</v>
      </c>
      <c r="X3116">
        <v>9</v>
      </c>
      <c r="Y3116" t="s">
        <v>22618</v>
      </c>
      <c r="Z3116" t="s">
        <v>29084</v>
      </c>
      <c r="AA3116">
        <v>0.46793429603645809</v>
      </c>
      <c r="AB3116" t="str">
        <f>HYPERLINK("Melting_Curves/meltCurve_P78356_PIP4K2B.pdf", "Melting_Curves/meltCurve_P78356_PIP4K2B.pdf")</f>
        <v>Melting_Curves/meltCurve_P78356_PIP4K2B.pdf</v>
      </c>
    </row>
    <row r="3117" spans="1:28" x14ac:dyDescent="0.25">
      <c r="A3117" t="s">
        <v>3121</v>
      </c>
      <c r="B3117">
        <v>0.99472303558308395</v>
      </c>
      <c r="C3117">
        <v>0.88021117907644197</v>
      </c>
      <c r="D3117">
        <v>0.76073503878570803</v>
      </c>
      <c r="E3117">
        <v>0.62884512033607798</v>
      </c>
      <c r="F3117">
        <v>0.67067055627836303</v>
      </c>
      <c r="G3117">
        <v>0.32910400224423297</v>
      </c>
      <c r="H3117">
        <v>0.235407837351677</v>
      </c>
      <c r="I3117">
        <v>0.108606011149358</v>
      </c>
      <c r="J3117">
        <v>0.125900717752155</v>
      </c>
      <c r="K3117">
        <v>8.2727959559181899E-2</v>
      </c>
      <c r="L3117">
        <v>455.659679251424</v>
      </c>
      <c r="M3117">
        <v>9.0453437228595401</v>
      </c>
      <c r="N3117">
        <v>50.375052968377297</v>
      </c>
      <c r="O3117">
        <v>48.095815511815097</v>
      </c>
      <c r="P3117">
        <v>-4.7050806532555597E-2</v>
      </c>
      <c r="Q3117">
        <v>0</v>
      </c>
      <c r="R3117">
        <v>0.96226328143585205</v>
      </c>
      <c r="S3117" t="s">
        <v>9685</v>
      </c>
      <c r="T3117" t="s">
        <v>13134</v>
      </c>
      <c r="U3117" t="s">
        <v>13134</v>
      </c>
      <c r="V3117" t="s">
        <v>13134</v>
      </c>
      <c r="W3117" t="s">
        <v>16198</v>
      </c>
      <c r="X3117">
        <v>6</v>
      </c>
      <c r="Y3117" t="s">
        <v>22619</v>
      </c>
      <c r="Z3117" t="s">
        <v>29085</v>
      </c>
      <c r="AA3117">
        <v>0.4812855691790105</v>
      </c>
      <c r="AB3117" t="str">
        <f>HYPERLINK("Melting_Curves/meltCurve_P78362_SRPK2.pdf", "Melting_Curves/meltCurve_P78362_SRPK2.pdf")</f>
        <v>Melting_Curves/meltCurve_P78362_SRPK2.pdf</v>
      </c>
    </row>
    <row r="3118" spans="1:28" x14ac:dyDescent="0.25">
      <c r="A3118" t="s">
        <v>3122</v>
      </c>
      <c r="B3118">
        <v>0.99472303558308395</v>
      </c>
      <c r="C3118">
        <v>0.92081922749456802</v>
      </c>
      <c r="D3118">
        <v>0.77487405728551295</v>
      </c>
      <c r="E3118">
        <v>0.65345747333858994</v>
      </c>
      <c r="F3118">
        <v>0.92994387891083496</v>
      </c>
      <c r="G3118">
        <v>0.39688487396265798</v>
      </c>
      <c r="H3118">
        <v>0.289375241170647</v>
      </c>
      <c r="I3118">
        <v>0.226198091418956</v>
      </c>
      <c r="J3118">
        <v>0.14533402726195299</v>
      </c>
      <c r="K3118">
        <v>9.4530404989319999E-2</v>
      </c>
      <c r="L3118">
        <v>498.31827459434101</v>
      </c>
      <c r="M3118">
        <v>9.3838894911467907</v>
      </c>
      <c r="N3118">
        <v>53.103595802136702</v>
      </c>
      <c r="O3118">
        <v>50.8594206757667</v>
      </c>
      <c r="P3118">
        <v>-4.6155194141812801E-2</v>
      </c>
      <c r="Q3118">
        <v>0</v>
      </c>
      <c r="R3118">
        <v>0.88069351445516797</v>
      </c>
      <c r="S3118" t="s">
        <v>9686</v>
      </c>
      <c r="T3118" t="s">
        <v>13134</v>
      </c>
      <c r="U3118" t="s">
        <v>13134</v>
      </c>
      <c r="V3118" t="s">
        <v>13134</v>
      </c>
      <c r="W3118" t="s">
        <v>16199</v>
      </c>
      <c r="X3118">
        <v>41</v>
      </c>
      <c r="Y3118" t="s">
        <v>22620</v>
      </c>
      <c r="Z3118" t="s">
        <v>29086</v>
      </c>
      <c r="AA3118">
        <v>0.55873703400707853</v>
      </c>
      <c r="AB3118" t="str">
        <f>HYPERLINK("Melting_Curves/meltCurve_P78371_CCT2.pdf", "Melting_Curves/meltCurve_P78371_CCT2.pdf")</f>
        <v>Melting_Curves/meltCurve_P78371_CCT2.pdf</v>
      </c>
    </row>
    <row r="3119" spans="1:28" x14ac:dyDescent="0.25">
      <c r="A3119" t="s">
        <v>3123</v>
      </c>
      <c r="B3119">
        <v>0.99472303558308395</v>
      </c>
      <c r="C3119">
        <v>0.96424203817462895</v>
      </c>
      <c r="D3119">
        <v>0.83748226936641601</v>
      </c>
      <c r="E3119">
        <v>0.58586286285964595</v>
      </c>
      <c r="F3119">
        <v>0.26456931061569799</v>
      </c>
      <c r="G3119">
        <v>0.10083439495232201</v>
      </c>
      <c r="H3119">
        <v>5.5951698323887002E-2</v>
      </c>
      <c r="I3119">
        <v>3.9901606567780898E-2</v>
      </c>
      <c r="J3119">
        <v>4.83355516487892E-2</v>
      </c>
      <c r="K3119">
        <v>3.9721124458831997E-2</v>
      </c>
      <c r="L3119">
        <v>868.85562358621905</v>
      </c>
      <c r="M3119">
        <v>18.428274509382</v>
      </c>
      <c r="N3119">
        <v>47.294661589724001</v>
      </c>
      <c r="O3119">
        <v>46.603309820104002</v>
      </c>
      <c r="P3119">
        <v>-9.6115061334077198E-2</v>
      </c>
      <c r="Q3119">
        <v>2.7781614342455602E-2</v>
      </c>
      <c r="R3119">
        <v>0.99903103052880005</v>
      </c>
      <c r="S3119" t="s">
        <v>9687</v>
      </c>
      <c r="T3119" t="s">
        <v>13134</v>
      </c>
      <c r="U3119" t="s">
        <v>13134</v>
      </c>
      <c r="V3119" t="s">
        <v>13134</v>
      </c>
      <c r="W3119" t="s">
        <v>16200</v>
      </c>
      <c r="X3119">
        <v>17</v>
      </c>
      <c r="Y3119" t="s">
        <v>22621</v>
      </c>
      <c r="Z3119" t="s">
        <v>29087</v>
      </c>
      <c r="AA3119">
        <v>0.3715627615473045</v>
      </c>
      <c r="AB3119" t="str">
        <f>HYPERLINK("Melting_Curves/meltCurve_P78406_RAE1.pdf", "Melting_Curves/meltCurve_P78406_RAE1.pdf")</f>
        <v>Melting_Curves/meltCurve_P78406_RAE1.pdf</v>
      </c>
    </row>
    <row r="3120" spans="1:28" x14ac:dyDescent="0.25">
      <c r="A3120" t="s">
        <v>3124</v>
      </c>
      <c r="B3120">
        <v>0.99472303558308395</v>
      </c>
      <c r="C3120">
        <v>0.98981097329358803</v>
      </c>
      <c r="D3120">
        <v>1.04196362348728</v>
      </c>
      <c r="E3120">
        <v>1.0080082517678199</v>
      </c>
      <c r="F3120">
        <v>0.74061616896401905</v>
      </c>
      <c r="G3120">
        <v>0.64463338589878905</v>
      </c>
      <c r="H3120">
        <v>0.35630854183271898</v>
      </c>
      <c r="I3120">
        <v>0.37452326148163101</v>
      </c>
      <c r="J3120">
        <v>0.40648700482421102</v>
      </c>
      <c r="K3120">
        <v>0.20446587437753</v>
      </c>
      <c r="L3120">
        <v>982.84266816980403</v>
      </c>
      <c r="M3120">
        <v>18.575381638996401</v>
      </c>
      <c r="N3120">
        <v>55.417067222238302</v>
      </c>
      <c r="O3120">
        <v>52.309246511377999</v>
      </c>
      <c r="P3120">
        <v>-6.3554021493910998E-2</v>
      </c>
      <c r="Q3120">
        <v>0.28414539426840502</v>
      </c>
      <c r="R3120">
        <v>0.96004252834897597</v>
      </c>
      <c r="S3120" t="s">
        <v>9688</v>
      </c>
      <c r="T3120" t="s">
        <v>13134</v>
      </c>
      <c r="U3120" t="s">
        <v>13134</v>
      </c>
      <c r="V3120" t="s">
        <v>13134</v>
      </c>
      <c r="W3120" t="s">
        <v>16201</v>
      </c>
      <c r="X3120">
        <v>19</v>
      </c>
      <c r="Y3120" t="s">
        <v>22622</v>
      </c>
      <c r="Z3120" t="s">
        <v>29088</v>
      </c>
      <c r="AA3120">
        <v>0.67383939880982757</v>
      </c>
      <c r="AB3120" t="str">
        <f>HYPERLINK("Melting_Curves/meltCurve_P78417_GSTO1.pdf", "Melting_Curves/meltCurve_P78417_GSTO1.pdf")</f>
        <v>Melting_Curves/meltCurve_P78417_GSTO1.pdf</v>
      </c>
    </row>
    <row r="3121" spans="1:28" x14ac:dyDescent="0.25">
      <c r="A3121" t="s">
        <v>3125</v>
      </c>
      <c r="B3121">
        <v>0.99472303558308395</v>
      </c>
      <c r="C3121">
        <v>0.847265116124993</v>
      </c>
      <c r="D3121">
        <v>0.72595390071796495</v>
      </c>
      <c r="E3121">
        <v>0.60415583732775002</v>
      </c>
      <c r="F3121">
        <v>0.51578112509024598</v>
      </c>
      <c r="G3121">
        <v>8.6568866941034703E-2</v>
      </c>
      <c r="H3121">
        <v>5.8592420649208499E-2</v>
      </c>
      <c r="I3121">
        <v>3.8648089415940702E-2</v>
      </c>
      <c r="J3121">
        <v>4.5221243130374303E-2</v>
      </c>
      <c r="K3121">
        <v>3.9638149410932799E-2</v>
      </c>
      <c r="L3121">
        <v>573.36235285951102</v>
      </c>
      <c r="M3121">
        <v>11.9999911984684</v>
      </c>
      <c r="N3121">
        <v>47.780254690316497</v>
      </c>
      <c r="O3121">
        <v>46.511345710144198</v>
      </c>
      <c r="P3121">
        <v>-6.4515893008297603E-2</v>
      </c>
      <c r="Q3121">
        <v>0</v>
      </c>
      <c r="R3121">
        <v>0.95913886367764101</v>
      </c>
      <c r="S3121" t="s">
        <v>9689</v>
      </c>
      <c r="T3121" t="s">
        <v>13134</v>
      </c>
      <c r="U3121" t="s">
        <v>13134</v>
      </c>
      <c r="V3121" t="s">
        <v>13134</v>
      </c>
      <c r="W3121" t="s">
        <v>16202</v>
      </c>
      <c r="X3121">
        <v>165</v>
      </c>
      <c r="Y3121" t="s">
        <v>22623</v>
      </c>
      <c r="Z3121" t="s">
        <v>29089</v>
      </c>
      <c r="AA3121">
        <v>0.39098873148317809</v>
      </c>
      <c r="AB3121" t="str">
        <f>HYPERLINK("Melting_Curves/meltCurve_P78527_PRKDC.pdf", "Melting_Curves/meltCurve_P78527_PRKDC.pdf")</f>
        <v>Melting_Curves/meltCurve_P78527_PRKDC.pdf</v>
      </c>
    </row>
    <row r="3122" spans="1:28" x14ac:dyDescent="0.25">
      <c r="A3122" t="s">
        <v>3126</v>
      </c>
      <c r="B3122">
        <v>0.99472303558308395</v>
      </c>
      <c r="C3122">
        <v>0.967634204297943</v>
      </c>
      <c r="D3122">
        <v>0.88269170898846105</v>
      </c>
      <c r="E3122">
        <v>0.73225994137223605</v>
      </c>
      <c r="F3122">
        <v>0.52118206933713396</v>
      </c>
      <c r="G3122">
        <v>0.18111146227084499</v>
      </c>
      <c r="H3122">
        <v>0.11491903883054599</v>
      </c>
      <c r="I3122">
        <v>6.7334511107010303E-2</v>
      </c>
      <c r="J3122">
        <v>7.8062053474349705E-2</v>
      </c>
      <c r="K3122">
        <v>7.9344080762402902E-2</v>
      </c>
      <c r="L3122">
        <v>815.0176578068</v>
      </c>
      <c r="M3122">
        <v>16.495346555997301</v>
      </c>
      <c r="N3122">
        <v>49.664870464875499</v>
      </c>
      <c r="O3122">
        <v>48.699907924629201</v>
      </c>
      <c r="P3122">
        <v>-8.1233990638334502E-2</v>
      </c>
      <c r="Q3122">
        <v>4.0744575997019597E-2</v>
      </c>
      <c r="R3122">
        <v>0.99266113861666205</v>
      </c>
      <c r="S3122" t="s">
        <v>9690</v>
      </c>
      <c r="T3122" t="s">
        <v>13134</v>
      </c>
      <c r="U3122" t="s">
        <v>13134</v>
      </c>
      <c r="V3122" t="s">
        <v>13134</v>
      </c>
      <c r="W3122" t="s">
        <v>16203</v>
      </c>
      <c r="X3122">
        <v>9</v>
      </c>
      <c r="Y3122" t="s">
        <v>22624</v>
      </c>
      <c r="Z3122" t="s">
        <v>29090</v>
      </c>
      <c r="AA3122">
        <v>0.45510344800480362</v>
      </c>
      <c r="AB3122" t="str">
        <f>HYPERLINK("Melting_Curves/meltCurve_P78536_ADAM17.pdf", "Melting_Curves/meltCurve_P78536_ADAM17.pdf")</f>
        <v>Melting_Curves/meltCurve_P78536_ADAM17.pdf</v>
      </c>
    </row>
    <row r="3123" spans="1:28" x14ac:dyDescent="0.25">
      <c r="A3123" t="s">
        <v>3127</v>
      </c>
      <c r="B3123">
        <v>0.99472303558308395</v>
      </c>
      <c r="C3123">
        <v>0.902250404319765</v>
      </c>
      <c r="D3123">
        <v>0.955753772336288</v>
      </c>
      <c r="E3123">
        <v>0.81365931192388097</v>
      </c>
      <c r="F3123">
        <v>0.65300536531818898</v>
      </c>
      <c r="G3123">
        <v>0.431962971708997</v>
      </c>
      <c r="H3123">
        <v>0.262352262044593</v>
      </c>
      <c r="I3123">
        <v>0.15083557684058399</v>
      </c>
      <c r="J3123">
        <v>0.159391423081513</v>
      </c>
      <c r="K3123">
        <v>0.12858148156673699</v>
      </c>
      <c r="L3123">
        <v>674.19120468808796</v>
      </c>
      <c r="M3123">
        <v>13.001906463126801</v>
      </c>
      <c r="N3123">
        <v>52.446677066228801</v>
      </c>
      <c r="O3123">
        <v>50.672588032269701</v>
      </c>
      <c r="P3123">
        <v>-5.9769435580874802E-2</v>
      </c>
      <c r="Q3123">
        <v>6.84016459099962E-2</v>
      </c>
      <c r="R3123">
        <v>0.99224372226874902</v>
      </c>
      <c r="S3123" t="s">
        <v>9691</v>
      </c>
      <c r="T3123" t="s">
        <v>13134</v>
      </c>
      <c r="U3123" t="s">
        <v>13134</v>
      </c>
      <c r="V3123" t="s">
        <v>13134</v>
      </c>
      <c r="W3123" t="s">
        <v>16204</v>
      </c>
      <c r="X3123">
        <v>5</v>
      </c>
      <c r="Y3123" t="s">
        <v>22625</v>
      </c>
      <c r="Z3123" t="s">
        <v>29091</v>
      </c>
      <c r="AA3123">
        <v>0.55057260383171591</v>
      </c>
      <c r="AB3123" t="str">
        <f>HYPERLINK("Melting_Curves/meltCurve_P78537_BLOC1S1.pdf", "Melting_Curves/meltCurve_P78537_BLOC1S1.pdf")</f>
        <v>Melting_Curves/meltCurve_P78537_BLOC1S1.pdf</v>
      </c>
    </row>
    <row r="3124" spans="1:28" x14ac:dyDescent="0.25">
      <c r="A3124" t="s">
        <v>3128</v>
      </c>
      <c r="B3124">
        <v>0.99472303558308395</v>
      </c>
      <c r="C3124">
        <v>0.90248086317527798</v>
      </c>
      <c r="D3124">
        <v>0.79886469075086097</v>
      </c>
      <c r="E3124">
        <v>0.659887646529834</v>
      </c>
      <c r="F3124">
        <v>0.62454339382694701</v>
      </c>
      <c r="G3124">
        <v>0.52061685456378604</v>
      </c>
      <c r="H3124">
        <v>0.43724729097302201</v>
      </c>
      <c r="I3124">
        <v>0.38210566133940999</v>
      </c>
      <c r="J3124">
        <v>0.36366854033597201</v>
      </c>
      <c r="K3124">
        <v>0.15298907135773299</v>
      </c>
      <c r="L3124">
        <v>310.57005240912201</v>
      </c>
      <c r="M3124">
        <v>5.7170143448360298</v>
      </c>
      <c r="N3124">
        <v>54.323818984876297</v>
      </c>
      <c r="O3124">
        <v>48.776471931531198</v>
      </c>
      <c r="P3124">
        <v>-2.9414755544198101E-2</v>
      </c>
      <c r="Q3124">
        <v>0</v>
      </c>
      <c r="R3124">
        <v>0.96156557571191204</v>
      </c>
      <c r="S3124" t="s">
        <v>9692</v>
      </c>
      <c r="T3124" t="s">
        <v>13134</v>
      </c>
      <c r="U3124" t="s">
        <v>13134</v>
      </c>
      <c r="V3124" t="s">
        <v>13134</v>
      </c>
      <c r="W3124" t="s">
        <v>16205</v>
      </c>
      <c r="X3124">
        <v>7</v>
      </c>
      <c r="Y3124" t="s">
        <v>22626</v>
      </c>
      <c r="Z3124" t="s">
        <v>29092</v>
      </c>
      <c r="AA3124">
        <v>0.57878788404430492</v>
      </c>
      <c r="AB3124" t="str">
        <f>HYPERLINK("Melting_Curves/meltCurve_P78540_ARG2.pdf", "Melting_Curves/meltCurve_P78540_ARG2.pdf")</f>
        <v>Melting_Curves/meltCurve_P78540_ARG2.pdf</v>
      </c>
    </row>
    <row r="3125" spans="1:28" x14ac:dyDescent="0.25">
      <c r="A3125" t="s">
        <v>3129</v>
      </c>
      <c r="B3125">
        <v>0.99472303558308395</v>
      </c>
      <c r="C3125">
        <v>0.91341103365893195</v>
      </c>
      <c r="D3125">
        <v>0.85476694718696899</v>
      </c>
      <c r="E3125">
        <v>0.49757992834480702</v>
      </c>
      <c r="F3125">
        <v>0.27020595614569298</v>
      </c>
      <c r="G3125">
        <v>0.15670115664131801</v>
      </c>
      <c r="H3125">
        <v>0.12444186256614501</v>
      </c>
      <c r="I3125">
        <v>7.5594225663191697E-2</v>
      </c>
      <c r="J3125">
        <v>7.2942687205185597E-2</v>
      </c>
      <c r="K3125">
        <v>9.5743945328901903E-2</v>
      </c>
      <c r="L3125">
        <v>839.54564551220199</v>
      </c>
      <c r="M3125">
        <v>18.113026297585598</v>
      </c>
      <c r="N3125">
        <v>46.807878144702997</v>
      </c>
      <c r="O3125">
        <v>45.796488477625601</v>
      </c>
      <c r="P3125">
        <v>-9.0860709381823807E-2</v>
      </c>
      <c r="Q3125">
        <v>8.1125053054437499E-2</v>
      </c>
      <c r="R3125">
        <v>0.996734210189959</v>
      </c>
      <c r="S3125" t="s">
        <v>9693</v>
      </c>
      <c r="T3125" t="s">
        <v>13134</v>
      </c>
      <c r="U3125" t="s">
        <v>13134</v>
      </c>
      <c r="V3125" t="s">
        <v>13134</v>
      </c>
      <c r="W3125" t="s">
        <v>16206</v>
      </c>
      <c r="X3125">
        <v>3</v>
      </c>
      <c r="Y3125" t="s">
        <v>22627</v>
      </c>
      <c r="Z3125" t="s">
        <v>29093</v>
      </c>
      <c r="AA3125">
        <v>0.38214629112354909</v>
      </c>
      <c r="AB3125" t="str">
        <f>HYPERLINK("Melting_Curves/meltCurve_P78560_CRADD.pdf", "Melting_Curves/meltCurve_P78560_CRADD.pdf")</f>
        <v>Melting_Curves/meltCurve_P78560_CRADD.pdf</v>
      </c>
    </row>
    <row r="3126" spans="1:28" x14ac:dyDescent="0.25">
      <c r="A3126" t="s">
        <v>3130</v>
      </c>
      <c r="B3126">
        <v>0.99472303558308395</v>
      </c>
      <c r="C3126">
        <v>0.94708002538233405</v>
      </c>
      <c r="D3126">
        <v>1.0915273671091199</v>
      </c>
      <c r="E3126">
        <v>0.96386726728249095</v>
      </c>
      <c r="F3126">
        <v>0.76088815920583996</v>
      </c>
      <c r="G3126">
        <v>0.67016359490917099</v>
      </c>
      <c r="H3126">
        <v>0.33076464569354402</v>
      </c>
      <c r="I3126">
        <v>0.117768614808877</v>
      </c>
      <c r="J3126">
        <v>6.1165121525993203E-2</v>
      </c>
      <c r="K3126">
        <v>7.5734299884003195E-2</v>
      </c>
      <c r="L3126">
        <v>957.37947491923001</v>
      </c>
      <c r="M3126">
        <v>17.3746748825364</v>
      </c>
      <c r="N3126">
        <v>55.102009791342901</v>
      </c>
      <c r="O3126">
        <v>54.387623826302701</v>
      </c>
      <c r="P3126">
        <v>-7.9869566772169498E-2</v>
      </c>
      <c r="Q3126">
        <v>0</v>
      </c>
      <c r="R3126">
        <v>0.98261659816144198</v>
      </c>
      <c r="S3126" t="s">
        <v>9694</v>
      </c>
      <c r="T3126" t="s">
        <v>13134</v>
      </c>
      <c r="U3126" t="s">
        <v>13134</v>
      </c>
      <c r="V3126" t="s">
        <v>13134</v>
      </c>
      <c r="W3126" t="s">
        <v>16207</v>
      </c>
      <c r="X3126">
        <v>8</v>
      </c>
      <c r="Y3126" t="s">
        <v>22628</v>
      </c>
      <c r="Z3126" t="s">
        <v>29094</v>
      </c>
      <c r="AA3126">
        <v>0.61618225130492843</v>
      </c>
      <c r="AB3126" t="str">
        <f>HYPERLINK("Melting_Curves/meltCurve_P80217_IFI35.pdf", "Melting_Curves/meltCurve_P80217_IFI35.pdf")</f>
        <v>Melting_Curves/meltCurve_P80217_IFI35.pdf</v>
      </c>
    </row>
    <row r="3127" spans="1:28" x14ac:dyDescent="0.25">
      <c r="A3127" t="s">
        <v>3131</v>
      </c>
      <c r="B3127">
        <v>0.99472303558308395</v>
      </c>
      <c r="C3127">
        <v>1.05405656322481</v>
      </c>
      <c r="D3127">
        <v>0.97551335605292899</v>
      </c>
      <c r="E3127">
        <v>0.93061630304392096</v>
      </c>
      <c r="F3127">
        <v>0.72876898052123196</v>
      </c>
      <c r="G3127">
        <v>0.57315352725588198</v>
      </c>
      <c r="H3127">
        <v>0.50453759687521604</v>
      </c>
      <c r="I3127">
        <v>0.52814886761612001</v>
      </c>
      <c r="J3127">
        <v>0.70064939928386805</v>
      </c>
      <c r="K3127">
        <v>0.59557504663909699</v>
      </c>
      <c r="L3127">
        <v>1701.2788264933099</v>
      </c>
      <c r="M3127">
        <v>34.633944973956602</v>
      </c>
      <c r="O3127">
        <v>48.958828102002798</v>
      </c>
      <c r="P3127">
        <v>-7.46778752927586E-2</v>
      </c>
      <c r="Q3127">
        <v>0.57774064097261202</v>
      </c>
      <c r="R3127">
        <v>0.93019010495273902</v>
      </c>
      <c r="S3127" t="s">
        <v>9695</v>
      </c>
      <c r="T3127" t="s">
        <v>13134</v>
      </c>
      <c r="U3127" t="s">
        <v>13134</v>
      </c>
      <c r="V3127" t="s">
        <v>13134</v>
      </c>
      <c r="W3127" t="s">
        <v>16208</v>
      </c>
      <c r="X3127">
        <v>28</v>
      </c>
      <c r="Y3127" t="s">
        <v>22629</v>
      </c>
      <c r="Z3127" t="s">
        <v>29095</v>
      </c>
      <c r="AA3127">
        <v>0.75027252558510449</v>
      </c>
      <c r="AB3127" t="str">
        <f>HYPERLINK("Melting_Curves/meltCurve_P80303_NUCB2.pdf", "Melting_Curves/meltCurve_P80303_NUCB2.pdf")</f>
        <v>Melting_Curves/meltCurve_P80303_NUCB2.pdf</v>
      </c>
    </row>
    <row r="3128" spans="1:28" x14ac:dyDescent="0.25">
      <c r="A3128" t="s">
        <v>3132</v>
      </c>
      <c r="B3128">
        <v>0.99472303558308395</v>
      </c>
      <c r="C3128">
        <v>1.4395220874925101</v>
      </c>
      <c r="D3128">
        <v>1.01170164252004</v>
      </c>
      <c r="E3128">
        <v>1.0961796491090201</v>
      </c>
      <c r="F3128">
        <v>1.2053558497744401</v>
      </c>
      <c r="G3128">
        <v>0.73023456414582899</v>
      </c>
      <c r="H3128">
        <v>0.38384003579328202</v>
      </c>
      <c r="I3128">
        <v>0.15309520339775501</v>
      </c>
      <c r="J3128">
        <v>9.4972575269216902E-2</v>
      </c>
      <c r="K3128">
        <v>0</v>
      </c>
      <c r="L3128">
        <v>1705.82801878138</v>
      </c>
      <c r="M3128">
        <v>30.3826060196178</v>
      </c>
      <c r="N3128">
        <v>56.3261554198982</v>
      </c>
      <c r="O3128">
        <v>55.903343171230702</v>
      </c>
      <c r="P3128">
        <v>-0.129543869359904</v>
      </c>
      <c r="Q3128">
        <v>4.6574147772082103E-2</v>
      </c>
      <c r="R3128">
        <v>0.88923856576963201</v>
      </c>
      <c r="S3128" t="s">
        <v>9696</v>
      </c>
      <c r="T3128" t="s">
        <v>13134</v>
      </c>
      <c r="U3128" t="s">
        <v>13134</v>
      </c>
      <c r="V3128" t="s">
        <v>13134</v>
      </c>
      <c r="W3128" t="s">
        <v>16209</v>
      </c>
      <c r="X3128">
        <v>3</v>
      </c>
      <c r="Y3128" t="s">
        <v>22630</v>
      </c>
      <c r="Z3128" t="s">
        <v>29096</v>
      </c>
      <c r="AA3128">
        <v>0.66081182625485668</v>
      </c>
      <c r="AB3128" t="str">
        <f>HYPERLINK("Melting_Curves/meltCurve_P81877_4_SSBP2.pdf", "Melting_Curves/meltCurve_P81877_4_SSBP2.pdf")</f>
        <v>Melting_Curves/meltCurve_P81877_4_SSBP2.pdf</v>
      </c>
    </row>
    <row r="3129" spans="1:28" x14ac:dyDescent="0.25">
      <c r="A3129" t="s">
        <v>3133</v>
      </c>
      <c r="B3129">
        <v>0.99472303558308395</v>
      </c>
      <c r="C3129">
        <v>1.0914031263708599</v>
      </c>
      <c r="D3129">
        <v>0.89045534152177797</v>
      </c>
      <c r="E3129">
        <v>0.792812816489464</v>
      </c>
      <c r="F3129">
        <v>0.496230050049837</v>
      </c>
      <c r="G3129">
        <v>0.31398017202784501</v>
      </c>
      <c r="H3129">
        <v>0.23591950559411801</v>
      </c>
      <c r="I3129">
        <v>0.24036579317753001</v>
      </c>
      <c r="J3129">
        <v>0.42042994195759498</v>
      </c>
      <c r="K3129">
        <v>0.43099195132062001</v>
      </c>
      <c r="L3129">
        <v>1293.4680015226299</v>
      </c>
      <c r="M3129">
        <v>27.013526058758298</v>
      </c>
      <c r="N3129">
        <v>49.804070245460998</v>
      </c>
      <c r="O3129">
        <v>47.622144290657403</v>
      </c>
      <c r="P3129">
        <v>-9.5908889184770293E-2</v>
      </c>
      <c r="Q3129">
        <v>0.32369559865756298</v>
      </c>
      <c r="R3129">
        <v>0.94138289472522396</v>
      </c>
      <c r="S3129" t="s">
        <v>9697</v>
      </c>
      <c r="T3129" t="s">
        <v>13134</v>
      </c>
      <c r="U3129" t="s">
        <v>13134</v>
      </c>
      <c r="V3129" t="s">
        <v>13134</v>
      </c>
      <c r="W3129" t="s">
        <v>16210</v>
      </c>
      <c r="X3129">
        <v>32</v>
      </c>
      <c r="Y3129" t="s">
        <v>22631</v>
      </c>
      <c r="Z3129" t="s">
        <v>29097</v>
      </c>
      <c r="AA3129">
        <v>0.57395042774385496</v>
      </c>
      <c r="AB3129" t="str">
        <f>HYPERLINK("Melting_Curves/meltCurve_P82094_TMF1.pdf", "Melting_Curves/meltCurve_P82094_TMF1.pdf")</f>
        <v>Melting_Curves/meltCurve_P82094_TMF1.pdf</v>
      </c>
    </row>
    <row r="3130" spans="1:28" x14ac:dyDescent="0.25">
      <c r="A3130" t="s">
        <v>3134</v>
      </c>
      <c r="B3130">
        <v>0.99472303558308395</v>
      </c>
      <c r="C3130">
        <v>1.0708679500826701</v>
      </c>
      <c r="D3130">
        <v>0.719994616413966</v>
      </c>
      <c r="E3130">
        <v>0.61327378797402399</v>
      </c>
      <c r="F3130">
        <v>0.44287452758580398</v>
      </c>
      <c r="G3130">
        <v>0.16442421426350201</v>
      </c>
      <c r="H3130">
        <v>0.118234225036875</v>
      </c>
      <c r="I3130">
        <v>8.7554629452910496E-2</v>
      </c>
      <c r="J3130">
        <v>0.10323303478533399</v>
      </c>
      <c r="K3130">
        <v>7.9396654204913097E-2</v>
      </c>
      <c r="L3130">
        <v>660.28227372855599</v>
      </c>
      <c r="M3130">
        <v>13.8266410445929</v>
      </c>
      <c r="N3130">
        <v>48.139637630149998</v>
      </c>
      <c r="O3130">
        <v>46.788681724410999</v>
      </c>
      <c r="P3130">
        <v>-7.0018175951714806E-2</v>
      </c>
      <c r="Q3130">
        <v>5.2379227139100502E-2</v>
      </c>
      <c r="R3130">
        <v>0.97195647232393101</v>
      </c>
      <c r="S3130" t="s">
        <v>9698</v>
      </c>
      <c r="T3130" t="s">
        <v>13134</v>
      </c>
      <c r="U3130" t="s">
        <v>13134</v>
      </c>
      <c r="V3130" t="s">
        <v>13134</v>
      </c>
      <c r="W3130" t="s">
        <v>16211</v>
      </c>
      <c r="X3130">
        <v>3</v>
      </c>
      <c r="Y3130" t="s">
        <v>22632</v>
      </c>
      <c r="Z3130" t="s">
        <v>29098</v>
      </c>
      <c r="AA3130">
        <v>0.41612945958389369</v>
      </c>
      <c r="AB3130" t="str">
        <f>HYPERLINK("Melting_Curves/meltCurve_P82673_MRPS35.pdf", "Melting_Curves/meltCurve_P82673_MRPS35.pdf")</f>
        <v>Melting_Curves/meltCurve_P82673_MRPS35.pdf</v>
      </c>
    </row>
    <row r="3131" spans="1:28" x14ac:dyDescent="0.25">
      <c r="A3131" t="s">
        <v>3135</v>
      </c>
      <c r="B3131">
        <v>0.99472303558308395</v>
      </c>
      <c r="C3131">
        <v>0.839182114633646</v>
      </c>
      <c r="D3131">
        <v>0.97737118320411798</v>
      </c>
      <c r="E3131">
        <v>0.88361179899040398</v>
      </c>
      <c r="F3131">
        <v>0.64925903520682804</v>
      </c>
      <c r="G3131">
        <v>0.49789726254341998</v>
      </c>
      <c r="H3131">
        <v>0.42605006874015899</v>
      </c>
      <c r="I3131">
        <v>0.49202009567014099</v>
      </c>
      <c r="J3131">
        <v>0.66445316767956597</v>
      </c>
      <c r="K3131">
        <v>0.49422918600206001</v>
      </c>
      <c r="L3131">
        <v>1527.4814155054501</v>
      </c>
      <c r="M3131">
        <v>31.561741919206501</v>
      </c>
      <c r="O3131">
        <v>48.203552721701001</v>
      </c>
      <c r="P3131">
        <v>-7.9736166430230807E-2</v>
      </c>
      <c r="Q3131">
        <v>0.51288528177977999</v>
      </c>
      <c r="R3131">
        <v>0.85933581587117602</v>
      </c>
      <c r="S3131" t="s">
        <v>9699</v>
      </c>
      <c r="T3131" t="s">
        <v>13134</v>
      </c>
      <c r="U3131" t="s">
        <v>13134</v>
      </c>
      <c r="V3131" t="s">
        <v>13134</v>
      </c>
      <c r="W3131" t="s">
        <v>16212</v>
      </c>
      <c r="X3131">
        <v>1</v>
      </c>
      <c r="Y3131" t="s">
        <v>22633</v>
      </c>
      <c r="Z3131" t="s">
        <v>29099</v>
      </c>
      <c r="AA3131">
        <v>0.70055895810429292</v>
      </c>
      <c r="AB3131" t="str">
        <f>HYPERLINK("Melting_Curves/meltCurve_P82675_MRPS5.pdf", "Melting_Curves/meltCurve_P82675_MRPS5.pdf")</f>
        <v>Melting_Curves/meltCurve_P82675_MRPS5.pdf</v>
      </c>
    </row>
    <row r="3132" spans="1:28" x14ac:dyDescent="0.25">
      <c r="A3132" t="s">
        <v>3136</v>
      </c>
      <c r="B3132">
        <v>0.99472303558308395</v>
      </c>
      <c r="C3132">
        <v>1.0187585902952201</v>
      </c>
      <c r="D3132">
        <v>0.93596145458448499</v>
      </c>
      <c r="E3132">
        <v>0.91905958480049099</v>
      </c>
      <c r="F3132">
        <v>0.76916991062576401</v>
      </c>
      <c r="G3132">
        <v>0.63102684489743999</v>
      </c>
      <c r="H3132">
        <v>0.47841417581047302</v>
      </c>
      <c r="I3132">
        <v>0.59384285823281402</v>
      </c>
      <c r="J3132">
        <v>0.808665072145338</v>
      </c>
      <c r="K3132">
        <v>0.56001057407993604</v>
      </c>
      <c r="L3132">
        <v>1390.3824496776199</v>
      </c>
      <c r="M3132">
        <v>28.3171744933322</v>
      </c>
      <c r="O3132">
        <v>48.857408051029601</v>
      </c>
      <c r="P3132">
        <v>-5.6574297228529399E-2</v>
      </c>
      <c r="Q3132">
        <v>0.60955836559893795</v>
      </c>
      <c r="R3132">
        <v>0.80902117740223201</v>
      </c>
      <c r="S3132" t="s">
        <v>9700</v>
      </c>
      <c r="T3132" t="s">
        <v>13134</v>
      </c>
      <c r="U3132" t="s">
        <v>13134</v>
      </c>
      <c r="V3132" t="s">
        <v>13134</v>
      </c>
      <c r="W3132" t="s">
        <v>16213</v>
      </c>
      <c r="X3132">
        <v>4</v>
      </c>
      <c r="Y3132" t="s">
        <v>22634</v>
      </c>
      <c r="Z3132" t="s">
        <v>29100</v>
      </c>
      <c r="AA3132">
        <v>0.7696864895355543</v>
      </c>
      <c r="AB3132" t="str">
        <f>HYPERLINK("Melting_Curves/meltCurve_P82909_MRPS36.pdf", "Melting_Curves/meltCurve_P82909_MRPS36.pdf")</f>
        <v>Melting_Curves/meltCurve_P82909_MRPS36.pdf</v>
      </c>
    </row>
    <row r="3133" spans="1:28" x14ac:dyDescent="0.25">
      <c r="A3133" t="s">
        <v>3137</v>
      </c>
      <c r="B3133">
        <v>0.99472303558308395</v>
      </c>
      <c r="C3133">
        <v>0.89196369360885297</v>
      </c>
      <c r="D3133">
        <v>0.75704017664518397</v>
      </c>
      <c r="E3133">
        <v>0.659683132620976</v>
      </c>
      <c r="F3133">
        <v>0.37810109685055399</v>
      </c>
      <c r="G3133">
        <v>0.17180163039969601</v>
      </c>
      <c r="H3133">
        <v>0.136192959237279</v>
      </c>
      <c r="I3133">
        <v>8.4163228651598407E-2</v>
      </c>
      <c r="J3133">
        <v>5.0403939244320302E-2</v>
      </c>
      <c r="K3133">
        <v>6.2076573578601198E-2</v>
      </c>
      <c r="L3133">
        <v>577.63408318803499</v>
      </c>
      <c r="M3133">
        <v>12.034843379422</v>
      </c>
      <c r="N3133">
        <v>48.076674818996501</v>
      </c>
      <c r="O3133">
        <v>46.729218682014299</v>
      </c>
      <c r="P3133">
        <v>-6.3764177094669805E-2</v>
      </c>
      <c r="Q3133">
        <v>9.8947466429108698E-3</v>
      </c>
      <c r="R3133">
        <v>0.99121164138096096</v>
      </c>
      <c r="S3133" t="s">
        <v>9701</v>
      </c>
      <c r="T3133" t="s">
        <v>13134</v>
      </c>
      <c r="U3133" t="s">
        <v>13134</v>
      </c>
      <c r="V3133" t="s">
        <v>13134</v>
      </c>
      <c r="W3133" t="s">
        <v>16214</v>
      </c>
      <c r="X3133">
        <v>3</v>
      </c>
      <c r="Y3133" t="s">
        <v>22635</v>
      </c>
      <c r="Z3133" t="s">
        <v>29101</v>
      </c>
      <c r="AA3133">
        <v>0.40369913755311782</v>
      </c>
      <c r="AB3133" t="str">
        <f>HYPERLINK("Melting_Curves/meltCurve_P82912_2_MRPS11.pdf", "Melting_Curves/meltCurve_P82912_2_MRPS11.pdf")</f>
        <v>Melting_Curves/meltCurve_P82912_2_MRPS11.pdf</v>
      </c>
    </row>
    <row r="3134" spans="1:28" x14ac:dyDescent="0.25">
      <c r="A3134" t="s">
        <v>3138</v>
      </c>
      <c r="B3134">
        <v>0.99472303558308395</v>
      </c>
      <c r="C3134">
        <v>0.85073927042977704</v>
      </c>
      <c r="D3134">
        <v>0.90245423940354097</v>
      </c>
      <c r="E3134">
        <v>1.32770157567931</v>
      </c>
      <c r="F3134">
        <v>0.41986697205755102</v>
      </c>
      <c r="G3134">
        <v>0.11417508777007</v>
      </c>
      <c r="H3134">
        <v>5.7378340678790399E-2</v>
      </c>
      <c r="I3134">
        <v>6.4874868259098994E-2</v>
      </c>
      <c r="J3134">
        <v>5.9111724297452199E-2</v>
      </c>
      <c r="K3134">
        <v>5.97782042610637E-2</v>
      </c>
      <c r="S3134" t="s">
        <v>9702</v>
      </c>
      <c r="T3134" t="s">
        <v>13134</v>
      </c>
      <c r="U3134" t="s">
        <v>13135</v>
      </c>
      <c r="V3134" t="s">
        <v>13134</v>
      </c>
      <c r="W3134" t="s">
        <v>16215</v>
      </c>
      <c r="X3134">
        <v>3</v>
      </c>
      <c r="Y3134" t="s">
        <v>22636</v>
      </c>
      <c r="Z3134" t="s">
        <v>29102</v>
      </c>
      <c r="AB3134" t="str">
        <f>HYPERLINK("Melting_Curves/meltCurve_P82930_MRPS34.pdf", "Melting_Curves/meltCurve_P82930_MRPS34.pdf")</f>
        <v>Melting_Curves/meltCurve_P82930_MRPS34.pdf</v>
      </c>
    </row>
    <row r="3135" spans="1:28" x14ac:dyDescent="0.25">
      <c r="A3135" t="s">
        <v>3139</v>
      </c>
      <c r="B3135">
        <v>0.99472303558308395</v>
      </c>
      <c r="C3135">
        <v>0.90251741079382997</v>
      </c>
      <c r="D3135">
        <v>0.85207767505267895</v>
      </c>
      <c r="E3135">
        <v>0.62886021901103295</v>
      </c>
      <c r="F3135">
        <v>0.19562067616067899</v>
      </c>
      <c r="G3135">
        <v>0.19825545981152801</v>
      </c>
      <c r="H3135">
        <v>0.11894037984509399</v>
      </c>
      <c r="I3135">
        <v>0.119079490768669</v>
      </c>
      <c r="J3135">
        <v>0.15001938253678199</v>
      </c>
      <c r="K3135">
        <v>0.10484504566663</v>
      </c>
      <c r="L3135">
        <v>1024.16791977871</v>
      </c>
      <c r="M3135">
        <v>21.930480234524399</v>
      </c>
      <c r="N3135">
        <v>47.269012431135003</v>
      </c>
      <c r="O3135">
        <v>46.317553934128597</v>
      </c>
      <c r="P3135">
        <v>-0.104654628244762</v>
      </c>
      <c r="Q3135">
        <v>0.115890446502809</v>
      </c>
      <c r="R3135">
        <v>0.98457001466366001</v>
      </c>
      <c r="S3135" t="s">
        <v>9703</v>
      </c>
      <c r="T3135" t="s">
        <v>13134</v>
      </c>
      <c r="U3135" t="s">
        <v>13134</v>
      </c>
      <c r="V3135" t="s">
        <v>13134</v>
      </c>
      <c r="W3135" t="s">
        <v>16216</v>
      </c>
      <c r="X3135">
        <v>3</v>
      </c>
      <c r="Y3135" t="s">
        <v>22637</v>
      </c>
      <c r="Z3135" t="s">
        <v>29103</v>
      </c>
      <c r="AA3135">
        <v>0.41139795908866711</v>
      </c>
      <c r="AB3135" t="str">
        <f>HYPERLINK("Melting_Curves/meltCurve_P82932_MRPS6.pdf", "Melting_Curves/meltCurve_P82932_MRPS6.pdf")</f>
        <v>Melting_Curves/meltCurve_P82932_MRPS6.pdf</v>
      </c>
    </row>
    <row r="3136" spans="1:28" x14ac:dyDescent="0.25">
      <c r="A3136" t="s">
        <v>3140</v>
      </c>
      <c r="B3136">
        <v>0.99472303558308395</v>
      </c>
      <c r="C3136">
        <v>0.98203806223101398</v>
      </c>
      <c r="D3136">
        <v>0.73174843118135402</v>
      </c>
      <c r="E3136">
        <v>0.51177490250203495</v>
      </c>
      <c r="F3136">
        <v>0.23711236416453599</v>
      </c>
      <c r="G3136">
        <v>0.120498615474849</v>
      </c>
      <c r="H3136">
        <v>7.8485874513810505E-2</v>
      </c>
      <c r="I3136">
        <v>5.8485725526368E-2</v>
      </c>
      <c r="J3136">
        <v>7.5036841947319799E-2</v>
      </c>
      <c r="K3136">
        <v>5.7175917701090401E-2</v>
      </c>
      <c r="L3136">
        <v>772.52685192485501</v>
      </c>
      <c r="M3136">
        <v>16.7595986240702</v>
      </c>
      <c r="N3136">
        <v>46.389223999149898</v>
      </c>
      <c r="O3136">
        <v>45.453342302111601</v>
      </c>
      <c r="P3136">
        <v>-8.7531975248181196E-2</v>
      </c>
      <c r="Q3136">
        <v>5.04879395207085E-2</v>
      </c>
      <c r="R3136">
        <v>0.99548158921539298</v>
      </c>
      <c r="S3136" t="s">
        <v>9704</v>
      </c>
      <c r="T3136" t="s">
        <v>13134</v>
      </c>
      <c r="U3136" t="s">
        <v>13134</v>
      </c>
      <c r="V3136" t="s">
        <v>13134</v>
      </c>
      <c r="W3136" t="s">
        <v>16217</v>
      </c>
      <c r="X3136">
        <v>6</v>
      </c>
      <c r="Y3136" t="s">
        <v>22638</v>
      </c>
      <c r="Z3136" t="s">
        <v>29104</v>
      </c>
      <c r="AA3136">
        <v>0.35598596013096973</v>
      </c>
      <c r="AB3136" t="str">
        <f>HYPERLINK("Melting_Curves/meltCurve_P82933_MRPS9.pdf", "Melting_Curves/meltCurve_P82933_MRPS9.pdf")</f>
        <v>Melting_Curves/meltCurve_P82933_MRPS9.pdf</v>
      </c>
    </row>
    <row r="3137" spans="1:28" x14ac:dyDescent="0.25">
      <c r="A3137" t="s">
        <v>3141</v>
      </c>
      <c r="B3137">
        <v>0.99472303558308395</v>
      </c>
      <c r="C3137">
        <v>1.01962332929123</v>
      </c>
      <c r="D3137">
        <v>0.90864103750710901</v>
      </c>
      <c r="E3137">
        <v>0.82924695907103596</v>
      </c>
      <c r="F3137">
        <v>0.66786367073965103</v>
      </c>
      <c r="G3137">
        <v>0.57629805493421005</v>
      </c>
      <c r="H3137">
        <v>0.52873360526186597</v>
      </c>
      <c r="I3137">
        <v>0.58601778628400103</v>
      </c>
      <c r="J3137">
        <v>0.75914846752744203</v>
      </c>
      <c r="K3137">
        <v>0.57023188707553696</v>
      </c>
      <c r="L3137">
        <v>1110.85675235297</v>
      </c>
      <c r="M3137">
        <v>23.801660052811499</v>
      </c>
      <c r="O3137">
        <v>46.345696058388398</v>
      </c>
      <c r="P3137">
        <v>-5.1113784273440099E-2</v>
      </c>
      <c r="Q3137">
        <v>0.60189918738219395</v>
      </c>
      <c r="R3137">
        <v>0.88004603052826802</v>
      </c>
      <c r="S3137" t="s">
        <v>9705</v>
      </c>
      <c r="T3137" t="s">
        <v>13134</v>
      </c>
      <c r="U3137" t="s">
        <v>13134</v>
      </c>
      <c r="V3137" t="s">
        <v>13134</v>
      </c>
      <c r="W3137" t="s">
        <v>16218</v>
      </c>
      <c r="X3137">
        <v>12</v>
      </c>
      <c r="Y3137" t="s">
        <v>22639</v>
      </c>
      <c r="Z3137" t="s">
        <v>29105</v>
      </c>
      <c r="AA3137">
        <v>0.73391402613331513</v>
      </c>
      <c r="AB3137" t="str">
        <f>HYPERLINK("Melting_Curves/meltCurve_P82979_SARNP.pdf", "Melting_Curves/meltCurve_P82979_SARNP.pdf")</f>
        <v>Melting_Curves/meltCurve_P82979_SARNP.pdf</v>
      </c>
    </row>
    <row r="3138" spans="1:28" x14ac:dyDescent="0.25">
      <c r="A3138" t="s">
        <v>3142</v>
      </c>
      <c r="B3138">
        <v>0.99472303558308395</v>
      </c>
      <c r="C3138">
        <v>1.17826604900516</v>
      </c>
      <c r="D3138">
        <v>0.95231253121470405</v>
      </c>
      <c r="E3138">
        <v>1.0274612614276699</v>
      </c>
      <c r="F3138">
        <v>0.38966715024945098</v>
      </c>
      <c r="G3138">
        <v>0.13343758387754301</v>
      </c>
      <c r="H3138">
        <v>7.6818369466912298E-2</v>
      </c>
      <c r="I3138">
        <v>5.7409188567311899E-2</v>
      </c>
      <c r="J3138">
        <v>7.0962905153721195E-2</v>
      </c>
      <c r="K3138">
        <v>4.8095136750122197E-2</v>
      </c>
      <c r="L3138">
        <v>4225.3734236508199</v>
      </c>
      <c r="M3138">
        <v>84.835246129186899</v>
      </c>
      <c r="N3138">
        <v>49.905038879130203</v>
      </c>
      <c r="O3138">
        <v>49.779172239993599</v>
      </c>
      <c r="P3138">
        <v>-0.39329880047162302</v>
      </c>
      <c r="Q3138">
        <v>7.6889271663957606E-2</v>
      </c>
      <c r="R3138">
        <v>0.98128555318426902</v>
      </c>
      <c r="S3138" t="s">
        <v>9706</v>
      </c>
      <c r="T3138" t="s">
        <v>13134</v>
      </c>
      <c r="U3138" t="s">
        <v>13134</v>
      </c>
      <c r="V3138" t="s">
        <v>13134</v>
      </c>
      <c r="W3138" t="s">
        <v>16219</v>
      </c>
      <c r="X3138">
        <v>4</v>
      </c>
      <c r="Y3138" t="s">
        <v>22640</v>
      </c>
      <c r="Z3138" t="s">
        <v>29106</v>
      </c>
      <c r="AA3138">
        <v>0.47166146803765863</v>
      </c>
      <c r="AB3138" t="str">
        <f>HYPERLINK("Melting_Curves/meltCurve_P83111_LACTB.pdf", "Melting_Curves/meltCurve_P83111_LACTB.pdf")</f>
        <v>Melting_Curves/meltCurve_P83111_LACTB.pdf</v>
      </c>
    </row>
    <row r="3139" spans="1:28" x14ac:dyDescent="0.25">
      <c r="A3139" t="s">
        <v>3143</v>
      </c>
      <c r="B3139">
        <v>0.99472303558308395</v>
      </c>
      <c r="C3139">
        <v>0.770697983497451</v>
      </c>
      <c r="D3139">
        <v>0.66457423940598603</v>
      </c>
      <c r="E3139">
        <v>0.27172045190962102</v>
      </c>
      <c r="F3139">
        <v>0.12529701650477101</v>
      </c>
      <c r="G3139">
        <v>7.3743173933075307E-2</v>
      </c>
      <c r="H3139">
        <v>4.0557270249975103E-2</v>
      </c>
      <c r="I3139">
        <v>3.94468128556245E-2</v>
      </c>
      <c r="J3139">
        <v>3.9238839277143903E-2</v>
      </c>
      <c r="K3139">
        <v>4.4170108351531297E-2</v>
      </c>
      <c r="L3139">
        <v>733.44385358513705</v>
      </c>
      <c r="M3139">
        <v>16.694241525987799</v>
      </c>
      <c r="N3139">
        <v>44.090270975810597</v>
      </c>
      <c r="O3139">
        <v>43.3180546230803</v>
      </c>
      <c r="P3139">
        <v>-9.3584378648896696E-2</v>
      </c>
      <c r="Q3139">
        <v>2.87369778219429E-2</v>
      </c>
      <c r="R3139">
        <v>0.98959219302715196</v>
      </c>
      <c r="S3139" t="s">
        <v>9707</v>
      </c>
      <c r="T3139" t="s">
        <v>13134</v>
      </c>
      <c r="U3139" t="s">
        <v>13134</v>
      </c>
      <c r="V3139" t="s">
        <v>13134</v>
      </c>
      <c r="W3139" t="s">
        <v>16220</v>
      </c>
      <c r="X3139">
        <v>7</v>
      </c>
      <c r="Y3139" t="s">
        <v>22641</v>
      </c>
      <c r="Z3139" t="s">
        <v>29107</v>
      </c>
      <c r="AA3139">
        <v>0.27252887677176468</v>
      </c>
      <c r="AB3139" t="str">
        <f>HYPERLINK("Melting_Curves/meltCurve_P83436_COG7.pdf", "Melting_Curves/meltCurve_P83436_COG7.pdf")</f>
        <v>Melting_Curves/meltCurve_P83436_COG7.pdf</v>
      </c>
    </row>
    <row r="3140" spans="1:28" x14ac:dyDescent="0.25">
      <c r="A3140" t="s">
        <v>3144</v>
      </c>
      <c r="B3140">
        <v>0.99472303558308395</v>
      </c>
      <c r="C3140">
        <v>1.02939133344995</v>
      </c>
      <c r="D3140">
        <v>0.95076713375015798</v>
      </c>
      <c r="E3140">
        <v>0.65459798448957296</v>
      </c>
      <c r="F3140">
        <v>0.187620817267725</v>
      </c>
      <c r="G3140">
        <v>9.05475233132612E-2</v>
      </c>
      <c r="H3140">
        <v>6.0839275649263197E-2</v>
      </c>
      <c r="I3140">
        <v>4.5664763093302398E-2</v>
      </c>
      <c r="J3140">
        <v>5.7236993391713099E-2</v>
      </c>
      <c r="K3140">
        <v>3.59844454725326E-2</v>
      </c>
      <c r="L3140">
        <v>1464.8772979509099</v>
      </c>
      <c r="M3140">
        <v>30.895797826746598</v>
      </c>
      <c r="N3140">
        <v>47.579024495027298</v>
      </c>
      <c r="O3140">
        <v>47.216175973430502</v>
      </c>
      <c r="P3140">
        <v>-0.15525167299765999</v>
      </c>
      <c r="Q3140">
        <v>5.09586624001045E-2</v>
      </c>
      <c r="R3140">
        <v>0.99893894085370905</v>
      </c>
      <c r="S3140" t="s">
        <v>9708</v>
      </c>
      <c r="T3140" t="s">
        <v>13134</v>
      </c>
      <c r="U3140" t="s">
        <v>13134</v>
      </c>
      <c r="V3140" t="s">
        <v>13134</v>
      </c>
      <c r="W3140" t="s">
        <v>16221</v>
      </c>
      <c r="X3140">
        <v>12</v>
      </c>
      <c r="Y3140" t="s">
        <v>22642</v>
      </c>
      <c r="Z3140" t="s">
        <v>29108</v>
      </c>
      <c r="AA3140">
        <v>0.38562488877156809</v>
      </c>
      <c r="AB3140" t="str">
        <f>HYPERLINK("Melting_Curves/meltCurve_P84022_SMAD3.pdf", "Melting_Curves/meltCurve_P84022_SMAD3.pdf")</f>
        <v>Melting_Curves/meltCurve_P84022_SMAD3.pdf</v>
      </c>
    </row>
    <row r="3141" spans="1:28" x14ac:dyDescent="0.25">
      <c r="A3141" t="s">
        <v>3145</v>
      </c>
      <c r="B3141">
        <v>0.99472303558308395</v>
      </c>
      <c r="C3141">
        <v>1.03473771622723</v>
      </c>
      <c r="D3141">
        <v>0.94091466747897301</v>
      </c>
      <c r="E3141">
        <v>0.88555885936127299</v>
      </c>
      <c r="F3141">
        <v>0.72715698544852303</v>
      </c>
      <c r="G3141">
        <v>0.57098665022995498</v>
      </c>
      <c r="H3141">
        <v>0.47536952523093001</v>
      </c>
      <c r="I3141">
        <v>0.44603158613368099</v>
      </c>
      <c r="J3141">
        <v>0.46379108553267701</v>
      </c>
      <c r="K3141">
        <v>0.230657757422666</v>
      </c>
      <c r="L3141">
        <v>583.32013921819703</v>
      </c>
      <c r="M3141">
        <v>11.0311018005881</v>
      </c>
      <c r="N3141">
        <v>56.9013840360373</v>
      </c>
      <c r="O3141">
        <v>51.230938958326298</v>
      </c>
      <c r="P3141">
        <v>-3.9270267192860503E-2</v>
      </c>
      <c r="Q3141">
        <v>0.27072314275929699</v>
      </c>
      <c r="R3141">
        <v>0.96076501858950303</v>
      </c>
      <c r="S3141" t="s">
        <v>9709</v>
      </c>
      <c r="T3141" t="s">
        <v>13134</v>
      </c>
      <c r="U3141" t="s">
        <v>13134</v>
      </c>
      <c r="V3141" t="s">
        <v>13134</v>
      </c>
      <c r="W3141" t="s">
        <v>16222</v>
      </c>
      <c r="X3141">
        <v>11</v>
      </c>
      <c r="Y3141" t="s">
        <v>22643</v>
      </c>
      <c r="Z3141" t="s">
        <v>29109</v>
      </c>
      <c r="AA3141">
        <v>0.67300363488274728</v>
      </c>
      <c r="AB3141" t="str">
        <f>HYPERLINK("Melting_Curves/meltCurve_P84077_ARF1.pdf", "Melting_Curves/meltCurve_P84077_ARF1.pdf")</f>
        <v>Melting_Curves/meltCurve_P84077_ARF1.pdf</v>
      </c>
    </row>
    <row r="3142" spans="1:28" x14ac:dyDescent="0.25">
      <c r="A3142" t="s">
        <v>3146</v>
      </c>
      <c r="B3142">
        <v>0.99472303558308395</v>
      </c>
      <c r="C3142">
        <v>1.1327123183218399</v>
      </c>
      <c r="D3142">
        <v>1.0117365550470301</v>
      </c>
      <c r="E3142">
        <v>0.90819153767365102</v>
      </c>
      <c r="F3142">
        <v>0.63735185442409203</v>
      </c>
      <c r="G3142">
        <v>0.58269959861806997</v>
      </c>
      <c r="H3142">
        <v>0.39498800262468903</v>
      </c>
      <c r="I3142">
        <v>0.27621656511118903</v>
      </c>
      <c r="J3142">
        <v>0.13459999597594799</v>
      </c>
      <c r="K3142">
        <v>9.7905139473960498E-2</v>
      </c>
      <c r="L3142">
        <v>625.26921936235306</v>
      </c>
      <c r="M3142">
        <v>11.4028186465513</v>
      </c>
      <c r="N3142">
        <v>54.834597493261398</v>
      </c>
      <c r="O3142">
        <v>53.229401986179901</v>
      </c>
      <c r="P3142">
        <v>-5.3570805345376997E-2</v>
      </c>
      <c r="Q3142">
        <v>0</v>
      </c>
      <c r="R3142">
        <v>0.97027848061130995</v>
      </c>
      <c r="S3142" t="s">
        <v>9710</v>
      </c>
      <c r="T3142" t="s">
        <v>13134</v>
      </c>
      <c r="U3142" t="s">
        <v>13134</v>
      </c>
      <c r="V3142" t="s">
        <v>13134</v>
      </c>
      <c r="W3142" t="s">
        <v>16223</v>
      </c>
      <c r="X3142">
        <v>8</v>
      </c>
      <c r="Y3142" t="s">
        <v>22644</v>
      </c>
      <c r="Z3142" t="s">
        <v>29110</v>
      </c>
      <c r="AA3142">
        <v>0.60905076551593651</v>
      </c>
      <c r="AB3142" t="str">
        <f>HYPERLINK("Melting_Curves/meltCurve_P84085_ARF5.pdf", "Melting_Curves/meltCurve_P84085_ARF5.pdf")</f>
        <v>Melting_Curves/meltCurve_P84085_ARF5.pdf</v>
      </c>
    </row>
    <row r="3143" spans="1:28" x14ac:dyDescent="0.25">
      <c r="A3143" t="s">
        <v>3147</v>
      </c>
      <c r="B3143">
        <v>0.99472303558308395</v>
      </c>
      <c r="C3143">
        <v>0.77749682817274302</v>
      </c>
      <c r="D3143">
        <v>0.74463830786757101</v>
      </c>
      <c r="E3143">
        <v>0.684028532089198</v>
      </c>
      <c r="F3143">
        <v>0.520899700851567</v>
      </c>
      <c r="G3143">
        <v>0.36215746419898298</v>
      </c>
      <c r="H3143">
        <v>0.303961936827503</v>
      </c>
      <c r="I3143">
        <v>0.33274501769022702</v>
      </c>
      <c r="J3143">
        <v>0.45610298999480198</v>
      </c>
      <c r="K3143">
        <v>0.269072639152236</v>
      </c>
      <c r="L3143">
        <v>445.003955030604</v>
      </c>
      <c r="M3143">
        <v>9.7126138142632197</v>
      </c>
      <c r="N3143">
        <v>50.158110596694698</v>
      </c>
      <c r="O3143">
        <v>44.001385891898799</v>
      </c>
      <c r="P3143">
        <v>-3.9517858856916201E-2</v>
      </c>
      <c r="Q3143">
        <v>0.28427276685198299</v>
      </c>
      <c r="R3143">
        <v>0.91857710335054399</v>
      </c>
      <c r="S3143" t="s">
        <v>9711</v>
      </c>
      <c r="T3143" t="s">
        <v>13134</v>
      </c>
      <c r="U3143" t="s">
        <v>13134</v>
      </c>
      <c r="V3143" t="s">
        <v>13134</v>
      </c>
      <c r="W3143" t="s">
        <v>16224</v>
      </c>
      <c r="X3143">
        <v>7</v>
      </c>
      <c r="Y3143" t="s">
        <v>22645</v>
      </c>
      <c r="Z3143" t="s">
        <v>29111</v>
      </c>
      <c r="AA3143">
        <v>0.52965197879688719</v>
      </c>
      <c r="AB3143" t="str">
        <f>HYPERLINK("Melting_Curves/meltCurve_P84090_ERH.pdf", "Melting_Curves/meltCurve_P84090_ERH.pdf")</f>
        <v>Melting_Curves/meltCurve_P84090_ERH.pdf</v>
      </c>
    </row>
    <row r="3144" spans="1:28" x14ac:dyDescent="0.25">
      <c r="A3144" t="s">
        <v>3148</v>
      </c>
      <c r="B3144">
        <v>0.99472303558308395</v>
      </c>
      <c r="C3144">
        <v>1.0429148346864801</v>
      </c>
      <c r="D3144">
        <v>1.0056734861944601</v>
      </c>
      <c r="E3144">
        <v>0.95318366012674505</v>
      </c>
      <c r="F3144">
        <v>0.75008141117661697</v>
      </c>
      <c r="G3144">
        <v>0.61691961602435497</v>
      </c>
      <c r="H3144">
        <v>0.37520147022098499</v>
      </c>
      <c r="I3144">
        <v>0.29325560669001</v>
      </c>
      <c r="J3144">
        <v>0.23581892119704401</v>
      </c>
      <c r="K3144">
        <v>0.15287913914755399</v>
      </c>
      <c r="L3144">
        <v>783.85985615325205</v>
      </c>
      <c r="M3144">
        <v>14.4505825308278</v>
      </c>
      <c r="N3144">
        <v>55.375041278053203</v>
      </c>
      <c r="O3144">
        <v>53.2371042824631</v>
      </c>
      <c r="P3144">
        <v>-5.9195691431038498E-2</v>
      </c>
      <c r="Q3144">
        <v>0.12777528646179401</v>
      </c>
      <c r="R3144">
        <v>0.99250217784140005</v>
      </c>
      <c r="S3144" t="s">
        <v>9712</v>
      </c>
      <c r="T3144" t="s">
        <v>13134</v>
      </c>
      <c r="U3144" t="s">
        <v>13134</v>
      </c>
      <c r="V3144" t="s">
        <v>13134</v>
      </c>
      <c r="W3144" t="s">
        <v>16225</v>
      </c>
      <c r="X3144">
        <v>16</v>
      </c>
      <c r="Y3144" t="s">
        <v>22646</v>
      </c>
      <c r="Z3144" t="s">
        <v>29112</v>
      </c>
      <c r="AA3144">
        <v>0.64316754468038972</v>
      </c>
      <c r="AB3144" t="str">
        <f>HYPERLINK("Melting_Curves/meltCurve_P84095_RHOG.pdf", "Melting_Curves/meltCurve_P84095_RHOG.pdf")</f>
        <v>Melting_Curves/meltCurve_P84095_RHOG.pdf</v>
      </c>
    </row>
    <row r="3145" spans="1:28" x14ac:dyDescent="0.25">
      <c r="A3145" t="s">
        <v>3149</v>
      </c>
      <c r="B3145">
        <v>0.99472303558308395</v>
      </c>
      <c r="C3145">
        <v>0.59827885600637898</v>
      </c>
      <c r="D3145">
        <v>1.31718655775097</v>
      </c>
      <c r="E3145">
        <v>0.92368067047631697</v>
      </c>
      <c r="F3145">
        <v>0.44842898299338901</v>
      </c>
      <c r="G3145">
        <v>0.60160056374251103</v>
      </c>
      <c r="H3145">
        <v>0.87174841594149499</v>
      </c>
      <c r="I3145">
        <v>0.67092869909068098</v>
      </c>
      <c r="J3145">
        <v>1.12605910128928</v>
      </c>
      <c r="K3145">
        <v>0.84088718504692705</v>
      </c>
      <c r="L3145">
        <v>11685.5718127904</v>
      </c>
      <c r="M3145">
        <v>250</v>
      </c>
      <c r="O3145">
        <v>46.739296073622498</v>
      </c>
      <c r="P3145">
        <v>-0.32100643825568997</v>
      </c>
      <c r="Q3145">
        <v>0.75994216103124401</v>
      </c>
      <c r="R3145">
        <v>0.14642249581178099</v>
      </c>
      <c r="S3145" t="s">
        <v>9713</v>
      </c>
      <c r="T3145" t="s">
        <v>13134</v>
      </c>
      <c r="U3145" t="s">
        <v>13134</v>
      </c>
      <c r="V3145" t="s">
        <v>13134</v>
      </c>
      <c r="W3145" t="s">
        <v>16226</v>
      </c>
      <c r="X3145">
        <v>3</v>
      </c>
      <c r="Y3145" t="s">
        <v>22647</v>
      </c>
      <c r="Z3145" t="s">
        <v>29113</v>
      </c>
      <c r="AA3145">
        <v>0.83791893425691044</v>
      </c>
      <c r="AB3145" t="str">
        <f>HYPERLINK("Melting_Curves/meltCurve_P84101_4_SERF2.pdf", "Melting_Curves/meltCurve_P84101_4_SERF2.pdf")</f>
        <v>Melting_Curves/meltCurve_P84101_4_SERF2.pdf</v>
      </c>
    </row>
    <row r="3146" spans="1:28" x14ac:dyDescent="0.25">
      <c r="A3146" t="s">
        <v>3150</v>
      </c>
      <c r="B3146">
        <v>0.99472303558308395</v>
      </c>
      <c r="C3146">
        <v>1.1748140050912601</v>
      </c>
      <c r="D3146">
        <v>0.90267494772561396</v>
      </c>
      <c r="E3146">
        <v>0.99917019847952104</v>
      </c>
      <c r="F3146">
        <v>0.68523258045506197</v>
      </c>
      <c r="G3146">
        <v>0.50632175639657895</v>
      </c>
      <c r="H3146">
        <v>0.29722891161244303</v>
      </c>
      <c r="I3146">
        <v>0.30572638556426102</v>
      </c>
      <c r="J3146">
        <v>0.32367875817542702</v>
      </c>
      <c r="K3146">
        <v>0.30544357371417202</v>
      </c>
      <c r="L3146">
        <v>1262.53974260877</v>
      </c>
      <c r="M3146">
        <v>24.7070899294188</v>
      </c>
      <c r="N3146">
        <v>53.064923951368499</v>
      </c>
      <c r="O3146">
        <v>50.769076004089698</v>
      </c>
      <c r="P3146">
        <v>-8.5204172705902706E-2</v>
      </c>
      <c r="Q3146">
        <v>0.29968673430736897</v>
      </c>
      <c r="R3146">
        <v>0.95410350669602095</v>
      </c>
      <c r="S3146" t="s">
        <v>9714</v>
      </c>
      <c r="T3146" t="s">
        <v>13134</v>
      </c>
      <c r="U3146" t="s">
        <v>13134</v>
      </c>
      <c r="V3146" t="s">
        <v>13134</v>
      </c>
      <c r="W3146" t="s">
        <v>14461</v>
      </c>
      <c r="X3146">
        <v>1</v>
      </c>
      <c r="Y3146" t="s">
        <v>20947</v>
      </c>
      <c r="Z3146" t="s">
        <v>29114</v>
      </c>
      <c r="AA3146">
        <v>0.63515978603631906</v>
      </c>
      <c r="AB3146" t="str">
        <f>HYPERLINK("Melting_Curves/meltCurve_P84157_MXRA7.pdf", "Melting_Curves/meltCurve_P84157_MXRA7.pdf")</f>
        <v>Melting_Curves/meltCurve_P84157_MXRA7.pdf</v>
      </c>
    </row>
    <row r="3147" spans="1:28" x14ac:dyDescent="0.25">
      <c r="A3147" t="s">
        <v>3151</v>
      </c>
      <c r="B3147">
        <v>0.99472303558308395</v>
      </c>
      <c r="C3147">
        <v>0.95457947260444798</v>
      </c>
      <c r="D3147">
        <v>0.84683190875036496</v>
      </c>
      <c r="E3147">
        <v>0.49220639055133097</v>
      </c>
      <c r="F3147">
        <v>0.171300852920626</v>
      </c>
      <c r="G3147">
        <v>7.6770202330982501E-2</v>
      </c>
      <c r="H3147">
        <v>4.28613032424741E-2</v>
      </c>
      <c r="I3147">
        <v>3.3964630691719698E-2</v>
      </c>
      <c r="J3147">
        <v>4.0380955351114398E-2</v>
      </c>
      <c r="K3147">
        <v>3.5139846604684603E-2</v>
      </c>
      <c r="L3147">
        <v>1011.83144950138</v>
      </c>
      <c r="M3147">
        <v>21.845809876042601</v>
      </c>
      <c r="N3147">
        <v>46.454778526816398</v>
      </c>
      <c r="O3147">
        <v>45.934089705299598</v>
      </c>
      <c r="P3147">
        <v>-0.11516947320563301</v>
      </c>
      <c r="Q3147">
        <v>3.1377961986133199E-2</v>
      </c>
      <c r="R3147">
        <v>0.999631249772576</v>
      </c>
      <c r="S3147" t="s">
        <v>9715</v>
      </c>
      <c r="T3147" t="s">
        <v>13134</v>
      </c>
      <c r="U3147" t="s">
        <v>13134</v>
      </c>
      <c r="V3147" t="s">
        <v>13134</v>
      </c>
      <c r="W3147" t="s">
        <v>16227</v>
      </c>
      <c r="X3147">
        <v>12</v>
      </c>
      <c r="Y3147" t="s">
        <v>22648</v>
      </c>
      <c r="Z3147" t="s">
        <v>29115</v>
      </c>
      <c r="AA3147">
        <v>0.34279712718286109</v>
      </c>
      <c r="AB3147" t="str">
        <f>HYPERLINK("Melting_Curves/meltCurve_P85037_FOXK1.pdf", "Melting_Curves/meltCurve_P85037_FOXK1.pdf")</f>
        <v>Melting_Curves/meltCurve_P85037_FOXK1.pdf</v>
      </c>
    </row>
    <row r="3148" spans="1:28" x14ac:dyDescent="0.25">
      <c r="A3148" t="s">
        <v>3152</v>
      </c>
      <c r="B3148">
        <v>0.99472303558308395</v>
      </c>
      <c r="C3148">
        <v>0.996007296337869</v>
      </c>
      <c r="D3148">
        <v>0.94689967968537503</v>
      </c>
      <c r="E3148">
        <v>0.94604217176300298</v>
      </c>
      <c r="F3148">
        <v>0.78777138130558899</v>
      </c>
      <c r="G3148">
        <v>0.527995798377218</v>
      </c>
      <c r="H3148">
        <v>0.50520967093767699</v>
      </c>
      <c r="I3148">
        <v>0.36963382874190098</v>
      </c>
      <c r="J3148">
        <v>0.29639210726904203</v>
      </c>
      <c r="K3148">
        <v>0.158849738911894</v>
      </c>
      <c r="L3148">
        <v>569.48639710759505</v>
      </c>
      <c r="M3148">
        <v>10.1907333167398</v>
      </c>
      <c r="N3148">
        <v>56.603405350003897</v>
      </c>
      <c r="O3148">
        <v>53.859051139637998</v>
      </c>
      <c r="P3148">
        <v>-4.4445028152408E-2</v>
      </c>
      <c r="Q3148">
        <v>6.0839152641752499E-2</v>
      </c>
      <c r="R3148">
        <v>0.980227397049108</v>
      </c>
      <c r="S3148" t="s">
        <v>9716</v>
      </c>
      <c r="T3148" t="s">
        <v>13134</v>
      </c>
      <c r="U3148" t="s">
        <v>13134</v>
      </c>
      <c r="V3148" t="s">
        <v>13134</v>
      </c>
      <c r="W3148" t="s">
        <v>16228</v>
      </c>
      <c r="X3148">
        <v>1</v>
      </c>
      <c r="Y3148" t="s">
        <v>21459</v>
      </c>
      <c r="Z3148" t="s">
        <v>29116</v>
      </c>
      <c r="AA3148">
        <v>0.65881128928016375</v>
      </c>
      <c r="AB3148" t="str">
        <f>HYPERLINK("Melting_Curves/meltCurve_P86397_RPP14.pdf", "Melting_Curves/meltCurve_P86397_RPP14.pdf")</f>
        <v>Melting_Curves/meltCurve_P86397_RPP14.pdf</v>
      </c>
    </row>
    <row r="3149" spans="1:28" x14ac:dyDescent="0.25">
      <c r="A3149" t="s">
        <v>3153</v>
      </c>
      <c r="B3149">
        <v>0.99472303558308395</v>
      </c>
      <c r="C3149">
        <v>1.0025706609304399</v>
      </c>
      <c r="D3149">
        <v>0.835399426505959</v>
      </c>
      <c r="E3149">
        <v>0.70294026269819199</v>
      </c>
      <c r="F3149">
        <v>0.44099276432409501</v>
      </c>
      <c r="G3149">
        <v>0.254665123656309</v>
      </c>
      <c r="H3149">
        <v>0.16410898040083399</v>
      </c>
      <c r="I3149">
        <v>6.8064664855763096E-2</v>
      </c>
      <c r="J3149">
        <v>9.0033274830406407E-2</v>
      </c>
      <c r="K3149">
        <v>6.4103997252533101E-2</v>
      </c>
      <c r="L3149">
        <v>674.20366727312705</v>
      </c>
      <c r="M3149">
        <v>13.7460031715573</v>
      </c>
      <c r="N3149">
        <v>49.324342990939599</v>
      </c>
      <c r="O3149">
        <v>48.044159843933897</v>
      </c>
      <c r="P3149">
        <v>-6.8879937899939805E-2</v>
      </c>
      <c r="Q3149">
        <v>3.7157666051565598E-2</v>
      </c>
      <c r="R3149">
        <v>0.996096860842418</v>
      </c>
      <c r="S3149" t="s">
        <v>9717</v>
      </c>
      <c r="T3149" t="s">
        <v>13134</v>
      </c>
      <c r="U3149" t="s">
        <v>13134</v>
      </c>
      <c r="V3149" t="s">
        <v>13134</v>
      </c>
      <c r="W3149" t="s">
        <v>16229</v>
      </c>
      <c r="X3149">
        <v>11</v>
      </c>
      <c r="Y3149" t="s">
        <v>22649</v>
      </c>
      <c r="Z3149" t="s">
        <v>29117</v>
      </c>
      <c r="AA3149">
        <v>0.44742849672277518</v>
      </c>
      <c r="AB3149" t="str">
        <f>HYPERLINK("Melting_Curves/meltCurve_P86791_CCZ1.pdf", "Melting_Curves/meltCurve_P86791_CCZ1.pdf")</f>
        <v>Melting_Curves/meltCurve_P86791_CCZ1.pdf</v>
      </c>
    </row>
    <row r="3150" spans="1:28" x14ac:dyDescent="0.25">
      <c r="A3150" t="s">
        <v>3154</v>
      </c>
      <c r="B3150">
        <v>0.99472303558308395</v>
      </c>
      <c r="C3150">
        <v>0.99889082665025697</v>
      </c>
      <c r="D3150">
        <v>0.95457177198973997</v>
      </c>
      <c r="E3150">
        <v>0.64971851579204498</v>
      </c>
      <c r="F3150">
        <v>0.418177423057352</v>
      </c>
      <c r="G3150">
        <v>0.18359829062160701</v>
      </c>
      <c r="H3150">
        <v>0.11234191125908501</v>
      </c>
      <c r="I3150">
        <v>5.7013189129009101E-2</v>
      </c>
      <c r="J3150">
        <v>6.2379356897301202E-2</v>
      </c>
      <c r="K3150">
        <v>8.9952217361237194E-2</v>
      </c>
      <c r="L3150">
        <v>883.98873101413199</v>
      </c>
      <c r="M3150">
        <v>18.241927062987301</v>
      </c>
      <c r="N3150">
        <v>48.795175828423901</v>
      </c>
      <c r="O3150">
        <v>47.888082330649901</v>
      </c>
      <c r="P3150">
        <v>-8.9615551977324806E-2</v>
      </c>
      <c r="Q3150">
        <v>5.9021310947035402E-2</v>
      </c>
      <c r="R3150">
        <v>0.99595583434950496</v>
      </c>
      <c r="S3150" t="s">
        <v>9718</v>
      </c>
      <c r="T3150" t="s">
        <v>13134</v>
      </c>
      <c r="U3150" t="s">
        <v>13134</v>
      </c>
      <c r="V3150" t="s">
        <v>13134</v>
      </c>
      <c r="W3150" t="s">
        <v>16230</v>
      </c>
      <c r="X3150">
        <v>3</v>
      </c>
      <c r="Y3150" t="s">
        <v>22650</v>
      </c>
      <c r="Z3150" t="s">
        <v>29118</v>
      </c>
      <c r="AA3150">
        <v>0.4331025288370805</v>
      </c>
      <c r="AB3150" t="str">
        <f>HYPERLINK("Melting_Curves/meltCurve_P98082_2_DAB2.pdf", "Melting_Curves/meltCurve_P98082_2_DAB2.pdf")</f>
        <v>Melting_Curves/meltCurve_P98082_2_DAB2.pdf</v>
      </c>
    </row>
    <row r="3151" spans="1:28" x14ac:dyDescent="0.25">
      <c r="A3151" t="s">
        <v>3155</v>
      </c>
      <c r="B3151">
        <v>0.99472303558308395</v>
      </c>
      <c r="C3151">
        <v>1.1063544999592101</v>
      </c>
      <c r="D3151">
        <v>0.87606271962634197</v>
      </c>
      <c r="E3151">
        <v>0.78202202785527797</v>
      </c>
      <c r="F3151">
        <v>0.64940142893178698</v>
      </c>
      <c r="G3151">
        <v>0.29481459072259403</v>
      </c>
      <c r="H3151">
        <v>0.22249691711620301</v>
      </c>
      <c r="I3151">
        <v>0.149271717720069</v>
      </c>
      <c r="J3151">
        <v>0.14511446548477</v>
      </c>
      <c r="K3151">
        <v>0.19126909307279299</v>
      </c>
      <c r="L3151">
        <v>851.66832730242402</v>
      </c>
      <c r="M3151">
        <v>16.939650047534101</v>
      </c>
      <c r="N3151">
        <v>51.200952174892201</v>
      </c>
      <c r="O3151">
        <v>49.5916392909362</v>
      </c>
      <c r="P3151">
        <v>-7.41505430056284E-2</v>
      </c>
      <c r="Q3151">
        <v>0.131737291704004</v>
      </c>
      <c r="R3151">
        <v>0.97487631220793902</v>
      </c>
      <c r="S3151" t="s">
        <v>9719</v>
      </c>
      <c r="T3151" t="s">
        <v>13134</v>
      </c>
      <c r="U3151" t="s">
        <v>13134</v>
      </c>
      <c r="V3151" t="s">
        <v>13134</v>
      </c>
      <c r="W3151" t="s">
        <v>16231</v>
      </c>
      <c r="X3151">
        <v>2</v>
      </c>
      <c r="Y3151" t="s">
        <v>22651</v>
      </c>
      <c r="Z3151" t="s">
        <v>29119</v>
      </c>
      <c r="AA3151">
        <v>0.53100196801401778</v>
      </c>
      <c r="AB3151" t="str">
        <f>HYPERLINK("Melting_Curves/meltCurve_P98153_2_DGCR2.pdf", "Melting_Curves/meltCurve_P98153_2_DGCR2.pdf")</f>
        <v>Melting_Curves/meltCurve_P98153_2_DGCR2.pdf</v>
      </c>
    </row>
    <row r="3152" spans="1:28" x14ac:dyDescent="0.25">
      <c r="A3152" t="s">
        <v>3156</v>
      </c>
      <c r="B3152">
        <v>0.99472303558308395</v>
      </c>
      <c r="C3152">
        <v>0.84044315235880895</v>
      </c>
      <c r="D3152">
        <v>0.76471416130478398</v>
      </c>
      <c r="E3152">
        <v>0.56211207182585099</v>
      </c>
      <c r="F3152">
        <v>0.41777829296385</v>
      </c>
      <c r="G3152">
        <v>0.20079711378370199</v>
      </c>
      <c r="H3152">
        <v>0.102780861321176</v>
      </c>
      <c r="I3152">
        <v>8.7584707886610394E-2</v>
      </c>
      <c r="J3152">
        <v>0.117158769016058</v>
      </c>
      <c r="K3152">
        <v>9.6074783134635106E-2</v>
      </c>
      <c r="L3152">
        <v>533.24603864493201</v>
      </c>
      <c r="M3152">
        <v>11.2814970289764</v>
      </c>
      <c r="N3152">
        <v>47.594349319984403</v>
      </c>
      <c r="O3152">
        <v>45.855167512564996</v>
      </c>
      <c r="P3152">
        <v>-5.9230373166069397E-2</v>
      </c>
      <c r="Q3152">
        <v>3.7295327016356301E-2</v>
      </c>
      <c r="R3152">
        <v>0.98875003984487497</v>
      </c>
      <c r="S3152" t="s">
        <v>9720</v>
      </c>
      <c r="T3152" t="s">
        <v>13134</v>
      </c>
      <c r="U3152" t="s">
        <v>13134</v>
      </c>
      <c r="V3152" t="s">
        <v>13134</v>
      </c>
      <c r="W3152" t="s">
        <v>16232</v>
      </c>
      <c r="X3152">
        <v>5</v>
      </c>
      <c r="Y3152" t="s">
        <v>22652</v>
      </c>
      <c r="Z3152" t="s">
        <v>29120</v>
      </c>
      <c r="AA3152">
        <v>0.40109158422067842</v>
      </c>
      <c r="AB3152" t="str">
        <f>HYPERLINK("Melting_Curves/meltCurve_P98160_HSPG2.pdf", "Melting_Curves/meltCurve_P98160_HSPG2.pdf")</f>
        <v>Melting_Curves/meltCurve_P98160_HSPG2.pdf</v>
      </c>
    </row>
    <row r="3153" spans="1:28" x14ac:dyDescent="0.25">
      <c r="A3153" t="s">
        <v>3157</v>
      </c>
      <c r="B3153">
        <v>0.99472303558308395</v>
      </c>
      <c r="C3153">
        <v>0.97981579723902701</v>
      </c>
      <c r="D3153">
        <v>0.81801459088322204</v>
      </c>
      <c r="E3153">
        <v>0.54048329199891898</v>
      </c>
      <c r="F3153">
        <v>0.21077612039388899</v>
      </c>
      <c r="G3153">
        <v>0.13401302486107999</v>
      </c>
      <c r="H3153">
        <v>9.52108279815225E-2</v>
      </c>
      <c r="I3153">
        <v>8.9510968400189697E-2</v>
      </c>
      <c r="J3153">
        <v>0.10139839610149</v>
      </c>
      <c r="K3153">
        <v>7.4326668334464094E-2</v>
      </c>
      <c r="L3153">
        <v>952.08751680093997</v>
      </c>
      <c r="M3153">
        <v>20.551019584535201</v>
      </c>
      <c r="N3153">
        <v>46.729357617618902</v>
      </c>
      <c r="O3153">
        <v>45.896012175514898</v>
      </c>
      <c r="P3153">
        <v>-0.102889411681875</v>
      </c>
      <c r="Q3153">
        <v>8.0906495764418496E-2</v>
      </c>
      <c r="R3153">
        <v>0.99804054949147303</v>
      </c>
      <c r="S3153" t="s">
        <v>9721</v>
      </c>
      <c r="T3153" t="s">
        <v>13134</v>
      </c>
      <c r="U3153" t="s">
        <v>13134</v>
      </c>
      <c r="V3153" t="s">
        <v>13134</v>
      </c>
      <c r="W3153" t="s">
        <v>16233</v>
      </c>
      <c r="X3153">
        <v>10</v>
      </c>
      <c r="Y3153" t="s">
        <v>22653</v>
      </c>
      <c r="Z3153" t="s">
        <v>29121</v>
      </c>
      <c r="AA3153">
        <v>0.3780605240976197</v>
      </c>
      <c r="AB3153" t="str">
        <f>HYPERLINK("Melting_Curves/meltCurve_P98170_XIAP.pdf", "Melting_Curves/meltCurve_P98170_XIAP.pdf")</f>
        <v>Melting_Curves/meltCurve_P98170_XIAP.pdf</v>
      </c>
    </row>
    <row r="3154" spans="1:28" x14ac:dyDescent="0.25">
      <c r="A3154" t="s">
        <v>3158</v>
      </c>
      <c r="B3154">
        <v>0.99472303558308395</v>
      </c>
      <c r="C3154">
        <v>1.0617047474077701</v>
      </c>
      <c r="D3154">
        <v>0.91915737257357899</v>
      </c>
      <c r="E3154">
        <v>0.86519869837907204</v>
      </c>
      <c r="F3154">
        <v>0.70444498083819196</v>
      </c>
      <c r="G3154">
        <v>0.46330571877201399</v>
      </c>
      <c r="H3154">
        <v>0.27884498327529</v>
      </c>
      <c r="I3154">
        <v>0.21935662603773801</v>
      </c>
      <c r="J3154">
        <v>0.263227064066409</v>
      </c>
      <c r="K3154">
        <v>0.26522080265957498</v>
      </c>
      <c r="L3154">
        <v>933.71474883406597</v>
      </c>
      <c r="M3154">
        <v>18.242707746877599</v>
      </c>
      <c r="N3154">
        <v>52.875774241758201</v>
      </c>
      <c r="O3154">
        <v>50.579763671371403</v>
      </c>
      <c r="P3154">
        <v>-7.0227517146869298E-2</v>
      </c>
      <c r="Q3154">
        <v>0.221184699667373</v>
      </c>
      <c r="R3154">
        <v>0.98675543707029001</v>
      </c>
      <c r="S3154" t="s">
        <v>9722</v>
      </c>
      <c r="T3154" t="s">
        <v>13134</v>
      </c>
      <c r="U3154" t="s">
        <v>13134</v>
      </c>
      <c r="V3154" t="s">
        <v>13134</v>
      </c>
      <c r="W3154" t="s">
        <v>16234</v>
      </c>
      <c r="X3154">
        <v>6</v>
      </c>
      <c r="Y3154" t="s">
        <v>22654</v>
      </c>
      <c r="Z3154" t="s">
        <v>29122</v>
      </c>
      <c r="AA3154">
        <v>0.60116809682250671</v>
      </c>
      <c r="AB3154" t="str">
        <f>HYPERLINK("Melting_Curves/meltCurve_P98172_EFNB1.pdf", "Melting_Curves/meltCurve_P98172_EFNB1.pdf")</f>
        <v>Melting_Curves/meltCurve_P98172_EFNB1.pdf</v>
      </c>
    </row>
    <row r="3155" spans="1:28" x14ac:dyDescent="0.25">
      <c r="A3155" t="s">
        <v>3159</v>
      </c>
      <c r="B3155">
        <v>0.99472303558308395</v>
      </c>
      <c r="C3155">
        <v>1.01914951119084</v>
      </c>
      <c r="D3155">
        <v>0.91259114110334405</v>
      </c>
      <c r="E3155">
        <v>0.85791331449816799</v>
      </c>
      <c r="F3155">
        <v>0.66844190430926897</v>
      </c>
      <c r="G3155">
        <v>0.31654586190265799</v>
      </c>
      <c r="H3155">
        <v>0.188437520336935</v>
      </c>
      <c r="I3155">
        <v>0.150931000325044</v>
      </c>
      <c r="J3155">
        <v>0.14461651064523701</v>
      </c>
      <c r="K3155">
        <v>0.10835153494421</v>
      </c>
      <c r="L3155">
        <v>991.54266995108503</v>
      </c>
      <c r="M3155">
        <v>19.4297440378466</v>
      </c>
      <c r="N3155">
        <v>51.676607385393403</v>
      </c>
      <c r="O3155">
        <v>50.500845802911101</v>
      </c>
      <c r="P3155">
        <v>-8.58406169497032E-2</v>
      </c>
      <c r="Q3155">
        <v>0.107581538015732</v>
      </c>
      <c r="R3155">
        <v>0.99364457509134396</v>
      </c>
      <c r="S3155" t="s">
        <v>9723</v>
      </c>
      <c r="T3155" t="s">
        <v>13134</v>
      </c>
      <c r="U3155" t="s">
        <v>13134</v>
      </c>
      <c r="V3155" t="s">
        <v>13134</v>
      </c>
      <c r="W3155" t="s">
        <v>16235</v>
      </c>
      <c r="X3155">
        <v>6</v>
      </c>
      <c r="Y3155" t="s">
        <v>22655</v>
      </c>
      <c r="Z3155" t="s">
        <v>29123</v>
      </c>
      <c r="AA3155">
        <v>0.53725214997514348</v>
      </c>
      <c r="AB3155" t="str">
        <f>HYPERLINK("Melting_Curves/meltCurve_P98173_3_FAM3A.pdf", "Melting_Curves/meltCurve_P98173_3_FAM3A.pdf")</f>
        <v>Melting_Curves/meltCurve_P98173_3_FAM3A.pdf</v>
      </c>
    </row>
    <row r="3156" spans="1:28" x14ac:dyDescent="0.25">
      <c r="A3156" t="s">
        <v>3160</v>
      </c>
      <c r="B3156">
        <v>0.99472303558308395</v>
      </c>
      <c r="C3156">
        <v>0.87249860981170602</v>
      </c>
      <c r="D3156">
        <v>0.78154948537323798</v>
      </c>
      <c r="E3156">
        <v>0.56127245259465497</v>
      </c>
      <c r="F3156">
        <v>0.39275651391277</v>
      </c>
      <c r="G3156">
        <v>0.19434688605167399</v>
      </c>
      <c r="H3156">
        <v>0.13338054950623099</v>
      </c>
      <c r="I3156">
        <v>0.10211221114736301</v>
      </c>
      <c r="J3156">
        <v>0.13330641776049601</v>
      </c>
      <c r="K3156">
        <v>0.11884716036760699</v>
      </c>
      <c r="L3156">
        <v>597.58625782146498</v>
      </c>
      <c r="M3156">
        <v>12.741005614349801</v>
      </c>
      <c r="N3156">
        <v>47.529477103031603</v>
      </c>
      <c r="O3156">
        <v>45.792210290848097</v>
      </c>
      <c r="P3156">
        <v>-6.4191252057176296E-2</v>
      </c>
      <c r="Q3156">
        <v>7.7341943328020205E-2</v>
      </c>
      <c r="R3156">
        <v>0.99372014729983205</v>
      </c>
      <c r="S3156" t="s">
        <v>9724</v>
      </c>
      <c r="T3156" t="s">
        <v>13134</v>
      </c>
      <c r="U3156" t="s">
        <v>13134</v>
      </c>
      <c r="V3156" t="s">
        <v>13134</v>
      </c>
      <c r="W3156" t="s">
        <v>16236</v>
      </c>
      <c r="X3156">
        <v>4</v>
      </c>
      <c r="Y3156" t="s">
        <v>22656</v>
      </c>
      <c r="Z3156" t="s">
        <v>29124</v>
      </c>
      <c r="AA3156">
        <v>0.4095226335389367</v>
      </c>
      <c r="AB3156" t="str">
        <f>HYPERLINK("Melting_Curves/meltCurve_P98175_2_RBM10.pdf", "Melting_Curves/meltCurve_P98175_2_RBM10.pdf")</f>
        <v>Melting_Curves/meltCurve_P98175_2_RBM10.pdf</v>
      </c>
    </row>
    <row r="3157" spans="1:28" x14ac:dyDescent="0.25">
      <c r="A3157" t="s">
        <v>3161</v>
      </c>
      <c r="B3157">
        <v>0.99472303558308395</v>
      </c>
      <c r="C3157">
        <v>0.99761005128922997</v>
      </c>
      <c r="D3157">
        <v>0.97161617157604396</v>
      </c>
      <c r="E3157">
        <v>0.75802097533036605</v>
      </c>
      <c r="F3157">
        <v>0.52832627978104796</v>
      </c>
      <c r="G3157">
        <v>0.40744039779832297</v>
      </c>
      <c r="H3157">
        <v>0.32358707925962898</v>
      </c>
      <c r="I3157">
        <v>0.29928540416932098</v>
      </c>
      <c r="J3157">
        <v>0.45026051539475798</v>
      </c>
      <c r="K3157">
        <v>0.31754077509131101</v>
      </c>
      <c r="L3157">
        <v>1088.0993055776901</v>
      </c>
      <c r="M3157">
        <v>22.719303263765099</v>
      </c>
      <c r="N3157">
        <v>50.512822818214303</v>
      </c>
      <c r="O3157">
        <v>47.5267604677598</v>
      </c>
      <c r="P3157">
        <v>-7.8148790075380295E-2</v>
      </c>
      <c r="Q3157">
        <v>0.34609184971889201</v>
      </c>
      <c r="R3157">
        <v>0.97943739227619098</v>
      </c>
      <c r="S3157" t="s">
        <v>9725</v>
      </c>
      <c r="T3157" t="s">
        <v>13134</v>
      </c>
      <c r="U3157" t="s">
        <v>13134</v>
      </c>
      <c r="V3157" t="s">
        <v>13134</v>
      </c>
      <c r="W3157" t="s">
        <v>16237</v>
      </c>
      <c r="X3157">
        <v>3</v>
      </c>
      <c r="Y3157" t="s">
        <v>22657</v>
      </c>
      <c r="Z3157" t="s">
        <v>29125</v>
      </c>
      <c r="AA3157">
        <v>0.59024616381833117</v>
      </c>
      <c r="AB3157" t="str">
        <f>HYPERLINK("Melting_Curves/meltCurve_P98179_RBM3.pdf", "Melting_Curves/meltCurve_P98179_RBM3.pdf")</f>
        <v>Melting_Curves/meltCurve_P98179_RBM3.pdf</v>
      </c>
    </row>
    <row r="3158" spans="1:28" x14ac:dyDescent="0.25">
      <c r="A3158" t="s">
        <v>3162</v>
      </c>
      <c r="B3158">
        <v>0.99472303558308395</v>
      </c>
      <c r="C3158">
        <v>0.93886988511319303</v>
      </c>
      <c r="D3158">
        <v>0.93361382884639599</v>
      </c>
      <c r="E3158">
        <v>0.56878520068082805</v>
      </c>
      <c r="F3158">
        <v>0.17494682038281401</v>
      </c>
      <c r="G3158">
        <v>7.2176962070634995E-2</v>
      </c>
      <c r="H3158">
        <v>4.3140017743243303E-2</v>
      </c>
      <c r="I3158">
        <v>3.2594570108616501E-2</v>
      </c>
      <c r="J3158">
        <v>3.8411068624711601E-2</v>
      </c>
      <c r="K3158">
        <v>3.2022598850751503E-2</v>
      </c>
      <c r="L3158">
        <v>1257.6768587819099</v>
      </c>
      <c r="M3158">
        <v>26.779626126725699</v>
      </c>
      <c r="N3158">
        <v>47.089844159413197</v>
      </c>
      <c r="O3158">
        <v>46.704404171318998</v>
      </c>
      <c r="P3158">
        <v>-0.13839550247230201</v>
      </c>
      <c r="Q3158">
        <v>3.4547619850049401E-2</v>
      </c>
      <c r="R3158">
        <v>0.998174255103497</v>
      </c>
      <c r="S3158" t="s">
        <v>9726</v>
      </c>
      <c r="T3158" t="s">
        <v>13134</v>
      </c>
      <c r="U3158" t="s">
        <v>13134</v>
      </c>
      <c r="V3158" t="s">
        <v>13134</v>
      </c>
      <c r="W3158" t="s">
        <v>16238</v>
      </c>
      <c r="X3158">
        <v>26</v>
      </c>
      <c r="Y3158" t="s">
        <v>22658</v>
      </c>
      <c r="Z3158" t="s">
        <v>29126</v>
      </c>
      <c r="AA3158">
        <v>0.36225933906085411</v>
      </c>
      <c r="AB3158" t="str">
        <f>HYPERLINK("Melting_Curves/meltCurve_Q00013_MPP1.pdf", "Melting_Curves/meltCurve_Q00013_MPP1.pdf")</f>
        <v>Melting_Curves/meltCurve_Q00013_MPP1.pdf</v>
      </c>
    </row>
    <row r="3159" spans="1:28" x14ac:dyDescent="0.25">
      <c r="A3159" t="s">
        <v>3163</v>
      </c>
      <c r="B3159">
        <v>0.99472303558308395</v>
      </c>
      <c r="C3159">
        <v>0.97313802880459299</v>
      </c>
      <c r="D3159">
        <v>0.96938677424091202</v>
      </c>
      <c r="E3159">
        <v>0.71845020248177704</v>
      </c>
      <c r="F3159">
        <v>0.37253184721812099</v>
      </c>
      <c r="G3159">
        <v>0.21037546165884699</v>
      </c>
      <c r="H3159">
        <v>0.146081334246182</v>
      </c>
      <c r="I3159">
        <v>0.13023599424076801</v>
      </c>
      <c r="J3159">
        <v>0.13252622859046601</v>
      </c>
      <c r="K3159">
        <v>8.4622733703598005E-2</v>
      </c>
      <c r="L3159">
        <v>1069.9631033743401</v>
      </c>
      <c r="M3159">
        <v>22.169718342490501</v>
      </c>
      <c r="N3159">
        <v>48.839544118134903</v>
      </c>
      <c r="O3159">
        <v>47.874830424651897</v>
      </c>
      <c r="P3159">
        <v>-0.10242973874599701</v>
      </c>
      <c r="Q3159">
        <v>0.115243496077471</v>
      </c>
      <c r="R3159">
        <v>0.99820542863026396</v>
      </c>
      <c r="S3159" t="s">
        <v>9727</v>
      </c>
      <c r="T3159" t="s">
        <v>13134</v>
      </c>
      <c r="U3159" t="s">
        <v>13134</v>
      </c>
      <c r="V3159" t="s">
        <v>13134</v>
      </c>
      <c r="W3159" t="s">
        <v>16239</v>
      </c>
      <c r="X3159">
        <v>17</v>
      </c>
      <c r="Y3159" t="s">
        <v>22659</v>
      </c>
      <c r="Z3159" t="s">
        <v>29127</v>
      </c>
      <c r="AA3159">
        <v>0.45695757389866209</v>
      </c>
      <c r="AB3159" t="str">
        <f>HYPERLINK("Melting_Curves/meltCurve_Q00059_TFAM.pdf", "Melting_Curves/meltCurve_Q00059_TFAM.pdf")</f>
        <v>Melting_Curves/meltCurve_Q00059_TFAM.pdf</v>
      </c>
    </row>
    <row r="3160" spans="1:28" x14ac:dyDescent="0.25">
      <c r="A3160" t="s">
        <v>3164</v>
      </c>
      <c r="B3160">
        <v>0.99472303558308395</v>
      </c>
      <c r="C3160">
        <v>0.97892735281876597</v>
      </c>
      <c r="D3160">
        <v>1.02629039612811</v>
      </c>
      <c r="E3160">
        <v>0.92691636773416897</v>
      </c>
      <c r="F3160">
        <v>0.64517191451886702</v>
      </c>
      <c r="G3160">
        <v>0.52828272816020605</v>
      </c>
      <c r="H3160">
        <v>0.16771360172088501</v>
      </c>
      <c r="I3160">
        <v>0.105970577750748</v>
      </c>
      <c r="J3160">
        <v>0.13628728533808901</v>
      </c>
      <c r="K3160">
        <v>0.12825500732352599</v>
      </c>
      <c r="L3160">
        <v>957.01854371553998</v>
      </c>
      <c r="M3160">
        <v>18.282148490408701</v>
      </c>
      <c r="N3160">
        <v>52.866257619332998</v>
      </c>
      <c r="O3160">
        <v>51.732907164957098</v>
      </c>
      <c r="P3160">
        <v>-8.1093611431538398E-2</v>
      </c>
      <c r="Q3160">
        <v>8.2161793309214803E-2</v>
      </c>
      <c r="R3160">
        <v>0.98340458675492304</v>
      </c>
      <c r="S3160" t="s">
        <v>9728</v>
      </c>
      <c r="T3160" t="s">
        <v>13134</v>
      </c>
      <c r="U3160" t="s">
        <v>13134</v>
      </c>
      <c r="V3160" t="s">
        <v>13134</v>
      </c>
      <c r="W3160" t="s">
        <v>16240</v>
      </c>
      <c r="X3160">
        <v>16</v>
      </c>
      <c r="Y3160" t="s">
        <v>22660</v>
      </c>
      <c r="Z3160" t="s">
        <v>29128</v>
      </c>
      <c r="AA3160">
        <v>0.56512466238433001</v>
      </c>
      <c r="AB3160" t="str">
        <f>HYPERLINK("Melting_Curves/meltCurve_Q00169_PITPNA.pdf", "Melting_Curves/meltCurve_Q00169_PITPNA.pdf")</f>
        <v>Melting_Curves/meltCurve_Q00169_PITPNA.pdf</v>
      </c>
    </row>
    <row r="3161" spans="1:28" x14ac:dyDescent="0.25">
      <c r="A3161" t="s">
        <v>3165</v>
      </c>
      <c r="B3161">
        <v>0.99472303558308395</v>
      </c>
      <c r="C3161">
        <v>0.77716461599161801</v>
      </c>
      <c r="D3161">
        <v>0.87557065880172902</v>
      </c>
      <c r="E3161">
        <v>0.65012078086116898</v>
      </c>
      <c r="F3161">
        <v>0.52364306353966195</v>
      </c>
      <c r="G3161">
        <v>0.52836849614556403</v>
      </c>
      <c r="H3161">
        <v>0.30237010729665198</v>
      </c>
      <c r="I3161">
        <v>0.35316192490665099</v>
      </c>
      <c r="J3161">
        <v>0.39896501287966601</v>
      </c>
      <c r="K3161">
        <v>0.56365135117826604</v>
      </c>
      <c r="L3161">
        <v>559.312771959825</v>
      </c>
      <c r="M3161">
        <v>12.364467105747901</v>
      </c>
      <c r="N3161">
        <v>51.902644235864102</v>
      </c>
      <c r="O3161">
        <v>44.101088845490899</v>
      </c>
      <c r="P3161">
        <v>-4.22139406184215E-2</v>
      </c>
      <c r="Q3161">
        <v>0.397861245351677</v>
      </c>
      <c r="R3161">
        <v>0.84039164985535098</v>
      </c>
      <c r="S3161" t="s">
        <v>9729</v>
      </c>
      <c r="T3161" t="s">
        <v>13134</v>
      </c>
      <c r="U3161" t="s">
        <v>13134</v>
      </c>
      <c r="V3161" t="s">
        <v>13134</v>
      </c>
      <c r="W3161" t="s">
        <v>16241</v>
      </c>
      <c r="X3161">
        <v>17</v>
      </c>
      <c r="Y3161" t="s">
        <v>22661</v>
      </c>
      <c r="Z3161" t="s">
        <v>29129</v>
      </c>
      <c r="AA3161">
        <v>0.58364385965259269</v>
      </c>
      <c r="AB3161" t="str">
        <f>HYPERLINK("Melting_Curves/meltCurve_Q00325_2_SLC25A3.pdf", "Melting_Curves/meltCurve_Q00325_2_SLC25A3.pdf")</f>
        <v>Melting_Curves/meltCurve_Q00325_2_SLC25A3.pdf</v>
      </c>
    </row>
    <row r="3162" spans="1:28" x14ac:dyDescent="0.25">
      <c r="A3162" t="s">
        <v>3166</v>
      </c>
      <c r="B3162">
        <v>0.99472303558308395</v>
      </c>
      <c r="C3162">
        <v>0.94252549537991204</v>
      </c>
      <c r="D3162">
        <v>0.88105807882972598</v>
      </c>
      <c r="E3162">
        <v>0.30210024301344901</v>
      </c>
      <c r="F3162">
        <v>0.16564318908665299</v>
      </c>
      <c r="G3162">
        <v>9.7704728107732605E-2</v>
      </c>
      <c r="H3162">
        <v>5.0794857464390199E-2</v>
      </c>
      <c r="I3162">
        <v>3.5912861829958703E-2</v>
      </c>
      <c r="J3162">
        <v>3.9892660497903097E-2</v>
      </c>
      <c r="K3162">
        <v>3.64596598367221E-2</v>
      </c>
      <c r="L3162">
        <v>1436.21470352232</v>
      </c>
      <c r="M3162">
        <v>31.7197073565669</v>
      </c>
      <c r="N3162">
        <v>45.4607062277681</v>
      </c>
      <c r="O3162">
        <v>45.099505942308902</v>
      </c>
      <c r="P3162">
        <v>-0.16532673963900099</v>
      </c>
      <c r="Q3162">
        <v>5.9750239328417797E-2</v>
      </c>
      <c r="R3162">
        <v>0.99303811532736597</v>
      </c>
      <c r="S3162" t="s">
        <v>9730</v>
      </c>
      <c r="T3162" t="s">
        <v>13134</v>
      </c>
      <c r="U3162" t="s">
        <v>13134</v>
      </c>
      <c r="V3162" t="s">
        <v>13134</v>
      </c>
      <c r="W3162" t="s">
        <v>16242</v>
      </c>
      <c r="X3162">
        <v>60</v>
      </c>
      <c r="Y3162" t="s">
        <v>22662</v>
      </c>
      <c r="Z3162" t="s">
        <v>29130</v>
      </c>
      <c r="AA3162">
        <v>0.32393196002712721</v>
      </c>
      <c r="AB3162" t="str">
        <f>HYPERLINK("Melting_Curves/meltCurve_Q00341_HDLBP.pdf", "Melting_Curves/meltCurve_Q00341_HDLBP.pdf")</f>
        <v>Melting_Curves/meltCurve_Q00341_HDLBP.pdf</v>
      </c>
    </row>
    <row r="3163" spans="1:28" x14ac:dyDescent="0.25">
      <c r="A3163" t="s">
        <v>3167</v>
      </c>
      <c r="B3163">
        <v>0.99472303558308395</v>
      </c>
      <c r="C3163">
        <v>0.99163864775590904</v>
      </c>
      <c r="D3163">
        <v>0.89106233761025</v>
      </c>
      <c r="E3163">
        <v>0.620959236430491</v>
      </c>
      <c r="F3163">
        <v>0.152833235152561</v>
      </c>
      <c r="G3163">
        <v>8.78066251911086E-2</v>
      </c>
      <c r="H3163">
        <v>4.8884033637100602E-2</v>
      </c>
      <c r="I3163">
        <v>3.5523647764377997E-2</v>
      </c>
      <c r="J3163">
        <v>4.57885285330452E-2</v>
      </c>
      <c r="K3163">
        <v>3.8871599862364201E-2</v>
      </c>
      <c r="L3163">
        <v>1311.40107648719</v>
      </c>
      <c r="M3163">
        <v>27.831809223712899</v>
      </c>
      <c r="N3163">
        <v>47.258592152595</v>
      </c>
      <c r="O3163">
        <v>46.877536308660503</v>
      </c>
      <c r="P3163">
        <v>-0.14256390952367101</v>
      </c>
      <c r="Q3163">
        <v>3.9518103001257299E-2</v>
      </c>
      <c r="R3163">
        <v>0.99727834381017799</v>
      </c>
      <c r="S3163" t="s">
        <v>9731</v>
      </c>
      <c r="T3163" t="s">
        <v>13134</v>
      </c>
      <c r="U3163" t="s">
        <v>13134</v>
      </c>
      <c r="V3163" t="s">
        <v>13134</v>
      </c>
      <c r="W3163" t="s">
        <v>16243</v>
      </c>
      <c r="X3163">
        <v>14</v>
      </c>
      <c r="Y3163" t="s">
        <v>22663</v>
      </c>
      <c r="Z3163" t="s">
        <v>29131</v>
      </c>
      <c r="AA3163">
        <v>0.36999195147915781</v>
      </c>
      <c r="AB3163" t="str">
        <f>HYPERLINK("Melting_Curves/meltCurve_Q00403_GTF2B.pdf", "Melting_Curves/meltCurve_Q00403_GTF2B.pdf")</f>
        <v>Melting_Curves/meltCurve_Q00403_GTF2B.pdf</v>
      </c>
    </row>
    <row r="3164" spans="1:28" x14ac:dyDescent="0.25">
      <c r="A3164" t="s">
        <v>3168</v>
      </c>
      <c r="B3164">
        <v>0.99472303558308395</v>
      </c>
      <c r="C3164">
        <v>0.93083403959253497</v>
      </c>
      <c r="D3164">
        <v>0.86351968010319002</v>
      </c>
      <c r="E3164">
        <v>0.48261774235703198</v>
      </c>
      <c r="F3164">
        <v>0.309421460380781</v>
      </c>
      <c r="G3164">
        <v>0.19619822373276599</v>
      </c>
      <c r="H3164">
        <v>0.105813260811181</v>
      </c>
      <c r="I3164">
        <v>5.2152856138027399E-2</v>
      </c>
      <c r="J3164">
        <v>5.7370764953961401E-2</v>
      </c>
      <c r="K3164">
        <v>4.4996517738555002E-2</v>
      </c>
      <c r="L3164">
        <v>733.30299340383203</v>
      </c>
      <c r="M3164">
        <v>15.6621761475825</v>
      </c>
      <c r="N3164">
        <v>47.121776541330199</v>
      </c>
      <c r="O3164">
        <v>46.076655041938203</v>
      </c>
      <c r="P3164">
        <v>-8.0930672178039703E-2</v>
      </c>
      <c r="Q3164">
        <v>4.7719441227364399E-2</v>
      </c>
      <c r="R3164">
        <v>0.99353262251850305</v>
      </c>
      <c r="S3164" t="s">
        <v>9732</v>
      </c>
      <c r="T3164" t="s">
        <v>13134</v>
      </c>
      <c r="U3164" t="s">
        <v>13134</v>
      </c>
      <c r="V3164" t="s">
        <v>13134</v>
      </c>
      <c r="W3164" t="s">
        <v>16244</v>
      </c>
      <c r="X3164">
        <v>13</v>
      </c>
      <c r="Y3164" t="s">
        <v>22664</v>
      </c>
      <c r="Z3164" t="s">
        <v>29132</v>
      </c>
      <c r="AA3164">
        <v>0.3793245942981926</v>
      </c>
      <c r="AB3164" t="str">
        <f>HYPERLINK("Melting_Curves/meltCurve_Q00534_CDK6.pdf", "Melting_Curves/meltCurve_Q00534_CDK6.pdf")</f>
        <v>Melting_Curves/meltCurve_Q00534_CDK6.pdf</v>
      </c>
    </row>
    <row r="3165" spans="1:28" x14ac:dyDescent="0.25">
      <c r="A3165" t="s">
        <v>3169</v>
      </c>
      <c r="B3165">
        <v>0.99472303558308395</v>
      </c>
      <c r="C3165">
        <v>0.92234891571129896</v>
      </c>
      <c r="D3165">
        <v>0.91176647702237601</v>
      </c>
      <c r="E3165">
        <v>0.76763837398295198</v>
      </c>
      <c r="F3165">
        <v>0.34520269197807801</v>
      </c>
      <c r="G3165">
        <v>8.6245083387811505E-2</v>
      </c>
      <c r="H3165">
        <v>6.22165969380176E-2</v>
      </c>
      <c r="I3165">
        <v>3.5371087824003403E-2</v>
      </c>
      <c r="J3165">
        <v>4.3132020891915597E-2</v>
      </c>
      <c r="K3165">
        <v>4.5436420473300897E-2</v>
      </c>
      <c r="L3165">
        <v>1180.2136727412301</v>
      </c>
      <c r="M3165">
        <v>24.274062364852</v>
      </c>
      <c r="N3165">
        <v>48.754647868617504</v>
      </c>
      <c r="O3165">
        <v>48.293987126919099</v>
      </c>
      <c r="P3165">
        <v>-0.12159631867338</v>
      </c>
      <c r="Q3165">
        <v>3.2336296011009201E-2</v>
      </c>
      <c r="R3165">
        <v>0.99421799828492696</v>
      </c>
      <c r="S3165" t="s">
        <v>9733</v>
      </c>
      <c r="T3165" t="s">
        <v>13134</v>
      </c>
      <c r="U3165" t="s">
        <v>13134</v>
      </c>
      <c r="V3165" t="s">
        <v>13134</v>
      </c>
      <c r="W3165" t="s">
        <v>16245</v>
      </c>
      <c r="X3165">
        <v>16</v>
      </c>
      <c r="Y3165" t="s">
        <v>22665</v>
      </c>
      <c r="Z3165" t="s">
        <v>29133</v>
      </c>
      <c r="AA3165">
        <v>0.41596808206986319</v>
      </c>
      <c r="AB3165" t="str">
        <f>HYPERLINK("Melting_Curves/meltCurve_Q00535_CDK5.pdf", "Melting_Curves/meltCurve_Q00535_CDK5.pdf")</f>
        <v>Melting_Curves/meltCurve_Q00535_CDK5.pdf</v>
      </c>
    </row>
    <row r="3166" spans="1:28" x14ac:dyDescent="0.25">
      <c r="A3166" t="s">
        <v>3170</v>
      </c>
      <c r="B3166">
        <v>0.99472303558308395</v>
      </c>
      <c r="C3166">
        <v>0.93505710765789296</v>
      </c>
      <c r="D3166">
        <v>0.92382935035876601</v>
      </c>
      <c r="E3166">
        <v>0.81426312638265297</v>
      </c>
      <c r="F3166">
        <v>0.52746261298256902</v>
      </c>
      <c r="G3166">
        <v>0.20549010485529801</v>
      </c>
      <c r="H3166">
        <v>0.13234986031036</v>
      </c>
      <c r="I3166">
        <v>0.104713869534813</v>
      </c>
      <c r="J3166">
        <v>0.114610937339804</v>
      </c>
      <c r="K3166">
        <v>0.111111131407124</v>
      </c>
      <c r="L3166">
        <v>1042.0597362658</v>
      </c>
      <c r="M3166">
        <v>20.982044120144099</v>
      </c>
      <c r="N3166">
        <v>50.148737960171097</v>
      </c>
      <c r="O3166">
        <v>49.219833915055297</v>
      </c>
      <c r="P3166">
        <v>-9.6800508333623705E-2</v>
      </c>
      <c r="Q3166">
        <v>9.1723112232465806E-2</v>
      </c>
      <c r="R3166">
        <v>0.99396373244471503</v>
      </c>
      <c r="S3166" t="s">
        <v>9734</v>
      </c>
      <c r="T3166" t="s">
        <v>13134</v>
      </c>
      <c r="U3166" t="s">
        <v>13134</v>
      </c>
      <c r="V3166" t="s">
        <v>13134</v>
      </c>
      <c r="W3166" t="s">
        <v>16246</v>
      </c>
      <c r="X3166">
        <v>7</v>
      </c>
      <c r="Y3166" t="s">
        <v>22666</v>
      </c>
      <c r="Z3166" t="s">
        <v>29134</v>
      </c>
      <c r="AA3166">
        <v>0.48612992481392531</v>
      </c>
      <c r="AB3166" t="str">
        <f>HYPERLINK("Melting_Curves/meltCurve_Q00536_CDK16.pdf", "Melting_Curves/meltCurve_Q00536_CDK16.pdf")</f>
        <v>Melting_Curves/meltCurve_Q00536_CDK16.pdf</v>
      </c>
    </row>
    <row r="3167" spans="1:28" x14ac:dyDescent="0.25">
      <c r="A3167" t="s">
        <v>3171</v>
      </c>
      <c r="B3167">
        <v>0.99472303558308395</v>
      </c>
      <c r="C3167">
        <v>1.01605823209866</v>
      </c>
      <c r="D3167">
        <v>0.75614568852683495</v>
      </c>
      <c r="E3167">
        <v>0.79308556269052799</v>
      </c>
      <c r="F3167">
        <v>0.68596784808852296</v>
      </c>
      <c r="G3167">
        <v>0.26810577184995399</v>
      </c>
      <c r="H3167">
        <v>0.180846923162363</v>
      </c>
      <c r="I3167">
        <v>8.99214882891783E-2</v>
      </c>
      <c r="J3167">
        <v>7.0832078994372494E-2</v>
      </c>
      <c r="K3167">
        <v>4.19291191003495E-2</v>
      </c>
      <c r="L3167">
        <v>674.69952400093405</v>
      </c>
      <c r="M3167">
        <v>13.1833118440583</v>
      </c>
      <c r="N3167">
        <v>51.178303036473302</v>
      </c>
      <c r="O3167">
        <v>50.043708628195297</v>
      </c>
      <c r="P3167">
        <v>-6.5870004862384299E-2</v>
      </c>
      <c r="Q3167">
        <v>0</v>
      </c>
      <c r="R3167">
        <v>0.96373811841075696</v>
      </c>
      <c r="S3167" t="s">
        <v>9735</v>
      </c>
      <c r="T3167" t="s">
        <v>13134</v>
      </c>
      <c r="U3167" t="s">
        <v>13134</v>
      </c>
      <c r="V3167" t="s">
        <v>13134</v>
      </c>
      <c r="W3167" t="s">
        <v>16247</v>
      </c>
      <c r="X3167">
        <v>2</v>
      </c>
      <c r="Y3167" t="s">
        <v>22667</v>
      </c>
      <c r="Z3167" t="s">
        <v>29135</v>
      </c>
      <c r="AA3167">
        <v>0.49590003409946898</v>
      </c>
      <c r="AB3167" t="str">
        <f>HYPERLINK("Melting_Curves/meltCurve_Q00577_PURA.pdf", "Melting_Curves/meltCurve_Q00577_PURA.pdf")</f>
        <v>Melting_Curves/meltCurve_Q00577_PURA.pdf</v>
      </c>
    </row>
    <row r="3168" spans="1:28" x14ac:dyDescent="0.25">
      <c r="A3168" t="s">
        <v>3172</v>
      </c>
      <c r="B3168">
        <v>0.99472303558308395</v>
      </c>
      <c r="C3168">
        <v>1.0126517382061899</v>
      </c>
      <c r="D3168">
        <v>0.79557716589189398</v>
      </c>
      <c r="E3168">
        <v>0.66072793691153497</v>
      </c>
      <c r="F3168">
        <v>0.35345486753529498</v>
      </c>
      <c r="G3168">
        <v>0.20950622437387401</v>
      </c>
      <c r="H3168">
        <v>0.101273854832824</v>
      </c>
      <c r="I3168">
        <v>6.7671582054255594E-2</v>
      </c>
      <c r="J3168">
        <v>6.2454957596494401E-2</v>
      </c>
      <c r="K3168">
        <v>0.11242224829044099</v>
      </c>
      <c r="L3168">
        <v>746.249724922008</v>
      </c>
      <c r="M3168">
        <v>15.6000812201685</v>
      </c>
      <c r="N3168">
        <v>48.2133203357686</v>
      </c>
      <c r="O3168">
        <v>47.070897891368197</v>
      </c>
      <c r="P3168">
        <v>-7.8102998766340997E-2</v>
      </c>
      <c r="Q3168">
        <v>5.74254693044857E-2</v>
      </c>
      <c r="R3168">
        <v>0.99154091214766704</v>
      </c>
      <c r="S3168" t="s">
        <v>9736</v>
      </c>
      <c r="T3168" t="s">
        <v>13134</v>
      </c>
      <c r="U3168" t="s">
        <v>13134</v>
      </c>
      <c r="V3168" t="s">
        <v>13134</v>
      </c>
      <c r="W3168" t="s">
        <v>16248</v>
      </c>
      <c r="X3168">
        <v>5</v>
      </c>
      <c r="Y3168" t="s">
        <v>22668</v>
      </c>
      <c r="Z3168" t="s">
        <v>29136</v>
      </c>
      <c r="AA3168">
        <v>0.41736909400835009</v>
      </c>
      <c r="AB3168" t="str">
        <f>HYPERLINK("Melting_Curves/meltCurve_Q00587_2_CDC42EP1.pdf", "Melting_Curves/meltCurve_Q00587_2_CDC42EP1.pdf")</f>
        <v>Melting_Curves/meltCurve_Q00587_2_CDC42EP1.pdf</v>
      </c>
    </row>
    <row r="3169" spans="1:28" x14ac:dyDescent="0.25">
      <c r="A3169" t="s">
        <v>3173</v>
      </c>
      <c r="B3169">
        <v>0.99472303558308395</v>
      </c>
      <c r="C3169">
        <v>0.97480359329302702</v>
      </c>
      <c r="D3169">
        <v>0.90252100744702901</v>
      </c>
      <c r="E3169">
        <v>0.80341515166725697</v>
      </c>
      <c r="F3169">
        <v>0.38733009630218501</v>
      </c>
      <c r="G3169">
        <v>9.6693316598020898E-2</v>
      </c>
      <c r="H3169">
        <v>6.0380348487595402E-2</v>
      </c>
      <c r="I3169">
        <v>4.1406173236669001E-2</v>
      </c>
      <c r="J3169">
        <v>4.9942418204779002E-2</v>
      </c>
      <c r="K3169">
        <v>3.9395256485619402E-2</v>
      </c>
      <c r="L3169">
        <v>1217.2311432983499</v>
      </c>
      <c r="M3169">
        <v>24.843363015527999</v>
      </c>
      <c r="N3169">
        <v>49.133470544107801</v>
      </c>
      <c r="O3169">
        <v>48.682075962067998</v>
      </c>
      <c r="P3169">
        <v>-0.12330433994317599</v>
      </c>
      <c r="Q3169">
        <v>3.3524006960935597E-2</v>
      </c>
      <c r="R3169">
        <v>0.99602023341526702</v>
      </c>
      <c r="S3169" t="s">
        <v>9737</v>
      </c>
      <c r="T3169" t="s">
        <v>13134</v>
      </c>
      <c r="U3169" t="s">
        <v>13134</v>
      </c>
      <c r="V3169" t="s">
        <v>13134</v>
      </c>
      <c r="W3169" t="s">
        <v>16249</v>
      </c>
      <c r="X3169">
        <v>74</v>
      </c>
      <c r="Y3169" t="s">
        <v>22669</v>
      </c>
      <c r="Z3169" t="s">
        <v>29137</v>
      </c>
      <c r="AA3169">
        <v>0.42844671531124873</v>
      </c>
      <c r="AB3169" t="str">
        <f>HYPERLINK("Melting_Curves/meltCurve_Q00610_2_CLTC.pdf", "Melting_Curves/meltCurve_Q00610_2_CLTC.pdf")</f>
        <v>Melting_Curves/meltCurve_Q00610_2_CLTC.pdf</v>
      </c>
    </row>
    <row r="3170" spans="1:28" x14ac:dyDescent="0.25">
      <c r="A3170" t="s">
        <v>3174</v>
      </c>
      <c r="B3170">
        <v>0.99472303558308395</v>
      </c>
      <c r="C3170">
        <v>0.967860784866996</v>
      </c>
      <c r="D3170">
        <v>0.696416161292994</v>
      </c>
      <c r="E3170">
        <v>0.43931564537062101</v>
      </c>
      <c r="F3170">
        <v>0.30601841665114299</v>
      </c>
      <c r="G3170">
        <v>0.152122342800629</v>
      </c>
      <c r="H3170">
        <v>0.10648570895157899</v>
      </c>
      <c r="I3170">
        <v>9.4162975069537996E-2</v>
      </c>
      <c r="J3170">
        <v>0.11352166426717999</v>
      </c>
      <c r="K3170">
        <v>6.6533851137691599E-2</v>
      </c>
      <c r="L3170">
        <v>707.37168792852106</v>
      </c>
      <c r="M3170">
        <v>15.5451175592925</v>
      </c>
      <c r="N3170">
        <v>46.039142036176798</v>
      </c>
      <c r="O3170">
        <v>44.771347682039</v>
      </c>
      <c r="P3170">
        <v>-7.96405300852914E-2</v>
      </c>
      <c r="Q3170">
        <v>8.25928917288095E-2</v>
      </c>
      <c r="R3170">
        <v>0.99204547176390401</v>
      </c>
      <c r="S3170" t="s">
        <v>9738</v>
      </c>
      <c r="T3170" t="s">
        <v>13134</v>
      </c>
      <c r="U3170" t="s">
        <v>13134</v>
      </c>
      <c r="V3170" t="s">
        <v>13134</v>
      </c>
      <c r="W3170" t="s">
        <v>16250</v>
      </c>
      <c r="X3170">
        <v>12</v>
      </c>
      <c r="Y3170" t="s">
        <v>22670</v>
      </c>
      <c r="Z3170" t="s">
        <v>29138</v>
      </c>
      <c r="AA3170">
        <v>0.36267189181040638</v>
      </c>
      <c r="AB3170" t="str">
        <f>HYPERLINK("Melting_Curves/meltCurve_Q00653_4_NFKB2.pdf", "Melting_Curves/meltCurve_Q00653_4_NFKB2.pdf")</f>
        <v>Melting_Curves/meltCurve_Q00653_4_NFKB2.pdf</v>
      </c>
    </row>
    <row r="3171" spans="1:28" x14ac:dyDescent="0.25">
      <c r="A3171" t="s">
        <v>3175</v>
      </c>
      <c r="B3171">
        <v>0.99472303558308395</v>
      </c>
      <c r="C3171">
        <v>1.0069418014137801</v>
      </c>
      <c r="D3171">
        <v>1.0893355481279099</v>
      </c>
      <c r="E3171">
        <v>0.98651532923031804</v>
      </c>
      <c r="F3171">
        <v>0.59539836313653705</v>
      </c>
      <c r="G3171">
        <v>0.48648407570433599</v>
      </c>
      <c r="H3171">
        <v>0.26515581620107598</v>
      </c>
      <c r="I3171">
        <v>0.27957079138951602</v>
      </c>
      <c r="J3171">
        <v>0.30726309305773303</v>
      </c>
      <c r="K3171">
        <v>0.20114954712372701</v>
      </c>
      <c r="L3171">
        <v>1235.5045001154899</v>
      </c>
      <c r="M3171">
        <v>24.3822538542092</v>
      </c>
      <c r="N3171">
        <v>52.238703350920602</v>
      </c>
      <c r="O3171">
        <v>50.335122822183799</v>
      </c>
      <c r="P3171">
        <v>-8.9697956977165802E-2</v>
      </c>
      <c r="Q3171">
        <v>0.25931540620948501</v>
      </c>
      <c r="R3171">
        <v>0.97152928101688496</v>
      </c>
      <c r="S3171" t="s">
        <v>9739</v>
      </c>
      <c r="T3171" t="s">
        <v>13134</v>
      </c>
      <c r="U3171" t="s">
        <v>13134</v>
      </c>
      <c r="V3171" t="s">
        <v>13134</v>
      </c>
      <c r="W3171" t="s">
        <v>16251</v>
      </c>
      <c r="X3171">
        <v>17</v>
      </c>
      <c r="Y3171" t="s">
        <v>22671</v>
      </c>
      <c r="Z3171" t="s">
        <v>29139</v>
      </c>
      <c r="AA3171">
        <v>0.60370754372919178</v>
      </c>
      <c r="AB3171" t="str">
        <f>HYPERLINK("Melting_Curves/meltCurve_Q00688_FKBP3.pdf", "Melting_Curves/meltCurve_Q00688_FKBP3.pdf")</f>
        <v>Melting_Curves/meltCurve_Q00688_FKBP3.pdf</v>
      </c>
    </row>
    <row r="3172" spans="1:28" x14ac:dyDescent="0.25">
      <c r="A3172" t="s">
        <v>3176</v>
      </c>
      <c r="B3172">
        <v>0.99472303558308395</v>
      </c>
      <c r="C3172">
        <v>0.80844134306545301</v>
      </c>
      <c r="D3172">
        <v>1.17989407616294</v>
      </c>
      <c r="E3172">
        <v>0.78820165296122202</v>
      </c>
      <c r="F3172">
        <v>0.55967180638482095</v>
      </c>
      <c r="G3172">
        <v>0.62705296033150704</v>
      </c>
      <c r="H3172">
        <v>0.73614231122706897</v>
      </c>
      <c r="I3172">
        <v>0.50500361833872898</v>
      </c>
      <c r="J3172">
        <v>0.79015586934496196</v>
      </c>
      <c r="K3172">
        <v>0.72505898646370004</v>
      </c>
      <c r="L3172">
        <v>11627.618992601499</v>
      </c>
      <c r="M3172">
        <v>250</v>
      </c>
      <c r="O3172">
        <v>46.5074996278112</v>
      </c>
      <c r="P3172">
        <v>-0.46070402317134201</v>
      </c>
      <c r="Q3172">
        <v>0.65718092556585495</v>
      </c>
      <c r="R3172">
        <v>0.63435335662360803</v>
      </c>
      <c r="S3172" t="s">
        <v>9740</v>
      </c>
      <c r="T3172" t="s">
        <v>13134</v>
      </c>
      <c r="U3172" t="s">
        <v>13134</v>
      </c>
      <c r="V3172" t="s">
        <v>13134</v>
      </c>
      <c r="W3172" t="s">
        <v>16252</v>
      </c>
      <c r="X3172">
        <v>9</v>
      </c>
      <c r="Y3172" t="s">
        <v>22672</v>
      </c>
      <c r="Z3172" t="s">
        <v>29140</v>
      </c>
      <c r="AA3172">
        <v>0.76588799388158646</v>
      </c>
      <c r="AB3172" t="str">
        <f>HYPERLINK("Melting_Curves/meltCurve_Q00765_REEP5.pdf", "Melting_Curves/meltCurve_Q00765_REEP5.pdf")</f>
        <v>Melting_Curves/meltCurve_Q00765_REEP5.pdf</v>
      </c>
    </row>
    <row r="3173" spans="1:28" x14ac:dyDescent="0.25">
      <c r="A3173" t="s">
        <v>3177</v>
      </c>
      <c r="B3173">
        <v>0.99472303558308395</v>
      </c>
      <c r="C3173">
        <v>0.97006996866324602</v>
      </c>
      <c r="D3173">
        <v>0.92287785971665404</v>
      </c>
      <c r="E3173">
        <v>0.83652471260078598</v>
      </c>
      <c r="F3173">
        <v>0.75764738189651704</v>
      </c>
      <c r="G3173">
        <v>0.54607600758416497</v>
      </c>
      <c r="H3173">
        <v>0.42608993323864802</v>
      </c>
      <c r="I3173">
        <v>0.390558524626482</v>
      </c>
      <c r="J3173">
        <v>0.40134486189879398</v>
      </c>
      <c r="K3173">
        <v>0.16375422089706099</v>
      </c>
      <c r="L3173">
        <v>464.85047262467498</v>
      </c>
      <c r="M3173">
        <v>8.4249126462167592</v>
      </c>
      <c r="N3173">
        <v>56.314693488409397</v>
      </c>
      <c r="O3173">
        <v>52.330010527532103</v>
      </c>
      <c r="P3173">
        <v>-3.7130614847964101E-2</v>
      </c>
      <c r="Q3173">
        <v>7.8334894666220803E-2</v>
      </c>
      <c r="R3173">
        <v>0.96912636270706498</v>
      </c>
      <c r="S3173" t="s">
        <v>9741</v>
      </c>
      <c r="T3173" t="s">
        <v>13134</v>
      </c>
      <c r="U3173" t="s">
        <v>13134</v>
      </c>
      <c r="V3173" t="s">
        <v>13134</v>
      </c>
      <c r="W3173" t="s">
        <v>16253</v>
      </c>
      <c r="X3173">
        <v>17</v>
      </c>
      <c r="Y3173" t="s">
        <v>22673</v>
      </c>
      <c r="Z3173" t="s">
        <v>29141</v>
      </c>
      <c r="AA3173">
        <v>0.64315625252211606</v>
      </c>
      <c r="AB3173" t="str">
        <f>HYPERLINK("Melting_Curves/meltCurve_Q00796_SORD.pdf", "Melting_Curves/meltCurve_Q00796_SORD.pdf")</f>
        <v>Melting_Curves/meltCurve_Q00796_SORD.pdf</v>
      </c>
    </row>
    <row r="3174" spans="1:28" x14ac:dyDescent="0.25">
      <c r="A3174" t="s">
        <v>3178</v>
      </c>
      <c r="B3174">
        <v>0.99472303558308395</v>
      </c>
      <c r="C3174">
        <v>0.94575425192226603</v>
      </c>
      <c r="D3174">
        <v>0.75992657907878103</v>
      </c>
      <c r="E3174">
        <v>0.46050024784619997</v>
      </c>
      <c r="F3174">
        <v>0.23119227018399299</v>
      </c>
      <c r="G3174">
        <v>0.12372017707869901</v>
      </c>
      <c r="H3174">
        <v>9.4803794724464999E-2</v>
      </c>
      <c r="I3174">
        <v>8.5441283270747501E-2</v>
      </c>
      <c r="J3174">
        <v>0.108030117096097</v>
      </c>
      <c r="K3174">
        <v>9.9778241914441401E-2</v>
      </c>
      <c r="L3174">
        <v>842.45575631632698</v>
      </c>
      <c r="M3174">
        <v>18.487726683751799</v>
      </c>
      <c r="N3174">
        <v>46.042474258844898</v>
      </c>
      <c r="O3174">
        <v>45.045266909319103</v>
      </c>
      <c r="P3174">
        <v>-9.3717456333738902E-2</v>
      </c>
      <c r="Q3174">
        <v>8.6671730335956598E-2</v>
      </c>
      <c r="R3174">
        <v>0.99904743602400004</v>
      </c>
      <c r="S3174" t="s">
        <v>9742</v>
      </c>
      <c r="T3174" t="s">
        <v>13134</v>
      </c>
      <c r="U3174" t="s">
        <v>13134</v>
      </c>
      <c r="V3174" t="s">
        <v>13134</v>
      </c>
      <c r="W3174" t="s">
        <v>16254</v>
      </c>
      <c r="X3174">
        <v>23</v>
      </c>
      <c r="Y3174" t="s">
        <v>22674</v>
      </c>
      <c r="Z3174" t="s">
        <v>29142</v>
      </c>
      <c r="AA3174">
        <v>0.36157612157605001</v>
      </c>
      <c r="AB3174" t="str">
        <f>HYPERLINK("Melting_Curves/meltCurve_Q00839_2_HNRNPU.pdf", "Melting_Curves/meltCurve_Q00839_2_HNRNPU.pdf")</f>
        <v>Melting_Curves/meltCurve_Q00839_2_HNRNPU.pdf</v>
      </c>
    </row>
    <row r="3175" spans="1:28" x14ac:dyDescent="0.25">
      <c r="A3175" t="s">
        <v>3179</v>
      </c>
      <c r="B3175">
        <v>0.99472303558308395</v>
      </c>
      <c r="C3175">
        <v>0.92096203109094399</v>
      </c>
      <c r="D3175">
        <v>0.81706612284167202</v>
      </c>
      <c r="E3175">
        <v>0.68119699996559302</v>
      </c>
      <c r="F3175">
        <v>0.57708990892012801</v>
      </c>
      <c r="G3175">
        <v>0.30415842538012899</v>
      </c>
      <c r="H3175">
        <v>0.16422732970454301</v>
      </c>
      <c r="I3175">
        <v>9.2097300741878399E-2</v>
      </c>
      <c r="J3175">
        <v>0.12293462755003</v>
      </c>
      <c r="K3175">
        <v>0.11033346681441999</v>
      </c>
      <c r="L3175">
        <v>541.434255200547</v>
      </c>
      <c r="M3175">
        <v>10.833623022760101</v>
      </c>
      <c r="N3175">
        <v>50.113130206690698</v>
      </c>
      <c r="O3175">
        <v>48.364748677116403</v>
      </c>
      <c r="P3175">
        <v>-5.5208507464389003E-2</v>
      </c>
      <c r="Q3175">
        <v>1.44786704041344E-2</v>
      </c>
      <c r="R3175">
        <v>0.98686737993079898</v>
      </c>
      <c r="S3175" t="s">
        <v>9743</v>
      </c>
      <c r="T3175" t="s">
        <v>13134</v>
      </c>
      <c r="U3175" t="s">
        <v>13134</v>
      </c>
      <c r="V3175" t="s">
        <v>13134</v>
      </c>
      <c r="W3175" t="s">
        <v>16255</v>
      </c>
      <c r="X3175">
        <v>3</v>
      </c>
      <c r="Y3175" t="s">
        <v>22675</v>
      </c>
      <c r="Z3175" t="s">
        <v>29143</v>
      </c>
      <c r="AA3175">
        <v>0.47173529494794347</v>
      </c>
      <c r="AB3175" t="str">
        <f>HYPERLINK("Melting_Curves/meltCurve_Q00973_B4GALNT1.pdf", "Melting_Curves/meltCurve_Q00973_B4GALNT1.pdf")</f>
        <v>Melting_Curves/meltCurve_Q00973_B4GALNT1.pdf</v>
      </c>
    </row>
    <row r="3176" spans="1:28" x14ac:dyDescent="0.25">
      <c r="A3176" t="s">
        <v>3180</v>
      </c>
      <c r="B3176">
        <v>0.99472303558308395</v>
      </c>
      <c r="C3176">
        <v>0.85627915503302099</v>
      </c>
      <c r="D3176">
        <v>0.88360016471273295</v>
      </c>
      <c r="E3176">
        <v>0.60235494450166704</v>
      </c>
      <c r="F3176">
        <v>0.187200422435395</v>
      </c>
      <c r="G3176">
        <v>9.4232181179681199E-2</v>
      </c>
      <c r="H3176">
        <v>6.4205276517785001E-2</v>
      </c>
      <c r="I3176">
        <v>5.1722493877437201E-2</v>
      </c>
      <c r="J3176">
        <v>4.9155383920908298E-2</v>
      </c>
      <c r="K3176">
        <v>3.20903940266411E-2</v>
      </c>
      <c r="L3176">
        <v>1019.32293994899</v>
      </c>
      <c r="M3176">
        <v>21.685238704799499</v>
      </c>
      <c r="N3176">
        <v>47.170899097821597</v>
      </c>
      <c r="O3176">
        <v>46.611126377712303</v>
      </c>
      <c r="P3176">
        <v>-0.112050711299875</v>
      </c>
      <c r="Q3176">
        <v>3.6637502242055697E-2</v>
      </c>
      <c r="R3176">
        <v>0.98702574584582403</v>
      </c>
      <c r="S3176" t="s">
        <v>9744</v>
      </c>
      <c r="T3176" t="s">
        <v>13134</v>
      </c>
      <c r="U3176" t="s">
        <v>13134</v>
      </c>
      <c r="V3176" t="s">
        <v>13134</v>
      </c>
      <c r="W3176" t="s">
        <v>16256</v>
      </c>
      <c r="X3176">
        <v>9</v>
      </c>
      <c r="Y3176" t="s">
        <v>22676</v>
      </c>
      <c r="Z3176" t="s">
        <v>29144</v>
      </c>
      <c r="AA3176">
        <v>0.36868416949675692</v>
      </c>
      <c r="AB3176" t="str">
        <f>HYPERLINK("Melting_Curves/meltCurve_Q01081_U2AF1.pdf", "Melting_Curves/meltCurve_Q01081_U2AF1.pdf")</f>
        <v>Melting_Curves/meltCurve_Q01081_U2AF1.pdf</v>
      </c>
    </row>
    <row r="3177" spans="1:28" x14ac:dyDescent="0.25">
      <c r="A3177" t="s">
        <v>3181</v>
      </c>
      <c r="B3177">
        <v>0.99472303558308395</v>
      </c>
      <c r="C3177">
        <v>1.03579681107226</v>
      </c>
      <c r="D3177">
        <v>1.0221981459598599</v>
      </c>
      <c r="E3177">
        <v>0.527357803656198</v>
      </c>
      <c r="F3177">
        <v>0.25340439758086097</v>
      </c>
      <c r="G3177">
        <v>0.11271312712089999</v>
      </c>
      <c r="H3177">
        <v>6.61763645294519E-2</v>
      </c>
      <c r="I3177">
        <v>5.4737318704937803E-2</v>
      </c>
      <c r="J3177">
        <v>6.1367984799237003E-2</v>
      </c>
      <c r="K3177">
        <v>4.8707128681720703E-2</v>
      </c>
      <c r="L3177">
        <v>1321.49607775096</v>
      </c>
      <c r="M3177">
        <v>28.1574061894412</v>
      </c>
      <c r="N3177">
        <v>47.178933578825699</v>
      </c>
      <c r="O3177">
        <v>46.697641264894003</v>
      </c>
      <c r="P3177">
        <v>-0.14043385685189999</v>
      </c>
      <c r="Q3177">
        <v>6.8397875044190495E-2</v>
      </c>
      <c r="R3177">
        <v>0.99032645821801801</v>
      </c>
      <c r="S3177" t="s">
        <v>9745</v>
      </c>
      <c r="T3177" t="s">
        <v>13134</v>
      </c>
      <c r="U3177" t="s">
        <v>13134</v>
      </c>
      <c r="V3177" t="s">
        <v>13134</v>
      </c>
      <c r="W3177" t="s">
        <v>16257</v>
      </c>
      <c r="X3177">
        <v>85</v>
      </c>
      <c r="Y3177" t="s">
        <v>22677</v>
      </c>
      <c r="Z3177" t="s">
        <v>29145</v>
      </c>
      <c r="AA3177">
        <v>0.38298185272383628</v>
      </c>
      <c r="AB3177" t="str">
        <f>HYPERLINK("Melting_Curves/meltCurve_Q01082_SPTBN1.pdf", "Melting_Curves/meltCurve_Q01082_SPTBN1.pdf")</f>
        <v>Melting_Curves/meltCurve_Q01082_SPTBN1.pdf</v>
      </c>
    </row>
    <row r="3178" spans="1:28" x14ac:dyDescent="0.25">
      <c r="A3178" t="s">
        <v>3182</v>
      </c>
      <c r="B3178">
        <v>0.99472303558308395</v>
      </c>
      <c r="C3178">
        <v>1.14973957440149</v>
      </c>
      <c r="D3178">
        <v>0.95588579847925004</v>
      </c>
      <c r="E3178">
        <v>0.46566012509209798</v>
      </c>
      <c r="F3178">
        <v>0.383100130770198</v>
      </c>
      <c r="G3178">
        <v>7.5643306148344497E-2</v>
      </c>
      <c r="H3178">
        <v>5.9082786450348299E-2</v>
      </c>
      <c r="I3178">
        <v>3.4214010033299602E-2</v>
      </c>
      <c r="J3178">
        <v>3.35579356047261E-2</v>
      </c>
      <c r="K3178">
        <v>4.2116047285219997E-2</v>
      </c>
      <c r="L3178">
        <v>972.01879189227202</v>
      </c>
      <c r="M3178">
        <v>20.571515234244799</v>
      </c>
      <c r="N3178">
        <v>47.432128907993601</v>
      </c>
      <c r="O3178">
        <v>46.811006681216497</v>
      </c>
      <c r="P3178">
        <v>-0.10571137859225101</v>
      </c>
      <c r="Q3178">
        <v>3.7832269198492002E-2</v>
      </c>
      <c r="R3178">
        <v>0.96447927876713202</v>
      </c>
      <c r="S3178" t="s">
        <v>9746</v>
      </c>
      <c r="T3178" t="s">
        <v>13134</v>
      </c>
      <c r="U3178" t="s">
        <v>13134</v>
      </c>
      <c r="V3178" t="s">
        <v>13134</v>
      </c>
      <c r="W3178" t="s">
        <v>16258</v>
      </c>
      <c r="X3178">
        <v>82</v>
      </c>
      <c r="Y3178" t="s">
        <v>22677</v>
      </c>
      <c r="Z3178" t="s">
        <v>29146</v>
      </c>
      <c r="AA3178">
        <v>0.37852978643849688</v>
      </c>
      <c r="AB3178" t="str">
        <f>HYPERLINK("Melting_Curves/meltCurve_Q01082_3_SPTBN1.pdf", "Melting_Curves/meltCurve_Q01082_3_SPTBN1.pdf")</f>
        <v>Melting_Curves/meltCurve_Q01082_3_SPTBN1.pdf</v>
      </c>
    </row>
    <row r="3179" spans="1:28" x14ac:dyDescent="0.25">
      <c r="A3179" t="s">
        <v>3183</v>
      </c>
      <c r="B3179">
        <v>0.99472303558308395</v>
      </c>
      <c r="C3179">
        <v>0.92670407273956301</v>
      </c>
      <c r="D3179">
        <v>0.96830745833988696</v>
      </c>
      <c r="E3179">
        <v>0.77339100056982701</v>
      </c>
      <c r="F3179">
        <v>0.42732889269496699</v>
      </c>
      <c r="G3179">
        <v>0.19124692815931299</v>
      </c>
      <c r="H3179">
        <v>6.7505465209931101E-2</v>
      </c>
      <c r="I3179">
        <v>5.3611177013835297E-2</v>
      </c>
      <c r="J3179">
        <v>5.9424249481668599E-2</v>
      </c>
      <c r="K3179">
        <v>4.2488690458338703E-2</v>
      </c>
      <c r="L3179">
        <v>1012.1727678114401</v>
      </c>
      <c r="M3179">
        <v>20.542137462057099</v>
      </c>
      <c r="N3179">
        <v>49.461027709604302</v>
      </c>
      <c r="O3179">
        <v>48.813160254671502</v>
      </c>
      <c r="P3179">
        <v>-0.101259705016802</v>
      </c>
      <c r="Q3179">
        <v>3.7556087755612297E-2</v>
      </c>
      <c r="R3179">
        <v>0.99673259759286303</v>
      </c>
      <c r="S3179" t="s">
        <v>9747</v>
      </c>
      <c r="T3179" t="s">
        <v>13134</v>
      </c>
      <c r="U3179" t="s">
        <v>13134</v>
      </c>
      <c r="V3179" t="s">
        <v>13134</v>
      </c>
      <c r="W3179" t="s">
        <v>16259</v>
      </c>
      <c r="X3179">
        <v>11</v>
      </c>
      <c r="Y3179" t="s">
        <v>22678</v>
      </c>
      <c r="Z3179" t="s">
        <v>29147</v>
      </c>
      <c r="AA3179">
        <v>0.44337470195571738</v>
      </c>
      <c r="AB3179" t="str">
        <f>HYPERLINK("Melting_Curves/meltCurve_Q01085_2_TIAL1.pdf", "Melting_Curves/meltCurve_Q01085_2_TIAL1.pdf")</f>
        <v>Melting_Curves/meltCurve_Q01085_2_TIAL1.pdf</v>
      </c>
    </row>
    <row r="3180" spans="1:28" x14ac:dyDescent="0.25">
      <c r="A3180" t="s">
        <v>3184</v>
      </c>
      <c r="B3180">
        <v>0.99472303558308395</v>
      </c>
      <c r="C3180">
        <v>0.83968015275605301</v>
      </c>
      <c r="D3180">
        <v>1.0740936499840601</v>
      </c>
      <c r="E3180">
        <v>0.94776271682433799</v>
      </c>
      <c r="F3180">
        <v>0.73815032356240595</v>
      </c>
      <c r="G3180">
        <v>0.74446451486762499</v>
      </c>
      <c r="H3180">
        <v>0.65201303947258205</v>
      </c>
      <c r="I3180">
        <v>0.58137479226341404</v>
      </c>
      <c r="J3180">
        <v>0.33599912152110001</v>
      </c>
      <c r="K3180">
        <v>0.185980969910157</v>
      </c>
      <c r="L3180">
        <v>550.62489148625195</v>
      </c>
      <c r="M3180">
        <v>9.1544568906341404</v>
      </c>
      <c r="N3180">
        <v>60.148265788816303</v>
      </c>
      <c r="O3180">
        <v>57.486700439737398</v>
      </c>
      <c r="P3180">
        <v>-3.98383019465407E-2</v>
      </c>
      <c r="Q3180">
        <v>0</v>
      </c>
      <c r="R3180">
        <v>0.90009788274244595</v>
      </c>
      <c r="S3180" t="s">
        <v>9748</v>
      </c>
      <c r="T3180" t="s">
        <v>13134</v>
      </c>
      <c r="U3180" t="s">
        <v>13134</v>
      </c>
      <c r="V3180" t="s">
        <v>13134</v>
      </c>
      <c r="W3180" t="s">
        <v>16260</v>
      </c>
      <c r="X3180">
        <v>15</v>
      </c>
      <c r="Y3180" t="s">
        <v>22679</v>
      </c>
      <c r="Z3180" t="s">
        <v>29148</v>
      </c>
      <c r="AA3180">
        <v>0.73699866141751258</v>
      </c>
      <c r="AB3180" t="str">
        <f>HYPERLINK("Melting_Curves/meltCurve_Q01105_2_SET.pdf", "Melting_Curves/meltCurve_Q01105_2_SET.pdf")</f>
        <v>Melting_Curves/meltCurve_Q01105_2_SET.pdf</v>
      </c>
    </row>
    <row r="3181" spans="1:28" x14ac:dyDescent="0.25">
      <c r="A3181" t="s">
        <v>3185</v>
      </c>
      <c r="B3181">
        <v>0.99472303558308395</v>
      </c>
      <c r="C3181">
        <v>0.859605435880753</v>
      </c>
      <c r="D3181">
        <v>0.58342806354117605</v>
      </c>
      <c r="E3181">
        <v>0.240368087410815</v>
      </c>
      <c r="F3181">
        <v>6.5141753075317499E-2</v>
      </c>
      <c r="G3181">
        <v>6.1110051033365198E-2</v>
      </c>
      <c r="H3181">
        <v>7.3946613008490899E-3</v>
      </c>
      <c r="I3181">
        <v>1.8723274337559399E-2</v>
      </c>
      <c r="J3181">
        <v>1.01063019388343E-2</v>
      </c>
      <c r="K3181">
        <v>0</v>
      </c>
      <c r="L3181">
        <v>857.49612972464195</v>
      </c>
      <c r="M3181">
        <v>19.619670559321701</v>
      </c>
      <c r="N3181">
        <v>43.746249619192298</v>
      </c>
      <c r="O3181">
        <v>43.259482456550401</v>
      </c>
      <c r="P3181">
        <v>-0.11237187929749599</v>
      </c>
      <c r="Q3181">
        <v>8.9581434639599399E-3</v>
      </c>
      <c r="R3181">
        <v>0.99858318841587201</v>
      </c>
      <c r="S3181" t="s">
        <v>9749</v>
      </c>
      <c r="T3181" t="s">
        <v>13134</v>
      </c>
      <c r="U3181" t="s">
        <v>13134</v>
      </c>
      <c r="V3181" t="s">
        <v>13134</v>
      </c>
      <c r="W3181" t="s">
        <v>16261</v>
      </c>
      <c r="X3181">
        <v>5</v>
      </c>
      <c r="Y3181" t="s">
        <v>22680</v>
      </c>
      <c r="Z3181" t="s">
        <v>29149</v>
      </c>
      <c r="AA3181">
        <v>0.24445441089336839</v>
      </c>
      <c r="AB3181" t="str">
        <f>HYPERLINK("Melting_Curves/meltCurve_Q01167_2_FOXK2.pdf", "Melting_Curves/meltCurve_Q01167_2_FOXK2.pdf")</f>
        <v>Melting_Curves/meltCurve_Q01167_2_FOXK2.pdf</v>
      </c>
    </row>
    <row r="3182" spans="1:28" x14ac:dyDescent="0.25">
      <c r="A3182" t="s">
        <v>3186</v>
      </c>
      <c r="B3182">
        <v>0.99472303558308395</v>
      </c>
      <c r="C3182">
        <v>0.88056550489642504</v>
      </c>
      <c r="D3182">
        <v>1.05440195156532</v>
      </c>
      <c r="E3182">
        <v>0.99661667612538396</v>
      </c>
      <c r="F3182">
        <v>0.910652587760854</v>
      </c>
      <c r="G3182">
        <v>0.79448916989498597</v>
      </c>
      <c r="H3182">
        <v>0.40096782304765199</v>
      </c>
      <c r="I3182">
        <v>0.16690749797896501</v>
      </c>
      <c r="J3182">
        <v>7.4168300291491601E-2</v>
      </c>
      <c r="K3182">
        <v>9.1214902959868602E-2</v>
      </c>
      <c r="L3182">
        <v>1447.8172847496</v>
      </c>
      <c r="M3182">
        <v>25.752826373852901</v>
      </c>
      <c r="N3182">
        <v>56.481384387072502</v>
      </c>
      <c r="O3182">
        <v>55.884048419803399</v>
      </c>
      <c r="P3182">
        <v>-0.10873007479904501</v>
      </c>
      <c r="Q3182">
        <v>5.6227444406292702E-2</v>
      </c>
      <c r="R3182">
        <v>0.98592659783592596</v>
      </c>
      <c r="S3182" t="s">
        <v>9750</v>
      </c>
      <c r="T3182" t="s">
        <v>13134</v>
      </c>
      <c r="U3182" t="s">
        <v>13134</v>
      </c>
      <c r="V3182" t="s">
        <v>13134</v>
      </c>
      <c r="W3182" t="s">
        <v>16262</v>
      </c>
      <c r="X3182">
        <v>11</v>
      </c>
      <c r="Y3182" t="s">
        <v>22681</v>
      </c>
      <c r="Z3182" t="s">
        <v>29150</v>
      </c>
      <c r="AA3182">
        <v>0.6681258282960677</v>
      </c>
      <c r="AB3182" t="str">
        <f>HYPERLINK("Melting_Curves/meltCurve_Q01415_GALK2.pdf", "Melting_Curves/meltCurve_Q01415_GALK2.pdf")</f>
        <v>Melting_Curves/meltCurve_Q01415_GALK2.pdf</v>
      </c>
    </row>
    <row r="3183" spans="1:28" x14ac:dyDescent="0.25">
      <c r="A3183" t="s">
        <v>3187</v>
      </c>
      <c r="B3183">
        <v>0.99472303558308395</v>
      </c>
      <c r="C3183">
        <v>1.01665616085752</v>
      </c>
      <c r="D3183">
        <v>0.73152485043276305</v>
      </c>
      <c r="E3183">
        <v>0.68378801052477101</v>
      </c>
      <c r="F3183">
        <v>0.65836025760471195</v>
      </c>
      <c r="G3183">
        <v>0.251608418775083</v>
      </c>
      <c r="H3183">
        <v>0.142700846555429</v>
      </c>
      <c r="I3183">
        <v>8.3218651103231497E-2</v>
      </c>
      <c r="J3183">
        <v>9.0110648852233702E-2</v>
      </c>
      <c r="K3183">
        <v>8.8295808228896502E-2</v>
      </c>
      <c r="L3183">
        <v>567.56313654150904</v>
      </c>
      <c r="M3183">
        <v>11.3118557934117</v>
      </c>
      <c r="N3183">
        <v>50.174181646426099</v>
      </c>
      <c r="O3183">
        <v>48.682835007407398</v>
      </c>
      <c r="P3183">
        <v>-5.8107145354354302E-2</v>
      </c>
      <c r="Q3183">
        <v>0</v>
      </c>
      <c r="R3183">
        <v>0.95521405189364905</v>
      </c>
      <c r="S3183" t="s">
        <v>9751</v>
      </c>
      <c r="T3183" t="s">
        <v>13134</v>
      </c>
      <c r="U3183" t="s">
        <v>13134</v>
      </c>
      <c r="V3183" t="s">
        <v>13134</v>
      </c>
      <c r="W3183" t="s">
        <v>16263</v>
      </c>
      <c r="X3183">
        <v>10</v>
      </c>
      <c r="Y3183" t="s">
        <v>22682</v>
      </c>
      <c r="Z3183" t="s">
        <v>29151</v>
      </c>
      <c r="AA3183">
        <v>0.46867105357455863</v>
      </c>
      <c r="AB3183" t="str">
        <f>HYPERLINK("Melting_Curves/meltCurve_Q01432_AMPD3.pdf", "Melting_Curves/meltCurve_Q01432_AMPD3.pdf")</f>
        <v>Melting_Curves/meltCurve_Q01432_AMPD3.pdf</v>
      </c>
    </row>
    <row r="3184" spans="1:28" x14ac:dyDescent="0.25">
      <c r="A3184" t="s">
        <v>3188</v>
      </c>
      <c r="B3184">
        <v>0.99472303558308395</v>
      </c>
      <c r="C3184">
        <v>1.0143554217208799</v>
      </c>
      <c r="D3184">
        <v>0.99375624804205098</v>
      </c>
      <c r="E3184">
        <v>0.91943030766815803</v>
      </c>
      <c r="F3184">
        <v>0.83887277846156705</v>
      </c>
      <c r="G3184">
        <v>0.69255673892504999</v>
      </c>
      <c r="H3184">
        <v>0.48770418351672801</v>
      </c>
      <c r="I3184">
        <v>0.169570740680271</v>
      </c>
      <c r="J3184">
        <v>0.14892723986051101</v>
      </c>
      <c r="K3184">
        <v>0.21414120230633901</v>
      </c>
      <c r="L3184">
        <v>932.13885677437702</v>
      </c>
      <c r="M3184">
        <v>16.769569973483499</v>
      </c>
      <c r="N3184">
        <v>56.287284193724901</v>
      </c>
      <c r="O3184">
        <v>54.812751031256802</v>
      </c>
      <c r="P3184">
        <v>-6.9271609413323096E-2</v>
      </c>
      <c r="Q3184">
        <v>9.4378716189745596E-2</v>
      </c>
      <c r="R3184">
        <v>0.98148769386109103</v>
      </c>
      <c r="S3184" t="s">
        <v>9752</v>
      </c>
      <c r="T3184" t="s">
        <v>13134</v>
      </c>
      <c r="U3184" t="s">
        <v>13134</v>
      </c>
      <c r="V3184" t="s">
        <v>13134</v>
      </c>
      <c r="W3184" t="s">
        <v>16264</v>
      </c>
      <c r="X3184">
        <v>3</v>
      </c>
      <c r="Y3184" t="s">
        <v>22683</v>
      </c>
      <c r="Z3184" t="s">
        <v>29152</v>
      </c>
      <c r="AA3184">
        <v>0.66647268182020269</v>
      </c>
      <c r="AB3184" t="str">
        <f>HYPERLINK("Melting_Curves/meltCurve_Q01459_CTBS.pdf", "Melting_Curves/meltCurve_Q01459_CTBS.pdf")</f>
        <v>Melting_Curves/meltCurve_Q01459_CTBS.pdf</v>
      </c>
    </row>
    <row r="3185" spans="1:28" x14ac:dyDescent="0.25">
      <c r="A3185" t="s">
        <v>3189</v>
      </c>
      <c r="B3185">
        <v>0.99472303558308395</v>
      </c>
      <c r="C3185">
        <v>1.06956134975536</v>
      </c>
      <c r="D3185">
        <v>0.95360897767174602</v>
      </c>
      <c r="E3185">
        <v>0.96993264841672999</v>
      </c>
      <c r="F3185">
        <v>0.77031693417787195</v>
      </c>
      <c r="G3185">
        <v>0.56574533521951598</v>
      </c>
      <c r="H3185">
        <v>0.22129832300206401</v>
      </c>
      <c r="I3185">
        <v>8.28883907382401E-2</v>
      </c>
      <c r="J3185">
        <v>0.10358641567657299</v>
      </c>
      <c r="K3185">
        <v>8.1054880157131706E-2</v>
      </c>
      <c r="L3185">
        <v>1089.3754182445</v>
      </c>
      <c r="M3185">
        <v>20.287526581398598</v>
      </c>
      <c r="N3185">
        <v>53.953781105670501</v>
      </c>
      <c r="O3185">
        <v>53.183250587885098</v>
      </c>
      <c r="P3185">
        <v>-9.0977104555934593E-2</v>
      </c>
      <c r="Q3185">
        <v>4.6052404463155901E-2</v>
      </c>
      <c r="R3185">
        <v>0.99084484766613101</v>
      </c>
      <c r="S3185" t="s">
        <v>9753</v>
      </c>
      <c r="T3185" t="s">
        <v>13134</v>
      </c>
      <c r="U3185" t="s">
        <v>13134</v>
      </c>
      <c r="V3185" t="s">
        <v>13134</v>
      </c>
      <c r="W3185" t="s">
        <v>16265</v>
      </c>
      <c r="X3185">
        <v>20</v>
      </c>
      <c r="Y3185" t="s">
        <v>22684</v>
      </c>
      <c r="Z3185" t="s">
        <v>29153</v>
      </c>
      <c r="AA3185">
        <v>0.58846199733731475</v>
      </c>
      <c r="AB3185" t="str">
        <f>HYPERLINK("Melting_Curves/meltCurve_Q01469_FABP5.pdf", "Melting_Curves/meltCurve_Q01469_FABP5.pdf")</f>
        <v>Melting_Curves/meltCurve_Q01469_FABP5.pdf</v>
      </c>
    </row>
    <row r="3186" spans="1:28" x14ac:dyDescent="0.25">
      <c r="A3186" t="s">
        <v>3190</v>
      </c>
      <c r="B3186">
        <v>0.99472303558308395</v>
      </c>
      <c r="C3186">
        <v>0.96938079641439301</v>
      </c>
      <c r="D3186">
        <v>0.77790281793584903</v>
      </c>
      <c r="E3186">
        <v>0.68542397524632404</v>
      </c>
      <c r="F3186">
        <v>0.77440322466001599</v>
      </c>
      <c r="G3186">
        <v>0.23134779283332901</v>
      </c>
      <c r="H3186">
        <v>5.8652835123864502E-2</v>
      </c>
      <c r="I3186">
        <v>3.6469902474619301E-2</v>
      </c>
      <c r="J3186">
        <v>3.6596737401771502E-2</v>
      </c>
      <c r="K3186">
        <v>2.9277583377382298E-2</v>
      </c>
      <c r="L3186">
        <v>762.62371014807195</v>
      </c>
      <c r="M3186">
        <v>15.012291912560199</v>
      </c>
      <c r="N3186">
        <v>50.799953202844797</v>
      </c>
      <c r="O3186">
        <v>49.924108876309802</v>
      </c>
      <c r="P3186">
        <v>-7.5183124862660197E-2</v>
      </c>
      <c r="Q3186">
        <v>0</v>
      </c>
      <c r="R3186">
        <v>0.93194799196061295</v>
      </c>
      <c r="S3186" t="s">
        <v>9754</v>
      </c>
      <c r="T3186" t="s">
        <v>13134</v>
      </c>
      <c r="U3186" t="s">
        <v>13134</v>
      </c>
      <c r="V3186" t="s">
        <v>13134</v>
      </c>
      <c r="W3186" t="s">
        <v>16266</v>
      </c>
      <c r="X3186">
        <v>28</v>
      </c>
      <c r="Y3186" t="s">
        <v>22685</v>
      </c>
      <c r="Z3186" t="s">
        <v>29154</v>
      </c>
      <c r="AA3186">
        <v>0.48027811324258701</v>
      </c>
      <c r="AB3186" t="str">
        <f>HYPERLINK("Melting_Curves/meltCurve_Q01518_2_CAP1.pdf", "Melting_Curves/meltCurve_Q01518_2_CAP1.pdf")</f>
        <v>Melting_Curves/meltCurve_Q01518_2_CAP1.pdf</v>
      </c>
    </row>
    <row r="3187" spans="1:28" x14ac:dyDescent="0.25">
      <c r="A3187" t="s">
        <v>3191</v>
      </c>
      <c r="B3187">
        <v>0.99472303558308395</v>
      </c>
      <c r="C3187">
        <v>0.97576205791663795</v>
      </c>
      <c r="D3187">
        <v>0.94987900293318905</v>
      </c>
      <c r="E3187">
        <v>0.92606605479432003</v>
      </c>
      <c r="F3187">
        <v>0.75291840590141701</v>
      </c>
      <c r="G3187">
        <v>0.481627006289363</v>
      </c>
      <c r="H3187">
        <v>0.18655077881160501</v>
      </c>
      <c r="I3187">
        <v>6.4111342586930603E-2</v>
      </c>
      <c r="J3187">
        <v>5.4537695848942302E-2</v>
      </c>
      <c r="K3187">
        <v>5.4566949551024903E-2</v>
      </c>
      <c r="L3187">
        <v>1015.61577111918</v>
      </c>
      <c r="M3187">
        <v>19.0940373204979</v>
      </c>
      <c r="N3187">
        <v>53.258468163930601</v>
      </c>
      <c r="O3187">
        <v>52.617081620673602</v>
      </c>
      <c r="P3187">
        <v>-8.9628515147589002E-2</v>
      </c>
      <c r="Q3187">
        <v>1.20881088376599E-2</v>
      </c>
      <c r="R3187">
        <v>0.99693383740121599</v>
      </c>
      <c r="S3187" t="s">
        <v>9755</v>
      </c>
      <c r="T3187" t="s">
        <v>13134</v>
      </c>
      <c r="U3187" t="s">
        <v>13134</v>
      </c>
      <c r="V3187" t="s">
        <v>13134</v>
      </c>
      <c r="W3187" t="s">
        <v>16267</v>
      </c>
      <c r="X3187">
        <v>25</v>
      </c>
      <c r="Y3187" t="s">
        <v>22686</v>
      </c>
      <c r="Z3187" t="s">
        <v>29155</v>
      </c>
      <c r="AA3187">
        <v>0.5584203377110567</v>
      </c>
      <c r="AB3187" t="str">
        <f>HYPERLINK("Melting_Curves/meltCurve_Q01581_HMGCS1.pdf", "Melting_Curves/meltCurve_Q01581_HMGCS1.pdf")</f>
        <v>Melting_Curves/meltCurve_Q01581_HMGCS1.pdf</v>
      </c>
    </row>
    <row r="3188" spans="1:28" x14ac:dyDescent="0.25">
      <c r="A3188" t="s">
        <v>3192</v>
      </c>
      <c r="B3188">
        <v>0.99472303558308395</v>
      </c>
      <c r="C3188">
        <v>1.0710589833598001</v>
      </c>
      <c r="D3188">
        <v>0.85691311826398897</v>
      </c>
      <c r="E3188">
        <v>0.80277144665812605</v>
      </c>
      <c r="F3188">
        <v>0.70293151170695201</v>
      </c>
      <c r="G3188">
        <v>0.55151739779815201</v>
      </c>
      <c r="H3188">
        <v>0.430251554385084</v>
      </c>
      <c r="I3188">
        <v>0.35239536229704999</v>
      </c>
      <c r="J3188">
        <v>0.34417014546114799</v>
      </c>
      <c r="K3188">
        <v>0.40581318657293503</v>
      </c>
      <c r="L3188">
        <v>620.45554256994899</v>
      </c>
      <c r="M3188">
        <v>12.3032167115212</v>
      </c>
      <c r="N3188">
        <v>55.024424867422802</v>
      </c>
      <c r="O3188">
        <v>49.153573921240302</v>
      </c>
      <c r="P3188">
        <v>-4.2498078374246101E-2</v>
      </c>
      <c r="Q3188">
        <v>0.32099858233693102</v>
      </c>
      <c r="R3188">
        <v>0.96810607187875497</v>
      </c>
      <c r="S3188" t="s">
        <v>9756</v>
      </c>
      <c r="T3188" t="s">
        <v>13134</v>
      </c>
      <c r="U3188" t="s">
        <v>13134</v>
      </c>
      <c r="V3188" t="s">
        <v>13134</v>
      </c>
      <c r="W3188" t="s">
        <v>16268</v>
      </c>
      <c r="X3188">
        <v>3</v>
      </c>
      <c r="Y3188" t="s">
        <v>22687</v>
      </c>
      <c r="Z3188" t="s">
        <v>29156</v>
      </c>
      <c r="AA3188">
        <v>0.64292433478270361</v>
      </c>
      <c r="AB3188" t="str">
        <f>HYPERLINK("Melting_Curves/meltCurve_Q01650_SLC7A5.pdf", "Melting_Curves/meltCurve_Q01650_SLC7A5.pdf")</f>
        <v>Melting_Curves/meltCurve_Q01650_SLC7A5.pdf</v>
      </c>
    </row>
    <row r="3189" spans="1:28" x14ac:dyDescent="0.25">
      <c r="A3189" t="s">
        <v>3193</v>
      </c>
      <c r="B3189">
        <v>0.99472303558308395</v>
      </c>
      <c r="C3189">
        <v>0.97043381199477596</v>
      </c>
      <c r="D3189">
        <v>1.0425987550068501</v>
      </c>
      <c r="E3189">
        <v>0.89187864792264404</v>
      </c>
      <c r="F3189">
        <v>0.72161062817722899</v>
      </c>
      <c r="G3189">
        <v>0.585668979914863</v>
      </c>
      <c r="H3189">
        <v>0.466728996249687</v>
      </c>
      <c r="I3189">
        <v>0.31073094901520798</v>
      </c>
      <c r="J3189">
        <v>0.24664026436866299</v>
      </c>
      <c r="K3189">
        <v>0.18474438279361599</v>
      </c>
      <c r="L3189">
        <v>614.59957056988003</v>
      </c>
      <c r="M3189">
        <v>11.211562923225699</v>
      </c>
      <c r="N3189">
        <v>55.840985471608597</v>
      </c>
      <c r="O3189">
        <v>53.161147986371802</v>
      </c>
      <c r="P3189">
        <v>-4.7846283678878401E-2</v>
      </c>
      <c r="Q3189">
        <v>9.2805800688500403E-2</v>
      </c>
      <c r="R3189">
        <v>0.98974023158796898</v>
      </c>
      <c r="S3189" t="s">
        <v>9757</v>
      </c>
      <c r="T3189" t="s">
        <v>13134</v>
      </c>
      <c r="U3189" t="s">
        <v>13134</v>
      </c>
      <c r="V3189" t="s">
        <v>13134</v>
      </c>
      <c r="W3189" t="s">
        <v>16269</v>
      </c>
      <c r="X3189">
        <v>9</v>
      </c>
      <c r="Y3189" t="s">
        <v>22688</v>
      </c>
      <c r="Z3189" t="s">
        <v>29157</v>
      </c>
      <c r="AA3189">
        <v>0.64479332452551041</v>
      </c>
      <c r="AB3189" t="str">
        <f>HYPERLINK("Melting_Curves/meltCurve_Q01658_DR1.pdf", "Melting_Curves/meltCurve_Q01658_DR1.pdf")</f>
        <v>Melting_Curves/meltCurve_Q01658_DR1.pdf</v>
      </c>
    </row>
    <row r="3190" spans="1:28" x14ac:dyDescent="0.25">
      <c r="A3190" t="s">
        <v>3194</v>
      </c>
      <c r="B3190">
        <v>0.99472303558308395</v>
      </c>
      <c r="C3190">
        <v>1.1196481183489599</v>
      </c>
      <c r="D3190">
        <v>0.78469351921856201</v>
      </c>
      <c r="E3190">
        <v>0.47416701947088502</v>
      </c>
      <c r="F3190">
        <v>0.23390342374998799</v>
      </c>
      <c r="G3190">
        <v>0.10823684520353299</v>
      </c>
      <c r="H3190">
        <v>8.6396135462936896E-2</v>
      </c>
      <c r="I3190">
        <v>7.9120906238717995E-2</v>
      </c>
      <c r="J3190">
        <v>5.5012907316671002E-2</v>
      </c>
      <c r="K3190">
        <v>5.0412589640316002E-2</v>
      </c>
      <c r="L3190">
        <v>980.88247018436402</v>
      </c>
      <c r="M3190">
        <v>21.275546763288698</v>
      </c>
      <c r="N3190">
        <v>46.4132614269813</v>
      </c>
      <c r="O3190">
        <v>45.702237460195803</v>
      </c>
      <c r="P3190">
        <v>-0.108687042852694</v>
      </c>
      <c r="Q3190">
        <v>6.6136461421919104E-2</v>
      </c>
      <c r="R3190">
        <v>0.98281228498350903</v>
      </c>
      <c r="S3190" t="s">
        <v>9758</v>
      </c>
      <c r="T3190" t="s">
        <v>13134</v>
      </c>
      <c r="U3190" t="s">
        <v>13134</v>
      </c>
      <c r="V3190" t="s">
        <v>13134</v>
      </c>
      <c r="W3190" t="s">
        <v>16270</v>
      </c>
      <c r="X3190">
        <v>2</v>
      </c>
      <c r="Y3190" t="s">
        <v>22689</v>
      </c>
      <c r="Z3190" t="s">
        <v>29158</v>
      </c>
      <c r="AA3190">
        <v>0.36029489631785261</v>
      </c>
      <c r="AB3190" t="str">
        <f>HYPERLINK("Melting_Curves/meltCurve_Q01664_TFAP4.pdf", "Melting_Curves/meltCurve_Q01664_TFAP4.pdf")</f>
        <v>Melting_Curves/meltCurve_Q01664_TFAP4.pdf</v>
      </c>
    </row>
    <row r="3191" spans="1:28" x14ac:dyDescent="0.25">
      <c r="A3191" t="s">
        <v>3195</v>
      </c>
      <c r="B3191">
        <v>0.99472303558308395</v>
      </c>
      <c r="C3191">
        <v>0.87544690031084604</v>
      </c>
      <c r="D3191">
        <v>0.45972894175264301</v>
      </c>
      <c r="E3191">
        <v>0.25140231937090102</v>
      </c>
      <c r="F3191">
        <v>0.18552018221775601</v>
      </c>
      <c r="G3191">
        <v>9.7635208125834594E-2</v>
      </c>
      <c r="H3191">
        <v>7.4664870488895793E-2</v>
      </c>
      <c r="I3191">
        <v>6.0999152420595101E-2</v>
      </c>
      <c r="J3191">
        <v>6.6985303599167198E-2</v>
      </c>
      <c r="K3191">
        <v>5.56210032237235E-2</v>
      </c>
      <c r="L3191">
        <v>889.90106555957698</v>
      </c>
      <c r="M3191">
        <v>20.801513056374102</v>
      </c>
      <c r="N3191">
        <v>43.143738928572198</v>
      </c>
      <c r="O3191">
        <v>42.391105396400398</v>
      </c>
      <c r="P3191">
        <v>-0.112827338186788</v>
      </c>
      <c r="Q3191">
        <v>8.0308731940376799E-2</v>
      </c>
      <c r="R3191">
        <v>0.98898847151818003</v>
      </c>
      <c r="S3191" t="s">
        <v>9759</v>
      </c>
      <c r="T3191" t="s">
        <v>13134</v>
      </c>
      <c r="U3191" t="s">
        <v>13134</v>
      </c>
      <c r="V3191" t="s">
        <v>13134</v>
      </c>
      <c r="W3191" t="s">
        <v>16271</v>
      </c>
      <c r="X3191">
        <v>11</v>
      </c>
      <c r="Y3191" t="s">
        <v>22690</v>
      </c>
      <c r="Z3191" t="s">
        <v>29159</v>
      </c>
      <c r="AA3191">
        <v>0.26939659012901612</v>
      </c>
      <c r="AB3191" t="str">
        <f>HYPERLINK("Melting_Curves/meltCurve_Q01780_2_EXOSC10.pdf", "Melting_Curves/meltCurve_Q01780_2_EXOSC10.pdf")</f>
        <v>Melting_Curves/meltCurve_Q01780_2_EXOSC10.pdf</v>
      </c>
    </row>
    <row r="3192" spans="1:28" x14ac:dyDescent="0.25">
      <c r="A3192" t="s">
        <v>3196</v>
      </c>
      <c r="B3192">
        <v>0.99472303558308395</v>
      </c>
      <c r="C3192">
        <v>0.89858080602785295</v>
      </c>
      <c r="D3192">
        <v>0.86232366770143098</v>
      </c>
      <c r="E3192">
        <v>0.79102726223928699</v>
      </c>
      <c r="F3192">
        <v>0.86040052760649199</v>
      </c>
      <c r="G3192">
        <v>0.59555544533167604</v>
      </c>
      <c r="H3192">
        <v>0.37654792181199498</v>
      </c>
      <c r="I3192">
        <v>0.42002018716523198</v>
      </c>
      <c r="J3192">
        <v>0.42138327037972501</v>
      </c>
      <c r="K3192">
        <v>0.46360261552815002</v>
      </c>
      <c r="L3192">
        <v>511.59603834748901</v>
      </c>
      <c r="M3192">
        <v>9.9454751362472393</v>
      </c>
      <c r="N3192">
        <v>57.788645081180697</v>
      </c>
      <c r="O3192">
        <v>49.490006445472702</v>
      </c>
      <c r="P3192">
        <v>-3.3560419594479397E-2</v>
      </c>
      <c r="Q3192">
        <v>0.33232716622339398</v>
      </c>
      <c r="R3192">
        <v>0.89061798429894101</v>
      </c>
      <c r="S3192" t="s">
        <v>9760</v>
      </c>
      <c r="T3192" t="s">
        <v>13134</v>
      </c>
      <c r="U3192" t="s">
        <v>13134</v>
      </c>
      <c r="V3192" t="s">
        <v>13134</v>
      </c>
      <c r="W3192" t="s">
        <v>16272</v>
      </c>
      <c r="X3192">
        <v>46</v>
      </c>
      <c r="Y3192" t="s">
        <v>22691</v>
      </c>
      <c r="Z3192" t="s">
        <v>29160</v>
      </c>
      <c r="AA3192">
        <v>0.67303008254136187</v>
      </c>
      <c r="AB3192" t="str">
        <f>HYPERLINK("Melting_Curves/meltCurve_Q01813_PFKP.pdf", "Melting_Curves/meltCurve_Q01813_PFKP.pdf")</f>
        <v>Melting_Curves/meltCurve_Q01813_PFKP.pdf</v>
      </c>
    </row>
    <row r="3193" spans="1:28" x14ac:dyDescent="0.25">
      <c r="A3193" t="s">
        <v>3197</v>
      </c>
      <c r="B3193">
        <v>0.99472303558308395</v>
      </c>
      <c r="C3193">
        <v>0.98021721610513002</v>
      </c>
      <c r="D3193">
        <v>0.88921476022902401</v>
      </c>
      <c r="E3193">
        <v>0.72742359607249996</v>
      </c>
      <c r="F3193">
        <v>0.38706464832728499</v>
      </c>
      <c r="G3193">
        <v>0.147666224647267</v>
      </c>
      <c r="H3193">
        <v>9.2821188978375796E-2</v>
      </c>
      <c r="I3193">
        <v>5.6058471848034197E-2</v>
      </c>
      <c r="J3193">
        <v>7.89129204945654E-2</v>
      </c>
      <c r="K3193">
        <v>6.2558253269949099E-2</v>
      </c>
      <c r="L3193">
        <v>949.40556943959598</v>
      </c>
      <c r="M3193">
        <v>19.554294427853598</v>
      </c>
      <c r="N3193">
        <v>48.818469275761601</v>
      </c>
      <c r="O3193">
        <v>48.053052113361801</v>
      </c>
      <c r="P3193">
        <v>-9.6591941874586404E-2</v>
      </c>
      <c r="Q3193">
        <v>5.0567123175162501E-2</v>
      </c>
      <c r="R3193">
        <v>0.99778613714017195</v>
      </c>
      <c r="S3193" t="s">
        <v>9761</v>
      </c>
      <c r="T3193" t="s">
        <v>13134</v>
      </c>
      <c r="U3193" t="s">
        <v>13134</v>
      </c>
      <c r="V3193" t="s">
        <v>13134</v>
      </c>
      <c r="W3193" t="s">
        <v>16273</v>
      </c>
      <c r="X3193">
        <v>6</v>
      </c>
      <c r="Y3193" t="s">
        <v>22692</v>
      </c>
      <c r="Z3193" t="s">
        <v>29161</v>
      </c>
      <c r="AA3193">
        <v>0.42919848205112349</v>
      </c>
      <c r="AB3193" t="str">
        <f>HYPERLINK("Melting_Curves/meltCurve_Q01968_OCRL.pdf", "Melting_Curves/meltCurve_Q01968_OCRL.pdf")</f>
        <v>Melting_Curves/meltCurve_Q01968_OCRL.pdf</v>
      </c>
    </row>
    <row r="3194" spans="1:28" x14ac:dyDescent="0.25">
      <c r="A3194" t="s">
        <v>3198</v>
      </c>
      <c r="B3194">
        <v>0.99472303558308395</v>
      </c>
      <c r="C3194">
        <v>1.0217823974751099</v>
      </c>
      <c r="D3194">
        <v>0.95711668794747196</v>
      </c>
      <c r="E3194">
        <v>0.84559738680558805</v>
      </c>
      <c r="F3194">
        <v>0.50249659225107102</v>
      </c>
      <c r="G3194">
        <v>0.135218879917887</v>
      </c>
      <c r="H3194">
        <v>7.9440648120389007E-2</v>
      </c>
      <c r="I3194">
        <v>5.2075391731462702E-2</v>
      </c>
      <c r="J3194">
        <v>6.5259585039146001E-2</v>
      </c>
      <c r="K3194">
        <v>5.1998143080932299E-2</v>
      </c>
      <c r="L3194">
        <v>1291.6819345781601</v>
      </c>
      <c r="M3194">
        <v>25.926428418325798</v>
      </c>
      <c r="N3194">
        <v>50.011162886732102</v>
      </c>
      <c r="O3194">
        <v>49.527494322050302</v>
      </c>
      <c r="P3194">
        <v>-0.124728989229829</v>
      </c>
      <c r="Q3194">
        <v>4.6927546065902902E-2</v>
      </c>
      <c r="R3194">
        <v>0.99785591251819605</v>
      </c>
      <c r="S3194" t="s">
        <v>9762</v>
      </c>
      <c r="T3194" t="s">
        <v>13134</v>
      </c>
      <c r="U3194" t="s">
        <v>13134</v>
      </c>
      <c r="V3194" t="s">
        <v>13134</v>
      </c>
      <c r="W3194" t="s">
        <v>16274</v>
      </c>
      <c r="X3194">
        <v>25</v>
      </c>
      <c r="Y3194" t="s">
        <v>22693</v>
      </c>
      <c r="Z3194" t="s">
        <v>29162</v>
      </c>
      <c r="AA3194">
        <v>0.46199759465533208</v>
      </c>
      <c r="AB3194" t="str">
        <f>HYPERLINK("Melting_Curves/meltCurve_Q01970_PLCB3.pdf", "Melting_Curves/meltCurve_Q01970_PLCB3.pdf")</f>
        <v>Melting_Curves/meltCurve_Q01970_PLCB3.pdf</v>
      </c>
    </row>
    <row r="3195" spans="1:28" x14ac:dyDescent="0.25">
      <c r="A3195" t="s">
        <v>3199</v>
      </c>
      <c r="B3195">
        <v>0.99472303558308395</v>
      </c>
      <c r="C3195">
        <v>1.0173103132305099</v>
      </c>
      <c r="D3195">
        <v>0.93433981352744699</v>
      </c>
      <c r="E3195">
        <v>0.81031306363989197</v>
      </c>
      <c r="F3195">
        <v>0.52277231958966197</v>
      </c>
      <c r="G3195">
        <v>0.16446746988209199</v>
      </c>
      <c r="H3195">
        <v>7.7856095005678999E-2</v>
      </c>
      <c r="I3195">
        <v>6.4485825314645695E-2</v>
      </c>
      <c r="J3195">
        <v>8.3548313862067597E-2</v>
      </c>
      <c r="K3195">
        <v>6.9795128411353796E-2</v>
      </c>
      <c r="L3195">
        <v>1122.46760910271</v>
      </c>
      <c r="M3195">
        <v>22.547008297401302</v>
      </c>
      <c r="N3195">
        <v>50.033595939696802</v>
      </c>
      <c r="O3195">
        <v>49.396787219266002</v>
      </c>
      <c r="P3195">
        <v>-0.10803108622533</v>
      </c>
      <c r="Q3195">
        <v>5.3305799629911402E-2</v>
      </c>
      <c r="R3195">
        <v>0.995869790757136</v>
      </c>
      <c r="S3195" t="s">
        <v>9763</v>
      </c>
      <c r="T3195" t="s">
        <v>13134</v>
      </c>
      <c r="U3195" t="s">
        <v>13134</v>
      </c>
      <c r="V3195" t="s">
        <v>13134</v>
      </c>
      <c r="W3195" t="s">
        <v>16275</v>
      </c>
      <c r="X3195">
        <v>14</v>
      </c>
      <c r="Y3195" t="s">
        <v>22694</v>
      </c>
      <c r="Z3195" t="s">
        <v>29163</v>
      </c>
      <c r="AA3195">
        <v>0.46674232735496218</v>
      </c>
      <c r="AB3195" t="str">
        <f>HYPERLINK("Melting_Curves/meltCurve_Q01974_ROR2.pdf", "Melting_Curves/meltCurve_Q01974_ROR2.pdf")</f>
        <v>Melting_Curves/meltCurve_Q01974_ROR2.pdf</v>
      </c>
    </row>
    <row r="3196" spans="1:28" x14ac:dyDescent="0.25">
      <c r="A3196" t="s">
        <v>3200</v>
      </c>
      <c r="B3196">
        <v>0.99472303558308395</v>
      </c>
      <c r="C3196">
        <v>0.99495712738771502</v>
      </c>
      <c r="D3196">
        <v>0.95363224052051399</v>
      </c>
      <c r="E3196">
        <v>0.50872527288881397</v>
      </c>
      <c r="F3196">
        <v>0.24162154742518199</v>
      </c>
      <c r="G3196">
        <v>0.28730469390699498</v>
      </c>
      <c r="H3196">
        <v>0.21086493682444499</v>
      </c>
      <c r="I3196">
        <v>9.6262502678369499E-2</v>
      </c>
      <c r="J3196">
        <v>0.146390247315518</v>
      </c>
      <c r="K3196">
        <v>0.12573099327734999</v>
      </c>
      <c r="L3196">
        <v>1426.9812550090001</v>
      </c>
      <c r="M3196">
        <v>30.904905958447799</v>
      </c>
      <c r="N3196">
        <v>46.803873286749102</v>
      </c>
      <c r="O3196">
        <v>45.981258500726398</v>
      </c>
      <c r="P3196">
        <v>-0.139417143976234</v>
      </c>
      <c r="Q3196">
        <v>0.170288549805763</v>
      </c>
      <c r="R3196">
        <v>0.98281133141884303</v>
      </c>
      <c r="S3196" t="s">
        <v>9764</v>
      </c>
      <c r="T3196" t="s">
        <v>13134</v>
      </c>
      <c r="U3196" t="s">
        <v>13134</v>
      </c>
      <c r="V3196" t="s">
        <v>13134</v>
      </c>
      <c r="W3196" t="s">
        <v>16276</v>
      </c>
      <c r="X3196">
        <v>5</v>
      </c>
      <c r="Y3196" t="s">
        <v>22695</v>
      </c>
      <c r="Z3196" t="s">
        <v>29164</v>
      </c>
      <c r="AA3196">
        <v>0.42846462234246729</v>
      </c>
      <c r="AB3196" t="str">
        <f>HYPERLINK("Melting_Curves/meltCurve_Q02040_AKAP17A.pdf", "Melting_Curves/meltCurve_Q02040_AKAP17A.pdf")</f>
        <v>Melting_Curves/meltCurve_Q02040_AKAP17A.pdf</v>
      </c>
    </row>
    <row r="3197" spans="1:28" x14ac:dyDescent="0.25">
      <c r="A3197" t="s">
        <v>3201</v>
      </c>
      <c r="B3197">
        <v>0.99472303558308395</v>
      </c>
      <c r="C3197">
        <v>0.95750523518414798</v>
      </c>
      <c r="D3197">
        <v>0.54117152495494902</v>
      </c>
      <c r="E3197">
        <v>0.233252778031556</v>
      </c>
      <c r="F3197">
        <v>0.13406923030363099</v>
      </c>
      <c r="G3197">
        <v>8.2563205025419903E-2</v>
      </c>
      <c r="H3197">
        <v>5.7959170402450501E-2</v>
      </c>
      <c r="I3197">
        <v>2.6540064969760999E-2</v>
      </c>
      <c r="J3197">
        <v>2.9213199468572901E-2</v>
      </c>
      <c r="K3197">
        <v>2.0205785812946801E-2</v>
      </c>
      <c r="L3197">
        <v>1010.55549773388</v>
      </c>
      <c r="M3197">
        <v>23.241276567643599</v>
      </c>
      <c r="N3197">
        <v>43.675153775903503</v>
      </c>
      <c r="O3197">
        <v>43.162989143687</v>
      </c>
      <c r="P3197">
        <v>-0.12801121644862901</v>
      </c>
      <c r="Q3197">
        <v>4.90628231639339E-2</v>
      </c>
      <c r="R3197">
        <v>0.991980679202216</v>
      </c>
      <c r="S3197" t="s">
        <v>9765</v>
      </c>
      <c r="T3197" t="s">
        <v>13134</v>
      </c>
      <c r="U3197" t="s">
        <v>13134</v>
      </c>
      <c r="V3197" t="s">
        <v>13134</v>
      </c>
      <c r="W3197" t="s">
        <v>16277</v>
      </c>
      <c r="X3197">
        <v>1</v>
      </c>
      <c r="Y3197" t="s">
        <v>22696</v>
      </c>
      <c r="Z3197" t="s">
        <v>29165</v>
      </c>
      <c r="AA3197">
        <v>0.26375315138662109</v>
      </c>
      <c r="AB3197" t="str">
        <f>HYPERLINK("Melting_Curves/meltCurve_Q02086_2_SP2.pdf", "Melting_Curves/meltCurve_Q02086_2_SP2.pdf")</f>
        <v>Melting_Curves/meltCurve_Q02086_2_SP2.pdf</v>
      </c>
    </row>
    <row r="3198" spans="1:28" x14ac:dyDescent="0.25">
      <c r="A3198" t="s">
        <v>3202</v>
      </c>
      <c r="B3198">
        <v>0.99472303558308395</v>
      </c>
      <c r="C3198">
        <v>1.05933317907502</v>
      </c>
      <c r="D3198">
        <v>0.96040484877913301</v>
      </c>
      <c r="E3198">
        <v>0.87480440414453697</v>
      </c>
      <c r="F3198">
        <v>0.63641043216545401</v>
      </c>
      <c r="G3198">
        <v>0.530375225773696</v>
      </c>
      <c r="H3198">
        <v>0.379349918232741</v>
      </c>
      <c r="I3198">
        <v>0.41469920248921799</v>
      </c>
      <c r="J3198">
        <v>0.40669743763191402</v>
      </c>
      <c r="K3198">
        <v>0.21018295097053</v>
      </c>
      <c r="L3198">
        <v>768.37608242090096</v>
      </c>
      <c r="M3198">
        <v>15.1572527516341</v>
      </c>
      <c r="N3198">
        <v>54.029912816111697</v>
      </c>
      <c r="O3198">
        <v>49.835792630674</v>
      </c>
      <c r="P3198">
        <v>-5.2934367449641001E-2</v>
      </c>
      <c r="Q3198">
        <v>0.30389223249420499</v>
      </c>
      <c r="R3198">
        <v>0.96401921160136494</v>
      </c>
      <c r="S3198" t="s">
        <v>9766</v>
      </c>
      <c r="T3198" t="s">
        <v>13134</v>
      </c>
      <c r="U3198" t="s">
        <v>13134</v>
      </c>
      <c r="V3198" t="s">
        <v>13134</v>
      </c>
      <c r="W3198" t="s">
        <v>16278</v>
      </c>
      <c r="X3198">
        <v>16</v>
      </c>
      <c r="Y3198" t="s">
        <v>22697</v>
      </c>
      <c r="Z3198" t="s">
        <v>29166</v>
      </c>
      <c r="AA3198">
        <v>0.63562653138080194</v>
      </c>
      <c r="AB3198" t="str">
        <f>HYPERLINK("Melting_Curves/meltCurve_Q02127_DHODH.pdf", "Melting_Curves/meltCurve_Q02127_DHODH.pdf")</f>
        <v>Melting_Curves/meltCurve_Q02127_DHODH.pdf</v>
      </c>
    </row>
    <row r="3199" spans="1:28" x14ac:dyDescent="0.25">
      <c r="A3199" t="s">
        <v>3203</v>
      </c>
      <c r="B3199">
        <v>0.99472303558308395</v>
      </c>
      <c r="C3199">
        <v>1.13096994122088</v>
      </c>
      <c r="D3199">
        <v>0.59703653766743403</v>
      </c>
      <c r="E3199">
        <v>0.31365118358981198</v>
      </c>
      <c r="F3199">
        <v>0.54949323460189703</v>
      </c>
      <c r="G3199">
        <v>0.19491044410414901</v>
      </c>
      <c r="H3199">
        <v>7.5820584856829396E-2</v>
      </c>
      <c r="I3199">
        <v>5.48740804844665E-2</v>
      </c>
      <c r="J3199">
        <v>5.0132080268582298E-2</v>
      </c>
      <c r="K3199">
        <v>4.2738132340905899E-2</v>
      </c>
      <c r="L3199">
        <v>559.54392376462204</v>
      </c>
      <c r="M3199">
        <v>12.050876676544</v>
      </c>
      <c r="N3199">
        <v>46.6524210438171</v>
      </c>
      <c r="O3199">
        <v>45.208649137353802</v>
      </c>
      <c r="P3199">
        <v>-6.4809895189925998E-2</v>
      </c>
      <c r="Q3199">
        <v>2.7697504114203301E-2</v>
      </c>
      <c r="R3199">
        <v>0.87871242793215798</v>
      </c>
      <c r="S3199" t="s">
        <v>9767</v>
      </c>
      <c r="T3199" t="s">
        <v>13134</v>
      </c>
      <c r="U3199" t="s">
        <v>13134</v>
      </c>
      <c r="V3199" t="s">
        <v>13134</v>
      </c>
      <c r="W3199" t="s">
        <v>16279</v>
      </c>
      <c r="X3199">
        <v>15</v>
      </c>
      <c r="Y3199" t="s">
        <v>22698</v>
      </c>
      <c r="Z3199" t="s">
        <v>29167</v>
      </c>
      <c r="AA3199">
        <v>0.36598886168206801</v>
      </c>
      <c r="AB3199" t="str">
        <f>HYPERLINK("Melting_Curves/meltCurve_Q02224_3_CENPE.pdf", "Melting_Curves/meltCurve_Q02224_3_CENPE.pdf")</f>
        <v>Melting_Curves/meltCurve_Q02224_3_CENPE.pdf</v>
      </c>
    </row>
    <row r="3200" spans="1:28" x14ac:dyDescent="0.25">
      <c r="A3200" t="s">
        <v>3204</v>
      </c>
      <c r="B3200">
        <v>0.99472303558308395</v>
      </c>
      <c r="C3200">
        <v>0.90418411564735002</v>
      </c>
      <c r="D3200">
        <v>0.69056352470450899</v>
      </c>
      <c r="E3200">
        <v>0.49860310809057701</v>
      </c>
      <c r="F3200">
        <v>0.27107789880771299</v>
      </c>
      <c r="G3200">
        <v>0.15736411723871299</v>
      </c>
      <c r="H3200">
        <v>0.101844197764589</v>
      </c>
      <c r="I3200">
        <v>6.9180081894937601E-2</v>
      </c>
      <c r="J3200">
        <v>8.9610083312652897E-2</v>
      </c>
      <c r="K3200">
        <v>6.7891487705859094E-2</v>
      </c>
      <c r="L3200">
        <v>631.81965249249697</v>
      </c>
      <c r="M3200">
        <v>13.7894171633566</v>
      </c>
      <c r="N3200">
        <v>46.2008693436036</v>
      </c>
      <c r="O3200">
        <v>44.887792628853902</v>
      </c>
      <c r="P3200">
        <v>-7.2674904009182001E-2</v>
      </c>
      <c r="Q3200">
        <v>5.38373048272177E-2</v>
      </c>
      <c r="R3200">
        <v>0.99694003022441602</v>
      </c>
      <c r="S3200" t="s">
        <v>9768</v>
      </c>
      <c r="T3200" t="s">
        <v>13134</v>
      </c>
      <c r="U3200" t="s">
        <v>13134</v>
      </c>
      <c r="V3200" t="s">
        <v>13134</v>
      </c>
      <c r="W3200" t="s">
        <v>16280</v>
      </c>
      <c r="X3200">
        <v>14</v>
      </c>
      <c r="Y3200" t="s">
        <v>22699</v>
      </c>
      <c r="Z3200" t="s">
        <v>29168</v>
      </c>
      <c r="AA3200">
        <v>0.35767496279026639</v>
      </c>
      <c r="AB3200" t="str">
        <f>HYPERLINK("Melting_Curves/meltCurve_Q02241_KIF23.pdf", "Melting_Curves/meltCurve_Q02241_KIF23.pdf")</f>
        <v>Melting_Curves/meltCurve_Q02241_KIF23.pdf</v>
      </c>
    </row>
    <row r="3201" spans="1:28" x14ac:dyDescent="0.25">
      <c r="A3201" t="s">
        <v>3205</v>
      </c>
      <c r="B3201">
        <v>0.99472303558308395</v>
      </c>
      <c r="C3201">
        <v>0.97329055754877802</v>
      </c>
      <c r="D3201">
        <v>0.94017511368223705</v>
      </c>
      <c r="E3201">
        <v>0.73876378656264396</v>
      </c>
      <c r="F3201">
        <v>0.43608705126854802</v>
      </c>
      <c r="G3201">
        <v>0.264345439506252</v>
      </c>
      <c r="H3201">
        <v>0.14045975005916</v>
      </c>
      <c r="I3201">
        <v>0.18109568379244101</v>
      </c>
      <c r="J3201">
        <v>0.14012513985979</v>
      </c>
      <c r="K3201">
        <v>0.186769143433058</v>
      </c>
      <c r="L3201">
        <v>987.59767694508696</v>
      </c>
      <c r="M3201">
        <v>20.375695274203</v>
      </c>
      <c r="N3201">
        <v>49.345891515351603</v>
      </c>
      <c r="O3201">
        <v>48.009778266250301</v>
      </c>
      <c r="P3201">
        <v>-8.9995054736049407E-2</v>
      </c>
      <c r="Q3201">
        <v>0.15183032322725001</v>
      </c>
      <c r="R3201">
        <v>0.99665763307144195</v>
      </c>
      <c r="S3201" t="s">
        <v>9769</v>
      </c>
      <c r="T3201" t="s">
        <v>13134</v>
      </c>
      <c r="U3201" t="s">
        <v>13134</v>
      </c>
      <c r="V3201" t="s">
        <v>13134</v>
      </c>
      <c r="W3201" t="s">
        <v>16281</v>
      </c>
      <c r="X3201">
        <v>2</v>
      </c>
      <c r="Y3201" t="s">
        <v>22700</v>
      </c>
      <c r="Z3201" t="s">
        <v>29169</v>
      </c>
      <c r="AA3201">
        <v>0.48687686197676938</v>
      </c>
      <c r="AB3201" t="str">
        <f>HYPERLINK("Melting_Curves/meltCurve_Q02446_SP4.pdf", "Melting_Curves/meltCurve_Q02446_SP4.pdf")</f>
        <v>Melting_Curves/meltCurve_Q02446_SP4.pdf</v>
      </c>
    </row>
    <row r="3202" spans="1:28" x14ac:dyDescent="0.25">
      <c r="A3202" t="s">
        <v>3206</v>
      </c>
      <c r="B3202">
        <v>0.99472303558308395</v>
      </c>
      <c r="C3202">
        <v>0.64112919926034495</v>
      </c>
      <c r="D3202">
        <v>0.75850514001483205</v>
      </c>
      <c r="E3202">
        <v>0.68700229054074602</v>
      </c>
      <c r="F3202">
        <v>0.83082670153356497</v>
      </c>
      <c r="G3202">
        <v>0.221969364342083</v>
      </c>
      <c r="H3202">
        <v>9.5427145684711903E-2</v>
      </c>
      <c r="I3202">
        <v>7.1797712157037799E-2</v>
      </c>
      <c r="J3202">
        <v>4.46763635732607E-2</v>
      </c>
      <c r="K3202">
        <v>8.40862874017861E-2</v>
      </c>
      <c r="L3202">
        <v>508.47651416717599</v>
      </c>
      <c r="M3202">
        <v>10.1542038327882</v>
      </c>
      <c r="N3202">
        <v>50.075465902158498</v>
      </c>
      <c r="O3202">
        <v>48.249762642751598</v>
      </c>
      <c r="P3202">
        <v>-5.2636848757822097E-2</v>
      </c>
      <c r="Q3202">
        <v>0</v>
      </c>
      <c r="R3202">
        <v>0.80898008048802095</v>
      </c>
      <c r="S3202" t="s">
        <v>9770</v>
      </c>
      <c r="T3202" t="s">
        <v>13134</v>
      </c>
      <c r="U3202" t="s">
        <v>13134</v>
      </c>
      <c r="V3202" t="s">
        <v>13134</v>
      </c>
      <c r="W3202" t="s">
        <v>16282</v>
      </c>
      <c r="X3202">
        <v>4</v>
      </c>
      <c r="Y3202" t="s">
        <v>22701</v>
      </c>
      <c r="Z3202" t="s">
        <v>29170</v>
      </c>
      <c r="AA3202">
        <v>0.46905354095248109</v>
      </c>
      <c r="AB3202" t="str">
        <f>HYPERLINK("Melting_Curves/meltCurve_Q02543_RPL18A.pdf", "Melting_Curves/meltCurve_Q02543_RPL18A.pdf")</f>
        <v>Melting_Curves/meltCurve_Q02543_RPL18A.pdf</v>
      </c>
    </row>
    <row r="3203" spans="1:28" x14ac:dyDescent="0.25">
      <c r="A3203" t="s">
        <v>3207</v>
      </c>
      <c r="B3203">
        <v>0.99472303558308395</v>
      </c>
      <c r="C3203">
        <v>1.0076808504647199</v>
      </c>
      <c r="D3203">
        <v>0.99176058019949098</v>
      </c>
      <c r="E3203">
        <v>0.94039954467304199</v>
      </c>
      <c r="F3203">
        <v>0.737111211617268</v>
      </c>
      <c r="G3203">
        <v>0.498487698924025</v>
      </c>
      <c r="H3203">
        <v>0.123359574551758</v>
      </c>
      <c r="I3203">
        <v>7.5574408991779099E-2</v>
      </c>
      <c r="J3203">
        <v>7.2002643776810205E-2</v>
      </c>
      <c r="K3203">
        <v>6.5465576103595505E-2</v>
      </c>
      <c r="L3203">
        <v>1131.12648110398</v>
      </c>
      <c r="M3203">
        <v>21.3624942198615</v>
      </c>
      <c r="N3203">
        <v>53.1186985252196</v>
      </c>
      <c r="O3203">
        <v>52.491740737833602</v>
      </c>
      <c r="P3203">
        <v>-9.8392042096849097E-2</v>
      </c>
      <c r="Q3203">
        <v>3.2951872700232199E-2</v>
      </c>
      <c r="R3203">
        <v>0.99378566921688904</v>
      </c>
      <c r="S3203" t="s">
        <v>9771</v>
      </c>
      <c r="T3203" t="s">
        <v>13134</v>
      </c>
      <c r="U3203" t="s">
        <v>13134</v>
      </c>
      <c r="V3203" t="s">
        <v>13134</v>
      </c>
      <c r="W3203" t="s">
        <v>16283</v>
      </c>
      <c r="X3203">
        <v>17</v>
      </c>
      <c r="Y3203" t="s">
        <v>22702</v>
      </c>
      <c r="Z3203" t="s">
        <v>29171</v>
      </c>
      <c r="AA3203">
        <v>0.55812855845821063</v>
      </c>
      <c r="AB3203" t="str">
        <f>HYPERLINK("Melting_Curves/meltCurve_Q02750_MAP2K1.pdf", "Melting_Curves/meltCurve_Q02750_MAP2K1.pdf")</f>
        <v>Melting_Curves/meltCurve_Q02750_MAP2K1.pdf</v>
      </c>
    </row>
    <row r="3204" spans="1:28" x14ac:dyDescent="0.25">
      <c r="A3204" t="s">
        <v>3208</v>
      </c>
      <c r="B3204">
        <v>0.99472303558308395</v>
      </c>
      <c r="C3204">
        <v>0.93371396205252499</v>
      </c>
      <c r="D3204">
        <v>0.99470331107087695</v>
      </c>
      <c r="E3204">
        <v>0.842824865826859</v>
      </c>
      <c r="F3204">
        <v>0.21620167044576399</v>
      </c>
      <c r="G3204">
        <v>9.6183280921139605E-2</v>
      </c>
      <c r="H3204">
        <v>5.6560996072413099E-2</v>
      </c>
      <c r="I3204">
        <v>3.5746501519839997E-2</v>
      </c>
      <c r="J3204">
        <v>4.1911449139112801E-2</v>
      </c>
      <c r="K3204">
        <v>3.6269727015279897E-2</v>
      </c>
      <c r="L3204">
        <v>2011.1374301369499</v>
      </c>
      <c r="M3204">
        <v>41.562970213031299</v>
      </c>
      <c r="N3204">
        <v>48.508422427693603</v>
      </c>
      <c r="O3204">
        <v>48.276108880658001</v>
      </c>
      <c r="P3204">
        <v>-0.204662525166001</v>
      </c>
      <c r="Q3204">
        <v>4.9125419601182503E-2</v>
      </c>
      <c r="R3204">
        <v>0.99672140115825403</v>
      </c>
      <c r="S3204" t="s">
        <v>9772</v>
      </c>
      <c r="T3204" t="s">
        <v>13134</v>
      </c>
      <c r="U3204" t="s">
        <v>13134</v>
      </c>
      <c r="V3204" t="s">
        <v>13134</v>
      </c>
      <c r="W3204" t="s">
        <v>16284</v>
      </c>
      <c r="X3204">
        <v>31</v>
      </c>
      <c r="Y3204" t="s">
        <v>22703</v>
      </c>
      <c r="Z3204" t="s">
        <v>29172</v>
      </c>
      <c r="AA3204">
        <v>0.41301251148428958</v>
      </c>
      <c r="AB3204" t="str">
        <f>HYPERLINK("Melting_Curves/meltCurve_Q02790_FKBP4.pdf", "Melting_Curves/meltCurve_Q02790_FKBP4.pdf")</f>
        <v>Melting_Curves/meltCurve_Q02790_FKBP4.pdf</v>
      </c>
    </row>
    <row r="3205" spans="1:28" x14ac:dyDescent="0.25">
      <c r="A3205" t="s">
        <v>3209</v>
      </c>
      <c r="B3205">
        <v>0.99472303558308395</v>
      </c>
      <c r="C3205">
        <v>0.94818608142459804</v>
      </c>
      <c r="D3205">
        <v>0.84943973710643805</v>
      </c>
      <c r="E3205">
        <v>0.71591752367004102</v>
      </c>
      <c r="F3205">
        <v>0.51964483708966802</v>
      </c>
      <c r="G3205">
        <v>0.136292998376283</v>
      </c>
      <c r="H3205">
        <v>7.1806300292325695E-2</v>
      </c>
      <c r="I3205">
        <v>4.22320514440696E-2</v>
      </c>
      <c r="J3205">
        <v>4.1784623183630902E-2</v>
      </c>
      <c r="K3205">
        <v>5.1034195374764897E-2</v>
      </c>
      <c r="L3205">
        <v>775.18632753669704</v>
      </c>
      <c r="M3205">
        <v>15.7050998266867</v>
      </c>
      <c r="N3205">
        <v>49.358895157409499</v>
      </c>
      <c r="O3205">
        <v>48.579407732935799</v>
      </c>
      <c r="P3205">
        <v>-8.0828614805298099E-2</v>
      </c>
      <c r="Q3205">
        <v>0</v>
      </c>
      <c r="R3205">
        <v>0.98661332847956595</v>
      </c>
      <c r="S3205" t="s">
        <v>9773</v>
      </c>
      <c r="T3205" t="s">
        <v>13134</v>
      </c>
      <c r="U3205" t="s">
        <v>13134</v>
      </c>
      <c r="V3205" t="s">
        <v>13134</v>
      </c>
      <c r="W3205" t="s">
        <v>16285</v>
      </c>
      <c r="X3205">
        <v>19</v>
      </c>
      <c r="Y3205" t="s">
        <v>22704</v>
      </c>
      <c r="Z3205" t="s">
        <v>29173</v>
      </c>
      <c r="AA3205">
        <v>0.43180601505506738</v>
      </c>
      <c r="AB3205" t="str">
        <f>HYPERLINK("Melting_Curves/meltCurve_Q02809_PLOD1.pdf", "Melting_Curves/meltCurve_Q02809_PLOD1.pdf")</f>
        <v>Melting_Curves/meltCurve_Q02809_PLOD1.pdf</v>
      </c>
    </row>
    <row r="3206" spans="1:28" x14ac:dyDescent="0.25">
      <c r="A3206" t="s">
        <v>3210</v>
      </c>
      <c r="B3206">
        <v>0.99472303558308395</v>
      </c>
      <c r="C3206">
        <v>1.0108751772028299</v>
      </c>
      <c r="D3206">
        <v>0.91462528654131003</v>
      </c>
      <c r="E3206">
        <v>0.80245712543499603</v>
      </c>
      <c r="F3206">
        <v>0.679285075973181</v>
      </c>
      <c r="G3206">
        <v>0.457918143440607</v>
      </c>
      <c r="H3206">
        <v>0.379786025698852</v>
      </c>
      <c r="I3206">
        <v>0.401756119123372</v>
      </c>
      <c r="J3206">
        <v>0.53272720994955003</v>
      </c>
      <c r="K3206">
        <v>0.44794378876536001</v>
      </c>
      <c r="L3206">
        <v>936.71424794513803</v>
      </c>
      <c r="M3206">
        <v>19.355810902337598</v>
      </c>
      <c r="N3206">
        <v>53.832169694980998</v>
      </c>
      <c r="O3206">
        <v>47.8867862654701</v>
      </c>
      <c r="P3206">
        <v>-5.7678378230533497E-2</v>
      </c>
      <c r="Q3206">
        <v>0.429229809582518</v>
      </c>
      <c r="R3206">
        <v>0.95651004190380495</v>
      </c>
      <c r="S3206" t="s">
        <v>9774</v>
      </c>
      <c r="T3206" t="s">
        <v>13134</v>
      </c>
      <c r="U3206" t="s">
        <v>13134</v>
      </c>
      <c r="V3206" t="s">
        <v>13134</v>
      </c>
      <c r="W3206" t="s">
        <v>16286</v>
      </c>
      <c r="X3206">
        <v>41</v>
      </c>
      <c r="Y3206" t="s">
        <v>22705</v>
      </c>
      <c r="Z3206" t="s">
        <v>29174</v>
      </c>
      <c r="AA3206">
        <v>0.65399645663008499</v>
      </c>
      <c r="AB3206" t="str">
        <f>HYPERLINK("Melting_Curves/meltCurve_Q02818_NUCB1.pdf", "Melting_Curves/meltCurve_Q02818_NUCB1.pdf")</f>
        <v>Melting_Curves/meltCurve_Q02818_NUCB1.pdf</v>
      </c>
    </row>
    <row r="3207" spans="1:28" x14ac:dyDescent="0.25">
      <c r="A3207" t="s">
        <v>3211</v>
      </c>
      <c r="B3207">
        <v>0.99472303558308395</v>
      </c>
      <c r="C3207">
        <v>1.1842890433902</v>
      </c>
      <c r="D3207">
        <v>0.70294683760590704</v>
      </c>
      <c r="E3207">
        <v>0.55582594723405498</v>
      </c>
      <c r="F3207">
        <v>0.40269480709116301</v>
      </c>
      <c r="G3207">
        <v>0.27606457930893302</v>
      </c>
      <c r="H3207">
        <v>0.16082711445540401</v>
      </c>
      <c r="I3207">
        <v>0.14785703010024201</v>
      </c>
      <c r="J3207">
        <v>0.18333853879787301</v>
      </c>
      <c r="K3207">
        <v>7.5203054385229701E-2</v>
      </c>
      <c r="L3207">
        <v>710.59517545014398</v>
      </c>
      <c r="M3207">
        <v>15.159176386816201</v>
      </c>
      <c r="N3207">
        <v>47.8074035597581</v>
      </c>
      <c r="O3207">
        <v>46.082573994077002</v>
      </c>
      <c r="P3207">
        <v>-7.1727055393093E-2</v>
      </c>
      <c r="Q3207">
        <v>0.12790899186832</v>
      </c>
      <c r="R3207">
        <v>0.93760171774773504</v>
      </c>
      <c r="S3207" t="s">
        <v>9775</v>
      </c>
      <c r="T3207" t="s">
        <v>13134</v>
      </c>
      <c r="U3207" t="s">
        <v>13134</v>
      </c>
      <c r="V3207" t="s">
        <v>13134</v>
      </c>
      <c r="W3207" t="s">
        <v>16287</v>
      </c>
      <c r="X3207">
        <v>5</v>
      </c>
      <c r="Y3207" t="s">
        <v>22706</v>
      </c>
      <c r="Z3207" t="s">
        <v>29175</v>
      </c>
      <c r="AA3207">
        <v>0.43430448421541767</v>
      </c>
      <c r="AB3207" t="str">
        <f>HYPERLINK("Melting_Curves/meltCurve_Q02833_3_RASSF7.pdf", "Melting_Curves/meltCurve_Q02833_3_RASSF7.pdf")</f>
        <v>Melting_Curves/meltCurve_Q02833_3_RASSF7.pdf</v>
      </c>
    </row>
    <row r="3208" spans="1:28" x14ac:dyDescent="0.25">
      <c r="A3208" t="s">
        <v>3212</v>
      </c>
      <c r="B3208">
        <v>0.99472303558308395</v>
      </c>
      <c r="C3208">
        <v>0.99180528646518895</v>
      </c>
      <c r="D3208">
        <v>0.85715802762864002</v>
      </c>
      <c r="E3208">
        <v>0.75538791853948495</v>
      </c>
      <c r="F3208">
        <v>1.23007155926024</v>
      </c>
      <c r="G3208">
        <v>0.358569691317565</v>
      </c>
      <c r="H3208">
        <v>0.22812152754795401</v>
      </c>
      <c r="I3208">
        <v>0.14455714977138401</v>
      </c>
      <c r="J3208">
        <v>0.19393894536598399</v>
      </c>
      <c r="K3208">
        <v>0.205637150475321</v>
      </c>
      <c r="L3208">
        <v>13377.117566758399</v>
      </c>
      <c r="M3208">
        <v>250</v>
      </c>
      <c r="N3208">
        <v>53.6131222284397</v>
      </c>
      <c r="O3208">
        <v>53.505046170630003</v>
      </c>
      <c r="P3208">
        <v>-0.94259372981654499</v>
      </c>
      <c r="Q3208">
        <v>0.19306366577121301</v>
      </c>
      <c r="R3208">
        <v>0.90991325487546804</v>
      </c>
      <c r="S3208" t="s">
        <v>9776</v>
      </c>
      <c r="T3208" t="s">
        <v>13134</v>
      </c>
      <c r="U3208" t="s">
        <v>13134</v>
      </c>
      <c r="V3208" t="s">
        <v>13134</v>
      </c>
      <c r="W3208" t="s">
        <v>16288</v>
      </c>
      <c r="X3208">
        <v>9</v>
      </c>
      <c r="Y3208" t="s">
        <v>22707</v>
      </c>
      <c r="Z3208" t="s">
        <v>29176</v>
      </c>
      <c r="AA3208">
        <v>0.63718225839784381</v>
      </c>
      <c r="AB3208" t="str">
        <f>HYPERLINK("Melting_Curves/meltCurve_Q02878_RPL6.pdf", "Melting_Curves/meltCurve_Q02878_RPL6.pdf")</f>
        <v>Melting_Curves/meltCurve_Q02878_RPL6.pdf</v>
      </c>
    </row>
    <row r="3209" spans="1:28" x14ac:dyDescent="0.25">
      <c r="A3209" t="s">
        <v>3213</v>
      </c>
      <c r="B3209">
        <v>0.99472303558308395</v>
      </c>
      <c r="C3209">
        <v>0.85629140773444001</v>
      </c>
      <c r="D3209">
        <v>0.68113814483205204</v>
      </c>
      <c r="E3209">
        <v>0.46508089915899398</v>
      </c>
      <c r="F3209">
        <v>0.18343840671431499</v>
      </c>
      <c r="G3209">
        <v>9.5907763396899506E-2</v>
      </c>
      <c r="H3209">
        <v>6.03399117210488E-2</v>
      </c>
      <c r="I3209">
        <v>4.6032877143052299E-2</v>
      </c>
      <c r="J3209">
        <v>6.1210043939661403E-2</v>
      </c>
      <c r="K3209">
        <v>5.4721141795171097E-2</v>
      </c>
      <c r="L3209">
        <v>671.99680171753198</v>
      </c>
      <c r="M3209">
        <v>14.838130899951301</v>
      </c>
      <c r="N3209">
        <v>45.480119126793703</v>
      </c>
      <c r="O3209">
        <v>44.489792082134898</v>
      </c>
      <c r="P3209">
        <v>-8.0861774637897094E-2</v>
      </c>
      <c r="Q3209">
        <v>3.0297174781450199E-2</v>
      </c>
      <c r="R3209">
        <v>0.99479552467451904</v>
      </c>
      <c r="S3209" t="s">
        <v>9777</v>
      </c>
      <c r="T3209" t="s">
        <v>13134</v>
      </c>
      <c r="U3209" t="s">
        <v>13134</v>
      </c>
      <c r="V3209" t="s">
        <v>13134</v>
      </c>
      <c r="W3209" t="s">
        <v>16289</v>
      </c>
      <c r="X3209">
        <v>37</v>
      </c>
      <c r="Y3209" t="s">
        <v>22708</v>
      </c>
      <c r="Z3209" t="s">
        <v>29177</v>
      </c>
      <c r="AA3209">
        <v>0.32153952891614351</v>
      </c>
      <c r="AB3209" t="str">
        <f>HYPERLINK("Melting_Curves/meltCurve_Q02880_2_TOP2B.pdf", "Melting_Curves/meltCurve_Q02880_2_TOP2B.pdf")</f>
        <v>Melting_Curves/meltCurve_Q02880_2_TOP2B.pdf</v>
      </c>
    </row>
    <row r="3210" spans="1:28" x14ac:dyDescent="0.25">
      <c r="A3210" t="s">
        <v>3214</v>
      </c>
      <c r="B3210">
        <v>0.99472303558308395</v>
      </c>
      <c r="C3210">
        <v>1.00041967223976</v>
      </c>
      <c r="D3210">
        <v>0.85743865807198605</v>
      </c>
      <c r="E3210">
        <v>0.75984100050832903</v>
      </c>
      <c r="F3210">
        <v>0.65238118100365206</v>
      </c>
      <c r="G3210">
        <v>0.46197930513790397</v>
      </c>
      <c r="H3210">
        <v>0.36732062126929999</v>
      </c>
      <c r="I3210">
        <v>0.35893375557867402</v>
      </c>
      <c r="J3210">
        <v>0.45240379717252999</v>
      </c>
      <c r="K3210">
        <v>0.39947324625371</v>
      </c>
      <c r="L3210">
        <v>697.42963437013805</v>
      </c>
      <c r="M3210">
        <v>14.4762846218329</v>
      </c>
      <c r="N3210">
        <v>53.142078512652901</v>
      </c>
      <c r="O3210">
        <v>47.286036923639699</v>
      </c>
      <c r="P3210">
        <v>-4.8170064765989201E-2</v>
      </c>
      <c r="Q3210">
        <v>0.37069296989389899</v>
      </c>
      <c r="R3210">
        <v>0.97196837654363699</v>
      </c>
      <c r="S3210" t="s">
        <v>9778</v>
      </c>
      <c r="T3210" t="s">
        <v>13134</v>
      </c>
      <c r="U3210" t="s">
        <v>13134</v>
      </c>
      <c r="V3210" t="s">
        <v>13134</v>
      </c>
      <c r="W3210" t="s">
        <v>16290</v>
      </c>
      <c r="X3210">
        <v>10</v>
      </c>
      <c r="Y3210" t="s">
        <v>22709</v>
      </c>
      <c r="Z3210" t="s">
        <v>29178</v>
      </c>
      <c r="AA3210">
        <v>0.61979766939792402</v>
      </c>
      <c r="AB3210" t="str">
        <f>HYPERLINK("Melting_Curves/meltCurve_Q02952_3_AKAP12.pdf", "Melting_Curves/meltCurve_Q02952_3_AKAP12.pdf")</f>
        <v>Melting_Curves/meltCurve_Q02952_3_AKAP12.pdf</v>
      </c>
    </row>
    <row r="3211" spans="1:28" x14ac:dyDescent="0.25">
      <c r="A3211" t="s">
        <v>3215</v>
      </c>
      <c r="B3211">
        <v>0.99472303558308395</v>
      </c>
      <c r="C3211">
        <v>0.97730021588915506</v>
      </c>
      <c r="D3211">
        <v>0.91607803063396698</v>
      </c>
      <c r="E3211">
        <v>0.70152892197578998</v>
      </c>
      <c r="F3211">
        <v>0.46803885026015601</v>
      </c>
      <c r="G3211">
        <v>0.245433700769913</v>
      </c>
      <c r="H3211">
        <v>0.12292501136879699</v>
      </c>
      <c r="I3211">
        <v>0.102861419467228</v>
      </c>
      <c r="J3211">
        <v>9.2378669714819603E-2</v>
      </c>
      <c r="K3211">
        <v>7.5962552872921196E-2</v>
      </c>
      <c r="L3211">
        <v>779.22676404384003</v>
      </c>
      <c r="M3211">
        <v>15.8732835701457</v>
      </c>
      <c r="N3211">
        <v>49.487951390659603</v>
      </c>
      <c r="O3211">
        <v>48.331139564495501</v>
      </c>
      <c r="P3211">
        <v>-7.7198946408886804E-2</v>
      </c>
      <c r="Q3211">
        <v>5.98515107061523E-2</v>
      </c>
      <c r="R3211">
        <v>0.99903418385019505</v>
      </c>
      <c r="S3211" t="s">
        <v>9779</v>
      </c>
      <c r="T3211" t="s">
        <v>13134</v>
      </c>
      <c r="U3211" t="s">
        <v>13134</v>
      </c>
      <c r="V3211" t="s">
        <v>13134</v>
      </c>
      <c r="W3211" t="s">
        <v>16291</v>
      </c>
      <c r="X3211">
        <v>3</v>
      </c>
      <c r="Y3211" t="s">
        <v>22710</v>
      </c>
      <c r="Z3211" t="s">
        <v>29179</v>
      </c>
      <c r="AA3211">
        <v>0.45718968434536622</v>
      </c>
      <c r="AB3211" t="str">
        <f>HYPERLINK("Melting_Curves/meltCurve_Q03013_2_GSTM4.pdf", "Melting_Curves/meltCurve_Q03013_2_GSTM4.pdf")</f>
        <v>Melting_Curves/meltCurve_Q03013_2_GSTM4.pdf</v>
      </c>
    </row>
    <row r="3212" spans="1:28" x14ac:dyDescent="0.25">
      <c r="A3212" t="s">
        <v>3216</v>
      </c>
      <c r="B3212">
        <v>0.99472303558308395</v>
      </c>
      <c r="C3212">
        <v>0.91147759709913401</v>
      </c>
      <c r="D3212">
        <v>0.88842564166833604</v>
      </c>
      <c r="E3212">
        <v>0.65435437548514297</v>
      </c>
      <c r="F3212">
        <v>0.40486490840963502</v>
      </c>
      <c r="G3212">
        <v>0.25890478008965701</v>
      </c>
      <c r="H3212">
        <v>0.16609296216128699</v>
      </c>
      <c r="I3212">
        <v>0.16293053474786301</v>
      </c>
      <c r="J3212">
        <v>0.19086116427139799</v>
      </c>
      <c r="K3212">
        <v>0.14712835542403299</v>
      </c>
      <c r="L3212">
        <v>775.13548222493603</v>
      </c>
      <c r="M3212">
        <v>16.2708884448666</v>
      </c>
      <c r="N3212">
        <v>48.655738961063399</v>
      </c>
      <c r="O3212">
        <v>46.937236282221299</v>
      </c>
      <c r="P3212">
        <v>-7.4183163332203803E-2</v>
      </c>
      <c r="Q3212">
        <v>0.14406714350895899</v>
      </c>
      <c r="R3212">
        <v>0.99532337646880398</v>
      </c>
      <c r="S3212" t="s">
        <v>9780</v>
      </c>
      <c r="T3212" t="s">
        <v>13134</v>
      </c>
      <c r="U3212" t="s">
        <v>13134</v>
      </c>
      <c r="V3212" t="s">
        <v>13134</v>
      </c>
      <c r="W3212" t="s">
        <v>16292</v>
      </c>
      <c r="X3212">
        <v>3</v>
      </c>
      <c r="Y3212" t="s">
        <v>22711</v>
      </c>
      <c r="Z3212" t="s">
        <v>29180</v>
      </c>
      <c r="AA3212">
        <v>0.46409377933421853</v>
      </c>
      <c r="AB3212" t="str">
        <f>HYPERLINK("Melting_Curves/meltCurve_Q03014_HHEX.pdf", "Melting_Curves/meltCurve_Q03014_HHEX.pdf")</f>
        <v>Melting_Curves/meltCurve_Q03014_HHEX.pdf</v>
      </c>
    </row>
    <row r="3213" spans="1:28" x14ac:dyDescent="0.25">
      <c r="A3213" t="s">
        <v>3217</v>
      </c>
      <c r="B3213">
        <v>0.99472303558308395</v>
      </c>
      <c r="C3213">
        <v>1.0466045897741101</v>
      </c>
      <c r="D3213">
        <v>0.95386051446116105</v>
      </c>
      <c r="E3213">
        <v>0.64514219332751299</v>
      </c>
      <c r="F3213">
        <v>0.412110114406609</v>
      </c>
      <c r="G3213">
        <v>0.27565830472856401</v>
      </c>
      <c r="H3213">
        <v>0.23409140258201899</v>
      </c>
      <c r="I3213">
        <v>9.7070118968961797E-2</v>
      </c>
      <c r="J3213">
        <v>0.1300709486186</v>
      </c>
      <c r="K3213">
        <v>0.144282274935185</v>
      </c>
      <c r="L3213">
        <v>868.991131916472</v>
      </c>
      <c r="M3213">
        <v>18.066243365711699</v>
      </c>
      <c r="N3213">
        <v>48.9577752394001</v>
      </c>
      <c r="O3213">
        <v>47.522547606918501</v>
      </c>
      <c r="P3213">
        <v>-8.2154287679327503E-2</v>
      </c>
      <c r="Q3213">
        <v>0.135627454532319</v>
      </c>
      <c r="R3213">
        <v>0.98804749791661195</v>
      </c>
      <c r="S3213" t="s">
        <v>9781</v>
      </c>
      <c r="T3213" t="s">
        <v>13134</v>
      </c>
      <c r="U3213" t="s">
        <v>13134</v>
      </c>
      <c r="V3213" t="s">
        <v>13134</v>
      </c>
      <c r="W3213" t="s">
        <v>16293</v>
      </c>
      <c r="X3213">
        <v>3</v>
      </c>
      <c r="Y3213" t="s">
        <v>22712</v>
      </c>
      <c r="Z3213" t="s">
        <v>29181</v>
      </c>
      <c r="AA3213">
        <v>0.46917093457082759</v>
      </c>
      <c r="AB3213" t="str">
        <f>HYPERLINK("Melting_Curves/meltCurve_Q03111_MLLT1.pdf", "Melting_Curves/meltCurve_Q03111_MLLT1.pdf")</f>
        <v>Melting_Curves/meltCurve_Q03111_MLLT1.pdf</v>
      </c>
    </row>
    <row r="3214" spans="1:28" x14ac:dyDescent="0.25">
      <c r="A3214" t="s">
        <v>3218</v>
      </c>
      <c r="B3214">
        <v>0.99472303558308395</v>
      </c>
      <c r="C3214">
        <v>1.0281055050461001</v>
      </c>
      <c r="D3214">
        <v>0.99497001876507196</v>
      </c>
      <c r="E3214">
        <v>0.94575967282565199</v>
      </c>
      <c r="F3214">
        <v>0.75404968455351995</v>
      </c>
      <c r="G3214">
        <v>0.62095084822364299</v>
      </c>
      <c r="H3214">
        <v>0.52385994503151101</v>
      </c>
      <c r="I3214">
        <v>0.61628227479011899</v>
      </c>
      <c r="J3214">
        <v>0.80384036591711105</v>
      </c>
      <c r="K3214">
        <v>0.58484935428989304</v>
      </c>
      <c r="L3214">
        <v>1871.8092899216099</v>
      </c>
      <c r="M3214">
        <v>38.097425332453099</v>
      </c>
      <c r="O3214">
        <v>48.997383450457001</v>
      </c>
      <c r="P3214">
        <v>-7.2221422484299302E-2</v>
      </c>
      <c r="Q3214">
        <v>0.62846286561624198</v>
      </c>
      <c r="R3214">
        <v>0.86504419731126003</v>
      </c>
      <c r="S3214" t="s">
        <v>9782</v>
      </c>
      <c r="T3214" t="s">
        <v>13134</v>
      </c>
      <c r="U3214" t="s">
        <v>13134</v>
      </c>
      <c r="V3214" t="s">
        <v>13134</v>
      </c>
      <c r="W3214" t="s">
        <v>16294</v>
      </c>
      <c r="X3214">
        <v>23</v>
      </c>
      <c r="Y3214" t="s">
        <v>22713</v>
      </c>
      <c r="Z3214" t="s">
        <v>29182</v>
      </c>
      <c r="AA3214">
        <v>0.78010606197721832</v>
      </c>
      <c r="AB3214" t="str">
        <f>HYPERLINK("Melting_Curves/meltCurve_Q03154_ACY1.pdf", "Melting_Curves/meltCurve_Q03154_ACY1.pdf")</f>
        <v>Melting_Curves/meltCurve_Q03154_ACY1.pdf</v>
      </c>
    </row>
    <row r="3215" spans="1:28" x14ac:dyDescent="0.25">
      <c r="A3215" t="s">
        <v>3219</v>
      </c>
      <c r="B3215">
        <v>0.99472303558308395</v>
      </c>
      <c r="C3215">
        <v>0.82647280080996299</v>
      </c>
      <c r="D3215">
        <v>0.85058680457429403</v>
      </c>
      <c r="E3215">
        <v>0.66445851755034202</v>
      </c>
      <c r="F3215">
        <v>0.53823450613324098</v>
      </c>
      <c r="G3215">
        <v>0.32590697892714698</v>
      </c>
      <c r="H3215">
        <v>0.17053872887173299</v>
      </c>
      <c r="I3215">
        <v>9.6685972947679694E-2</v>
      </c>
      <c r="J3215">
        <v>0.130528910847409</v>
      </c>
      <c r="K3215">
        <v>0.17869146312112399</v>
      </c>
      <c r="L3215">
        <v>516.82732607402704</v>
      </c>
      <c r="M3215">
        <v>10.4835699005321</v>
      </c>
      <c r="N3215">
        <v>49.782600175444401</v>
      </c>
      <c r="O3215">
        <v>47.606315190898599</v>
      </c>
      <c r="P3215">
        <v>-5.2408329627102103E-2</v>
      </c>
      <c r="Q3215">
        <v>4.8432772366290497E-2</v>
      </c>
      <c r="R3215">
        <v>0.97422503424593698</v>
      </c>
      <c r="S3215" t="s">
        <v>9783</v>
      </c>
      <c r="T3215" t="s">
        <v>13134</v>
      </c>
      <c r="U3215" t="s">
        <v>13134</v>
      </c>
      <c r="V3215" t="s">
        <v>13134</v>
      </c>
      <c r="W3215" t="s">
        <v>16295</v>
      </c>
      <c r="X3215">
        <v>4</v>
      </c>
      <c r="Y3215" t="s">
        <v>22714</v>
      </c>
      <c r="Z3215" t="s">
        <v>29183</v>
      </c>
      <c r="AA3215">
        <v>0.47124271961968173</v>
      </c>
      <c r="AB3215" t="str">
        <f>HYPERLINK("Melting_Curves/meltCurve_Q03167_2_TGFBR3.pdf", "Melting_Curves/meltCurve_Q03167_2_TGFBR3.pdf")</f>
        <v>Melting_Curves/meltCurve_Q03167_2_TGFBR3.pdf</v>
      </c>
    </row>
    <row r="3216" spans="1:28" x14ac:dyDescent="0.25">
      <c r="A3216" t="s">
        <v>3220</v>
      </c>
      <c r="B3216">
        <v>0.99472303558308395</v>
      </c>
      <c r="C3216">
        <v>0.85542035737070199</v>
      </c>
      <c r="D3216">
        <v>0.76906109228247499</v>
      </c>
      <c r="E3216">
        <v>0.37745159724118899</v>
      </c>
      <c r="F3216">
        <v>0.21054705391529799</v>
      </c>
      <c r="G3216">
        <v>9.9204600295899503E-2</v>
      </c>
      <c r="H3216">
        <v>3.4306617547782602E-2</v>
      </c>
      <c r="I3216">
        <v>1.8980858260316098E-2</v>
      </c>
      <c r="J3216">
        <v>5.0799229993674602E-2</v>
      </c>
      <c r="K3216">
        <v>2.6508696970125999E-2</v>
      </c>
      <c r="L3216">
        <v>743.519403030955</v>
      </c>
      <c r="M3216">
        <v>16.365727563514401</v>
      </c>
      <c r="N3216">
        <v>45.549219380197101</v>
      </c>
      <c r="O3216">
        <v>44.769414771222202</v>
      </c>
      <c r="P3216">
        <v>-8.9502887109511695E-2</v>
      </c>
      <c r="Q3216">
        <v>2.0708537318039899E-2</v>
      </c>
      <c r="R3216">
        <v>0.99404884543035299</v>
      </c>
      <c r="S3216" t="s">
        <v>9784</v>
      </c>
      <c r="T3216" t="s">
        <v>13134</v>
      </c>
      <c r="U3216" t="s">
        <v>13134</v>
      </c>
      <c r="V3216" t="s">
        <v>13134</v>
      </c>
      <c r="W3216" t="s">
        <v>16296</v>
      </c>
      <c r="X3216">
        <v>6</v>
      </c>
      <c r="Y3216" t="s">
        <v>22715</v>
      </c>
      <c r="Z3216" t="s">
        <v>29184</v>
      </c>
      <c r="AA3216">
        <v>0.31526009373150288</v>
      </c>
      <c r="AB3216" t="str">
        <f>HYPERLINK("Melting_Curves/meltCurve_Q03169_TNFAIP2.pdf", "Melting_Curves/meltCurve_Q03169_TNFAIP2.pdf")</f>
        <v>Melting_Curves/meltCurve_Q03169_TNFAIP2.pdf</v>
      </c>
    </row>
    <row r="3217" spans="1:28" x14ac:dyDescent="0.25">
      <c r="A3217" t="s">
        <v>3221</v>
      </c>
      <c r="B3217">
        <v>0.99472303558308395</v>
      </c>
      <c r="C3217">
        <v>1.02673215350725</v>
      </c>
      <c r="D3217">
        <v>0.829543203605976</v>
      </c>
      <c r="E3217">
        <v>0.83327383704036595</v>
      </c>
      <c r="F3217">
        <v>0.60680074249632199</v>
      </c>
      <c r="G3217">
        <v>0.31687045110170398</v>
      </c>
      <c r="H3217">
        <v>0.233429419877278</v>
      </c>
      <c r="I3217">
        <v>0.14828881962987001</v>
      </c>
      <c r="J3217">
        <v>0.12086092997655</v>
      </c>
      <c r="K3217">
        <v>8.1952788466902599E-2</v>
      </c>
      <c r="L3217">
        <v>695.91670997649499</v>
      </c>
      <c r="M3217">
        <v>13.652853475909399</v>
      </c>
      <c r="N3217">
        <v>51.405157373185297</v>
      </c>
      <c r="O3217">
        <v>49.916007683264603</v>
      </c>
      <c r="P3217">
        <v>-6.4675228354758404E-2</v>
      </c>
      <c r="Q3217">
        <v>5.4305220166006501E-2</v>
      </c>
      <c r="R3217">
        <v>0.98655663433812402</v>
      </c>
      <c r="S3217" t="s">
        <v>9785</v>
      </c>
      <c r="T3217" t="s">
        <v>13134</v>
      </c>
      <c r="U3217" t="s">
        <v>13134</v>
      </c>
      <c r="V3217" t="s">
        <v>13134</v>
      </c>
      <c r="W3217" t="s">
        <v>16297</v>
      </c>
      <c r="X3217">
        <v>2</v>
      </c>
      <c r="Y3217" t="s">
        <v>22716</v>
      </c>
      <c r="Z3217" t="s">
        <v>29185</v>
      </c>
      <c r="AA3217">
        <v>0.51619143567333581</v>
      </c>
      <c r="AB3217" t="str">
        <f>HYPERLINK("Melting_Curves/meltCurve_Q03701_CEBPZ.pdf", "Melting_Curves/meltCurve_Q03701_CEBPZ.pdf")</f>
        <v>Melting_Curves/meltCurve_Q03701_CEBPZ.pdf</v>
      </c>
    </row>
    <row r="3218" spans="1:28" x14ac:dyDescent="0.25">
      <c r="A3218" t="s">
        <v>3222</v>
      </c>
      <c r="B3218">
        <v>0.99472303558308395</v>
      </c>
      <c r="C3218">
        <v>0.99548088498294496</v>
      </c>
      <c r="D3218">
        <v>0.93011294006355905</v>
      </c>
      <c r="E3218">
        <v>0.55154908696982496</v>
      </c>
      <c r="F3218">
        <v>0.17052172393421</v>
      </c>
      <c r="G3218">
        <v>0.111452079056065</v>
      </c>
      <c r="H3218">
        <v>8.3083819385002394E-2</v>
      </c>
      <c r="I3218">
        <v>7.1081171835904802E-2</v>
      </c>
      <c r="J3218">
        <v>7.3297276172881703E-2</v>
      </c>
      <c r="K3218">
        <v>5.7119539725755501E-2</v>
      </c>
      <c r="L3218">
        <v>1370.11362145966</v>
      </c>
      <c r="M3218">
        <v>29.344518139084901</v>
      </c>
      <c r="N3218">
        <v>46.943256083833703</v>
      </c>
      <c r="O3218">
        <v>46.475392536729601</v>
      </c>
      <c r="P3218">
        <v>-0.14632142472879001</v>
      </c>
      <c r="Q3218">
        <v>7.3040194689223195E-2</v>
      </c>
      <c r="R3218">
        <v>0.99950349852421505</v>
      </c>
      <c r="S3218" t="s">
        <v>9786</v>
      </c>
      <c r="T3218" t="s">
        <v>13134</v>
      </c>
      <c r="U3218" t="s">
        <v>13134</v>
      </c>
      <c r="V3218" t="s">
        <v>13134</v>
      </c>
      <c r="W3218" t="s">
        <v>16298</v>
      </c>
      <c r="X3218">
        <v>8</v>
      </c>
      <c r="Y3218" t="s">
        <v>22717</v>
      </c>
      <c r="Z3218" t="s">
        <v>29186</v>
      </c>
      <c r="AA3218">
        <v>0.37806891676177462</v>
      </c>
      <c r="AB3218" t="str">
        <f>HYPERLINK("Melting_Curves/meltCurve_Q04446_GBE1.pdf", "Melting_Curves/meltCurve_Q04446_GBE1.pdf")</f>
        <v>Melting_Curves/meltCurve_Q04446_GBE1.pdf</v>
      </c>
    </row>
    <row r="3219" spans="1:28" x14ac:dyDescent="0.25">
      <c r="A3219" t="s">
        <v>3223</v>
      </c>
      <c r="B3219">
        <v>0.99472303558308395</v>
      </c>
      <c r="C3219">
        <v>0.433414160812647</v>
      </c>
      <c r="D3219">
        <v>1.0080625230573701</v>
      </c>
      <c r="E3219">
        <v>0.388217067161375</v>
      </c>
      <c r="F3219">
        <v>5.4272989821306003E-2</v>
      </c>
      <c r="G3219">
        <v>3.2936846695377699E-2</v>
      </c>
      <c r="H3219">
        <v>2.09741128415224E-2</v>
      </c>
      <c r="I3219">
        <v>2.2892040353807201E-2</v>
      </c>
      <c r="J3219">
        <v>2.3309855549545701E-2</v>
      </c>
      <c r="K3219">
        <v>2.3933235484588498E-2</v>
      </c>
      <c r="L3219">
        <v>707.12493685541301</v>
      </c>
      <c r="M3219">
        <v>15.6150574594084</v>
      </c>
      <c r="N3219">
        <v>45.284811700411701</v>
      </c>
      <c r="O3219">
        <v>44.561613015062399</v>
      </c>
      <c r="P3219">
        <v>-8.7611309406244398E-2</v>
      </c>
      <c r="Q3219">
        <v>0</v>
      </c>
      <c r="R3219">
        <v>0.77507892547053303</v>
      </c>
      <c r="S3219" t="s">
        <v>9787</v>
      </c>
      <c r="T3219" t="s">
        <v>13134</v>
      </c>
      <c r="U3219" t="s">
        <v>13134</v>
      </c>
      <c r="V3219" t="s">
        <v>13134</v>
      </c>
      <c r="W3219" t="s">
        <v>16299</v>
      </c>
      <c r="X3219">
        <v>60</v>
      </c>
      <c r="Y3219" t="s">
        <v>20156</v>
      </c>
      <c r="Z3219" t="s">
        <v>29187</v>
      </c>
      <c r="AA3219">
        <v>0.29791436170533647</v>
      </c>
      <c r="AB3219" t="str">
        <f>HYPERLINK("Melting_Curves/meltCurve_Q04637_5_EIF4G1.pdf", "Melting_Curves/meltCurve_Q04637_5_EIF4G1.pdf")</f>
        <v>Melting_Curves/meltCurve_Q04637_5_EIF4G1.pdf</v>
      </c>
    </row>
    <row r="3220" spans="1:28" x14ac:dyDescent="0.25">
      <c r="A3220" t="s">
        <v>3224</v>
      </c>
      <c r="B3220">
        <v>0.99472303558308395</v>
      </c>
      <c r="C3220">
        <v>0.99156666458109899</v>
      </c>
      <c r="D3220">
        <v>0.92720377381149399</v>
      </c>
      <c r="E3220">
        <v>0.75883376711327599</v>
      </c>
      <c r="F3220">
        <v>0.52332532617170002</v>
      </c>
      <c r="G3220">
        <v>0.18309305777625901</v>
      </c>
      <c r="H3220">
        <v>9.3803194392795802E-2</v>
      </c>
      <c r="I3220">
        <v>6.0143965235673398E-2</v>
      </c>
      <c r="J3220">
        <v>6.50532901223808E-2</v>
      </c>
      <c r="K3220">
        <v>5.5551072568261001E-2</v>
      </c>
      <c r="L3220">
        <v>921.16744304306803</v>
      </c>
      <c r="M3220">
        <v>18.531789379819099</v>
      </c>
      <c r="N3220">
        <v>49.897297148190397</v>
      </c>
      <c r="O3220">
        <v>49.139457809437701</v>
      </c>
      <c r="P3220">
        <v>-9.1075814607039604E-2</v>
      </c>
      <c r="Q3220">
        <v>3.40448905215784E-2</v>
      </c>
      <c r="R3220">
        <v>0.99625028015774098</v>
      </c>
      <c r="S3220" t="s">
        <v>9788</v>
      </c>
      <c r="T3220" t="s">
        <v>13134</v>
      </c>
      <c r="U3220" t="s">
        <v>13134</v>
      </c>
      <c r="V3220" t="s">
        <v>13134</v>
      </c>
      <c r="W3220" t="s">
        <v>16300</v>
      </c>
      <c r="X3220">
        <v>14</v>
      </c>
      <c r="Y3220" t="s">
        <v>22718</v>
      </c>
      <c r="Z3220" t="s">
        <v>29188</v>
      </c>
      <c r="AA3220">
        <v>0.45773834941803498</v>
      </c>
      <c r="AB3220" t="str">
        <f>HYPERLINK("Melting_Curves/meltCurve_Q04656_5_ATP7A.pdf", "Melting_Curves/meltCurve_Q04656_5_ATP7A.pdf")</f>
        <v>Melting_Curves/meltCurve_Q04656_5_ATP7A.pdf</v>
      </c>
    </row>
    <row r="3221" spans="1:28" x14ac:dyDescent="0.25">
      <c r="A3221" t="s">
        <v>3225</v>
      </c>
      <c r="B3221">
        <v>0.99472303558308395</v>
      </c>
      <c r="C3221">
        <v>1.0484714782150699</v>
      </c>
      <c r="D3221">
        <v>1.01218626718663</v>
      </c>
      <c r="E3221">
        <v>0.82409130976350597</v>
      </c>
      <c r="F3221">
        <v>0.34249876027760801</v>
      </c>
      <c r="G3221">
        <v>0.126187353190369</v>
      </c>
      <c r="H3221">
        <v>5.4603348149915402E-2</v>
      </c>
      <c r="I3221">
        <v>4.2422105717015102E-2</v>
      </c>
      <c r="J3221">
        <v>4.6744359930291197E-2</v>
      </c>
      <c r="K3221">
        <v>2.08383271248536E-2</v>
      </c>
      <c r="L3221">
        <v>1448.4689584905</v>
      </c>
      <c r="M3221">
        <v>29.5914237614267</v>
      </c>
      <c r="N3221">
        <v>49.091274296132099</v>
      </c>
      <c r="O3221">
        <v>48.727032322357701</v>
      </c>
      <c r="P3221">
        <v>-0.14558224749603699</v>
      </c>
      <c r="Q3221">
        <v>4.1108382946819302E-2</v>
      </c>
      <c r="R3221">
        <v>0.99772066733348697</v>
      </c>
      <c r="S3221" t="s">
        <v>9789</v>
      </c>
      <c r="T3221" t="s">
        <v>13134</v>
      </c>
      <c r="U3221" t="s">
        <v>13134</v>
      </c>
      <c r="V3221" t="s">
        <v>13134</v>
      </c>
      <c r="W3221" t="s">
        <v>16301</v>
      </c>
      <c r="X3221">
        <v>10</v>
      </c>
      <c r="Y3221" t="s">
        <v>22719</v>
      </c>
      <c r="Z3221" t="s">
        <v>29189</v>
      </c>
      <c r="AA3221">
        <v>0.42897173772680453</v>
      </c>
      <c r="AB3221" t="str">
        <f>HYPERLINK("Melting_Curves/meltCurve_Q04759_PRKCQ.pdf", "Melting_Curves/meltCurve_Q04759_PRKCQ.pdf")</f>
        <v>Melting_Curves/meltCurve_Q04759_PRKCQ.pdf</v>
      </c>
    </row>
    <row r="3222" spans="1:28" x14ac:dyDescent="0.25">
      <c r="A3222" t="s">
        <v>3226</v>
      </c>
      <c r="B3222">
        <v>0.99472303558308395</v>
      </c>
      <c r="C3222">
        <v>0.97912443354725498</v>
      </c>
      <c r="D3222">
        <v>1.12640090476793</v>
      </c>
      <c r="E3222">
        <v>1.0458972707194201</v>
      </c>
      <c r="F3222">
        <v>0.766318772567538</v>
      </c>
      <c r="G3222">
        <v>0.78545074405335902</v>
      </c>
      <c r="H3222">
        <v>0.60782365130613902</v>
      </c>
      <c r="I3222">
        <v>0.71408560432122503</v>
      </c>
      <c r="J3222">
        <v>0.633468943468945</v>
      </c>
      <c r="K3222">
        <v>0.21910504626781199</v>
      </c>
      <c r="L3222">
        <v>518.72059377665198</v>
      </c>
      <c r="M3222">
        <v>8.1737921998993404</v>
      </c>
      <c r="N3222">
        <v>63.461435594166097</v>
      </c>
      <c r="O3222">
        <v>60.002265075350202</v>
      </c>
      <c r="P3222">
        <v>-3.4091723578413703E-2</v>
      </c>
      <c r="Q3222">
        <v>0</v>
      </c>
      <c r="R3222">
        <v>0.80008243434089099</v>
      </c>
      <c r="S3222" t="s">
        <v>9790</v>
      </c>
      <c r="T3222" t="s">
        <v>13134</v>
      </c>
      <c r="U3222" t="s">
        <v>13134</v>
      </c>
      <c r="V3222" t="s">
        <v>13134</v>
      </c>
      <c r="W3222" t="s">
        <v>16302</v>
      </c>
      <c r="X3222">
        <v>12</v>
      </c>
      <c r="Y3222" t="s">
        <v>22720</v>
      </c>
      <c r="Z3222" t="s">
        <v>29190</v>
      </c>
      <c r="AA3222">
        <v>0.79334763298464339</v>
      </c>
      <c r="AB3222" t="str">
        <f>HYPERLINK("Melting_Curves/meltCurve_Q04760_GLO1.pdf", "Melting_Curves/meltCurve_Q04760_GLO1.pdf")</f>
        <v>Melting_Curves/meltCurve_Q04760_GLO1.pdf</v>
      </c>
    </row>
    <row r="3223" spans="1:28" x14ac:dyDescent="0.25">
      <c r="A3223" t="s">
        <v>3227</v>
      </c>
      <c r="B3223">
        <v>0.99472303558308395</v>
      </c>
      <c r="C3223">
        <v>0.93687044211100001</v>
      </c>
      <c r="D3223">
        <v>0.90405775916319897</v>
      </c>
      <c r="E3223">
        <v>0.74937878444510997</v>
      </c>
      <c r="F3223">
        <v>0.388701969336741</v>
      </c>
      <c r="G3223">
        <v>0.14317081673080601</v>
      </c>
      <c r="H3223">
        <v>7.59397816297539E-2</v>
      </c>
      <c r="I3223">
        <v>4.79682623811169E-2</v>
      </c>
      <c r="J3223">
        <v>5.4760816510070802E-2</v>
      </c>
      <c r="K3223">
        <v>5.1520588766721602E-2</v>
      </c>
      <c r="L3223">
        <v>979.15399761109995</v>
      </c>
      <c r="M3223">
        <v>20.075506064392101</v>
      </c>
      <c r="N3223">
        <v>48.956136887827697</v>
      </c>
      <c r="O3223">
        <v>48.297348975514801</v>
      </c>
      <c r="P3223">
        <v>-0.100171485592538</v>
      </c>
      <c r="Q3223">
        <v>3.6066730998817298E-2</v>
      </c>
      <c r="R3223">
        <v>0.99665788447409098</v>
      </c>
      <c r="S3223" t="s">
        <v>9791</v>
      </c>
      <c r="T3223" t="s">
        <v>13134</v>
      </c>
      <c r="U3223" t="s">
        <v>13134</v>
      </c>
      <c r="V3223" t="s">
        <v>13134</v>
      </c>
      <c r="W3223" t="s">
        <v>16303</v>
      </c>
      <c r="X3223">
        <v>3</v>
      </c>
      <c r="Y3223" t="s">
        <v>22721</v>
      </c>
      <c r="Z3223" t="s">
        <v>29191</v>
      </c>
      <c r="AA3223">
        <v>0.42697079166543872</v>
      </c>
      <c r="AB3223" t="str">
        <f>HYPERLINK("Melting_Curves/meltCurve_Q04771_ACVR1.pdf", "Melting_Curves/meltCurve_Q04771_ACVR1.pdf")</f>
        <v>Melting_Curves/meltCurve_Q04771_ACVR1.pdf</v>
      </c>
    </row>
    <row r="3224" spans="1:28" x14ac:dyDescent="0.25">
      <c r="A3224" t="s">
        <v>3228</v>
      </c>
      <c r="B3224">
        <v>0.99472303558308395</v>
      </c>
      <c r="C3224">
        <v>0.971894237568379</v>
      </c>
      <c r="D3224">
        <v>1.0456788878171199</v>
      </c>
      <c r="E3224">
        <v>0.57357897106298705</v>
      </c>
      <c r="F3224">
        <v>0.151897097325499</v>
      </c>
      <c r="G3224">
        <v>8.9943274757417604E-2</v>
      </c>
      <c r="H3224">
        <v>5.3450702764114802E-2</v>
      </c>
      <c r="I3224">
        <v>4.7236373428642099E-2</v>
      </c>
      <c r="J3224">
        <v>5.5278281092062502E-2</v>
      </c>
      <c r="K3224">
        <v>3.8118494254807303E-2</v>
      </c>
      <c r="L3224">
        <v>1869.4197942573401</v>
      </c>
      <c r="M3224">
        <v>39.865032044845897</v>
      </c>
      <c r="N3224">
        <v>47.044260206383903</v>
      </c>
      <c r="O3224">
        <v>46.776190248119903</v>
      </c>
      <c r="P3224">
        <v>-0.200305762992741</v>
      </c>
      <c r="Q3224">
        <v>5.9875820511271799E-2</v>
      </c>
      <c r="R3224">
        <v>0.99545936032191895</v>
      </c>
      <c r="S3224" t="s">
        <v>9792</v>
      </c>
      <c r="T3224" t="s">
        <v>13134</v>
      </c>
      <c r="U3224" t="s">
        <v>13134</v>
      </c>
      <c r="V3224" t="s">
        <v>13134</v>
      </c>
      <c r="W3224" t="s">
        <v>16304</v>
      </c>
      <c r="X3224">
        <v>16</v>
      </c>
      <c r="Y3224" t="s">
        <v>22722</v>
      </c>
      <c r="Z3224" t="s">
        <v>29192</v>
      </c>
      <c r="AA3224">
        <v>0.37298919835418037</v>
      </c>
      <c r="AB3224" t="str">
        <f>HYPERLINK("Melting_Curves/meltCurve_Q04828_AKR1C1.pdf", "Melting_Curves/meltCurve_Q04828_AKR1C1.pdf")</f>
        <v>Melting_Curves/meltCurve_Q04828_AKR1C1.pdf</v>
      </c>
    </row>
    <row r="3225" spans="1:28" x14ac:dyDescent="0.25">
      <c r="A3225" t="s">
        <v>3229</v>
      </c>
      <c r="B3225">
        <v>0.99472303558308395</v>
      </c>
      <c r="C3225">
        <v>0.99227380888414696</v>
      </c>
      <c r="D3225">
        <v>1.00165785333867</v>
      </c>
      <c r="E3225">
        <v>0.97128880560490605</v>
      </c>
      <c r="F3225">
        <v>0.71456159107253103</v>
      </c>
      <c r="G3225">
        <v>0.70458031288450995</v>
      </c>
      <c r="H3225">
        <v>0.60924178438798704</v>
      </c>
      <c r="I3225">
        <v>0.908187270089167</v>
      </c>
      <c r="J3225">
        <v>1.2693941826309001</v>
      </c>
      <c r="K3225">
        <v>0.97027547293494498</v>
      </c>
      <c r="L3225">
        <v>11711.988103747501</v>
      </c>
      <c r="M3225">
        <v>250</v>
      </c>
      <c r="O3225">
        <v>46.844955183640899</v>
      </c>
      <c r="P3225">
        <v>-0.18317504938243001</v>
      </c>
      <c r="Q3225">
        <v>0.86270677062543499</v>
      </c>
      <c r="R3225">
        <v>0.11923659729896</v>
      </c>
      <c r="S3225" t="s">
        <v>9793</v>
      </c>
      <c r="T3225" t="s">
        <v>13134</v>
      </c>
      <c r="U3225" t="s">
        <v>13134</v>
      </c>
      <c r="V3225" t="s">
        <v>13134</v>
      </c>
      <c r="W3225" t="s">
        <v>16305</v>
      </c>
      <c r="X3225">
        <v>13</v>
      </c>
      <c r="Y3225" t="s">
        <v>20137</v>
      </c>
      <c r="Z3225" t="s">
        <v>29193</v>
      </c>
      <c r="AA3225">
        <v>0.90778663151425054</v>
      </c>
      <c r="AB3225" t="str">
        <f>HYPERLINK("Melting_Curves/meltCurve_Q04837_SSBP1.pdf", "Melting_Curves/meltCurve_Q04837_SSBP1.pdf")</f>
        <v>Melting_Curves/meltCurve_Q04837_SSBP1.pdf</v>
      </c>
    </row>
    <row r="3226" spans="1:28" x14ac:dyDescent="0.25">
      <c r="A3226" t="s">
        <v>3230</v>
      </c>
      <c r="B3226">
        <v>0.99472303558308395</v>
      </c>
      <c r="C3226">
        <v>1.04369266783343</v>
      </c>
      <c r="D3226">
        <v>0.98155717609361604</v>
      </c>
      <c r="E3226">
        <v>0.96152381155212996</v>
      </c>
      <c r="F3226">
        <v>0.65771110641345398</v>
      </c>
      <c r="G3226">
        <v>0.37060403703533901</v>
      </c>
      <c r="H3226">
        <v>0.146424813246576</v>
      </c>
      <c r="I3226">
        <v>6.8515313416648002E-2</v>
      </c>
      <c r="J3226">
        <v>6.6547014947888006E-2</v>
      </c>
      <c r="K3226">
        <v>5.2363690876984802E-2</v>
      </c>
      <c r="L3226">
        <v>1119.4277346123299</v>
      </c>
      <c r="M3226">
        <v>21.571102895868499</v>
      </c>
      <c r="N3226">
        <v>52.1177996890355</v>
      </c>
      <c r="O3226">
        <v>51.454963469090401</v>
      </c>
      <c r="P3226">
        <v>-0.10018768664448401</v>
      </c>
      <c r="Q3226">
        <v>4.4086052871591501E-2</v>
      </c>
      <c r="R3226">
        <v>0.99695177996742401</v>
      </c>
      <c r="S3226" t="s">
        <v>9794</v>
      </c>
      <c r="T3226" t="s">
        <v>13134</v>
      </c>
      <c r="U3226" t="s">
        <v>13134</v>
      </c>
      <c r="V3226" t="s">
        <v>13134</v>
      </c>
      <c r="W3226" t="s">
        <v>16306</v>
      </c>
      <c r="X3226">
        <v>21</v>
      </c>
      <c r="Y3226" t="s">
        <v>22723</v>
      </c>
      <c r="Z3226" t="s">
        <v>29194</v>
      </c>
      <c r="AA3226">
        <v>0.52963174411688685</v>
      </c>
      <c r="AB3226" t="str">
        <f>HYPERLINK("Melting_Curves/meltCurve_Q04917_YWHAH.pdf", "Melting_Curves/meltCurve_Q04917_YWHAH.pdf")</f>
        <v>Melting_Curves/meltCurve_Q04917_YWHAH.pdf</v>
      </c>
    </row>
    <row r="3227" spans="1:28" x14ac:dyDescent="0.25">
      <c r="A3227" t="s">
        <v>3231</v>
      </c>
      <c r="B3227">
        <v>0.99472303558308395</v>
      </c>
      <c r="C3227">
        <v>1.0464012202089501</v>
      </c>
      <c r="D3227">
        <v>0.84831417305422996</v>
      </c>
      <c r="E3227">
        <v>0.68048079083789503</v>
      </c>
      <c r="F3227">
        <v>0.63557508479371205</v>
      </c>
      <c r="G3227">
        <v>0.42409279122399501</v>
      </c>
      <c r="H3227">
        <v>0.33205548256075301</v>
      </c>
      <c r="I3227">
        <v>0.29821633410478499</v>
      </c>
      <c r="J3227">
        <v>0.36979112837969902</v>
      </c>
      <c r="K3227">
        <v>0.51111824044306597</v>
      </c>
      <c r="L3227">
        <v>760.29225938057698</v>
      </c>
      <c r="M3227">
        <v>16.115615409654801</v>
      </c>
      <c r="N3227">
        <v>51.482529546624299</v>
      </c>
      <c r="O3227">
        <v>46.468869943991301</v>
      </c>
      <c r="P3227">
        <v>-5.4619391283913001E-2</v>
      </c>
      <c r="Q3227">
        <v>0.37007479359435302</v>
      </c>
      <c r="R3227">
        <v>0.92673567116353495</v>
      </c>
      <c r="S3227" t="s">
        <v>9795</v>
      </c>
      <c r="T3227" t="s">
        <v>13134</v>
      </c>
      <c r="U3227" t="s">
        <v>13134</v>
      </c>
      <c r="V3227" t="s">
        <v>13134</v>
      </c>
      <c r="W3227" t="s">
        <v>16307</v>
      </c>
      <c r="X3227">
        <v>1</v>
      </c>
      <c r="Y3227" t="s">
        <v>22724</v>
      </c>
      <c r="Z3227" t="s">
        <v>29195</v>
      </c>
      <c r="AA3227">
        <v>0.59618851482530899</v>
      </c>
      <c r="AB3227" t="str">
        <f>HYPERLINK("Melting_Curves/meltCurve_Q04941_PLP2.pdf", "Melting_Curves/meltCurve_Q04941_PLP2.pdf")</f>
        <v>Melting_Curves/meltCurve_Q04941_PLP2.pdf</v>
      </c>
    </row>
    <row r="3228" spans="1:28" x14ac:dyDescent="0.25">
      <c r="A3228" t="s">
        <v>3232</v>
      </c>
      <c r="B3228">
        <v>0.99472303558308395</v>
      </c>
      <c r="C3228">
        <v>0.94190187118970803</v>
      </c>
      <c r="D3228">
        <v>0.84804273388950302</v>
      </c>
      <c r="E3228">
        <v>0.71359154516308398</v>
      </c>
      <c r="F3228">
        <v>0.659733558981762</v>
      </c>
      <c r="G3228">
        <v>0.36210059479527701</v>
      </c>
      <c r="H3228">
        <v>0.21647226944505399</v>
      </c>
      <c r="I3228">
        <v>0.17208217055362701</v>
      </c>
      <c r="J3228">
        <v>0.16759422022443099</v>
      </c>
      <c r="K3228">
        <v>0.10323913819260799</v>
      </c>
      <c r="L3228">
        <v>528.40493838047496</v>
      </c>
      <c r="M3228">
        <v>10.3082626818934</v>
      </c>
      <c r="N3228">
        <v>51.484802418239802</v>
      </c>
      <c r="O3228">
        <v>49.443653700636403</v>
      </c>
      <c r="P3228">
        <v>-5.0997997962209003E-2</v>
      </c>
      <c r="Q3228">
        <v>2.1974499062162901E-2</v>
      </c>
      <c r="R3228">
        <v>0.98535769190005296</v>
      </c>
      <c r="S3228" t="s">
        <v>9796</v>
      </c>
      <c r="T3228" t="s">
        <v>13134</v>
      </c>
      <c r="U3228" t="s">
        <v>13134</v>
      </c>
      <c r="V3228" t="s">
        <v>13134</v>
      </c>
      <c r="W3228" t="s">
        <v>16308</v>
      </c>
      <c r="X3228">
        <v>15</v>
      </c>
      <c r="Y3228" t="s">
        <v>22725</v>
      </c>
      <c r="Z3228" t="s">
        <v>29196</v>
      </c>
      <c r="AA3228">
        <v>0.51514099352901344</v>
      </c>
      <c r="AB3228" t="str">
        <f>HYPERLINK("Melting_Curves/meltCurve_Q05048_CSTF1.pdf", "Melting_Curves/meltCurve_Q05048_CSTF1.pdf")</f>
        <v>Melting_Curves/meltCurve_Q05048_CSTF1.pdf</v>
      </c>
    </row>
    <row r="3229" spans="1:28" x14ac:dyDescent="0.25">
      <c r="A3229" t="s">
        <v>3233</v>
      </c>
      <c r="B3229">
        <v>0.99472303558308395</v>
      </c>
      <c r="C3229">
        <v>0.86784328676988498</v>
      </c>
      <c r="D3229">
        <v>0.87715634922709596</v>
      </c>
      <c r="E3229">
        <v>0.71348901478414095</v>
      </c>
      <c r="F3229">
        <v>0.57172888653533205</v>
      </c>
      <c r="G3229">
        <v>0.17108656853376</v>
      </c>
      <c r="H3229">
        <v>6.8127445702267697E-2</v>
      </c>
      <c r="I3229">
        <v>4.7098686527071602E-2</v>
      </c>
      <c r="J3229">
        <v>4.7560287302548299E-2</v>
      </c>
      <c r="K3229">
        <v>4.3848282565439697E-2</v>
      </c>
      <c r="L3229">
        <v>747.30923115935502</v>
      </c>
      <c r="M3229">
        <v>15.032168504460101</v>
      </c>
      <c r="N3229">
        <v>49.714011258625497</v>
      </c>
      <c r="O3229">
        <v>48.859087253151898</v>
      </c>
      <c r="P3229">
        <v>-7.6923636952332605E-2</v>
      </c>
      <c r="Q3229">
        <v>0</v>
      </c>
      <c r="R3229">
        <v>0.97701214672453995</v>
      </c>
      <c r="S3229" t="s">
        <v>9797</v>
      </c>
      <c r="T3229" t="s">
        <v>13134</v>
      </c>
      <c r="U3229" t="s">
        <v>13134</v>
      </c>
      <c r="V3229" t="s">
        <v>13134</v>
      </c>
      <c r="W3229" t="s">
        <v>16309</v>
      </c>
      <c r="X3229">
        <v>25</v>
      </c>
      <c r="Y3229" t="s">
        <v>22726</v>
      </c>
      <c r="Z3229" t="s">
        <v>29197</v>
      </c>
      <c r="AA3229">
        <v>0.4448240523263402</v>
      </c>
      <c r="AB3229" t="str">
        <f>HYPERLINK("Melting_Curves/meltCurve_Q05086_3_UBE3A.pdf", "Melting_Curves/meltCurve_Q05086_3_UBE3A.pdf")</f>
        <v>Melting_Curves/meltCurve_Q05086_3_UBE3A.pdf</v>
      </c>
    </row>
    <row r="3230" spans="1:28" x14ac:dyDescent="0.25">
      <c r="A3230" t="s">
        <v>3234</v>
      </c>
      <c r="B3230">
        <v>0.99472303558308395</v>
      </c>
      <c r="C3230">
        <v>0.89141669001581003</v>
      </c>
      <c r="D3230">
        <v>0.75404394429561805</v>
      </c>
      <c r="E3230">
        <v>0.69766229059317297</v>
      </c>
      <c r="F3230">
        <v>0.43265616524159201</v>
      </c>
      <c r="G3230">
        <v>7.5602202595624099E-2</v>
      </c>
      <c r="H3230">
        <v>5.3392523537810002E-2</v>
      </c>
      <c r="I3230">
        <v>3.4409206926358203E-2</v>
      </c>
      <c r="J3230">
        <v>5.5605337064645197E-2</v>
      </c>
      <c r="K3230">
        <v>3.9194127757421898E-2</v>
      </c>
      <c r="L3230">
        <v>690.01145212403901</v>
      </c>
      <c r="M3230">
        <v>14.309953051394199</v>
      </c>
      <c r="N3230">
        <v>48.2189879272497</v>
      </c>
      <c r="O3230">
        <v>47.306654714981498</v>
      </c>
      <c r="P3230">
        <v>-7.5632550701821399E-2</v>
      </c>
      <c r="Q3230">
        <v>0</v>
      </c>
      <c r="R3230">
        <v>0.97288256514876104</v>
      </c>
      <c r="S3230" t="s">
        <v>9798</v>
      </c>
      <c r="T3230" t="s">
        <v>13134</v>
      </c>
      <c r="U3230" t="s">
        <v>13134</v>
      </c>
      <c r="V3230" t="s">
        <v>13134</v>
      </c>
      <c r="W3230" t="s">
        <v>16310</v>
      </c>
      <c r="X3230">
        <v>8</v>
      </c>
      <c r="Y3230" t="s">
        <v>22727</v>
      </c>
      <c r="Z3230" t="s">
        <v>29198</v>
      </c>
      <c r="AA3230">
        <v>0.39763950046720059</v>
      </c>
      <c r="AB3230" t="str">
        <f>HYPERLINK("Melting_Curves/meltCurve_Q05193_5_DNM1.pdf", "Melting_Curves/meltCurve_Q05193_5_DNM1.pdf")</f>
        <v>Melting_Curves/meltCurve_Q05193_5_DNM1.pdf</v>
      </c>
    </row>
    <row r="3231" spans="1:28" x14ac:dyDescent="0.25">
      <c r="A3231" t="s">
        <v>3235</v>
      </c>
      <c r="B3231">
        <v>0.99472303558308395</v>
      </c>
      <c r="C3231">
        <v>1.02526603712827</v>
      </c>
      <c r="D3231">
        <v>0.98395382272764198</v>
      </c>
      <c r="E3231">
        <v>0.80814560484588605</v>
      </c>
      <c r="F3231">
        <v>0.23290459754536499</v>
      </c>
      <c r="G3231">
        <v>0.105648396001471</v>
      </c>
      <c r="H3231">
        <v>5.5368212983851903E-2</v>
      </c>
      <c r="I3231">
        <v>3.4131238783155798E-2</v>
      </c>
      <c r="J3231">
        <v>4.4964293507252298E-2</v>
      </c>
      <c r="K3231">
        <v>3.2826586986845298E-2</v>
      </c>
      <c r="L3231">
        <v>1755.93319706276</v>
      </c>
      <c r="M3231">
        <v>36.335735648973703</v>
      </c>
      <c r="N3231">
        <v>48.458990174474302</v>
      </c>
      <c r="O3231">
        <v>48.1795686643705</v>
      </c>
      <c r="P3231">
        <v>-0.179548123781654</v>
      </c>
      <c r="Q3231">
        <v>4.77116145788938E-2</v>
      </c>
      <c r="R3231">
        <v>0.99865861589675797</v>
      </c>
      <c r="S3231" t="s">
        <v>9799</v>
      </c>
      <c r="T3231" t="s">
        <v>13134</v>
      </c>
      <c r="U3231" t="s">
        <v>13134</v>
      </c>
      <c r="V3231" t="s">
        <v>13134</v>
      </c>
      <c r="W3231" t="s">
        <v>16311</v>
      </c>
      <c r="X3231">
        <v>19</v>
      </c>
      <c r="Y3231" t="s">
        <v>22728</v>
      </c>
      <c r="Z3231" t="s">
        <v>29199</v>
      </c>
      <c r="AA3231">
        <v>0.41106832588455711</v>
      </c>
      <c r="AB3231" t="str">
        <f>HYPERLINK("Melting_Curves/meltCurve_Q05209_PTPN12.pdf", "Melting_Curves/meltCurve_Q05209_PTPN12.pdf")</f>
        <v>Melting_Curves/meltCurve_Q05209_PTPN12.pdf</v>
      </c>
    </row>
    <row r="3232" spans="1:28" x14ac:dyDescent="0.25">
      <c r="A3232" t="s">
        <v>3236</v>
      </c>
      <c r="B3232">
        <v>0.99472303558308395</v>
      </c>
      <c r="C3232">
        <v>0.98102287300412305</v>
      </c>
      <c r="D3232">
        <v>0.983456502738011</v>
      </c>
      <c r="E3232">
        <v>0.77158326873206295</v>
      </c>
      <c r="F3232">
        <v>0.34167063659421099</v>
      </c>
      <c r="G3232">
        <v>0.124469306030601</v>
      </c>
      <c r="H3232">
        <v>6.9101347898399501E-2</v>
      </c>
      <c r="I3232">
        <v>4.7575117448388E-2</v>
      </c>
      <c r="J3232">
        <v>5.6179094870694002E-2</v>
      </c>
      <c r="K3232">
        <v>5.25221362604592E-2</v>
      </c>
      <c r="L3232">
        <v>1285.48190155819</v>
      </c>
      <c r="M3232">
        <v>26.423047952009</v>
      </c>
      <c r="N3232">
        <v>48.849435183904397</v>
      </c>
      <c r="O3232">
        <v>48.3739303026098</v>
      </c>
      <c r="P3232">
        <v>-0.129576436084161</v>
      </c>
      <c r="Q3232">
        <v>5.1123273162659598E-2</v>
      </c>
      <c r="R3232">
        <v>0.99969195969233804</v>
      </c>
      <c r="S3232" t="s">
        <v>9800</v>
      </c>
      <c r="T3232" t="s">
        <v>13134</v>
      </c>
      <c r="U3232" t="s">
        <v>13134</v>
      </c>
      <c r="V3232" t="s">
        <v>13134</v>
      </c>
      <c r="W3232" t="s">
        <v>16312</v>
      </c>
      <c r="X3232">
        <v>12</v>
      </c>
      <c r="Y3232" t="s">
        <v>22729</v>
      </c>
      <c r="Z3232" t="s">
        <v>29200</v>
      </c>
      <c r="AA3232">
        <v>0.42692412492649462</v>
      </c>
      <c r="AB3232" t="str">
        <f>HYPERLINK("Melting_Curves/meltCurve_Q05519_2_SRSF11.pdf", "Melting_Curves/meltCurve_Q05519_2_SRSF11.pdf")</f>
        <v>Melting_Curves/meltCurve_Q05519_2_SRSF11.pdf</v>
      </c>
    </row>
    <row r="3233" spans="1:28" x14ac:dyDescent="0.25">
      <c r="A3233" t="s">
        <v>3237</v>
      </c>
      <c r="B3233">
        <v>0.99472303558308395</v>
      </c>
      <c r="C3233">
        <v>0.96870157684408897</v>
      </c>
      <c r="D3233">
        <v>0.96569782334446297</v>
      </c>
      <c r="E3233">
        <v>0.84208296556421502</v>
      </c>
      <c r="F3233">
        <v>0.62879927500827404</v>
      </c>
      <c r="G3233">
        <v>0.56670352421939296</v>
      </c>
      <c r="H3233">
        <v>0.462092377796613</v>
      </c>
      <c r="I3233">
        <v>0.31610785411331499</v>
      </c>
      <c r="J3233">
        <v>0.144653385590303</v>
      </c>
      <c r="K3233">
        <v>0.107316604887391</v>
      </c>
      <c r="L3233">
        <v>521.64487157691894</v>
      </c>
      <c r="M3233">
        <v>9.5124328462696095</v>
      </c>
      <c r="N3233">
        <v>54.838218442422999</v>
      </c>
      <c r="O3233">
        <v>52.578769495965602</v>
      </c>
      <c r="P3233">
        <v>-4.5256061985632201E-2</v>
      </c>
      <c r="Q3233">
        <v>0</v>
      </c>
      <c r="R3233">
        <v>0.98180690252745195</v>
      </c>
      <c r="S3233" t="s">
        <v>9801</v>
      </c>
      <c r="T3233" t="s">
        <v>13134</v>
      </c>
      <c r="U3233" t="s">
        <v>13134</v>
      </c>
      <c r="V3233" t="s">
        <v>13134</v>
      </c>
      <c r="W3233" t="s">
        <v>16313</v>
      </c>
      <c r="X3233">
        <v>23</v>
      </c>
      <c r="Y3233" t="s">
        <v>22730</v>
      </c>
      <c r="Z3233" t="s">
        <v>29201</v>
      </c>
      <c r="AA3233">
        <v>0.60685604261295201</v>
      </c>
      <c r="AB3233" t="str">
        <f>HYPERLINK("Melting_Curves/meltCurve_Q05639_EEF1A2.pdf", "Melting_Curves/meltCurve_Q05639_EEF1A2.pdf")</f>
        <v>Melting_Curves/meltCurve_Q05639_EEF1A2.pdf</v>
      </c>
    </row>
    <row r="3234" spans="1:28" x14ac:dyDescent="0.25">
      <c r="A3234" t="s">
        <v>3238</v>
      </c>
      <c r="B3234">
        <v>0.99472303558308395</v>
      </c>
      <c r="C3234">
        <v>0.94948214730284997</v>
      </c>
      <c r="D3234">
        <v>0.98289625866332497</v>
      </c>
      <c r="E3234">
        <v>0.81607698217931601</v>
      </c>
      <c r="F3234">
        <v>0.51371273845596599</v>
      </c>
      <c r="G3234">
        <v>0.22697065330121999</v>
      </c>
      <c r="H3234">
        <v>7.9315694970981898E-2</v>
      </c>
      <c r="I3234">
        <v>5.4445549702875497E-2</v>
      </c>
      <c r="J3234">
        <v>6.5174842307570396E-2</v>
      </c>
      <c r="K3234">
        <v>5.4727843151406101E-2</v>
      </c>
      <c r="L3234">
        <v>1035.9388322882701</v>
      </c>
      <c r="M3234">
        <v>20.703757019534599</v>
      </c>
      <c r="N3234">
        <v>50.239681962107497</v>
      </c>
      <c r="O3234">
        <v>49.576464770793699</v>
      </c>
      <c r="P3234">
        <v>-0.100208551930105</v>
      </c>
      <c r="Q3234">
        <v>4.0203864924471401E-2</v>
      </c>
      <c r="R3234">
        <v>0.99781173481002094</v>
      </c>
      <c r="S3234" t="s">
        <v>9802</v>
      </c>
      <c r="T3234" t="s">
        <v>13134</v>
      </c>
      <c r="U3234" t="s">
        <v>13134</v>
      </c>
      <c r="V3234" t="s">
        <v>13134</v>
      </c>
      <c r="W3234" t="s">
        <v>16314</v>
      </c>
      <c r="X3234">
        <v>24</v>
      </c>
      <c r="Y3234" t="s">
        <v>22731</v>
      </c>
      <c r="Z3234" t="s">
        <v>29202</v>
      </c>
      <c r="AA3234">
        <v>0.46916708298026538</v>
      </c>
      <c r="AB3234" t="str">
        <f>HYPERLINK("Melting_Curves/meltCurve_Q05655_PRKCD.pdf", "Melting_Curves/meltCurve_Q05655_PRKCD.pdf")</f>
        <v>Melting_Curves/meltCurve_Q05655_PRKCD.pdf</v>
      </c>
    </row>
    <row r="3235" spans="1:28" x14ac:dyDescent="0.25">
      <c r="A3235" t="s">
        <v>3239</v>
      </c>
      <c r="B3235">
        <v>0.99472303558308395</v>
      </c>
      <c r="C3235">
        <v>0.86064120549338097</v>
      </c>
      <c r="D3235">
        <v>0.63976680447982903</v>
      </c>
      <c r="E3235">
        <v>0.36592315476119203</v>
      </c>
      <c r="F3235">
        <v>0.26538594552384698</v>
      </c>
      <c r="G3235">
        <v>0.167521761828161</v>
      </c>
      <c r="H3235">
        <v>0.10131158646991099</v>
      </c>
      <c r="I3235">
        <v>7.5025581685688E-2</v>
      </c>
      <c r="J3235">
        <v>6.9141595260791E-2</v>
      </c>
      <c r="K3235">
        <v>6.4056526169009198E-2</v>
      </c>
      <c r="L3235">
        <v>628.82197454421396</v>
      </c>
      <c r="M3235">
        <v>14.0956061640942</v>
      </c>
      <c r="N3235">
        <v>45.062149212407299</v>
      </c>
      <c r="O3235">
        <v>43.742109349027402</v>
      </c>
      <c r="P3235">
        <v>-7.5271253058465701E-2</v>
      </c>
      <c r="Q3235">
        <v>6.5780293512259197E-2</v>
      </c>
      <c r="R3235">
        <v>0.99497088336287998</v>
      </c>
      <c r="S3235" t="s">
        <v>9803</v>
      </c>
      <c r="T3235" t="s">
        <v>13134</v>
      </c>
      <c r="U3235" t="s">
        <v>13134</v>
      </c>
      <c r="V3235" t="s">
        <v>13134</v>
      </c>
      <c r="W3235" t="s">
        <v>16315</v>
      </c>
      <c r="X3235">
        <v>4</v>
      </c>
      <c r="Y3235" t="s">
        <v>22732</v>
      </c>
      <c r="Z3235" t="s">
        <v>29203</v>
      </c>
      <c r="AA3235">
        <v>0.32835197433578139</v>
      </c>
      <c r="AB3235" t="str">
        <f>HYPERLINK("Melting_Curves/meltCurve_Q05823_RNASEL.pdf", "Melting_Curves/meltCurve_Q05823_RNASEL.pdf")</f>
        <v>Melting_Curves/meltCurve_Q05823_RNASEL.pdf</v>
      </c>
    </row>
    <row r="3236" spans="1:28" x14ac:dyDescent="0.25">
      <c r="A3236" t="s">
        <v>3240</v>
      </c>
      <c r="B3236">
        <v>0.99472303558308395</v>
      </c>
      <c r="C3236">
        <v>0.83868966034151204</v>
      </c>
      <c r="D3236">
        <v>0.77486791070598404</v>
      </c>
      <c r="E3236">
        <v>0.49779228155963801</v>
      </c>
      <c r="F3236">
        <v>0.340942602150903</v>
      </c>
      <c r="G3236">
        <v>0.13580142302939499</v>
      </c>
      <c r="H3236">
        <v>3.0199395978539701E-2</v>
      </c>
      <c r="I3236">
        <v>4.7314392968283603E-2</v>
      </c>
      <c r="J3236">
        <v>2.0840158908960099E-2</v>
      </c>
      <c r="K3236">
        <v>2.77553030132426E-2</v>
      </c>
      <c r="L3236">
        <v>602.55092159174797</v>
      </c>
      <c r="M3236">
        <v>12.893767628681299</v>
      </c>
      <c r="N3236">
        <v>46.731951012942503</v>
      </c>
      <c r="O3236">
        <v>45.650670535278898</v>
      </c>
      <c r="P3236">
        <v>-7.0623930342670505E-2</v>
      </c>
      <c r="Q3236">
        <v>0</v>
      </c>
      <c r="R3236">
        <v>0.99153448009394296</v>
      </c>
      <c r="S3236" t="s">
        <v>9804</v>
      </c>
      <c r="T3236" t="s">
        <v>13134</v>
      </c>
      <c r="U3236" t="s">
        <v>13134</v>
      </c>
      <c r="V3236" t="s">
        <v>13134</v>
      </c>
      <c r="W3236" t="s">
        <v>16316</v>
      </c>
      <c r="X3236">
        <v>3</v>
      </c>
      <c r="Y3236" t="s">
        <v>22733</v>
      </c>
      <c r="Z3236" t="s">
        <v>29204</v>
      </c>
      <c r="AA3236">
        <v>0.35394799798363191</v>
      </c>
      <c r="AB3236" t="str">
        <f>HYPERLINK("Melting_Curves/meltCurve_Q05932_3_FPGS.pdf", "Melting_Curves/meltCurve_Q05932_3_FPGS.pdf")</f>
        <v>Melting_Curves/meltCurve_Q05932_3_FPGS.pdf</v>
      </c>
    </row>
    <row r="3237" spans="1:28" x14ac:dyDescent="0.25">
      <c r="A3237" t="s">
        <v>3241</v>
      </c>
      <c r="B3237">
        <v>0.99472303558308395</v>
      </c>
      <c r="C3237">
        <v>0.95232447497164197</v>
      </c>
      <c r="D3237">
        <v>1.01938096518121</v>
      </c>
      <c r="E3237">
        <v>0.92333020785336095</v>
      </c>
      <c r="F3237">
        <v>0.68973685988531797</v>
      </c>
      <c r="G3237">
        <v>0.20540886460615701</v>
      </c>
      <c r="H3237">
        <v>7.5796223026249804E-2</v>
      </c>
      <c r="I3237">
        <v>4.7819142658538101E-2</v>
      </c>
      <c r="J3237">
        <v>4.7853850024624202E-2</v>
      </c>
      <c r="K3237">
        <v>3.9456045976957101E-2</v>
      </c>
      <c r="L3237">
        <v>1620.99373865607</v>
      </c>
      <c r="M3237">
        <v>31.619152367789901</v>
      </c>
      <c r="N3237">
        <v>51.4054237555452</v>
      </c>
      <c r="O3237">
        <v>51.062445793391099</v>
      </c>
      <c r="P3237">
        <v>-0.148454428591062</v>
      </c>
      <c r="Q3237">
        <v>4.1036169295133297E-2</v>
      </c>
      <c r="R3237">
        <v>0.99748997397653905</v>
      </c>
      <c r="S3237" t="s">
        <v>9805</v>
      </c>
      <c r="T3237" t="s">
        <v>13134</v>
      </c>
      <c r="U3237" t="s">
        <v>13134</v>
      </c>
      <c r="V3237" t="s">
        <v>13134</v>
      </c>
      <c r="W3237" t="s">
        <v>16317</v>
      </c>
      <c r="X3237">
        <v>29</v>
      </c>
      <c r="Y3237" t="s">
        <v>22734</v>
      </c>
      <c r="Z3237" t="s">
        <v>29205</v>
      </c>
      <c r="AA3237">
        <v>0.5024736474987056</v>
      </c>
      <c r="AB3237" t="str">
        <f>HYPERLINK("Melting_Curves/meltCurve_Q06124_PTPN11.pdf", "Melting_Curves/meltCurve_Q06124_PTPN11.pdf")</f>
        <v>Melting_Curves/meltCurve_Q06124_PTPN11.pdf</v>
      </c>
    </row>
    <row r="3238" spans="1:28" x14ac:dyDescent="0.25">
      <c r="A3238" t="s">
        <v>3242</v>
      </c>
      <c r="B3238">
        <v>0.99472303558308395</v>
      </c>
      <c r="C3238">
        <v>0.97638727632588895</v>
      </c>
      <c r="D3238">
        <v>0.89166570419642599</v>
      </c>
      <c r="E3238">
        <v>0.36571817687252001</v>
      </c>
      <c r="F3238">
        <v>0.12113608275851701</v>
      </c>
      <c r="G3238">
        <v>6.3768907642875405E-2</v>
      </c>
      <c r="H3238">
        <v>4.5292989706139902E-2</v>
      </c>
      <c r="I3238">
        <v>3.1854200284597699E-2</v>
      </c>
      <c r="J3238">
        <v>4.2115556137757498E-2</v>
      </c>
      <c r="K3238">
        <v>3.2479030377007397E-2</v>
      </c>
      <c r="L3238">
        <v>1419.2428391343999</v>
      </c>
      <c r="M3238">
        <v>31.080461706151901</v>
      </c>
      <c r="N3238">
        <v>45.7992553791441</v>
      </c>
      <c r="O3238">
        <v>45.4757026408017</v>
      </c>
      <c r="P3238">
        <v>-0.16334530685673801</v>
      </c>
      <c r="Q3238">
        <v>4.4003541395241701E-2</v>
      </c>
      <c r="R3238">
        <v>0.99911195558957999</v>
      </c>
      <c r="S3238" t="s">
        <v>9806</v>
      </c>
      <c r="T3238" t="s">
        <v>13134</v>
      </c>
      <c r="U3238" t="s">
        <v>13134</v>
      </c>
      <c r="V3238" t="s">
        <v>13134</v>
      </c>
      <c r="W3238" t="s">
        <v>16318</v>
      </c>
      <c r="X3238">
        <v>20</v>
      </c>
      <c r="Y3238" t="s">
        <v>22735</v>
      </c>
      <c r="Z3238" t="s">
        <v>29206</v>
      </c>
      <c r="AA3238">
        <v>0.32512319468994849</v>
      </c>
      <c r="AB3238" t="str">
        <f>HYPERLINK("Melting_Curves/meltCurve_Q06187_BTK.pdf", "Melting_Curves/meltCurve_Q06187_BTK.pdf")</f>
        <v>Melting_Curves/meltCurve_Q06187_BTK.pdf</v>
      </c>
    </row>
    <row r="3239" spans="1:28" x14ac:dyDescent="0.25">
      <c r="A3239" t="s">
        <v>3243</v>
      </c>
      <c r="B3239">
        <v>0.99472303558308395</v>
      </c>
      <c r="C3239">
        <v>0.96031566562452997</v>
      </c>
      <c r="D3239">
        <v>0.79406780401950205</v>
      </c>
      <c r="E3239">
        <v>0.71501681640672898</v>
      </c>
      <c r="F3239">
        <v>0.76591698008508102</v>
      </c>
      <c r="G3239">
        <v>0.46161595871149502</v>
      </c>
      <c r="H3239">
        <v>0.365927048474042</v>
      </c>
      <c r="I3239">
        <v>0.28298228349230597</v>
      </c>
      <c r="J3239">
        <v>0.51463392378356598</v>
      </c>
      <c r="K3239">
        <v>0.43394421802206501</v>
      </c>
      <c r="L3239">
        <v>534.45826424704296</v>
      </c>
      <c r="M3239">
        <v>11.088638767600401</v>
      </c>
      <c r="N3239">
        <v>54.362101520834003</v>
      </c>
      <c r="O3239">
        <v>46.710791662905102</v>
      </c>
      <c r="P3239">
        <v>-3.8126868887023102E-2</v>
      </c>
      <c r="Q3239">
        <v>0.35777376382405401</v>
      </c>
      <c r="R3239">
        <v>0.86804962702453903</v>
      </c>
      <c r="S3239" t="s">
        <v>9807</v>
      </c>
      <c r="T3239" t="s">
        <v>13134</v>
      </c>
      <c r="U3239" t="s">
        <v>13134</v>
      </c>
      <c r="V3239" t="s">
        <v>13134</v>
      </c>
      <c r="W3239" t="s">
        <v>16319</v>
      </c>
      <c r="X3239">
        <v>27</v>
      </c>
      <c r="Y3239" t="s">
        <v>22736</v>
      </c>
      <c r="Z3239" t="s">
        <v>29207</v>
      </c>
      <c r="AA3239">
        <v>0.61973683880021535</v>
      </c>
      <c r="AB3239" t="str">
        <f>HYPERLINK("Melting_Curves/meltCurve_Q06203_PPAT.pdf", "Melting_Curves/meltCurve_Q06203_PPAT.pdf")</f>
        <v>Melting_Curves/meltCurve_Q06203_PPAT.pdf</v>
      </c>
    </row>
    <row r="3240" spans="1:28" x14ac:dyDescent="0.25">
      <c r="A3240" t="s">
        <v>3244</v>
      </c>
      <c r="B3240">
        <v>0.99472303558308395</v>
      </c>
      <c r="C3240">
        <v>0.89498763906867296</v>
      </c>
      <c r="D3240">
        <v>0.74441251438209999</v>
      </c>
      <c r="E3240">
        <v>0.68335988534435799</v>
      </c>
      <c r="F3240">
        <v>0.81541502026590296</v>
      </c>
      <c r="G3240">
        <v>0.39527488963523</v>
      </c>
      <c r="H3240">
        <v>0.18054266294535601</v>
      </c>
      <c r="I3240">
        <v>5.9042292538350402E-2</v>
      </c>
      <c r="J3240">
        <v>5.7907971008475202E-2</v>
      </c>
      <c r="K3240">
        <v>6.0736520396117599E-2</v>
      </c>
      <c r="L3240">
        <v>593.40808838461101</v>
      </c>
      <c r="M3240">
        <v>11.484525096084401</v>
      </c>
      <c r="N3240">
        <v>51.670233018316402</v>
      </c>
      <c r="O3240">
        <v>50.1780776139856</v>
      </c>
      <c r="P3240">
        <v>-5.7235185406163701E-2</v>
      </c>
      <c r="Q3240">
        <v>0</v>
      </c>
      <c r="R3240">
        <v>0.915759558389451</v>
      </c>
      <c r="S3240" t="s">
        <v>9808</v>
      </c>
      <c r="T3240" t="s">
        <v>13134</v>
      </c>
      <c r="U3240" t="s">
        <v>13134</v>
      </c>
      <c r="V3240" t="s">
        <v>13134</v>
      </c>
      <c r="W3240" t="s">
        <v>16320</v>
      </c>
      <c r="X3240">
        <v>37</v>
      </c>
      <c r="Y3240" t="s">
        <v>22737</v>
      </c>
      <c r="Z3240" t="s">
        <v>29208</v>
      </c>
      <c r="AA3240">
        <v>0.51445813723047373</v>
      </c>
      <c r="AB3240" t="str">
        <f>HYPERLINK("Melting_Curves/meltCurve_Q06210_2_GFPT1.pdf", "Melting_Curves/meltCurve_Q06210_2_GFPT1.pdf")</f>
        <v>Melting_Curves/meltCurve_Q06210_2_GFPT1.pdf</v>
      </c>
    </row>
    <row r="3241" spans="1:28" x14ac:dyDescent="0.25">
      <c r="A3241" t="s">
        <v>3245</v>
      </c>
      <c r="B3241">
        <v>0.99472303558308395</v>
      </c>
      <c r="C3241">
        <v>0.972143484087162</v>
      </c>
      <c r="D3241">
        <v>0.99493924044165005</v>
      </c>
      <c r="E3241">
        <v>1.0774041776066701</v>
      </c>
      <c r="F3241">
        <v>1.27494607742651</v>
      </c>
      <c r="G3241">
        <v>0.92897367371984696</v>
      </c>
      <c r="H3241">
        <v>0.688744109299393</v>
      </c>
      <c r="I3241">
        <v>0.57546310794546596</v>
      </c>
      <c r="J3241">
        <v>0.53628184836950799</v>
      </c>
      <c r="K3241">
        <v>0.24832982549997601</v>
      </c>
      <c r="L3241">
        <v>1109.31066803316</v>
      </c>
      <c r="M3241">
        <v>18.3158259391227</v>
      </c>
      <c r="N3241">
        <v>62.394903768351199</v>
      </c>
      <c r="O3241">
        <v>59.857561825501698</v>
      </c>
      <c r="P3241">
        <v>-6.0608781652866303E-2</v>
      </c>
      <c r="Q3241">
        <v>0.20773940915716399</v>
      </c>
      <c r="R3241">
        <v>0.856561163791004</v>
      </c>
      <c r="S3241" t="s">
        <v>9809</v>
      </c>
      <c r="T3241" t="s">
        <v>13134</v>
      </c>
      <c r="U3241" t="s">
        <v>13134</v>
      </c>
      <c r="V3241" t="s">
        <v>13134</v>
      </c>
      <c r="W3241" t="s">
        <v>16321</v>
      </c>
      <c r="X3241">
        <v>12</v>
      </c>
      <c r="Y3241" t="s">
        <v>22738</v>
      </c>
      <c r="Z3241" t="s">
        <v>29209</v>
      </c>
      <c r="AA3241">
        <v>0.82682867230749268</v>
      </c>
      <c r="AB3241" t="str">
        <f>HYPERLINK("Melting_Curves/meltCurve_Q06265_EXOSC9.pdf", "Melting_Curves/meltCurve_Q06265_EXOSC9.pdf")</f>
        <v>Melting_Curves/meltCurve_Q06265_EXOSC9.pdf</v>
      </c>
    </row>
    <row r="3242" spans="1:28" x14ac:dyDescent="0.25">
      <c r="A3242" t="s">
        <v>3246</v>
      </c>
      <c r="B3242">
        <v>0.99472303558308395</v>
      </c>
      <c r="C3242">
        <v>0.99522437956698995</v>
      </c>
      <c r="D3242">
        <v>0.95272973695532603</v>
      </c>
      <c r="E3242">
        <v>0.93065699625099996</v>
      </c>
      <c r="F3242">
        <v>0.72247209432106396</v>
      </c>
      <c r="G3242">
        <v>0.60697142989228603</v>
      </c>
      <c r="H3242">
        <v>0.35391332621149602</v>
      </c>
      <c r="I3242">
        <v>0.14904436982725899</v>
      </c>
      <c r="J3242">
        <v>7.4985036561967797E-2</v>
      </c>
      <c r="K3242">
        <v>7.25161823449543E-2</v>
      </c>
      <c r="L3242">
        <v>782.15994058737999</v>
      </c>
      <c r="M3242">
        <v>14.318938417563499</v>
      </c>
      <c r="N3242">
        <v>54.624157179972599</v>
      </c>
      <c r="O3242">
        <v>53.591875578530299</v>
      </c>
      <c r="P3242">
        <v>-6.6804296023006596E-2</v>
      </c>
      <c r="Q3242">
        <v>0</v>
      </c>
      <c r="R3242">
        <v>0.99313035235369695</v>
      </c>
      <c r="S3242" t="s">
        <v>9810</v>
      </c>
      <c r="T3242" t="s">
        <v>13134</v>
      </c>
      <c r="U3242" t="s">
        <v>13134</v>
      </c>
      <c r="V3242" t="s">
        <v>13134</v>
      </c>
      <c r="W3242" t="s">
        <v>16322</v>
      </c>
      <c r="X3242">
        <v>9</v>
      </c>
      <c r="Y3242" t="s">
        <v>22739</v>
      </c>
      <c r="Z3242" t="s">
        <v>29210</v>
      </c>
      <c r="AA3242">
        <v>0.60274521882566456</v>
      </c>
      <c r="AB3242" t="str">
        <f>HYPERLINK("Melting_Curves/meltCurve_Q06330_5_RBPJ.pdf", "Melting_Curves/meltCurve_Q06330_5_RBPJ.pdf")</f>
        <v>Melting_Curves/meltCurve_Q06330_5_RBPJ.pdf</v>
      </c>
    </row>
    <row r="3243" spans="1:28" x14ac:dyDescent="0.25">
      <c r="A3243" t="s">
        <v>3247</v>
      </c>
      <c r="B3243">
        <v>0.99472303558308395</v>
      </c>
      <c r="C3243">
        <v>1.0198378237391299</v>
      </c>
      <c r="D3243">
        <v>0.94277358745946704</v>
      </c>
      <c r="E3243">
        <v>0.79022020335014398</v>
      </c>
      <c r="F3243">
        <v>0.53572049359120799</v>
      </c>
      <c r="G3243">
        <v>0.172063235958791</v>
      </c>
      <c r="H3243">
        <v>6.5544522059658203E-2</v>
      </c>
      <c r="I3243">
        <v>5.4350652402616002E-2</v>
      </c>
      <c r="J3243">
        <v>4.80654028128654E-2</v>
      </c>
      <c r="K3243">
        <v>4.1060069751540203E-2</v>
      </c>
      <c r="L3243">
        <v>1030.68222027457</v>
      </c>
      <c r="M3243">
        <v>20.625763224997598</v>
      </c>
      <c r="N3243">
        <v>50.092792391910599</v>
      </c>
      <c r="O3243">
        <v>49.5080094579437</v>
      </c>
      <c r="P3243">
        <v>-0.101601734842608</v>
      </c>
      <c r="Q3243">
        <v>2.4529731471706E-2</v>
      </c>
      <c r="R3243">
        <v>0.99622332165583605</v>
      </c>
      <c r="S3243" t="s">
        <v>9811</v>
      </c>
      <c r="T3243" t="s">
        <v>13134</v>
      </c>
      <c r="U3243" t="s">
        <v>13134</v>
      </c>
      <c r="V3243" t="s">
        <v>13134</v>
      </c>
      <c r="W3243" t="s">
        <v>16323</v>
      </c>
      <c r="X3243">
        <v>6</v>
      </c>
      <c r="Y3243" t="s">
        <v>22740</v>
      </c>
      <c r="Z3243" t="s">
        <v>29211</v>
      </c>
      <c r="AA3243">
        <v>0.45844513096292311</v>
      </c>
      <c r="AB3243" t="str">
        <f>HYPERLINK("Melting_Curves/meltCurve_Q06413_5_MEF2C.pdf", "Melting_Curves/meltCurve_Q06413_5_MEF2C.pdf")</f>
        <v>Melting_Curves/meltCurve_Q06413_5_MEF2C.pdf</v>
      </c>
    </row>
    <row r="3244" spans="1:28" x14ac:dyDescent="0.25">
      <c r="A3244" t="s">
        <v>3248</v>
      </c>
      <c r="B3244">
        <v>0.99472303558308395</v>
      </c>
      <c r="C3244">
        <v>1.1220938544933201</v>
      </c>
      <c r="D3244">
        <v>0.90455387621730099</v>
      </c>
      <c r="E3244">
        <v>0.77008851484640295</v>
      </c>
      <c r="F3244">
        <v>0.59528411033666995</v>
      </c>
      <c r="G3244">
        <v>0.25508457056553502</v>
      </c>
      <c r="H3244">
        <v>9.5829146520263406E-2</v>
      </c>
      <c r="I3244">
        <v>0.11999474082603299</v>
      </c>
      <c r="J3244">
        <v>0.15965646618288301</v>
      </c>
      <c r="K3244">
        <v>0.132634161309298</v>
      </c>
      <c r="L3244">
        <v>967.25520445460199</v>
      </c>
      <c r="M3244">
        <v>19.382642522984099</v>
      </c>
      <c r="N3244">
        <v>50.4990966585652</v>
      </c>
      <c r="O3244">
        <v>49.3810726738905</v>
      </c>
      <c r="P3244">
        <v>-8.8099636193291503E-2</v>
      </c>
      <c r="Q3244">
        <v>0.10222877598810701</v>
      </c>
      <c r="R3244">
        <v>0.97609172511361197</v>
      </c>
      <c r="S3244" t="s">
        <v>9812</v>
      </c>
      <c r="T3244" t="s">
        <v>13134</v>
      </c>
      <c r="U3244" t="s">
        <v>13134</v>
      </c>
      <c r="V3244" t="s">
        <v>13134</v>
      </c>
      <c r="W3244" t="s">
        <v>16324</v>
      </c>
      <c r="X3244">
        <v>6</v>
      </c>
      <c r="Y3244" t="s">
        <v>22740</v>
      </c>
      <c r="Z3244" t="s">
        <v>29212</v>
      </c>
      <c r="AA3244">
        <v>0.50085536708931044</v>
      </c>
      <c r="AB3244" t="str">
        <f>HYPERLINK("Melting_Curves/meltCurve_Q06413_6_MEF2C.pdf", "Melting_Curves/meltCurve_Q06413_6_MEF2C.pdf")</f>
        <v>Melting_Curves/meltCurve_Q06413_6_MEF2C.pdf</v>
      </c>
    </row>
    <row r="3245" spans="1:28" x14ac:dyDescent="0.25">
      <c r="A3245" t="s">
        <v>3249</v>
      </c>
      <c r="B3245">
        <v>0.99472303558308395</v>
      </c>
      <c r="C3245">
        <v>1.06301489251586</v>
      </c>
      <c r="D3245">
        <v>0.92221962902652399</v>
      </c>
      <c r="E3245">
        <v>0.78786179023581504</v>
      </c>
      <c r="F3245">
        <v>0.56013335984005497</v>
      </c>
      <c r="G3245">
        <v>0.33517790715788498</v>
      </c>
      <c r="H3245">
        <v>0.23787330060147199</v>
      </c>
      <c r="I3245">
        <v>0.20388244616481199</v>
      </c>
      <c r="J3245">
        <v>0.25476967344794399</v>
      </c>
      <c r="K3245">
        <v>0.22762625604723499</v>
      </c>
      <c r="L3245">
        <v>935.211613639034</v>
      </c>
      <c r="M3245">
        <v>18.9881488701343</v>
      </c>
      <c r="N3245">
        <v>50.7188584423794</v>
      </c>
      <c r="O3245">
        <v>48.715863261475903</v>
      </c>
      <c r="P3245">
        <v>-7.6862289964425901E-2</v>
      </c>
      <c r="Q3245">
        <v>0.21124208114170001</v>
      </c>
      <c r="R3245">
        <v>0.991403348063011</v>
      </c>
      <c r="S3245" t="s">
        <v>9813</v>
      </c>
      <c r="T3245" t="s">
        <v>13134</v>
      </c>
      <c r="U3245" t="s">
        <v>13134</v>
      </c>
      <c r="V3245" t="s">
        <v>13134</v>
      </c>
      <c r="W3245" t="s">
        <v>16325</v>
      </c>
      <c r="X3245">
        <v>12</v>
      </c>
      <c r="Y3245" t="s">
        <v>22741</v>
      </c>
      <c r="Z3245" t="s">
        <v>29213</v>
      </c>
      <c r="AA3245">
        <v>0.54478527512327979</v>
      </c>
      <c r="AB3245" t="str">
        <f>HYPERLINK("Melting_Curves/meltCurve_Q06481_APLP2.pdf", "Melting_Curves/meltCurve_Q06481_APLP2.pdf")</f>
        <v>Melting_Curves/meltCurve_Q06481_APLP2.pdf</v>
      </c>
    </row>
    <row r="3246" spans="1:28" x14ac:dyDescent="0.25">
      <c r="A3246" t="s">
        <v>3250</v>
      </c>
      <c r="B3246">
        <v>0.99472303558308395</v>
      </c>
      <c r="C3246">
        <v>0.89310497891951302</v>
      </c>
      <c r="D3246">
        <v>0.82424502717927495</v>
      </c>
      <c r="E3246">
        <v>0.47209790780517402</v>
      </c>
      <c r="F3246">
        <v>0.19256721447130301</v>
      </c>
      <c r="G3246">
        <v>9.1937822946949105E-2</v>
      </c>
      <c r="H3246">
        <v>4.9139945922669001E-2</v>
      </c>
      <c r="I3246">
        <v>3.92746209596797E-2</v>
      </c>
      <c r="J3246">
        <v>3.4368753943642097E-2</v>
      </c>
      <c r="K3246">
        <v>3.5073976487975E-2</v>
      </c>
      <c r="L3246">
        <v>855.35652919893596</v>
      </c>
      <c r="M3246">
        <v>18.537039116513501</v>
      </c>
      <c r="N3246">
        <v>46.281192986780802</v>
      </c>
      <c r="O3246">
        <v>45.6161630264575</v>
      </c>
      <c r="P3246">
        <v>-9.8863650807887699E-2</v>
      </c>
      <c r="Q3246">
        <v>2.69035077426114E-2</v>
      </c>
      <c r="R3246">
        <v>0.99723840007018905</v>
      </c>
      <c r="S3246" t="s">
        <v>9814</v>
      </c>
      <c r="T3246" t="s">
        <v>13134</v>
      </c>
      <c r="U3246" t="s">
        <v>13134</v>
      </c>
      <c r="V3246" t="s">
        <v>13134</v>
      </c>
      <c r="W3246" t="s">
        <v>16326</v>
      </c>
      <c r="X3246">
        <v>6</v>
      </c>
      <c r="Y3246" t="s">
        <v>22742</v>
      </c>
      <c r="Z3246" t="s">
        <v>29214</v>
      </c>
      <c r="AA3246">
        <v>0.33828975668528638</v>
      </c>
      <c r="AB3246" t="str">
        <f>HYPERLINK("Melting_Curves/meltCurve_Q06546_GABPA.pdf", "Melting_Curves/meltCurve_Q06546_GABPA.pdf")</f>
        <v>Melting_Curves/meltCurve_Q06546_GABPA.pdf</v>
      </c>
    </row>
    <row r="3247" spans="1:28" x14ac:dyDescent="0.25">
      <c r="A3247" t="s">
        <v>3251</v>
      </c>
      <c r="B3247">
        <v>0.99472303558308395</v>
      </c>
      <c r="C3247">
        <v>0.92989528675839195</v>
      </c>
      <c r="D3247">
        <v>0.80316848215997405</v>
      </c>
      <c r="E3247">
        <v>0.609204740463409</v>
      </c>
      <c r="F3247">
        <v>0.35995860348181802</v>
      </c>
      <c r="G3247">
        <v>0.19305365540934299</v>
      </c>
      <c r="H3247">
        <v>8.7206311291080099E-2</v>
      </c>
      <c r="I3247">
        <v>7.3360633318044793E-2</v>
      </c>
      <c r="J3247">
        <v>6.9898513834605006E-2</v>
      </c>
      <c r="K3247">
        <v>4.46055798881448E-2</v>
      </c>
      <c r="L3247">
        <v>649.11940999863498</v>
      </c>
      <c r="M3247">
        <v>13.5948082046308</v>
      </c>
      <c r="N3247">
        <v>47.914754675740703</v>
      </c>
      <c r="O3247">
        <v>46.749996177724398</v>
      </c>
      <c r="P3247">
        <v>-7.1026314079584901E-2</v>
      </c>
      <c r="Q3247">
        <v>2.3160267012816298E-2</v>
      </c>
      <c r="R3247">
        <v>0.99857979989789403</v>
      </c>
      <c r="S3247" t="s">
        <v>9815</v>
      </c>
      <c r="T3247" t="s">
        <v>13134</v>
      </c>
      <c r="U3247" t="s">
        <v>13134</v>
      </c>
      <c r="V3247" t="s">
        <v>13134</v>
      </c>
      <c r="W3247" t="s">
        <v>16327</v>
      </c>
      <c r="X3247">
        <v>5</v>
      </c>
      <c r="Y3247" t="s">
        <v>22743</v>
      </c>
      <c r="Z3247" t="s">
        <v>29215</v>
      </c>
      <c r="AA3247">
        <v>0.3986041914819482</v>
      </c>
      <c r="AB3247" t="str">
        <f>HYPERLINK("Melting_Curves/meltCurve_Q06587_RING1.pdf", "Melting_Curves/meltCurve_Q06587_RING1.pdf")</f>
        <v>Melting_Curves/meltCurve_Q06587_RING1.pdf</v>
      </c>
    </row>
    <row r="3248" spans="1:28" x14ac:dyDescent="0.25">
      <c r="A3248" t="s">
        <v>3252</v>
      </c>
      <c r="B3248">
        <v>0.99472303558308395</v>
      </c>
      <c r="C3248">
        <v>1.0041034533014599</v>
      </c>
      <c r="D3248">
        <v>0.95237676930250503</v>
      </c>
      <c r="E3248">
        <v>0.84902961154421697</v>
      </c>
      <c r="F3248">
        <v>0.68073904048127998</v>
      </c>
      <c r="G3248">
        <v>0.44675411262805098</v>
      </c>
      <c r="H3248">
        <v>0.226252678697799</v>
      </c>
      <c r="I3248">
        <v>9.5782084132761E-2</v>
      </c>
      <c r="J3248">
        <v>0.109360360495334</v>
      </c>
      <c r="K3248">
        <v>9.4497492156723095E-2</v>
      </c>
      <c r="L3248">
        <v>793.08029567699703</v>
      </c>
      <c r="M3248">
        <v>15.1433260498852</v>
      </c>
      <c r="N3248">
        <v>52.645963035391503</v>
      </c>
      <c r="O3248">
        <v>51.483790476417497</v>
      </c>
      <c r="P3248">
        <v>-7.0751129857895501E-2</v>
      </c>
      <c r="Q3248">
        <v>3.7943962449181898E-2</v>
      </c>
      <c r="R3248">
        <v>0.99692595718676802</v>
      </c>
      <c r="S3248" t="s">
        <v>9816</v>
      </c>
      <c r="T3248" t="s">
        <v>13134</v>
      </c>
      <c r="U3248" t="s">
        <v>13134</v>
      </c>
      <c r="V3248" t="s">
        <v>13134</v>
      </c>
      <c r="W3248" t="s">
        <v>16328</v>
      </c>
      <c r="X3248">
        <v>8</v>
      </c>
      <c r="Y3248" t="s">
        <v>22744</v>
      </c>
      <c r="Z3248" t="s">
        <v>29216</v>
      </c>
      <c r="AA3248">
        <v>0.54868824349407108</v>
      </c>
      <c r="AB3248" t="str">
        <f>HYPERLINK("Melting_Curves/meltCurve_Q06609_3_RAD51.pdf", "Melting_Curves/meltCurve_Q06609_3_RAD51.pdf")</f>
        <v>Melting_Curves/meltCurve_Q06609_3_RAD51.pdf</v>
      </c>
    </row>
    <row r="3249" spans="1:28" x14ac:dyDescent="0.25">
      <c r="A3249" t="s">
        <v>3253</v>
      </c>
      <c r="B3249">
        <v>0.99472303558308395</v>
      </c>
      <c r="C3249">
        <v>0.90148662697061599</v>
      </c>
      <c r="D3249">
        <v>1.0129339165325599</v>
      </c>
      <c r="E3249">
        <v>0.90372868926378602</v>
      </c>
      <c r="F3249">
        <v>0.699715919851566</v>
      </c>
      <c r="G3249">
        <v>0.43245278989583602</v>
      </c>
      <c r="H3249">
        <v>0.14313761302843001</v>
      </c>
      <c r="I3249">
        <v>7.12656978394417E-2</v>
      </c>
      <c r="J3249">
        <v>7.6454325775674806E-2</v>
      </c>
      <c r="K3249">
        <v>6.4602583581402098E-2</v>
      </c>
      <c r="L3249">
        <v>1021.67398103515</v>
      </c>
      <c r="M3249">
        <v>19.506535253187099</v>
      </c>
      <c r="N3249">
        <v>52.564680020375199</v>
      </c>
      <c r="O3249">
        <v>51.834848633198298</v>
      </c>
      <c r="P3249">
        <v>-9.0902207540903099E-2</v>
      </c>
      <c r="Q3249">
        <v>3.3814553751169603E-2</v>
      </c>
      <c r="R3249">
        <v>0.99075661477421395</v>
      </c>
      <c r="S3249" t="s">
        <v>9817</v>
      </c>
      <c r="T3249" t="s">
        <v>13134</v>
      </c>
      <c r="U3249" t="s">
        <v>13134</v>
      </c>
      <c r="V3249" t="s">
        <v>13134</v>
      </c>
      <c r="W3249" t="s">
        <v>16329</v>
      </c>
      <c r="X3249">
        <v>21</v>
      </c>
      <c r="Y3249" t="s">
        <v>22745</v>
      </c>
      <c r="Z3249" t="s">
        <v>29217</v>
      </c>
      <c r="AA3249">
        <v>0.54187087684375757</v>
      </c>
      <c r="AB3249" t="str">
        <f>HYPERLINK("Melting_Curves/meltCurve_Q06830_PRDX1.pdf", "Melting_Curves/meltCurve_Q06830_PRDX1.pdf")</f>
        <v>Melting_Curves/meltCurve_Q06830_PRDX1.pdf</v>
      </c>
    </row>
    <row r="3250" spans="1:28" x14ac:dyDescent="0.25">
      <c r="A3250" t="s">
        <v>3254</v>
      </c>
      <c r="B3250">
        <v>0.99472303558308395</v>
      </c>
      <c r="C3250">
        <v>0.95157364703527703</v>
      </c>
      <c r="D3250">
        <v>0.79472773077761105</v>
      </c>
      <c r="E3250">
        <v>0.74475638468918703</v>
      </c>
      <c r="F3250">
        <v>0.51176643452835302</v>
      </c>
      <c r="G3250">
        <v>0.15424123651508201</v>
      </c>
      <c r="H3250">
        <v>0.10096004806198899</v>
      </c>
      <c r="I3250">
        <v>7.0124773266717996E-2</v>
      </c>
      <c r="J3250">
        <v>6.59009647579928E-2</v>
      </c>
      <c r="K3250">
        <v>6.7100407254796393E-2</v>
      </c>
      <c r="L3250">
        <v>718.99768078766999</v>
      </c>
      <c r="M3250">
        <v>14.5938822456975</v>
      </c>
      <c r="N3250">
        <v>49.375074843550998</v>
      </c>
      <c r="O3250">
        <v>48.369732830037002</v>
      </c>
      <c r="P3250">
        <v>-7.4251929053074706E-2</v>
      </c>
      <c r="Q3250">
        <v>1.5713016384835899E-2</v>
      </c>
      <c r="R3250">
        <v>0.98139375355134895</v>
      </c>
      <c r="S3250" t="s">
        <v>9818</v>
      </c>
      <c r="T3250" t="s">
        <v>13134</v>
      </c>
      <c r="U3250" t="s">
        <v>13134</v>
      </c>
      <c r="V3250" t="s">
        <v>13134</v>
      </c>
      <c r="W3250" t="s">
        <v>16330</v>
      </c>
      <c r="X3250">
        <v>7</v>
      </c>
      <c r="Y3250" t="s">
        <v>22746</v>
      </c>
      <c r="Z3250" t="s">
        <v>29218</v>
      </c>
      <c r="AA3250">
        <v>0.44011334108008748</v>
      </c>
      <c r="AB3250" t="str">
        <f>HYPERLINK("Melting_Curves/meltCurve_Q07021_C1QBP.pdf", "Melting_Curves/meltCurve_Q07021_C1QBP.pdf")</f>
        <v>Melting_Curves/meltCurve_Q07021_C1QBP.pdf</v>
      </c>
    </row>
    <row r="3251" spans="1:28" x14ac:dyDescent="0.25">
      <c r="A3251" t="s">
        <v>3255</v>
      </c>
      <c r="B3251">
        <v>0.99472303558308395</v>
      </c>
      <c r="C3251">
        <v>1.0988585299793401</v>
      </c>
      <c r="D3251">
        <v>0.96782454881826496</v>
      </c>
      <c r="E3251">
        <v>0.90346744412997704</v>
      </c>
      <c r="F3251">
        <v>0.55504602034134598</v>
      </c>
      <c r="G3251">
        <v>0.46702378787951798</v>
      </c>
      <c r="H3251">
        <v>0.36444797328434803</v>
      </c>
      <c r="I3251">
        <v>0.45970696751474199</v>
      </c>
      <c r="J3251">
        <v>0.58187964654728297</v>
      </c>
      <c r="K3251">
        <v>0.33391750474473503</v>
      </c>
      <c r="L3251">
        <v>1851.9741319160901</v>
      </c>
      <c r="M3251">
        <v>38.203497201211</v>
      </c>
      <c r="N3251">
        <v>51.282741308840798</v>
      </c>
      <c r="O3251">
        <v>48.344306430981497</v>
      </c>
      <c r="P3251">
        <v>-0.11099182249376301</v>
      </c>
      <c r="Q3251">
        <v>0.43818658110918102</v>
      </c>
      <c r="R3251">
        <v>0.93490940678590795</v>
      </c>
      <c r="S3251" t="s">
        <v>9819</v>
      </c>
      <c r="T3251" t="s">
        <v>13134</v>
      </c>
      <c r="U3251" t="s">
        <v>13134</v>
      </c>
      <c r="V3251" t="s">
        <v>13134</v>
      </c>
      <c r="W3251" t="s">
        <v>16331</v>
      </c>
      <c r="X3251">
        <v>2</v>
      </c>
      <c r="Y3251" t="s">
        <v>22747</v>
      </c>
      <c r="Z3251" t="s">
        <v>29219</v>
      </c>
      <c r="AA3251">
        <v>0.65517438733987521</v>
      </c>
      <c r="AB3251" t="str">
        <f>HYPERLINK("Melting_Curves/meltCurve_Q07108_CD69.pdf", "Melting_Curves/meltCurve_Q07108_CD69.pdf")</f>
        <v>Melting_Curves/meltCurve_Q07108_CD69.pdf</v>
      </c>
    </row>
    <row r="3252" spans="1:28" x14ac:dyDescent="0.25">
      <c r="A3252" t="s">
        <v>3256</v>
      </c>
      <c r="B3252">
        <v>0.99472303558308395</v>
      </c>
      <c r="C3252">
        <v>0.82079623558551795</v>
      </c>
      <c r="D3252">
        <v>1.00214240950143</v>
      </c>
      <c r="E3252">
        <v>0.75157355142204796</v>
      </c>
      <c r="F3252">
        <v>0.58838969123719698</v>
      </c>
      <c r="G3252">
        <v>0.17790521873692</v>
      </c>
      <c r="H3252">
        <v>6.4587470462446395E-2</v>
      </c>
      <c r="I3252">
        <v>4.1083754291458198E-2</v>
      </c>
      <c r="J3252">
        <v>6.4305417726394906E-2</v>
      </c>
      <c r="K3252">
        <v>5.9437307410862401E-2</v>
      </c>
      <c r="L3252">
        <v>970.20771400157605</v>
      </c>
      <c r="M3252">
        <v>19.350478998025</v>
      </c>
      <c r="N3252">
        <v>50.260594068897298</v>
      </c>
      <c r="O3252">
        <v>49.612424721605699</v>
      </c>
      <c r="P3252">
        <v>-9.5276752403448794E-2</v>
      </c>
      <c r="Q3252">
        <v>2.2921233724718201E-2</v>
      </c>
      <c r="R3252">
        <v>0.96870662492503101</v>
      </c>
      <c r="S3252" t="s">
        <v>9820</v>
      </c>
      <c r="T3252" t="s">
        <v>13134</v>
      </c>
      <c r="U3252" t="s">
        <v>13134</v>
      </c>
      <c r="V3252" t="s">
        <v>13134</v>
      </c>
      <c r="W3252" t="s">
        <v>16332</v>
      </c>
      <c r="X3252">
        <v>3</v>
      </c>
      <c r="Y3252" t="s">
        <v>22748</v>
      </c>
      <c r="Z3252" t="s">
        <v>29220</v>
      </c>
      <c r="AA3252">
        <v>0.46445408524792209</v>
      </c>
      <c r="AB3252" t="str">
        <f>HYPERLINK("Melting_Curves/meltCurve_Q07283_TCHH.pdf", "Melting_Curves/meltCurve_Q07283_TCHH.pdf")</f>
        <v>Melting_Curves/meltCurve_Q07283_TCHH.pdf</v>
      </c>
    </row>
    <row r="3253" spans="1:28" x14ac:dyDescent="0.25">
      <c r="A3253" t="s">
        <v>3257</v>
      </c>
      <c r="B3253">
        <v>0.99472303558308395</v>
      </c>
      <c r="C3253">
        <v>1.04737742058961</v>
      </c>
      <c r="D3253">
        <v>0.99994605268062897</v>
      </c>
      <c r="E3253">
        <v>0.76248663866442301</v>
      </c>
      <c r="F3253">
        <v>0.454520462056758</v>
      </c>
      <c r="G3253">
        <v>0.15815094384157</v>
      </c>
      <c r="H3253">
        <v>5.2383410507671202E-2</v>
      </c>
      <c r="I3253">
        <v>3.6036426540367802E-2</v>
      </c>
      <c r="J3253">
        <v>3.4900828325444097E-2</v>
      </c>
      <c r="K3253">
        <v>2.7773173206012702E-2</v>
      </c>
      <c r="L3253">
        <v>1071.76479966995</v>
      </c>
      <c r="M3253">
        <v>21.668154129902401</v>
      </c>
      <c r="N3253">
        <v>49.556027267064501</v>
      </c>
      <c r="O3253">
        <v>49.047159713701703</v>
      </c>
      <c r="P3253">
        <v>-0.108239312701054</v>
      </c>
      <c r="Q3253">
        <v>1.9998657489282499E-2</v>
      </c>
      <c r="R3253">
        <v>0.99669333286394002</v>
      </c>
      <c r="S3253" t="s">
        <v>9821</v>
      </c>
      <c r="T3253" t="s">
        <v>13134</v>
      </c>
      <c r="U3253" t="s">
        <v>13134</v>
      </c>
      <c r="V3253" t="s">
        <v>13134</v>
      </c>
      <c r="W3253" t="s">
        <v>16333</v>
      </c>
      <c r="X3253">
        <v>12</v>
      </c>
      <c r="Y3253" t="s">
        <v>22749</v>
      </c>
      <c r="Z3253" t="s">
        <v>29221</v>
      </c>
      <c r="AA3253">
        <v>0.43827597242920369</v>
      </c>
      <c r="AB3253" t="str">
        <f>HYPERLINK("Melting_Curves/meltCurve_Q07666_KHDRBS1.pdf", "Melting_Curves/meltCurve_Q07666_KHDRBS1.pdf")</f>
        <v>Melting_Curves/meltCurve_Q07666_KHDRBS1.pdf</v>
      </c>
    </row>
    <row r="3254" spans="1:28" x14ac:dyDescent="0.25">
      <c r="A3254" t="s">
        <v>3258</v>
      </c>
      <c r="B3254">
        <v>0.99472303558308395</v>
      </c>
      <c r="C3254">
        <v>0.99320702167063601</v>
      </c>
      <c r="D3254">
        <v>0.92926461688606099</v>
      </c>
      <c r="E3254">
        <v>0.83852892687467995</v>
      </c>
      <c r="F3254">
        <v>0.63496657277539303</v>
      </c>
      <c r="G3254">
        <v>0.45458750176389801</v>
      </c>
      <c r="H3254">
        <v>0.373568482744916</v>
      </c>
      <c r="I3254">
        <v>0.33141244591378399</v>
      </c>
      <c r="J3254">
        <v>0.394867502336466</v>
      </c>
      <c r="K3254">
        <v>0.29636908332682799</v>
      </c>
      <c r="L3254">
        <v>844.94277536604898</v>
      </c>
      <c r="M3254">
        <v>17.030681964394901</v>
      </c>
      <c r="N3254">
        <v>52.797265514225401</v>
      </c>
      <c r="O3254">
        <v>48.944078172313603</v>
      </c>
      <c r="P3254">
        <v>-5.9071319120379003E-2</v>
      </c>
      <c r="Q3254">
        <v>0.32098688112597201</v>
      </c>
      <c r="R3254">
        <v>0.99222449340518304</v>
      </c>
      <c r="S3254" t="s">
        <v>9822</v>
      </c>
      <c r="T3254" t="s">
        <v>13134</v>
      </c>
      <c r="U3254" t="s">
        <v>13134</v>
      </c>
      <c r="V3254" t="s">
        <v>13134</v>
      </c>
      <c r="W3254" t="s">
        <v>16334</v>
      </c>
      <c r="X3254">
        <v>7</v>
      </c>
      <c r="Y3254" t="s">
        <v>22750</v>
      </c>
      <c r="Z3254" t="s">
        <v>29222</v>
      </c>
      <c r="AA3254">
        <v>0.61824192219601415</v>
      </c>
      <c r="AB3254" t="str">
        <f>HYPERLINK("Melting_Curves/meltCurve_Q07812_5_BAX.pdf", "Melting_Curves/meltCurve_Q07812_5_BAX.pdf")</f>
        <v>Melting_Curves/meltCurve_Q07812_5_BAX.pdf</v>
      </c>
    </row>
    <row r="3255" spans="1:28" x14ac:dyDescent="0.25">
      <c r="A3255" t="s">
        <v>3259</v>
      </c>
      <c r="B3255">
        <v>0.99472303558308395</v>
      </c>
      <c r="C3255">
        <v>0.95468957569826995</v>
      </c>
      <c r="D3255">
        <v>0.90412010753657701</v>
      </c>
      <c r="E3255">
        <v>0.81977802446395198</v>
      </c>
      <c r="F3255">
        <v>0.55938965135760199</v>
      </c>
      <c r="G3255">
        <v>0.40188605980870501</v>
      </c>
      <c r="H3255">
        <v>0.32399374181444102</v>
      </c>
      <c r="I3255">
        <v>0.230199006228302</v>
      </c>
      <c r="J3255">
        <v>0.29679633900299701</v>
      </c>
      <c r="K3255">
        <v>0.23140316630330399</v>
      </c>
      <c r="L3255">
        <v>761.25113173735303</v>
      </c>
      <c r="M3255">
        <v>15.3779880878997</v>
      </c>
      <c r="N3255">
        <v>51.5664876343712</v>
      </c>
      <c r="O3255">
        <v>48.688196266093598</v>
      </c>
      <c r="P3255">
        <v>-6.0821233948840897E-2</v>
      </c>
      <c r="Q3255">
        <v>0.22980697022468299</v>
      </c>
      <c r="R3255">
        <v>0.99260247324466999</v>
      </c>
      <c r="S3255" t="s">
        <v>9823</v>
      </c>
      <c r="T3255" t="s">
        <v>13134</v>
      </c>
      <c r="U3255" t="s">
        <v>13134</v>
      </c>
      <c r="V3255" t="s">
        <v>13134</v>
      </c>
      <c r="W3255" t="s">
        <v>16335</v>
      </c>
      <c r="X3255">
        <v>5</v>
      </c>
      <c r="Y3255" t="s">
        <v>22751</v>
      </c>
      <c r="Z3255" t="s">
        <v>29223</v>
      </c>
      <c r="AA3255">
        <v>0.56652624642520844</v>
      </c>
      <c r="AB3255" t="str">
        <f>HYPERLINK("Melting_Curves/meltCurve_Q07820_MCL1.pdf", "Melting_Curves/meltCurve_Q07820_MCL1.pdf")</f>
        <v>Melting_Curves/meltCurve_Q07820_MCL1.pdf</v>
      </c>
    </row>
    <row r="3256" spans="1:28" x14ac:dyDescent="0.25">
      <c r="A3256" t="s">
        <v>3260</v>
      </c>
      <c r="B3256">
        <v>0.99472303558308395</v>
      </c>
      <c r="C3256">
        <v>0.92644270043368304</v>
      </c>
      <c r="D3256">
        <v>0.579853827438229</v>
      </c>
      <c r="E3256">
        <v>0.26349891867712699</v>
      </c>
      <c r="F3256">
        <v>0.16586703605244099</v>
      </c>
      <c r="G3256">
        <v>8.7500937049108399E-2</v>
      </c>
      <c r="H3256">
        <v>5.7968008646366101E-2</v>
      </c>
      <c r="I3256">
        <v>4.50883640334599E-2</v>
      </c>
      <c r="J3256">
        <v>4.5884481160775502E-2</v>
      </c>
      <c r="K3256">
        <v>4.4677211079532098E-2</v>
      </c>
      <c r="L3256">
        <v>898.30339640944305</v>
      </c>
      <c r="M3256">
        <v>20.5376560263207</v>
      </c>
      <c r="N3256">
        <v>43.997586697818797</v>
      </c>
      <c r="O3256">
        <v>43.330997359357902</v>
      </c>
      <c r="P3256">
        <v>-0.11176773973755801</v>
      </c>
      <c r="Q3256">
        <v>5.6783531364384E-2</v>
      </c>
      <c r="R3256">
        <v>0.99544155679926505</v>
      </c>
      <c r="S3256" t="s">
        <v>9824</v>
      </c>
      <c r="T3256" t="s">
        <v>13134</v>
      </c>
      <c r="U3256" t="s">
        <v>13134</v>
      </c>
      <c r="V3256" t="s">
        <v>13134</v>
      </c>
      <c r="W3256" t="s">
        <v>16336</v>
      </c>
      <c r="X3256">
        <v>20</v>
      </c>
      <c r="Y3256" t="s">
        <v>22752</v>
      </c>
      <c r="Z3256" t="s">
        <v>29224</v>
      </c>
      <c r="AA3256">
        <v>0.28066984169601622</v>
      </c>
      <c r="AB3256" t="str">
        <f>HYPERLINK("Melting_Curves/meltCurve_Q07864_POLE.pdf", "Melting_Curves/meltCurve_Q07864_POLE.pdf")</f>
        <v>Melting_Curves/meltCurve_Q07864_POLE.pdf</v>
      </c>
    </row>
    <row r="3257" spans="1:28" x14ac:dyDescent="0.25">
      <c r="A3257" t="s">
        <v>3261</v>
      </c>
      <c r="B3257">
        <v>0.99472303558308395</v>
      </c>
      <c r="C3257">
        <v>0.94540832039522504</v>
      </c>
      <c r="D3257">
        <v>0.86665552339915597</v>
      </c>
      <c r="E3257">
        <v>0.76467287153158403</v>
      </c>
      <c r="F3257">
        <v>0.55376282497020302</v>
      </c>
      <c r="G3257">
        <v>0.120424595283041</v>
      </c>
      <c r="H3257">
        <v>5.5470718366054703E-2</v>
      </c>
      <c r="I3257">
        <v>3.8849184912841603E-2</v>
      </c>
      <c r="J3257">
        <v>4.9712640432753599E-2</v>
      </c>
      <c r="K3257">
        <v>3.8388947924333998E-2</v>
      </c>
      <c r="L3257">
        <v>922.90090359794601</v>
      </c>
      <c r="M3257">
        <v>18.5385286988055</v>
      </c>
      <c r="N3257">
        <v>49.812779867034997</v>
      </c>
      <c r="O3257">
        <v>49.214437686350699</v>
      </c>
      <c r="P3257">
        <v>-9.3655241306784195E-2</v>
      </c>
      <c r="Q3257">
        <v>5.5332909544608001E-3</v>
      </c>
      <c r="R3257">
        <v>0.98337202103323595</v>
      </c>
      <c r="S3257" t="s">
        <v>9825</v>
      </c>
      <c r="T3257" t="s">
        <v>13134</v>
      </c>
      <c r="U3257" t="s">
        <v>13134</v>
      </c>
      <c r="V3257" t="s">
        <v>13134</v>
      </c>
      <c r="W3257" t="s">
        <v>16337</v>
      </c>
      <c r="X3257">
        <v>35</v>
      </c>
      <c r="Y3257" t="s">
        <v>22753</v>
      </c>
      <c r="Z3257" t="s">
        <v>29225</v>
      </c>
      <c r="AA3257">
        <v>0.44421536222415647</v>
      </c>
      <c r="AB3257" t="str">
        <f>HYPERLINK("Melting_Curves/meltCurve_Q07866_6_KLC1.pdf", "Melting_Curves/meltCurve_Q07866_6_KLC1.pdf")</f>
        <v>Melting_Curves/meltCurve_Q07866_6_KLC1.pdf</v>
      </c>
    </row>
    <row r="3258" spans="1:28" x14ac:dyDescent="0.25">
      <c r="A3258" t="s">
        <v>3262</v>
      </c>
      <c r="B3258">
        <v>0.99472303558308395</v>
      </c>
      <c r="C3258">
        <v>0.98187523638031804</v>
      </c>
      <c r="D3258">
        <v>1.0042359649339101</v>
      </c>
      <c r="E3258">
        <v>0.93298147747408</v>
      </c>
      <c r="F3258">
        <v>0.57167618358904104</v>
      </c>
      <c r="G3258">
        <v>0.17908975244724301</v>
      </c>
      <c r="H3258">
        <v>0.113103186866731</v>
      </c>
      <c r="I3258">
        <v>7.8066816494236704E-2</v>
      </c>
      <c r="J3258">
        <v>9.5640280790024401E-2</v>
      </c>
      <c r="K3258">
        <v>7.0256349702389795E-2</v>
      </c>
      <c r="L3258">
        <v>1632.0664774899501</v>
      </c>
      <c r="M3258">
        <v>32.3928328097441</v>
      </c>
      <c r="N3258">
        <v>50.665506944508202</v>
      </c>
      <c r="O3258">
        <v>50.1927134207194</v>
      </c>
      <c r="P3258">
        <v>-0.14803663357140101</v>
      </c>
      <c r="Q3258">
        <v>8.2473016369681795E-2</v>
      </c>
      <c r="R3258">
        <v>0.99938301141346098</v>
      </c>
      <c r="S3258" t="s">
        <v>9826</v>
      </c>
      <c r="T3258" t="s">
        <v>13134</v>
      </c>
      <c r="U3258" t="s">
        <v>13134</v>
      </c>
      <c r="V3258" t="s">
        <v>13134</v>
      </c>
      <c r="W3258" t="s">
        <v>16338</v>
      </c>
      <c r="X3258">
        <v>17</v>
      </c>
      <c r="Y3258" t="s">
        <v>22754</v>
      </c>
      <c r="Z3258" t="s">
        <v>29226</v>
      </c>
      <c r="AA3258">
        <v>0.49666646425036282</v>
      </c>
      <c r="AB3258" t="str">
        <f>HYPERLINK("Melting_Curves/meltCurve_Q07960_ARHGAP1.pdf", "Melting_Curves/meltCurve_Q07960_ARHGAP1.pdf")</f>
        <v>Melting_Curves/meltCurve_Q07960_ARHGAP1.pdf</v>
      </c>
    </row>
    <row r="3259" spans="1:28" x14ac:dyDescent="0.25">
      <c r="A3259" t="s">
        <v>3263</v>
      </c>
      <c r="B3259">
        <v>0.99472303558308395</v>
      </c>
      <c r="C3259">
        <v>0.696567591769643</v>
      </c>
      <c r="D3259">
        <v>0.99527520369216704</v>
      </c>
      <c r="E3259">
        <v>0.629703962756052</v>
      </c>
      <c r="F3259">
        <v>0.28600572684594899</v>
      </c>
      <c r="G3259">
        <v>0.208434431122826</v>
      </c>
      <c r="H3259">
        <v>0.153051791400583</v>
      </c>
      <c r="I3259">
        <v>0.13355337586527499</v>
      </c>
      <c r="J3259">
        <v>0.16101625866119501</v>
      </c>
      <c r="K3259">
        <v>0.15862132661291001</v>
      </c>
      <c r="L3259">
        <v>1143.7859470828901</v>
      </c>
      <c r="M3259">
        <v>24.280250912539</v>
      </c>
      <c r="N3259">
        <v>47.804551113246099</v>
      </c>
      <c r="O3259">
        <v>46.791603162758904</v>
      </c>
      <c r="P3259">
        <v>-0.110392082965349</v>
      </c>
      <c r="Q3259">
        <v>0.149045892032488</v>
      </c>
      <c r="R3259">
        <v>0.91820835680619595</v>
      </c>
      <c r="S3259" t="s">
        <v>9827</v>
      </c>
      <c r="T3259" t="s">
        <v>13134</v>
      </c>
      <c r="U3259" t="s">
        <v>13134</v>
      </c>
      <c r="V3259" t="s">
        <v>13134</v>
      </c>
      <c r="W3259" t="s">
        <v>16339</v>
      </c>
      <c r="X3259">
        <v>6</v>
      </c>
      <c r="Y3259" t="s">
        <v>22755</v>
      </c>
      <c r="Z3259" t="s">
        <v>29227</v>
      </c>
      <c r="AA3259">
        <v>0.44334078205946281</v>
      </c>
      <c r="AB3259" t="str">
        <f>HYPERLINK("Melting_Curves/meltCurve_Q08170_SRSF4.pdf", "Melting_Curves/meltCurve_Q08170_SRSF4.pdf")</f>
        <v>Melting_Curves/meltCurve_Q08170_SRSF4.pdf</v>
      </c>
    </row>
    <row r="3260" spans="1:28" x14ac:dyDescent="0.25">
      <c r="A3260" t="s">
        <v>3264</v>
      </c>
      <c r="B3260">
        <v>0.99472303558308395</v>
      </c>
      <c r="C3260">
        <v>1.0097712800412899</v>
      </c>
      <c r="D3260">
        <v>1.0633903932562301</v>
      </c>
      <c r="E3260">
        <v>0.89263785997217304</v>
      </c>
      <c r="F3260">
        <v>0.70536997991313299</v>
      </c>
      <c r="G3260">
        <v>0.53384599257339505</v>
      </c>
      <c r="H3260">
        <v>0.186576769712199</v>
      </c>
      <c r="I3260">
        <v>0.106210310543461</v>
      </c>
      <c r="J3260">
        <v>0.145632364951645</v>
      </c>
      <c r="K3260">
        <v>0.110260124872091</v>
      </c>
      <c r="L3260">
        <v>976.173840404374</v>
      </c>
      <c r="M3260">
        <v>18.4987372838211</v>
      </c>
      <c r="N3260">
        <v>53.242072433781502</v>
      </c>
      <c r="O3260">
        <v>52.164673390425101</v>
      </c>
      <c r="P3260">
        <v>-8.1950141277149405E-2</v>
      </c>
      <c r="Q3260">
        <v>7.5674433779384404E-2</v>
      </c>
      <c r="R3260">
        <v>0.98586104046496204</v>
      </c>
      <c r="S3260" t="s">
        <v>9828</v>
      </c>
      <c r="T3260" t="s">
        <v>13134</v>
      </c>
      <c r="U3260" t="s">
        <v>13134</v>
      </c>
      <c r="V3260" t="s">
        <v>13134</v>
      </c>
      <c r="W3260" t="s">
        <v>16340</v>
      </c>
      <c r="X3260">
        <v>7</v>
      </c>
      <c r="Y3260" t="s">
        <v>22756</v>
      </c>
      <c r="Z3260" t="s">
        <v>29228</v>
      </c>
      <c r="AA3260">
        <v>0.57464872506362885</v>
      </c>
      <c r="AB3260" t="str">
        <f>HYPERLINK("Melting_Curves/meltCurve_Q08209_2_PPP3CA.pdf", "Melting_Curves/meltCurve_Q08209_2_PPP3CA.pdf")</f>
        <v>Melting_Curves/meltCurve_Q08209_2_PPP3CA.pdf</v>
      </c>
    </row>
    <row r="3261" spans="1:28" x14ac:dyDescent="0.25">
      <c r="A3261" t="s">
        <v>3265</v>
      </c>
      <c r="B3261">
        <v>0.99472303558308395</v>
      </c>
      <c r="C3261">
        <v>0.77970056756752304</v>
      </c>
      <c r="D3261">
        <v>0.76264728824684003</v>
      </c>
      <c r="E3261">
        <v>0.47929249188209799</v>
      </c>
      <c r="F3261">
        <v>0.33133597694391298</v>
      </c>
      <c r="G3261">
        <v>9.3681644615428494E-2</v>
      </c>
      <c r="H3261">
        <v>5.0527794658136803E-2</v>
      </c>
      <c r="I3261">
        <v>4.23241544919307E-2</v>
      </c>
      <c r="J3261">
        <v>4.4733883674816698E-2</v>
      </c>
      <c r="K3261">
        <v>4.2426557857038902E-2</v>
      </c>
      <c r="L3261">
        <v>568.15826366121496</v>
      </c>
      <c r="M3261">
        <v>12.269399445364501</v>
      </c>
      <c r="N3261">
        <v>46.306933430705499</v>
      </c>
      <c r="O3261">
        <v>45.128375311669103</v>
      </c>
      <c r="P3261">
        <v>-6.7984499443947896E-2</v>
      </c>
      <c r="Q3261">
        <v>0</v>
      </c>
      <c r="R3261">
        <v>0.98277904821795303</v>
      </c>
      <c r="S3261" t="s">
        <v>9829</v>
      </c>
      <c r="T3261" t="s">
        <v>13134</v>
      </c>
      <c r="U3261" t="s">
        <v>13134</v>
      </c>
      <c r="V3261" t="s">
        <v>13134</v>
      </c>
      <c r="W3261" t="s">
        <v>16341</v>
      </c>
      <c r="X3261">
        <v>26</v>
      </c>
      <c r="Y3261" t="s">
        <v>22757</v>
      </c>
      <c r="Z3261" t="s">
        <v>29229</v>
      </c>
      <c r="AA3261">
        <v>0.34296369289872258</v>
      </c>
      <c r="AB3261" t="str">
        <f>HYPERLINK("Melting_Curves/meltCurve_Q08211_DHX9.pdf", "Melting_Curves/meltCurve_Q08211_DHX9.pdf")</f>
        <v>Melting_Curves/meltCurve_Q08211_DHX9.pdf</v>
      </c>
    </row>
    <row r="3262" spans="1:28" x14ac:dyDescent="0.25">
      <c r="A3262" t="s">
        <v>3266</v>
      </c>
      <c r="B3262">
        <v>0.99472303558308395</v>
      </c>
      <c r="C3262">
        <v>0.92097258979525598</v>
      </c>
      <c r="D3262">
        <v>0.96510653021955095</v>
      </c>
      <c r="E3262">
        <v>0.84995740644671403</v>
      </c>
      <c r="F3262">
        <v>0.61426076521633699</v>
      </c>
      <c r="G3262">
        <v>0.51127839814224496</v>
      </c>
      <c r="H3262">
        <v>0.29219390290476199</v>
      </c>
      <c r="I3262">
        <v>7.0420141622986904E-2</v>
      </c>
      <c r="J3262">
        <v>6.5682451641418102E-2</v>
      </c>
      <c r="K3262">
        <v>6.6965696635913299E-2</v>
      </c>
      <c r="L3262">
        <v>691.38239197386304</v>
      </c>
      <c r="M3262">
        <v>13.0866541288925</v>
      </c>
      <c r="N3262">
        <v>52.831104569681202</v>
      </c>
      <c r="O3262">
        <v>51.6431560864294</v>
      </c>
      <c r="P3262">
        <v>-6.33622651992585E-2</v>
      </c>
      <c r="Q3262">
        <v>0</v>
      </c>
      <c r="R3262">
        <v>0.98570893337811105</v>
      </c>
      <c r="S3262" t="s">
        <v>9830</v>
      </c>
      <c r="T3262" t="s">
        <v>13134</v>
      </c>
      <c r="U3262" t="s">
        <v>13134</v>
      </c>
      <c r="V3262" t="s">
        <v>13134</v>
      </c>
      <c r="W3262" t="s">
        <v>16342</v>
      </c>
      <c r="X3262">
        <v>16</v>
      </c>
      <c r="Y3262" t="s">
        <v>22758</v>
      </c>
      <c r="Z3262" t="s">
        <v>29230</v>
      </c>
      <c r="AA3262">
        <v>0.548072171450253</v>
      </c>
      <c r="AB3262" t="str">
        <f>HYPERLINK("Melting_Curves/meltCurve_Q08257_CRYZ.pdf", "Melting_Curves/meltCurve_Q08257_CRYZ.pdf")</f>
        <v>Melting_Curves/meltCurve_Q08257_CRYZ.pdf</v>
      </c>
    </row>
    <row r="3263" spans="1:28" x14ac:dyDescent="0.25">
      <c r="A3263" t="s">
        <v>3267</v>
      </c>
      <c r="B3263">
        <v>0.99472303558308395</v>
      </c>
      <c r="C3263">
        <v>0.83561977294065604</v>
      </c>
      <c r="D3263">
        <v>0.85264142050778702</v>
      </c>
      <c r="E3263">
        <v>0.65183166266576198</v>
      </c>
      <c r="F3263">
        <v>0.49937817734654</v>
      </c>
      <c r="G3263">
        <v>0.32816833167016402</v>
      </c>
      <c r="H3263">
        <v>0.23116433484790699</v>
      </c>
      <c r="I3263">
        <v>7.0154331302196601E-2</v>
      </c>
      <c r="J3263">
        <v>9.8451680308961606E-2</v>
      </c>
      <c r="K3263">
        <v>9.31996961081617E-2</v>
      </c>
      <c r="L3263">
        <v>488.50031227141</v>
      </c>
      <c r="M3263">
        <v>9.8222883284852003</v>
      </c>
      <c r="N3263">
        <v>49.733855753043102</v>
      </c>
      <c r="O3263">
        <v>47.803919577998698</v>
      </c>
      <c r="P3263">
        <v>-5.1394366824708999E-2</v>
      </c>
      <c r="Q3263">
        <v>0</v>
      </c>
      <c r="R3263">
        <v>0.98670718947259195</v>
      </c>
      <c r="S3263" t="s">
        <v>9831</v>
      </c>
      <c r="T3263" t="s">
        <v>13134</v>
      </c>
      <c r="U3263" t="s">
        <v>13134</v>
      </c>
      <c r="V3263" t="s">
        <v>13134</v>
      </c>
      <c r="W3263" t="s">
        <v>16343</v>
      </c>
      <c r="X3263">
        <v>5</v>
      </c>
      <c r="Y3263" t="s">
        <v>22759</v>
      </c>
      <c r="Z3263" t="s">
        <v>29231</v>
      </c>
      <c r="AA3263">
        <v>0.45988907538500662</v>
      </c>
      <c r="AB3263" t="str">
        <f>HYPERLINK("Melting_Curves/meltCurve_Q08345_2_DDR1.pdf", "Melting_Curves/meltCurve_Q08345_2_DDR1.pdf")</f>
        <v>Melting_Curves/meltCurve_Q08345_2_DDR1.pdf</v>
      </c>
    </row>
    <row r="3264" spans="1:28" x14ac:dyDescent="0.25">
      <c r="A3264" t="s">
        <v>3268</v>
      </c>
      <c r="B3264">
        <v>0.99472303558308395</v>
      </c>
      <c r="C3264">
        <v>1.0783195677428099</v>
      </c>
      <c r="D3264">
        <v>0.80206352459075803</v>
      </c>
      <c r="E3264">
        <v>0.82253008542329697</v>
      </c>
      <c r="F3264">
        <v>0.65116496612372698</v>
      </c>
      <c r="G3264">
        <v>0.42988887458444403</v>
      </c>
      <c r="H3264">
        <v>0.34065277017887802</v>
      </c>
      <c r="I3264">
        <v>0.33855116623180398</v>
      </c>
      <c r="J3264">
        <v>0.31487043620689797</v>
      </c>
      <c r="K3264">
        <v>0.439207586664769</v>
      </c>
      <c r="L3264">
        <v>773.88230443618295</v>
      </c>
      <c r="M3264">
        <v>15.8136711260833</v>
      </c>
      <c r="N3264">
        <v>52.5724943505125</v>
      </c>
      <c r="O3264">
        <v>48.175021886687503</v>
      </c>
      <c r="P3264">
        <v>-5.4785389444442299E-2</v>
      </c>
      <c r="Q3264">
        <v>0.33245846126290102</v>
      </c>
      <c r="R3264">
        <v>0.94035268818194695</v>
      </c>
      <c r="S3264" t="s">
        <v>9832</v>
      </c>
      <c r="T3264" t="s">
        <v>13134</v>
      </c>
      <c r="U3264" t="s">
        <v>13134</v>
      </c>
      <c r="V3264" t="s">
        <v>13134</v>
      </c>
      <c r="W3264" t="s">
        <v>16344</v>
      </c>
      <c r="X3264">
        <v>4</v>
      </c>
      <c r="Y3264" t="s">
        <v>22760</v>
      </c>
      <c r="Z3264" t="s">
        <v>29232</v>
      </c>
      <c r="AA3264">
        <v>0.6113007795409785</v>
      </c>
      <c r="AB3264" t="str">
        <f>HYPERLINK("Melting_Curves/meltCurve_Q08357_SLC20A2.pdf", "Melting_Curves/meltCurve_Q08357_SLC20A2.pdf")</f>
        <v>Melting_Curves/meltCurve_Q08357_SLC20A2.pdf</v>
      </c>
    </row>
    <row r="3265" spans="1:28" x14ac:dyDescent="0.25">
      <c r="A3265" t="s">
        <v>3269</v>
      </c>
      <c r="B3265">
        <v>0.99472303558308395</v>
      </c>
      <c r="C3265">
        <v>0.95557766121381804</v>
      </c>
      <c r="D3265">
        <v>0.78090579560600903</v>
      </c>
      <c r="E3265">
        <v>0.65203478815346105</v>
      </c>
      <c r="F3265">
        <v>0.49222592575853602</v>
      </c>
      <c r="G3265">
        <v>0.189413855108816</v>
      </c>
      <c r="H3265">
        <v>0.114930354450056</v>
      </c>
      <c r="I3265">
        <v>9.48282246096952E-2</v>
      </c>
      <c r="J3265">
        <v>0.127825134074912</v>
      </c>
      <c r="K3265">
        <v>0.10587186873146801</v>
      </c>
      <c r="L3265">
        <v>632.674911036705</v>
      </c>
      <c r="M3265">
        <v>13.094399575195199</v>
      </c>
      <c r="N3265">
        <v>48.747146914366603</v>
      </c>
      <c r="O3265">
        <v>47.231265499802902</v>
      </c>
      <c r="P3265">
        <v>-6.5535195381678402E-2</v>
      </c>
      <c r="Q3265">
        <v>5.4625635287680503E-2</v>
      </c>
      <c r="R3265">
        <v>0.98462131625652505</v>
      </c>
      <c r="S3265" t="s">
        <v>9833</v>
      </c>
      <c r="T3265" t="s">
        <v>13134</v>
      </c>
      <c r="U3265" t="s">
        <v>13134</v>
      </c>
      <c r="V3265" t="s">
        <v>13134</v>
      </c>
      <c r="W3265" t="s">
        <v>16345</v>
      </c>
      <c r="X3265">
        <v>49</v>
      </c>
      <c r="Y3265" t="s">
        <v>22761</v>
      </c>
      <c r="Z3265" t="s">
        <v>29233</v>
      </c>
      <c r="AA3265">
        <v>0.43686468336135392</v>
      </c>
      <c r="AB3265" t="str">
        <f>HYPERLINK("Melting_Curves/meltCurve_Q08378_GOLGA3.pdf", "Melting_Curves/meltCurve_Q08378_GOLGA3.pdf")</f>
        <v>Melting_Curves/meltCurve_Q08378_GOLGA3.pdf</v>
      </c>
    </row>
    <row r="3266" spans="1:28" x14ac:dyDescent="0.25">
      <c r="A3266" t="s">
        <v>3270</v>
      </c>
      <c r="B3266">
        <v>0.99472303558308395</v>
      </c>
      <c r="C3266">
        <v>0.88608408658992999</v>
      </c>
      <c r="D3266">
        <v>0.65911572732605805</v>
      </c>
      <c r="E3266">
        <v>0.37869215001265999</v>
      </c>
      <c r="F3266">
        <v>0.20337053456225801</v>
      </c>
      <c r="G3266">
        <v>0.11713678466437499</v>
      </c>
      <c r="H3266">
        <v>7.6682796635773404E-2</v>
      </c>
      <c r="I3266">
        <v>6.6972556377953602E-2</v>
      </c>
      <c r="J3266">
        <v>8.6761002947150806E-2</v>
      </c>
      <c r="K3266">
        <v>6.54278656903413E-2</v>
      </c>
      <c r="L3266">
        <v>734.04221061963904</v>
      </c>
      <c r="M3266">
        <v>16.454831696357601</v>
      </c>
      <c r="N3266">
        <v>44.988571156949497</v>
      </c>
      <c r="O3266">
        <v>43.966299828717801</v>
      </c>
      <c r="P3266">
        <v>-8.7514861267623395E-2</v>
      </c>
      <c r="Q3266">
        <v>6.47287742169501E-2</v>
      </c>
      <c r="R3266">
        <v>0.99881401258554403</v>
      </c>
      <c r="S3266" t="s">
        <v>9834</v>
      </c>
      <c r="T3266" t="s">
        <v>13134</v>
      </c>
      <c r="U3266" t="s">
        <v>13134</v>
      </c>
      <c r="V3266" t="s">
        <v>13134</v>
      </c>
      <c r="W3266" t="s">
        <v>16346</v>
      </c>
      <c r="X3266">
        <v>34</v>
      </c>
      <c r="Y3266" t="s">
        <v>22762</v>
      </c>
      <c r="Z3266" t="s">
        <v>29234</v>
      </c>
      <c r="AA3266">
        <v>0.32063164283922652</v>
      </c>
      <c r="AB3266" t="str">
        <f>HYPERLINK("Melting_Curves/meltCurve_Q08379_GOLGA2.pdf", "Melting_Curves/meltCurve_Q08379_GOLGA2.pdf")</f>
        <v>Melting_Curves/meltCurve_Q08379_GOLGA2.pdf</v>
      </c>
    </row>
    <row r="3267" spans="1:28" x14ac:dyDescent="0.25">
      <c r="A3267" t="s">
        <v>3271</v>
      </c>
      <c r="B3267">
        <v>0.99472303558308395</v>
      </c>
      <c r="C3267">
        <v>0.95836511508544997</v>
      </c>
      <c r="D3267">
        <v>0.90434008630318097</v>
      </c>
      <c r="E3267">
        <v>0.73692979644308698</v>
      </c>
      <c r="F3267">
        <v>0.544688777992547</v>
      </c>
      <c r="G3267">
        <v>0.20221532738523099</v>
      </c>
      <c r="H3267">
        <v>9.8605123426102004E-2</v>
      </c>
      <c r="I3267">
        <v>6.0294926561707297E-2</v>
      </c>
      <c r="J3267">
        <v>7.6269598276271902E-2</v>
      </c>
      <c r="K3267">
        <v>7.0904426979407895E-2</v>
      </c>
      <c r="L3267">
        <v>822.86795625301295</v>
      </c>
      <c r="M3267">
        <v>16.547876265374601</v>
      </c>
      <c r="N3267">
        <v>49.923314124451998</v>
      </c>
      <c r="O3267">
        <v>49.0173088005523</v>
      </c>
      <c r="P3267">
        <v>-8.1738659645917797E-2</v>
      </c>
      <c r="Q3267">
        <v>3.1577244331703697E-2</v>
      </c>
      <c r="R3267">
        <v>0.99282298583315798</v>
      </c>
      <c r="S3267" t="s">
        <v>9835</v>
      </c>
      <c r="T3267" t="s">
        <v>13134</v>
      </c>
      <c r="U3267" t="s">
        <v>13134</v>
      </c>
      <c r="V3267" t="s">
        <v>13134</v>
      </c>
      <c r="W3267" t="s">
        <v>16347</v>
      </c>
      <c r="X3267">
        <v>9</v>
      </c>
      <c r="Y3267" t="s">
        <v>22763</v>
      </c>
      <c r="Z3267" t="s">
        <v>29235</v>
      </c>
      <c r="AA3267">
        <v>0.45995626001545009</v>
      </c>
      <c r="AB3267" t="str">
        <f>HYPERLINK("Melting_Curves/meltCurve_Q08426_EHHADH.pdf", "Melting_Curves/meltCurve_Q08426_EHHADH.pdf")</f>
        <v>Melting_Curves/meltCurve_Q08426_EHHADH.pdf</v>
      </c>
    </row>
    <row r="3268" spans="1:28" x14ac:dyDescent="0.25">
      <c r="A3268" t="s">
        <v>3272</v>
      </c>
      <c r="B3268">
        <v>0.99472303558308395</v>
      </c>
      <c r="C3268">
        <v>0.96480707083816997</v>
      </c>
      <c r="D3268">
        <v>0.98179455889076295</v>
      </c>
      <c r="E3268">
        <v>0.83363913955583802</v>
      </c>
      <c r="F3268">
        <v>0.56407819748737498</v>
      </c>
      <c r="G3268">
        <v>0.41134527688642097</v>
      </c>
      <c r="H3268">
        <v>0.29846407392247598</v>
      </c>
      <c r="I3268">
        <v>0.28719194848608498</v>
      </c>
      <c r="J3268">
        <v>0.39927329211378398</v>
      </c>
      <c r="K3268">
        <v>0.29434423560829298</v>
      </c>
      <c r="L3268">
        <v>1122.35835131062</v>
      </c>
      <c r="M3268">
        <v>22.919041182886101</v>
      </c>
      <c r="N3268">
        <v>51.196247463464601</v>
      </c>
      <c r="O3268">
        <v>48.6023192665631</v>
      </c>
      <c r="P3268">
        <v>-8.0710414415888498E-2</v>
      </c>
      <c r="Q3268">
        <v>0.31539215082741701</v>
      </c>
      <c r="R3268">
        <v>0.98664087856049598</v>
      </c>
      <c r="S3268" t="s">
        <v>9836</v>
      </c>
      <c r="T3268" t="s">
        <v>13134</v>
      </c>
      <c r="U3268" t="s">
        <v>13134</v>
      </c>
      <c r="V3268" t="s">
        <v>13134</v>
      </c>
      <c r="W3268" t="s">
        <v>16348</v>
      </c>
      <c r="X3268">
        <v>9</v>
      </c>
      <c r="Y3268" t="s">
        <v>22764</v>
      </c>
      <c r="Z3268" t="s">
        <v>29236</v>
      </c>
      <c r="AA3268">
        <v>0.59555532656862864</v>
      </c>
      <c r="AB3268" t="str">
        <f>HYPERLINK("Melting_Curves/meltCurve_Q08495_EPB49.pdf", "Melting_Curves/meltCurve_Q08495_EPB49.pdf")</f>
        <v>Melting_Curves/meltCurve_Q08495_EPB49.pdf</v>
      </c>
    </row>
    <row r="3269" spans="1:28" x14ac:dyDescent="0.25">
      <c r="A3269" t="s">
        <v>3273</v>
      </c>
      <c r="B3269">
        <v>0.99472303558308395</v>
      </c>
      <c r="C3269">
        <v>1.1188696562890801</v>
      </c>
      <c r="D3269">
        <v>0.97237149084225805</v>
      </c>
      <c r="E3269">
        <v>1.13980060103159</v>
      </c>
      <c r="F3269">
        <v>0.84294564483608703</v>
      </c>
      <c r="G3269">
        <v>0.40162430154505602</v>
      </c>
      <c r="H3269">
        <v>0.377804077983876</v>
      </c>
      <c r="I3269">
        <v>0.26765002759798601</v>
      </c>
      <c r="J3269">
        <v>0.23220055704204001</v>
      </c>
      <c r="K3269">
        <v>0.26179919333742502</v>
      </c>
      <c r="L3269">
        <v>2157.71430062741</v>
      </c>
      <c r="M3269">
        <v>41.6200905461085</v>
      </c>
      <c r="N3269">
        <v>52.881548574080902</v>
      </c>
      <c r="O3269">
        <v>51.723843315417298</v>
      </c>
      <c r="P3269">
        <v>-0.145001816413938</v>
      </c>
      <c r="Q3269">
        <v>0.27919066686013</v>
      </c>
      <c r="R3269">
        <v>0.96484137772462497</v>
      </c>
      <c r="S3269" t="s">
        <v>9837</v>
      </c>
      <c r="T3269" t="s">
        <v>13134</v>
      </c>
      <c r="U3269" t="s">
        <v>13134</v>
      </c>
      <c r="V3269" t="s">
        <v>13134</v>
      </c>
      <c r="W3269" t="s">
        <v>16349</v>
      </c>
      <c r="X3269">
        <v>10</v>
      </c>
      <c r="Y3269" t="s">
        <v>22764</v>
      </c>
      <c r="Z3269" t="s">
        <v>29237</v>
      </c>
      <c r="AA3269">
        <v>0.63820596321747836</v>
      </c>
      <c r="AB3269" t="str">
        <f>HYPERLINK("Melting_Curves/meltCurve_Q08495_2_EPB49.pdf", "Melting_Curves/meltCurve_Q08495_2_EPB49.pdf")</f>
        <v>Melting_Curves/meltCurve_Q08495_2_EPB49.pdf</v>
      </c>
    </row>
    <row r="3270" spans="1:28" x14ac:dyDescent="0.25">
      <c r="A3270" t="s">
        <v>3274</v>
      </c>
      <c r="B3270">
        <v>0.99472303558308395</v>
      </c>
      <c r="C3270">
        <v>0.92850016372092103</v>
      </c>
      <c r="D3270">
        <v>0.91506571828000405</v>
      </c>
      <c r="E3270">
        <v>0.83808702989800798</v>
      </c>
      <c r="F3270">
        <v>0.78408189988571197</v>
      </c>
      <c r="G3270">
        <v>0.56317996006496895</v>
      </c>
      <c r="H3270">
        <v>0.46329933549289498</v>
      </c>
      <c r="I3270">
        <v>0.42824796094977902</v>
      </c>
      <c r="J3270">
        <v>0.502812945066061</v>
      </c>
      <c r="K3270">
        <v>0.58044409535996</v>
      </c>
      <c r="L3270">
        <v>781.940931747582</v>
      </c>
      <c r="M3270">
        <v>15.814864437903299</v>
      </c>
      <c r="N3270">
        <v>60.868731093320498</v>
      </c>
      <c r="O3270">
        <v>48.673120809525003</v>
      </c>
      <c r="P3270">
        <v>-4.2705262891907902E-2</v>
      </c>
      <c r="Q3270">
        <v>0.47431031857891098</v>
      </c>
      <c r="R3270">
        <v>0.92462554444457001</v>
      </c>
      <c r="S3270" t="s">
        <v>9838</v>
      </c>
      <c r="T3270" t="s">
        <v>13134</v>
      </c>
      <c r="U3270" t="s">
        <v>13134</v>
      </c>
      <c r="V3270" t="s">
        <v>13134</v>
      </c>
      <c r="W3270" t="s">
        <v>16350</v>
      </c>
      <c r="X3270">
        <v>3</v>
      </c>
      <c r="Y3270" t="s">
        <v>22765</v>
      </c>
      <c r="Z3270" t="s">
        <v>29238</v>
      </c>
      <c r="AA3270">
        <v>0.7026543842164279</v>
      </c>
      <c r="AB3270" t="str">
        <f>HYPERLINK("Melting_Curves/meltCurve_Q08722_CD47.pdf", "Melting_Curves/meltCurve_Q08722_CD47.pdf")</f>
        <v>Melting_Curves/meltCurve_Q08722_CD47.pdf</v>
      </c>
    </row>
    <row r="3271" spans="1:28" x14ac:dyDescent="0.25">
      <c r="A3271" t="s">
        <v>3275</v>
      </c>
      <c r="B3271">
        <v>0.99472303558308395</v>
      </c>
      <c r="C3271">
        <v>0.95927986644295604</v>
      </c>
      <c r="D3271">
        <v>1.0127257781599801</v>
      </c>
      <c r="E3271">
        <v>0.61119280706446399</v>
      </c>
      <c r="F3271">
        <v>0.128040897725891</v>
      </c>
      <c r="G3271">
        <v>7.2310222004740493E-2</v>
      </c>
      <c r="H3271">
        <v>4.2448636807734003E-2</v>
      </c>
      <c r="I3271">
        <v>2.80278706289014E-2</v>
      </c>
      <c r="J3271">
        <v>3.4737761587660697E-2</v>
      </c>
      <c r="K3271">
        <v>3.2134253828228002E-2</v>
      </c>
      <c r="L3271">
        <v>1829.96154775483</v>
      </c>
      <c r="M3271">
        <v>38.858810005873401</v>
      </c>
      <c r="N3271">
        <v>47.1970529156781</v>
      </c>
      <c r="O3271">
        <v>46.968379715728403</v>
      </c>
      <c r="P3271">
        <v>-0.198312940760213</v>
      </c>
      <c r="Q3271">
        <v>4.12042418165397E-2</v>
      </c>
      <c r="R3271">
        <v>0.99785680749026695</v>
      </c>
      <c r="S3271" t="s">
        <v>9839</v>
      </c>
      <c r="T3271" t="s">
        <v>13134</v>
      </c>
      <c r="U3271" t="s">
        <v>13134</v>
      </c>
      <c r="V3271" t="s">
        <v>13134</v>
      </c>
      <c r="W3271" t="s">
        <v>16351</v>
      </c>
      <c r="X3271">
        <v>26</v>
      </c>
      <c r="Y3271" t="s">
        <v>22766</v>
      </c>
      <c r="Z3271" t="s">
        <v>29239</v>
      </c>
      <c r="AA3271">
        <v>0.36707113225131682</v>
      </c>
      <c r="AB3271" t="str">
        <f>HYPERLINK("Melting_Curves/meltCurve_Q08752_PPID.pdf", "Melting_Curves/meltCurve_Q08752_PPID.pdf")</f>
        <v>Melting_Curves/meltCurve_Q08752_PPID.pdf</v>
      </c>
    </row>
    <row r="3272" spans="1:28" x14ac:dyDescent="0.25">
      <c r="A3272" t="s">
        <v>3276</v>
      </c>
      <c r="B3272">
        <v>0.99472303558308395</v>
      </c>
      <c r="C3272">
        <v>0.92362901363685601</v>
      </c>
      <c r="D3272">
        <v>0.77198461586389</v>
      </c>
      <c r="E3272">
        <v>0.63468082551004601</v>
      </c>
      <c r="F3272">
        <v>0.37098571642538503</v>
      </c>
      <c r="G3272">
        <v>0.27088671314898899</v>
      </c>
      <c r="H3272">
        <v>0.114182100971759</v>
      </c>
      <c r="I3272">
        <v>7.2716396754672299E-2</v>
      </c>
      <c r="J3272">
        <v>7.9928634463589193E-2</v>
      </c>
      <c r="K3272">
        <v>7.2385081851928504E-2</v>
      </c>
      <c r="L3272">
        <v>570.34199772397994</v>
      </c>
      <c r="M3272">
        <v>11.8588677290694</v>
      </c>
      <c r="N3272">
        <v>48.268729653565103</v>
      </c>
      <c r="O3272">
        <v>46.787695274008698</v>
      </c>
      <c r="P3272">
        <v>-6.2050672927355499E-2</v>
      </c>
      <c r="Q3272">
        <v>2.0993949227546702E-2</v>
      </c>
      <c r="R3272">
        <v>0.99495544835986305</v>
      </c>
      <c r="S3272" t="s">
        <v>9840</v>
      </c>
      <c r="T3272" t="s">
        <v>13134</v>
      </c>
      <c r="U3272" t="s">
        <v>13134</v>
      </c>
      <c r="V3272" t="s">
        <v>13134</v>
      </c>
      <c r="W3272" t="s">
        <v>16352</v>
      </c>
      <c r="X3272">
        <v>20</v>
      </c>
      <c r="Y3272" t="s">
        <v>22767</v>
      </c>
      <c r="Z3272" t="s">
        <v>29240</v>
      </c>
      <c r="AA3272">
        <v>0.4140676904314789</v>
      </c>
      <c r="AB3272" t="str">
        <f>HYPERLINK("Melting_Curves/meltCurve_Q08945_SSRP1.pdf", "Melting_Curves/meltCurve_Q08945_SSRP1.pdf")</f>
        <v>Melting_Curves/meltCurve_Q08945_SSRP1.pdf</v>
      </c>
    </row>
    <row r="3273" spans="1:28" x14ac:dyDescent="0.25">
      <c r="A3273" t="s">
        <v>3277</v>
      </c>
      <c r="B3273">
        <v>0.99472303558308395</v>
      </c>
      <c r="C3273">
        <v>0.90590548122249404</v>
      </c>
      <c r="D3273">
        <v>0.86235423605714101</v>
      </c>
      <c r="E3273">
        <v>0.82686828224325903</v>
      </c>
      <c r="F3273">
        <v>0.78169894266558204</v>
      </c>
      <c r="G3273">
        <v>0.61728684928645905</v>
      </c>
      <c r="H3273">
        <v>0.62118738111083105</v>
      </c>
      <c r="I3273">
        <v>0.63883257785050096</v>
      </c>
      <c r="J3273">
        <v>0.67987022580642498</v>
      </c>
      <c r="K3273">
        <v>0.49785041111902001</v>
      </c>
      <c r="L3273">
        <v>374.74216114474899</v>
      </c>
      <c r="M3273">
        <v>7.62677479755801</v>
      </c>
      <c r="O3273">
        <v>46.098641968239399</v>
      </c>
      <c r="P3273">
        <v>-1.9885336283191501E-2</v>
      </c>
      <c r="Q3273">
        <v>0.51987566563613996</v>
      </c>
      <c r="R3273">
        <v>0.89138034208716999</v>
      </c>
      <c r="S3273" t="s">
        <v>9841</v>
      </c>
      <c r="T3273" t="s">
        <v>13134</v>
      </c>
      <c r="U3273" t="s">
        <v>13134</v>
      </c>
      <c r="V3273" t="s">
        <v>13134</v>
      </c>
      <c r="W3273" t="s">
        <v>16353</v>
      </c>
      <c r="X3273">
        <v>3</v>
      </c>
      <c r="Y3273" t="s">
        <v>22768</v>
      </c>
      <c r="Z3273" t="s">
        <v>29241</v>
      </c>
      <c r="AA3273">
        <v>0.73690124445053651</v>
      </c>
      <c r="AB3273" t="str">
        <f>HYPERLINK("Melting_Curves/meltCurve_Q08AG7_MZT1.pdf", "Melting_Curves/meltCurve_Q08AG7_MZT1.pdf")</f>
        <v>Melting_Curves/meltCurve_Q08AG7_MZT1.pdf</v>
      </c>
    </row>
    <row r="3274" spans="1:28" x14ac:dyDescent="0.25">
      <c r="A3274" t="s">
        <v>3278</v>
      </c>
      <c r="B3274">
        <v>0.99472303558308395</v>
      </c>
      <c r="C3274">
        <v>0.93386497039677896</v>
      </c>
      <c r="D3274">
        <v>0.79896941965467105</v>
      </c>
      <c r="E3274">
        <v>0.73864595607546402</v>
      </c>
      <c r="F3274">
        <v>0.64073130407805001</v>
      </c>
      <c r="G3274">
        <v>0.34795063157600897</v>
      </c>
      <c r="H3274">
        <v>0.10460043641517899</v>
      </c>
      <c r="I3274">
        <v>6.1393261562964901E-2</v>
      </c>
      <c r="J3274">
        <v>6.3565913703788002E-2</v>
      </c>
      <c r="K3274">
        <v>6.0821902409421702E-2</v>
      </c>
      <c r="L3274">
        <v>640.02208964236104</v>
      </c>
      <c r="M3274">
        <v>12.6066334659911</v>
      </c>
      <c r="N3274">
        <v>50.768677369766003</v>
      </c>
      <c r="O3274">
        <v>49.5420285987013</v>
      </c>
      <c r="P3274">
        <v>-6.3628517003398805E-2</v>
      </c>
      <c r="Q3274">
        <v>0</v>
      </c>
      <c r="R3274">
        <v>0.97469690594838998</v>
      </c>
      <c r="S3274" t="s">
        <v>9842</v>
      </c>
      <c r="T3274" t="s">
        <v>13134</v>
      </c>
      <c r="U3274" t="s">
        <v>13134</v>
      </c>
      <c r="V3274" t="s">
        <v>13134</v>
      </c>
      <c r="W3274" t="s">
        <v>16354</v>
      </c>
      <c r="X3274">
        <v>10</v>
      </c>
      <c r="Y3274" t="s">
        <v>22769</v>
      </c>
      <c r="Z3274" t="s">
        <v>29242</v>
      </c>
      <c r="AA3274">
        <v>0.48410436181429017</v>
      </c>
      <c r="AB3274" t="str">
        <f>HYPERLINK("Melting_Curves/meltCurve_Q08AM6_VAC14.pdf", "Melting_Curves/meltCurve_Q08AM6_VAC14.pdf")</f>
        <v>Melting_Curves/meltCurve_Q08AM6_VAC14.pdf</v>
      </c>
    </row>
    <row r="3275" spans="1:28" x14ac:dyDescent="0.25">
      <c r="A3275" t="s">
        <v>3279</v>
      </c>
      <c r="B3275">
        <v>0.99472303558308395</v>
      </c>
      <c r="C3275">
        <v>1.05165987482543</v>
      </c>
      <c r="D3275">
        <v>0.85512713431680998</v>
      </c>
      <c r="E3275">
        <v>0.71205209378658596</v>
      </c>
      <c r="F3275">
        <v>0.52113141646023997</v>
      </c>
      <c r="G3275">
        <v>0.14782305523310399</v>
      </c>
      <c r="H3275">
        <v>8.0651101463859606E-2</v>
      </c>
      <c r="I3275">
        <v>6.1968899342318501E-2</v>
      </c>
      <c r="J3275">
        <v>5.92986305602883E-2</v>
      </c>
      <c r="K3275">
        <v>3.7299253733079497E-2</v>
      </c>
      <c r="L3275">
        <v>817.47511284887503</v>
      </c>
      <c r="M3275">
        <v>16.555153164779899</v>
      </c>
      <c r="N3275">
        <v>49.468415722744403</v>
      </c>
      <c r="O3275">
        <v>48.6752766248228</v>
      </c>
      <c r="P3275">
        <v>-8.3779504502805704E-2</v>
      </c>
      <c r="Q3275">
        <v>1.47573173343192E-2</v>
      </c>
      <c r="R3275">
        <v>0.98614414687265495</v>
      </c>
      <c r="S3275" t="s">
        <v>9843</v>
      </c>
      <c r="T3275" t="s">
        <v>13134</v>
      </c>
      <c r="U3275" t="s">
        <v>13134</v>
      </c>
      <c r="V3275" t="s">
        <v>13134</v>
      </c>
      <c r="W3275" t="s">
        <v>16355</v>
      </c>
      <c r="X3275">
        <v>10</v>
      </c>
      <c r="Y3275" t="s">
        <v>22770</v>
      </c>
      <c r="Z3275" t="s">
        <v>29243</v>
      </c>
      <c r="AA3275">
        <v>0.43925791147426818</v>
      </c>
      <c r="AB3275" t="str">
        <f>HYPERLINK("Melting_Curves/meltCurve_Q08E86_KIAA0100.pdf", "Melting_Curves/meltCurve_Q08E86_KIAA0100.pdf")</f>
        <v>Melting_Curves/meltCurve_Q08E86_KIAA0100.pdf</v>
      </c>
    </row>
    <row r="3276" spans="1:28" x14ac:dyDescent="0.25">
      <c r="A3276" t="s">
        <v>3280</v>
      </c>
      <c r="B3276">
        <v>0.99472303558308395</v>
      </c>
      <c r="C3276">
        <v>0.907347868310038</v>
      </c>
      <c r="D3276">
        <v>0.54070180514560595</v>
      </c>
      <c r="E3276">
        <v>0.43962924612437898</v>
      </c>
      <c r="F3276">
        <v>0.74769528054437095</v>
      </c>
      <c r="G3276">
        <v>0.27715707574197801</v>
      </c>
      <c r="H3276">
        <v>0.431548590626884</v>
      </c>
      <c r="I3276">
        <v>0.26314615849029999</v>
      </c>
      <c r="J3276">
        <v>0.72312326602646604</v>
      </c>
      <c r="K3276">
        <v>0.98844859032673504</v>
      </c>
      <c r="L3276">
        <v>10028.6991949232</v>
      </c>
      <c r="M3276">
        <v>250</v>
      </c>
      <c r="O3276">
        <v>40.112229715032598</v>
      </c>
      <c r="P3276">
        <v>-0.69892766345546797</v>
      </c>
      <c r="Q3276">
        <v>0.55143124885612904</v>
      </c>
      <c r="R3276">
        <v>0.36850175575032001</v>
      </c>
      <c r="S3276" t="s">
        <v>9844</v>
      </c>
      <c r="T3276" t="s">
        <v>13134</v>
      </c>
      <c r="U3276" t="s">
        <v>13134</v>
      </c>
      <c r="V3276" t="s">
        <v>13134</v>
      </c>
      <c r="W3276" t="s">
        <v>16356</v>
      </c>
      <c r="X3276">
        <v>1</v>
      </c>
      <c r="Y3276" t="s">
        <v>22771</v>
      </c>
      <c r="Z3276" t="s">
        <v>29244</v>
      </c>
      <c r="AA3276">
        <v>0.59803617852740498</v>
      </c>
      <c r="AB3276" t="str">
        <f>HYPERLINK("Melting_Curves/meltCurve_Q08ER3_ZNF365.pdf", "Melting_Curves/meltCurve_Q08ER3_ZNF365.pdf")</f>
        <v>Melting_Curves/meltCurve_Q08ER3_ZNF365.pdf</v>
      </c>
    </row>
    <row r="3277" spans="1:28" x14ac:dyDescent="0.25">
      <c r="A3277" t="s">
        <v>3281</v>
      </c>
      <c r="B3277">
        <v>0.99472303558308395</v>
      </c>
      <c r="C3277">
        <v>0.88914333626267505</v>
      </c>
      <c r="D3277">
        <v>0.76950668037294301</v>
      </c>
      <c r="E3277">
        <v>0.33313462286898898</v>
      </c>
      <c r="F3277">
        <v>0.16355060965670501</v>
      </c>
      <c r="G3277">
        <v>9.5206329357216096E-2</v>
      </c>
      <c r="H3277">
        <v>6.0729356909484299E-2</v>
      </c>
      <c r="I3277">
        <v>4.9057259227062298E-2</v>
      </c>
      <c r="J3277">
        <v>5.9001740242401297E-2</v>
      </c>
      <c r="K3277">
        <v>4.5131267567260498E-2</v>
      </c>
      <c r="L3277">
        <v>929.773655888024</v>
      </c>
      <c r="M3277">
        <v>20.683300587540099</v>
      </c>
      <c r="N3277">
        <v>45.194082397529002</v>
      </c>
      <c r="O3277">
        <v>44.538983997014903</v>
      </c>
      <c r="P3277">
        <v>-0.110032434373747</v>
      </c>
      <c r="Q3277">
        <v>5.2260907181441399E-2</v>
      </c>
      <c r="R3277">
        <v>0.99647948982056</v>
      </c>
      <c r="S3277" t="s">
        <v>9845</v>
      </c>
      <c r="T3277" t="s">
        <v>13134</v>
      </c>
      <c r="U3277" t="s">
        <v>13134</v>
      </c>
      <c r="V3277" t="s">
        <v>13134</v>
      </c>
      <c r="W3277" t="s">
        <v>16357</v>
      </c>
      <c r="X3277">
        <v>35</v>
      </c>
      <c r="Y3277" t="s">
        <v>22772</v>
      </c>
      <c r="Z3277" t="s">
        <v>29245</v>
      </c>
      <c r="AA3277">
        <v>0.31510900466846581</v>
      </c>
      <c r="AB3277" t="str">
        <f>HYPERLINK("Melting_Curves/meltCurve_Q08J23_NSUN2.pdf", "Melting_Curves/meltCurve_Q08J23_NSUN2.pdf")</f>
        <v>Melting_Curves/meltCurve_Q08J23_NSUN2.pdf</v>
      </c>
    </row>
    <row r="3278" spans="1:28" x14ac:dyDescent="0.25">
      <c r="A3278" t="s">
        <v>3282</v>
      </c>
      <c r="B3278">
        <v>0.99472303558308395</v>
      </c>
      <c r="C3278">
        <v>1.0300913555222799</v>
      </c>
      <c r="D3278">
        <v>0.76545563356945001</v>
      </c>
      <c r="E3278">
        <v>0.69272900256568104</v>
      </c>
      <c r="F3278">
        <v>0.59733375114607701</v>
      </c>
      <c r="G3278">
        <v>0.57982221188876004</v>
      </c>
      <c r="H3278">
        <v>0.502470869004914</v>
      </c>
      <c r="I3278">
        <v>0.44760334991131501</v>
      </c>
      <c r="J3278">
        <v>0.29149957562398798</v>
      </c>
      <c r="K3278">
        <v>8.9550508354812097E-2</v>
      </c>
      <c r="L3278">
        <v>349.00179637072</v>
      </c>
      <c r="M3278">
        <v>6.35009546191033</v>
      </c>
      <c r="N3278">
        <v>54.960080488115601</v>
      </c>
      <c r="O3278">
        <v>50.266766552945498</v>
      </c>
      <c r="P3278">
        <v>-3.1665434622833701E-2</v>
      </c>
      <c r="Q3278">
        <v>0</v>
      </c>
      <c r="R3278">
        <v>0.90992805106338503</v>
      </c>
      <c r="S3278" t="s">
        <v>9846</v>
      </c>
      <c r="T3278" t="s">
        <v>13134</v>
      </c>
      <c r="U3278" t="s">
        <v>13134</v>
      </c>
      <c r="V3278" t="s">
        <v>13134</v>
      </c>
      <c r="W3278" t="s">
        <v>16358</v>
      </c>
      <c r="X3278">
        <v>13</v>
      </c>
      <c r="Y3278" t="s">
        <v>22773</v>
      </c>
      <c r="Z3278" t="s">
        <v>29246</v>
      </c>
      <c r="AA3278">
        <v>0.59712554650540883</v>
      </c>
      <c r="AB3278" t="str">
        <f>HYPERLINK("Melting_Curves/meltCurve_Q09028_3_RBBP4.pdf", "Melting_Curves/meltCurve_Q09028_3_RBBP4.pdf")</f>
        <v>Melting_Curves/meltCurve_Q09028_3_RBBP4.pdf</v>
      </c>
    </row>
    <row r="3279" spans="1:28" x14ac:dyDescent="0.25">
      <c r="A3279" t="s">
        <v>3283</v>
      </c>
      <c r="B3279">
        <v>0.99472303558308395</v>
      </c>
      <c r="C3279">
        <v>1.10125456744868</v>
      </c>
      <c r="D3279">
        <v>0.81542191982113099</v>
      </c>
      <c r="E3279">
        <v>0.85306676484266497</v>
      </c>
      <c r="F3279">
        <v>0.70507445313532802</v>
      </c>
      <c r="G3279">
        <v>0.49671906671918398</v>
      </c>
      <c r="H3279">
        <v>0.37088546357968299</v>
      </c>
      <c r="I3279">
        <v>0.28292170975564901</v>
      </c>
      <c r="J3279">
        <v>0.26111805159937301</v>
      </c>
      <c r="K3279">
        <v>0.131781293405005</v>
      </c>
      <c r="L3279">
        <v>537.50652864996505</v>
      </c>
      <c r="M3279">
        <v>10.029845484050901</v>
      </c>
      <c r="N3279">
        <v>54.291044592184903</v>
      </c>
      <c r="O3279">
        <v>51.591051222728296</v>
      </c>
      <c r="P3279">
        <v>-4.5675342301968298E-2</v>
      </c>
      <c r="Q3279">
        <v>6.0680673783740403E-2</v>
      </c>
      <c r="R3279">
        <v>0.96576005716556701</v>
      </c>
      <c r="S3279" t="s">
        <v>9847</v>
      </c>
      <c r="T3279" t="s">
        <v>13134</v>
      </c>
      <c r="U3279" t="s">
        <v>13134</v>
      </c>
      <c r="V3279" t="s">
        <v>13134</v>
      </c>
      <c r="W3279" t="s">
        <v>16359</v>
      </c>
      <c r="X3279">
        <v>12</v>
      </c>
      <c r="Y3279" t="s">
        <v>22773</v>
      </c>
      <c r="Z3279" t="s">
        <v>29247</v>
      </c>
      <c r="AA3279">
        <v>0.59858871446449202</v>
      </c>
      <c r="AB3279" t="str">
        <f>HYPERLINK("Melting_Curves/meltCurve_Q09028_4_RBBP4.pdf", "Melting_Curves/meltCurve_Q09028_4_RBBP4.pdf")</f>
        <v>Melting_Curves/meltCurve_Q09028_4_RBBP4.pdf</v>
      </c>
    </row>
    <row r="3280" spans="1:28" x14ac:dyDescent="0.25">
      <c r="A3280" t="s">
        <v>3284</v>
      </c>
      <c r="B3280">
        <v>0.99472303558308395</v>
      </c>
      <c r="C3280">
        <v>0.98797301685713101</v>
      </c>
      <c r="D3280">
        <v>0.88217107344925905</v>
      </c>
      <c r="E3280">
        <v>0.78710373093377095</v>
      </c>
      <c r="F3280">
        <v>0.52115299308358998</v>
      </c>
      <c r="G3280">
        <v>0.18907469479461</v>
      </c>
      <c r="H3280">
        <v>6.5804452413386103E-2</v>
      </c>
      <c r="I3280">
        <v>4.2458029532583201E-2</v>
      </c>
      <c r="J3280">
        <v>4.7704208311709198E-2</v>
      </c>
      <c r="K3280">
        <v>4.2906577131548503E-2</v>
      </c>
      <c r="L3280">
        <v>910.47028384161695</v>
      </c>
      <c r="M3280">
        <v>18.247159868296801</v>
      </c>
      <c r="N3280">
        <v>49.967572568157401</v>
      </c>
      <c r="O3280">
        <v>49.308849810852301</v>
      </c>
      <c r="P3280">
        <v>-9.1334670571012799E-2</v>
      </c>
      <c r="Q3280">
        <v>1.2800496398261E-2</v>
      </c>
      <c r="R3280">
        <v>0.99436952798131395</v>
      </c>
      <c r="S3280" t="s">
        <v>9848</v>
      </c>
      <c r="T3280" t="s">
        <v>13134</v>
      </c>
      <c r="U3280" t="s">
        <v>13134</v>
      </c>
      <c r="V3280" t="s">
        <v>13134</v>
      </c>
      <c r="W3280" t="s">
        <v>16360</v>
      </c>
      <c r="X3280">
        <v>17</v>
      </c>
      <c r="Y3280" t="s">
        <v>22774</v>
      </c>
      <c r="Z3280" t="s">
        <v>29248</v>
      </c>
      <c r="AA3280">
        <v>0.45240429095487639</v>
      </c>
      <c r="AB3280" t="str">
        <f>HYPERLINK("Melting_Curves/meltCurve_Q09161_NCBP1.pdf", "Melting_Curves/meltCurve_Q09161_NCBP1.pdf")</f>
        <v>Melting_Curves/meltCurve_Q09161_NCBP1.pdf</v>
      </c>
    </row>
    <row r="3281" spans="1:28" x14ac:dyDescent="0.25">
      <c r="A3281" t="s">
        <v>3285</v>
      </c>
      <c r="B3281">
        <v>0.99472303558308395</v>
      </c>
      <c r="C3281">
        <v>1.0326048943261701</v>
      </c>
      <c r="D3281">
        <v>0.80872863537975004</v>
      </c>
      <c r="E3281">
        <v>0.834166383433527</v>
      </c>
      <c r="F3281">
        <v>0.52178255918418404</v>
      </c>
      <c r="G3281">
        <v>0.40781003310860697</v>
      </c>
      <c r="H3281">
        <v>0.152255239909628</v>
      </c>
      <c r="I3281">
        <v>4.9418337700843001E-2</v>
      </c>
      <c r="J3281">
        <v>6.7275511085535006E-2</v>
      </c>
      <c r="K3281">
        <v>4.8888314417630502E-2</v>
      </c>
      <c r="L3281">
        <v>679.41916034751898</v>
      </c>
      <c r="M3281">
        <v>13.306922564911</v>
      </c>
      <c r="N3281">
        <v>51.057572785672903</v>
      </c>
      <c r="O3281">
        <v>49.945835020741399</v>
      </c>
      <c r="P3281">
        <v>-6.6617512860110695E-2</v>
      </c>
      <c r="Q3281">
        <v>0</v>
      </c>
      <c r="R3281">
        <v>0.97971960496691002</v>
      </c>
      <c r="S3281" t="s">
        <v>9849</v>
      </c>
      <c r="T3281" t="s">
        <v>13134</v>
      </c>
      <c r="U3281" t="s">
        <v>13134</v>
      </c>
      <c r="V3281" t="s">
        <v>13134</v>
      </c>
      <c r="W3281" t="s">
        <v>16361</v>
      </c>
      <c r="X3281">
        <v>4</v>
      </c>
      <c r="Y3281" t="s">
        <v>22775</v>
      </c>
      <c r="Z3281" t="s">
        <v>29249</v>
      </c>
      <c r="AA3281">
        <v>0.49181635044534472</v>
      </c>
      <c r="AB3281" t="str">
        <f>HYPERLINK("Melting_Curves/meltCurve_Q09328_MGAT5.pdf", "Melting_Curves/meltCurve_Q09328_MGAT5.pdf")</f>
        <v>Melting_Curves/meltCurve_Q09328_MGAT5.pdf</v>
      </c>
    </row>
    <row r="3282" spans="1:28" x14ac:dyDescent="0.25">
      <c r="A3282" t="s">
        <v>3286</v>
      </c>
      <c r="B3282">
        <v>0.99472303558308395</v>
      </c>
      <c r="C3282">
        <v>0.97190031739984395</v>
      </c>
      <c r="D3282">
        <v>0.87012592597553295</v>
      </c>
      <c r="E3282">
        <v>0.77497639307312405</v>
      </c>
      <c r="F3282">
        <v>0.53748651214343701</v>
      </c>
      <c r="G3282">
        <v>0.140113678086422</v>
      </c>
      <c r="H3282">
        <v>9.4484637440417907E-2</v>
      </c>
      <c r="I3282">
        <v>6.7226742081883603E-2</v>
      </c>
      <c r="J3282">
        <v>7.6510970434043299E-2</v>
      </c>
      <c r="K3282">
        <v>5.8749443549534798E-2</v>
      </c>
      <c r="L3282">
        <v>934.76067770471002</v>
      </c>
      <c r="M3282">
        <v>18.836618011458299</v>
      </c>
      <c r="N3282">
        <v>49.829401117278898</v>
      </c>
      <c r="O3282">
        <v>49.0755223078027</v>
      </c>
      <c r="P3282">
        <v>-9.2387738278970802E-2</v>
      </c>
      <c r="Q3282">
        <v>3.7239472873038498E-2</v>
      </c>
      <c r="R3282">
        <v>0.98756509145999305</v>
      </c>
      <c r="S3282" t="s">
        <v>9850</v>
      </c>
      <c r="T3282" t="s">
        <v>13134</v>
      </c>
      <c r="U3282" t="s">
        <v>13134</v>
      </c>
      <c r="V3282" t="s">
        <v>13134</v>
      </c>
      <c r="W3282" t="s">
        <v>16362</v>
      </c>
      <c r="X3282">
        <v>13</v>
      </c>
      <c r="Y3282" t="s">
        <v>22776</v>
      </c>
      <c r="Z3282" t="s">
        <v>29250</v>
      </c>
      <c r="AA3282">
        <v>0.45648318773556812</v>
      </c>
      <c r="AB3282" t="str">
        <f>HYPERLINK("Melting_Curves/meltCurve_Q09472_EP300.pdf", "Melting_Curves/meltCurve_Q09472_EP300.pdf")</f>
        <v>Melting_Curves/meltCurve_Q09472_EP300.pdf</v>
      </c>
    </row>
    <row r="3283" spans="1:28" x14ac:dyDescent="0.25">
      <c r="A3283" t="s">
        <v>3287</v>
      </c>
      <c r="B3283">
        <v>0.99472303558308395</v>
      </c>
      <c r="C3283">
        <v>1.0016727240466099</v>
      </c>
      <c r="D3283">
        <v>0.86593093888663597</v>
      </c>
      <c r="E3283">
        <v>0.67982815672416397</v>
      </c>
      <c r="F3283">
        <v>0.43742538976262102</v>
      </c>
      <c r="G3283">
        <v>0.28769130930467701</v>
      </c>
      <c r="H3283">
        <v>0.26900441900599897</v>
      </c>
      <c r="I3283">
        <v>0.31800903188026097</v>
      </c>
      <c r="J3283">
        <v>0.46883717655755103</v>
      </c>
      <c r="K3283">
        <v>0.429957708877375</v>
      </c>
      <c r="L3283">
        <v>1143.6187724329</v>
      </c>
      <c r="M3283">
        <v>24.721196583156399</v>
      </c>
      <c r="N3283">
        <v>48.667148049019097</v>
      </c>
      <c r="O3283">
        <v>45.9611390430982</v>
      </c>
      <c r="P3283">
        <v>-8.7036769895974697E-2</v>
      </c>
      <c r="Q3283">
        <v>0.35274129565130302</v>
      </c>
      <c r="R3283">
        <v>0.94748647648809803</v>
      </c>
      <c r="S3283" t="s">
        <v>9851</v>
      </c>
      <c r="T3283" t="s">
        <v>13134</v>
      </c>
      <c r="U3283" t="s">
        <v>13134</v>
      </c>
      <c r="V3283" t="s">
        <v>13134</v>
      </c>
      <c r="W3283" t="s">
        <v>16363</v>
      </c>
      <c r="X3283">
        <v>219</v>
      </c>
      <c r="Y3283" t="s">
        <v>22777</v>
      </c>
      <c r="Z3283" t="s">
        <v>29251</v>
      </c>
      <c r="AA3283">
        <v>0.55804774093305765</v>
      </c>
      <c r="AB3283" t="str">
        <f>HYPERLINK("Melting_Curves/meltCurve_Q09666_AHNAK.pdf", "Melting_Curves/meltCurve_Q09666_AHNAK.pdf")</f>
        <v>Melting_Curves/meltCurve_Q09666_AHNAK.pdf</v>
      </c>
    </row>
    <row r="3284" spans="1:28" x14ac:dyDescent="0.25">
      <c r="A3284" t="s">
        <v>3288</v>
      </c>
      <c r="B3284">
        <v>0.99472303558308395</v>
      </c>
      <c r="C3284">
        <v>0.99184934303598404</v>
      </c>
      <c r="D3284">
        <v>0.85088508951627095</v>
      </c>
      <c r="E3284">
        <v>0.77435120120781598</v>
      </c>
      <c r="F3284">
        <v>0.86743191368970296</v>
      </c>
      <c r="G3284">
        <v>0.46702500057892199</v>
      </c>
      <c r="H3284">
        <v>0.38975370197841103</v>
      </c>
      <c r="I3284">
        <v>0.26370278648113399</v>
      </c>
      <c r="J3284">
        <v>0.37724843249102702</v>
      </c>
      <c r="K3284">
        <v>0.39064721595059998</v>
      </c>
      <c r="L3284">
        <v>695.16016076127505</v>
      </c>
      <c r="M3284">
        <v>13.5868286123976</v>
      </c>
      <c r="N3284">
        <v>54.701513583656201</v>
      </c>
      <c r="O3284">
        <v>50.094093235673</v>
      </c>
      <c r="P3284">
        <v>-4.79928382546706E-2</v>
      </c>
      <c r="Q3284">
        <v>0.292314875007884</v>
      </c>
      <c r="R3284">
        <v>0.90548294070340296</v>
      </c>
      <c r="S3284" t="s">
        <v>9852</v>
      </c>
      <c r="T3284" t="s">
        <v>13134</v>
      </c>
      <c r="U3284" t="s">
        <v>13134</v>
      </c>
      <c r="V3284" t="s">
        <v>13134</v>
      </c>
      <c r="W3284" t="s">
        <v>16364</v>
      </c>
      <c r="X3284">
        <v>4</v>
      </c>
      <c r="Y3284" t="s">
        <v>22778</v>
      </c>
      <c r="Z3284" t="s">
        <v>29252</v>
      </c>
      <c r="AA3284">
        <v>0.64239211989275458</v>
      </c>
      <c r="AB3284" t="str">
        <f>HYPERLINK("Melting_Curves/meltCurve_Q0PNE2_ELP6.pdf", "Melting_Curves/meltCurve_Q0PNE2_ELP6.pdf")</f>
        <v>Melting_Curves/meltCurve_Q0PNE2_ELP6.pdf</v>
      </c>
    </row>
    <row r="3285" spans="1:28" x14ac:dyDescent="0.25">
      <c r="A3285" t="s">
        <v>3289</v>
      </c>
      <c r="B3285">
        <v>0.99472303558308395</v>
      </c>
      <c r="C3285">
        <v>0.82093590215513701</v>
      </c>
      <c r="D3285">
        <v>0.88697505368888796</v>
      </c>
      <c r="E3285">
        <v>0.36110067194696799</v>
      </c>
      <c r="F3285">
        <v>0.166279792847497</v>
      </c>
      <c r="G3285">
        <v>7.6163308234333399E-2</v>
      </c>
      <c r="H3285">
        <v>4.7418911433973997E-2</v>
      </c>
      <c r="I3285">
        <v>3.6387601150562901E-2</v>
      </c>
      <c r="J3285">
        <v>4.0502368553697002E-2</v>
      </c>
      <c r="K3285">
        <v>4.11147585468346E-2</v>
      </c>
      <c r="L3285">
        <v>1065.7608951484999</v>
      </c>
      <c r="M3285">
        <v>23.378879736513301</v>
      </c>
      <c r="N3285">
        <v>45.757699978090301</v>
      </c>
      <c r="O3285">
        <v>45.256871244325303</v>
      </c>
      <c r="P3285">
        <v>-0.12373885408162601</v>
      </c>
      <c r="Q3285">
        <v>4.1881209936531501E-2</v>
      </c>
      <c r="R3285">
        <v>0.97922340022189402</v>
      </c>
      <c r="S3285" t="s">
        <v>9853</v>
      </c>
      <c r="T3285" t="s">
        <v>13134</v>
      </c>
      <c r="U3285" t="s">
        <v>13134</v>
      </c>
      <c r="V3285" t="s">
        <v>13134</v>
      </c>
      <c r="W3285" t="s">
        <v>16365</v>
      </c>
      <c r="X3285">
        <v>21</v>
      </c>
      <c r="Y3285" t="s">
        <v>22779</v>
      </c>
      <c r="Z3285" t="s">
        <v>29253</v>
      </c>
      <c r="AA3285">
        <v>0.32518949887937793</v>
      </c>
      <c r="AB3285" t="str">
        <f>HYPERLINK("Melting_Curves/meltCurve_Q0VDF9_HSPA14.pdf", "Melting_Curves/meltCurve_Q0VDF9_HSPA14.pdf")</f>
        <v>Melting_Curves/meltCurve_Q0VDF9_HSPA14.pdf</v>
      </c>
    </row>
    <row r="3286" spans="1:28" x14ac:dyDescent="0.25">
      <c r="A3286" t="s">
        <v>3290</v>
      </c>
      <c r="B3286">
        <v>0.99472303558308395</v>
      </c>
      <c r="C3286">
        <v>1.0338139425953801</v>
      </c>
      <c r="D3286">
        <v>0.96503549465469196</v>
      </c>
      <c r="E3286">
        <v>0.83956838563022596</v>
      </c>
      <c r="F3286">
        <v>0.45416616766458101</v>
      </c>
      <c r="G3286">
        <v>0.210349845438565</v>
      </c>
      <c r="H3286">
        <v>0.136082652965266</v>
      </c>
      <c r="I3286">
        <v>0.104365486179079</v>
      </c>
      <c r="J3286">
        <v>0.115422606472063</v>
      </c>
      <c r="K3286">
        <v>9.2216957156070603E-2</v>
      </c>
      <c r="L3286">
        <v>1226.25994909017</v>
      </c>
      <c r="M3286">
        <v>24.8394601607928</v>
      </c>
      <c r="N3286">
        <v>49.828603029196202</v>
      </c>
      <c r="O3286">
        <v>49.050776769279203</v>
      </c>
      <c r="P3286">
        <v>-0.113601765538654</v>
      </c>
      <c r="Q3286">
        <v>0.102689257253249</v>
      </c>
      <c r="R3286">
        <v>0.99875775503716901</v>
      </c>
      <c r="S3286" t="s">
        <v>9854</v>
      </c>
      <c r="T3286" t="s">
        <v>13134</v>
      </c>
      <c r="U3286" t="s">
        <v>13134</v>
      </c>
      <c r="V3286" t="s">
        <v>13134</v>
      </c>
      <c r="W3286" t="s">
        <v>16366</v>
      </c>
      <c r="X3286">
        <v>5</v>
      </c>
      <c r="Y3286" t="s">
        <v>22780</v>
      </c>
      <c r="Z3286" t="s">
        <v>29254</v>
      </c>
      <c r="AA3286">
        <v>0.48049083741892029</v>
      </c>
      <c r="AB3286" t="str">
        <f>HYPERLINK("Melting_Curves/meltCurve_Q0VDG4_SCRN3.pdf", "Melting_Curves/meltCurve_Q0VDG4_SCRN3.pdf")</f>
        <v>Melting_Curves/meltCurve_Q0VDG4_SCRN3.pdf</v>
      </c>
    </row>
    <row r="3287" spans="1:28" x14ac:dyDescent="0.25">
      <c r="A3287" t="s">
        <v>3291</v>
      </c>
      <c r="B3287">
        <v>0.99472303558308395</v>
      </c>
      <c r="C3287">
        <v>0.99729432363261294</v>
      </c>
      <c r="D3287">
        <v>0.79567881149195796</v>
      </c>
      <c r="E3287">
        <v>0.59635014530746899</v>
      </c>
      <c r="F3287">
        <v>0.52073612135499203</v>
      </c>
      <c r="G3287">
        <v>0.34200203151327002</v>
      </c>
      <c r="H3287">
        <v>0.19251353449910399</v>
      </c>
      <c r="I3287">
        <v>0.10462497128228999</v>
      </c>
      <c r="J3287">
        <v>7.5096149700875497E-2</v>
      </c>
      <c r="K3287">
        <v>9.2400004374987396E-2</v>
      </c>
      <c r="L3287">
        <v>504.209896566434</v>
      </c>
      <c r="M3287">
        <v>10.151745838227701</v>
      </c>
      <c r="N3287">
        <v>49.667303779118797</v>
      </c>
      <c r="O3287">
        <v>47.855637034581903</v>
      </c>
      <c r="P3287">
        <v>-5.30575021435329E-2</v>
      </c>
      <c r="Q3287">
        <v>0</v>
      </c>
      <c r="R3287">
        <v>0.98655943489896003</v>
      </c>
      <c r="S3287" t="s">
        <v>9855</v>
      </c>
      <c r="T3287" t="s">
        <v>13134</v>
      </c>
      <c r="U3287" t="s">
        <v>13134</v>
      </c>
      <c r="V3287" t="s">
        <v>13134</v>
      </c>
      <c r="W3287" t="s">
        <v>16367</v>
      </c>
      <c r="X3287">
        <v>5</v>
      </c>
      <c r="Y3287" t="s">
        <v>22781</v>
      </c>
      <c r="Z3287" t="s">
        <v>29255</v>
      </c>
      <c r="AA3287">
        <v>0.45673525070391469</v>
      </c>
      <c r="AB3287" t="str">
        <f>HYPERLINK("Melting_Curves/meltCurve_Q0VG06_3_FAAP100.pdf", "Melting_Curves/meltCurve_Q0VG06_3_FAAP100.pdf")</f>
        <v>Melting_Curves/meltCurve_Q0VG06_3_FAAP100.pdf</v>
      </c>
    </row>
    <row r="3288" spans="1:28" x14ac:dyDescent="0.25">
      <c r="A3288" t="s">
        <v>3292</v>
      </c>
      <c r="B3288">
        <v>0.99472303558308395</v>
      </c>
      <c r="C3288">
        <v>1.00764823327653</v>
      </c>
      <c r="D3288">
        <v>0.88244288232004098</v>
      </c>
      <c r="E3288">
        <v>0.815931881894564</v>
      </c>
      <c r="F3288">
        <v>0.63662043689943304</v>
      </c>
      <c r="G3288">
        <v>0.34461930998689</v>
      </c>
      <c r="H3288">
        <v>0.110537093206842</v>
      </c>
      <c r="I3288">
        <v>7.2444399760648204E-2</v>
      </c>
      <c r="J3288">
        <v>9.0349431485027207E-2</v>
      </c>
      <c r="K3288">
        <v>7.0078275960919603E-2</v>
      </c>
      <c r="L3288">
        <v>824.31227216252</v>
      </c>
      <c r="M3288">
        <v>16.091217090507399</v>
      </c>
      <c r="N3288">
        <v>51.387960709998801</v>
      </c>
      <c r="O3288">
        <v>50.455876642620098</v>
      </c>
      <c r="P3288">
        <v>-7.7781201299552793E-2</v>
      </c>
      <c r="Q3288">
        <v>2.4506942281815301E-2</v>
      </c>
      <c r="R3288">
        <v>0.99055640969102399</v>
      </c>
      <c r="S3288" t="s">
        <v>9856</v>
      </c>
      <c r="T3288" t="s">
        <v>13134</v>
      </c>
      <c r="U3288" t="s">
        <v>13134</v>
      </c>
      <c r="V3288" t="s">
        <v>13134</v>
      </c>
      <c r="W3288" t="s">
        <v>16368</v>
      </c>
      <c r="X3288">
        <v>9</v>
      </c>
      <c r="Y3288" t="s">
        <v>22782</v>
      </c>
      <c r="Z3288" t="s">
        <v>29256</v>
      </c>
      <c r="AA3288">
        <v>0.50484492684074878</v>
      </c>
      <c r="AB3288" t="str">
        <f>HYPERLINK("Melting_Curves/meltCurve_Q10469_MGAT2.pdf", "Melting_Curves/meltCurve_Q10469_MGAT2.pdf")</f>
        <v>Melting_Curves/meltCurve_Q10469_MGAT2.pdf</v>
      </c>
    </row>
    <row r="3289" spans="1:28" x14ac:dyDescent="0.25">
      <c r="A3289" t="s">
        <v>3293</v>
      </c>
      <c r="B3289">
        <v>0.99472303558308395</v>
      </c>
      <c r="C3289">
        <v>0.99733313024731396</v>
      </c>
      <c r="D3289">
        <v>0.86143979148919503</v>
      </c>
      <c r="E3289">
        <v>0.80022792360127604</v>
      </c>
      <c r="F3289">
        <v>0.35744540447762002</v>
      </c>
      <c r="G3289">
        <v>0.126673493779068</v>
      </c>
      <c r="H3289">
        <v>7.9452423418349502E-2</v>
      </c>
      <c r="I3289">
        <v>6.3661093908762803E-2</v>
      </c>
      <c r="J3289">
        <v>7.3083850352614804E-2</v>
      </c>
      <c r="K3289">
        <v>6.8524508339480303E-2</v>
      </c>
      <c r="L3289">
        <v>1181.8868152120299</v>
      </c>
      <c r="M3289">
        <v>24.2718470227571</v>
      </c>
      <c r="N3289">
        <v>48.945653000838497</v>
      </c>
      <c r="O3289">
        <v>48.366806150836297</v>
      </c>
      <c r="P3289">
        <v>-0.118092435186104</v>
      </c>
      <c r="Q3289">
        <v>5.8717268843580299E-2</v>
      </c>
      <c r="R3289">
        <v>0.99211340235867895</v>
      </c>
      <c r="S3289" t="s">
        <v>9857</v>
      </c>
      <c r="T3289" t="s">
        <v>13134</v>
      </c>
      <c r="U3289" t="s">
        <v>13134</v>
      </c>
      <c r="V3289" t="s">
        <v>13134</v>
      </c>
      <c r="W3289" t="s">
        <v>16369</v>
      </c>
      <c r="X3289">
        <v>17</v>
      </c>
      <c r="Y3289" t="s">
        <v>22783</v>
      </c>
      <c r="Z3289" t="s">
        <v>29257</v>
      </c>
      <c r="AA3289">
        <v>0.43420188097769641</v>
      </c>
      <c r="AB3289" t="str">
        <f>HYPERLINK("Melting_Curves/meltCurve_Q10471_GALNT2.pdf", "Melting_Curves/meltCurve_Q10471_GALNT2.pdf")</f>
        <v>Melting_Curves/meltCurve_Q10471_GALNT2.pdf</v>
      </c>
    </row>
    <row r="3290" spans="1:28" x14ac:dyDescent="0.25">
      <c r="A3290" t="s">
        <v>3294</v>
      </c>
      <c r="B3290">
        <v>0.99472303558308395</v>
      </c>
      <c r="C3290">
        <v>0.978418441575165</v>
      </c>
      <c r="D3290">
        <v>0.83238774783838398</v>
      </c>
      <c r="E3290">
        <v>0.588469946192546</v>
      </c>
      <c r="F3290">
        <v>0.304836098107022</v>
      </c>
      <c r="G3290">
        <v>0.21220049035164801</v>
      </c>
      <c r="H3290">
        <v>0.12704426031687099</v>
      </c>
      <c r="I3290">
        <v>5.5358727401845602E-2</v>
      </c>
      <c r="J3290">
        <v>5.1860389946540103E-2</v>
      </c>
      <c r="K3290">
        <v>4.2947876749065202E-2</v>
      </c>
      <c r="L3290">
        <v>723.46169949535795</v>
      </c>
      <c r="M3290">
        <v>15.2402167989463</v>
      </c>
      <c r="N3290">
        <v>47.737003757457899</v>
      </c>
      <c r="O3290">
        <v>46.675769242084698</v>
      </c>
      <c r="P3290">
        <v>-7.8307402215427105E-2</v>
      </c>
      <c r="Q3290">
        <v>4.07721532329514E-2</v>
      </c>
      <c r="R3290">
        <v>0.99729953164993801</v>
      </c>
      <c r="S3290" t="s">
        <v>9858</v>
      </c>
      <c r="T3290" t="s">
        <v>13134</v>
      </c>
      <c r="U3290" t="s">
        <v>13134</v>
      </c>
      <c r="V3290" t="s">
        <v>13134</v>
      </c>
      <c r="W3290" t="s">
        <v>16370</v>
      </c>
      <c r="X3290">
        <v>34</v>
      </c>
      <c r="Y3290" t="s">
        <v>22784</v>
      </c>
      <c r="Z3290" t="s">
        <v>29258</v>
      </c>
      <c r="AA3290">
        <v>0.39634796426090541</v>
      </c>
      <c r="AB3290" t="str">
        <f>HYPERLINK("Melting_Curves/meltCurve_Q10567_2_AP1B1.pdf", "Melting_Curves/meltCurve_Q10567_2_AP1B1.pdf")</f>
        <v>Melting_Curves/meltCurve_Q10567_2_AP1B1.pdf</v>
      </c>
    </row>
    <row r="3291" spans="1:28" x14ac:dyDescent="0.25">
      <c r="A3291" t="s">
        <v>3295</v>
      </c>
      <c r="B3291">
        <v>0.99472303558308395</v>
      </c>
      <c r="C3291">
        <v>1.1058818493875799</v>
      </c>
      <c r="D3291">
        <v>0.87427380725229298</v>
      </c>
      <c r="E3291">
        <v>0.63819873239618896</v>
      </c>
      <c r="F3291">
        <v>0.40089921950868401</v>
      </c>
      <c r="G3291">
        <v>0.28348189310737398</v>
      </c>
      <c r="H3291">
        <v>0.17149904699180901</v>
      </c>
      <c r="I3291">
        <v>7.5912645408585E-2</v>
      </c>
      <c r="J3291">
        <v>0.11416536631459601</v>
      </c>
      <c r="K3291">
        <v>9.6538337743912198E-2</v>
      </c>
      <c r="L3291">
        <v>776.16051174237396</v>
      </c>
      <c r="M3291">
        <v>16.089293135512399</v>
      </c>
      <c r="N3291">
        <v>48.850107567933897</v>
      </c>
      <c r="O3291">
        <v>47.514034480994802</v>
      </c>
      <c r="P3291">
        <v>-7.6965281830848095E-2</v>
      </c>
      <c r="Q3291">
        <v>9.0910851634395606E-2</v>
      </c>
      <c r="R3291">
        <v>0.98275288427891405</v>
      </c>
      <c r="S3291" t="s">
        <v>9859</v>
      </c>
      <c r="T3291" t="s">
        <v>13134</v>
      </c>
      <c r="U3291" t="s">
        <v>13134</v>
      </c>
      <c r="V3291" t="s">
        <v>13134</v>
      </c>
      <c r="W3291" t="s">
        <v>16371</v>
      </c>
      <c r="X3291">
        <v>34</v>
      </c>
      <c r="Y3291" t="s">
        <v>22784</v>
      </c>
      <c r="Z3291" t="s">
        <v>29259</v>
      </c>
      <c r="AA3291">
        <v>0.44923350710105958</v>
      </c>
      <c r="AB3291" t="str">
        <f>HYPERLINK("Melting_Curves/meltCurve_Q10567_3_AP1B1.pdf", "Melting_Curves/meltCurve_Q10567_3_AP1B1.pdf")</f>
        <v>Melting_Curves/meltCurve_Q10567_3_AP1B1.pdf</v>
      </c>
    </row>
    <row r="3292" spans="1:28" x14ac:dyDescent="0.25">
      <c r="A3292" t="s">
        <v>3296</v>
      </c>
      <c r="B3292">
        <v>0.99472303558308395</v>
      </c>
      <c r="C3292">
        <v>0.91615085938386198</v>
      </c>
      <c r="D3292">
        <v>0.75850940533747901</v>
      </c>
      <c r="E3292">
        <v>0.57269079397383305</v>
      </c>
      <c r="F3292">
        <v>0.46194761594661599</v>
      </c>
      <c r="G3292">
        <v>0.165106487469873</v>
      </c>
      <c r="H3292">
        <v>0.10395391435307801</v>
      </c>
      <c r="I3292">
        <v>8.7552479639322597E-2</v>
      </c>
      <c r="J3292">
        <v>0.11524940484538999</v>
      </c>
      <c r="K3292">
        <v>9.6045837366914896E-2</v>
      </c>
      <c r="L3292">
        <v>582.61653778705295</v>
      </c>
      <c r="M3292">
        <v>12.2573454569749</v>
      </c>
      <c r="N3292">
        <v>47.891385036429902</v>
      </c>
      <c r="O3292">
        <v>46.319988698391398</v>
      </c>
      <c r="P3292">
        <v>-6.3263292840984794E-2</v>
      </c>
      <c r="Q3292">
        <v>4.3935091664209398E-2</v>
      </c>
      <c r="R3292">
        <v>0.98487975705251796</v>
      </c>
      <c r="S3292" t="s">
        <v>9860</v>
      </c>
      <c r="T3292" t="s">
        <v>13134</v>
      </c>
      <c r="U3292" t="s">
        <v>13134</v>
      </c>
      <c r="V3292" t="s">
        <v>13134</v>
      </c>
      <c r="W3292" t="s">
        <v>16372</v>
      </c>
      <c r="X3292">
        <v>26</v>
      </c>
      <c r="Y3292" t="s">
        <v>22785</v>
      </c>
      <c r="Z3292" t="s">
        <v>29260</v>
      </c>
      <c r="AA3292">
        <v>0.40922122743433748</v>
      </c>
      <c r="AB3292" t="str">
        <f>HYPERLINK("Melting_Curves/meltCurve_Q10570_CPSF1.pdf", "Melting_Curves/meltCurve_Q10570_CPSF1.pdf")</f>
        <v>Melting_Curves/meltCurve_Q10570_CPSF1.pdf</v>
      </c>
    </row>
    <row r="3293" spans="1:28" x14ac:dyDescent="0.25">
      <c r="A3293" t="s">
        <v>3297</v>
      </c>
      <c r="B3293">
        <v>0.99472303558308395</v>
      </c>
      <c r="C3293">
        <v>1.1061593063013599</v>
      </c>
      <c r="D3293">
        <v>0.98919948493382903</v>
      </c>
      <c r="E3293">
        <v>0.90223657768612298</v>
      </c>
      <c r="F3293">
        <v>0.66994692591411298</v>
      </c>
      <c r="G3293">
        <v>0.50098651179206499</v>
      </c>
      <c r="H3293">
        <v>0.32603101766005899</v>
      </c>
      <c r="I3293">
        <v>0.375617606172851</v>
      </c>
      <c r="J3293">
        <v>0.41635579067052397</v>
      </c>
      <c r="K3293">
        <v>0.44465552207852899</v>
      </c>
      <c r="L3293">
        <v>1301.74540776248</v>
      </c>
      <c r="M3293">
        <v>26.113599867016099</v>
      </c>
      <c r="N3293">
        <v>52.9451356578857</v>
      </c>
      <c r="O3293">
        <v>49.559749223034501</v>
      </c>
      <c r="P3293">
        <v>-8.0170889021517297E-2</v>
      </c>
      <c r="Q3293">
        <v>0.39139693618274701</v>
      </c>
      <c r="R3293">
        <v>0.97061967997360099</v>
      </c>
      <c r="S3293" t="s">
        <v>9861</v>
      </c>
      <c r="T3293" t="s">
        <v>13134</v>
      </c>
      <c r="U3293" t="s">
        <v>13134</v>
      </c>
      <c r="V3293" t="s">
        <v>13134</v>
      </c>
      <c r="W3293" t="s">
        <v>16373</v>
      </c>
      <c r="X3293">
        <v>4</v>
      </c>
      <c r="Y3293" t="s">
        <v>22786</v>
      </c>
      <c r="Z3293" t="s">
        <v>29261</v>
      </c>
      <c r="AA3293">
        <v>0.65695509995627033</v>
      </c>
      <c r="AB3293" t="str">
        <f>HYPERLINK("Melting_Curves/meltCurve_Q10589_BST2.pdf", "Melting_Curves/meltCurve_Q10589_BST2.pdf")</f>
        <v>Melting_Curves/meltCurve_Q10589_BST2.pdf</v>
      </c>
    </row>
    <row r="3294" spans="1:28" x14ac:dyDescent="0.25">
      <c r="A3294" t="s">
        <v>3298</v>
      </c>
      <c r="B3294">
        <v>0.99472303558308395</v>
      </c>
      <c r="C3294">
        <v>0.95470260740054602</v>
      </c>
      <c r="D3294">
        <v>0.99640047803594101</v>
      </c>
      <c r="E3294">
        <v>0.86040699849567004</v>
      </c>
      <c r="F3294">
        <v>0.56517058400207398</v>
      </c>
      <c r="G3294">
        <v>0.19426530687118099</v>
      </c>
      <c r="H3294">
        <v>8.2657226142077198E-2</v>
      </c>
      <c r="I3294">
        <v>6.2529933631275597E-2</v>
      </c>
      <c r="J3294">
        <v>6.3435968068691104E-2</v>
      </c>
      <c r="K3294">
        <v>5.1172320031946897E-2</v>
      </c>
      <c r="L3294">
        <v>1238.67926367628</v>
      </c>
      <c r="M3294">
        <v>24.590485695291001</v>
      </c>
      <c r="N3294">
        <v>50.575793325645201</v>
      </c>
      <c r="O3294">
        <v>50.042719393491197</v>
      </c>
      <c r="P3294">
        <v>-0.117062758764443</v>
      </c>
      <c r="Q3294">
        <v>4.7102313831987999E-2</v>
      </c>
      <c r="R3294">
        <v>0.99781618566676999</v>
      </c>
      <c r="S3294" t="s">
        <v>9862</v>
      </c>
      <c r="T3294" t="s">
        <v>13134</v>
      </c>
      <c r="U3294" t="s">
        <v>13134</v>
      </c>
      <c r="V3294" t="s">
        <v>13134</v>
      </c>
      <c r="W3294" t="s">
        <v>16374</v>
      </c>
      <c r="X3294">
        <v>23</v>
      </c>
      <c r="Y3294" t="s">
        <v>22787</v>
      </c>
      <c r="Z3294" t="s">
        <v>29262</v>
      </c>
      <c r="AA3294">
        <v>0.48047885477380092</v>
      </c>
      <c r="AB3294" t="str">
        <f>HYPERLINK("Melting_Curves/meltCurve_Q10713_PMPCA.pdf", "Melting_Curves/meltCurve_Q10713_PMPCA.pdf")</f>
        <v>Melting_Curves/meltCurve_Q10713_PMPCA.pdf</v>
      </c>
    </row>
    <row r="3295" spans="1:28" x14ac:dyDescent="0.25">
      <c r="A3295" t="s">
        <v>3299</v>
      </c>
      <c r="B3295">
        <v>0.99472303558308395</v>
      </c>
      <c r="C3295">
        <v>0.91555387063261995</v>
      </c>
      <c r="D3295">
        <v>0.75449999795443801</v>
      </c>
      <c r="E3295">
        <v>0.56367530069570504</v>
      </c>
      <c r="F3295">
        <v>0.482665722464035</v>
      </c>
      <c r="G3295">
        <v>0.18073176759277201</v>
      </c>
      <c r="H3295">
        <v>9.1821306412130294E-2</v>
      </c>
      <c r="I3295">
        <v>6.4023076667236403E-2</v>
      </c>
      <c r="J3295">
        <v>5.3287291941383597E-2</v>
      </c>
      <c r="K3295">
        <v>5.9345317920299297E-2</v>
      </c>
      <c r="L3295">
        <v>551.12994816885202</v>
      </c>
      <c r="M3295">
        <v>11.472166870709399</v>
      </c>
      <c r="N3295">
        <v>48.0406147403136</v>
      </c>
      <c r="O3295">
        <v>46.650435790535802</v>
      </c>
      <c r="P3295">
        <v>-6.1497067567757399E-2</v>
      </c>
      <c r="Q3295">
        <v>0</v>
      </c>
      <c r="R3295">
        <v>0.98573424615606198</v>
      </c>
      <c r="S3295" t="s">
        <v>9863</v>
      </c>
      <c r="T3295" t="s">
        <v>13134</v>
      </c>
      <c r="U3295" t="s">
        <v>13134</v>
      </c>
      <c r="V3295" t="s">
        <v>13134</v>
      </c>
      <c r="W3295" t="s">
        <v>16375</v>
      </c>
      <c r="X3295">
        <v>11</v>
      </c>
      <c r="Y3295" t="s">
        <v>22788</v>
      </c>
      <c r="Z3295" t="s">
        <v>29263</v>
      </c>
      <c r="AA3295">
        <v>0.40134701087245461</v>
      </c>
      <c r="AB3295" t="str">
        <f>HYPERLINK("Melting_Curves/meltCurve_Q12769_NUP160.pdf", "Melting_Curves/meltCurve_Q12769_NUP160.pdf")</f>
        <v>Melting_Curves/meltCurve_Q12769_NUP160.pdf</v>
      </c>
    </row>
    <row r="3296" spans="1:28" x14ac:dyDescent="0.25">
      <c r="A3296" t="s">
        <v>3300</v>
      </c>
      <c r="B3296">
        <v>0.99472303558308395</v>
      </c>
      <c r="C3296">
        <v>1.0925033199665699</v>
      </c>
      <c r="D3296">
        <v>0.90847174071433601</v>
      </c>
      <c r="E3296">
        <v>0.76613142558562897</v>
      </c>
      <c r="F3296">
        <v>0.67720117030015403</v>
      </c>
      <c r="G3296">
        <v>0.278317049023796</v>
      </c>
      <c r="H3296">
        <v>0.15438598261119801</v>
      </c>
      <c r="I3296">
        <v>0.10007623877335101</v>
      </c>
      <c r="J3296">
        <v>0.15325972545178801</v>
      </c>
      <c r="K3296">
        <v>0.143291886666533</v>
      </c>
      <c r="L3296">
        <v>918.28156383980195</v>
      </c>
      <c r="M3296">
        <v>18.161558130915299</v>
      </c>
      <c r="N3296">
        <v>51.175218762105601</v>
      </c>
      <c r="O3296">
        <v>49.960778994928802</v>
      </c>
      <c r="P3296">
        <v>-8.1994236485860697E-2</v>
      </c>
      <c r="Q3296">
        <v>9.7808581920382595E-2</v>
      </c>
      <c r="R3296">
        <v>0.975046595176567</v>
      </c>
      <c r="S3296" t="s">
        <v>9864</v>
      </c>
      <c r="T3296" t="s">
        <v>13134</v>
      </c>
      <c r="U3296" t="s">
        <v>13134</v>
      </c>
      <c r="V3296" t="s">
        <v>13134</v>
      </c>
      <c r="W3296" t="s">
        <v>16376</v>
      </c>
      <c r="X3296">
        <v>6</v>
      </c>
      <c r="Y3296" t="s">
        <v>22789</v>
      </c>
      <c r="Z3296" t="s">
        <v>29264</v>
      </c>
      <c r="AA3296">
        <v>0.51955680559721995</v>
      </c>
      <c r="AB3296" t="str">
        <f>HYPERLINK("Melting_Curves/meltCurve_Q12770_SCAP.pdf", "Melting_Curves/meltCurve_Q12770_SCAP.pdf")</f>
        <v>Melting_Curves/meltCurve_Q12770_SCAP.pdf</v>
      </c>
    </row>
    <row r="3297" spans="1:28" x14ac:dyDescent="0.25">
      <c r="A3297" t="s">
        <v>3301</v>
      </c>
      <c r="B3297">
        <v>0.99472303558308395</v>
      </c>
      <c r="C3297">
        <v>0.95494533183590502</v>
      </c>
      <c r="D3297">
        <v>0.80853886903776195</v>
      </c>
      <c r="E3297">
        <v>0.63875990458022702</v>
      </c>
      <c r="F3297">
        <v>0.27979186259368999</v>
      </c>
      <c r="G3297">
        <v>0.13622938048508901</v>
      </c>
      <c r="H3297">
        <v>8.1744638221443996E-2</v>
      </c>
      <c r="I3297">
        <v>5.17245384653226E-2</v>
      </c>
      <c r="J3297">
        <v>5.5152071876672502E-2</v>
      </c>
      <c r="K3297">
        <v>4.8465341316646302E-2</v>
      </c>
      <c r="L3297">
        <v>798.14159214576603</v>
      </c>
      <c r="M3297">
        <v>16.832188620392301</v>
      </c>
      <c r="N3297">
        <v>47.610415075409399</v>
      </c>
      <c r="O3297">
        <v>46.763466618047801</v>
      </c>
      <c r="P3297">
        <v>-8.7026230617566203E-2</v>
      </c>
      <c r="Q3297">
        <v>3.29513083826092E-2</v>
      </c>
      <c r="R3297">
        <v>0.99595055328779603</v>
      </c>
      <c r="S3297" t="s">
        <v>9865</v>
      </c>
      <c r="T3297" t="s">
        <v>13134</v>
      </c>
      <c r="U3297" t="s">
        <v>13134</v>
      </c>
      <c r="V3297" t="s">
        <v>13134</v>
      </c>
      <c r="W3297" t="s">
        <v>16377</v>
      </c>
      <c r="X3297">
        <v>22</v>
      </c>
      <c r="Y3297" t="s">
        <v>22790</v>
      </c>
      <c r="Z3297" t="s">
        <v>29265</v>
      </c>
      <c r="AA3297">
        <v>0.38630948693805411</v>
      </c>
      <c r="AB3297" t="str">
        <f>HYPERLINK("Melting_Curves/meltCurve_Q12788_TBL3.pdf", "Melting_Curves/meltCurve_Q12788_TBL3.pdf")</f>
        <v>Melting_Curves/meltCurve_Q12788_TBL3.pdf</v>
      </c>
    </row>
    <row r="3298" spans="1:28" x14ac:dyDescent="0.25">
      <c r="A3298" t="s">
        <v>3302</v>
      </c>
      <c r="B3298">
        <v>0.99472303558308395</v>
      </c>
      <c r="C3298">
        <v>0.86062007100864701</v>
      </c>
      <c r="D3298">
        <v>0.53013730656236302</v>
      </c>
      <c r="E3298">
        <v>0.43071792497551797</v>
      </c>
      <c r="F3298">
        <v>0.34383746080112898</v>
      </c>
      <c r="G3298">
        <v>0.19207705978862999</v>
      </c>
      <c r="H3298">
        <v>8.2282741464868206E-2</v>
      </c>
      <c r="I3298">
        <v>7.8090943495449497E-2</v>
      </c>
      <c r="J3298">
        <v>7.2171134871268694E-2</v>
      </c>
      <c r="K3298">
        <v>5.6534858794931302E-2</v>
      </c>
      <c r="L3298">
        <v>496.946369438776</v>
      </c>
      <c r="M3298">
        <v>11.0360254167419</v>
      </c>
      <c r="N3298">
        <v>45.342327988390501</v>
      </c>
      <c r="O3298">
        <v>43.6267614619778</v>
      </c>
      <c r="P3298">
        <v>-6.0943049657027501E-2</v>
      </c>
      <c r="Q3298">
        <v>3.6659563718292099E-2</v>
      </c>
      <c r="R3298">
        <v>0.97383088375803595</v>
      </c>
      <c r="S3298" t="s">
        <v>9866</v>
      </c>
      <c r="T3298" t="s">
        <v>13134</v>
      </c>
      <c r="U3298" t="s">
        <v>13134</v>
      </c>
      <c r="V3298" t="s">
        <v>13134</v>
      </c>
      <c r="W3298" t="s">
        <v>16378</v>
      </c>
      <c r="X3298">
        <v>7</v>
      </c>
      <c r="Y3298" t="s">
        <v>22791</v>
      </c>
      <c r="Z3298" t="s">
        <v>29266</v>
      </c>
      <c r="AA3298">
        <v>0.33500134384037838</v>
      </c>
      <c r="AB3298" t="str">
        <f>HYPERLINK("Melting_Curves/meltCurve_Q12789_3_GTF3C1.pdf", "Melting_Curves/meltCurve_Q12789_3_GTF3C1.pdf")</f>
        <v>Melting_Curves/meltCurve_Q12789_3_GTF3C1.pdf</v>
      </c>
    </row>
    <row r="3299" spans="1:28" x14ac:dyDescent="0.25">
      <c r="A3299" t="s">
        <v>3303</v>
      </c>
      <c r="B3299">
        <v>0.99472303558308395</v>
      </c>
      <c r="C3299">
        <v>0.96156579183368696</v>
      </c>
      <c r="D3299">
        <v>0.86865414659949902</v>
      </c>
      <c r="E3299">
        <v>0.69403424412394099</v>
      </c>
      <c r="F3299">
        <v>0.65305930524920996</v>
      </c>
      <c r="G3299">
        <v>0.243631184485087</v>
      </c>
      <c r="H3299">
        <v>8.4086153792713697E-2</v>
      </c>
      <c r="I3299">
        <v>5.6708751465622903E-2</v>
      </c>
      <c r="J3299">
        <v>5.3048045761876203E-2</v>
      </c>
      <c r="K3299">
        <v>4.4219725721297801E-2</v>
      </c>
      <c r="L3299">
        <v>722.205769143162</v>
      </c>
      <c r="M3299">
        <v>14.3280644479008</v>
      </c>
      <c r="N3299">
        <v>50.404981324988299</v>
      </c>
      <c r="O3299">
        <v>49.453637830507098</v>
      </c>
      <c r="P3299">
        <v>-7.2440587859945393E-2</v>
      </c>
      <c r="Q3299">
        <v>0</v>
      </c>
      <c r="R3299">
        <v>0.97718413813027705</v>
      </c>
      <c r="S3299" t="s">
        <v>9867</v>
      </c>
      <c r="T3299" t="s">
        <v>13134</v>
      </c>
      <c r="U3299" t="s">
        <v>13134</v>
      </c>
      <c r="V3299" t="s">
        <v>13134</v>
      </c>
      <c r="W3299" t="s">
        <v>16379</v>
      </c>
      <c r="X3299">
        <v>12</v>
      </c>
      <c r="Y3299" t="s">
        <v>22792</v>
      </c>
      <c r="Z3299" t="s">
        <v>29267</v>
      </c>
      <c r="AA3299">
        <v>0.46877555116139358</v>
      </c>
      <c r="AB3299" t="str">
        <f>HYPERLINK("Melting_Curves/meltCurve_Q12792_TWF1.pdf", "Melting_Curves/meltCurve_Q12792_TWF1.pdf")</f>
        <v>Melting_Curves/meltCurve_Q12792_TWF1.pdf</v>
      </c>
    </row>
    <row r="3300" spans="1:28" x14ac:dyDescent="0.25">
      <c r="A3300" t="s">
        <v>3304</v>
      </c>
      <c r="B3300">
        <v>0.99472303558308395</v>
      </c>
      <c r="C3300">
        <v>0.99370925869314497</v>
      </c>
      <c r="D3300">
        <v>0.89380501867919604</v>
      </c>
      <c r="E3300">
        <v>0.77852223207255999</v>
      </c>
      <c r="F3300">
        <v>0.449113405684544</v>
      </c>
      <c r="G3300">
        <v>0.134094452846099</v>
      </c>
      <c r="H3300">
        <v>7.6903879361993804E-2</v>
      </c>
      <c r="I3300">
        <v>5.5054584229210703E-2</v>
      </c>
      <c r="J3300">
        <v>6.4163766517313106E-2</v>
      </c>
      <c r="K3300">
        <v>7.32560329002475E-2</v>
      </c>
      <c r="L3300">
        <v>1043.9924299482</v>
      </c>
      <c r="M3300">
        <v>21.238913820236199</v>
      </c>
      <c r="N3300">
        <v>49.375840446537097</v>
      </c>
      <c r="O3300">
        <v>48.725156582376201</v>
      </c>
      <c r="P3300">
        <v>-0.104031644863706</v>
      </c>
      <c r="Q3300">
        <v>4.5369546498945403E-2</v>
      </c>
      <c r="R3300">
        <v>0.99517654267835698</v>
      </c>
      <c r="S3300" t="s">
        <v>9868</v>
      </c>
      <c r="T3300" t="s">
        <v>13134</v>
      </c>
      <c r="U3300" t="s">
        <v>13134</v>
      </c>
      <c r="V3300" t="s">
        <v>13134</v>
      </c>
      <c r="W3300" t="s">
        <v>16380</v>
      </c>
      <c r="X3300">
        <v>8</v>
      </c>
      <c r="Y3300" t="s">
        <v>22793</v>
      </c>
      <c r="Z3300" t="s">
        <v>29268</v>
      </c>
      <c r="AA3300">
        <v>0.44341097646769839</v>
      </c>
      <c r="AB3300" t="str">
        <f>HYPERLINK("Melting_Curves/meltCurve_Q12797_10_ASPH.pdf", "Melting_Curves/meltCurve_Q12797_10_ASPH.pdf")</f>
        <v>Melting_Curves/meltCurve_Q12797_10_ASPH.pdf</v>
      </c>
    </row>
    <row r="3301" spans="1:28" x14ac:dyDescent="0.25">
      <c r="A3301" t="s">
        <v>3305</v>
      </c>
      <c r="B3301">
        <v>0.99472303558308395</v>
      </c>
      <c r="C3301">
        <v>0.83296531513363803</v>
      </c>
      <c r="D3301">
        <v>0.81309967834867902</v>
      </c>
      <c r="E3301">
        <v>0.56202857895289404</v>
      </c>
      <c r="F3301">
        <v>0.411498177066142</v>
      </c>
      <c r="G3301">
        <v>0.175715310676301</v>
      </c>
      <c r="H3301">
        <v>9.86930269955444E-2</v>
      </c>
      <c r="I3301">
        <v>7.1749495433470395E-2</v>
      </c>
      <c r="J3301">
        <v>8.0544301472870297E-2</v>
      </c>
      <c r="K3301">
        <v>5.8733050633251502E-2</v>
      </c>
      <c r="L3301">
        <v>556.93100159980702</v>
      </c>
      <c r="M3301">
        <v>11.683655237405899</v>
      </c>
      <c r="N3301">
        <v>47.743919230846203</v>
      </c>
      <c r="O3301">
        <v>46.335357739274599</v>
      </c>
      <c r="P3301">
        <v>-6.2471555962825998E-2</v>
      </c>
      <c r="Q3301">
        <v>9.2593472181660402E-3</v>
      </c>
      <c r="R3301">
        <v>0.98900638324053602</v>
      </c>
      <c r="S3301" t="s">
        <v>9869</v>
      </c>
      <c r="T3301" t="s">
        <v>13134</v>
      </c>
      <c r="U3301" t="s">
        <v>13134</v>
      </c>
      <c r="V3301" t="s">
        <v>13134</v>
      </c>
      <c r="W3301" t="s">
        <v>16381</v>
      </c>
      <c r="X3301">
        <v>3</v>
      </c>
      <c r="Y3301" t="s">
        <v>22794</v>
      </c>
      <c r="Z3301" t="s">
        <v>29269</v>
      </c>
      <c r="AA3301">
        <v>0.39436137030717588</v>
      </c>
      <c r="AB3301" t="str">
        <f>HYPERLINK("Melting_Curves/meltCurve_Q12809_2_KCNH2.pdf", "Melting_Curves/meltCurve_Q12809_2_KCNH2.pdf")</f>
        <v>Melting_Curves/meltCurve_Q12809_2_KCNH2.pdf</v>
      </c>
    </row>
    <row r="3302" spans="1:28" x14ac:dyDescent="0.25">
      <c r="A3302" t="s">
        <v>3306</v>
      </c>
      <c r="B3302">
        <v>0.99472303558308395</v>
      </c>
      <c r="C3302">
        <v>0.95326567755506497</v>
      </c>
      <c r="D3302">
        <v>0.73158832296410103</v>
      </c>
      <c r="E3302">
        <v>0.41165460694710798</v>
      </c>
      <c r="F3302">
        <v>0.21550860285198301</v>
      </c>
      <c r="G3302">
        <v>0.118128903785488</v>
      </c>
      <c r="H3302">
        <v>9.1923534288000902E-2</v>
      </c>
      <c r="I3302">
        <v>6.2034907772054497E-2</v>
      </c>
      <c r="J3302">
        <v>9.65585778234231E-2</v>
      </c>
      <c r="K3302">
        <v>9.2534030522556099E-2</v>
      </c>
      <c r="L3302">
        <v>855.05840290977198</v>
      </c>
      <c r="M3302">
        <v>18.9213767452216</v>
      </c>
      <c r="N3302">
        <v>45.611510032508399</v>
      </c>
      <c r="O3302">
        <v>44.694386705582403</v>
      </c>
      <c r="P3302">
        <v>-9.7353651991005499E-2</v>
      </c>
      <c r="Q3302">
        <v>8.0196851490372298E-2</v>
      </c>
      <c r="R3302">
        <v>0.99848495925578096</v>
      </c>
      <c r="S3302" t="s">
        <v>9870</v>
      </c>
      <c r="T3302" t="s">
        <v>13134</v>
      </c>
      <c r="U3302" t="s">
        <v>13134</v>
      </c>
      <c r="V3302" t="s">
        <v>13134</v>
      </c>
      <c r="W3302" t="s">
        <v>16382</v>
      </c>
      <c r="X3302">
        <v>19</v>
      </c>
      <c r="Y3302" t="s">
        <v>20178</v>
      </c>
      <c r="Z3302" t="s">
        <v>29270</v>
      </c>
      <c r="AA3302">
        <v>0.34485023885835192</v>
      </c>
      <c r="AB3302" t="str">
        <f>HYPERLINK("Melting_Curves/meltCurve_Q12830_4_BPTF.pdf", "Melting_Curves/meltCurve_Q12830_4_BPTF.pdf")</f>
        <v>Melting_Curves/meltCurve_Q12830_4_BPTF.pdf</v>
      </c>
    </row>
    <row r="3303" spans="1:28" x14ac:dyDescent="0.25">
      <c r="A3303" t="s">
        <v>3307</v>
      </c>
      <c r="B3303">
        <v>0.99472303558308395</v>
      </c>
      <c r="C3303">
        <v>0.91362393111180296</v>
      </c>
      <c r="D3303">
        <v>0.62798232322306802</v>
      </c>
      <c r="E3303">
        <v>0.44362702576963498</v>
      </c>
      <c r="F3303">
        <v>0.22461301010215501</v>
      </c>
      <c r="G3303">
        <v>9.8626062273428503E-2</v>
      </c>
      <c r="H3303">
        <v>4.5096139790957099E-2</v>
      </c>
      <c r="I3303">
        <v>3.8616635416345003E-2</v>
      </c>
      <c r="J3303">
        <v>3.8187294401227097E-2</v>
      </c>
      <c r="K3303">
        <v>3.0341256969137701E-2</v>
      </c>
      <c r="L3303">
        <v>646.98656160803796</v>
      </c>
      <c r="M3303">
        <v>14.2751716221713</v>
      </c>
      <c r="N3303">
        <v>45.423648009661697</v>
      </c>
      <c r="O3303">
        <v>44.460922836234303</v>
      </c>
      <c r="P3303">
        <v>-7.9022137096896899E-2</v>
      </c>
      <c r="Q3303">
        <v>1.5642989952126402E-2</v>
      </c>
      <c r="R3303">
        <v>0.99397237335577904</v>
      </c>
      <c r="S3303" t="s">
        <v>9871</v>
      </c>
      <c r="T3303" t="s">
        <v>13134</v>
      </c>
      <c r="U3303" t="s">
        <v>13134</v>
      </c>
      <c r="V3303" t="s">
        <v>13134</v>
      </c>
      <c r="W3303" t="s">
        <v>16383</v>
      </c>
      <c r="X3303">
        <v>6</v>
      </c>
      <c r="Y3303" t="s">
        <v>22795</v>
      </c>
      <c r="Z3303" t="s">
        <v>29271</v>
      </c>
      <c r="AA3303">
        <v>0.31421908938779919</v>
      </c>
      <c r="AB3303" t="str">
        <f>HYPERLINK("Melting_Curves/meltCurve_Q12834_CDC20.pdf", "Melting_Curves/meltCurve_Q12834_CDC20.pdf")</f>
        <v>Melting_Curves/meltCurve_Q12834_CDC20.pdf</v>
      </c>
    </row>
    <row r="3304" spans="1:28" x14ac:dyDescent="0.25">
      <c r="A3304" t="s">
        <v>3308</v>
      </c>
      <c r="B3304">
        <v>0.99472303558308395</v>
      </c>
      <c r="C3304">
        <v>1.00515561884965</v>
      </c>
      <c r="D3304">
        <v>0.80463727409568397</v>
      </c>
      <c r="E3304">
        <v>0.67453046914908898</v>
      </c>
      <c r="F3304">
        <v>0.39440579114444901</v>
      </c>
      <c r="G3304">
        <v>0.15204364256508299</v>
      </c>
      <c r="H3304">
        <v>9.08473185134933E-2</v>
      </c>
      <c r="I3304">
        <v>6.9180041636794601E-2</v>
      </c>
      <c r="J3304">
        <v>8.93344904766709E-2</v>
      </c>
      <c r="K3304">
        <v>7.7952278808441203E-2</v>
      </c>
      <c r="L3304">
        <v>774.96953336079503</v>
      </c>
      <c r="M3304">
        <v>16.118690973717602</v>
      </c>
      <c r="N3304">
        <v>48.383523904802203</v>
      </c>
      <c r="O3304">
        <v>47.357178493512599</v>
      </c>
      <c r="P3304">
        <v>-8.0991850116428996E-2</v>
      </c>
      <c r="Q3304">
        <v>4.8247007290177002E-2</v>
      </c>
      <c r="R3304">
        <v>0.99175544684804695</v>
      </c>
      <c r="S3304" t="s">
        <v>9872</v>
      </c>
      <c r="T3304" t="s">
        <v>13134</v>
      </c>
      <c r="U3304" t="s">
        <v>13134</v>
      </c>
      <c r="V3304" t="s">
        <v>13134</v>
      </c>
      <c r="W3304" t="s">
        <v>16384</v>
      </c>
      <c r="X3304">
        <v>26</v>
      </c>
      <c r="Y3304" t="s">
        <v>22796</v>
      </c>
      <c r="Z3304" t="s">
        <v>29272</v>
      </c>
      <c r="AA3304">
        <v>0.41823660458064299</v>
      </c>
      <c r="AB3304" t="str">
        <f>HYPERLINK("Melting_Curves/meltCurve_Q12840_KIF5A.pdf", "Melting_Curves/meltCurve_Q12840_KIF5A.pdf")</f>
        <v>Melting_Curves/meltCurve_Q12840_KIF5A.pdf</v>
      </c>
    </row>
    <row r="3305" spans="1:28" x14ac:dyDescent="0.25">
      <c r="A3305" t="s">
        <v>3309</v>
      </c>
      <c r="B3305">
        <v>0.99472303558308395</v>
      </c>
      <c r="C3305">
        <v>1.0112895177007999</v>
      </c>
      <c r="D3305">
        <v>0.900200533319376</v>
      </c>
      <c r="E3305">
        <v>0.76105376079873299</v>
      </c>
      <c r="F3305">
        <v>0.48242398235363698</v>
      </c>
      <c r="G3305">
        <v>0.26049025026820299</v>
      </c>
      <c r="H3305">
        <v>0.16393778966902001</v>
      </c>
      <c r="I3305">
        <v>8.3313177935675095E-2</v>
      </c>
      <c r="J3305">
        <v>0.25395435886887602</v>
      </c>
      <c r="K3305">
        <v>6.6986409711097705E-2</v>
      </c>
      <c r="L3305">
        <v>878.62231215257702</v>
      </c>
      <c r="M3305">
        <v>17.9002219189675</v>
      </c>
      <c r="N3305">
        <v>49.815226852558098</v>
      </c>
      <c r="O3305">
        <v>48.4841206973786</v>
      </c>
      <c r="P3305">
        <v>-8.1645586528411501E-2</v>
      </c>
      <c r="Q3305">
        <v>0.115471116421252</v>
      </c>
      <c r="R3305">
        <v>0.98155541314742101</v>
      </c>
      <c r="S3305" t="s">
        <v>9873</v>
      </c>
      <c r="T3305" t="s">
        <v>13134</v>
      </c>
      <c r="U3305" t="s">
        <v>13134</v>
      </c>
      <c r="V3305" t="s">
        <v>13134</v>
      </c>
      <c r="W3305" t="s">
        <v>16385</v>
      </c>
      <c r="X3305">
        <v>12</v>
      </c>
      <c r="Y3305" t="s">
        <v>22797</v>
      </c>
      <c r="Z3305" t="s">
        <v>29273</v>
      </c>
      <c r="AA3305">
        <v>0.48596325647761041</v>
      </c>
      <c r="AB3305" t="str">
        <f>HYPERLINK("Melting_Curves/meltCurve_Q12846_STX4.pdf", "Melting_Curves/meltCurve_Q12846_STX4.pdf")</f>
        <v>Melting_Curves/meltCurve_Q12846_STX4.pdf</v>
      </c>
    </row>
    <row r="3306" spans="1:28" x14ac:dyDescent="0.25">
      <c r="A3306" t="s">
        <v>3310</v>
      </c>
      <c r="B3306">
        <v>0.99472303558308395</v>
      </c>
      <c r="C3306">
        <v>0.92829323641938299</v>
      </c>
      <c r="D3306">
        <v>0.74374318842459497</v>
      </c>
      <c r="E3306">
        <v>0.53145362917272698</v>
      </c>
      <c r="F3306">
        <v>0.207098948963653</v>
      </c>
      <c r="G3306">
        <v>9.6431965552851606E-2</v>
      </c>
      <c r="H3306">
        <v>5.9733259295548E-2</v>
      </c>
      <c r="I3306">
        <v>5.3503131490714097E-2</v>
      </c>
      <c r="J3306">
        <v>6.5527685422598902E-2</v>
      </c>
      <c r="K3306">
        <v>4.8653667328317697E-2</v>
      </c>
      <c r="L3306">
        <v>767.07468083109097</v>
      </c>
      <c r="M3306">
        <v>16.618606666399799</v>
      </c>
      <c r="N3306">
        <v>46.357483093100299</v>
      </c>
      <c r="O3306">
        <v>45.504766154583798</v>
      </c>
      <c r="P3306">
        <v>-8.8150444878460493E-2</v>
      </c>
      <c r="Q3306">
        <v>3.45775209520717E-2</v>
      </c>
      <c r="R3306">
        <v>0.99552901448582098</v>
      </c>
      <c r="S3306" t="s">
        <v>9874</v>
      </c>
      <c r="T3306" t="s">
        <v>13134</v>
      </c>
      <c r="U3306" t="s">
        <v>13134</v>
      </c>
      <c r="V3306" t="s">
        <v>13134</v>
      </c>
      <c r="W3306" t="s">
        <v>16386</v>
      </c>
      <c r="X3306">
        <v>9</v>
      </c>
      <c r="Y3306" t="s">
        <v>22798</v>
      </c>
      <c r="Z3306" t="s">
        <v>29274</v>
      </c>
      <c r="AA3306">
        <v>0.34750182541579838</v>
      </c>
      <c r="AB3306" t="str">
        <f>HYPERLINK("Melting_Curves/meltCurve_Q12872_SFSWAP.pdf", "Melting_Curves/meltCurve_Q12872_SFSWAP.pdf")</f>
        <v>Melting_Curves/meltCurve_Q12872_SFSWAP.pdf</v>
      </c>
    </row>
    <row r="3307" spans="1:28" x14ac:dyDescent="0.25">
      <c r="A3307" t="s">
        <v>3311</v>
      </c>
      <c r="B3307">
        <v>0.99472303558308395</v>
      </c>
      <c r="C3307">
        <v>0.88753862938266803</v>
      </c>
      <c r="D3307">
        <v>0.85514046345518502</v>
      </c>
      <c r="E3307">
        <v>0.35237968207668402</v>
      </c>
      <c r="F3307">
        <v>0.14502650024710301</v>
      </c>
      <c r="G3307">
        <v>8.3163736096555002E-2</v>
      </c>
      <c r="H3307">
        <v>5.3406311503929903E-2</v>
      </c>
      <c r="I3307">
        <v>3.9474176355344601E-2</v>
      </c>
      <c r="J3307">
        <v>5.0364909974431299E-2</v>
      </c>
      <c r="K3307">
        <v>4.5927564321120398E-2</v>
      </c>
      <c r="L3307">
        <v>1150.7586488145901</v>
      </c>
      <c r="M3307">
        <v>25.3433465562515</v>
      </c>
      <c r="N3307">
        <v>45.598197326500198</v>
      </c>
      <c r="O3307">
        <v>45.126854175272697</v>
      </c>
      <c r="P3307">
        <v>-0.13331575942374799</v>
      </c>
      <c r="Q3307">
        <v>5.0473591254089303E-2</v>
      </c>
      <c r="R3307">
        <v>0.99302621198573604</v>
      </c>
      <c r="S3307" t="s">
        <v>9875</v>
      </c>
      <c r="T3307" t="s">
        <v>13134</v>
      </c>
      <c r="U3307" t="s">
        <v>13134</v>
      </c>
      <c r="V3307" t="s">
        <v>13134</v>
      </c>
      <c r="W3307" t="s">
        <v>16387</v>
      </c>
      <c r="X3307">
        <v>16</v>
      </c>
      <c r="Y3307" t="s">
        <v>22799</v>
      </c>
      <c r="Z3307" t="s">
        <v>29275</v>
      </c>
      <c r="AA3307">
        <v>0.32415403068015741</v>
      </c>
      <c r="AB3307" t="str">
        <f>HYPERLINK("Melting_Curves/meltCurve_Q12874_SF3A3.pdf", "Melting_Curves/meltCurve_Q12874_SF3A3.pdf")</f>
        <v>Melting_Curves/meltCurve_Q12874_SF3A3.pdf</v>
      </c>
    </row>
    <row r="3308" spans="1:28" x14ac:dyDescent="0.25">
      <c r="A3308" t="s">
        <v>3312</v>
      </c>
      <c r="B3308">
        <v>0.99472303558308395</v>
      </c>
      <c r="C3308">
        <v>1.01332847345706</v>
      </c>
      <c r="D3308">
        <v>0.82322915713201605</v>
      </c>
      <c r="E3308">
        <v>0.54589382918433205</v>
      </c>
      <c r="F3308">
        <v>0.214821382391853</v>
      </c>
      <c r="G3308">
        <v>0.114873894480094</v>
      </c>
      <c r="H3308">
        <v>8.1038110511861994E-2</v>
      </c>
      <c r="I3308">
        <v>6.5481580962101202E-2</v>
      </c>
      <c r="J3308">
        <v>8.2932106937873895E-2</v>
      </c>
      <c r="K3308">
        <v>7.6789534970829201E-2</v>
      </c>
      <c r="L3308">
        <v>983.33341519513101</v>
      </c>
      <c r="M3308">
        <v>21.148936902835899</v>
      </c>
      <c r="N3308">
        <v>46.819160675425998</v>
      </c>
      <c r="O3308">
        <v>46.085921937649303</v>
      </c>
      <c r="P3308">
        <v>-0.10692926185158</v>
      </c>
      <c r="Q3308">
        <v>6.7980498165304395E-2</v>
      </c>
      <c r="R3308">
        <v>0.99730815492677705</v>
      </c>
      <c r="S3308" t="s">
        <v>9876</v>
      </c>
      <c r="T3308" t="s">
        <v>13134</v>
      </c>
      <c r="U3308" t="s">
        <v>13134</v>
      </c>
      <c r="V3308" t="s">
        <v>13134</v>
      </c>
      <c r="W3308" t="s">
        <v>16388</v>
      </c>
      <c r="X3308">
        <v>41</v>
      </c>
      <c r="Y3308" t="s">
        <v>22800</v>
      </c>
      <c r="Z3308" t="s">
        <v>29276</v>
      </c>
      <c r="AA3308">
        <v>0.37388327411467059</v>
      </c>
      <c r="AB3308" t="str">
        <f>HYPERLINK("Melting_Curves/meltCurve_Q12888_TP53BP1.pdf", "Melting_Curves/meltCurve_Q12888_TP53BP1.pdf")</f>
        <v>Melting_Curves/meltCurve_Q12888_TP53BP1.pdf</v>
      </c>
    </row>
    <row r="3309" spans="1:28" x14ac:dyDescent="0.25">
      <c r="A3309" t="s">
        <v>3313</v>
      </c>
      <c r="B3309">
        <v>0.99472303558308395</v>
      </c>
      <c r="C3309">
        <v>1.20671465822598</v>
      </c>
      <c r="D3309">
        <v>0.93650413074029204</v>
      </c>
      <c r="E3309">
        <v>1.0416686849036101</v>
      </c>
      <c r="F3309">
        <v>1.0509414797782</v>
      </c>
      <c r="G3309">
        <v>0.45570723759617898</v>
      </c>
      <c r="H3309">
        <v>0.32118468203751099</v>
      </c>
      <c r="I3309">
        <v>0.297627476033621</v>
      </c>
      <c r="J3309">
        <v>0.184629552498874</v>
      </c>
      <c r="K3309">
        <v>0.14836395866317301</v>
      </c>
      <c r="L3309">
        <v>8825.5548441241499</v>
      </c>
      <c r="M3309">
        <v>164.95979565064701</v>
      </c>
      <c r="N3309">
        <v>53.7116088841139</v>
      </c>
      <c r="O3309">
        <v>53.493360616024702</v>
      </c>
      <c r="P3309">
        <v>-0.58749376659722696</v>
      </c>
      <c r="Q3309">
        <v>0.23794692176207299</v>
      </c>
      <c r="R3309">
        <v>0.95357866811498904</v>
      </c>
      <c r="S3309" t="s">
        <v>9877</v>
      </c>
      <c r="T3309" t="s">
        <v>13134</v>
      </c>
      <c r="U3309" t="s">
        <v>13134</v>
      </c>
      <c r="V3309" t="s">
        <v>13134</v>
      </c>
      <c r="W3309" t="s">
        <v>16389</v>
      </c>
      <c r="X3309">
        <v>2</v>
      </c>
      <c r="Y3309" t="s">
        <v>22801</v>
      </c>
      <c r="Z3309" t="s">
        <v>29277</v>
      </c>
      <c r="AA3309">
        <v>0.65727219016455896</v>
      </c>
      <c r="AB3309" t="str">
        <f>HYPERLINK("Melting_Curves/meltCurve_Q12893_TMEM115.pdf", "Melting_Curves/meltCurve_Q12893_TMEM115.pdf")</f>
        <v>Melting_Curves/meltCurve_Q12893_TMEM115.pdf</v>
      </c>
    </row>
    <row r="3310" spans="1:28" x14ac:dyDescent="0.25">
      <c r="A3310" t="s">
        <v>3314</v>
      </c>
      <c r="B3310">
        <v>0.99472303558308395</v>
      </c>
      <c r="C3310">
        <v>0.97767212748134003</v>
      </c>
      <c r="D3310">
        <v>0.89691124458318205</v>
      </c>
      <c r="E3310">
        <v>0.67070815361501102</v>
      </c>
      <c r="F3310">
        <v>0.63355547283499702</v>
      </c>
      <c r="G3310">
        <v>0.40421707234711102</v>
      </c>
      <c r="H3310">
        <v>0.16575969458358999</v>
      </c>
      <c r="I3310">
        <v>0.11312744634340099</v>
      </c>
      <c r="J3310">
        <v>6.0936982438761403E-2</v>
      </c>
      <c r="K3310">
        <v>8.60528647663307E-2</v>
      </c>
      <c r="L3310">
        <v>592.66225551669595</v>
      </c>
      <c r="M3310">
        <v>11.579450776887001</v>
      </c>
      <c r="N3310">
        <v>51.182242068268302</v>
      </c>
      <c r="O3310">
        <v>49.727186330173602</v>
      </c>
      <c r="P3310">
        <v>-5.8231001636607903E-2</v>
      </c>
      <c r="Q3310">
        <v>0</v>
      </c>
      <c r="R3310">
        <v>0.98442895955316101</v>
      </c>
      <c r="S3310" t="s">
        <v>9878</v>
      </c>
      <c r="T3310" t="s">
        <v>13134</v>
      </c>
      <c r="U3310" t="s">
        <v>13134</v>
      </c>
      <c r="V3310" t="s">
        <v>13134</v>
      </c>
      <c r="W3310" t="s">
        <v>16390</v>
      </c>
      <c r="X3310">
        <v>2</v>
      </c>
      <c r="Y3310" t="s">
        <v>22802</v>
      </c>
      <c r="Z3310" t="s">
        <v>29278</v>
      </c>
      <c r="AA3310">
        <v>0.49925220178235791</v>
      </c>
      <c r="AB3310" t="str">
        <f>HYPERLINK("Melting_Curves/meltCurve_Q12894_IFRD2.pdf", "Melting_Curves/meltCurve_Q12894_IFRD2.pdf")</f>
        <v>Melting_Curves/meltCurve_Q12894_IFRD2.pdf</v>
      </c>
    </row>
    <row r="3311" spans="1:28" x14ac:dyDescent="0.25">
      <c r="A3311" t="s">
        <v>3315</v>
      </c>
      <c r="B3311">
        <v>0.99472303558308395</v>
      </c>
      <c r="C3311">
        <v>0.93710104583982101</v>
      </c>
      <c r="D3311">
        <v>0.650553447142319</v>
      </c>
      <c r="E3311">
        <v>0.35892922367951202</v>
      </c>
      <c r="F3311">
        <v>0.15253911106856799</v>
      </c>
      <c r="G3311">
        <v>8.3526617303885803E-2</v>
      </c>
      <c r="H3311">
        <v>5.3253935473460599E-2</v>
      </c>
      <c r="I3311">
        <v>4.6895260867595698E-2</v>
      </c>
      <c r="J3311">
        <v>5.3924251960386999E-2</v>
      </c>
      <c r="K3311">
        <v>4.8307836243490998E-2</v>
      </c>
      <c r="L3311">
        <v>832.31312767643101</v>
      </c>
      <c r="M3311">
        <v>18.662263661130002</v>
      </c>
      <c r="N3311">
        <v>44.829014020438898</v>
      </c>
      <c r="O3311">
        <v>44.096120119896597</v>
      </c>
      <c r="P3311">
        <v>-0.100972617027193</v>
      </c>
      <c r="Q3311">
        <v>4.5708887555944801E-2</v>
      </c>
      <c r="R3311">
        <v>0.99796220070844299</v>
      </c>
      <c r="S3311" t="s">
        <v>9879</v>
      </c>
      <c r="T3311" t="s">
        <v>13134</v>
      </c>
      <c r="U3311" t="s">
        <v>13134</v>
      </c>
      <c r="V3311" t="s">
        <v>13134</v>
      </c>
      <c r="W3311" t="s">
        <v>16391</v>
      </c>
      <c r="X3311">
        <v>11</v>
      </c>
      <c r="Y3311" t="s">
        <v>22803</v>
      </c>
      <c r="Z3311" t="s">
        <v>29279</v>
      </c>
      <c r="AA3311">
        <v>0.30203628652609971</v>
      </c>
      <c r="AB3311" t="str">
        <f>HYPERLINK("Melting_Curves/meltCurve_Q12904_AIMP1.pdf", "Melting_Curves/meltCurve_Q12904_AIMP1.pdf")</f>
        <v>Melting_Curves/meltCurve_Q12904_AIMP1.pdf</v>
      </c>
    </row>
    <row r="3312" spans="1:28" x14ac:dyDescent="0.25">
      <c r="A3312" t="s">
        <v>3316</v>
      </c>
      <c r="B3312">
        <v>0.99472303558308395</v>
      </c>
      <c r="C3312">
        <v>0.82505525246996803</v>
      </c>
      <c r="D3312">
        <v>0.80218148578724702</v>
      </c>
      <c r="E3312">
        <v>0.59060457131857402</v>
      </c>
      <c r="F3312">
        <v>0.63824784288405301</v>
      </c>
      <c r="G3312">
        <v>0.36941211443683297</v>
      </c>
      <c r="H3312">
        <v>0.20912434833443599</v>
      </c>
      <c r="I3312">
        <v>9.0473058763692396E-2</v>
      </c>
      <c r="J3312">
        <v>4.3868485211971703E-2</v>
      </c>
      <c r="K3312">
        <v>5.4519794996771002E-2</v>
      </c>
      <c r="L3312">
        <v>473.64121389049302</v>
      </c>
      <c r="M3312">
        <v>9.4821874862864295</v>
      </c>
      <c r="N3312">
        <v>49.950624727062902</v>
      </c>
      <c r="O3312">
        <v>47.880292805033598</v>
      </c>
      <c r="P3312">
        <v>-4.9539360443095301E-2</v>
      </c>
      <c r="Q3312">
        <v>0</v>
      </c>
      <c r="R3312">
        <v>0.95776219132356</v>
      </c>
      <c r="S3312" t="s">
        <v>9880</v>
      </c>
      <c r="T3312" t="s">
        <v>13134</v>
      </c>
      <c r="U3312" t="s">
        <v>13134</v>
      </c>
      <c r="V3312" t="s">
        <v>13134</v>
      </c>
      <c r="W3312" t="s">
        <v>16392</v>
      </c>
      <c r="X3312">
        <v>7</v>
      </c>
      <c r="Y3312" t="s">
        <v>22804</v>
      </c>
      <c r="Z3312" t="s">
        <v>29280</v>
      </c>
      <c r="AA3312">
        <v>0.46750308376390259</v>
      </c>
      <c r="AB3312" t="str">
        <f>HYPERLINK("Melting_Curves/meltCurve_Q12905_ILF2.pdf", "Melting_Curves/meltCurve_Q12905_ILF2.pdf")</f>
        <v>Melting_Curves/meltCurve_Q12905_ILF2.pdf</v>
      </c>
    </row>
    <row r="3313" spans="1:28" x14ac:dyDescent="0.25">
      <c r="A3313" t="s">
        <v>3317</v>
      </c>
      <c r="B3313">
        <v>0.99472303558308395</v>
      </c>
      <c r="C3313">
        <v>0.95108393279360504</v>
      </c>
      <c r="D3313">
        <v>0.90479589450128495</v>
      </c>
      <c r="E3313">
        <v>0.76897396242497695</v>
      </c>
      <c r="F3313">
        <v>0.77222183398549904</v>
      </c>
      <c r="G3313">
        <v>0.380048345233086</v>
      </c>
      <c r="H3313">
        <v>0.20046147250721599</v>
      </c>
      <c r="I3313">
        <v>0.102540444852542</v>
      </c>
      <c r="J3313">
        <v>0.104752876508729</v>
      </c>
      <c r="K3313">
        <v>0.101551082385735</v>
      </c>
      <c r="L3313">
        <v>747.03340907266602</v>
      </c>
      <c r="M3313">
        <v>14.3035163483434</v>
      </c>
      <c r="N3313">
        <v>52.419587257665498</v>
      </c>
      <c r="O3313">
        <v>51.238219802552301</v>
      </c>
      <c r="P3313">
        <v>-6.8013289140677696E-2</v>
      </c>
      <c r="Q3313">
        <v>2.5566638946794701E-2</v>
      </c>
      <c r="R3313">
        <v>0.97656898785301105</v>
      </c>
      <c r="S3313" t="s">
        <v>9881</v>
      </c>
      <c r="T3313" t="s">
        <v>13134</v>
      </c>
      <c r="U3313" t="s">
        <v>13134</v>
      </c>
      <c r="V3313" t="s">
        <v>13134</v>
      </c>
      <c r="W3313" t="s">
        <v>16393</v>
      </c>
      <c r="X3313">
        <v>18</v>
      </c>
      <c r="Y3313" t="s">
        <v>22805</v>
      </c>
      <c r="Z3313" t="s">
        <v>29281</v>
      </c>
      <c r="AA3313">
        <v>0.53951495560112717</v>
      </c>
      <c r="AB3313" t="str">
        <f>HYPERLINK("Melting_Curves/meltCurve_Q12906_ILF3.pdf", "Melting_Curves/meltCurve_Q12906_ILF3.pdf")</f>
        <v>Melting_Curves/meltCurve_Q12906_ILF3.pdf</v>
      </c>
    </row>
    <row r="3314" spans="1:28" x14ac:dyDescent="0.25">
      <c r="A3314" t="s">
        <v>3318</v>
      </c>
      <c r="B3314">
        <v>0.99472303558308395</v>
      </c>
      <c r="C3314">
        <v>0.96116619225766597</v>
      </c>
      <c r="D3314">
        <v>0.96774226000351105</v>
      </c>
      <c r="E3314">
        <v>0.881774970401904</v>
      </c>
      <c r="F3314">
        <v>0.670746019738789</v>
      </c>
      <c r="G3314">
        <v>0.18594563959455301</v>
      </c>
      <c r="H3314">
        <v>8.6071471917022094E-2</v>
      </c>
      <c r="I3314">
        <v>5.5978943214657302E-2</v>
      </c>
      <c r="J3314">
        <v>6.0365080423644801E-2</v>
      </c>
      <c r="K3314">
        <v>5.5389872646369798E-2</v>
      </c>
      <c r="L3314">
        <v>1515.41133601807</v>
      </c>
      <c r="M3314">
        <v>29.706153346767501</v>
      </c>
      <c r="N3314">
        <v>51.192170760572402</v>
      </c>
      <c r="O3314">
        <v>50.783876414522297</v>
      </c>
      <c r="P3314">
        <v>-0.13903324197064201</v>
      </c>
      <c r="Q3314">
        <v>4.9274470745414203E-2</v>
      </c>
      <c r="R3314">
        <v>0.994892367936143</v>
      </c>
      <c r="S3314" t="s">
        <v>9882</v>
      </c>
      <c r="T3314" t="s">
        <v>13134</v>
      </c>
      <c r="U3314" t="s">
        <v>13134</v>
      </c>
      <c r="V3314" t="s">
        <v>13134</v>
      </c>
      <c r="W3314" t="s">
        <v>16394</v>
      </c>
      <c r="X3314">
        <v>14</v>
      </c>
      <c r="Y3314" t="s">
        <v>22806</v>
      </c>
      <c r="Z3314" t="s">
        <v>29282</v>
      </c>
      <c r="AA3314">
        <v>0.49940938179978622</v>
      </c>
      <c r="AB3314" t="str">
        <f>HYPERLINK("Melting_Curves/meltCurve_Q12907_LMAN2.pdf", "Melting_Curves/meltCurve_Q12907_LMAN2.pdf")</f>
        <v>Melting_Curves/meltCurve_Q12907_LMAN2.pdf</v>
      </c>
    </row>
    <row r="3315" spans="1:28" x14ac:dyDescent="0.25">
      <c r="A3315" t="s">
        <v>3319</v>
      </c>
      <c r="B3315">
        <v>0.99472303558308395</v>
      </c>
      <c r="C3315">
        <v>0.92964310671971895</v>
      </c>
      <c r="D3315">
        <v>0.84473818876908402</v>
      </c>
      <c r="E3315">
        <v>0.76590394596068001</v>
      </c>
      <c r="F3315">
        <v>0.67032836183886801</v>
      </c>
      <c r="G3315">
        <v>0.35207280483870301</v>
      </c>
      <c r="H3315">
        <v>8.7221895427672697E-2</v>
      </c>
      <c r="I3315">
        <v>6.2324545463481998E-2</v>
      </c>
      <c r="J3315">
        <v>7.0814720228407096E-2</v>
      </c>
      <c r="K3315">
        <v>6.8342195778486894E-2</v>
      </c>
      <c r="L3315">
        <v>720.51374446560499</v>
      </c>
      <c r="M3315">
        <v>14.0616930636888</v>
      </c>
      <c r="N3315">
        <v>51.239473409542903</v>
      </c>
      <c r="O3315">
        <v>50.236550624383597</v>
      </c>
      <c r="P3315">
        <v>-6.9986477072932499E-2</v>
      </c>
      <c r="Q3315">
        <v>0</v>
      </c>
      <c r="R3315">
        <v>0.97606733757960396</v>
      </c>
      <c r="S3315" t="s">
        <v>9883</v>
      </c>
      <c r="T3315" t="s">
        <v>13134</v>
      </c>
      <c r="U3315" t="s">
        <v>13134</v>
      </c>
      <c r="V3315" t="s">
        <v>13134</v>
      </c>
      <c r="W3315" t="s">
        <v>16395</v>
      </c>
      <c r="X3315">
        <v>17</v>
      </c>
      <c r="Y3315" t="s">
        <v>22807</v>
      </c>
      <c r="Z3315" t="s">
        <v>29283</v>
      </c>
      <c r="AA3315">
        <v>0.49620847748587832</v>
      </c>
      <c r="AB3315" t="str">
        <f>HYPERLINK("Melting_Curves/meltCurve_Q12933_3_TRAF2.pdf", "Melting_Curves/meltCurve_Q12933_3_TRAF2.pdf")</f>
        <v>Melting_Curves/meltCurve_Q12933_3_TRAF2.pdf</v>
      </c>
    </row>
    <row r="3316" spans="1:28" x14ac:dyDescent="0.25">
      <c r="A3316" t="s">
        <v>3320</v>
      </c>
      <c r="B3316">
        <v>0.99472303558308395</v>
      </c>
      <c r="C3316">
        <v>0.99069903708588303</v>
      </c>
      <c r="D3316">
        <v>0.88276120890480403</v>
      </c>
      <c r="E3316">
        <v>0.728032763991321</v>
      </c>
      <c r="F3316">
        <v>0.44839941426966301</v>
      </c>
      <c r="G3316">
        <v>0.220819727978637</v>
      </c>
      <c r="H3316">
        <v>0.12092871194195</v>
      </c>
      <c r="I3316">
        <v>8.1123470970966699E-2</v>
      </c>
      <c r="J3316">
        <v>8.0478615234595E-2</v>
      </c>
      <c r="K3316">
        <v>8.4744793673486196E-2</v>
      </c>
      <c r="L3316">
        <v>811.86297356395698</v>
      </c>
      <c r="M3316">
        <v>16.5683258017885</v>
      </c>
      <c r="N3316">
        <v>49.3579867585212</v>
      </c>
      <c r="O3316">
        <v>48.3037854093471</v>
      </c>
      <c r="P3316">
        <v>-8.0913099246721507E-2</v>
      </c>
      <c r="Q3316">
        <v>5.6479256013390898E-2</v>
      </c>
      <c r="R3316">
        <v>0.99849769311212699</v>
      </c>
      <c r="S3316" t="s">
        <v>9884</v>
      </c>
      <c r="T3316" t="s">
        <v>13134</v>
      </c>
      <c r="U3316" t="s">
        <v>13134</v>
      </c>
      <c r="V3316" t="s">
        <v>13134</v>
      </c>
      <c r="W3316" t="s">
        <v>16396</v>
      </c>
      <c r="X3316">
        <v>13</v>
      </c>
      <c r="Y3316" t="s">
        <v>22808</v>
      </c>
      <c r="Z3316" t="s">
        <v>29284</v>
      </c>
      <c r="AA3316">
        <v>0.45119462155460638</v>
      </c>
      <c r="AB3316" t="str">
        <f>HYPERLINK("Melting_Curves/meltCurve_Q12955_ANK3.pdf", "Melting_Curves/meltCurve_Q12955_ANK3.pdf")</f>
        <v>Melting_Curves/meltCurve_Q12955_ANK3.pdf</v>
      </c>
    </row>
    <row r="3317" spans="1:28" x14ac:dyDescent="0.25">
      <c r="A3317" t="s">
        <v>3321</v>
      </c>
      <c r="B3317">
        <v>0.99472303558308395</v>
      </c>
      <c r="C3317">
        <v>0.97046693067100798</v>
      </c>
      <c r="D3317">
        <v>0.89599356220858595</v>
      </c>
      <c r="E3317">
        <v>0.73343730872794699</v>
      </c>
      <c r="F3317">
        <v>0.35514026685925798</v>
      </c>
      <c r="G3317">
        <v>0.115592640223721</v>
      </c>
      <c r="H3317">
        <v>6.3371859801176197E-2</v>
      </c>
      <c r="I3317">
        <v>4.0597249514560001E-2</v>
      </c>
      <c r="J3317">
        <v>4.8935351198536897E-2</v>
      </c>
      <c r="K3317">
        <v>3.9554685968068E-2</v>
      </c>
      <c r="L3317">
        <v>1021.09434447349</v>
      </c>
      <c r="M3317">
        <v>21.043912757262898</v>
      </c>
      <c r="N3317">
        <v>48.6647869849823</v>
      </c>
      <c r="O3317">
        <v>48.090292375017597</v>
      </c>
      <c r="P3317">
        <v>-0.10612725784341701</v>
      </c>
      <c r="Q3317">
        <v>2.99228976287036E-2</v>
      </c>
      <c r="R3317">
        <v>0.9978498575718</v>
      </c>
      <c r="S3317" t="s">
        <v>9885</v>
      </c>
      <c r="T3317" t="s">
        <v>13134</v>
      </c>
      <c r="U3317" t="s">
        <v>13134</v>
      </c>
      <c r="V3317" t="s">
        <v>13134</v>
      </c>
      <c r="W3317" t="s">
        <v>16397</v>
      </c>
      <c r="X3317">
        <v>14</v>
      </c>
      <c r="Y3317" t="s">
        <v>22809</v>
      </c>
      <c r="Z3317" t="s">
        <v>29285</v>
      </c>
      <c r="AA3317">
        <v>0.41410688563221149</v>
      </c>
      <c r="AB3317" t="str">
        <f>HYPERLINK("Melting_Curves/meltCurve_Q12959_5_DLG1.pdf", "Melting_Curves/meltCurve_Q12959_5_DLG1.pdf")</f>
        <v>Melting_Curves/meltCurve_Q12959_5_DLG1.pdf</v>
      </c>
    </row>
    <row r="3318" spans="1:28" x14ac:dyDescent="0.25">
      <c r="A3318" t="s">
        <v>3322</v>
      </c>
      <c r="B3318">
        <v>0.99472303558308395</v>
      </c>
      <c r="C3318">
        <v>1.0676320652889599</v>
      </c>
      <c r="D3318">
        <v>0.90314204815113597</v>
      </c>
      <c r="E3318">
        <v>0.86604535926068205</v>
      </c>
      <c r="F3318">
        <v>0.727048636881378</v>
      </c>
      <c r="G3318">
        <v>0.60050182940931995</v>
      </c>
      <c r="H3318">
        <v>0.471462032142626</v>
      </c>
      <c r="I3318">
        <v>0.43084845772038399</v>
      </c>
      <c r="J3318">
        <v>0.48790592186697002</v>
      </c>
      <c r="K3318">
        <v>0.36363513002912301</v>
      </c>
      <c r="L3318">
        <v>677.54778896564301</v>
      </c>
      <c r="M3318">
        <v>13.2823262019756</v>
      </c>
      <c r="N3318">
        <v>57.196288050809002</v>
      </c>
      <c r="O3318">
        <v>49.896532337509498</v>
      </c>
      <c r="P3318">
        <v>-4.11941573610458E-2</v>
      </c>
      <c r="Q3318">
        <v>0.38109887268022302</v>
      </c>
      <c r="R3318">
        <v>0.97151491901425602</v>
      </c>
      <c r="S3318" t="s">
        <v>9886</v>
      </c>
      <c r="T3318" t="s">
        <v>13134</v>
      </c>
      <c r="U3318" t="s">
        <v>13134</v>
      </c>
      <c r="V3318" t="s">
        <v>13134</v>
      </c>
      <c r="W3318" t="s">
        <v>16398</v>
      </c>
      <c r="X3318">
        <v>6</v>
      </c>
      <c r="Y3318" t="s">
        <v>22810</v>
      </c>
      <c r="Z3318" t="s">
        <v>29286</v>
      </c>
      <c r="AA3318">
        <v>0.68460079073095659</v>
      </c>
      <c r="AB3318" t="str">
        <f>HYPERLINK("Melting_Curves/meltCurve_Q12962_TAF10.pdf", "Melting_Curves/meltCurve_Q12962_TAF10.pdf")</f>
        <v>Melting_Curves/meltCurve_Q12962_TAF10.pdf</v>
      </c>
    </row>
    <row r="3319" spans="1:28" x14ac:dyDescent="0.25">
      <c r="A3319" t="s">
        <v>3323</v>
      </c>
      <c r="B3319">
        <v>0.99472303558308395</v>
      </c>
      <c r="C3319">
        <v>1.0689967866452399</v>
      </c>
      <c r="D3319">
        <v>0.93937670116938798</v>
      </c>
      <c r="E3319">
        <v>0.88581727483047701</v>
      </c>
      <c r="F3319">
        <v>0.65944187286933098</v>
      </c>
      <c r="G3319">
        <v>0.31244675186896498</v>
      </c>
      <c r="H3319">
        <v>0.13047690371578599</v>
      </c>
      <c r="I3319">
        <v>0.116176366955415</v>
      </c>
      <c r="J3319">
        <v>0.148975748540494</v>
      </c>
      <c r="K3319">
        <v>0.115426837684867</v>
      </c>
      <c r="L3319">
        <v>1199.92645985991</v>
      </c>
      <c r="M3319">
        <v>23.518705104577801</v>
      </c>
      <c r="N3319">
        <v>51.549918321252498</v>
      </c>
      <c r="O3319">
        <v>50.655528316686599</v>
      </c>
      <c r="P3319">
        <v>-0.103611658988969</v>
      </c>
      <c r="Q3319">
        <v>0.107363679714389</v>
      </c>
      <c r="R3319">
        <v>0.99248737965141198</v>
      </c>
      <c r="S3319" t="s">
        <v>9887</v>
      </c>
      <c r="T3319" t="s">
        <v>13134</v>
      </c>
      <c r="U3319" t="s">
        <v>13134</v>
      </c>
      <c r="V3319" t="s">
        <v>13134</v>
      </c>
      <c r="W3319" t="s">
        <v>16399</v>
      </c>
      <c r="X3319">
        <v>13</v>
      </c>
      <c r="Y3319" t="s">
        <v>22811</v>
      </c>
      <c r="Z3319" t="s">
        <v>29287</v>
      </c>
      <c r="AA3319">
        <v>0.53333577733118254</v>
      </c>
      <c r="AB3319" t="str">
        <f>HYPERLINK("Melting_Curves/meltCurve_Q12972_PPP1R8.pdf", "Melting_Curves/meltCurve_Q12972_PPP1R8.pdf")</f>
        <v>Melting_Curves/meltCurve_Q12972_PPP1R8.pdf</v>
      </c>
    </row>
    <row r="3320" spans="1:28" x14ac:dyDescent="0.25">
      <c r="A3320" t="s">
        <v>3324</v>
      </c>
      <c r="B3320">
        <v>0.99472303558308395</v>
      </c>
      <c r="C3320">
        <v>1.09417204065908</v>
      </c>
      <c r="D3320">
        <v>1.0052673557782601</v>
      </c>
      <c r="E3320">
        <v>1.0019055756481601</v>
      </c>
      <c r="F3320">
        <v>0.77702251252565302</v>
      </c>
      <c r="G3320">
        <v>0.61202161818774004</v>
      </c>
      <c r="H3320">
        <v>0.39758543044706401</v>
      </c>
      <c r="I3320">
        <v>0.397771290497271</v>
      </c>
      <c r="J3320">
        <v>0.45397766629882003</v>
      </c>
      <c r="K3320">
        <v>0.27719717790236198</v>
      </c>
      <c r="L3320">
        <v>1144.66822170811</v>
      </c>
      <c r="M3320">
        <v>21.8996632851347</v>
      </c>
      <c r="N3320">
        <v>55.399361581568201</v>
      </c>
      <c r="O3320">
        <v>51.838789164979097</v>
      </c>
      <c r="P3320">
        <v>-6.8127821590175205E-2</v>
      </c>
      <c r="Q3320">
        <v>0.354952079020592</v>
      </c>
      <c r="R3320">
        <v>0.965558889829082</v>
      </c>
      <c r="S3320" t="s">
        <v>9888</v>
      </c>
      <c r="T3320" t="s">
        <v>13134</v>
      </c>
      <c r="U3320" t="s">
        <v>13134</v>
      </c>
      <c r="V3320" t="s">
        <v>13134</v>
      </c>
      <c r="W3320" t="s">
        <v>16400</v>
      </c>
      <c r="X3320">
        <v>6</v>
      </c>
      <c r="Y3320" t="s">
        <v>22812</v>
      </c>
      <c r="Z3320" t="s">
        <v>29288</v>
      </c>
      <c r="AA3320">
        <v>0.69042614124779644</v>
      </c>
      <c r="AB3320" t="str">
        <f>HYPERLINK("Melting_Curves/meltCurve_Q12974_PTP4A2.pdf", "Melting_Curves/meltCurve_Q12974_PTP4A2.pdf")</f>
        <v>Melting_Curves/meltCurve_Q12974_PTP4A2.pdf</v>
      </c>
    </row>
    <row r="3321" spans="1:28" x14ac:dyDescent="0.25">
      <c r="A3321" t="s">
        <v>3325</v>
      </c>
      <c r="B3321">
        <v>0.99472303558308395</v>
      </c>
      <c r="C3321">
        <v>0.97822504474780703</v>
      </c>
      <c r="D3321">
        <v>0.85242110003857097</v>
      </c>
      <c r="E3321">
        <v>0.79220013436480097</v>
      </c>
      <c r="F3321">
        <v>0.66265219929280195</v>
      </c>
      <c r="G3321">
        <v>0.38913768718762398</v>
      </c>
      <c r="H3321">
        <v>0.12768119143157999</v>
      </c>
      <c r="I3321">
        <v>9.4090369980344493E-2</v>
      </c>
      <c r="J3321">
        <v>6.2250206358951801E-2</v>
      </c>
      <c r="K3321">
        <v>6.8545366361313295E-2</v>
      </c>
      <c r="L3321">
        <v>710.81483458431899</v>
      </c>
      <c r="M3321">
        <v>13.761791931519401</v>
      </c>
      <c r="N3321">
        <v>51.651328446719198</v>
      </c>
      <c r="O3321">
        <v>50.597320930227198</v>
      </c>
      <c r="P3321">
        <v>-6.8006264960399507E-2</v>
      </c>
      <c r="Q3321">
        <v>0</v>
      </c>
      <c r="R3321">
        <v>0.98608343193632797</v>
      </c>
      <c r="S3321" t="s">
        <v>9889</v>
      </c>
      <c r="T3321" t="s">
        <v>13134</v>
      </c>
      <c r="U3321" t="s">
        <v>13134</v>
      </c>
      <c r="V3321" t="s">
        <v>13134</v>
      </c>
      <c r="W3321" t="s">
        <v>16401</v>
      </c>
      <c r="X3321">
        <v>10</v>
      </c>
      <c r="Y3321" t="s">
        <v>22813</v>
      </c>
      <c r="Z3321" t="s">
        <v>29289</v>
      </c>
      <c r="AA3321">
        <v>0.50991041669928749</v>
      </c>
      <c r="AB3321" t="str">
        <f>HYPERLINK("Melting_Curves/meltCurve_Q12981_BNIP1.pdf", "Melting_Curves/meltCurve_Q12981_BNIP1.pdf")</f>
        <v>Melting_Curves/meltCurve_Q12981_BNIP1.pdf</v>
      </c>
    </row>
    <row r="3322" spans="1:28" x14ac:dyDescent="0.25">
      <c r="A3322" t="s">
        <v>3326</v>
      </c>
      <c r="B3322">
        <v>0.99472303558308395</v>
      </c>
      <c r="C3322">
        <v>0.94768084449622303</v>
      </c>
      <c r="D3322">
        <v>0.84918150212402499</v>
      </c>
      <c r="E3322">
        <v>0.67391251737675895</v>
      </c>
      <c r="F3322">
        <v>0.46033735357609301</v>
      </c>
      <c r="G3322">
        <v>0.21951206700352699</v>
      </c>
      <c r="H3322">
        <v>0.124972579533998</v>
      </c>
      <c r="I3322">
        <v>7.6383868295586493E-2</v>
      </c>
      <c r="J3322">
        <v>0.23196437378155299</v>
      </c>
      <c r="K3322">
        <v>6.45480896615062E-2</v>
      </c>
      <c r="L3322">
        <v>722.82640929620902</v>
      </c>
      <c r="M3322">
        <v>14.954612690150499</v>
      </c>
      <c r="N3322">
        <v>48.955349373874299</v>
      </c>
      <c r="O3322">
        <v>47.4950897030362</v>
      </c>
      <c r="P3322">
        <v>-7.1926496208194496E-2</v>
      </c>
      <c r="Q3322">
        <v>8.6353829092334397E-2</v>
      </c>
      <c r="R3322">
        <v>0.980650160623457</v>
      </c>
      <c r="S3322" t="s">
        <v>9890</v>
      </c>
      <c r="T3322" t="s">
        <v>13134</v>
      </c>
      <c r="U3322" t="s">
        <v>13134</v>
      </c>
      <c r="V3322" t="s">
        <v>13134</v>
      </c>
      <c r="W3322" t="s">
        <v>16402</v>
      </c>
      <c r="X3322">
        <v>11</v>
      </c>
      <c r="Y3322" t="s">
        <v>22814</v>
      </c>
      <c r="Z3322" t="s">
        <v>29290</v>
      </c>
      <c r="AA3322">
        <v>0.4516219251226089</v>
      </c>
      <c r="AB3322" t="str">
        <f>HYPERLINK("Melting_Curves/meltCurve_Q12986_NFX1.pdf", "Melting_Curves/meltCurve_Q12986_NFX1.pdf")</f>
        <v>Melting_Curves/meltCurve_Q12986_NFX1.pdf</v>
      </c>
    </row>
    <row r="3323" spans="1:28" x14ac:dyDescent="0.25">
      <c r="A3323" t="s">
        <v>3327</v>
      </c>
      <c r="B3323">
        <v>0.99472303558308395</v>
      </c>
      <c r="C3323">
        <v>0.91932292859035203</v>
      </c>
      <c r="D3323">
        <v>0.79303564923160696</v>
      </c>
      <c r="E3323">
        <v>0.66384683859056703</v>
      </c>
      <c r="F3323">
        <v>0.62486399493053901</v>
      </c>
      <c r="G3323">
        <v>0.16415701081419701</v>
      </c>
      <c r="H3323">
        <v>9.9635519993281907E-2</v>
      </c>
      <c r="I3323">
        <v>6.7393461068233906E-2</v>
      </c>
      <c r="J3323">
        <v>9.2834706490065394E-2</v>
      </c>
      <c r="K3323">
        <v>6.6875213304870798E-2</v>
      </c>
      <c r="L3323">
        <v>607.10465557996099</v>
      </c>
      <c r="M3323">
        <v>12.264508739181601</v>
      </c>
      <c r="N3323">
        <v>49.500959393912296</v>
      </c>
      <c r="O3323">
        <v>48.2401157577929</v>
      </c>
      <c r="P3323">
        <v>-6.3573802525185005E-2</v>
      </c>
      <c r="Q3323">
        <v>0</v>
      </c>
      <c r="R3323">
        <v>0.96100646920824695</v>
      </c>
      <c r="S3323" t="s">
        <v>9891</v>
      </c>
      <c r="T3323" t="s">
        <v>13134</v>
      </c>
      <c r="U3323" t="s">
        <v>13134</v>
      </c>
      <c r="V3323" t="s">
        <v>13134</v>
      </c>
      <c r="W3323" t="s">
        <v>16403</v>
      </c>
      <c r="X3323">
        <v>17</v>
      </c>
      <c r="Y3323" t="s">
        <v>22815</v>
      </c>
      <c r="Z3323" t="s">
        <v>29291</v>
      </c>
      <c r="AA3323">
        <v>0.44479207635726548</v>
      </c>
      <c r="AB3323" t="str">
        <f>HYPERLINK("Melting_Curves/meltCurve_Q12996_CSTF3.pdf", "Melting_Curves/meltCurve_Q12996_CSTF3.pdf")</f>
        <v>Melting_Curves/meltCurve_Q12996_CSTF3.pdf</v>
      </c>
    </row>
    <row r="3324" spans="1:28" x14ac:dyDescent="0.25">
      <c r="A3324" t="s">
        <v>3328</v>
      </c>
      <c r="B3324">
        <v>0.99472303558308395</v>
      </c>
      <c r="C3324">
        <v>0.81165098504182798</v>
      </c>
      <c r="D3324">
        <v>0.89629665700379002</v>
      </c>
      <c r="E3324">
        <v>0.73250292738339096</v>
      </c>
      <c r="F3324">
        <v>0.68867749832741398</v>
      </c>
      <c r="G3324">
        <v>0.37055849032622701</v>
      </c>
      <c r="H3324">
        <v>7.0747428135930296E-2</v>
      </c>
      <c r="I3324">
        <v>5.4800508337884697E-2</v>
      </c>
      <c r="J3324">
        <v>5.1080325662350899E-2</v>
      </c>
      <c r="K3324">
        <v>4.4041094012602103E-2</v>
      </c>
      <c r="L3324">
        <v>727.686911431667</v>
      </c>
      <c r="M3324">
        <v>14.2011505973332</v>
      </c>
      <c r="N3324">
        <v>51.241405387514298</v>
      </c>
      <c r="O3324">
        <v>50.257444161321899</v>
      </c>
      <c r="P3324">
        <v>-7.0650866731969103E-2</v>
      </c>
      <c r="Q3324">
        <v>0</v>
      </c>
      <c r="R3324">
        <v>0.95396229732482396</v>
      </c>
      <c r="S3324" t="s">
        <v>9892</v>
      </c>
      <c r="T3324" t="s">
        <v>13134</v>
      </c>
      <c r="U3324" t="s">
        <v>13134</v>
      </c>
      <c r="V3324" t="s">
        <v>13134</v>
      </c>
      <c r="W3324" t="s">
        <v>16404</v>
      </c>
      <c r="X3324">
        <v>13</v>
      </c>
      <c r="Y3324" t="s">
        <v>22816</v>
      </c>
      <c r="Z3324" t="s">
        <v>29292</v>
      </c>
      <c r="AA3324">
        <v>0.49601937441257271</v>
      </c>
      <c r="AB3324" t="str">
        <f>HYPERLINK("Melting_Curves/meltCurve_Q13011_ECH1.pdf", "Melting_Curves/meltCurve_Q13011_ECH1.pdf")</f>
        <v>Melting_Curves/meltCurve_Q13011_ECH1.pdf</v>
      </c>
    </row>
    <row r="3325" spans="1:28" x14ac:dyDescent="0.25">
      <c r="A3325" t="s">
        <v>3329</v>
      </c>
      <c r="B3325">
        <v>0.99472303558308395</v>
      </c>
      <c r="C3325">
        <v>1.00072784309887</v>
      </c>
      <c r="D3325">
        <v>0.85271127410896497</v>
      </c>
      <c r="E3325">
        <v>0.716352813940347</v>
      </c>
      <c r="F3325">
        <v>0.578220448670688</v>
      </c>
      <c r="G3325">
        <v>0.36438678574035699</v>
      </c>
      <c r="H3325">
        <v>0.24616034795217601</v>
      </c>
      <c r="I3325">
        <v>0.22021449372819801</v>
      </c>
      <c r="J3325">
        <v>0.26150154162272798</v>
      </c>
      <c r="K3325">
        <v>0.18586948896050601</v>
      </c>
      <c r="L3325">
        <v>640.84484257148495</v>
      </c>
      <c r="M3325">
        <v>13.0286034697705</v>
      </c>
      <c r="N3325">
        <v>50.842571896986399</v>
      </c>
      <c r="O3325">
        <v>48.071994072493098</v>
      </c>
      <c r="P3325">
        <v>-5.6055582198093999E-2</v>
      </c>
      <c r="Q3325">
        <v>0.17282563831383599</v>
      </c>
      <c r="R3325">
        <v>0.99003300835240204</v>
      </c>
      <c r="S3325" t="s">
        <v>9893</v>
      </c>
      <c r="T3325" t="s">
        <v>13134</v>
      </c>
      <c r="U3325" t="s">
        <v>13134</v>
      </c>
      <c r="V3325" t="s">
        <v>13134</v>
      </c>
      <c r="W3325" t="s">
        <v>16405</v>
      </c>
      <c r="X3325">
        <v>2</v>
      </c>
      <c r="Y3325" t="s">
        <v>22817</v>
      </c>
      <c r="Z3325" t="s">
        <v>29293</v>
      </c>
      <c r="AA3325">
        <v>0.53064783297984097</v>
      </c>
      <c r="AB3325" t="str">
        <f>HYPERLINK("Melting_Curves/meltCurve_Q13015_MLLT11.pdf", "Melting_Curves/meltCurve_Q13015_MLLT11.pdf")</f>
        <v>Melting_Curves/meltCurve_Q13015_MLLT11.pdf</v>
      </c>
    </row>
    <row r="3326" spans="1:28" x14ac:dyDescent="0.25">
      <c r="A3326" t="s">
        <v>3330</v>
      </c>
      <c r="B3326">
        <v>0.99472303558308395</v>
      </c>
      <c r="C3326">
        <v>1.0144716531415501</v>
      </c>
      <c r="D3326">
        <v>0.86980095494353005</v>
      </c>
      <c r="E3326">
        <v>0.65829449236420301</v>
      </c>
      <c r="F3326">
        <v>0.25909587370597598</v>
      </c>
      <c r="G3326">
        <v>0.13234388525306801</v>
      </c>
      <c r="H3326">
        <v>8.4587987143643503E-2</v>
      </c>
      <c r="I3326">
        <v>6.9150686812809906E-2</v>
      </c>
      <c r="J3326">
        <v>0.105611718354937</v>
      </c>
      <c r="K3326">
        <v>6.4157613840932395E-2</v>
      </c>
      <c r="L3326">
        <v>1072.2101727510301</v>
      </c>
      <c r="M3326">
        <v>22.6040233598969</v>
      </c>
      <c r="N3326">
        <v>47.763358930892998</v>
      </c>
      <c r="O3326">
        <v>47.067909189979098</v>
      </c>
      <c r="P3326">
        <v>-0.11141057822572301</v>
      </c>
      <c r="Q3326">
        <v>7.2066492760197207E-2</v>
      </c>
      <c r="R3326">
        <v>0.99635788271383496</v>
      </c>
      <c r="S3326" t="s">
        <v>9894</v>
      </c>
      <c r="T3326" t="s">
        <v>13134</v>
      </c>
      <c r="U3326" t="s">
        <v>13134</v>
      </c>
      <c r="V3326" t="s">
        <v>13134</v>
      </c>
      <c r="W3326" t="s">
        <v>16406</v>
      </c>
      <c r="X3326">
        <v>10</v>
      </c>
      <c r="Y3326" t="s">
        <v>22818</v>
      </c>
      <c r="Z3326" t="s">
        <v>29294</v>
      </c>
      <c r="AA3326">
        <v>0.40439647226327119</v>
      </c>
      <c r="AB3326" t="str">
        <f>HYPERLINK("Melting_Curves/meltCurve_Q13017_2_ARHGAP5.pdf", "Melting_Curves/meltCurve_Q13017_2_ARHGAP5.pdf")</f>
        <v>Melting_Curves/meltCurve_Q13017_2_ARHGAP5.pdf</v>
      </c>
    </row>
    <row r="3327" spans="1:28" x14ac:dyDescent="0.25">
      <c r="A3327" t="s">
        <v>3331</v>
      </c>
      <c r="B3327">
        <v>0.99472303558308395</v>
      </c>
      <c r="C3327">
        <v>0.89429392617800796</v>
      </c>
      <c r="D3327">
        <v>0.678415600940797</v>
      </c>
      <c r="E3327">
        <v>0.62372729640546498</v>
      </c>
      <c r="F3327">
        <v>0.58432875324578204</v>
      </c>
      <c r="G3327">
        <v>0.21191249276041699</v>
      </c>
      <c r="H3327">
        <v>0.10814801428066401</v>
      </c>
      <c r="I3327">
        <v>4.2379053429445299E-2</v>
      </c>
      <c r="J3327">
        <v>4.7929421051580899E-2</v>
      </c>
      <c r="K3327">
        <v>5.22489897782345E-2</v>
      </c>
      <c r="L3327">
        <v>515.01003270924798</v>
      </c>
      <c r="M3327">
        <v>10.6023363662671</v>
      </c>
      <c r="N3327">
        <v>48.575145621402797</v>
      </c>
      <c r="O3327">
        <v>46.9426239218785</v>
      </c>
      <c r="P3327">
        <v>-5.6486285166222699E-2</v>
      </c>
      <c r="Q3327">
        <v>0</v>
      </c>
      <c r="R3327">
        <v>0.95648596027087396</v>
      </c>
      <c r="S3327" t="s">
        <v>9895</v>
      </c>
      <c r="T3327" t="s">
        <v>13134</v>
      </c>
      <c r="U3327" t="s">
        <v>13134</v>
      </c>
      <c r="V3327" t="s">
        <v>13134</v>
      </c>
      <c r="W3327" t="s">
        <v>16407</v>
      </c>
      <c r="X3327">
        <v>11</v>
      </c>
      <c r="Y3327" t="s">
        <v>22819</v>
      </c>
      <c r="Z3327" t="s">
        <v>29295</v>
      </c>
      <c r="AA3327">
        <v>0.4216290595013818</v>
      </c>
      <c r="AB3327" t="str">
        <f>HYPERLINK("Melting_Curves/meltCurve_Q13033_2_STRN3.pdf", "Melting_Curves/meltCurve_Q13033_2_STRN3.pdf")</f>
        <v>Melting_Curves/meltCurve_Q13033_2_STRN3.pdf</v>
      </c>
    </row>
    <row r="3328" spans="1:28" x14ac:dyDescent="0.25">
      <c r="A3328" t="s">
        <v>3332</v>
      </c>
      <c r="B3328">
        <v>0.99472303558308395</v>
      </c>
      <c r="C3328">
        <v>0.97924935593454898</v>
      </c>
      <c r="D3328">
        <v>0.784801482535049</v>
      </c>
      <c r="E3328">
        <v>0.67411971042052998</v>
      </c>
      <c r="F3328">
        <v>0.55756102560944298</v>
      </c>
      <c r="G3328">
        <v>0.28472396042674902</v>
      </c>
      <c r="H3328">
        <v>0.167213628539297</v>
      </c>
      <c r="I3328">
        <v>0.10271879335341801</v>
      </c>
      <c r="J3328">
        <v>0.144099821102773</v>
      </c>
      <c r="K3328">
        <v>0.10232499675015</v>
      </c>
      <c r="L3328">
        <v>562.35318798909805</v>
      </c>
      <c r="M3328">
        <v>11.3658824308023</v>
      </c>
      <c r="N3328">
        <v>49.8285392208182</v>
      </c>
      <c r="O3328">
        <v>48.019934822648402</v>
      </c>
      <c r="P3328">
        <v>-5.69117319345512E-2</v>
      </c>
      <c r="Q3328">
        <v>3.8495985026786098E-2</v>
      </c>
      <c r="R3328">
        <v>0.98503045968029701</v>
      </c>
      <c r="S3328" t="s">
        <v>9896</v>
      </c>
      <c r="T3328" t="s">
        <v>13134</v>
      </c>
      <c r="U3328" t="s">
        <v>13134</v>
      </c>
      <c r="V3328" t="s">
        <v>13134</v>
      </c>
      <c r="W3328" t="s">
        <v>16408</v>
      </c>
      <c r="X3328">
        <v>6</v>
      </c>
      <c r="Y3328" t="s">
        <v>22820</v>
      </c>
      <c r="Z3328" t="s">
        <v>29296</v>
      </c>
      <c r="AA3328">
        <v>0.46810451670736047</v>
      </c>
      <c r="AB3328" t="str">
        <f>HYPERLINK("Melting_Curves/meltCurve_Q13042_3_CDC16.pdf", "Melting_Curves/meltCurve_Q13042_3_CDC16.pdf")</f>
        <v>Melting_Curves/meltCurve_Q13042_3_CDC16.pdf</v>
      </c>
    </row>
    <row r="3329" spans="1:28" x14ac:dyDescent="0.25">
      <c r="A3329" t="s">
        <v>3333</v>
      </c>
      <c r="B3329">
        <v>0.99472303558308395</v>
      </c>
      <c r="C3329">
        <v>1.05389401010812</v>
      </c>
      <c r="D3329">
        <v>0.90310591283312502</v>
      </c>
      <c r="E3329">
        <v>0.81995324984425699</v>
      </c>
      <c r="F3329">
        <v>0.65302186658073003</v>
      </c>
      <c r="G3329">
        <v>0.37153920113907901</v>
      </c>
      <c r="H3329">
        <v>0.18284883400006799</v>
      </c>
      <c r="I3329">
        <v>0.107414718843728</v>
      </c>
      <c r="J3329">
        <v>0.13072476941070199</v>
      </c>
      <c r="K3329">
        <v>0.11176139276545501</v>
      </c>
      <c r="L3329">
        <v>823.45535331241399</v>
      </c>
      <c r="M3329">
        <v>16.058269517511199</v>
      </c>
      <c r="N3329">
        <v>51.773450088750103</v>
      </c>
      <c r="O3329">
        <v>50.503740854709299</v>
      </c>
      <c r="P3329">
        <v>-7.3847559354748807E-2</v>
      </c>
      <c r="Q3329">
        <v>7.1060545505328795E-2</v>
      </c>
      <c r="R3329">
        <v>0.99126377423809098</v>
      </c>
      <c r="S3329" t="s">
        <v>9897</v>
      </c>
      <c r="T3329" t="s">
        <v>13134</v>
      </c>
      <c r="U3329" t="s">
        <v>13134</v>
      </c>
      <c r="V3329" t="s">
        <v>13134</v>
      </c>
      <c r="W3329" t="s">
        <v>16409</v>
      </c>
      <c r="X3329">
        <v>16</v>
      </c>
      <c r="Y3329" t="s">
        <v>22821</v>
      </c>
      <c r="Z3329" t="s">
        <v>29297</v>
      </c>
      <c r="AA3329">
        <v>0.53009268386642938</v>
      </c>
      <c r="AB3329" t="str">
        <f>HYPERLINK("Melting_Curves/meltCurve_Q13043_STK4.pdf", "Melting_Curves/meltCurve_Q13043_STK4.pdf")</f>
        <v>Melting_Curves/meltCurve_Q13043_STK4.pdf</v>
      </c>
    </row>
    <row r="3330" spans="1:28" x14ac:dyDescent="0.25">
      <c r="A3330" t="s">
        <v>3334</v>
      </c>
      <c r="B3330">
        <v>0.99472303558308395</v>
      </c>
      <c r="C3330">
        <v>0.92475407685211697</v>
      </c>
      <c r="D3330">
        <v>0.87549993192841302</v>
      </c>
      <c r="E3330">
        <v>0.60839697191832398</v>
      </c>
      <c r="F3330">
        <v>0.194895520491044</v>
      </c>
      <c r="G3330">
        <v>9.6018776187842006E-2</v>
      </c>
      <c r="H3330">
        <v>6.3122458709280696E-2</v>
      </c>
      <c r="I3330">
        <v>4.1383719859233399E-2</v>
      </c>
      <c r="J3330">
        <v>5.2717545262403902E-2</v>
      </c>
      <c r="K3330">
        <v>4.3186707518031102E-2</v>
      </c>
      <c r="L3330">
        <v>1062.42437636879</v>
      </c>
      <c r="M3330">
        <v>22.5710014538389</v>
      </c>
      <c r="N3330">
        <v>47.245981394805703</v>
      </c>
      <c r="O3330">
        <v>46.7055114791413</v>
      </c>
      <c r="P3330">
        <v>-0.115955486902345</v>
      </c>
      <c r="Q3330">
        <v>4.0246187532466199E-2</v>
      </c>
      <c r="R3330">
        <v>0.99573017195142499</v>
      </c>
      <c r="S3330" t="s">
        <v>9898</v>
      </c>
      <c r="T3330" t="s">
        <v>13134</v>
      </c>
      <c r="U3330" t="s">
        <v>13134</v>
      </c>
      <c r="V3330" t="s">
        <v>13134</v>
      </c>
      <c r="W3330" t="s">
        <v>16410</v>
      </c>
      <c r="X3330">
        <v>28</v>
      </c>
      <c r="Y3330" t="s">
        <v>22822</v>
      </c>
      <c r="Z3330" t="s">
        <v>29298</v>
      </c>
      <c r="AA3330">
        <v>0.37231324363581669</v>
      </c>
      <c r="AB3330" t="str">
        <f>HYPERLINK("Melting_Curves/meltCurve_Q13045_FLII.pdf", "Melting_Curves/meltCurve_Q13045_FLII.pdf")</f>
        <v>Melting_Curves/meltCurve_Q13045_FLII.pdf</v>
      </c>
    </row>
    <row r="3331" spans="1:28" x14ac:dyDescent="0.25">
      <c r="A3331" t="s">
        <v>3335</v>
      </c>
      <c r="B3331">
        <v>0.99472303558308395</v>
      </c>
      <c r="C3331">
        <v>1.24870509120189</v>
      </c>
      <c r="D3331">
        <v>0.75227028542167795</v>
      </c>
      <c r="E3331">
        <v>0.62597311275009404</v>
      </c>
      <c r="F3331">
        <v>0.37083362622680999</v>
      </c>
      <c r="G3331">
        <v>0.14165856710493299</v>
      </c>
      <c r="H3331">
        <v>0.1933280319058</v>
      </c>
      <c r="I3331">
        <v>0.10623013054462301</v>
      </c>
      <c r="J3331">
        <v>8.1769485312542106E-2</v>
      </c>
      <c r="K3331">
        <v>3.1459037178331602E-2</v>
      </c>
      <c r="L3331">
        <v>823.750062937802</v>
      </c>
      <c r="M3331">
        <v>17.3058349001975</v>
      </c>
      <c r="N3331">
        <v>48.053240427142498</v>
      </c>
      <c r="O3331">
        <v>46.977617073118502</v>
      </c>
      <c r="P3331">
        <v>-8.5159820917062201E-2</v>
      </c>
      <c r="Q3331">
        <v>7.5369660762745094E-2</v>
      </c>
      <c r="R3331">
        <v>0.937000031624864</v>
      </c>
      <c r="S3331" t="s">
        <v>9899</v>
      </c>
      <c r="T3331" t="s">
        <v>13134</v>
      </c>
      <c r="U3331" t="s">
        <v>13134</v>
      </c>
      <c r="V3331" t="s">
        <v>13134</v>
      </c>
      <c r="W3331" t="s">
        <v>16411</v>
      </c>
      <c r="X3331">
        <v>28</v>
      </c>
      <c r="Y3331" t="s">
        <v>22822</v>
      </c>
      <c r="Z3331" t="s">
        <v>29299</v>
      </c>
      <c r="AA3331">
        <v>0.41797877574468678</v>
      </c>
      <c r="AB3331" t="str">
        <f>HYPERLINK("Melting_Curves/meltCurve_Q13045_2_FLII.pdf", "Melting_Curves/meltCurve_Q13045_2_FLII.pdf")</f>
        <v>Melting_Curves/meltCurve_Q13045_2_FLII.pdf</v>
      </c>
    </row>
    <row r="3332" spans="1:28" x14ac:dyDescent="0.25">
      <c r="A3332" t="s">
        <v>3336</v>
      </c>
      <c r="B3332">
        <v>0.99472303558308395</v>
      </c>
      <c r="C3332">
        <v>0.89195367679378301</v>
      </c>
      <c r="D3332">
        <v>0.72396355429789006</v>
      </c>
      <c r="E3332">
        <v>0.63806172781552095</v>
      </c>
      <c r="F3332">
        <v>0.60390858718197704</v>
      </c>
      <c r="G3332">
        <v>0.23760705048532699</v>
      </c>
      <c r="H3332">
        <v>0.10705424954668</v>
      </c>
      <c r="I3332">
        <v>5.9935504018709097E-2</v>
      </c>
      <c r="J3332">
        <v>6.2991992666598301E-2</v>
      </c>
      <c r="K3332">
        <v>5.5548588141470699E-2</v>
      </c>
      <c r="L3332">
        <v>528.73106806291605</v>
      </c>
      <c r="M3332">
        <v>10.7690621821543</v>
      </c>
      <c r="N3332">
        <v>49.097210166233303</v>
      </c>
      <c r="O3332">
        <v>47.4951333770018</v>
      </c>
      <c r="P3332">
        <v>-5.6705823402304102E-2</v>
      </c>
      <c r="Q3332">
        <v>0</v>
      </c>
      <c r="R3332">
        <v>0.96272277550163399</v>
      </c>
      <c r="S3332" t="s">
        <v>9900</v>
      </c>
      <c r="T3332" t="s">
        <v>13134</v>
      </c>
      <c r="U3332" t="s">
        <v>13134</v>
      </c>
      <c r="V3332" t="s">
        <v>13134</v>
      </c>
      <c r="W3332" t="s">
        <v>16412</v>
      </c>
      <c r="X3332">
        <v>6</v>
      </c>
      <c r="Y3332" t="s">
        <v>22823</v>
      </c>
      <c r="Z3332" t="s">
        <v>29300</v>
      </c>
      <c r="AA3332">
        <v>0.43707427031488261</v>
      </c>
      <c r="AB3332" t="str">
        <f>HYPERLINK("Melting_Curves/meltCurve_Q13049_TRIM32.pdf", "Melting_Curves/meltCurve_Q13049_TRIM32.pdf")</f>
        <v>Melting_Curves/meltCurve_Q13049_TRIM32.pdf</v>
      </c>
    </row>
    <row r="3333" spans="1:28" x14ac:dyDescent="0.25">
      <c r="A3333" t="s">
        <v>3337</v>
      </c>
      <c r="B3333">
        <v>0.99472303558308395</v>
      </c>
      <c r="C3333">
        <v>1.0324127366565901</v>
      </c>
      <c r="D3333">
        <v>1.0541027998271399</v>
      </c>
      <c r="E3333">
        <v>0.91901511048775797</v>
      </c>
      <c r="F3333">
        <v>0.24622338608085201</v>
      </c>
      <c r="G3333">
        <v>0.10327655192216301</v>
      </c>
      <c r="H3333">
        <v>7.9638624218513004E-2</v>
      </c>
      <c r="I3333">
        <v>6.9420329209728293E-2</v>
      </c>
      <c r="J3333">
        <v>4.0786906200586302E-2</v>
      </c>
      <c r="K3333">
        <v>2.82318160678534E-2</v>
      </c>
      <c r="L3333">
        <v>2418.3556306862301</v>
      </c>
      <c r="M3333">
        <v>49.559613497441198</v>
      </c>
      <c r="N3333">
        <v>48.927021027375503</v>
      </c>
      <c r="O3333">
        <v>48.717649781221603</v>
      </c>
      <c r="P3333">
        <v>-0.23861852942408501</v>
      </c>
      <c r="Q3333">
        <v>6.1742199925685803E-2</v>
      </c>
      <c r="R3333">
        <v>0.996460602077054</v>
      </c>
      <c r="S3333" t="s">
        <v>9901</v>
      </c>
      <c r="T3333" t="s">
        <v>13134</v>
      </c>
      <c r="U3333" t="s">
        <v>13134</v>
      </c>
      <c r="V3333" t="s">
        <v>13134</v>
      </c>
      <c r="W3333" t="s">
        <v>16413</v>
      </c>
      <c r="X3333">
        <v>15</v>
      </c>
      <c r="Y3333" t="s">
        <v>22824</v>
      </c>
      <c r="Z3333" t="s">
        <v>29301</v>
      </c>
      <c r="AA3333">
        <v>0.43274912355561251</v>
      </c>
      <c r="AB3333" t="str">
        <f>HYPERLINK("Melting_Curves/meltCurve_Q13057_COASY.pdf", "Melting_Curves/meltCurve_Q13057_COASY.pdf")</f>
        <v>Melting_Curves/meltCurve_Q13057_COASY.pdf</v>
      </c>
    </row>
    <row r="3334" spans="1:28" x14ac:dyDescent="0.25">
      <c r="A3334" t="s">
        <v>3338</v>
      </c>
      <c r="B3334">
        <v>0.99472303558308395</v>
      </c>
      <c r="C3334">
        <v>0.86600003289343497</v>
      </c>
      <c r="D3334">
        <v>0.994066061211064</v>
      </c>
      <c r="E3334">
        <v>0.90764756306106298</v>
      </c>
      <c r="F3334">
        <v>0.75180169787292594</v>
      </c>
      <c r="G3334">
        <v>0.66109966872401305</v>
      </c>
      <c r="H3334">
        <v>0.245334691562099</v>
      </c>
      <c r="I3334">
        <v>0.69870933697155302</v>
      </c>
      <c r="J3334">
        <v>0.73746449543218995</v>
      </c>
      <c r="K3334">
        <v>0.81351309891891699</v>
      </c>
      <c r="L3334">
        <v>1578.6065887424199</v>
      </c>
      <c r="M3334">
        <v>32.498615967387202</v>
      </c>
      <c r="O3334">
        <v>48.391776244122603</v>
      </c>
      <c r="P3334">
        <v>-6.1960835418860903E-2</v>
      </c>
      <c r="Q3334">
        <v>0.63095290085073397</v>
      </c>
      <c r="R3334">
        <v>0.484157011840055</v>
      </c>
      <c r="S3334" t="s">
        <v>9902</v>
      </c>
      <c r="T3334" t="s">
        <v>13134</v>
      </c>
      <c r="U3334" t="s">
        <v>13134</v>
      </c>
      <c r="V3334" t="s">
        <v>13134</v>
      </c>
      <c r="W3334" t="s">
        <v>16414</v>
      </c>
      <c r="X3334">
        <v>5</v>
      </c>
      <c r="Y3334" t="s">
        <v>22825</v>
      </c>
      <c r="Z3334" t="s">
        <v>29302</v>
      </c>
      <c r="AA3334">
        <v>0.77522016134262828</v>
      </c>
      <c r="AB3334" t="str">
        <f>HYPERLINK("Melting_Curves/meltCurve_Q13068_GAGE4.pdf", "Melting_Curves/meltCurve_Q13068_GAGE4.pdf")</f>
        <v>Melting_Curves/meltCurve_Q13068_GAGE4.pdf</v>
      </c>
    </row>
    <row r="3335" spans="1:28" x14ac:dyDescent="0.25">
      <c r="A3335" t="s">
        <v>3339</v>
      </c>
      <c r="B3335">
        <v>0.99472303558308395</v>
      </c>
      <c r="C3335">
        <v>0.96043703885541398</v>
      </c>
      <c r="D3335">
        <v>0.82016612772674002</v>
      </c>
      <c r="E3335">
        <v>0.70396901842884596</v>
      </c>
      <c r="F3335">
        <v>0.65168354592625699</v>
      </c>
      <c r="G3335">
        <v>0.36286687250126398</v>
      </c>
      <c r="H3335">
        <v>0.24935397471271101</v>
      </c>
      <c r="I3335">
        <v>0.20150086372400899</v>
      </c>
      <c r="J3335">
        <v>0.26934412557519599</v>
      </c>
      <c r="K3335">
        <v>0.236419084489009</v>
      </c>
      <c r="L3335">
        <v>572.43584224063795</v>
      </c>
      <c r="M3335">
        <v>11.581767047728301</v>
      </c>
      <c r="N3335">
        <v>51.220999775396002</v>
      </c>
      <c r="O3335">
        <v>48.0210238578427</v>
      </c>
      <c r="P3335">
        <v>-5.0250007675465301E-2</v>
      </c>
      <c r="Q3335">
        <v>0.16683190654601099</v>
      </c>
      <c r="R3335">
        <v>0.97221901170548197</v>
      </c>
      <c r="S3335" t="s">
        <v>9903</v>
      </c>
      <c r="T3335" t="s">
        <v>13134</v>
      </c>
      <c r="U3335" t="s">
        <v>13134</v>
      </c>
      <c r="V3335" t="s">
        <v>13134</v>
      </c>
      <c r="W3335" t="s">
        <v>16415</v>
      </c>
      <c r="X3335">
        <v>4</v>
      </c>
      <c r="Y3335" t="s">
        <v>22826</v>
      </c>
      <c r="Z3335" t="s">
        <v>29303</v>
      </c>
      <c r="AA3335">
        <v>0.53717311820278135</v>
      </c>
      <c r="AB3335" t="str">
        <f>HYPERLINK("Melting_Curves/meltCurve_Q13070_GAGE6.pdf", "Melting_Curves/meltCurve_Q13070_GAGE6.pdf")</f>
        <v>Melting_Curves/meltCurve_Q13070_GAGE6.pdf</v>
      </c>
    </row>
    <row r="3336" spans="1:28" x14ac:dyDescent="0.25">
      <c r="A3336" t="s">
        <v>3340</v>
      </c>
      <c r="B3336">
        <v>0.99472303558308395</v>
      </c>
      <c r="C3336">
        <v>0.91059614149538703</v>
      </c>
      <c r="D3336">
        <v>0.652960192379203</v>
      </c>
      <c r="E3336">
        <v>0.36043195938324901</v>
      </c>
      <c r="F3336">
        <v>0.13854191350703399</v>
      </c>
      <c r="G3336">
        <v>7.2165693161197197E-2</v>
      </c>
      <c r="H3336">
        <v>5.1138303145292698E-2</v>
      </c>
      <c r="I3336">
        <v>3.3169647229920898E-2</v>
      </c>
      <c r="J3336">
        <v>4.6278785070504903E-2</v>
      </c>
      <c r="K3336">
        <v>4.5018731755508898E-2</v>
      </c>
      <c r="L3336">
        <v>808.09059857970499</v>
      </c>
      <c r="M3336">
        <v>18.116623089203799</v>
      </c>
      <c r="N3336">
        <v>44.785633714699202</v>
      </c>
      <c r="O3336">
        <v>44.072122912130901</v>
      </c>
      <c r="P3336">
        <v>-9.9149570039696502E-2</v>
      </c>
      <c r="Q3336">
        <v>3.5246281385874802E-2</v>
      </c>
      <c r="R3336">
        <v>0.99871088072077097</v>
      </c>
      <c r="S3336" t="s">
        <v>9904</v>
      </c>
      <c r="T3336" t="s">
        <v>13134</v>
      </c>
      <c r="U3336" t="s">
        <v>13134</v>
      </c>
      <c r="V3336" t="s">
        <v>13134</v>
      </c>
      <c r="W3336" t="s">
        <v>16416</v>
      </c>
      <c r="X3336">
        <v>50</v>
      </c>
      <c r="Y3336" t="s">
        <v>22827</v>
      </c>
      <c r="Z3336" t="s">
        <v>29304</v>
      </c>
      <c r="AA3336">
        <v>0.29554256593460299</v>
      </c>
      <c r="AB3336" t="str">
        <f>HYPERLINK("Melting_Curves/meltCurve_Q13085_3_ACACA.pdf", "Melting_Curves/meltCurve_Q13085_3_ACACA.pdf")</f>
        <v>Melting_Curves/meltCurve_Q13085_3_ACACA.pdf</v>
      </c>
    </row>
    <row r="3337" spans="1:28" x14ac:dyDescent="0.25">
      <c r="A3337" t="s">
        <v>3341</v>
      </c>
      <c r="B3337">
        <v>0.99472303558308395</v>
      </c>
      <c r="C3337">
        <v>1.0297489815549199</v>
      </c>
      <c r="D3337">
        <v>0.98952574507267199</v>
      </c>
      <c r="E3337">
        <v>0.73363665405835199</v>
      </c>
      <c r="F3337">
        <v>0.40792376290461102</v>
      </c>
      <c r="G3337">
        <v>0.22603671645475101</v>
      </c>
      <c r="H3337">
        <v>0.13659687745947699</v>
      </c>
      <c r="I3337">
        <v>0.13294844129140199</v>
      </c>
      <c r="J3337">
        <v>0.13365616424910501</v>
      </c>
      <c r="K3337">
        <v>0.119193793433296</v>
      </c>
      <c r="L3337">
        <v>1099.6030666678701</v>
      </c>
      <c r="M3337">
        <v>22.662474248525498</v>
      </c>
      <c r="N3337">
        <v>49.141221780410199</v>
      </c>
      <c r="O3337">
        <v>48.147810106065997</v>
      </c>
      <c r="P3337">
        <v>-0.10303498253995499</v>
      </c>
      <c r="Q3337">
        <v>0.12440093625346001</v>
      </c>
      <c r="R3337">
        <v>0.997614802549594</v>
      </c>
      <c r="S3337" t="s">
        <v>9905</v>
      </c>
      <c r="T3337" t="s">
        <v>13134</v>
      </c>
      <c r="U3337" t="s">
        <v>13134</v>
      </c>
      <c r="V3337" t="s">
        <v>13134</v>
      </c>
      <c r="W3337" t="s">
        <v>16417</v>
      </c>
      <c r="X3337">
        <v>10</v>
      </c>
      <c r="Y3337" t="s">
        <v>22828</v>
      </c>
      <c r="Z3337" t="s">
        <v>29305</v>
      </c>
      <c r="AA3337">
        <v>0.46975355938428098</v>
      </c>
      <c r="AB3337" t="str">
        <f>HYPERLINK("Melting_Curves/meltCurve_Q13094_LCP2.pdf", "Melting_Curves/meltCurve_Q13094_LCP2.pdf")</f>
        <v>Melting_Curves/meltCurve_Q13094_LCP2.pdf</v>
      </c>
    </row>
    <row r="3338" spans="1:28" x14ac:dyDescent="0.25">
      <c r="A3338" t="s">
        <v>3342</v>
      </c>
      <c r="B3338">
        <v>0.99472303558308395</v>
      </c>
      <c r="C3338">
        <v>0.84828044908843703</v>
      </c>
      <c r="D3338">
        <v>0.77222090347242001</v>
      </c>
      <c r="E3338">
        <v>0.55560481429082897</v>
      </c>
      <c r="F3338">
        <v>0.27095400598012198</v>
      </c>
      <c r="G3338">
        <v>8.5793643682370496E-2</v>
      </c>
      <c r="H3338">
        <v>5.05036579612302E-2</v>
      </c>
      <c r="I3338">
        <v>3.4553708807524501E-2</v>
      </c>
      <c r="J3338">
        <v>3.7494153730856503E-2</v>
      </c>
      <c r="K3338">
        <v>3.5486929014026898E-2</v>
      </c>
      <c r="L3338">
        <v>662.33953669548896</v>
      </c>
      <c r="M3338">
        <v>14.1746477612175</v>
      </c>
      <c r="N3338">
        <v>46.727052783359497</v>
      </c>
      <c r="O3338">
        <v>45.826528759461603</v>
      </c>
      <c r="P3338">
        <v>-7.7337490462352207E-2</v>
      </c>
      <c r="Q3338">
        <v>0</v>
      </c>
      <c r="R3338">
        <v>0.99196684019538095</v>
      </c>
      <c r="S3338" t="s">
        <v>9906</v>
      </c>
      <c r="T3338" t="s">
        <v>13134</v>
      </c>
      <c r="U3338" t="s">
        <v>13134</v>
      </c>
      <c r="V3338" t="s">
        <v>13134</v>
      </c>
      <c r="W3338" t="s">
        <v>16418</v>
      </c>
      <c r="X3338">
        <v>8</v>
      </c>
      <c r="Y3338" t="s">
        <v>22829</v>
      </c>
      <c r="Z3338" t="s">
        <v>29306</v>
      </c>
      <c r="AA3338">
        <v>0.34931339551280988</v>
      </c>
      <c r="AB3338" t="str">
        <f>HYPERLINK("Melting_Curves/meltCurve_Q13107_2_USP4.pdf", "Melting_Curves/meltCurve_Q13107_2_USP4.pdf")</f>
        <v>Melting_Curves/meltCurve_Q13107_2_USP4.pdf</v>
      </c>
    </row>
    <row r="3339" spans="1:28" x14ac:dyDescent="0.25">
      <c r="A3339" t="s">
        <v>3343</v>
      </c>
      <c r="B3339">
        <v>0.99472303558308395</v>
      </c>
      <c r="C3339">
        <v>0.96341029547438595</v>
      </c>
      <c r="D3339">
        <v>0.75369990894614802</v>
      </c>
      <c r="E3339">
        <v>0.38783569170627902</v>
      </c>
      <c r="F3339">
        <v>0.19319618365366401</v>
      </c>
      <c r="G3339">
        <v>0.106591400270852</v>
      </c>
      <c r="H3339">
        <v>6.6296381036916194E-2</v>
      </c>
      <c r="I3339">
        <v>6.2245416095767003E-2</v>
      </c>
      <c r="J3339">
        <v>7.31122798624987E-2</v>
      </c>
      <c r="K3339">
        <v>6.6808210652454098E-2</v>
      </c>
      <c r="L3339">
        <v>922.90525267491898</v>
      </c>
      <c r="M3339">
        <v>20.405056172915799</v>
      </c>
      <c r="N3339">
        <v>45.544819588468201</v>
      </c>
      <c r="O3339">
        <v>44.801560992755299</v>
      </c>
      <c r="P3339">
        <v>-0.10636056948007599</v>
      </c>
      <c r="Q3339">
        <v>6.5922445303921107E-2</v>
      </c>
      <c r="R3339">
        <v>0.99914695324720104</v>
      </c>
      <c r="S3339" t="s">
        <v>9907</v>
      </c>
      <c r="T3339" t="s">
        <v>13134</v>
      </c>
      <c r="U3339" t="s">
        <v>13134</v>
      </c>
      <c r="V3339" t="s">
        <v>13134</v>
      </c>
      <c r="W3339" t="s">
        <v>16419</v>
      </c>
      <c r="X3339">
        <v>14</v>
      </c>
      <c r="Y3339" t="s">
        <v>22830</v>
      </c>
      <c r="Z3339" t="s">
        <v>29307</v>
      </c>
      <c r="AA3339">
        <v>0.33389421717158257</v>
      </c>
      <c r="AB3339" t="str">
        <f>HYPERLINK("Melting_Curves/meltCurve_Q13111_CHAF1A.pdf", "Melting_Curves/meltCurve_Q13111_CHAF1A.pdf")</f>
        <v>Melting_Curves/meltCurve_Q13111_CHAF1A.pdf</v>
      </c>
    </row>
    <row r="3340" spans="1:28" x14ac:dyDescent="0.25">
      <c r="A3340" t="s">
        <v>3344</v>
      </c>
      <c r="B3340">
        <v>0.99472303558308395</v>
      </c>
      <c r="C3340">
        <v>0.99563401388225004</v>
      </c>
      <c r="D3340">
        <v>0.93819646161367798</v>
      </c>
      <c r="E3340">
        <v>0.88632861641057403</v>
      </c>
      <c r="F3340">
        <v>0.75958699242384198</v>
      </c>
      <c r="G3340">
        <v>0.69222086353933299</v>
      </c>
      <c r="H3340">
        <v>0.50887959386366599</v>
      </c>
      <c r="I3340">
        <v>0.34108816127542102</v>
      </c>
      <c r="J3340">
        <v>0.162323522839733</v>
      </c>
      <c r="K3340">
        <v>0.104364300052952</v>
      </c>
      <c r="L3340">
        <v>641.09630769402202</v>
      </c>
      <c r="M3340">
        <v>11.2994885373098</v>
      </c>
      <c r="N3340">
        <v>56.736754602599802</v>
      </c>
      <c r="O3340">
        <v>55.046818097678702</v>
      </c>
      <c r="P3340">
        <v>-5.1333227137686198E-2</v>
      </c>
      <c r="Q3340">
        <v>0</v>
      </c>
      <c r="R3340">
        <v>0.98596608077765202</v>
      </c>
      <c r="S3340" t="s">
        <v>9908</v>
      </c>
      <c r="T3340" t="s">
        <v>13134</v>
      </c>
      <c r="U3340" t="s">
        <v>13134</v>
      </c>
      <c r="V3340" t="s">
        <v>13134</v>
      </c>
      <c r="W3340" t="s">
        <v>16420</v>
      </c>
      <c r="X3340">
        <v>14</v>
      </c>
      <c r="Y3340" t="s">
        <v>22831</v>
      </c>
      <c r="Z3340" t="s">
        <v>29308</v>
      </c>
      <c r="AA3340">
        <v>0.66258393017470119</v>
      </c>
      <c r="AB3340" t="str">
        <f>HYPERLINK("Melting_Curves/meltCurve_Q13112_CHAF1B.pdf", "Melting_Curves/meltCurve_Q13112_CHAF1B.pdf")</f>
        <v>Melting_Curves/meltCurve_Q13112_CHAF1B.pdf</v>
      </c>
    </row>
    <row r="3341" spans="1:28" x14ac:dyDescent="0.25">
      <c r="A3341" t="s">
        <v>3345</v>
      </c>
      <c r="B3341">
        <v>0.99472303558308395</v>
      </c>
      <c r="C3341">
        <v>1.0044491896918499</v>
      </c>
      <c r="D3341">
        <v>0.87649887591259301</v>
      </c>
      <c r="E3341">
        <v>0.69263179905278704</v>
      </c>
      <c r="F3341">
        <v>0.21368589208031499</v>
      </c>
      <c r="G3341">
        <v>0.119094131323617</v>
      </c>
      <c r="H3341">
        <v>6.9869539646763401E-2</v>
      </c>
      <c r="I3341">
        <v>5.1783669463523599E-2</v>
      </c>
      <c r="J3341">
        <v>6.7449920807602606E-2</v>
      </c>
      <c r="K3341">
        <v>5.4425388231985401E-2</v>
      </c>
      <c r="L3341">
        <v>1242.8196449406901</v>
      </c>
      <c r="M3341">
        <v>26.1180522390883</v>
      </c>
      <c r="N3341">
        <v>47.805235304442498</v>
      </c>
      <c r="O3341">
        <v>47.308359172234901</v>
      </c>
      <c r="P3341">
        <v>-0.13018824346628499</v>
      </c>
      <c r="Q3341">
        <v>5.6756034263107102E-2</v>
      </c>
      <c r="R3341">
        <v>0.99500309891761196</v>
      </c>
      <c r="S3341" t="s">
        <v>9909</v>
      </c>
      <c r="T3341" t="s">
        <v>13134</v>
      </c>
      <c r="U3341" t="s">
        <v>13134</v>
      </c>
      <c r="V3341" t="s">
        <v>13134</v>
      </c>
      <c r="W3341" t="s">
        <v>16421</v>
      </c>
      <c r="X3341">
        <v>21</v>
      </c>
      <c r="Y3341" t="s">
        <v>22832</v>
      </c>
      <c r="Z3341" t="s">
        <v>29309</v>
      </c>
      <c r="AA3341">
        <v>0.3968757994155297</v>
      </c>
      <c r="AB3341" t="str">
        <f>HYPERLINK("Melting_Curves/meltCurve_Q13123_IK.pdf", "Melting_Curves/meltCurve_Q13123_IK.pdf")</f>
        <v>Melting_Curves/meltCurve_Q13123_IK.pdf</v>
      </c>
    </row>
    <row r="3342" spans="1:28" x14ac:dyDescent="0.25">
      <c r="A3342" t="s">
        <v>3346</v>
      </c>
      <c r="B3342">
        <v>0.99472303558308395</v>
      </c>
      <c r="C3342">
        <v>0.75324837798712097</v>
      </c>
      <c r="D3342">
        <v>0.34022636181367699</v>
      </c>
      <c r="E3342">
        <v>0.22493831236030801</v>
      </c>
      <c r="F3342">
        <v>0.120950465765646</v>
      </c>
      <c r="G3342">
        <v>8.6813591524993405E-2</v>
      </c>
      <c r="H3342">
        <v>5.1197428086022699E-2</v>
      </c>
      <c r="I3342">
        <v>3.4309078654636199E-2</v>
      </c>
      <c r="J3342">
        <v>7.1833830105419494E-2</v>
      </c>
      <c r="K3342">
        <v>3.9663646233475902E-2</v>
      </c>
      <c r="L3342">
        <v>903.96130584369405</v>
      </c>
      <c r="M3342">
        <v>21.669886153629399</v>
      </c>
      <c r="N3342">
        <v>41.997131163419297</v>
      </c>
      <c r="O3342">
        <v>41.364726192829302</v>
      </c>
      <c r="P3342">
        <v>-0.12210316967027</v>
      </c>
      <c r="Q3342">
        <v>6.7712008309312496E-2</v>
      </c>
      <c r="R3342">
        <v>0.98707864596522099</v>
      </c>
      <c r="S3342" t="s">
        <v>9910</v>
      </c>
      <c r="T3342" t="s">
        <v>13134</v>
      </c>
      <c r="U3342" t="s">
        <v>13134</v>
      </c>
      <c r="V3342" t="s">
        <v>13134</v>
      </c>
      <c r="W3342" t="s">
        <v>16422</v>
      </c>
      <c r="X3342">
        <v>2</v>
      </c>
      <c r="Y3342" t="s">
        <v>22833</v>
      </c>
      <c r="Z3342" t="s">
        <v>29310</v>
      </c>
      <c r="AA3342">
        <v>0.22622735929750221</v>
      </c>
      <c r="AB3342" t="str">
        <f>HYPERLINK("Melting_Curves/meltCurve_Q13129_RLF.pdf", "Melting_Curves/meltCurve_Q13129_RLF.pdf")</f>
        <v>Melting_Curves/meltCurve_Q13129_RLF.pdf</v>
      </c>
    </row>
    <row r="3343" spans="1:28" x14ac:dyDescent="0.25">
      <c r="A3343" t="s">
        <v>3347</v>
      </c>
      <c r="B3343">
        <v>0.99472303558308395</v>
      </c>
      <c r="C3343">
        <v>0.92163636184875597</v>
      </c>
      <c r="D3343">
        <v>0.89157601187155999</v>
      </c>
      <c r="E3343">
        <v>0.79899616446519695</v>
      </c>
      <c r="F3343">
        <v>0.57017068548765604</v>
      </c>
      <c r="G3343">
        <v>0.24324050153301</v>
      </c>
      <c r="H3343">
        <v>0.10800097372103901</v>
      </c>
      <c r="I3343">
        <v>5.92103796325371E-2</v>
      </c>
      <c r="J3343">
        <v>9.6908428802966795E-2</v>
      </c>
      <c r="K3343">
        <v>5.5122868938226502E-2</v>
      </c>
      <c r="L3343">
        <v>844.28244706842099</v>
      </c>
      <c r="M3343">
        <v>16.788914417955901</v>
      </c>
      <c r="N3343">
        <v>50.480293253762703</v>
      </c>
      <c r="O3343">
        <v>49.590879978771703</v>
      </c>
      <c r="P3343">
        <v>-8.2022070180899798E-2</v>
      </c>
      <c r="Q3343">
        <v>3.09599250718221E-2</v>
      </c>
      <c r="R3343">
        <v>0.99045687111682001</v>
      </c>
      <c r="S3343" t="s">
        <v>9911</v>
      </c>
      <c r="T3343" t="s">
        <v>13134</v>
      </c>
      <c r="U3343" t="s">
        <v>13134</v>
      </c>
      <c r="V3343" t="s">
        <v>13134</v>
      </c>
      <c r="W3343" t="s">
        <v>16423</v>
      </c>
      <c r="X3343">
        <v>13</v>
      </c>
      <c r="Y3343" t="s">
        <v>22834</v>
      </c>
      <c r="Z3343" t="s">
        <v>29311</v>
      </c>
      <c r="AA3343">
        <v>0.47716660591228022</v>
      </c>
      <c r="AB3343" t="str">
        <f>HYPERLINK("Melting_Curves/meltCurve_Q13131_PRKAA1.pdf", "Melting_Curves/meltCurve_Q13131_PRKAA1.pdf")</f>
        <v>Melting_Curves/meltCurve_Q13131_PRKAA1.pdf</v>
      </c>
    </row>
    <row r="3344" spans="1:28" x14ac:dyDescent="0.25">
      <c r="A3344" t="s">
        <v>3348</v>
      </c>
      <c r="B3344">
        <v>0.99472303558308395</v>
      </c>
      <c r="C3344">
        <v>0.88404698632921297</v>
      </c>
      <c r="D3344">
        <v>0.94156300849225805</v>
      </c>
      <c r="E3344">
        <v>0.61031895341657205</v>
      </c>
      <c r="F3344">
        <v>0.229363699193671</v>
      </c>
      <c r="G3344">
        <v>0.227396812089003</v>
      </c>
      <c r="H3344">
        <v>0.202713170134491</v>
      </c>
      <c r="I3344">
        <v>8.6388061935452898E-2</v>
      </c>
      <c r="J3344">
        <v>0.129180110156734</v>
      </c>
      <c r="K3344">
        <v>0.16704931295161299</v>
      </c>
      <c r="L3344">
        <v>1278.3795215657301</v>
      </c>
      <c r="M3344">
        <v>27.319881971434501</v>
      </c>
      <c r="N3344">
        <v>47.4156743882792</v>
      </c>
      <c r="O3344">
        <v>46.544453081094098</v>
      </c>
      <c r="P3344">
        <v>-0.12462361289240501</v>
      </c>
      <c r="Q3344">
        <v>0.150730873551783</v>
      </c>
      <c r="R3344">
        <v>0.980907212245961</v>
      </c>
      <c r="S3344" t="s">
        <v>9912</v>
      </c>
      <c r="T3344" t="s">
        <v>13134</v>
      </c>
      <c r="U3344" t="s">
        <v>13134</v>
      </c>
      <c r="V3344" t="s">
        <v>13134</v>
      </c>
      <c r="W3344" t="s">
        <v>16424</v>
      </c>
      <c r="X3344">
        <v>24</v>
      </c>
      <c r="Y3344" t="s">
        <v>22835</v>
      </c>
      <c r="Z3344" t="s">
        <v>29312</v>
      </c>
      <c r="AA3344">
        <v>0.43390397619690269</v>
      </c>
      <c r="AB3344" t="str">
        <f>HYPERLINK("Melting_Curves/meltCurve_Q13136_PPFIA1.pdf", "Melting_Curves/meltCurve_Q13136_PPFIA1.pdf")</f>
        <v>Melting_Curves/meltCurve_Q13136_PPFIA1.pdf</v>
      </c>
    </row>
    <row r="3345" spans="1:28" x14ac:dyDescent="0.25">
      <c r="A3345" t="s">
        <v>3349</v>
      </c>
      <c r="B3345">
        <v>0.99472303558308395</v>
      </c>
      <c r="C3345">
        <v>0.94182323845391103</v>
      </c>
      <c r="D3345">
        <v>0.48768182964904699</v>
      </c>
      <c r="E3345">
        <v>0.22309836694485599</v>
      </c>
      <c r="F3345">
        <v>0.190191083625258</v>
      </c>
      <c r="G3345">
        <v>0.118865121323268</v>
      </c>
      <c r="H3345">
        <v>6.7029230058809106E-2</v>
      </c>
      <c r="I3345">
        <v>6.3084426585524794E-2</v>
      </c>
      <c r="J3345">
        <v>5.6895223066452498E-2</v>
      </c>
      <c r="K3345">
        <v>3.5401024167506297E-2</v>
      </c>
      <c r="L3345">
        <v>1079.35395356003</v>
      </c>
      <c r="M3345">
        <v>25.1318335301101</v>
      </c>
      <c r="N3345">
        <v>43.264723336509498</v>
      </c>
      <c r="O3345">
        <v>42.678528011243998</v>
      </c>
      <c r="P3345">
        <v>-0.13483669198833101</v>
      </c>
      <c r="Q3345">
        <v>8.4100932846130599E-2</v>
      </c>
      <c r="R3345">
        <v>0.98508864018044595</v>
      </c>
      <c r="S3345" t="s">
        <v>9913</v>
      </c>
      <c r="T3345" t="s">
        <v>13134</v>
      </c>
      <c r="U3345" t="s">
        <v>13134</v>
      </c>
      <c r="V3345" t="s">
        <v>13134</v>
      </c>
      <c r="W3345" t="s">
        <v>16425</v>
      </c>
      <c r="X3345">
        <v>11</v>
      </c>
      <c r="Y3345" t="s">
        <v>22836</v>
      </c>
      <c r="Z3345" t="s">
        <v>29313</v>
      </c>
      <c r="AA3345">
        <v>0.27328618283245482</v>
      </c>
      <c r="AB3345" t="str">
        <f>HYPERLINK("Melting_Curves/meltCurve_Q13148_TARDBP.pdf", "Melting_Curves/meltCurve_Q13148_TARDBP.pdf")</f>
        <v>Melting_Curves/meltCurve_Q13148_TARDBP.pdf</v>
      </c>
    </row>
    <row r="3346" spans="1:28" x14ac:dyDescent="0.25">
      <c r="A3346" t="s">
        <v>3350</v>
      </c>
      <c r="B3346">
        <v>0.99472303558308395</v>
      </c>
      <c r="C3346">
        <v>0.98737602782248601</v>
      </c>
      <c r="D3346">
        <v>0.86407072802371498</v>
      </c>
      <c r="E3346">
        <v>0.41091720762488199</v>
      </c>
      <c r="F3346">
        <v>0.140306073587531</v>
      </c>
      <c r="G3346">
        <v>7.5574939237481001E-2</v>
      </c>
      <c r="H3346">
        <v>4.9016539307359198E-2</v>
      </c>
      <c r="I3346">
        <v>5.0927498352680803E-2</v>
      </c>
      <c r="J3346">
        <v>4.7832137438760199E-2</v>
      </c>
      <c r="K3346">
        <v>4.82396565014509E-2</v>
      </c>
      <c r="L3346">
        <v>1234.32579758369</v>
      </c>
      <c r="M3346">
        <v>26.953394381041601</v>
      </c>
      <c r="N3346">
        <v>45.9770645740684</v>
      </c>
      <c r="O3346">
        <v>45.544976300047701</v>
      </c>
      <c r="P3346">
        <v>-0.14045498112447699</v>
      </c>
      <c r="Q3346">
        <v>5.0664551404010001E-2</v>
      </c>
      <c r="R3346">
        <v>0.99982728581372604</v>
      </c>
      <c r="S3346" t="s">
        <v>9914</v>
      </c>
      <c r="T3346" t="s">
        <v>13134</v>
      </c>
      <c r="U3346" t="s">
        <v>13134</v>
      </c>
      <c r="V3346" t="s">
        <v>13134</v>
      </c>
      <c r="W3346" t="s">
        <v>16426</v>
      </c>
      <c r="X3346">
        <v>5</v>
      </c>
      <c r="Y3346" t="s">
        <v>22837</v>
      </c>
      <c r="Z3346" t="s">
        <v>29314</v>
      </c>
      <c r="AA3346">
        <v>0.33569441179036891</v>
      </c>
      <c r="AB3346" t="str">
        <f>HYPERLINK("Melting_Curves/meltCurve_Q13151_HNRNPA0.pdf", "Melting_Curves/meltCurve_Q13151_HNRNPA0.pdf")</f>
        <v>Melting_Curves/meltCurve_Q13151_HNRNPA0.pdf</v>
      </c>
    </row>
    <row r="3347" spans="1:28" x14ac:dyDescent="0.25">
      <c r="A3347" t="s">
        <v>3351</v>
      </c>
      <c r="B3347">
        <v>0.99472303558308395</v>
      </c>
      <c r="C3347">
        <v>0.69279037421436795</v>
      </c>
      <c r="D3347">
        <v>0.68837784499197996</v>
      </c>
      <c r="E3347">
        <v>0.30732148896478201</v>
      </c>
      <c r="F3347">
        <v>0.13966950511950299</v>
      </c>
      <c r="G3347">
        <v>7.3831556321943506E-2</v>
      </c>
      <c r="H3347">
        <v>5.2267919258643498E-2</v>
      </c>
      <c r="I3347">
        <v>3.6886071643160302E-2</v>
      </c>
      <c r="J3347">
        <v>4.7306723621687002E-2</v>
      </c>
      <c r="K3347">
        <v>3.4409702605461702E-2</v>
      </c>
      <c r="L3347">
        <v>620.99436994415498</v>
      </c>
      <c r="M3347">
        <v>14.1003357513406</v>
      </c>
      <c r="N3347">
        <v>44.150650225632397</v>
      </c>
      <c r="O3347">
        <v>43.183662379875003</v>
      </c>
      <c r="P3347">
        <v>-8.0236940325732503E-2</v>
      </c>
      <c r="Q3347">
        <v>1.7192479160718699E-2</v>
      </c>
      <c r="R3347">
        <v>0.97400897287553001</v>
      </c>
      <c r="S3347" t="s">
        <v>9915</v>
      </c>
      <c r="T3347" t="s">
        <v>13134</v>
      </c>
      <c r="U3347" t="s">
        <v>13134</v>
      </c>
      <c r="V3347" t="s">
        <v>13134</v>
      </c>
      <c r="W3347" t="s">
        <v>16427</v>
      </c>
      <c r="X3347">
        <v>6</v>
      </c>
      <c r="Y3347" t="s">
        <v>22838</v>
      </c>
      <c r="Z3347" t="s">
        <v>29315</v>
      </c>
      <c r="AA3347">
        <v>0.27551459739970702</v>
      </c>
      <c r="AB3347" t="str">
        <f>HYPERLINK("Melting_Curves/meltCurve_Q13155_AIMP2.pdf", "Melting_Curves/meltCurve_Q13155_AIMP2.pdf")</f>
        <v>Melting_Curves/meltCurve_Q13155_AIMP2.pdf</v>
      </c>
    </row>
    <row r="3348" spans="1:28" x14ac:dyDescent="0.25">
      <c r="A3348" t="s">
        <v>3352</v>
      </c>
      <c r="B3348">
        <v>0.99472303558308395</v>
      </c>
      <c r="C3348">
        <v>0.99633358468053201</v>
      </c>
      <c r="D3348">
        <v>0.95776660387753398</v>
      </c>
      <c r="E3348">
        <v>0.62167916605965101</v>
      </c>
      <c r="F3348">
        <v>0.180196288831874</v>
      </c>
      <c r="G3348">
        <v>9.24644254805779E-2</v>
      </c>
      <c r="H3348">
        <v>4.9441370963087303E-2</v>
      </c>
      <c r="I3348">
        <v>4.0886797940537602E-2</v>
      </c>
      <c r="J3348">
        <v>3.8059806080800597E-2</v>
      </c>
      <c r="K3348">
        <v>3.4316483969932102E-2</v>
      </c>
      <c r="L3348">
        <v>1404.6453521887599</v>
      </c>
      <c r="M3348">
        <v>29.7176983749819</v>
      </c>
      <c r="N3348">
        <v>47.4113529367715</v>
      </c>
      <c r="O3348">
        <v>47.053792557442002</v>
      </c>
      <c r="P3348">
        <v>-0.15103168784959001</v>
      </c>
      <c r="Q3348">
        <v>4.3456442480478703E-2</v>
      </c>
      <c r="R3348">
        <v>0.99953874717518998</v>
      </c>
      <c r="S3348" t="s">
        <v>9916</v>
      </c>
      <c r="T3348" t="s">
        <v>13134</v>
      </c>
      <c r="U3348" t="s">
        <v>13134</v>
      </c>
      <c r="V3348" t="s">
        <v>13134</v>
      </c>
      <c r="W3348" t="s">
        <v>16428</v>
      </c>
      <c r="X3348">
        <v>10</v>
      </c>
      <c r="Y3348" t="s">
        <v>22839</v>
      </c>
      <c r="Z3348" t="s">
        <v>29316</v>
      </c>
      <c r="AA3348">
        <v>0.37649004445746742</v>
      </c>
      <c r="AB3348" t="str">
        <f>HYPERLINK("Melting_Curves/meltCurve_Q13158_FADD.pdf", "Melting_Curves/meltCurve_Q13158_FADD.pdf")</f>
        <v>Melting_Curves/meltCurve_Q13158_FADD.pdf</v>
      </c>
    </row>
    <row r="3349" spans="1:28" x14ac:dyDescent="0.25">
      <c r="A3349" t="s">
        <v>3353</v>
      </c>
      <c r="B3349">
        <v>0.99472303558308395</v>
      </c>
      <c r="C3349">
        <v>0.96674456344550797</v>
      </c>
      <c r="D3349">
        <v>0.78838631709587903</v>
      </c>
      <c r="E3349">
        <v>0.72330813711159003</v>
      </c>
      <c r="F3349">
        <v>0.78514290797316799</v>
      </c>
      <c r="G3349">
        <v>0.45244905489383702</v>
      </c>
      <c r="H3349">
        <v>0.37913644043536399</v>
      </c>
      <c r="I3349">
        <v>0.29511300650794697</v>
      </c>
      <c r="J3349">
        <v>0.51487272079439494</v>
      </c>
      <c r="K3349">
        <v>0.65621072717915896</v>
      </c>
      <c r="L3349">
        <v>607.31438312724401</v>
      </c>
      <c r="M3349">
        <v>12.9850358810928</v>
      </c>
      <c r="N3349">
        <v>56.7225103579609</v>
      </c>
      <c r="O3349">
        <v>45.702748011155599</v>
      </c>
      <c r="P3349">
        <v>-3.9160757589780201E-2</v>
      </c>
      <c r="Q3349">
        <v>0.44876957111773202</v>
      </c>
      <c r="R3349">
        <v>0.74772518206682403</v>
      </c>
      <c r="S3349" t="s">
        <v>9917</v>
      </c>
      <c r="T3349" t="s">
        <v>13134</v>
      </c>
      <c r="U3349" t="s">
        <v>13134</v>
      </c>
      <c r="V3349" t="s">
        <v>13134</v>
      </c>
      <c r="W3349" t="s">
        <v>16429</v>
      </c>
      <c r="X3349">
        <v>13</v>
      </c>
      <c r="Y3349" t="s">
        <v>22840</v>
      </c>
      <c r="Z3349" t="s">
        <v>29317</v>
      </c>
      <c r="AA3349">
        <v>0.64436407814944474</v>
      </c>
      <c r="AB3349" t="str">
        <f>HYPERLINK("Melting_Curves/meltCurve_Q13162_PRDX4.pdf", "Melting_Curves/meltCurve_Q13162_PRDX4.pdf")</f>
        <v>Melting_Curves/meltCurve_Q13162_PRDX4.pdf</v>
      </c>
    </row>
    <row r="3350" spans="1:28" x14ac:dyDescent="0.25">
      <c r="A3350" t="s">
        <v>3354</v>
      </c>
      <c r="B3350">
        <v>0.99472303558308395</v>
      </c>
      <c r="C3350">
        <v>1.1108699493755501</v>
      </c>
      <c r="D3350">
        <v>0.94030482828453699</v>
      </c>
      <c r="E3350">
        <v>0.78935231619822199</v>
      </c>
      <c r="F3350">
        <v>0.30451811676186102</v>
      </c>
      <c r="G3350">
        <v>0.157380023528016</v>
      </c>
      <c r="H3350">
        <v>9.6426543339303297E-2</v>
      </c>
      <c r="I3350">
        <v>0.11386251380929099</v>
      </c>
      <c r="J3350">
        <v>6.6367546987781301E-2</v>
      </c>
      <c r="K3350">
        <v>0.106657661226913</v>
      </c>
      <c r="L3350">
        <v>1470.82546339648</v>
      </c>
      <c r="M3350">
        <v>30.437398739028598</v>
      </c>
      <c r="N3350">
        <v>48.667354541580899</v>
      </c>
      <c r="O3350">
        <v>48.115817100677702</v>
      </c>
      <c r="P3350">
        <v>-0.14282544240763101</v>
      </c>
      <c r="Q3350">
        <v>9.6884635869324498E-2</v>
      </c>
      <c r="R3350">
        <v>0.99041736323104301</v>
      </c>
      <c r="S3350" t="s">
        <v>9918</v>
      </c>
      <c r="T3350" t="s">
        <v>13134</v>
      </c>
      <c r="U3350" t="s">
        <v>13134</v>
      </c>
      <c r="V3350" t="s">
        <v>13134</v>
      </c>
      <c r="W3350" t="s">
        <v>16430</v>
      </c>
      <c r="X3350">
        <v>5</v>
      </c>
      <c r="Y3350" t="s">
        <v>22841</v>
      </c>
      <c r="Z3350" t="s">
        <v>29318</v>
      </c>
      <c r="AA3350">
        <v>0.44297657384781242</v>
      </c>
      <c r="AB3350" t="str">
        <f>HYPERLINK("Melting_Curves/meltCurve_Q13164_MAPK7.pdf", "Melting_Curves/meltCurve_Q13164_MAPK7.pdf")</f>
        <v>Melting_Curves/meltCurve_Q13164_MAPK7.pdf</v>
      </c>
    </row>
    <row r="3351" spans="1:28" x14ac:dyDescent="0.25">
      <c r="A3351" t="s">
        <v>3355</v>
      </c>
      <c r="B3351">
        <v>0.99472303558308395</v>
      </c>
      <c r="C3351">
        <v>1.0213839589601501</v>
      </c>
      <c r="D3351">
        <v>1.0057131620219699</v>
      </c>
      <c r="E3351">
        <v>0.95460547283428798</v>
      </c>
      <c r="F3351">
        <v>0.75002158283401499</v>
      </c>
      <c r="G3351">
        <v>0.61182359277109399</v>
      </c>
      <c r="H3351">
        <v>0.25682897432395002</v>
      </c>
      <c r="I3351">
        <v>7.1265228096015404E-2</v>
      </c>
      <c r="J3351">
        <v>6.9458341147839803E-2</v>
      </c>
      <c r="K3351">
        <v>6.2911645140560704E-2</v>
      </c>
      <c r="L3351">
        <v>975.00869815339297</v>
      </c>
      <c r="M3351">
        <v>17.9514652051719</v>
      </c>
      <c r="N3351">
        <v>54.313601316266201</v>
      </c>
      <c r="O3351">
        <v>53.653053713723402</v>
      </c>
      <c r="P3351">
        <v>-8.3650226810597098E-2</v>
      </c>
      <c r="Q3351">
        <v>0</v>
      </c>
      <c r="R3351">
        <v>0.99158058130493298</v>
      </c>
      <c r="S3351" t="s">
        <v>9919</v>
      </c>
      <c r="T3351" t="s">
        <v>13134</v>
      </c>
      <c r="U3351" t="s">
        <v>13134</v>
      </c>
      <c r="V3351" t="s">
        <v>13134</v>
      </c>
      <c r="W3351" t="s">
        <v>16431</v>
      </c>
      <c r="X3351">
        <v>29</v>
      </c>
      <c r="Y3351" t="s">
        <v>22842</v>
      </c>
      <c r="Z3351" t="s">
        <v>29319</v>
      </c>
      <c r="AA3351">
        <v>0.59054987827238292</v>
      </c>
      <c r="AB3351" t="str">
        <f>HYPERLINK("Melting_Curves/meltCurve_Q13177_PAK2.pdf", "Melting_Curves/meltCurve_Q13177_PAK2.pdf")</f>
        <v>Melting_Curves/meltCurve_Q13177_PAK2.pdf</v>
      </c>
    </row>
    <row r="3352" spans="1:28" x14ac:dyDescent="0.25">
      <c r="A3352" t="s">
        <v>3356</v>
      </c>
      <c r="B3352">
        <v>0.99472303558308395</v>
      </c>
      <c r="C3352">
        <v>0.94816277899480395</v>
      </c>
      <c r="D3352">
        <v>0.93002577617867999</v>
      </c>
      <c r="E3352">
        <v>0.79663594250370695</v>
      </c>
      <c r="F3352">
        <v>0.36156485778400999</v>
      </c>
      <c r="G3352">
        <v>0.139639684299706</v>
      </c>
      <c r="H3352">
        <v>8.1791435609570404E-2</v>
      </c>
      <c r="I3352">
        <v>6.7334432561858004E-2</v>
      </c>
      <c r="J3352">
        <v>7.88463575975E-2</v>
      </c>
      <c r="K3352">
        <v>7.3784756712274496E-2</v>
      </c>
      <c r="L3352">
        <v>1255.4764925448201</v>
      </c>
      <c r="M3352">
        <v>25.761352853990498</v>
      </c>
      <c r="N3352">
        <v>49.011548254513897</v>
      </c>
      <c r="O3352">
        <v>48.444059140381903</v>
      </c>
      <c r="P3352">
        <v>-0.12394941344547999</v>
      </c>
      <c r="Q3352">
        <v>6.7666809304430905E-2</v>
      </c>
      <c r="R3352">
        <v>0.99710176993573396</v>
      </c>
      <c r="S3352" t="s">
        <v>9920</v>
      </c>
      <c r="T3352" t="s">
        <v>13134</v>
      </c>
      <c r="U3352" t="s">
        <v>13134</v>
      </c>
      <c r="V3352" t="s">
        <v>13134</v>
      </c>
      <c r="W3352" t="s">
        <v>16432</v>
      </c>
      <c r="X3352">
        <v>13</v>
      </c>
      <c r="Y3352" t="s">
        <v>22843</v>
      </c>
      <c r="Z3352" t="s">
        <v>29320</v>
      </c>
      <c r="AA3352">
        <v>0.43993064397272902</v>
      </c>
      <c r="AB3352" t="str">
        <f>HYPERLINK("Melting_Curves/meltCurve_Q13185_CBX3.pdf", "Melting_Curves/meltCurve_Q13185_CBX3.pdf")</f>
        <v>Melting_Curves/meltCurve_Q13185_CBX3.pdf</v>
      </c>
    </row>
    <row r="3353" spans="1:28" x14ac:dyDescent="0.25">
      <c r="A3353" t="s">
        <v>3357</v>
      </c>
      <c r="B3353">
        <v>0.99472303558308395</v>
      </c>
      <c r="C3353">
        <v>0.91134577461823396</v>
      </c>
      <c r="D3353">
        <v>0.91934821244051701</v>
      </c>
      <c r="E3353">
        <v>0.80941618905403101</v>
      </c>
      <c r="F3353">
        <v>0.65914463735492301</v>
      </c>
      <c r="G3353">
        <v>0.51239533061175901</v>
      </c>
      <c r="H3353">
        <v>0.30598901387699601</v>
      </c>
      <c r="I3353">
        <v>0.124681836337174</v>
      </c>
      <c r="J3353">
        <v>8.2033213113441195E-2</v>
      </c>
      <c r="K3353">
        <v>7.3860054900877506E-2</v>
      </c>
      <c r="L3353">
        <v>623.61847940307098</v>
      </c>
      <c r="M3353">
        <v>11.764149822699199</v>
      </c>
      <c r="N3353">
        <v>53.010077734544801</v>
      </c>
      <c r="O3353">
        <v>51.547878444121402</v>
      </c>
      <c r="P3353">
        <v>-5.7069333985108502E-2</v>
      </c>
      <c r="Q3353">
        <v>0</v>
      </c>
      <c r="R3353">
        <v>0.989550282951703</v>
      </c>
      <c r="S3353" t="s">
        <v>9921</v>
      </c>
      <c r="T3353" t="s">
        <v>13134</v>
      </c>
      <c r="U3353" t="s">
        <v>13134</v>
      </c>
      <c r="V3353" t="s">
        <v>13134</v>
      </c>
      <c r="W3353" t="s">
        <v>16433</v>
      </c>
      <c r="X3353">
        <v>15</v>
      </c>
      <c r="Y3353" t="s">
        <v>22844</v>
      </c>
      <c r="Z3353" t="s">
        <v>29321</v>
      </c>
      <c r="AA3353">
        <v>0.55492783526472456</v>
      </c>
      <c r="AB3353" t="str">
        <f>HYPERLINK("Melting_Curves/meltCurve_Q13188_STK3.pdf", "Melting_Curves/meltCurve_Q13188_STK3.pdf")</f>
        <v>Melting_Curves/meltCurve_Q13188_STK3.pdf</v>
      </c>
    </row>
    <row r="3354" spans="1:28" x14ac:dyDescent="0.25">
      <c r="A3354" t="s">
        <v>3358</v>
      </c>
      <c r="B3354">
        <v>0.99472303558308395</v>
      </c>
      <c r="C3354">
        <v>0.89245367708533296</v>
      </c>
      <c r="D3354">
        <v>0.93732249621877695</v>
      </c>
      <c r="E3354">
        <v>0.66701066953150701</v>
      </c>
      <c r="F3354">
        <v>0.151447691162615</v>
      </c>
      <c r="G3354">
        <v>4.7122985520262402E-2</v>
      </c>
      <c r="H3354">
        <v>2.4439997037255801E-2</v>
      </c>
      <c r="I3354">
        <v>1.59976715760057E-2</v>
      </c>
      <c r="J3354">
        <v>2.0300759270641601E-2</v>
      </c>
      <c r="K3354">
        <v>1.86391022458792E-2</v>
      </c>
      <c r="L3354">
        <v>1512.4424116520099</v>
      </c>
      <c r="M3354">
        <v>31.848024359300702</v>
      </c>
      <c r="N3354">
        <v>47.543223260183098</v>
      </c>
      <c r="O3354">
        <v>47.303310410928603</v>
      </c>
      <c r="P3354">
        <v>-0.16533722406783199</v>
      </c>
      <c r="Q3354">
        <v>1.77152651512274E-2</v>
      </c>
      <c r="R3354">
        <v>0.99277030429558299</v>
      </c>
      <c r="S3354" t="s">
        <v>9922</v>
      </c>
      <c r="T3354" t="s">
        <v>13134</v>
      </c>
      <c r="U3354" t="s">
        <v>13134</v>
      </c>
      <c r="V3354" t="s">
        <v>13134</v>
      </c>
      <c r="W3354" t="s">
        <v>16434</v>
      </c>
      <c r="X3354">
        <v>4</v>
      </c>
      <c r="Y3354" t="s">
        <v>22845</v>
      </c>
      <c r="Z3354" t="s">
        <v>29322</v>
      </c>
      <c r="AA3354">
        <v>0.36627437475993951</v>
      </c>
      <c r="AB3354" t="str">
        <f>HYPERLINK("Melting_Curves/meltCurve_Q13190_3_STX5.pdf", "Melting_Curves/meltCurve_Q13190_3_STX5.pdf")</f>
        <v>Melting_Curves/meltCurve_Q13190_3_STX5.pdf</v>
      </c>
    </row>
    <row r="3355" spans="1:28" x14ac:dyDescent="0.25">
      <c r="A3355" t="s">
        <v>3359</v>
      </c>
      <c r="B3355">
        <v>0.99472303558308395</v>
      </c>
      <c r="C3355">
        <v>0.96455538592529799</v>
      </c>
      <c r="D3355">
        <v>0.76359535692764102</v>
      </c>
      <c r="E3355">
        <v>0.65234334288937301</v>
      </c>
      <c r="F3355">
        <v>0.57794862822012405</v>
      </c>
      <c r="G3355">
        <v>0.22494292918110101</v>
      </c>
      <c r="H3355">
        <v>9.1487748309816194E-2</v>
      </c>
      <c r="I3355">
        <v>4.7736439575338699E-2</v>
      </c>
      <c r="J3355">
        <v>6.06162469427916E-2</v>
      </c>
      <c r="K3355">
        <v>4.6377980187515301E-2</v>
      </c>
      <c r="L3355">
        <v>602.55212541163598</v>
      </c>
      <c r="M3355">
        <v>12.2198260770635</v>
      </c>
      <c r="N3355">
        <v>49.309369347059402</v>
      </c>
      <c r="O3355">
        <v>48.044613741003502</v>
      </c>
      <c r="P3355">
        <v>-6.3600114470932001E-2</v>
      </c>
      <c r="Q3355">
        <v>0</v>
      </c>
      <c r="R3355">
        <v>0.97532120363576802</v>
      </c>
      <c r="S3355" t="s">
        <v>9923</v>
      </c>
      <c r="T3355" t="s">
        <v>13134</v>
      </c>
      <c r="U3355" t="s">
        <v>13134</v>
      </c>
      <c r="V3355" t="s">
        <v>13134</v>
      </c>
      <c r="W3355" t="s">
        <v>16435</v>
      </c>
      <c r="X3355">
        <v>43</v>
      </c>
      <c r="Y3355" t="s">
        <v>22846</v>
      </c>
      <c r="Z3355" t="s">
        <v>29323</v>
      </c>
      <c r="AA3355">
        <v>0.43884226771248258</v>
      </c>
      <c r="AB3355" t="str">
        <f>HYPERLINK("Melting_Curves/meltCurve_Q13200_PSMD2.pdf", "Melting_Curves/meltCurve_Q13200_PSMD2.pdf")</f>
        <v>Melting_Curves/meltCurve_Q13200_PSMD2.pdf</v>
      </c>
    </row>
    <row r="3356" spans="1:28" x14ac:dyDescent="0.25">
      <c r="A3356" t="s">
        <v>3360</v>
      </c>
      <c r="B3356">
        <v>0.99472303558308395</v>
      </c>
      <c r="C3356">
        <v>0.77327197440982498</v>
      </c>
      <c r="D3356">
        <v>0.859649352241866</v>
      </c>
      <c r="E3356">
        <v>0.75777612390684801</v>
      </c>
      <c r="F3356">
        <v>0.30757666322695398</v>
      </c>
      <c r="G3356">
        <v>0.23479080372098801</v>
      </c>
      <c r="H3356">
        <v>9.7307346837494604E-2</v>
      </c>
      <c r="I3356">
        <v>0</v>
      </c>
      <c r="J3356">
        <v>0.118828459011514</v>
      </c>
      <c r="K3356">
        <v>0</v>
      </c>
      <c r="L3356">
        <v>664.47828028613401</v>
      </c>
      <c r="M3356">
        <v>13.6696228219422</v>
      </c>
      <c r="N3356">
        <v>48.609847500209398</v>
      </c>
      <c r="O3356">
        <v>47.604941070972899</v>
      </c>
      <c r="P3356">
        <v>-7.1797213700443799E-2</v>
      </c>
      <c r="Q3356">
        <v>0</v>
      </c>
      <c r="R3356">
        <v>0.95277020290341496</v>
      </c>
      <c r="S3356" t="s">
        <v>9924</v>
      </c>
      <c r="T3356" t="s">
        <v>13134</v>
      </c>
      <c r="U3356" t="s">
        <v>13134</v>
      </c>
      <c r="V3356" t="s">
        <v>13134</v>
      </c>
      <c r="W3356" t="s">
        <v>16436</v>
      </c>
      <c r="X3356">
        <v>1</v>
      </c>
      <c r="Y3356" t="s">
        <v>22847</v>
      </c>
      <c r="Z3356" t="s">
        <v>29324</v>
      </c>
      <c r="AA3356">
        <v>0.41211920813081421</v>
      </c>
      <c r="AB3356" t="str">
        <f>HYPERLINK("Melting_Curves/meltCurve_Q13206_DDX10.pdf", "Melting_Curves/meltCurve_Q13206_DDX10.pdf")</f>
        <v>Melting_Curves/meltCurve_Q13206_DDX10.pdf</v>
      </c>
    </row>
    <row r="3357" spans="1:28" x14ac:dyDescent="0.25">
      <c r="A3357" t="s">
        <v>3361</v>
      </c>
      <c r="B3357">
        <v>0.99472303558308395</v>
      </c>
      <c r="C3357">
        <v>1.02362264387729</v>
      </c>
      <c r="D3357">
        <v>0.96165705840140703</v>
      </c>
      <c r="E3357">
        <v>0.81967688224180701</v>
      </c>
      <c r="F3357">
        <v>0.388907068309301</v>
      </c>
      <c r="G3357">
        <v>0.113037280874344</v>
      </c>
      <c r="H3357">
        <v>6.1050111023041101E-2</v>
      </c>
      <c r="I3357">
        <v>4.0964443978860898E-2</v>
      </c>
      <c r="J3357">
        <v>4.8835575843383702E-2</v>
      </c>
      <c r="K3357">
        <v>4.7860126126743202E-2</v>
      </c>
      <c r="L3357">
        <v>1334.4824140404601</v>
      </c>
      <c r="M3357">
        <v>27.172248466628499</v>
      </c>
      <c r="N3357">
        <v>49.269351257846999</v>
      </c>
      <c r="O3357">
        <v>48.848269109673303</v>
      </c>
      <c r="P3357">
        <v>-0.13328522065620799</v>
      </c>
      <c r="Q3357">
        <v>4.1567807985121399E-2</v>
      </c>
      <c r="R3357">
        <v>0.99929695394359097</v>
      </c>
      <c r="S3357" t="s">
        <v>9925</v>
      </c>
      <c r="T3357" t="s">
        <v>13134</v>
      </c>
      <c r="U3357" t="s">
        <v>13134</v>
      </c>
      <c r="V3357" t="s">
        <v>13134</v>
      </c>
      <c r="W3357" t="s">
        <v>16437</v>
      </c>
      <c r="X3357">
        <v>20</v>
      </c>
      <c r="Y3357" t="s">
        <v>22848</v>
      </c>
      <c r="Z3357" t="s">
        <v>29325</v>
      </c>
      <c r="AA3357">
        <v>0.43556492697076182</v>
      </c>
      <c r="AB3357" t="str">
        <f>HYPERLINK("Melting_Curves/meltCurve_Q13217_DNAJC3.pdf", "Melting_Curves/meltCurve_Q13217_DNAJC3.pdf")</f>
        <v>Melting_Curves/meltCurve_Q13217_DNAJC3.pdf</v>
      </c>
    </row>
    <row r="3358" spans="1:28" x14ac:dyDescent="0.25">
      <c r="A3358" t="s">
        <v>3362</v>
      </c>
      <c r="B3358">
        <v>0.99472303558308395</v>
      </c>
      <c r="C3358">
        <v>0.96102708807261605</v>
      </c>
      <c r="D3358">
        <v>0.95840954092323205</v>
      </c>
      <c r="E3358">
        <v>0.87796774860788096</v>
      </c>
      <c r="F3358">
        <v>0.70646604253925804</v>
      </c>
      <c r="G3358">
        <v>0.52572093166112099</v>
      </c>
      <c r="H3358">
        <v>0.42445860281959402</v>
      </c>
      <c r="I3358">
        <v>0.44426859879427999</v>
      </c>
      <c r="J3358">
        <v>0.55755357606088995</v>
      </c>
      <c r="K3358">
        <v>0.39259660771921301</v>
      </c>
      <c r="L3358">
        <v>1047.27219507066</v>
      </c>
      <c r="M3358">
        <v>21.127477750914501</v>
      </c>
      <c r="N3358">
        <v>55.319019734351599</v>
      </c>
      <c r="O3358">
        <v>49.131526137184103</v>
      </c>
      <c r="P3358">
        <v>-5.9733862848436001E-2</v>
      </c>
      <c r="Q3358">
        <v>0.44437496433070101</v>
      </c>
      <c r="R3358">
        <v>0.96368301318861804</v>
      </c>
      <c r="S3358" t="s">
        <v>9926</v>
      </c>
      <c r="T3358" t="s">
        <v>13134</v>
      </c>
      <c r="U3358" t="s">
        <v>13134</v>
      </c>
      <c r="V3358" t="s">
        <v>13134</v>
      </c>
      <c r="W3358" t="s">
        <v>16438</v>
      </c>
      <c r="X3358">
        <v>23</v>
      </c>
      <c r="Y3358" t="s">
        <v>22849</v>
      </c>
      <c r="Z3358" t="s">
        <v>29326</v>
      </c>
      <c r="AA3358">
        <v>0.68379955344547172</v>
      </c>
      <c r="AB3358" t="str">
        <f>HYPERLINK("Melting_Curves/meltCurve_Q13228_SELENBP1.pdf", "Melting_Curves/meltCurve_Q13228_SELENBP1.pdf")</f>
        <v>Melting_Curves/meltCurve_Q13228_SELENBP1.pdf</v>
      </c>
    </row>
    <row r="3359" spans="1:28" x14ac:dyDescent="0.25">
      <c r="A3359" t="s">
        <v>3363</v>
      </c>
      <c r="B3359">
        <v>0.99472303558308395</v>
      </c>
      <c r="C3359">
        <v>0.95249080501490901</v>
      </c>
      <c r="D3359">
        <v>0.93106423110268699</v>
      </c>
      <c r="E3359">
        <v>0.81517587015336701</v>
      </c>
      <c r="F3359">
        <v>0.76210644210399703</v>
      </c>
      <c r="G3359">
        <v>0.55187568160300204</v>
      </c>
      <c r="H3359">
        <v>0.48675834416369901</v>
      </c>
      <c r="I3359">
        <v>0.44988632848551502</v>
      </c>
      <c r="J3359">
        <v>0.57200369429067299</v>
      </c>
      <c r="K3359">
        <v>0.42566883037345299</v>
      </c>
      <c r="L3359">
        <v>674.77199511555602</v>
      </c>
      <c r="M3359">
        <v>13.617092521998799</v>
      </c>
      <c r="N3359">
        <v>59.242466316997103</v>
      </c>
      <c r="O3359">
        <v>48.521251676058803</v>
      </c>
      <c r="P3359">
        <v>-3.8869082761047301E-2</v>
      </c>
      <c r="Q3359">
        <v>0.44607896925476398</v>
      </c>
      <c r="R3359">
        <v>0.95345916518663598</v>
      </c>
      <c r="S3359" t="s">
        <v>9927</v>
      </c>
      <c r="T3359" t="s">
        <v>13134</v>
      </c>
      <c r="U3359" t="s">
        <v>13134</v>
      </c>
      <c r="V3359" t="s">
        <v>13134</v>
      </c>
      <c r="W3359" t="s">
        <v>16439</v>
      </c>
      <c r="X3359">
        <v>7</v>
      </c>
      <c r="Y3359" t="s">
        <v>22850</v>
      </c>
      <c r="Z3359" t="s">
        <v>29327</v>
      </c>
      <c r="AA3359">
        <v>0.69136565485538481</v>
      </c>
      <c r="AB3359" t="str">
        <f>HYPERLINK("Melting_Curves/meltCurve_Q13232_NME3.pdf", "Melting_Curves/meltCurve_Q13232_NME3.pdf")</f>
        <v>Melting_Curves/meltCurve_Q13232_NME3.pdf</v>
      </c>
    </row>
    <row r="3360" spans="1:28" x14ac:dyDescent="0.25">
      <c r="A3360" t="s">
        <v>3364</v>
      </c>
      <c r="B3360">
        <v>0.99472303558308395</v>
      </c>
      <c r="C3360">
        <v>1.0195708550900799</v>
      </c>
      <c r="D3360">
        <v>0.90821822811949404</v>
      </c>
      <c r="E3360">
        <v>0.49318250230591698</v>
      </c>
      <c r="F3360">
        <v>0.26526125248290799</v>
      </c>
      <c r="G3360">
        <v>0.134708139892776</v>
      </c>
      <c r="H3360">
        <v>0.102739585643847</v>
      </c>
      <c r="I3360">
        <v>8.4495044990135396E-2</v>
      </c>
      <c r="J3360">
        <v>8.8723733324877901E-2</v>
      </c>
      <c r="K3360">
        <v>8.8314963461302395E-2</v>
      </c>
      <c r="L3360">
        <v>1101.59380124627</v>
      </c>
      <c r="M3360">
        <v>23.720414676176599</v>
      </c>
      <c r="N3360">
        <v>46.852166852290203</v>
      </c>
      <c r="O3360">
        <v>46.1144551328292</v>
      </c>
      <c r="P3360">
        <v>-0.11650748790632701</v>
      </c>
      <c r="Q3360">
        <v>9.4014104638731305E-2</v>
      </c>
      <c r="R3360">
        <v>0.99641087806572903</v>
      </c>
      <c r="S3360" t="s">
        <v>9928</v>
      </c>
      <c r="T3360" t="s">
        <v>13134</v>
      </c>
      <c r="U3360" t="s">
        <v>13134</v>
      </c>
      <c r="V3360" t="s">
        <v>13134</v>
      </c>
      <c r="W3360" t="s">
        <v>16440</v>
      </c>
      <c r="X3360">
        <v>4</v>
      </c>
      <c r="Y3360" t="s">
        <v>22851</v>
      </c>
      <c r="Z3360" t="s">
        <v>29328</v>
      </c>
      <c r="AA3360">
        <v>0.38751952548890939</v>
      </c>
      <c r="AB3360" t="str">
        <f>HYPERLINK("Melting_Curves/meltCurve_Q13233_MAP3K1.pdf", "Melting_Curves/meltCurve_Q13233_MAP3K1.pdf")</f>
        <v>Melting_Curves/meltCurve_Q13233_MAP3K1.pdf</v>
      </c>
    </row>
    <row r="3361" spans="1:28" x14ac:dyDescent="0.25">
      <c r="A3361" t="s">
        <v>3365</v>
      </c>
      <c r="B3361">
        <v>0.99472303558308395</v>
      </c>
      <c r="C3361">
        <v>0.93250546892816</v>
      </c>
      <c r="D3361">
        <v>0.88300423101909098</v>
      </c>
      <c r="E3361">
        <v>0.71721459972989898</v>
      </c>
      <c r="F3361">
        <v>0.470922015286316</v>
      </c>
      <c r="G3361">
        <v>0.21826906341094199</v>
      </c>
      <c r="H3361">
        <v>0.15725695046563801</v>
      </c>
      <c r="I3361">
        <v>0.18291337882220701</v>
      </c>
      <c r="J3361">
        <v>0.29322503918256299</v>
      </c>
      <c r="K3361">
        <v>0.85479020258284499</v>
      </c>
      <c r="L3361">
        <v>1273.81024788272</v>
      </c>
      <c r="M3361">
        <v>27.219292571049898</v>
      </c>
      <c r="N3361">
        <v>48.903112035345899</v>
      </c>
      <c r="O3361">
        <v>46.547657405936597</v>
      </c>
      <c r="P3361">
        <v>-9.5744591789552205E-2</v>
      </c>
      <c r="Q3361">
        <v>0.34507574766992499</v>
      </c>
      <c r="R3361">
        <v>0.65790039261184496</v>
      </c>
      <c r="S3361" t="s">
        <v>9929</v>
      </c>
      <c r="T3361" t="s">
        <v>13134</v>
      </c>
      <c r="U3361" t="s">
        <v>13134</v>
      </c>
      <c r="V3361" t="s">
        <v>13134</v>
      </c>
      <c r="W3361" t="s">
        <v>16441</v>
      </c>
      <c r="X3361">
        <v>9</v>
      </c>
      <c r="Y3361" t="s">
        <v>22852</v>
      </c>
      <c r="Z3361" t="s">
        <v>29329</v>
      </c>
      <c r="AA3361">
        <v>0.56359325525050008</v>
      </c>
      <c r="AB3361" t="str">
        <f>HYPERLINK("Melting_Curves/meltCurve_Q13242_SRSF9.pdf", "Melting_Curves/meltCurve_Q13242_SRSF9.pdf")</f>
        <v>Melting_Curves/meltCurve_Q13242_SRSF9.pdf</v>
      </c>
    </row>
    <row r="3362" spans="1:28" x14ac:dyDescent="0.25">
      <c r="A3362" t="s">
        <v>3366</v>
      </c>
      <c r="B3362">
        <v>0.99472303558308395</v>
      </c>
      <c r="C3362">
        <v>0.87289211157614099</v>
      </c>
      <c r="D3362">
        <v>0.81241135190894098</v>
      </c>
      <c r="E3362">
        <v>0.63961085117872396</v>
      </c>
      <c r="F3362">
        <v>0.64479582263058799</v>
      </c>
      <c r="G3362">
        <v>0.33316981818221297</v>
      </c>
      <c r="H3362">
        <v>0.284667158190819</v>
      </c>
      <c r="I3362">
        <v>0.31149504988236898</v>
      </c>
      <c r="J3362">
        <v>0.52950279159633795</v>
      </c>
      <c r="K3362">
        <v>0.674609378510172</v>
      </c>
      <c r="L3362">
        <v>710.42671001421104</v>
      </c>
      <c r="M3362">
        <v>15.8779261254146</v>
      </c>
      <c r="N3362">
        <v>51.442583208282898</v>
      </c>
      <c r="O3362">
        <v>44.051359185026399</v>
      </c>
      <c r="P3362">
        <v>-5.0756894821299303E-2</v>
      </c>
      <c r="Q3362">
        <v>0.436770402907111</v>
      </c>
      <c r="R3362">
        <v>0.72849475724073698</v>
      </c>
      <c r="S3362" t="s">
        <v>9930</v>
      </c>
      <c r="T3362" t="s">
        <v>13134</v>
      </c>
      <c r="U3362" t="s">
        <v>13134</v>
      </c>
      <c r="V3362" t="s">
        <v>13134</v>
      </c>
      <c r="W3362" t="s">
        <v>16442</v>
      </c>
      <c r="X3362">
        <v>7</v>
      </c>
      <c r="Y3362" t="s">
        <v>22853</v>
      </c>
      <c r="Z3362" t="s">
        <v>29330</v>
      </c>
      <c r="AA3362">
        <v>0.59419065839769047</v>
      </c>
      <c r="AB3362" t="str">
        <f>HYPERLINK("Melting_Curves/meltCurve_Q13243_SRSF5.pdf", "Melting_Curves/meltCurve_Q13243_SRSF5.pdf")</f>
        <v>Melting_Curves/meltCurve_Q13243_SRSF5.pdf</v>
      </c>
    </row>
    <row r="3363" spans="1:28" x14ac:dyDescent="0.25">
      <c r="A3363" t="s">
        <v>3367</v>
      </c>
      <c r="B3363">
        <v>0.99472303558308395</v>
      </c>
      <c r="C3363">
        <v>0.87436777399589505</v>
      </c>
      <c r="D3363">
        <v>0.95640734488620105</v>
      </c>
      <c r="E3363">
        <v>0.73237095187158896</v>
      </c>
      <c r="F3363">
        <v>0.55225158990538803</v>
      </c>
      <c r="G3363">
        <v>0.281484646150294</v>
      </c>
      <c r="H3363">
        <v>0.182143634847655</v>
      </c>
      <c r="I3363">
        <v>0.132863375537766</v>
      </c>
      <c r="J3363">
        <v>0.18352503955925301</v>
      </c>
      <c r="K3363">
        <v>0.15599532282575099</v>
      </c>
      <c r="L3363">
        <v>793.76342432542197</v>
      </c>
      <c r="M3363">
        <v>16.079455468095102</v>
      </c>
      <c r="N3363">
        <v>50.265100996817502</v>
      </c>
      <c r="O3363">
        <v>48.6204691656637</v>
      </c>
      <c r="P3363">
        <v>-7.2342105722066896E-2</v>
      </c>
      <c r="Q3363">
        <v>0.125085647440211</v>
      </c>
      <c r="R3363">
        <v>0.98320616520444304</v>
      </c>
      <c r="S3363" t="s">
        <v>9931</v>
      </c>
      <c r="T3363" t="s">
        <v>13134</v>
      </c>
      <c r="U3363" t="s">
        <v>13134</v>
      </c>
      <c r="V3363" t="s">
        <v>13134</v>
      </c>
      <c r="W3363" t="s">
        <v>16443</v>
      </c>
      <c r="X3363">
        <v>12</v>
      </c>
      <c r="Y3363" t="s">
        <v>22854</v>
      </c>
      <c r="Z3363" t="s">
        <v>29331</v>
      </c>
      <c r="AA3363">
        <v>0.50241963564444314</v>
      </c>
      <c r="AB3363" t="str">
        <f>HYPERLINK("Melting_Curves/meltCurve_Q13247_3_SRSF6.pdf", "Melting_Curves/meltCurve_Q13247_3_SRSF6.pdf")</f>
        <v>Melting_Curves/meltCurve_Q13247_3_SRSF6.pdf</v>
      </c>
    </row>
    <row r="3364" spans="1:28" x14ac:dyDescent="0.25">
      <c r="A3364" t="s">
        <v>3368</v>
      </c>
      <c r="B3364">
        <v>0.99472303558308395</v>
      </c>
      <c r="C3364">
        <v>0.93124120437882696</v>
      </c>
      <c r="D3364">
        <v>0.88047793058317003</v>
      </c>
      <c r="E3364">
        <v>0.58667135783204005</v>
      </c>
      <c r="F3364">
        <v>0.24763419459414801</v>
      </c>
      <c r="G3364">
        <v>0.123105437480774</v>
      </c>
      <c r="H3364">
        <v>9.8761334726761199E-2</v>
      </c>
      <c r="I3364">
        <v>8.4461627828575803E-2</v>
      </c>
      <c r="J3364">
        <v>0.13205985228810799</v>
      </c>
      <c r="K3364">
        <v>6.5405878054507496E-2</v>
      </c>
      <c r="L3364">
        <v>1014.94886562479</v>
      </c>
      <c r="M3364">
        <v>21.658822340710302</v>
      </c>
      <c r="N3364">
        <v>47.263581306979397</v>
      </c>
      <c r="O3364">
        <v>46.466770940976197</v>
      </c>
      <c r="P3364">
        <v>-0.10671017305465499</v>
      </c>
      <c r="Q3364">
        <v>8.4279045793972301E-2</v>
      </c>
      <c r="R3364">
        <v>0.99602070235740003</v>
      </c>
      <c r="S3364" t="s">
        <v>9932</v>
      </c>
      <c r="T3364" t="s">
        <v>13134</v>
      </c>
      <c r="U3364" t="s">
        <v>13134</v>
      </c>
      <c r="V3364" t="s">
        <v>13134</v>
      </c>
      <c r="W3364" t="s">
        <v>16444</v>
      </c>
      <c r="X3364">
        <v>8</v>
      </c>
      <c r="Y3364" t="s">
        <v>22855</v>
      </c>
      <c r="Z3364" t="s">
        <v>29332</v>
      </c>
      <c r="AA3364">
        <v>0.39550353453395798</v>
      </c>
      <c r="AB3364" t="str">
        <f>HYPERLINK("Melting_Curves/meltCurve_Q13257_MAD2L1.pdf", "Melting_Curves/meltCurve_Q13257_MAD2L1.pdf")</f>
        <v>Melting_Curves/meltCurve_Q13257_MAD2L1.pdf</v>
      </c>
    </row>
    <row r="3365" spans="1:28" x14ac:dyDescent="0.25">
      <c r="A3365" t="s">
        <v>3369</v>
      </c>
      <c r="B3365">
        <v>0.99472303558308395</v>
      </c>
      <c r="C3365">
        <v>0.951741686498497</v>
      </c>
      <c r="D3365">
        <v>0.94187905893618695</v>
      </c>
      <c r="E3365">
        <v>0.66149790111881801</v>
      </c>
      <c r="F3365">
        <v>0.186278501794719</v>
      </c>
      <c r="G3365">
        <v>8.9421113849840902E-2</v>
      </c>
      <c r="H3365">
        <v>5.0501614140825601E-2</v>
      </c>
      <c r="I3365">
        <v>3.5538689561489603E-2</v>
      </c>
      <c r="J3365">
        <v>4.3743075755677402E-2</v>
      </c>
      <c r="K3365">
        <v>3.5319556302016601E-2</v>
      </c>
      <c r="L3365">
        <v>1402.4793495199899</v>
      </c>
      <c r="M3365">
        <v>29.5395216657795</v>
      </c>
      <c r="N3365">
        <v>47.617438613338599</v>
      </c>
      <c r="O3365">
        <v>47.262075166339599</v>
      </c>
      <c r="P3365">
        <v>-0.149784082998589</v>
      </c>
      <c r="Q3365">
        <v>4.1412126389794898E-2</v>
      </c>
      <c r="R3365">
        <v>0.998138875903401</v>
      </c>
      <c r="S3365" t="s">
        <v>9933</v>
      </c>
      <c r="T3365" t="s">
        <v>13134</v>
      </c>
      <c r="U3365" t="s">
        <v>13134</v>
      </c>
      <c r="V3365" t="s">
        <v>13134</v>
      </c>
      <c r="W3365" t="s">
        <v>16445</v>
      </c>
      <c r="X3365">
        <v>36</v>
      </c>
      <c r="Y3365" t="s">
        <v>22856</v>
      </c>
      <c r="Z3365" t="s">
        <v>29333</v>
      </c>
      <c r="AA3365">
        <v>0.38201689200426903</v>
      </c>
      <c r="AB3365" t="str">
        <f>HYPERLINK("Melting_Curves/meltCurve_Q13263_TRIM28.pdf", "Melting_Curves/meltCurve_Q13263_TRIM28.pdf")</f>
        <v>Melting_Curves/meltCurve_Q13263_TRIM28.pdf</v>
      </c>
    </row>
    <row r="3366" spans="1:28" x14ac:dyDescent="0.25">
      <c r="A3366" t="s">
        <v>3370</v>
      </c>
      <c r="B3366">
        <v>0.99472303558308395</v>
      </c>
      <c r="C3366">
        <v>0.98825578106950096</v>
      </c>
      <c r="D3366">
        <v>0.80678641921475802</v>
      </c>
      <c r="E3366">
        <v>0.75821820155533504</v>
      </c>
      <c r="F3366">
        <v>0.75786688098705501</v>
      </c>
      <c r="G3366">
        <v>0.468189852297412</v>
      </c>
      <c r="H3366">
        <v>0.26973640365915302</v>
      </c>
      <c r="I3366">
        <v>0.22834551324242</v>
      </c>
      <c r="J3366">
        <v>0.21863267996243699</v>
      </c>
      <c r="K3366">
        <v>0.16865792625599199</v>
      </c>
      <c r="L3366">
        <v>503.46791185648902</v>
      </c>
      <c r="M3366">
        <v>9.5335219442514099</v>
      </c>
      <c r="N3366">
        <v>53.257924757832399</v>
      </c>
      <c r="O3366">
        <v>50.643352392451199</v>
      </c>
      <c r="P3366">
        <v>-4.5276445426287698E-2</v>
      </c>
      <c r="Q3366">
        <v>3.8502909606166098E-2</v>
      </c>
      <c r="R3366">
        <v>0.96638600785403805</v>
      </c>
      <c r="S3366" t="s">
        <v>9934</v>
      </c>
      <c r="T3366" t="s">
        <v>13134</v>
      </c>
      <c r="U3366" t="s">
        <v>13134</v>
      </c>
      <c r="V3366" t="s">
        <v>13134</v>
      </c>
      <c r="W3366" t="s">
        <v>16446</v>
      </c>
      <c r="X3366">
        <v>7</v>
      </c>
      <c r="Y3366" t="s">
        <v>22857</v>
      </c>
      <c r="Z3366" t="s">
        <v>29334</v>
      </c>
      <c r="AA3366">
        <v>0.56774252582042706</v>
      </c>
      <c r="AB3366" t="str">
        <f>HYPERLINK("Melting_Curves/meltCurve_Q13277_2_STX3.pdf", "Melting_Curves/meltCurve_Q13277_2_STX3.pdf")</f>
        <v>Melting_Curves/meltCurve_Q13277_2_STX3.pdf</v>
      </c>
    </row>
    <row r="3367" spans="1:28" x14ac:dyDescent="0.25">
      <c r="A3367" t="s">
        <v>3371</v>
      </c>
      <c r="B3367">
        <v>0.99472303558308395</v>
      </c>
      <c r="C3367">
        <v>0.95829936588303799</v>
      </c>
      <c r="D3367">
        <v>0.97023184812273999</v>
      </c>
      <c r="E3367">
        <v>0.74889774636684703</v>
      </c>
      <c r="F3367">
        <v>0.44474293534471698</v>
      </c>
      <c r="G3367">
        <v>0.18865791803586299</v>
      </c>
      <c r="H3367">
        <v>7.6513245896943194E-2</v>
      </c>
      <c r="I3367">
        <v>5.9784483053093501E-2</v>
      </c>
      <c r="J3367">
        <v>6.9740011054099396E-2</v>
      </c>
      <c r="K3367">
        <v>5.8471426762040903E-2</v>
      </c>
      <c r="L3367">
        <v>986.52169960645301</v>
      </c>
      <c r="M3367">
        <v>20.050796968868099</v>
      </c>
      <c r="N3367">
        <v>49.439983996429298</v>
      </c>
      <c r="O3367">
        <v>48.719565784904503</v>
      </c>
      <c r="P3367">
        <v>-9.8142216841772698E-2</v>
      </c>
      <c r="Q3367">
        <v>4.6164180921544701E-2</v>
      </c>
      <c r="R3367">
        <v>0.99823096590370197</v>
      </c>
      <c r="S3367" t="s">
        <v>9935</v>
      </c>
      <c r="T3367" t="s">
        <v>13134</v>
      </c>
      <c r="U3367" t="s">
        <v>13134</v>
      </c>
      <c r="V3367" t="s">
        <v>13134</v>
      </c>
      <c r="W3367" t="s">
        <v>16447</v>
      </c>
      <c r="X3367">
        <v>19</v>
      </c>
      <c r="Y3367" t="s">
        <v>22858</v>
      </c>
      <c r="Z3367" t="s">
        <v>29335</v>
      </c>
      <c r="AA3367">
        <v>0.44660492895352583</v>
      </c>
      <c r="AB3367" t="str">
        <f>HYPERLINK("Melting_Curves/meltCurve_Q13283_G3BP1.pdf", "Melting_Curves/meltCurve_Q13283_G3BP1.pdf")</f>
        <v>Melting_Curves/meltCurve_Q13283_G3BP1.pdf</v>
      </c>
    </row>
    <row r="3368" spans="1:28" x14ac:dyDescent="0.25">
      <c r="A3368" t="s">
        <v>3372</v>
      </c>
      <c r="B3368">
        <v>0.99472303558308395</v>
      </c>
      <c r="C3368">
        <v>0.99792224006441599</v>
      </c>
      <c r="D3368">
        <v>0.86551381315772302</v>
      </c>
      <c r="E3368">
        <v>0.78968431547197804</v>
      </c>
      <c r="F3368">
        <v>0.66131069861707004</v>
      </c>
      <c r="G3368">
        <v>0.45654501535636699</v>
      </c>
      <c r="H3368">
        <v>0.293863977564288</v>
      </c>
      <c r="I3368">
        <v>0.120396931884061</v>
      </c>
      <c r="J3368">
        <v>0.11226760119734901</v>
      </c>
      <c r="K3368">
        <v>0.101746475895483</v>
      </c>
      <c r="L3368">
        <v>586.25078079359798</v>
      </c>
      <c r="M3368">
        <v>11.144118259123999</v>
      </c>
      <c r="N3368">
        <v>52.606293471293398</v>
      </c>
      <c r="O3368">
        <v>50.997611049996799</v>
      </c>
      <c r="P3368">
        <v>-5.4648119390563202E-2</v>
      </c>
      <c r="Q3368">
        <v>0</v>
      </c>
      <c r="R3368">
        <v>0.99227815426980603</v>
      </c>
      <c r="S3368" t="s">
        <v>9936</v>
      </c>
      <c r="T3368" t="s">
        <v>13134</v>
      </c>
      <c r="U3368" t="s">
        <v>13134</v>
      </c>
      <c r="V3368" t="s">
        <v>13134</v>
      </c>
      <c r="W3368" t="s">
        <v>16448</v>
      </c>
      <c r="X3368">
        <v>12</v>
      </c>
      <c r="Y3368" t="s">
        <v>22859</v>
      </c>
      <c r="Z3368" t="s">
        <v>29336</v>
      </c>
      <c r="AA3368">
        <v>0.5433413194809219</v>
      </c>
      <c r="AB3368" t="str">
        <f>HYPERLINK("Melting_Curves/meltCurve_Q13287_NMI.pdf", "Melting_Curves/meltCurve_Q13287_NMI.pdf")</f>
        <v>Melting_Curves/meltCurve_Q13287_NMI.pdf</v>
      </c>
    </row>
    <row r="3369" spans="1:28" x14ac:dyDescent="0.25">
      <c r="A3369" t="s">
        <v>3373</v>
      </c>
      <c r="B3369">
        <v>0.99472303558308395</v>
      </c>
      <c r="C3369">
        <v>0.97312406178627497</v>
      </c>
      <c r="D3369">
        <v>0.96374218030873804</v>
      </c>
      <c r="E3369">
        <v>0.79999261319405301</v>
      </c>
      <c r="F3369">
        <v>0.75164495330180403</v>
      </c>
      <c r="G3369">
        <v>0.35755240120480403</v>
      </c>
      <c r="H3369">
        <v>0.14330917128833401</v>
      </c>
      <c r="I3369">
        <v>0.14099221933633499</v>
      </c>
      <c r="J3369">
        <v>9.1860962621479206E-2</v>
      </c>
      <c r="K3369">
        <v>9.3948630163206204E-2</v>
      </c>
      <c r="L3369">
        <v>960.04608939776597</v>
      </c>
      <c r="M3369">
        <v>18.527996077456901</v>
      </c>
      <c r="N3369">
        <v>52.199536955664598</v>
      </c>
      <c r="O3369">
        <v>51.223685276766602</v>
      </c>
      <c r="P3369">
        <v>-8.4675698681520098E-2</v>
      </c>
      <c r="Q3369">
        <v>6.3641946443362296E-2</v>
      </c>
      <c r="R3369">
        <v>0.98534942736943798</v>
      </c>
      <c r="S3369" t="s">
        <v>9937</v>
      </c>
      <c r="T3369" t="s">
        <v>13134</v>
      </c>
      <c r="U3369" t="s">
        <v>13134</v>
      </c>
      <c r="V3369" t="s">
        <v>13134</v>
      </c>
      <c r="W3369" t="s">
        <v>16449</v>
      </c>
      <c r="X3369">
        <v>3</v>
      </c>
      <c r="Y3369" t="s">
        <v>22860</v>
      </c>
      <c r="Z3369" t="s">
        <v>29337</v>
      </c>
      <c r="AA3369">
        <v>0.5397221548989648</v>
      </c>
      <c r="AB3369" t="str">
        <f>HYPERLINK("Melting_Curves/meltCurve_Q13308_3_PTK7.pdf", "Melting_Curves/meltCurve_Q13308_3_PTK7.pdf")</f>
        <v>Melting_Curves/meltCurve_Q13308_3_PTK7.pdf</v>
      </c>
    </row>
    <row r="3370" spans="1:28" x14ac:dyDescent="0.25">
      <c r="A3370" t="s">
        <v>3374</v>
      </c>
      <c r="B3370">
        <v>0.99472303558308395</v>
      </c>
      <c r="C3370">
        <v>0.85849336228505502</v>
      </c>
      <c r="D3370">
        <v>0.84101596954778601</v>
      </c>
      <c r="E3370">
        <v>0.405183985508346</v>
      </c>
      <c r="F3370">
        <v>0.18558362586838101</v>
      </c>
      <c r="G3370">
        <v>9.9546442576550404E-2</v>
      </c>
      <c r="H3370">
        <v>6.8918051697843805E-2</v>
      </c>
      <c r="I3370">
        <v>3.9098850900988302E-2</v>
      </c>
      <c r="J3370">
        <v>4.3394794387550201E-2</v>
      </c>
      <c r="K3370">
        <v>4.2325174872258897E-2</v>
      </c>
      <c r="L3370">
        <v>891.90410414967096</v>
      </c>
      <c r="M3370">
        <v>19.515388638832398</v>
      </c>
      <c r="N3370">
        <v>45.907334531061998</v>
      </c>
      <c r="O3370">
        <v>45.230859181114504</v>
      </c>
      <c r="P3370">
        <v>-0.103373842680271</v>
      </c>
      <c r="Q3370">
        <v>4.16757320718351E-2</v>
      </c>
      <c r="R3370">
        <v>0.99106620259094202</v>
      </c>
      <c r="S3370" t="s">
        <v>9938</v>
      </c>
      <c r="T3370" t="s">
        <v>13134</v>
      </c>
      <c r="U3370" t="s">
        <v>13134</v>
      </c>
      <c r="V3370" t="s">
        <v>13134</v>
      </c>
      <c r="W3370" t="s">
        <v>16450</v>
      </c>
      <c r="X3370">
        <v>6</v>
      </c>
      <c r="Y3370" t="s">
        <v>22861</v>
      </c>
      <c r="Z3370" t="s">
        <v>29338</v>
      </c>
      <c r="AA3370">
        <v>0.33285488795613621</v>
      </c>
      <c r="AB3370" t="str">
        <f>HYPERLINK("Melting_Curves/meltCurve_Q13309_SKP2.pdf", "Melting_Curves/meltCurve_Q13309_SKP2.pdf")</f>
        <v>Melting_Curves/meltCurve_Q13309_SKP2.pdf</v>
      </c>
    </row>
    <row r="3371" spans="1:28" x14ac:dyDescent="0.25">
      <c r="A3371" t="s">
        <v>3375</v>
      </c>
      <c r="B3371">
        <v>0.99472303558308395</v>
      </c>
      <c r="C3371">
        <v>0.91507731774390799</v>
      </c>
      <c r="D3371">
        <v>0.88083573393889403</v>
      </c>
      <c r="E3371">
        <v>0.68421655146918803</v>
      </c>
      <c r="F3371">
        <v>0.16860705346581001</v>
      </c>
      <c r="G3371">
        <v>4.7807153363252801E-2</v>
      </c>
      <c r="H3371">
        <v>3.0144117962251998E-2</v>
      </c>
      <c r="I3371">
        <v>2.2047123297433299E-2</v>
      </c>
      <c r="J3371">
        <v>3.5129167621393301E-2</v>
      </c>
      <c r="K3371">
        <v>1.75860429949194E-2</v>
      </c>
      <c r="L3371">
        <v>1353.0087223755399</v>
      </c>
      <c r="M3371">
        <v>28.449816735491599</v>
      </c>
      <c r="N3371">
        <v>47.621016100177897</v>
      </c>
      <c r="O3371">
        <v>47.324613032211303</v>
      </c>
      <c r="P3371">
        <v>-0.14750407624714901</v>
      </c>
      <c r="Q3371">
        <v>1.8550016399481901E-2</v>
      </c>
      <c r="R3371">
        <v>0.99137583590211897</v>
      </c>
      <c r="S3371" t="s">
        <v>9939</v>
      </c>
      <c r="T3371" t="s">
        <v>13134</v>
      </c>
      <c r="U3371" t="s">
        <v>13134</v>
      </c>
      <c r="V3371" t="s">
        <v>13134</v>
      </c>
      <c r="W3371" t="s">
        <v>16451</v>
      </c>
      <c r="X3371">
        <v>22</v>
      </c>
      <c r="Y3371" t="s">
        <v>22862</v>
      </c>
      <c r="Z3371" t="s">
        <v>29339</v>
      </c>
      <c r="AA3371">
        <v>0.3703604151478983</v>
      </c>
      <c r="AB3371" t="str">
        <f>HYPERLINK("Melting_Curves/meltCurve_Q13310_3_PABPC4.pdf", "Melting_Curves/meltCurve_Q13310_3_PABPC4.pdf")</f>
        <v>Melting_Curves/meltCurve_Q13310_3_PABPC4.pdf</v>
      </c>
    </row>
    <row r="3372" spans="1:28" x14ac:dyDescent="0.25">
      <c r="A3372" t="s">
        <v>3376</v>
      </c>
      <c r="B3372">
        <v>0.99472303558308395</v>
      </c>
      <c r="C3372">
        <v>0.89596479048755095</v>
      </c>
      <c r="D3372">
        <v>0.64146060817363104</v>
      </c>
      <c r="E3372">
        <v>0.59202092048532795</v>
      </c>
      <c r="F3372">
        <v>0.64543982339572104</v>
      </c>
      <c r="G3372">
        <v>0.194624130441093</v>
      </c>
      <c r="H3372">
        <v>0.12178787664013099</v>
      </c>
      <c r="I3372">
        <v>5.5995387075851701E-2</v>
      </c>
      <c r="J3372">
        <v>7.3715800668439704E-2</v>
      </c>
      <c r="K3372">
        <v>3.6328263118407998E-2</v>
      </c>
      <c r="L3372">
        <v>482.55415353021101</v>
      </c>
      <c r="M3372">
        <v>9.9491684397401201</v>
      </c>
      <c r="N3372">
        <v>48.501935558474202</v>
      </c>
      <c r="O3372">
        <v>46.664549864830398</v>
      </c>
      <c r="P3372">
        <v>-5.3327971514421001E-2</v>
      </c>
      <c r="Q3372">
        <v>0</v>
      </c>
      <c r="R3372">
        <v>0.929291000360004</v>
      </c>
      <c r="S3372" t="s">
        <v>9940</v>
      </c>
      <c r="T3372" t="s">
        <v>13134</v>
      </c>
      <c r="U3372" t="s">
        <v>13134</v>
      </c>
      <c r="V3372" t="s">
        <v>13134</v>
      </c>
      <c r="W3372" t="s">
        <v>16452</v>
      </c>
      <c r="X3372">
        <v>2</v>
      </c>
      <c r="Y3372" t="s">
        <v>22863</v>
      </c>
      <c r="Z3372" t="s">
        <v>29340</v>
      </c>
      <c r="AA3372">
        <v>0.42228673593520821</v>
      </c>
      <c r="AB3372" t="str">
        <f>HYPERLINK("Melting_Curves/meltCurve_Q13315_ATM.pdf", "Melting_Curves/meltCurve_Q13315_ATM.pdf")</f>
        <v>Melting_Curves/meltCurve_Q13315_ATM.pdf</v>
      </c>
    </row>
    <row r="3373" spans="1:28" x14ac:dyDescent="0.25">
      <c r="A3373" t="s">
        <v>3377</v>
      </c>
      <c r="B3373">
        <v>0.99472303558308395</v>
      </c>
      <c r="C3373">
        <v>1.0584146360060001</v>
      </c>
      <c r="D3373">
        <v>0.89697494815687795</v>
      </c>
      <c r="E3373">
        <v>0.40488274566398003</v>
      </c>
      <c r="F3373">
        <v>0.12113370238764901</v>
      </c>
      <c r="G3373">
        <v>8.6614167293451602E-2</v>
      </c>
      <c r="H3373">
        <v>6.9136716740894E-2</v>
      </c>
      <c r="I3373">
        <v>4.9080735138158603E-2</v>
      </c>
      <c r="J3373">
        <v>7.9855452902316396E-2</v>
      </c>
      <c r="K3373">
        <v>5.4599600538079399E-2</v>
      </c>
      <c r="L3373">
        <v>1514.4045814696799</v>
      </c>
      <c r="M3373">
        <v>33.059475025768002</v>
      </c>
      <c r="N3373">
        <v>46.008647022935698</v>
      </c>
      <c r="O3373">
        <v>45.641843747352503</v>
      </c>
      <c r="P3373">
        <v>-0.16895282750179999</v>
      </c>
      <c r="Q3373">
        <v>6.6980286976626197E-2</v>
      </c>
      <c r="R3373">
        <v>0.99688464468612303</v>
      </c>
      <c r="S3373" t="s">
        <v>9941</v>
      </c>
      <c r="T3373" t="s">
        <v>13134</v>
      </c>
      <c r="U3373" t="s">
        <v>13134</v>
      </c>
      <c r="V3373" t="s">
        <v>13134</v>
      </c>
      <c r="W3373" t="s">
        <v>16453</v>
      </c>
      <c r="X3373">
        <v>9</v>
      </c>
      <c r="Y3373" t="s">
        <v>22864</v>
      </c>
      <c r="Z3373" t="s">
        <v>29341</v>
      </c>
      <c r="AA3373">
        <v>0.34528170915656958</v>
      </c>
      <c r="AB3373" t="str">
        <f>HYPERLINK("Melting_Curves/meltCurve_Q13322_2_GRB10.pdf", "Melting_Curves/meltCurve_Q13322_2_GRB10.pdf")</f>
        <v>Melting_Curves/meltCurve_Q13322_2_GRB10.pdf</v>
      </c>
    </row>
    <row r="3374" spans="1:28" x14ac:dyDescent="0.25">
      <c r="A3374" t="s">
        <v>3378</v>
      </c>
      <c r="B3374">
        <v>0.99472303558308395</v>
      </c>
      <c r="C3374">
        <v>0.88867937102178896</v>
      </c>
      <c r="D3374">
        <v>0.71540865513625995</v>
      </c>
      <c r="E3374">
        <v>0.37045733280675802</v>
      </c>
      <c r="F3374">
        <v>0.19613175690698001</v>
      </c>
      <c r="G3374">
        <v>0.113502445403994</v>
      </c>
      <c r="H3374">
        <v>7.5294737371734699E-2</v>
      </c>
      <c r="I3374">
        <v>4.94164941593438E-2</v>
      </c>
      <c r="J3374">
        <v>7.2106804532628202E-2</v>
      </c>
      <c r="K3374">
        <v>5.7990127556382401E-2</v>
      </c>
      <c r="L3374">
        <v>781.45459375158703</v>
      </c>
      <c r="M3374">
        <v>17.399091962746802</v>
      </c>
      <c r="N3374">
        <v>45.223766555969398</v>
      </c>
      <c r="O3374">
        <v>44.332815074813603</v>
      </c>
      <c r="P3374">
        <v>-9.2601826288254099E-2</v>
      </c>
      <c r="Q3374">
        <v>5.62567500592311E-2</v>
      </c>
      <c r="R3374">
        <v>0.99884678494696399</v>
      </c>
      <c r="S3374" t="s">
        <v>9942</v>
      </c>
      <c r="T3374" t="s">
        <v>13134</v>
      </c>
      <c r="U3374" t="s">
        <v>13134</v>
      </c>
      <c r="V3374" t="s">
        <v>13134</v>
      </c>
      <c r="W3374" t="s">
        <v>16454</v>
      </c>
      <c r="X3374">
        <v>14</v>
      </c>
      <c r="Y3374" t="s">
        <v>22865</v>
      </c>
      <c r="Z3374" t="s">
        <v>29342</v>
      </c>
      <c r="AA3374">
        <v>0.32183134473049052</v>
      </c>
      <c r="AB3374" t="str">
        <f>HYPERLINK("Melting_Curves/meltCurve_Q13330_3_MTA1.pdf", "Melting_Curves/meltCurve_Q13330_3_MTA1.pdf")</f>
        <v>Melting_Curves/meltCurve_Q13330_3_MTA1.pdf</v>
      </c>
    </row>
    <row r="3375" spans="1:28" x14ac:dyDescent="0.25">
      <c r="A3375" t="s">
        <v>3379</v>
      </c>
      <c r="B3375">
        <v>0.99472303558308395</v>
      </c>
      <c r="C3375">
        <v>0.86624010762266201</v>
      </c>
      <c r="D3375">
        <v>0.86557311330659803</v>
      </c>
      <c r="E3375">
        <v>0.507188309276</v>
      </c>
      <c r="F3375">
        <v>0.20024708607849601</v>
      </c>
      <c r="G3375">
        <v>8.6360612362167494E-2</v>
      </c>
      <c r="H3375">
        <v>5.0463859912864999E-2</v>
      </c>
      <c r="I3375">
        <v>3.6768500374517801E-2</v>
      </c>
      <c r="J3375">
        <v>4.5735398271713398E-2</v>
      </c>
      <c r="K3375">
        <v>3.5978347008921503E-2</v>
      </c>
      <c r="L3375">
        <v>902.97924190354001</v>
      </c>
      <c r="M3375">
        <v>19.431746042103001</v>
      </c>
      <c r="N3375">
        <v>46.6127748018368</v>
      </c>
      <c r="O3375">
        <v>45.985515974840197</v>
      </c>
      <c r="P3375">
        <v>-0.102577249818953</v>
      </c>
      <c r="Q3375">
        <v>2.90327898556016E-2</v>
      </c>
      <c r="R3375">
        <v>0.99256141099647999</v>
      </c>
      <c r="S3375" t="s">
        <v>9943</v>
      </c>
      <c r="T3375" t="s">
        <v>13134</v>
      </c>
      <c r="U3375" t="s">
        <v>13134</v>
      </c>
      <c r="V3375" t="s">
        <v>13134</v>
      </c>
      <c r="W3375" t="s">
        <v>16455</v>
      </c>
      <c r="X3375">
        <v>18</v>
      </c>
      <c r="Y3375" t="s">
        <v>22866</v>
      </c>
      <c r="Z3375" t="s">
        <v>29343</v>
      </c>
      <c r="AA3375">
        <v>0.3489567990862264</v>
      </c>
      <c r="AB3375" t="str">
        <f>HYPERLINK("Melting_Curves/meltCurve_Q13347_EIF3I.pdf", "Melting_Curves/meltCurve_Q13347_EIF3I.pdf")</f>
        <v>Melting_Curves/meltCurve_Q13347_EIF3I.pdf</v>
      </c>
    </row>
    <row r="3376" spans="1:28" x14ac:dyDescent="0.25">
      <c r="A3376" t="s">
        <v>3380</v>
      </c>
      <c r="B3376">
        <v>0.99472303558308395</v>
      </c>
      <c r="C3376">
        <v>0.90574130075784898</v>
      </c>
      <c r="D3376">
        <v>0.89456397410213295</v>
      </c>
      <c r="E3376">
        <v>0.62573567692888998</v>
      </c>
      <c r="F3376">
        <v>0.15026305251890801</v>
      </c>
      <c r="G3376">
        <v>7.5759453823805306E-2</v>
      </c>
      <c r="H3376">
        <v>4.82861894927826E-2</v>
      </c>
      <c r="I3376">
        <v>3.6169045391807597E-2</v>
      </c>
      <c r="J3376">
        <v>4.8609344826050303E-2</v>
      </c>
      <c r="K3376">
        <v>3.7218522688746702E-2</v>
      </c>
      <c r="L3376">
        <v>1297.4527437926299</v>
      </c>
      <c r="M3376">
        <v>27.527518050187599</v>
      </c>
      <c r="N3376">
        <v>47.264034769764997</v>
      </c>
      <c r="O3376">
        <v>46.886297052741398</v>
      </c>
      <c r="P3376">
        <v>-0.14138438032629599</v>
      </c>
      <c r="Q3376">
        <v>3.67558655055037E-2</v>
      </c>
      <c r="R3376">
        <v>0.99232964442611304</v>
      </c>
      <c r="S3376" t="s">
        <v>9944</v>
      </c>
      <c r="T3376" t="s">
        <v>13134</v>
      </c>
      <c r="U3376" t="s">
        <v>13134</v>
      </c>
      <c r="V3376" t="s">
        <v>13134</v>
      </c>
      <c r="W3376" t="s">
        <v>16456</v>
      </c>
      <c r="X3376">
        <v>28</v>
      </c>
      <c r="Y3376" t="s">
        <v>22867</v>
      </c>
      <c r="Z3376" t="s">
        <v>29344</v>
      </c>
      <c r="AA3376">
        <v>0.36878249164489252</v>
      </c>
      <c r="AB3376" t="str">
        <f>HYPERLINK("Melting_Curves/meltCurve_Q13356_PPIL2.pdf", "Melting_Curves/meltCurve_Q13356_PPIL2.pdf")</f>
        <v>Melting_Curves/meltCurve_Q13356_PPIL2.pdf</v>
      </c>
    </row>
    <row r="3377" spans="1:28" x14ac:dyDescent="0.25">
      <c r="A3377" t="s">
        <v>3381</v>
      </c>
      <c r="B3377">
        <v>0.99472303558308395</v>
      </c>
      <c r="C3377">
        <v>0.92834466768295598</v>
      </c>
      <c r="D3377">
        <v>0.93094698299037903</v>
      </c>
      <c r="E3377">
        <v>0.83061971479158603</v>
      </c>
      <c r="F3377">
        <v>0.45719214800945601</v>
      </c>
      <c r="G3377">
        <v>0.13438404608017701</v>
      </c>
      <c r="H3377">
        <v>7.5369247387770802E-2</v>
      </c>
      <c r="I3377">
        <v>4.4060837100641403E-2</v>
      </c>
      <c r="J3377">
        <v>5.6069740355007801E-2</v>
      </c>
      <c r="K3377">
        <v>6.5903982150721199E-2</v>
      </c>
      <c r="L3377">
        <v>1214.0907767502899</v>
      </c>
      <c r="M3377">
        <v>24.5325703001965</v>
      </c>
      <c r="N3377">
        <v>49.680020926428298</v>
      </c>
      <c r="O3377">
        <v>49.163600284075997</v>
      </c>
      <c r="P3377">
        <v>-0.119134401679415</v>
      </c>
      <c r="Q3377">
        <v>4.5025718368829702E-2</v>
      </c>
      <c r="R3377">
        <v>0.99470889744173097</v>
      </c>
      <c r="S3377" t="s">
        <v>9945</v>
      </c>
      <c r="T3377" t="s">
        <v>13134</v>
      </c>
      <c r="U3377" t="s">
        <v>13134</v>
      </c>
      <c r="V3377" t="s">
        <v>13134</v>
      </c>
      <c r="W3377" t="s">
        <v>16457</v>
      </c>
      <c r="X3377">
        <v>15</v>
      </c>
      <c r="Y3377" t="s">
        <v>20634</v>
      </c>
      <c r="Z3377" t="s">
        <v>29345</v>
      </c>
      <c r="AA3377">
        <v>0.45118940608384878</v>
      </c>
      <c r="AB3377" t="str">
        <f>HYPERLINK("Melting_Curves/meltCurve_Q13362_4_PPP2R5C.pdf", "Melting_Curves/meltCurve_Q13362_4_PPP2R5C.pdf")</f>
        <v>Melting_Curves/meltCurve_Q13362_4_PPP2R5C.pdf</v>
      </c>
    </row>
    <row r="3378" spans="1:28" x14ac:dyDescent="0.25">
      <c r="A3378" t="s">
        <v>3382</v>
      </c>
      <c r="B3378">
        <v>0.99472303558308395</v>
      </c>
      <c r="C3378">
        <v>0.94046630209377402</v>
      </c>
      <c r="D3378">
        <v>0.96116992421014502</v>
      </c>
      <c r="E3378">
        <v>0.88382747951475404</v>
      </c>
      <c r="F3378">
        <v>0.75420830107571601</v>
      </c>
      <c r="G3378">
        <v>0.59241604613561005</v>
      </c>
      <c r="H3378">
        <v>0.47061077631998199</v>
      </c>
      <c r="I3378">
        <v>0.48690087391996201</v>
      </c>
      <c r="J3378">
        <v>0.49187990154990402</v>
      </c>
      <c r="K3378">
        <v>0.22863380740431999</v>
      </c>
      <c r="L3378">
        <v>479.40763007177799</v>
      </c>
      <c r="M3378">
        <v>8.7547841006459102</v>
      </c>
      <c r="N3378">
        <v>58.1689341683945</v>
      </c>
      <c r="O3378">
        <v>52.127787739120798</v>
      </c>
      <c r="P3378">
        <v>-3.3587632710927101E-2</v>
      </c>
      <c r="Q3378">
        <v>0.20069362901721299</v>
      </c>
      <c r="R3378">
        <v>0.944657714864373</v>
      </c>
      <c r="S3378" t="s">
        <v>9946</v>
      </c>
      <c r="T3378" t="s">
        <v>13134</v>
      </c>
      <c r="U3378" t="s">
        <v>13134</v>
      </c>
      <c r="V3378" t="s">
        <v>13134</v>
      </c>
      <c r="W3378" t="s">
        <v>16458</v>
      </c>
      <c r="X3378">
        <v>14</v>
      </c>
      <c r="Y3378" t="s">
        <v>20119</v>
      </c>
      <c r="Z3378" t="s">
        <v>29346</v>
      </c>
      <c r="AA3378">
        <v>0.68269571852331401</v>
      </c>
      <c r="AB3378" t="str">
        <f>HYPERLINK("Melting_Curves/meltCurve_Q13363_2_CTBP1.pdf", "Melting_Curves/meltCurve_Q13363_2_CTBP1.pdf")</f>
        <v>Melting_Curves/meltCurve_Q13363_2_CTBP1.pdf</v>
      </c>
    </row>
    <row r="3379" spans="1:28" x14ac:dyDescent="0.25">
      <c r="A3379" t="s">
        <v>3383</v>
      </c>
      <c r="B3379">
        <v>0.99472303558308395</v>
      </c>
      <c r="C3379">
        <v>0.93786792689972998</v>
      </c>
      <c r="D3379">
        <v>0.89550900986203996</v>
      </c>
      <c r="E3379">
        <v>0.69964882256830097</v>
      </c>
      <c r="F3379">
        <v>0.40610725528757502</v>
      </c>
      <c r="G3379">
        <v>0.122313777496963</v>
      </c>
      <c r="H3379">
        <v>8.7516846283183E-2</v>
      </c>
      <c r="I3379">
        <v>7.0728768413841098E-2</v>
      </c>
      <c r="J3379">
        <v>7.5025239192197696E-2</v>
      </c>
      <c r="K3379">
        <v>6.2290422650916701E-2</v>
      </c>
      <c r="L3379">
        <v>905.93964631383596</v>
      </c>
      <c r="M3379">
        <v>18.697224384947901</v>
      </c>
      <c r="N3379">
        <v>48.708199642708998</v>
      </c>
      <c r="O3379">
        <v>47.909100520101703</v>
      </c>
      <c r="P3379">
        <v>-9.3020632722373903E-2</v>
      </c>
      <c r="Q3379">
        <v>4.6629463652632701E-2</v>
      </c>
      <c r="R3379">
        <v>0.99521963187042894</v>
      </c>
      <c r="S3379" t="s">
        <v>9947</v>
      </c>
      <c r="T3379" t="s">
        <v>13134</v>
      </c>
      <c r="U3379" t="s">
        <v>13134</v>
      </c>
      <c r="V3379" t="s">
        <v>13134</v>
      </c>
      <c r="W3379" t="s">
        <v>16459</v>
      </c>
      <c r="X3379">
        <v>6</v>
      </c>
      <c r="Y3379" t="s">
        <v>22868</v>
      </c>
      <c r="Z3379" t="s">
        <v>29347</v>
      </c>
      <c r="AA3379">
        <v>0.42479906813937751</v>
      </c>
      <c r="AB3379" t="str">
        <f>HYPERLINK("Melting_Curves/meltCurve_Q13371_PDCL.pdf", "Melting_Curves/meltCurve_Q13371_PDCL.pdf")</f>
        <v>Melting_Curves/meltCurve_Q13371_PDCL.pdf</v>
      </c>
    </row>
    <row r="3380" spans="1:28" x14ac:dyDescent="0.25">
      <c r="A3380" t="s">
        <v>3384</v>
      </c>
      <c r="B3380">
        <v>0.99472303558308395</v>
      </c>
      <c r="C3380">
        <v>1.02329568532598</v>
      </c>
      <c r="D3380">
        <v>0.75441879291212699</v>
      </c>
      <c r="E3380">
        <v>0.65239811777765699</v>
      </c>
      <c r="F3380">
        <v>0.50154423165427497</v>
      </c>
      <c r="G3380">
        <v>0.212936129970452</v>
      </c>
      <c r="H3380">
        <v>0.11989929176267899</v>
      </c>
      <c r="I3380">
        <v>9.2438536263133905E-2</v>
      </c>
      <c r="J3380">
        <v>0.10016620394869299</v>
      </c>
      <c r="K3380">
        <v>0.106210407307559</v>
      </c>
      <c r="L3380">
        <v>626.091026847835</v>
      </c>
      <c r="M3380">
        <v>12.894006047813299</v>
      </c>
      <c r="N3380">
        <v>48.917028057602998</v>
      </c>
      <c r="O3380">
        <v>47.433281503953303</v>
      </c>
      <c r="P3380">
        <v>-6.4892091997839907E-2</v>
      </c>
      <c r="Q3380">
        <v>4.5297791513177199E-2</v>
      </c>
      <c r="R3380">
        <v>0.97959683795671604</v>
      </c>
      <c r="S3380" t="s">
        <v>9948</v>
      </c>
      <c r="T3380" t="s">
        <v>13134</v>
      </c>
      <c r="U3380" t="s">
        <v>13134</v>
      </c>
      <c r="V3380" t="s">
        <v>13134</v>
      </c>
      <c r="W3380" t="s">
        <v>16460</v>
      </c>
      <c r="X3380">
        <v>6</v>
      </c>
      <c r="Y3380" t="s">
        <v>22869</v>
      </c>
      <c r="Z3380" t="s">
        <v>29348</v>
      </c>
      <c r="AA3380">
        <v>0.43929837341536893</v>
      </c>
      <c r="AB3380" t="str">
        <f>HYPERLINK("Melting_Curves/meltCurve_Q13393_2_PLD1.pdf", "Melting_Curves/meltCurve_Q13393_2_PLD1.pdf")</f>
        <v>Melting_Curves/meltCurve_Q13393_2_PLD1.pdf</v>
      </c>
    </row>
    <row r="3381" spans="1:28" x14ac:dyDescent="0.25">
      <c r="A3381" t="s">
        <v>3385</v>
      </c>
      <c r="B3381">
        <v>0.99472303558308395</v>
      </c>
      <c r="C3381">
        <v>0.92992224731240103</v>
      </c>
      <c r="D3381">
        <v>0.75208550825079401</v>
      </c>
      <c r="E3381">
        <v>0.65433188682128296</v>
      </c>
      <c r="F3381">
        <v>0.63827268752180599</v>
      </c>
      <c r="G3381">
        <v>0.46834295785540903</v>
      </c>
      <c r="H3381">
        <v>0.24428442586672</v>
      </c>
      <c r="I3381">
        <v>0.19381518960626301</v>
      </c>
      <c r="J3381">
        <v>0.21050317511071401</v>
      </c>
      <c r="K3381">
        <v>0.15913044884398</v>
      </c>
      <c r="L3381">
        <v>396.03195559464899</v>
      </c>
      <c r="M3381">
        <v>7.67375998616403</v>
      </c>
      <c r="N3381">
        <v>51.608592871394798</v>
      </c>
      <c r="O3381">
        <v>48.454390458521601</v>
      </c>
      <c r="P3381">
        <v>-3.9644986822399697E-2</v>
      </c>
      <c r="Q3381">
        <v>0</v>
      </c>
      <c r="R3381">
        <v>0.97087282506556005</v>
      </c>
      <c r="S3381" t="s">
        <v>9949</v>
      </c>
      <c r="T3381" t="s">
        <v>13134</v>
      </c>
      <c r="U3381" t="s">
        <v>13134</v>
      </c>
      <c r="V3381" t="s">
        <v>13134</v>
      </c>
      <c r="W3381" t="s">
        <v>16461</v>
      </c>
      <c r="X3381">
        <v>4</v>
      </c>
      <c r="Y3381" t="s">
        <v>22870</v>
      </c>
      <c r="Z3381" t="s">
        <v>29349</v>
      </c>
      <c r="AA3381">
        <v>0.51834126394775049</v>
      </c>
      <c r="AB3381" t="str">
        <f>HYPERLINK("Melting_Curves/meltCurve_Q13405_MRPL49.pdf", "Melting_Curves/meltCurve_Q13405_MRPL49.pdf")</f>
        <v>Melting_Curves/meltCurve_Q13405_MRPL49.pdf</v>
      </c>
    </row>
    <row r="3382" spans="1:28" x14ac:dyDescent="0.25">
      <c r="A3382" t="s">
        <v>3386</v>
      </c>
      <c r="B3382">
        <v>0.99472303558308395</v>
      </c>
      <c r="C3382">
        <v>1.00918081670978</v>
      </c>
      <c r="D3382">
        <v>0.73050835360484001</v>
      </c>
      <c r="E3382">
        <v>0.66464851501500699</v>
      </c>
      <c r="F3382">
        <v>0.58320655106308195</v>
      </c>
      <c r="G3382">
        <v>0.52335614218972404</v>
      </c>
      <c r="H3382">
        <v>0.35075750717932402</v>
      </c>
      <c r="I3382">
        <v>0.17331639886490499</v>
      </c>
      <c r="J3382">
        <v>0.13669746718666001</v>
      </c>
      <c r="K3382">
        <v>0.116903800122294</v>
      </c>
      <c r="L3382">
        <v>419.54113065870303</v>
      </c>
      <c r="M3382">
        <v>8.0885104289663197</v>
      </c>
      <c r="N3382">
        <v>51.868775333308797</v>
      </c>
      <c r="O3382">
        <v>48.986955271639303</v>
      </c>
      <c r="P3382">
        <v>-4.1323697064847099E-2</v>
      </c>
      <c r="Q3382">
        <v>0</v>
      </c>
      <c r="R3382">
        <v>0.95987231968261899</v>
      </c>
      <c r="S3382" t="s">
        <v>9950</v>
      </c>
      <c r="T3382" t="s">
        <v>13134</v>
      </c>
      <c r="U3382" t="s">
        <v>13134</v>
      </c>
      <c r="V3382" t="s">
        <v>13134</v>
      </c>
      <c r="W3382" t="s">
        <v>16462</v>
      </c>
      <c r="X3382">
        <v>17</v>
      </c>
      <c r="Y3382" t="s">
        <v>22871</v>
      </c>
      <c r="Z3382" t="s">
        <v>29350</v>
      </c>
      <c r="AA3382">
        <v>0.52496317593187947</v>
      </c>
      <c r="AB3382" t="str">
        <f>HYPERLINK("Melting_Curves/meltCurve_Q13409_6_DYNC1I2.pdf", "Melting_Curves/meltCurve_Q13409_6_DYNC1I2.pdf")</f>
        <v>Melting_Curves/meltCurve_Q13409_6_DYNC1I2.pdf</v>
      </c>
    </row>
    <row r="3383" spans="1:28" x14ac:dyDescent="0.25">
      <c r="A3383" t="s">
        <v>3387</v>
      </c>
      <c r="B3383">
        <v>0.99472303558308395</v>
      </c>
      <c r="C3383">
        <v>1.13179196209928</v>
      </c>
      <c r="D3383">
        <v>0.84887500246877701</v>
      </c>
      <c r="E3383">
        <v>0.424420710187558</v>
      </c>
      <c r="F3383">
        <v>0.13978543904138899</v>
      </c>
      <c r="G3383">
        <v>8.3185324694856996E-2</v>
      </c>
      <c r="H3383">
        <v>6.3018191472232601E-2</v>
      </c>
      <c r="I3383">
        <v>6.24130022388922E-2</v>
      </c>
      <c r="J3383">
        <v>7.7178225335509706E-2</v>
      </c>
      <c r="K3383">
        <v>5.2930426551678199E-2</v>
      </c>
      <c r="L3383">
        <v>1332.7064374578599</v>
      </c>
      <c r="M3383">
        <v>29.09180352832</v>
      </c>
      <c r="N3383">
        <v>46.033696590031902</v>
      </c>
      <c r="O3383">
        <v>45.5955481995165</v>
      </c>
      <c r="P3383">
        <v>-0.14901360823323601</v>
      </c>
      <c r="Q3383">
        <v>6.5811390034324097E-2</v>
      </c>
      <c r="R3383">
        <v>0.98707101894155103</v>
      </c>
      <c r="S3383" t="s">
        <v>9951</v>
      </c>
      <c r="T3383" t="s">
        <v>13134</v>
      </c>
      <c r="U3383" t="s">
        <v>13134</v>
      </c>
      <c r="V3383" t="s">
        <v>13134</v>
      </c>
      <c r="W3383" t="s">
        <v>16463</v>
      </c>
      <c r="X3383">
        <v>10</v>
      </c>
      <c r="Y3383" t="s">
        <v>22872</v>
      </c>
      <c r="Z3383" t="s">
        <v>29351</v>
      </c>
      <c r="AA3383">
        <v>0.34582030128742702</v>
      </c>
      <c r="AB3383" t="str">
        <f>HYPERLINK("Melting_Curves/meltCurve_Q13416_ORC2.pdf", "Melting_Curves/meltCurve_Q13416_ORC2.pdf")</f>
        <v>Melting_Curves/meltCurve_Q13416_ORC2.pdf</v>
      </c>
    </row>
    <row r="3384" spans="1:28" x14ac:dyDescent="0.25">
      <c r="A3384" t="s">
        <v>3388</v>
      </c>
      <c r="B3384">
        <v>0.99472303558308395</v>
      </c>
      <c r="C3384">
        <v>0.93269860112660596</v>
      </c>
      <c r="D3384">
        <v>0.86141826166054403</v>
      </c>
      <c r="E3384">
        <v>0.60518553811642295</v>
      </c>
      <c r="F3384">
        <v>0.31480369165140998</v>
      </c>
      <c r="G3384">
        <v>0.11527993232964399</v>
      </c>
      <c r="H3384">
        <v>6.1880019883271901E-2</v>
      </c>
      <c r="I3384">
        <v>4.8089471137445099E-2</v>
      </c>
      <c r="J3384">
        <v>5.5141831592545501E-2</v>
      </c>
      <c r="K3384">
        <v>4.3693047444362601E-2</v>
      </c>
      <c r="L3384">
        <v>827.06953932280601</v>
      </c>
      <c r="M3384">
        <v>17.407234439097099</v>
      </c>
      <c r="N3384">
        <v>47.673568818402799</v>
      </c>
      <c r="O3384">
        <v>46.899229049054902</v>
      </c>
      <c r="P3384">
        <v>-9.0153364573838504E-2</v>
      </c>
      <c r="Q3384">
        <v>2.8476330315564499E-2</v>
      </c>
      <c r="R3384">
        <v>0.998285191881089</v>
      </c>
      <c r="S3384" t="s">
        <v>9952</v>
      </c>
      <c r="T3384" t="s">
        <v>13134</v>
      </c>
      <c r="U3384" t="s">
        <v>13134</v>
      </c>
      <c r="V3384" t="s">
        <v>13134</v>
      </c>
      <c r="W3384" t="s">
        <v>16464</v>
      </c>
      <c r="X3384">
        <v>15</v>
      </c>
      <c r="Y3384" t="s">
        <v>22873</v>
      </c>
      <c r="Z3384" t="s">
        <v>29352</v>
      </c>
      <c r="AA3384">
        <v>0.38548883704544212</v>
      </c>
      <c r="AB3384" t="str">
        <f>HYPERLINK("Melting_Curves/meltCurve_Q13418_ILK.pdf", "Melting_Curves/meltCurve_Q13418_ILK.pdf")</f>
        <v>Melting_Curves/meltCurve_Q13418_ILK.pdf</v>
      </c>
    </row>
    <row r="3385" spans="1:28" x14ac:dyDescent="0.25">
      <c r="A3385" t="s">
        <v>3389</v>
      </c>
      <c r="B3385">
        <v>0.99472303558308395</v>
      </c>
      <c r="C3385">
        <v>0.88756958552877097</v>
      </c>
      <c r="D3385">
        <v>0.75106564217590599</v>
      </c>
      <c r="E3385">
        <v>0.543117822331874</v>
      </c>
      <c r="F3385">
        <v>0.26971820582809902</v>
      </c>
      <c r="G3385">
        <v>0.13542717902767401</v>
      </c>
      <c r="H3385">
        <v>8.4348812696293796E-2</v>
      </c>
      <c r="I3385">
        <v>6.1589608283472E-2</v>
      </c>
      <c r="J3385">
        <v>5.6544339485548899E-2</v>
      </c>
      <c r="K3385">
        <v>5.69315353934709E-2</v>
      </c>
      <c r="L3385">
        <v>656.48579725225704</v>
      </c>
      <c r="M3385">
        <v>14.1215586346988</v>
      </c>
      <c r="N3385">
        <v>46.692810258783403</v>
      </c>
      <c r="O3385">
        <v>45.585740111873797</v>
      </c>
      <c r="P3385">
        <v>-7.5131049416487003E-2</v>
      </c>
      <c r="Q3385">
        <v>3.0003256178700699E-2</v>
      </c>
      <c r="R3385">
        <v>0.997266895985496</v>
      </c>
      <c r="S3385" t="s">
        <v>9953</v>
      </c>
      <c r="T3385" t="s">
        <v>13134</v>
      </c>
      <c r="U3385" t="s">
        <v>13134</v>
      </c>
      <c r="V3385" t="s">
        <v>13134</v>
      </c>
      <c r="W3385" t="s">
        <v>16465</v>
      </c>
      <c r="X3385">
        <v>7</v>
      </c>
      <c r="Y3385" t="s">
        <v>22874</v>
      </c>
      <c r="Z3385" t="s">
        <v>29353</v>
      </c>
      <c r="AA3385">
        <v>0.36145132850507772</v>
      </c>
      <c r="AB3385" t="str">
        <f>HYPERLINK("Melting_Curves/meltCurve_Q13422_7_IKZF1.pdf", "Melting_Curves/meltCurve_Q13422_7_IKZF1.pdf")</f>
        <v>Melting_Curves/meltCurve_Q13422_7_IKZF1.pdf</v>
      </c>
    </row>
    <row r="3386" spans="1:28" x14ac:dyDescent="0.25">
      <c r="A3386" t="s">
        <v>3390</v>
      </c>
      <c r="B3386">
        <v>0.99472303558308395</v>
      </c>
      <c r="C3386">
        <v>0.91643831676363996</v>
      </c>
      <c r="D3386">
        <v>0.86673689235075402</v>
      </c>
      <c r="E3386">
        <v>0.73653476753411895</v>
      </c>
      <c r="F3386">
        <v>0.55615180330040404</v>
      </c>
      <c r="G3386">
        <v>0.34522065147223302</v>
      </c>
      <c r="H3386">
        <v>8.2488183949610702E-2</v>
      </c>
      <c r="I3386">
        <v>4.8958754218089401E-2</v>
      </c>
      <c r="J3386">
        <v>5.2095589593683003E-2</v>
      </c>
      <c r="K3386">
        <v>4.9775890136833298E-2</v>
      </c>
      <c r="L3386">
        <v>676.68560148502297</v>
      </c>
      <c r="M3386">
        <v>13.431373562366201</v>
      </c>
      <c r="N3386">
        <v>50.380971976395998</v>
      </c>
      <c r="O3386">
        <v>49.303493779417899</v>
      </c>
      <c r="P3386">
        <v>-6.8116194945904596E-2</v>
      </c>
      <c r="Q3386">
        <v>0</v>
      </c>
      <c r="R3386">
        <v>0.98775440838930095</v>
      </c>
      <c r="S3386" t="s">
        <v>9954</v>
      </c>
      <c r="T3386" t="s">
        <v>13134</v>
      </c>
      <c r="U3386" t="s">
        <v>13134</v>
      </c>
      <c r="V3386" t="s">
        <v>13134</v>
      </c>
      <c r="W3386" t="s">
        <v>16466</v>
      </c>
      <c r="X3386">
        <v>31</v>
      </c>
      <c r="Y3386" t="s">
        <v>22875</v>
      </c>
      <c r="Z3386" t="s">
        <v>29354</v>
      </c>
      <c r="AA3386">
        <v>0.46991603209258892</v>
      </c>
      <c r="AB3386" t="str">
        <f>HYPERLINK("Melting_Curves/meltCurve_Q13423_NNT.pdf", "Melting_Curves/meltCurve_Q13423_NNT.pdf")</f>
        <v>Melting_Curves/meltCurve_Q13423_NNT.pdf</v>
      </c>
    </row>
    <row r="3387" spans="1:28" x14ac:dyDescent="0.25">
      <c r="A3387" t="s">
        <v>3391</v>
      </c>
      <c r="B3387">
        <v>0.99472303558308395</v>
      </c>
      <c r="C3387">
        <v>0.90936174642688095</v>
      </c>
      <c r="D3387">
        <v>0.75961790651112704</v>
      </c>
      <c r="E3387">
        <v>0.55098446652695698</v>
      </c>
      <c r="F3387">
        <v>0.39760368262328799</v>
      </c>
      <c r="G3387">
        <v>0.17825096923224501</v>
      </c>
      <c r="H3387">
        <v>8.83665123801574E-2</v>
      </c>
      <c r="I3387">
        <v>6.7139779363475302E-2</v>
      </c>
      <c r="J3387">
        <v>6.4849450954259397E-2</v>
      </c>
      <c r="K3387">
        <v>6.0433005608877301E-2</v>
      </c>
      <c r="L3387">
        <v>576.20828489478004</v>
      </c>
      <c r="M3387">
        <v>12.149151364332599</v>
      </c>
      <c r="N3387">
        <v>47.533885618623202</v>
      </c>
      <c r="O3387">
        <v>46.197781568181398</v>
      </c>
      <c r="P3387">
        <v>-6.4881420999818404E-2</v>
      </c>
      <c r="Q3387">
        <v>1.33672051396218E-2</v>
      </c>
      <c r="R3387">
        <v>0.995287110098244</v>
      </c>
      <c r="S3387" t="s">
        <v>9955</v>
      </c>
      <c r="T3387" t="s">
        <v>13134</v>
      </c>
      <c r="U3387" t="s">
        <v>13134</v>
      </c>
      <c r="V3387" t="s">
        <v>13134</v>
      </c>
      <c r="W3387" t="s">
        <v>16467</v>
      </c>
      <c r="X3387">
        <v>1</v>
      </c>
      <c r="Y3387" t="s">
        <v>22876</v>
      </c>
      <c r="Z3387" t="s">
        <v>29355</v>
      </c>
      <c r="AA3387">
        <v>0.38747850361935943</v>
      </c>
      <c r="AB3387" t="str">
        <f>HYPERLINK("Melting_Curves/meltCurve_Q13424_SNTA1.pdf", "Melting_Curves/meltCurve_Q13424_SNTA1.pdf")</f>
        <v>Melting_Curves/meltCurve_Q13424_SNTA1.pdf</v>
      </c>
    </row>
    <row r="3388" spans="1:28" x14ac:dyDescent="0.25">
      <c r="A3388" t="s">
        <v>3392</v>
      </c>
      <c r="B3388">
        <v>0.99472303558308395</v>
      </c>
      <c r="C3388">
        <v>0.91185487870430004</v>
      </c>
      <c r="D3388">
        <v>0.873066240222102</v>
      </c>
      <c r="E3388">
        <v>0.56408079087171603</v>
      </c>
      <c r="F3388">
        <v>0.29915805027311698</v>
      </c>
      <c r="G3388">
        <v>0.152154759795673</v>
      </c>
      <c r="H3388">
        <v>9.3045166221271403E-2</v>
      </c>
      <c r="I3388">
        <v>6.4747959666525495E-2</v>
      </c>
      <c r="J3388">
        <v>9.3719069074843703E-2</v>
      </c>
      <c r="K3388">
        <v>8.9362530785578098E-2</v>
      </c>
      <c r="L3388">
        <v>840.95676342901004</v>
      </c>
      <c r="M3388">
        <v>17.900919240209799</v>
      </c>
      <c r="N3388">
        <v>47.375954512001798</v>
      </c>
      <c r="O3388">
        <v>46.403917466944499</v>
      </c>
      <c r="P3388">
        <v>-8.9719870444597297E-2</v>
      </c>
      <c r="Q3388">
        <v>6.9736542857697495E-2</v>
      </c>
      <c r="R3388">
        <v>0.99686606164427705</v>
      </c>
      <c r="S3388" t="s">
        <v>9956</v>
      </c>
      <c r="T3388" t="s">
        <v>13134</v>
      </c>
      <c r="U3388" t="s">
        <v>13134</v>
      </c>
      <c r="V3388" t="s">
        <v>13134</v>
      </c>
      <c r="W3388" t="s">
        <v>16468</v>
      </c>
      <c r="X3388">
        <v>3</v>
      </c>
      <c r="Y3388" t="s">
        <v>22877</v>
      </c>
      <c r="Z3388" t="s">
        <v>29356</v>
      </c>
      <c r="AA3388">
        <v>0.39424859839601339</v>
      </c>
      <c r="AB3388" t="str">
        <f>HYPERLINK("Melting_Curves/meltCurve_Q13425_SNTB2.pdf", "Melting_Curves/meltCurve_Q13425_SNTB2.pdf")</f>
        <v>Melting_Curves/meltCurve_Q13425_SNTB2.pdf</v>
      </c>
    </row>
    <row r="3389" spans="1:28" x14ac:dyDescent="0.25">
      <c r="A3389" t="s">
        <v>3393</v>
      </c>
      <c r="B3389">
        <v>0.99472303558308395</v>
      </c>
      <c r="C3389">
        <v>1.0161927262256001</v>
      </c>
      <c r="D3389">
        <v>0.85789515731863797</v>
      </c>
      <c r="E3389">
        <v>0.72155229707323298</v>
      </c>
      <c r="F3389">
        <v>0.448713433485397</v>
      </c>
      <c r="G3389">
        <v>0.408342240917976</v>
      </c>
      <c r="H3389">
        <v>0.32291173866562101</v>
      </c>
      <c r="I3389">
        <v>0.27095272439228801</v>
      </c>
      <c r="J3389">
        <v>0.37605178080374002</v>
      </c>
      <c r="K3389">
        <v>0.17816983204301501</v>
      </c>
      <c r="L3389">
        <v>750.430570471544</v>
      </c>
      <c r="M3389">
        <v>15.752726848956501</v>
      </c>
      <c r="N3389">
        <v>50.061592336380997</v>
      </c>
      <c r="O3389">
        <v>46.890252736542998</v>
      </c>
      <c r="P3389">
        <v>-6.15871249536677E-2</v>
      </c>
      <c r="Q3389">
        <v>0.26676947277123197</v>
      </c>
      <c r="R3389">
        <v>0.96962684310992198</v>
      </c>
      <c r="S3389" t="s">
        <v>9957</v>
      </c>
      <c r="T3389" t="s">
        <v>13134</v>
      </c>
      <c r="U3389" t="s">
        <v>13134</v>
      </c>
      <c r="V3389" t="s">
        <v>13134</v>
      </c>
      <c r="W3389" t="s">
        <v>16469</v>
      </c>
      <c r="X3389">
        <v>10</v>
      </c>
      <c r="Y3389" t="s">
        <v>22878</v>
      </c>
      <c r="Z3389" t="s">
        <v>29357</v>
      </c>
      <c r="AA3389">
        <v>0.54172246871972285</v>
      </c>
      <c r="AB3389" t="str">
        <f>HYPERLINK("Melting_Curves/meltCurve_Q13426_XRCC4.pdf", "Melting_Curves/meltCurve_Q13426_XRCC4.pdf")</f>
        <v>Melting_Curves/meltCurve_Q13426_XRCC4.pdf</v>
      </c>
    </row>
    <row r="3390" spans="1:28" x14ac:dyDescent="0.25">
      <c r="A3390" t="s">
        <v>3394</v>
      </c>
      <c r="B3390">
        <v>0.99472303558308395</v>
      </c>
      <c r="C3390">
        <v>0.99185616146926303</v>
      </c>
      <c r="D3390">
        <v>0.98331211649502204</v>
      </c>
      <c r="E3390">
        <v>0.80484931335305998</v>
      </c>
      <c r="F3390">
        <v>0.63064952685686604</v>
      </c>
      <c r="G3390">
        <v>0.46388396118151298</v>
      </c>
      <c r="H3390">
        <v>0.29969838349265698</v>
      </c>
      <c r="I3390">
        <v>0.31989736803581797</v>
      </c>
      <c r="J3390">
        <v>0.35602862268235402</v>
      </c>
      <c r="K3390">
        <v>0.246865698874801</v>
      </c>
      <c r="L3390">
        <v>840.09737551805097</v>
      </c>
      <c r="M3390">
        <v>16.838861030742901</v>
      </c>
      <c r="N3390">
        <v>52.4229839209153</v>
      </c>
      <c r="O3390">
        <v>49.202700274768098</v>
      </c>
      <c r="P3390">
        <v>-6.1747551549073201E-2</v>
      </c>
      <c r="Q3390">
        <v>0.27834754314582999</v>
      </c>
      <c r="R3390">
        <v>0.98832896594165698</v>
      </c>
      <c r="S3390" t="s">
        <v>9958</v>
      </c>
      <c r="T3390" t="s">
        <v>13134</v>
      </c>
      <c r="U3390" t="s">
        <v>13134</v>
      </c>
      <c r="V3390" t="s">
        <v>13134</v>
      </c>
      <c r="W3390" t="s">
        <v>16470</v>
      </c>
      <c r="X3390">
        <v>9</v>
      </c>
      <c r="Y3390" t="s">
        <v>22878</v>
      </c>
      <c r="Z3390" t="s">
        <v>29358</v>
      </c>
      <c r="AA3390">
        <v>0.60111477666940638</v>
      </c>
      <c r="AB3390" t="str">
        <f>HYPERLINK("Melting_Curves/meltCurve_Q13426_3_XRCC4.pdf", "Melting_Curves/meltCurve_Q13426_3_XRCC4.pdf")</f>
        <v>Melting_Curves/meltCurve_Q13426_3_XRCC4.pdf</v>
      </c>
    </row>
    <row r="3391" spans="1:28" x14ac:dyDescent="0.25">
      <c r="A3391" t="s">
        <v>3395</v>
      </c>
      <c r="B3391">
        <v>0.99472303558308395</v>
      </c>
      <c r="C3391">
        <v>0.870824016301184</v>
      </c>
      <c r="D3391">
        <v>0.71362235622632297</v>
      </c>
      <c r="E3391">
        <v>0.326034669848839</v>
      </c>
      <c r="F3391">
        <v>0.15833404991418301</v>
      </c>
      <c r="G3391">
        <v>8.03766293190223E-2</v>
      </c>
      <c r="H3391">
        <v>5.4369838395960997E-2</v>
      </c>
      <c r="I3391">
        <v>5.27304071701091E-2</v>
      </c>
      <c r="J3391">
        <v>7.7960216987257497E-2</v>
      </c>
      <c r="K3391">
        <v>7.4035335421440196E-2</v>
      </c>
      <c r="L3391">
        <v>866.09293029634796</v>
      </c>
      <c r="M3391">
        <v>19.441832337206598</v>
      </c>
      <c r="N3391">
        <v>44.830611041171601</v>
      </c>
      <c r="O3391">
        <v>44.084608188730499</v>
      </c>
      <c r="P3391">
        <v>-0.103896009746892</v>
      </c>
      <c r="Q3391">
        <v>5.7691599875468298E-2</v>
      </c>
      <c r="R3391">
        <v>0.997100161220005</v>
      </c>
      <c r="S3391" t="s">
        <v>9959</v>
      </c>
      <c r="T3391" t="s">
        <v>13134</v>
      </c>
      <c r="U3391" t="s">
        <v>13134</v>
      </c>
      <c r="V3391" t="s">
        <v>13134</v>
      </c>
      <c r="W3391" t="s">
        <v>16471</v>
      </c>
      <c r="X3391">
        <v>11</v>
      </c>
      <c r="Y3391" t="s">
        <v>22879</v>
      </c>
      <c r="Z3391" t="s">
        <v>29359</v>
      </c>
      <c r="AA3391">
        <v>0.30801087783156061</v>
      </c>
      <c r="AB3391" t="str">
        <f>HYPERLINK("Melting_Curves/meltCurve_Q13427_PPIG.pdf", "Melting_Curves/meltCurve_Q13427_PPIG.pdf")</f>
        <v>Melting_Curves/meltCurve_Q13427_PPIG.pdf</v>
      </c>
    </row>
    <row r="3392" spans="1:28" x14ac:dyDescent="0.25">
      <c r="A3392" t="s">
        <v>3396</v>
      </c>
      <c r="B3392">
        <v>0.99472303558308395</v>
      </c>
      <c r="C3392">
        <v>0.97026736723817897</v>
      </c>
      <c r="D3392">
        <v>0.99103201932838603</v>
      </c>
      <c r="E3392">
        <v>0.840898772831979</v>
      </c>
      <c r="F3392">
        <v>0.56181512839090297</v>
      </c>
      <c r="G3392">
        <v>0.39237213737012</v>
      </c>
      <c r="H3392">
        <v>0.20646351163148799</v>
      </c>
      <c r="I3392">
        <v>0.15333815652992699</v>
      </c>
      <c r="J3392">
        <v>0.19052803849681399</v>
      </c>
      <c r="K3392">
        <v>0.15633025174929399</v>
      </c>
      <c r="L3392">
        <v>909.64720394188896</v>
      </c>
      <c r="M3392">
        <v>18.0589700402586</v>
      </c>
      <c r="N3392">
        <v>51.352626993371899</v>
      </c>
      <c r="O3392">
        <v>49.765464144099099</v>
      </c>
      <c r="P3392">
        <v>-7.7481741400589194E-2</v>
      </c>
      <c r="Q3392">
        <v>0.14596965517529201</v>
      </c>
      <c r="R3392">
        <v>0.99542497642504901</v>
      </c>
      <c r="S3392" t="s">
        <v>9960</v>
      </c>
      <c r="T3392" t="s">
        <v>13134</v>
      </c>
      <c r="U3392" t="s">
        <v>13134</v>
      </c>
      <c r="V3392" t="s">
        <v>13134</v>
      </c>
      <c r="W3392" t="s">
        <v>16472</v>
      </c>
      <c r="X3392">
        <v>49</v>
      </c>
      <c r="Y3392" t="s">
        <v>22880</v>
      </c>
      <c r="Z3392" t="s">
        <v>29360</v>
      </c>
      <c r="AA3392">
        <v>0.53992761078991591</v>
      </c>
      <c r="AB3392" t="str">
        <f>HYPERLINK("Melting_Curves/meltCurve_Q13428_3_TCOF1.pdf", "Melting_Curves/meltCurve_Q13428_3_TCOF1.pdf")</f>
        <v>Melting_Curves/meltCurve_Q13428_3_TCOF1.pdf</v>
      </c>
    </row>
    <row r="3393" spans="1:28" x14ac:dyDescent="0.25">
      <c r="A3393" t="s">
        <v>3397</v>
      </c>
      <c r="B3393">
        <v>0.99472303558308395</v>
      </c>
      <c r="C3393">
        <v>0.97082739951843</v>
      </c>
      <c r="D3393">
        <v>0.88986316371253804</v>
      </c>
      <c r="E3393">
        <v>0.55713093160988403</v>
      </c>
      <c r="F3393">
        <v>0.254851143544916</v>
      </c>
      <c r="G3393">
        <v>0.147074683339142</v>
      </c>
      <c r="H3393">
        <v>0.105547526867719</v>
      </c>
      <c r="I3393">
        <v>8.0213426304239097E-2</v>
      </c>
      <c r="J3393">
        <v>9.5716538049337094E-2</v>
      </c>
      <c r="K3393">
        <v>6.8568405852181102E-2</v>
      </c>
      <c r="L3393">
        <v>1001.21635502767</v>
      </c>
      <c r="M3393">
        <v>21.392621578174499</v>
      </c>
      <c r="N3393">
        <v>47.199182227850699</v>
      </c>
      <c r="O3393">
        <v>46.398740254381501</v>
      </c>
      <c r="P3393">
        <v>-0.105771931699811</v>
      </c>
      <c r="Q3393">
        <v>8.2382316125106603E-2</v>
      </c>
      <c r="R3393">
        <v>0.99946124598278796</v>
      </c>
      <c r="S3393" t="s">
        <v>9961</v>
      </c>
      <c r="T3393" t="s">
        <v>13134</v>
      </c>
      <c r="U3393" t="s">
        <v>13134</v>
      </c>
      <c r="V3393" t="s">
        <v>13134</v>
      </c>
      <c r="W3393" t="s">
        <v>16473</v>
      </c>
      <c r="X3393">
        <v>3</v>
      </c>
      <c r="Y3393" t="s">
        <v>22881</v>
      </c>
      <c r="Z3393" t="s">
        <v>29361</v>
      </c>
      <c r="AA3393">
        <v>0.39270378731795419</v>
      </c>
      <c r="AB3393" t="str">
        <f>HYPERLINK("Melting_Curves/meltCurve_Q13432_2_UNC119.pdf", "Melting_Curves/meltCurve_Q13432_2_UNC119.pdf")</f>
        <v>Melting_Curves/meltCurve_Q13432_2_UNC119.pdf</v>
      </c>
    </row>
    <row r="3394" spans="1:28" x14ac:dyDescent="0.25">
      <c r="A3394" t="s">
        <v>3398</v>
      </c>
      <c r="B3394">
        <v>0.99472303558308395</v>
      </c>
      <c r="C3394">
        <v>0.96530434573035395</v>
      </c>
      <c r="D3394">
        <v>0.71669576440067995</v>
      </c>
      <c r="E3394">
        <v>0.56874573340258205</v>
      </c>
      <c r="F3394">
        <v>0.44221808622504499</v>
      </c>
      <c r="G3394">
        <v>0.24471107108215101</v>
      </c>
      <c r="H3394">
        <v>0.14398435907998999</v>
      </c>
      <c r="I3394">
        <v>0.13223978654492899</v>
      </c>
      <c r="J3394">
        <v>0.18674673161255501</v>
      </c>
      <c r="K3394">
        <v>0.24421826615777401</v>
      </c>
      <c r="L3394">
        <v>634.12927989156901</v>
      </c>
      <c r="M3394">
        <v>13.680345585832599</v>
      </c>
      <c r="N3394">
        <v>47.641561885777698</v>
      </c>
      <c r="O3394">
        <v>45.396500986213098</v>
      </c>
      <c r="P3394">
        <v>-6.36995827936188E-2</v>
      </c>
      <c r="Q3394">
        <v>0.15460629566891099</v>
      </c>
      <c r="R3394">
        <v>0.97397980236570902</v>
      </c>
      <c r="S3394" t="s">
        <v>9962</v>
      </c>
      <c r="T3394" t="s">
        <v>13134</v>
      </c>
      <c r="U3394" t="s">
        <v>13134</v>
      </c>
      <c r="V3394" t="s">
        <v>13134</v>
      </c>
      <c r="W3394" t="s">
        <v>16474</v>
      </c>
      <c r="X3394">
        <v>30</v>
      </c>
      <c r="Y3394" t="s">
        <v>22882</v>
      </c>
      <c r="Z3394" t="s">
        <v>29362</v>
      </c>
      <c r="AA3394">
        <v>0.44103442527975317</v>
      </c>
      <c r="AB3394" t="str">
        <f>HYPERLINK("Melting_Curves/meltCurve_Q13435_SF3B2.pdf", "Melting_Curves/meltCurve_Q13435_SF3B2.pdf")</f>
        <v>Melting_Curves/meltCurve_Q13435_SF3B2.pdf</v>
      </c>
    </row>
    <row r="3395" spans="1:28" x14ac:dyDescent="0.25">
      <c r="A3395" t="s">
        <v>3399</v>
      </c>
      <c r="B3395">
        <v>0.99472303558308395</v>
      </c>
      <c r="C3395">
        <v>1.0455073127523999</v>
      </c>
      <c r="D3395">
        <v>0.87894230500255499</v>
      </c>
      <c r="E3395">
        <v>0.75627474485943103</v>
      </c>
      <c r="F3395">
        <v>0.58170570131632804</v>
      </c>
      <c r="G3395">
        <v>0.27103079499556398</v>
      </c>
      <c r="H3395">
        <v>0.13326348448542599</v>
      </c>
      <c r="I3395">
        <v>9.1860806583604598E-2</v>
      </c>
      <c r="J3395">
        <v>9.2588097496236504E-2</v>
      </c>
      <c r="K3395">
        <v>8.1231241411230296E-2</v>
      </c>
      <c r="L3395">
        <v>778.90643892937203</v>
      </c>
      <c r="M3395">
        <v>15.5075857186528</v>
      </c>
      <c r="N3395">
        <v>50.526158442599097</v>
      </c>
      <c r="O3395">
        <v>49.414456340957003</v>
      </c>
      <c r="P3395">
        <v>-7.5026650918620597E-2</v>
      </c>
      <c r="Q3395">
        <v>4.3804104366824699E-2</v>
      </c>
      <c r="R3395">
        <v>0.99096997321837799</v>
      </c>
      <c r="S3395" t="s">
        <v>9963</v>
      </c>
      <c r="T3395" t="s">
        <v>13134</v>
      </c>
      <c r="U3395" t="s">
        <v>13134</v>
      </c>
      <c r="V3395" t="s">
        <v>13134</v>
      </c>
      <c r="W3395" t="s">
        <v>16475</v>
      </c>
      <c r="X3395">
        <v>7</v>
      </c>
      <c r="Y3395" t="s">
        <v>22883</v>
      </c>
      <c r="Z3395" t="s">
        <v>29363</v>
      </c>
      <c r="AA3395">
        <v>0.48431418166942192</v>
      </c>
      <c r="AB3395" t="str">
        <f>HYPERLINK("Melting_Curves/meltCurve_Q13438_4_OS9.pdf", "Melting_Curves/meltCurve_Q13438_4_OS9.pdf")</f>
        <v>Melting_Curves/meltCurve_Q13438_4_OS9.pdf</v>
      </c>
    </row>
    <row r="3396" spans="1:28" x14ac:dyDescent="0.25">
      <c r="A3396" t="s">
        <v>3400</v>
      </c>
      <c r="B3396">
        <v>0.99472303558308395</v>
      </c>
      <c r="C3396">
        <v>0.94681980879317396</v>
      </c>
      <c r="D3396">
        <v>0.78617389026602702</v>
      </c>
      <c r="E3396">
        <v>0.33898638100495698</v>
      </c>
      <c r="F3396">
        <v>0.19608455637116901</v>
      </c>
      <c r="G3396">
        <v>0.100117415253878</v>
      </c>
      <c r="H3396">
        <v>6.9172529108625799E-2</v>
      </c>
      <c r="I3396">
        <v>4.6246537005367502E-2</v>
      </c>
      <c r="J3396">
        <v>6.2106691252618203E-2</v>
      </c>
      <c r="K3396">
        <v>5.4317362346270402E-2</v>
      </c>
      <c r="L3396">
        <v>1001.0849336403001</v>
      </c>
      <c r="M3396">
        <v>22.183816941800298</v>
      </c>
      <c r="N3396">
        <v>45.401688924694398</v>
      </c>
      <c r="O3396">
        <v>44.764912720603597</v>
      </c>
      <c r="P3396">
        <v>-0.11610835978044801</v>
      </c>
      <c r="Q3396">
        <v>6.28361041257747E-2</v>
      </c>
      <c r="R3396">
        <v>0.99702949646610595</v>
      </c>
      <c r="S3396" t="s">
        <v>9964</v>
      </c>
      <c r="T3396" t="s">
        <v>13134</v>
      </c>
      <c r="U3396" t="s">
        <v>13134</v>
      </c>
      <c r="V3396" t="s">
        <v>13134</v>
      </c>
      <c r="W3396" t="s">
        <v>16476</v>
      </c>
      <c r="X3396">
        <v>33</v>
      </c>
      <c r="Y3396" t="s">
        <v>22884</v>
      </c>
      <c r="Z3396" t="s">
        <v>29364</v>
      </c>
      <c r="AA3396">
        <v>0.32660219912388577</v>
      </c>
      <c r="AB3396" t="str">
        <f>HYPERLINK("Melting_Curves/meltCurve_Q13439_3_GOLGA4.pdf", "Melting_Curves/meltCurve_Q13439_3_GOLGA4.pdf")</f>
        <v>Melting_Curves/meltCurve_Q13439_3_GOLGA4.pdf</v>
      </c>
    </row>
    <row r="3397" spans="1:28" x14ac:dyDescent="0.25">
      <c r="A3397" t="s">
        <v>3401</v>
      </c>
      <c r="B3397">
        <v>0.99472303558308395</v>
      </c>
      <c r="C3397">
        <v>0.99571513721737603</v>
      </c>
      <c r="D3397">
        <v>1.1645160420794101</v>
      </c>
      <c r="E3397">
        <v>0.87582717904524299</v>
      </c>
      <c r="F3397">
        <v>0.91936212406172702</v>
      </c>
      <c r="G3397">
        <v>0.95301997064980504</v>
      </c>
      <c r="H3397">
        <v>1.4086575436319899</v>
      </c>
      <c r="I3397">
        <v>1.90325589154824</v>
      </c>
      <c r="J3397">
        <v>2.72910136541612</v>
      </c>
      <c r="K3397">
        <v>2.18681347341832</v>
      </c>
      <c r="L3397">
        <v>14263.999655267</v>
      </c>
      <c r="M3397">
        <v>250</v>
      </c>
      <c r="O3397">
        <v>57.052347734887697</v>
      </c>
      <c r="P3397">
        <v>0.54774258119430297</v>
      </c>
      <c r="Q3397">
        <v>1.5</v>
      </c>
      <c r="R3397">
        <v>0.41054612481391101</v>
      </c>
      <c r="S3397" t="s">
        <v>9965</v>
      </c>
      <c r="T3397" t="s">
        <v>13134</v>
      </c>
      <c r="U3397" t="s">
        <v>13134</v>
      </c>
      <c r="V3397" t="s">
        <v>13134</v>
      </c>
      <c r="W3397" t="s">
        <v>16477</v>
      </c>
      <c r="X3397">
        <v>17</v>
      </c>
      <c r="Y3397" t="s">
        <v>22885</v>
      </c>
      <c r="Z3397" t="s">
        <v>29365</v>
      </c>
      <c r="AA3397">
        <v>1.165683290120737</v>
      </c>
      <c r="AB3397" t="str">
        <f>HYPERLINK("Melting_Curves/meltCurve_Q13442_PDAP1.pdf", "Melting_Curves/meltCurve_Q13442_PDAP1.pdf")</f>
        <v>Melting_Curves/meltCurve_Q13442_PDAP1.pdf</v>
      </c>
    </row>
    <row r="3398" spans="1:28" x14ac:dyDescent="0.25">
      <c r="A3398" t="s">
        <v>3402</v>
      </c>
      <c r="B3398">
        <v>0.99472303558308395</v>
      </c>
      <c r="C3398">
        <v>1.0104178941289099</v>
      </c>
      <c r="D3398">
        <v>0.90716810369380796</v>
      </c>
      <c r="E3398">
        <v>0.85199222964463395</v>
      </c>
      <c r="F3398">
        <v>0.61123334519131201</v>
      </c>
      <c r="G3398">
        <v>0.44795493154851901</v>
      </c>
      <c r="H3398">
        <v>0.25049541027047201</v>
      </c>
      <c r="I3398">
        <v>0.19929263756662899</v>
      </c>
      <c r="J3398">
        <v>0.19424085752025799</v>
      </c>
      <c r="K3398">
        <v>0.17270448062320701</v>
      </c>
      <c r="L3398">
        <v>752.74459853312101</v>
      </c>
      <c r="M3398">
        <v>14.734377747597801</v>
      </c>
      <c r="N3398">
        <v>52.2478291187685</v>
      </c>
      <c r="O3398">
        <v>50.174293724449598</v>
      </c>
      <c r="P3398">
        <v>-6.3179494162658598E-2</v>
      </c>
      <c r="Q3398">
        <v>0.13952441726133599</v>
      </c>
      <c r="R3398">
        <v>0.99529989682958497</v>
      </c>
      <c r="S3398" t="s">
        <v>9966</v>
      </c>
      <c r="T3398" t="s">
        <v>13134</v>
      </c>
      <c r="U3398" t="s">
        <v>13134</v>
      </c>
      <c r="V3398" t="s">
        <v>13134</v>
      </c>
      <c r="W3398" t="s">
        <v>16478</v>
      </c>
      <c r="X3398">
        <v>12</v>
      </c>
      <c r="Y3398" t="s">
        <v>22886</v>
      </c>
      <c r="Z3398" t="s">
        <v>29366</v>
      </c>
      <c r="AA3398">
        <v>0.56125019037683854</v>
      </c>
      <c r="AB3398" t="str">
        <f>HYPERLINK("Melting_Curves/meltCurve_Q13443_ADAM9.pdf", "Melting_Curves/meltCurve_Q13443_ADAM9.pdf")</f>
        <v>Melting_Curves/meltCurve_Q13443_ADAM9.pdf</v>
      </c>
    </row>
    <row r="3399" spans="1:28" x14ac:dyDescent="0.25">
      <c r="A3399" t="s">
        <v>3403</v>
      </c>
      <c r="B3399">
        <v>0.99472303558308395</v>
      </c>
      <c r="C3399">
        <v>0.90625814218089895</v>
      </c>
      <c r="D3399">
        <v>0.80177401645139101</v>
      </c>
      <c r="E3399">
        <v>0.70990303477944305</v>
      </c>
      <c r="F3399">
        <v>0.57560558080027702</v>
      </c>
      <c r="G3399">
        <v>0.25935474631036498</v>
      </c>
      <c r="H3399">
        <v>0.13465113069871901</v>
      </c>
      <c r="I3399">
        <v>0.103517940960323</v>
      </c>
      <c r="J3399">
        <v>7.5007962045877605E-2</v>
      </c>
      <c r="K3399">
        <v>7.7887399174043706E-2</v>
      </c>
      <c r="L3399">
        <v>571.03115270527098</v>
      </c>
      <c r="M3399">
        <v>11.434192760497099</v>
      </c>
      <c r="N3399">
        <v>49.940670973660502</v>
      </c>
      <c r="O3399">
        <v>48.486336242642402</v>
      </c>
      <c r="P3399">
        <v>-5.8972878374048902E-2</v>
      </c>
      <c r="Q3399">
        <v>0</v>
      </c>
      <c r="R3399">
        <v>0.98438998530298405</v>
      </c>
      <c r="S3399" t="s">
        <v>9967</v>
      </c>
      <c r="T3399" t="s">
        <v>13134</v>
      </c>
      <c r="U3399" t="s">
        <v>13134</v>
      </c>
      <c r="V3399" t="s">
        <v>13134</v>
      </c>
      <c r="W3399" t="s">
        <v>16479</v>
      </c>
      <c r="X3399">
        <v>4</v>
      </c>
      <c r="Y3399" t="s">
        <v>22887</v>
      </c>
      <c r="Z3399" t="s">
        <v>29367</v>
      </c>
      <c r="AA3399">
        <v>0.46105892208099319</v>
      </c>
      <c r="AB3399" t="str">
        <f>HYPERLINK("Melting_Curves/meltCurve_Q13444_8_ADAM15.pdf", "Melting_Curves/meltCurve_Q13444_8_ADAM15.pdf")</f>
        <v>Melting_Curves/meltCurve_Q13444_8_ADAM15.pdf</v>
      </c>
    </row>
    <row r="3400" spans="1:28" x14ac:dyDescent="0.25">
      <c r="A3400" t="s">
        <v>3404</v>
      </c>
      <c r="B3400">
        <v>0.99472303558308395</v>
      </c>
      <c r="C3400">
        <v>1.08429862721958</v>
      </c>
      <c r="D3400">
        <v>0.98468429670804403</v>
      </c>
      <c r="E3400">
        <v>0.75599302127604695</v>
      </c>
      <c r="F3400">
        <v>0.66722686220182104</v>
      </c>
      <c r="G3400">
        <v>0.35725563642022801</v>
      </c>
      <c r="H3400">
        <v>0.16734694717641899</v>
      </c>
      <c r="I3400">
        <v>0.121960291021754</v>
      </c>
      <c r="J3400">
        <v>8.5665684945604004E-2</v>
      </c>
      <c r="K3400">
        <v>9.7227863836269093E-2</v>
      </c>
      <c r="L3400">
        <v>816.55398313034004</v>
      </c>
      <c r="M3400">
        <v>15.915536797247</v>
      </c>
      <c r="N3400">
        <v>51.6659731406655</v>
      </c>
      <c r="O3400">
        <v>50.5159567340921</v>
      </c>
      <c r="P3400">
        <v>-7.4631408750052697E-2</v>
      </c>
      <c r="Q3400">
        <v>5.25542532506083E-2</v>
      </c>
      <c r="R3400">
        <v>0.98544555827079205</v>
      </c>
      <c r="S3400" t="s">
        <v>9968</v>
      </c>
      <c r="T3400" t="s">
        <v>13134</v>
      </c>
      <c r="U3400" t="s">
        <v>13134</v>
      </c>
      <c r="V3400" t="s">
        <v>13134</v>
      </c>
      <c r="W3400" t="s">
        <v>16480</v>
      </c>
      <c r="X3400">
        <v>1</v>
      </c>
      <c r="Y3400" t="s">
        <v>22888</v>
      </c>
      <c r="Z3400" t="s">
        <v>29368</v>
      </c>
      <c r="AA3400">
        <v>0.52175265785600222</v>
      </c>
      <c r="AB3400" t="str">
        <f>HYPERLINK("Melting_Curves/meltCurve_Q13445_TMED1.pdf", "Melting_Curves/meltCurve_Q13445_TMED1.pdf")</f>
        <v>Melting_Curves/meltCurve_Q13445_TMED1.pdf</v>
      </c>
    </row>
    <row r="3401" spans="1:28" x14ac:dyDescent="0.25">
      <c r="A3401" t="s">
        <v>3405</v>
      </c>
      <c r="B3401">
        <v>0.99472303558308395</v>
      </c>
      <c r="C3401">
        <v>0.99512212015605805</v>
      </c>
      <c r="D3401">
        <v>0.78532886828397697</v>
      </c>
      <c r="E3401">
        <v>0.28179376614371998</v>
      </c>
      <c r="F3401">
        <v>0.136767350902498</v>
      </c>
      <c r="G3401">
        <v>7.7933187836458903E-2</v>
      </c>
      <c r="H3401">
        <v>5.0428342659036701E-2</v>
      </c>
      <c r="I3401">
        <v>3.4215352971829101E-2</v>
      </c>
      <c r="J3401">
        <v>4.25565032953878E-2</v>
      </c>
      <c r="K3401">
        <v>3.3825111740557502E-2</v>
      </c>
      <c r="L3401">
        <v>1256.86059298635</v>
      </c>
      <c r="M3401">
        <v>28.015077676178102</v>
      </c>
      <c r="N3401">
        <v>45.036108401355897</v>
      </c>
      <c r="O3401">
        <v>44.636992934044699</v>
      </c>
      <c r="P3401">
        <v>-0.148929116239677</v>
      </c>
      <c r="Q3401">
        <v>5.0840961821770898E-2</v>
      </c>
      <c r="R3401">
        <v>0.99776615474128405</v>
      </c>
      <c r="S3401" t="s">
        <v>9969</v>
      </c>
      <c r="T3401" t="s">
        <v>13134</v>
      </c>
      <c r="U3401" t="s">
        <v>13134</v>
      </c>
      <c r="V3401" t="s">
        <v>13134</v>
      </c>
      <c r="W3401" t="s">
        <v>16481</v>
      </c>
      <c r="X3401">
        <v>34</v>
      </c>
      <c r="Y3401" t="s">
        <v>22889</v>
      </c>
      <c r="Z3401" t="s">
        <v>29369</v>
      </c>
      <c r="AA3401">
        <v>0.30576973548170111</v>
      </c>
      <c r="AB3401" t="str">
        <f>HYPERLINK("Melting_Curves/meltCurve_Q13451_FKBP5.pdf", "Melting_Curves/meltCurve_Q13451_FKBP5.pdf")</f>
        <v>Melting_Curves/meltCurve_Q13451_FKBP5.pdf</v>
      </c>
    </row>
    <row r="3402" spans="1:28" x14ac:dyDescent="0.25">
      <c r="A3402" t="s">
        <v>3406</v>
      </c>
      <c r="B3402">
        <v>0.99472303558308395</v>
      </c>
      <c r="C3402">
        <v>1.02424975433938</v>
      </c>
      <c r="D3402">
        <v>0.89558772649676499</v>
      </c>
      <c r="E3402">
        <v>0.74604521504714405</v>
      </c>
      <c r="F3402">
        <v>0.285607460830969</v>
      </c>
      <c r="G3402">
        <v>0.111602863706653</v>
      </c>
      <c r="H3402">
        <v>7.3048348147584E-2</v>
      </c>
      <c r="I3402">
        <v>5.22122682281774E-2</v>
      </c>
      <c r="J3402">
        <v>6.6740926882111806E-2</v>
      </c>
      <c r="K3402">
        <v>5.5214016952335902E-2</v>
      </c>
      <c r="L3402">
        <v>1248.93287556525</v>
      </c>
      <c r="M3402">
        <v>25.930988749816599</v>
      </c>
      <c r="N3402">
        <v>48.3805255864442</v>
      </c>
      <c r="O3402">
        <v>47.8800171765836</v>
      </c>
      <c r="P3402">
        <v>-0.12797009242193799</v>
      </c>
      <c r="Q3402">
        <v>5.4854560316523401E-2</v>
      </c>
      <c r="R3402">
        <v>0.99639581766695695</v>
      </c>
      <c r="S3402" t="s">
        <v>9970</v>
      </c>
      <c r="T3402" t="s">
        <v>13134</v>
      </c>
      <c r="U3402" t="s">
        <v>13134</v>
      </c>
      <c r="V3402" t="s">
        <v>13134</v>
      </c>
      <c r="W3402" t="s">
        <v>16482</v>
      </c>
      <c r="X3402">
        <v>41</v>
      </c>
      <c r="Y3402" t="s">
        <v>22890</v>
      </c>
      <c r="Z3402" t="s">
        <v>29370</v>
      </c>
      <c r="AA3402">
        <v>0.41407599822708802</v>
      </c>
      <c r="AB3402" t="str">
        <f>HYPERLINK("Melting_Curves/meltCurve_Q13464_ROCK1.pdf", "Melting_Curves/meltCurve_Q13464_ROCK1.pdf")</f>
        <v>Melting_Curves/meltCurve_Q13464_ROCK1.pdf</v>
      </c>
    </row>
    <row r="3403" spans="1:28" x14ac:dyDescent="0.25">
      <c r="A3403" t="s">
        <v>3407</v>
      </c>
      <c r="B3403">
        <v>0.99472303558308395</v>
      </c>
      <c r="C3403">
        <v>1.0428957175367599</v>
      </c>
      <c r="D3403">
        <v>0.89374430699900098</v>
      </c>
      <c r="E3403">
        <v>0.73959585662809302</v>
      </c>
      <c r="F3403">
        <v>0.72498740530762495</v>
      </c>
      <c r="G3403">
        <v>0.43961225579199198</v>
      </c>
      <c r="H3403">
        <v>0.34645516481157501</v>
      </c>
      <c r="I3403">
        <v>0.34269575091297</v>
      </c>
      <c r="J3403">
        <v>0.43852845859230499</v>
      </c>
      <c r="K3403">
        <v>0.36446909423871998</v>
      </c>
      <c r="L3403">
        <v>735.66664021695601</v>
      </c>
      <c r="M3403">
        <v>14.9914275364454</v>
      </c>
      <c r="N3403">
        <v>53.210883771714997</v>
      </c>
      <c r="O3403">
        <v>48.224143578899302</v>
      </c>
      <c r="P3403">
        <v>-5.0973459111454802E-2</v>
      </c>
      <c r="Q3403">
        <v>0.344184526811044</v>
      </c>
      <c r="R3403">
        <v>0.95284324422494904</v>
      </c>
      <c r="S3403" t="s">
        <v>9971</v>
      </c>
      <c r="T3403" t="s">
        <v>13134</v>
      </c>
      <c r="U3403" t="s">
        <v>13134</v>
      </c>
      <c r="V3403" t="s">
        <v>13134</v>
      </c>
      <c r="W3403" t="s">
        <v>16483</v>
      </c>
      <c r="X3403">
        <v>1</v>
      </c>
      <c r="Y3403" t="s">
        <v>22891</v>
      </c>
      <c r="Z3403" t="s">
        <v>29371</v>
      </c>
      <c r="AA3403">
        <v>0.62218971201580742</v>
      </c>
      <c r="AB3403" t="str">
        <f>HYPERLINK("Melting_Curves/meltCurve_Q13467_FZD5.pdf", "Melting_Curves/meltCurve_Q13467_FZD5.pdf")</f>
        <v>Melting_Curves/meltCurve_Q13467_FZD5.pdf</v>
      </c>
    </row>
    <row r="3404" spans="1:28" x14ac:dyDescent="0.25">
      <c r="A3404" t="s">
        <v>3408</v>
      </c>
      <c r="B3404">
        <v>0.99472303558308395</v>
      </c>
      <c r="C3404">
        <v>0.92889406218256998</v>
      </c>
      <c r="D3404">
        <v>0.91174035197887504</v>
      </c>
      <c r="E3404">
        <v>0.58378406879814504</v>
      </c>
      <c r="F3404">
        <v>0.193859159038312</v>
      </c>
      <c r="G3404">
        <v>0.11627384277627099</v>
      </c>
      <c r="H3404">
        <v>7.8986209082296296E-2</v>
      </c>
      <c r="I3404">
        <v>5.5295708815674298E-2</v>
      </c>
      <c r="J3404">
        <v>7.36911065467864E-2</v>
      </c>
      <c r="K3404">
        <v>6.2849290866279994E-2</v>
      </c>
      <c r="L3404">
        <v>1178.0073406511999</v>
      </c>
      <c r="M3404">
        <v>25.113939286907101</v>
      </c>
      <c r="N3404">
        <v>47.166694852834397</v>
      </c>
      <c r="O3404">
        <v>46.612136741483503</v>
      </c>
      <c r="P3404">
        <v>-0.12598550817537901</v>
      </c>
      <c r="Q3404">
        <v>6.4682589979474694E-2</v>
      </c>
      <c r="R3404">
        <v>0.99683381179368902</v>
      </c>
      <c r="S3404" t="s">
        <v>9972</v>
      </c>
      <c r="T3404" t="s">
        <v>13134</v>
      </c>
      <c r="U3404" t="s">
        <v>13134</v>
      </c>
      <c r="V3404" t="s">
        <v>13134</v>
      </c>
      <c r="W3404" t="s">
        <v>16484</v>
      </c>
      <c r="X3404">
        <v>11</v>
      </c>
      <c r="Y3404" t="s">
        <v>22892</v>
      </c>
      <c r="Z3404" t="s">
        <v>29372</v>
      </c>
      <c r="AA3404">
        <v>0.38131332786084299</v>
      </c>
      <c r="AB3404" t="str">
        <f>HYPERLINK("Melting_Curves/meltCurve_Q13469_3_NFATC2.pdf", "Melting_Curves/meltCurve_Q13469_3_NFATC2.pdf")</f>
        <v>Melting_Curves/meltCurve_Q13469_3_NFATC2.pdf</v>
      </c>
    </row>
    <row r="3405" spans="1:28" x14ac:dyDescent="0.25">
      <c r="A3405" t="s">
        <v>3409</v>
      </c>
      <c r="B3405">
        <v>0.99472303558308395</v>
      </c>
      <c r="C3405">
        <v>0.94391475332729802</v>
      </c>
      <c r="D3405">
        <v>0.69724334247582298</v>
      </c>
      <c r="E3405">
        <v>0.51599897905027903</v>
      </c>
      <c r="F3405">
        <v>0.32261622263708301</v>
      </c>
      <c r="G3405">
        <v>0.20836097720003699</v>
      </c>
      <c r="H3405">
        <v>0.168027027502096</v>
      </c>
      <c r="I3405">
        <v>0.163895741978342</v>
      </c>
      <c r="J3405">
        <v>0.23339702616364599</v>
      </c>
      <c r="K3405">
        <v>0.17739716479640899</v>
      </c>
      <c r="L3405">
        <v>725.97143316121401</v>
      </c>
      <c r="M3405">
        <v>16.0751820546616</v>
      </c>
      <c r="N3405">
        <v>46.384107569101701</v>
      </c>
      <c r="O3405">
        <v>44.4794882535084</v>
      </c>
      <c r="P3405">
        <v>-7.4748904321187803E-2</v>
      </c>
      <c r="Q3405">
        <v>0.17275325788745499</v>
      </c>
      <c r="R3405">
        <v>0.99012633906249203</v>
      </c>
      <c r="S3405" t="s">
        <v>9973</v>
      </c>
      <c r="T3405" t="s">
        <v>13134</v>
      </c>
      <c r="U3405" t="s">
        <v>13134</v>
      </c>
      <c r="V3405" t="s">
        <v>13134</v>
      </c>
      <c r="W3405" t="s">
        <v>16485</v>
      </c>
      <c r="X3405">
        <v>5</v>
      </c>
      <c r="Y3405" t="s">
        <v>22893</v>
      </c>
      <c r="Z3405" t="s">
        <v>29373</v>
      </c>
      <c r="AA3405">
        <v>0.41482947774081941</v>
      </c>
      <c r="AB3405" t="str">
        <f>HYPERLINK("Melting_Curves/meltCurve_Q13480_2_GAB1.pdf", "Melting_Curves/meltCurve_Q13480_2_GAB1.pdf")</f>
        <v>Melting_Curves/meltCurve_Q13480_2_GAB1.pdf</v>
      </c>
    </row>
    <row r="3406" spans="1:28" x14ac:dyDescent="0.25">
      <c r="A3406" t="s">
        <v>3410</v>
      </c>
      <c r="B3406">
        <v>0.99472303558308395</v>
      </c>
      <c r="C3406">
        <v>0.90599683598053604</v>
      </c>
      <c r="D3406">
        <v>0.82043239333843998</v>
      </c>
      <c r="E3406">
        <v>0.61802131087518597</v>
      </c>
      <c r="F3406">
        <v>0.50783025728003806</v>
      </c>
      <c r="G3406">
        <v>0.20052966208887199</v>
      </c>
      <c r="H3406">
        <v>0.15992375265488601</v>
      </c>
      <c r="I3406">
        <v>7.19881647949345E-2</v>
      </c>
      <c r="J3406">
        <v>6.7815905484136907E-2</v>
      </c>
      <c r="K3406">
        <v>5.69097723868945E-2</v>
      </c>
      <c r="L3406">
        <v>560.71079372125598</v>
      </c>
      <c r="M3406">
        <v>11.4595068369178</v>
      </c>
      <c r="N3406">
        <v>48.929749059049101</v>
      </c>
      <c r="O3406">
        <v>47.510851826143501</v>
      </c>
      <c r="P3406">
        <v>-6.0316791173321498E-2</v>
      </c>
      <c r="Q3406">
        <v>0</v>
      </c>
      <c r="R3406">
        <v>0.99025022940014196</v>
      </c>
      <c r="S3406" t="s">
        <v>9974</v>
      </c>
      <c r="T3406" t="s">
        <v>13134</v>
      </c>
      <c r="U3406" t="s">
        <v>13134</v>
      </c>
      <c r="V3406" t="s">
        <v>13134</v>
      </c>
      <c r="W3406" t="s">
        <v>16486</v>
      </c>
      <c r="X3406">
        <v>4</v>
      </c>
      <c r="Y3406" t="s">
        <v>22894</v>
      </c>
      <c r="Z3406" t="s">
        <v>29374</v>
      </c>
      <c r="AA3406">
        <v>0.42934705997625389</v>
      </c>
      <c r="AB3406" t="str">
        <f>HYPERLINK("Melting_Curves/meltCurve_Q13488_TCIRG1.pdf", "Melting_Curves/meltCurve_Q13488_TCIRG1.pdf")</f>
        <v>Melting_Curves/meltCurve_Q13488_TCIRG1.pdf</v>
      </c>
    </row>
    <row r="3407" spans="1:28" x14ac:dyDescent="0.25">
      <c r="A3407" t="s">
        <v>3411</v>
      </c>
      <c r="B3407">
        <v>0.99472303558308395</v>
      </c>
      <c r="C3407">
        <v>1.02187443947593</v>
      </c>
      <c r="D3407">
        <v>1.0264671867599</v>
      </c>
      <c r="E3407">
        <v>0.87216355014671998</v>
      </c>
      <c r="F3407">
        <v>0.75398177211565598</v>
      </c>
      <c r="G3407">
        <v>0.54353008076771203</v>
      </c>
      <c r="H3407">
        <v>0.113050404922758</v>
      </c>
      <c r="I3407">
        <v>6.7667470964933293E-2</v>
      </c>
      <c r="J3407">
        <v>0.15404632066405199</v>
      </c>
      <c r="K3407">
        <v>5.7343652568910899E-2</v>
      </c>
      <c r="L3407">
        <v>1101.09112408023</v>
      </c>
      <c r="M3407">
        <v>20.756086297257699</v>
      </c>
      <c r="N3407">
        <v>53.304229708578497</v>
      </c>
      <c r="O3407">
        <v>52.564014905027101</v>
      </c>
      <c r="P3407">
        <v>-9.4052437663089794E-2</v>
      </c>
      <c r="Q3407">
        <v>4.7289608075960797E-2</v>
      </c>
      <c r="R3407">
        <v>0.97921822370867895</v>
      </c>
      <c r="S3407" t="s">
        <v>9975</v>
      </c>
      <c r="T3407" t="s">
        <v>13134</v>
      </c>
      <c r="U3407" t="s">
        <v>13134</v>
      </c>
      <c r="V3407" t="s">
        <v>13134</v>
      </c>
      <c r="W3407" t="s">
        <v>16487</v>
      </c>
      <c r="X3407">
        <v>19</v>
      </c>
      <c r="Y3407" t="s">
        <v>22895</v>
      </c>
      <c r="Z3407" t="s">
        <v>29375</v>
      </c>
      <c r="AA3407">
        <v>0.56830927706877776</v>
      </c>
      <c r="AB3407" t="str">
        <f>HYPERLINK("Melting_Curves/meltCurve_Q13492_3_PICALM.pdf", "Melting_Curves/meltCurve_Q13492_3_PICALM.pdf")</f>
        <v>Melting_Curves/meltCurve_Q13492_3_PICALM.pdf</v>
      </c>
    </row>
    <row r="3408" spans="1:28" x14ac:dyDescent="0.25">
      <c r="A3408" t="s">
        <v>3412</v>
      </c>
      <c r="B3408">
        <v>0.99472303558308395</v>
      </c>
      <c r="C3408">
        <v>0.94117541090845902</v>
      </c>
      <c r="D3408">
        <v>0.89946121288951997</v>
      </c>
      <c r="E3408">
        <v>0.789852445688074</v>
      </c>
      <c r="F3408">
        <v>0.58790588741989502</v>
      </c>
      <c r="G3408">
        <v>0.33410148694888198</v>
      </c>
      <c r="H3408">
        <v>0.231515613873784</v>
      </c>
      <c r="I3408">
        <v>0.133141629430201</v>
      </c>
      <c r="J3408">
        <v>7.2938574065275402E-2</v>
      </c>
      <c r="K3408">
        <v>7.2171658007011696E-2</v>
      </c>
      <c r="L3408">
        <v>630.842597546158</v>
      </c>
      <c r="M3408">
        <v>12.3050629510912</v>
      </c>
      <c r="N3408">
        <v>51.340534309580498</v>
      </c>
      <c r="O3408">
        <v>49.969339906333197</v>
      </c>
      <c r="P3408">
        <v>-6.1038048649213097E-2</v>
      </c>
      <c r="Q3408">
        <v>8.7451186340847704E-3</v>
      </c>
      <c r="R3408">
        <v>0.99758580616877701</v>
      </c>
      <c r="S3408" t="s">
        <v>9976</v>
      </c>
      <c r="T3408" t="s">
        <v>13134</v>
      </c>
      <c r="U3408" t="s">
        <v>13134</v>
      </c>
      <c r="V3408" t="s">
        <v>13134</v>
      </c>
      <c r="W3408" t="s">
        <v>16488</v>
      </c>
      <c r="X3408">
        <v>12</v>
      </c>
      <c r="Y3408" t="s">
        <v>22896</v>
      </c>
      <c r="Z3408" t="s">
        <v>29376</v>
      </c>
      <c r="AA3408">
        <v>0.50478647605972105</v>
      </c>
      <c r="AB3408" t="str">
        <f>HYPERLINK("Melting_Curves/meltCurve_Q13496_MTM1.pdf", "Melting_Curves/meltCurve_Q13496_MTM1.pdf")</f>
        <v>Melting_Curves/meltCurve_Q13496_MTM1.pdf</v>
      </c>
    </row>
    <row r="3409" spans="1:28" x14ac:dyDescent="0.25">
      <c r="A3409" t="s">
        <v>3413</v>
      </c>
      <c r="B3409">
        <v>0.99472303558308395</v>
      </c>
      <c r="C3409">
        <v>0.89314908082965105</v>
      </c>
      <c r="D3409">
        <v>0.67172320785211703</v>
      </c>
      <c r="E3409">
        <v>0.64252565004288897</v>
      </c>
      <c r="F3409">
        <v>0.525015814113862</v>
      </c>
      <c r="G3409">
        <v>0.15873162496884699</v>
      </c>
      <c r="H3409">
        <v>8.4883965388525107E-2</v>
      </c>
      <c r="I3409">
        <v>6.05470375055095E-2</v>
      </c>
      <c r="J3409">
        <v>6.8610211757210895E-2</v>
      </c>
      <c r="K3409">
        <v>5.4147890911490602E-2</v>
      </c>
      <c r="L3409">
        <v>527.52234080127505</v>
      </c>
      <c r="M3409">
        <v>10.9502582358709</v>
      </c>
      <c r="N3409">
        <v>48.174420177888997</v>
      </c>
      <c r="O3409">
        <v>46.651374078966903</v>
      </c>
      <c r="P3409">
        <v>-5.8701481945287702E-2</v>
      </c>
      <c r="Q3409">
        <v>0</v>
      </c>
      <c r="R3409">
        <v>0.96223755956478296</v>
      </c>
      <c r="S3409" t="s">
        <v>9977</v>
      </c>
      <c r="T3409" t="s">
        <v>13134</v>
      </c>
      <c r="U3409" t="s">
        <v>13134</v>
      </c>
      <c r="V3409" t="s">
        <v>13134</v>
      </c>
      <c r="W3409" t="s">
        <v>16489</v>
      </c>
      <c r="X3409">
        <v>11</v>
      </c>
      <c r="Y3409" t="s">
        <v>22897</v>
      </c>
      <c r="Z3409" t="s">
        <v>29377</v>
      </c>
      <c r="AA3409">
        <v>0.40773166200003708</v>
      </c>
      <c r="AB3409" t="str">
        <f>HYPERLINK("Melting_Curves/meltCurve_Q13501_SQSTM1.pdf", "Melting_Curves/meltCurve_Q13501_SQSTM1.pdf")</f>
        <v>Melting_Curves/meltCurve_Q13501_SQSTM1.pdf</v>
      </c>
    </row>
    <row r="3410" spans="1:28" x14ac:dyDescent="0.25">
      <c r="A3410" t="s">
        <v>3414</v>
      </c>
      <c r="B3410">
        <v>0.99472303558308395</v>
      </c>
      <c r="C3410">
        <v>0.90431440021362797</v>
      </c>
      <c r="D3410">
        <v>0.95786789079317403</v>
      </c>
      <c r="E3410">
        <v>0.82078585776666102</v>
      </c>
      <c r="F3410">
        <v>0.56481504473227495</v>
      </c>
      <c r="G3410">
        <v>0.45575162396511798</v>
      </c>
      <c r="H3410">
        <v>0.117996927158597</v>
      </c>
      <c r="I3410">
        <v>5.4177280543880199E-2</v>
      </c>
      <c r="J3410">
        <v>5.52484119689284E-2</v>
      </c>
      <c r="K3410">
        <v>4.3777777515483E-2</v>
      </c>
      <c r="L3410">
        <v>752.35535077785198</v>
      </c>
      <c r="M3410">
        <v>14.584514703644301</v>
      </c>
      <c r="N3410">
        <v>51.585902350829201</v>
      </c>
      <c r="O3410">
        <v>50.645186509320801</v>
      </c>
      <c r="P3410">
        <v>-7.2001729531350298E-2</v>
      </c>
      <c r="Q3410">
        <v>0</v>
      </c>
      <c r="R3410">
        <v>0.98327341355322295</v>
      </c>
      <c r="S3410" t="s">
        <v>9978</v>
      </c>
      <c r="T3410" t="s">
        <v>13134</v>
      </c>
      <c r="U3410" t="s">
        <v>13134</v>
      </c>
      <c r="V3410" t="s">
        <v>13134</v>
      </c>
      <c r="W3410" t="s">
        <v>16490</v>
      </c>
      <c r="X3410">
        <v>12</v>
      </c>
      <c r="Y3410" t="s">
        <v>22898</v>
      </c>
      <c r="Z3410" t="s">
        <v>29378</v>
      </c>
      <c r="AA3410">
        <v>0.50644681046015405</v>
      </c>
      <c r="AB3410" t="str">
        <f>HYPERLINK("Melting_Curves/meltCurve_Q13505_3_MTX1.pdf", "Melting_Curves/meltCurve_Q13505_3_MTX1.pdf")</f>
        <v>Melting_Curves/meltCurve_Q13505_3_MTX1.pdf</v>
      </c>
    </row>
    <row r="3411" spans="1:28" x14ac:dyDescent="0.25">
      <c r="A3411" t="s">
        <v>3415</v>
      </c>
      <c r="B3411">
        <v>0.99472303558308395</v>
      </c>
      <c r="C3411">
        <v>0.82044816935091203</v>
      </c>
      <c r="D3411">
        <v>0.49403095876816</v>
      </c>
      <c r="E3411">
        <v>0.23191331358608899</v>
      </c>
      <c r="F3411">
        <v>0.21835863831458999</v>
      </c>
      <c r="G3411">
        <v>0.10276234406645</v>
      </c>
      <c r="H3411">
        <v>7.5630587447077E-2</v>
      </c>
      <c r="I3411">
        <v>6.6135641555489399E-2</v>
      </c>
      <c r="J3411">
        <v>4.9019894145199999E-2</v>
      </c>
      <c r="K3411">
        <v>9.4654109090764604E-2</v>
      </c>
      <c r="L3411">
        <v>802.91937263799502</v>
      </c>
      <c r="M3411">
        <v>18.773866620362501</v>
      </c>
      <c r="N3411">
        <v>43.184359214959997</v>
      </c>
      <c r="O3411">
        <v>42.291545847971797</v>
      </c>
      <c r="P3411">
        <v>-0.101794721463948</v>
      </c>
      <c r="Q3411">
        <v>8.27939154545735E-2</v>
      </c>
      <c r="R3411">
        <v>0.98927977968318703</v>
      </c>
      <c r="S3411" t="s">
        <v>9979</v>
      </c>
      <c r="T3411" t="s">
        <v>13134</v>
      </c>
      <c r="U3411" t="s">
        <v>13134</v>
      </c>
      <c r="V3411" t="s">
        <v>13134</v>
      </c>
      <c r="W3411" t="s">
        <v>16491</v>
      </c>
      <c r="X3411">
        <v>4</v>
      </c>
      <c r="Y3411" t="s">
        <v>22899</v>
      </c>
      <c r="Z3411" t="s">
        <v>29379</v>
      </c>
      <c r="AA3411">
        <v>0.2741344792565712</v>
      </c>
      <c r="AB3411" t="str">
        <f>HYPERLINK("Melting_Curves/meltCurve_Q13506_NAB1.pdf", "Melting_Curves/meltCurve_Q13506_NAB1.pdf")</f>
        <v>Melting_Curves/meltCurve_Q13506_NAB1.pdf</v>
      </c>
    </row>
    <row r="3412" spans="1:28" x14ac:dyDescent="0.25">
      <c r="A3412" t="s">
        <v>3416</v>
      </c>
      <c r="B3412">
        <v>0.99472303558308395</v>
      </c>
      <c r="C3412">
        <v>1.0248716823195001</v>
      </c>
      <c r="D3412">
        <v>0.94093422838323404</v>
      </c>
      <c r="E3412">
        <v>0.88932430478693603</v>
      </c>
      <c r="F3412">
        <v>0.82226108427211997</v>
      </c>
      <c r="G3412">
        <v>0.63035148585123901</v>
      </c>
      <c r="H3412">
        <v>0.43845812968223502</v>
      </c>
      <c r="I3412">
        <v>0.28563547770647402</v>
      </c>
      <c r="J3412">
        <v>0.116351026653158</v>
      </c>
      <c r="K3412">
        <v>8.8205552505055698E-2</v>
      </c>
      <c r="L3412">
        <v>721.71837593825705</v>
      </c>
      <c r="M3412">
        <v>12.8929948461014</v>
      </c>
      <c r="N3412">
        <v>55.977558876639499</v>
      </c>
      <c r="O3412">
        <v>54.682205834188501</v>
      </c>
      <c r="P3412">
        <v>-5.8955865520388097E-2</v>
      </c>
      <c r="Q3412">
        <v>0</v>
      </c>
      <c r="R3412">
        <v>0.99341866496815501</v>
      </c>
      <c r="S3412" t="s">
        <v>9980</v>
      </c>
      <c r="T3412" t="s">
        <v>13134</v>
      </c>
      <c r="U3412" t="s">
        <v>13134</v>
      </c>
      <c r="V3412" t="s">
        <v>13134</v>
      </c>
      <c r="W3412" t="s">
        <v>16492</v>
      </c>
      <c r="X3412">
        <v>24</v>
      </c>
      <c r="Y3412" t="s">
        <v>22900</v>
      </c>
      <c r="Z3412" t="s">
        <v>29380</v>
      </c>
      <c r="AA3412">
        <v>0.64332884127026968</v>
      </c>
      <c r="AB3412" t="str">
        <f>HYPERLINK("Melting_Curves/meltCurve_Q13509_TUBB3.pdf", "Melting_Curves/meltCurve_Q13509_TUBB3.pdf")</f>
        <v>Melting_Curves/meltCurve_Q13509_TUBB3.pdf</v>
      </c>
    </row>
    <row r="3413" spans="1:28" x14ac:dyDescent="0.25">
      <c r="A3413" t="s">
        <v>3417</v>
      </c>
      <c r="B3413">
        <v>0.99472303558308395</v>
      </c>
      <c r="C3413">
        <v>0.99061607016717501</v>
      </c>
      <c r="D3413">
        <v>1.0214600299293799</v>
      </c>
      <c r="E3413">
        <v>0.90561350654662598</v>
      </c>
      <c r="F3413">
        <v>0.43506627988149399</v>
      </c>
      <c r="G3413">
        <v>0.200900159822367</v>
      </c>
      <c r="H3413">
        <v>0.12733952831428599</v>
      </c>
      <c r="I3413">
        <v>0.11213778896094399</v>
      </c>
      <c r="J3413">
        <v>0.15000362023195499</v>
      </c>
      <c r="K3413">
        <v>0.10739497447047799</v>
      </c>
      <c r="L3413">
        <v>1686.6883845886</v>
      </c>
      <c r="M3413">
        <v>34.159589899950802</v>
      </c>
      <c r="N3413">
        <v>49.802298635873498</v>
      </c>
      <c r="O3413">
        <v>49.208415792151797</v>
      </c>
      <c r="P3413">
        <v>-0.15157837673431901</v>
      </c>
      <c r="Q3413">
        <v>0.12658168463851299</v>
      </c>
      <c r="R3413">
        <v>0.99825239845880498</v>
      </c>
      <c r="S3413" t="s">
        <v>9981</v>
      </c>
      <c r="T3413" t="s">
        <v>13134</v>
      </c>
      <c r="U3413" t="s">
        <v>13134</v>
      </c>
      <c r="V3413" t="s">
        <v>13134</v>
      </c>
      <c r="W3413" t="s">
        <v>16493</v>
      </c>
      <c r="X3413">
        <v>7</v>
      </c>
      <c r="Y3413" t="s">
        <v>22901</v>
      </c>
      <c r="Z3413" t="s">
        <v>29381</v>
      </c>
      <c r="AA3413">
        <v>0.49100871645573541</v>
      </c>
      <c r="AB3413" t="str">
        <f>HYPERLINK("Melting_Curves/meltCurve_Q13526_PIN1.pdf", "Melting_Curves/meltCurve_Q13526_PIN1.pdf")</f>
        <v>Melting_Curves/meltCurve_Q13526_PIN1.pdf</v>
      </c>
    </row>
    <row r="3414" spans="1:28" x14ac:dyDescent="0.25">
      <c r="A3414" t="s">
        <v>3418</v>
      </c>
      <c r="B3414">
        <v>0.99472303558308395</v>
      </c>
      <c r="C3414">
        <v>1.0121084882445699</v>
      </c>
      <c r="D3414">
        <v>0.74838564288776499</v>
      </c>
      <c r="E3414">
        <v>0.67540850098793104</v>
      </c>
      <c r="F3414">
        <v>0.42013646480167999</v>
      </c>
      <c r="G3414">
        <v>8.9865127172368095E-2</v>
      </c>
      <c r="H3414">
        <v>5.7695302380875099E-2</v>
      </c>
      <c r="I3414">
        <v>2.8338122125265101E-2</v>
      </c>
      <c r="J3414">
        <v>2.85719228082154E-2</v>
      </c>
      <c r="K3414">
        <v>3.83770850467057E-2</v>
      </c>
      <c r="L3414">
        <v>734.82755799223003</v>
      </c>
      <c r="M3414">
        <v>15.2309513460097</v>
      </c>
      <c r="N3414">
        <v>48.245677030047297</v>
      </c>
      <c r="O3414">
        <v>47.436932815531698</v>
      </c>
      <c r="P3414">
        <v>-8.0277117303601403E-2</v>
      </c>
      <c r="Q3414">
        <v>0</v>
      </c>
      <c r="R3414">
        <v>0.980318360516367</v>
      </c>
      <c r="S3414" t="s">
        <v>9982</v>
      </c>
      <c r="T3414" t="s">
        <v>13134</v>
      </c>
      <c r="U3414" t="s">
        <v>13134</v>
      </c>
      <c r="V3414" t="s">
        <v>13134</v>
      </c>
      <c r="W3414" t="s">
        <v>16494</v>
      </c>
      <c r="X3414">
        <v>8</v>
      </c>
      <c r="Y3414" t="s">
        <v>22902</v>
      </c>
      <c r="Z3414" t="s">
        <v>29382</v>
      </c>
      <c r="AA3414">
        <v>0.39621057834290119</v>
      </c>
      <c r="AB3414" t="str">
        <f>HYPERLINK("Melting_Curves/meltCurve_Q13535_ATR.pdf", "Melting_Curves/meltCurve_Q13535_ATR.pdf")</f>
        <v>Melting_Curves/meltCurve_Q13535_ATR.pdf</v>
      </c>
    </row>
    <row r="3415" spans="1:28" x14ac:dyDescent="0.25">
      <c r="A3415" t="s">
        <v>3419</v>
      </c>
      <c r="B3415">
        <v>0.99472303558308395</v>
      </c>
      <c r="C3415">
        <v>0.97949016898939301</v>
      </c>
      <c r="D3415">
        <v>0.98463580158762998</v>
      </c>
      <c r="E3415">
        <v>0.89679045240738997</v>
      </c>
      <c r="F3415">
        <v>0.632622674461639</v>
      </c>
      <c r="G3415">
        <v>0.54445859969945998</v>
      </c>
      <c r="H3415">
        <v>0.38479340600683998</v>
      </c>
      <c r="I3415">
        <v>0.49430877134075002</v>
      </c>
      <c r="J3415">
        <v>0.66454868921425503</v>
      </c>
      <c r="K3415">
        <v>0.56629442407951502</v>
      </c>
      <c r="L3415">
        <v>1720.60681228312</v>
      </c>
      <c r="M3415">
        <v>35.618109777090403</v>
      </c>
      <c r="O3415">
        <v>48.155563827544398</v>
      </c>
      <c r="P3415">
        <v>-8.7098761659836293E-2</v>
      </c>
      <c r="Q3415">
        <v>0.52897262886969598</v>
      </c>
      <c r="R3415">
        <v>0.90929766903298903</v>
      </c>
      <c r="S3415" t="s">
        <v>9983</v>
      </c>
      <c r="T3415" t="s">
        <v>13134</v>
      </c>
      <c r="U3415" t="s">
        <v>13134</v>
      </c>
      <c r="V3415" t="s">
        <v>13134</v>
      </c>
      <c r="W3415" t="s">
        <v>16495</v>
      </c>
      <c r="X3415">
        <v>10</v>
      </c>
      <c r="Y3415" t="s">
        <v>22903</v>
      </c>
      <c r="Z3415" t="s">
        <v>29383</v>
      </c>
      <c r="AA3415">
        <v>0.70849097089761104</v>
      </c>
      <c r="AB3415" t="str">
        <f>HYPERLINK("Melting_Curves/meltCurve_Q13541_EIF4EBP1.pdf", "Melting_Curves/meltCurve_Q13541_EIF4EBP1.pdf")</f>
        <v>Melting_Curves/meltCurve_Q13541_EIF4EBP1.pdf</v>
      </c>
    </row>
    <row r="3416" spans="1:28" x14ac:dyDescent="0.25">
      <c r="A3416" t="s">
        <v>3420</v>
      </c>
      <c r="B3416">
        <v>0.99472303558308395</v>
      </c>
      <c r="C3416">
        <v>1.0646667019276199</v>
      </c>
      <c r="D3416">
        <v>0.98726524023673201</v>
      </c>
      <c r="E3416">
        <v>0.82716926499446297</v>
      </c>
      <c r="F3416">
        <v>0.602302214680833</v>
      </c>
      <c r="G3416">
        <v>0.36319897990011502</v>
      </c>
      <c r="H3416">
        <v>0.27777000372607602</v>
      </c>
      <c r="I3416">
        <v>0.26192041441506803</v>
      </c>
      <c r="J3416">
        <v>0.37610534067609702</v>
      </c>
      <c r="K3416">
        <v>0.29331870170052099</v>
      </c>
      <c r="L3416">
        <v>1172.3354026652601</v>
      </c>
      <c r="M3416">
        <v>23.7856102625272</v>
      </c>
      <c r="N3416">
        <v>51.193661912744801</v>
      </c>
      <c r="O3416">
        <v>48.943168292121797</v>
      </c>
      <c r="P3416">
        <v>-8.5805885048931094E-2</v>
      </c>
      <c r="Q3416">
        <v>0.29376744666196403</v>
      </c>
      <c r="R3416">
        <v>0.98375976208911897</v>
      </c>
      <c r="S3416" t="s">
        <v>9984</v>
      </c>
      <c r="T3416" t="s">
        <v>13134</v>
      </c>
      <c r="U3416" t="s">
        <v>13134</v>
      </c>
      <c r="V3416" t="s">
        <v>13134</v>
      </c>
      <c r="W3416" t="s">
        <v>16496</v>
      </c>
      <c r="X3416">
        <v>3</v>
      </c>
      <c r="Y3416" t="s">
        <v>22904</v>
      </c>
      <c r="Z3416" t="s">
        <v>29384</v>
      </c>
      <c r="AA3416">
        <v>0.58977141158707502</v>
      </c>
      <c r="AB3416" t="str">
        <f>HYPERLINK("Melting_Curves/meltCurve_Q13542_EIF4EBP2.pdf", "Melting_Curves/meltCurve_Q13542_EIF4EBP2.pdf")</f>
        <v>Melting_Curves/meltCurve_Q13542_EIF4EBP2.pdf</v>
      </c>
    </row>
    <row r="3417" spans="1:28" x14ac:dyDescent="0.25">
      <c r="A3417" t="s">
        <v>3421</v>
      </c>
      <c r="B3417">
        <v>0.99472303558308395</v>
      </c>
      <c r="C3417">
        <v>1.0161863504225599</v>
      </c>
      <c r="D3417">
        <v>0.81316291216583503</v>
      </c>
      <c r="E3417">
        <v>0.50961248826067695</v>
      </c>
      <c r="F3417">
        <v>0.225566495907426</v>
      </c>
      <c r="G3417">
        <v>0.11441109064598</v>
      </c>
      <c r="H3417">
        <v>7.7619187462737799E-2</v>
      </c>
      <c r="I3417">
        <v>5.2539997349813398E-2</v>
      </c>
      <c r="J3417">
        <v>6.04332532900431E-2</v>
      </c>
      <c r="K3417">
        <v>5.1007763848561198E-2</v>
      </c>
      <c r="L3417">
        <v>921.87212819117599</v>
      </c>
      <c r="M3417">
        <v>19.871487928220201</v>
      </c>
      <c r="N3417">
        <v>46.654217827789701</v>
      </c>
      <c r="O3417">
        <v>45.929536069280303</v>
      </c>
      <c r="P3417">
        <v>-0.102445060087206</v>
      </c>
      <c r="Q3417">
        <v>5.2894658302774199E-2</v>
      </c>
      <c r="R3417">
        <v>0.99770695342120896</v>
      </c>
      <c r="S3417" t="s">
        <v>9985</v>
      </c>
      <c r="T3417" t="s">
        <v>13134</v>
      </c>
      <c r="U3417" t="s">
        <v>13134</v>
      </c>
      <c r="V3417" t="s">
        <v>13134</v>
      </c>
      <c r="W3417" t="s">
        <v>16497</v>
      </c>
      <c r="X3417">
        <v>16</v>
      </c>
      <c r="Y3417" t="s">
        <v>22905</v>
      </c>
      <c r="Z3417" t="s">
        <v>29385</v>
      </c>
      <c r="AA3417">
        <v>0.36193550508009958</v>
      </c>
      <c r="AB3417" t="str">
        <f>HYPERLINK("Melting_Curves/meltCurve_Q13546_RIPK1.pdf", "Melting_Curves/meltCurve_Q13546_RIPK1.pdf")</f>
        <v>Melting_Curves/meltCurve_Q13546_RIPK1.pdf</v>
      </c>
    </row>
    <row r="3418" spans="1:28" x14ac:dyDescent="0.25">
      <c r="A3418" t="s">
        <v>3422</v>
      </c>
      <c r="B3418">
        <v>0.99472303558308395</v>
      </c>
      <c r="C3418">
        <v>0.89685437001460799</v>
      </c>
      <c r="D3418">
        <v>0.64439902264637805</v>
      </c>
      <c r="E3418">
        <v>0.40850509875371199</v>
      </c>
      <c r="F3418">
        <v>0.22535068178128601</v>
      </c>
      <c r="G3418">
        <v>7.6816186604988193E-2</v>
      </c>
      <c r="H3418">
        <v>5.6922920103360801E-2</v>
      </c>
      <c r="I3418">
        <v>3.7877346600827401E-2</v>
      </c>
      <c r="J3418">
        <v>3.9377677114817301E-2</v>
      </c>
      <c r="K3418">
        <v>2.4810572437226099E-2</v>
      </c>
      <c r="L3418">
        <v>665.07811696463898</v>
      </c>
      <c r="M3418">
        <v>14.7364462267949</v>
      </c>
      <c r="N3418">
        <v>45.247879143506097</v>
      </c>
      <c r="O3418">
        <v>44.3248705728057</v>
      </c>
      <c r="P3418">
        <v>-8.1579455895653102E-2</v>
      </c>
      <c r="Q3418">
        <v>1.8594532123987099E-2</v>
      </c>
      <c r="R3418">
        <v>0.99663514523338304</v>
      </c>
      <c r="S3418" t="s">
        <v>9986</v>
      </c>
      <c r="T3418" t="s">
        <v>13134</v>
      </c>
      <c r="U3418" t="s">
        <v>13134</v>
      </c>
      <c r="V3418" t="s">
        <v>13134</v>
      </c>
      <c r="W3418" t="s">
        <v>16498</v>
      </c>
      <c r="X3418">
        <v>11</v>
      </c>
      <c r="Y3418" t="s">
        <v>22906</v>
      </c>
      <c r="Z3418" t="s">
        <v>29386</v>
      </c>
      <c r="AA3418">
        <v>0.30866868313119461</v>
      </c>
      <c r="AB3418" t="str">
        <f>HYPERLINK("Melting_Curves/meltCurve_Q13547_HDAC1.pdf", "Melting_Curves/meltCurve_Q13547_HDAC1.pdf")</f>
        <v>Melting_Curves/meltCurve_Q13547_HDAC1.pdf</v>
      </c>
    </row>
    <row r="3419" spans="1:28" x14ac:dyDescent="0.25">
      <c r="A3419" t="s">
        <v>3423</v>
      </c>
      <c r="B3419">
        <v>0.99472303558308395</v>
      </c>
      <c r="C3419">
        <v>0.83254808652465095</v>
      </c>
      <c r="D3419">
        <v>0.80843432396338</v>
      </c>
      <c r="E3419">
        <v>0.62098219571899005</v>
      </c>
      <c r="F3419">
        <v>0.24491000771570601</v>
      </c>
      <c r="G3419">
        <v>8.0293735655788706E-2</v>
      </c>
      <c r="H3419">
        <v>4.1751836515025002E-2</v>
      </c>
      <c r="I3419">
        <v>2.9670397273285701E-2</v>
      </c>
      <c r="J3419">
        <v>3.4462231536584099E-2</v>
      </c>
      <c r="K3419">
        <v>3.75396167855278E-2</v>
      </c>
      <c r="L3419">
        <v>741.23833806808204</v>
      </c>
      <c r="M3419">
        <v>15.725410394812901</v>
      </c>
      <c r="N3419">
        <v>47.136334861492898</v>
      </c>
      <c r="O3419">
        <v>46.393829525178397</v>
      </c>
      <c r="P3419">
        <v>-8.4745810026398194E-2</v>
      </c>
      <c r="Q3419">
        <v>0</v>
      </c>
      <c r="R3419">
        <v>0.98358378029210003</v>
      </c>
      <c r="S3419" t="s">
        <v>9987</v>
      </c>
      <c r="T3419" t="s">
        <v>13134</v>
      </c>
      <c r="U3419" t="s">
        <v>13134</v>
      </c>
      <c r="V3419" t="s">
        <v>13134</v>
      </c>
      <c r="W3419" t="s">
        <v>16499</v>
      </c>
      <c r="X3419">
        <v>16</v>
      </c>
      <c r="Y3419" t="s">
        <v>22907</v>
      </c>
      <c r="Z3419" t="s">
        <v>29387</v>
      </c>
      <c r="AA3419">
        <v>0.35849812505616779</v>
      </c>
      <c r="AB3419" t="str">
        <f>HYPERLINK("Melting_Curves/meltCurve_Q13564_2_NAE1.pdf", "Melting_Curves/meltCurve_Q13564_2_NAE1.pdf")</f>
        <v>Melting_Curves/meltCurve_Q13564_2_NAE1.pdf</v>
      </c>
    </row>
    <row r="3420" spans="1:28" x14ac:dyDescent="0.25">
      <c r="A3420" t="s">
        <v>3424</v>
      </c>
      <c r="B3420">
        <v>0.99472303558308395</v>
      </c>
      <c r="C3420">
        <v>1.0035741644946801</v>
      </c>
      <c r="D3420">
        <v>0.92860337078538002</v>
      </c>
      <c r="E3420">
        <v>0.78854863683160703</v>
      </c>
      <c r="F3420">
        <v>0.434443485981439</v>
      </c>
      <c r="G3420">
        <v>0.158258670254221</v>
      </c>
      <c r="H3420">
        <v>5.9656321766176697E-2</v>
      </c>
      <c r="I3420">
        <v>3.7606751809830599E-2</v>
      </c>
      <c r="J3420">
        <v>4.6595470215331197E-2</v>
      </c>
      <c r="K3420">
        <v>3.88782609737931E-2</v>
      </c>
      <c r="L3420">
        <v>1056.65244708561</v>
      </c>
      <c r="M3420">
        <v>21.416665214694898</v>
      </c>
      <c r="N3420">
        <v>49.466249488227298</v>
      </c>
      <c r="O3420">
        <v>48.913746116244901</v>
      </c>
      <c r="P3420">
        <v>-0.106504920724963</v>
      </c>
      <c r="Q3420">
        <v>2.70333412590858E-2</v>
      </c>
      <c r="R3420">
        <v>0.99896559611187896</v>
      </c>
      <c r="S3420" t="s">
        <v>9988</v>
      </c>
      <c r="T3420" t="s">
        <v>13134</v>
      </c>
      <c r="U3420" t="s">
        <v>13134</v>
      </c>
      <c r="V3420" t="s">
        <v>13134</v>
      </c>
      <c r="W3420" t="s">
        <v>16500</v>
      </c>
      <c r="X3420">
        <v>3</v>
      </c>
      <c r="Y3420" t="s">
        <v>22908</v>
      </c>
      <c r="Z3420" t="s">
        <v>29388</v>
      </c>
      <c r="AA3420">
        <v>0.43849492791104921</v>
      </c>
      <c r="AB3420" t="str">
        <f>HYPERLINK("Melting_Curves/meltCurve_Q13572_ITPK1.pdf", "Melting_Curves/meltCurve_Q13572_ITPK1.pdf")</f>
        <v>Melting_Curves/meltCurve_Q13572_ITPK1.pdf</v>
      </c>
    </row>
    <row r="3421" spans="1:28" x14ac:dyDescent="0.25">
      <c r="A3421" t="s">
        <v>3425</v>
      </c>
      <c r="B3421">
        <v>0.99472303558308395</v>
      </c>
      <c r="C3421">
        <v>0.99413403414497503</v>
      </c>
      <c r="D3421">
        <v>1.0393785270878999</v>
      </c>
      <c r="E3421">
        <v>0.97283771388839602</v>
      </c>
      <c r="F3421">
        <v>0.72433574414380097</v>
      </c>
      <c r="G3421">
        <v>0.55978626590604696</v>
      </c>
      <c r="H3421">
        <v>0.31525743641250498</v>
      </c>
      <c r="I3421">
        <v>0.33341032990201103</v>
      </c>
      <c r="J3421">
        <v>0.38229170806558799</v>
      </c>
      <c r="K3421">
        <v>0.31473953284405298</v>
      </c>
      <c r="L3421">
        <v>1225.1260170872599</v>
      </c>
      <c r="M3421">
        <v>23.7983316525068</v>
      </c>
      <c r="N3421">
        <v>53.864176091390298</v>
      </c>
      <c r="O3421">
        <v>51.120133327167302</v>
      </c>
      <c r="P3421">
        <v>-7.8483656002349994E-2</v>
      </c>
      <c r="Q3421">
        <v>0.325662081943832</v>
      </c>
      <c r="R3421">
        <v>0.98427885315317798</v>
      </c>
      <c r="S3421" t="s">
        <v>9989</v>
      </c>
      <c r="T3421" t="s">
        <v>13134</v>
      </c>
      <c r="U3421" t="s">
        <v>13134</v>
      </c>
      <c r="V3421" t="s">
        <v>13134</v>
      </c>
      <c r="W3421" t="s">
        <v>16501</v>
      </c>
      <c r="X3421">
        <v>27</v>
      </c>
      <c r="Y3421" t="s">
        <v>22909</v>
      </c>
      <c r="Z3421" t="s">
        <v>29389</v>
      </c>
      <c r="AA3421">
        <v>0.65765325718372525</v>
      </c>
      <c r="AB3421" t="str">
        <f>HYPERLINK("Melting_Curves/meltCurve_Q13573_SNW1.pdf", "Melting_Curves/meltCurve_Q13573_SNW1.pdf")</f>
        <v>Melting_Curves/meltCurve_Q13573_SNW1.pdf</v>
      </c>
    </row>
    <row r="3422" spans="1:28" x14ac:dyDescent="0.25">
      <c r="A3422" t="s">
        <v>3426</v>
      </c>
      <c r="B3422">
        <v>0.99472303558308395</v>
      </c>
      <c r="C3422">
        <v>0.94704845646189095</v>
      </c>
      <c r="D3422">
        <v>0.95364712372829497</v>
      </c>
      <c r="E3422">
        <v>0.65351174188392802</v>
      </c>
      <c r="F3422">
        <v>0.213545499037083</v>
      </c>
      <c r="G3422">
        <v>9.2561188725083204E-2</v>
      </c>
      <c r="H3422">
        <v>5.8043288398695499E-2</v>
      </c>
      <c r="I3422">
        <v>4.1435628685154498E-2</v>
      </c>
      <c r="J3422">
        <v>5.3416623933623203E-2</v>
      </c>
      <c r="K3422">
        <v>4.3800041602479502E-2</v>
      </c>
      <c r="L3422">
        <v>1328.76761141251</v>
      </c>
      <c r="M3422">
        <v>27.972956076524699</v>
      </c>
      <c r="N3422">
        <v>47.6730084305931</v>
      </c>
      <c r="O3422">
        <v>47.2610901100688</v>
      </c>
      <c r="P3422">
        <v>-0.14090290537603101</v>
      </c>
      <c r="Q3422">
        <v>4.7770640340008698E-2</v>
      </c>
      <c r="R3422">
        <v>0.99838513336666601</v>
      </c>
      <c r="S3422" t="s">
        <v>9990</v>
      </c>
      <c r="T3422" t="s">
        <v>13134</v>
      </c>
      <c r="U3422" t="s">
        <v>13134</v>
      </c>
      <c r="V3422" t="s">
        <v>13134</v>
      </c>
      <c r="W3422" t="s">
        <v>16502</v>
      </c>
      <c r="X3422">
        <v>30</v>
      </c>
      <c r="Y3422" t="s">
        <v>22910</v>
      </c>
      <c r="Z3422" t="s">
        <v>29390</v>
      </c>
      <c r="AA3422">
        <v>0.38754213543041632</v>
      </c>
      <c r="AB3422" t="str">
        <f>HYPERLINK("Melting_Curves/meltCurve_Q13576_IQGAP2.pdf", "Melting_Curves/meltCurve_Q13576_IQGAP2.pdf")</f>
        <v>Melting_Curves/meltCurve_Q13576_IQGAP2.pdf</v>
      </c>
    </row>
    <row r="3423" spans="1:28" x14ac:dyDescent="0.25">
      <c r="A3423" t="s">
        <v>3427</v>
      </c>
      <c r="B3423">
        <v>0.99472303558308395</v>
      </c>
      <c r="C3423">
        <v>1.06322224040032</v>
      </c>
      <c r="D3423">
        <v>0.93231102445918101</v>
      </c>
      <c r="E3423">
        <v>0.79063740084518197</v>
      </c>
      <c r="F3423">
        <v>0.42265265172980798</v>
      </c>
      <c r="G3423">
        <v>0.146170402538053</v>
      </c>
      <c r="H3423">
        <v>8.3903769918456397E-2</v>
      </c>
      <c r="I3423">
        <v>5.5094524103753699E-2</v>
      </c>
      <c r="J3423">
        <v>6.6889210898979895E-2</v>
      </c>
      <c r="K3423">
        <v>4.5524620829302101E-2</v>
      </c>
      <c r="L3423">
        <v>1130.3796356581199</v>
      </c>
      <c r="M3423">
        <v>22.994365545390401</v>
      </c>
      <c r="N3423">
        <v>49.374437196646603</v>
      </c>
      <c r="O3423">
        <v>48.791710738089797</v>
      </c>
      <c r="P3423">
        <v>-0.11219703041058</v>
      </c>
      <c r="Q3423">
        <v>4.7734981111772698E-2</v>
      </c>
      <c r="R3423">
        <v>0.99627535028269598</v>
      </c>
      <c r="S3423" t="s">
        <v>9991</v>
      </c>
      <c r="T3423" t="s">
        <v>13134</v>
      </c>
      <c r="U3423" t="s">
        <v>13134</v>
      </c>
      <c r="V3423" t="s">
        <v>13134</v>
      </c>
      <c r="W3423" t="s">
        <v>16503</v>
      </c>
      <c r="X3423">
        <v>18</v>
      </c>
      <c r="Y3423" t="s">
        <v>22911</v>
      </c>
      <c r="Z3423" t="s">
        <v>29391</v>
      </c>
      <c r="AA3423">
        <v>0.44336945632112179</v>
      </c>
      <c r="AB3423" t="str">
        <f>HYPERLINK("Melting_Curves/meltCurve_Q13586_STIM1.pdf", "Melting_Curves/meltCurve_Q13586_STIM1.pdf")</f>
        <v>Melting_Curves/meltCurve_Q13586_STIM1.pdf</v>
      </c>
    </row>
    <row r="3424" spans="1:28" x14ac:dyDescent="0.25">
      <c r="A3424" t="s">
        <v>3428</v>
      </c>
      <c r="B3424">
        <v>0.99472303558308395</v>
      </c>
      <c r="C3424">
        <v>0.98204703459850595</v>
      </c>
      <c r="D3424">
        <v>0.97803216588983499</v>
      </c>
      <c r="E3424">
        <v>0.70831634511929897</v>
      </c>
      <c r="F3424">
        <v>0.215905550266973</v>
      </c>
      <c r="G3424">
        <v>0.101038859758686</v>
      </c>
      <c r="H3424">
        <v>5.8266685738546799E-2</v>
      </c>
      <c r="I3424">
        <v>4.5991633547865098E-2</v>
      </c>
      <c r="J3424">
        <v>4.9582101607755898E-2</v>
      </c>
      <c r="K3424">
        <v>5.2398119255514498E-2</v>
      </c>
      <c r="L3424">
        <v>1516.1065822718599</v>
      </c>
      <c r="M3424">
        <v>31.732433301441699</v>
      </c>
      <c r="N3424">
        <v>47.950335156055999</v>
      </c>
      <c r="O3424">
        <v>47.589282392088997</v>
      </c>
      <c r="P3424">
        <v>-0.157708671161886</v>
      </c>
      <c r="Q3424">
        <v>5.3939228240319603E-2</v>
      </c>
      <c r="R3424">
        <v>0.99948559978081597</v>
      </c>
      <c r="S3424" t="s">
        <v>9992</v>
      </c>
      <c r="T3424" t="s">
        <v>13134</v>
      </c>
      <c r="U3424" t="s">
        <v>13134</v>
      </c>
      <c r="V3424" t="s">
        <v>13134</v>
      </c>
      <c r="W3424" t="s">
        <v>16504</v>
      </c>
      <c r="X3424">
        <v>22</v>
      </c>
      <c r="Y3424" t="s">
        <v>22912</v>
      </c>
      <c r="Z3424" t="s">
        <v>29392</v>
      </c>
      <c r="AA3424">
        <v>0.39880531220807652</v>
      </c>
      <c r="AB3424" t="str">
        <f>HYPERLINK("Melting_Curves/meltCurve_Q13596_SNX1.pdf", "Melting_Curves/meltCurve_Q13596_SNX1.pdf")</f>
        <v>Melting_Curves/meltCurve_Q13596_SNX1.pdf</v>
      </c>
    </row>
    <row r="3425" spans="1:28" x14ac:dyDescent="0.25">
      <c r="A3425" t="s">
        <v>3429</v>
      </c>
      <c r="B3425">
        <v>0.99472303558308395</v>
      </c>
      <c r="C3425">
        <v>0.96055167716865497</v>
      </c>
      <c r="D3425">
        <v>0.68551724361851396</v>
      </c>
      <c r="E3425">
        <v>0.602534073950306</v>
      </c>
      <c r="F3425">
        <v>0.62189602757033202</v>
      </c>
      <c r="G3425">
        <v>0.24853745703576699</v>
      </c>
      <c r="H3425">
        <v>0.11082184847818501</v>
      </c>
      <c r="I3425">
        <v>7.6275404244826303E-2</v>
      </c>
      <c r="J3425">
        <v>0.13289767923359799</v>
      </c>
      <c r="K3425">
        <v>8.9497069267134202E-2</v>
      </c>
      <c r="L3425">
        <v>487.75872463549899</v>
      </c>
      <c r="M3425">
        <v>9.9294334881642392</v>
      </c>
      <c r="N3425">
        <v>49.122502224604197</v>
      </c>
      <c r="O3425">
        <v>47.2546525329914</v>
      </c>
      <c r="P3425">
        <v>-5.2557767235744603E-2</v>
      </c>
      <c r="Q3425">
        <v>0</v>
      </c>
      <c r="R3425">
        <v>0.94688756606521396</v>
      </c>
      <c r="S3425" t="s">
        <v>9993</v>
      </c>
      <c r="T3425" t="s">
        <v>13134</v>
      </c>
      <c r="U3425" t="s">
        <v>13134</v>
      </c>
      <c r="V3425" t="s">
        <v>13134</v>
      </c>
      <c r="W3425" t="s">
        <v>16505</v>
      </c>
      <c r="X3425">
        <v>8</v>
      </c>
      <c r="Y3425" t="s">
        <v>22913</v>
      </c>
      <c r="Z3425" t="s">
        <v>29393</v>
      </c>
      <c r="AA3425">
        <v>0.44111824113923409</v>
      </c>
      <c r="AB3425" t="str">
        <f>HYPERLINK("Melting_Curves/meltCurve_Q13608_PEX6.pdf", "Melting_Curves/meltCurve_Q13608_PEX6.pdf")</f>
        <v>Melting_Curves/meltCurve_Q13608_PEX6.pdf</v>
      </c>
    </row>
    <row r="3426" spans="1:28" x14ac:dyDescent="0.25">
      <c r="A3426" t="s">
        <v>3430</v>
      </c>
      <c r="B3426">
        <v>0.99472303558308395</v>
      </c>
      <c r="C3426">
        <v>0.93897179438214196</v>
      </c>
      <c r="D3426">
        <v>0.95081836820217902</v>
      </c>
      <c r="E3426">
        <v>0.84315118292716695</v>
      </c>
      <c r="F3426">
        <v>0.63200666807038097</v>
      </c>
      <c r="G3426">
        <v>0.299435471695157</v>
      </c>
      <c r="H3426">
        <v>0.154607686047147</v>
      </c>
      <c r="I3426">
        <v>9.8500213038787796E-2</v>
      </c>
      <c r="J3426">
        <v>8.8780246115977998E-2</v>
      </c>
      <c r="K3426">
        <v>6.5083037335887606E-2</v>
      </c>
      <c r="L3426">
        <v>931.93543000214095</v>
      </c>
      <c r="M3426">
        <v>18.253020596431998</v>
      </c>
      <c r="N3426">
        <v>51.370405440015602</v>
      </c>
      <c r="O3426">
        <v>50.455508738505202</v>
      </c>
      <c r="P3426">
        <v>-8.5672644760931796E-2</v>
      </c>
      <c r="Q3426">
        <v>5.2769150997580803E-2</v>
      </c>
      <c r="R3426">
        <v>0.99623470718736395</v>
      </c>
      <c r="S3426" t="s">
        <v>9994</v>
      </c>
      <c r="T3426" t="s">
        <v>13134</v>
      </c>
      <c r="U3426" t="s">
        <v>13134</v>
      </c>
      <c r="V3426" t="s">
        <v>13134</v>
      </c>
      <c r="W3426" t="s">
        <v>16506</v>
      </c>
      <c r="X3426">
        <v>14</v>
      </c>
      <c r="Y3426" t="s">
        <v>22914</v>
      </c>
      <c r="Z3426" t="s">
        <v>29394</v>
      </c>
      <c r="AA3426">
        <v>0.51095440026967764</v>
      </c>
      <c r="AB3426" t="str">
        <f>HYPERLINK("Melting_Curves/meltCurve_Q13614_MTMR2.pdf", "Melting_Curves/meltCurve_Q13614_MTMR2.pdf")</f>
        <v>Melting_Curves/meltCurve_Q13614_MTMR2.pdf</v>
      </c>
    </row>
    <row r="3427" spans="1:28" x14ac:dyDescent="0.25">
      <c r="A3427" t="s">
        <v>3431</v>
      </c>
      <c r="B3427">
        <v>0.99472303558308395</v>
      </c>
      <c r="C3427">
        <v>0.94975896171326701</v>
      </c>
      <c r="D3427">
        <v>0.85921873187215303</v>
      </c>
      <c r="E3427">
        <v>0.77148929586912796</v>
      </c>
      <c r="F3427">
        <v>0.68878532030485096</v>
      </c>
      <c r="G3427">
        <v>0.43399368470492899</v>
      </c>
      <c r="H3427">
        <v>0.302503966590013</v>
      </c>
      <c r="I3427">
        <v>0.14604831720029701</v>
      </c>
      <c r="J3427">
        <v>7.3611873648922702E-2</v>
      </c>
      <c r="K3427">
        <v>9.3014297807733806E-2</v>
      </c>
      <c r="L3427">
        <v>577.74519993851698</v>
      </c>
      <c r="M3427">
        <v>10.9997015675425</v>
      </c>
      <c r="N3427">
        <v>52.523715882506501</v>
      </c>
      <c r="O3427">
        <v>50.877286126563597</v>
      </c>
      <c r="P3427">
        <v>-5.40683943360293E-2</v>
      </c>
      <c r="Q3427">
        <v>0</v>
      </c>
      <c r="R3427">
        <v>0.98921791342880006</v>
      </c>
      <c r="S3427" t="s">
        <v>9995</v>
      </c>
      <c r="T3427" t="s">
        <v>13134</v>
      </c>
      <c r="U3427" t="s">
        <v>13134</v>
      </c>
      <c r="V3427" t="s">
        <v>13134</v>
      </c>
      <c r="W3427" t="s">
        <v>16507</v>
      </c>
      <c r="X3427">
        <v>37</v>
      </c>
      <c r="Y3427" t="s">
        <v>22915</v>
      </c>
      <c r="Z3427" t="s">
        <v>29395</v>
      </c>
      <c r="AA3427">
        <v>0.54101643812503242</v>
      </c>
      <c r="AB3427" t="str">
        <f>HYPERLINK("Melting_Curves/meltCurve_Q13616_CUL1.pdf", "Melting_Curves/meltCurve_Q13616_CUL1.pdf")</f>
        <v>Melting_Curves/meltCurve_Q13616_CUL1.pdf</v>
      </c>
    </row>
    <row r="3428" spans="1:28" x14ac:dyDescent="0.25">
      <c r="A3428" t="s">
        <v>3432</v>
      </c>
      <c r="B3428">
        <v>0.99472303558308395</v>
      </c>
      <c r="C3428">
        <v>1.01506095716107</v>
      </c>
      <c r="D3428">
        <v>0.956998192728021</v>
      </c>
      <c r="E3428">
        <v>0.89956640971760404</v>
      </c>
      <c r="F3428">
        <v>0.72673705948769396</v>
      </c>
      <c r="G3428">
        <v>0.36862534720253198</v>
      </c>
      <c r="H3428">
        <v>8.2416165547384304E-2</v>
      </c>
      <c r="I3428">
        <v>4.3383291842602201E-2</v>
      </c>
      <c r="J3428">
        <v>4.0552746470036198E-2</v>
      </c>
      <c r="K3428">
        <v>3.75474246802057E-2</v>
      </c>
      <c r="L3428">
        <v>1178.1041424540899</v>
      </c>
      <c r="M3428">
        <v>22.563552068699298</v>
      </c>
      <c r="N3428">
        <v>52.2725527399949</v>
      </c>
      <c r="O3428">
        <v>51.8077683942169</v>
      </c>
      <c r="P3428">
        <v>-0.107494470123046</v>
      </c>
      <c r="Q3428">
        <v>1.2755285491593301E-2</v>
      </c>
      <c r="R3428">
        <v>0.99652333134348803</v>
      </c>
      <c r="S3428" t="s">
        <v>9996</v>
      </c>
      <c r="T3428" t="s">
        <v>13134</v>
      </c>
      <c r="U3428" t="s">
        <v>13134</v>
      </c>
      <c r="V3428" t="s">
        <v>13134</v>
      </c>
      <c r="W3428" t="s">
        <v>16508</v>
      </c>
      <c r="X3428">
        <v>37</v>
      </c>
      <c r="Y3428" t="s">
        <v>22916</v>
      </c>
      <c r="Z3428" t="s">
        <v>29396</v>
      </c>
      <c r="AA3428">
        <v>0.5238270604706825</v>
      </c>
      <c r="AB3428" t="str">
        <f>HYPERLINK("Melting_Curves/meltCurve_Q13617_CUL2.pdf", "Melting_Curves/meltCurve_Q13617_CUL2.pdf")</f>
        <v>Melting_Curves/meltCurve_Q13617_CUL2.pdf</v>
      </c>
    </row>
    <row r="3429" spans="1:28" x14ac:dyDescent="0.25">
      <c r="A3429" t="s">
        <v>3433</v>
      </c>
      <c r="B3429">
        <v>0.99472303558308395</v>
      </c>
      <c r="C3429">
        <v>1.02823632849477</v>
      </c>
      <c r="D3429">
        <v>0.88614247031888405</v>
      </c>
      <c r="E3429">
        <v>0.84755988757382195</v>
      </c>
      <c r="F3429">
        <v>0.81050110278014398</v>
      </c>
      <c r="G3429">
        <v>0.43900825012130501</v>
      </c>
      <c r="H3429">
        <v>9.3883556040682006E-2</v>
      </c>
      <c r="I3429">
        <v>5.9229516694772097E-2</v>
      </c>
      <c r="J3429">
        <v>6.6348633043875394E-2</v>
      </c>
      <c r="K3429">
        <v>5.1306218272394302E-2</v>
      </c>
      <c r="L3429">
        <v>1228.19597728345</v>
      </c>
      <c r="M3429">
        <v>23.247768269870502</v>
      </c>
      <c r="N3429">
        <v>52.948378028971902</v>
      </c>
      <c r="O3429">
        <v>52.444456469757</v>
      </c>
      <c r="P3429">
        <v>-0.108032694625754</v>
      </c>
      <c r="Q3429">
        <v>2.5177134196196198E-2</v>
      </c>
      <c r="R3429">
        <v>0.98046124185375305</v>
      </c>
      <c r="S3429" t="s">
        <v>9997</v>
      </c>
      <c r="T3429" t="s">
        <v>13134</v>
      </c>
      <c r="U3429" t="s">
        <v>13134</v>
      </c>
      <c r="V3429" t="s">
        <v>13134</v>
      </c>
      <c r="W3429" t="s">
        <v>16509</v>
      </c>
      <c r="X3429">
        <v>36</v>
      </c>
      <c r="Y3429" t="s">
        <v>22917</v>
      </c>
      <c r="Z3429" t="s">
        <v>29397</v>
      </c>
      <c r="AA3429">
        <v>0.54933569874568555</v>
      </c>
      <c r="AB3429" t="str">
        <f>HYPERLINK("Melting_Curves/meltCurve_Q13618_CUL3.pdf", "Melting_Curves/meltCurve_Q13618_CUL3.pdf")</f>
        <v>Melting_Curves/meltCurve_Q13618_CUL3.pdf</v>
      </c>
    </row>
    <row r="3430" spans="1:28" x14ac:dyDescent="0.25">
      <c r="A3430" t="s">
        <v>3434</v>
      </c>
      <c r="B3430">
        <v>0.99472303558308395</v>
      </c>
      <c r="C3430">
        <v>0.92675942491648999</v>
      </c>
      <c r="D3430">
        <v>0.76630824898433303</v>
      </c>
      <c r="E3430">
        <v>0.69430182441684896</v>
      </c>
      <c r="F3430">
        <v>0.46285813204467202</v>
      </c>
      <c r="G3430">
        <v>0.15571525899115099</v>
      </c>
      <c r="H3430">
        <v>0.112645850872473</v>
      </c>
      <c r="I3430">
        <v>7.5485816039671E-2</v>
      </c>
      <c r="J3430">
        <v>9.8808241940097893E-2</v>
      </c>
      <c r="K3430">
        <v>6.7922179661371901E-2</v>
      </c>
      <c r="L3430">
        <v>629.66196389934305</v>
      </c>
      <c r="M3430">
        <v>12.9765215909246</v>
      </c>
      <c r="N3430">
        <v>48.692642995754603</v>
      </c>
      <c r="O3430">
        <v>47.414175848094303</v>
      </c>
      <c r="P3430">
        <v>-6.6922280172061505E-2</v>
      </c>
      <c r="Q3430">
        <v>2.20797725793591E-2</v>
      </c>
      <c r="R3430">
        <v>0.98318400232855296</v>
      </c>
      <c r="S3430" t="s">
        <v>9998</v>
      </c>
      <c r="T3430" t="s">
        <v>13134</v>
      </c>
      <c r="U3430" t="s">
        <v>13134</v>
      </c>
      <c r="V3430" t="s">
        <v>13134</v>
      </c>
      <c r="W3430" t="s">
        <v>16510</v>
      </c>
      <c r="X3430">
        <v>22</v>
      </c>
      <c r="Y3430" t="s">
        <v>22918</v>
      </c>
      <c r="Z3430" t="s">
        <v>29398</v>
      </c>
      <c r="AA3430">
        <v>0.42435426596944142</v>
      </c>
      <c r="AB3430" t="str">
        <f>HYPERLINK("Melting_Curves/meltCurve_Q13619_CUL4A.pdf", "Melting_Curves/meltCurve_Q13619_CUL4A.pdf")</f>
        <v>Melting_Curves/meltCurve_Q13619_CUL4A.pdf</v>
      </c>
    </row>
    <row r="3431" spans="1:28" x14ac:dyDescent="0.25">
      <c r="A3431" t="s">
        <v>3435</v>
      </c>
      <c r="B3431">
        <v>0.99472303558308395</v>
      </c>
      <c r="C3431">
        <v>0.94111222198712396</v>
      </c>
      <c r="D3431">
        <v>0.85990582014539596</v>
      </c>
      <c r="E3431">
        <v>0.80313936323477597</v>
      </c>
      <c r="F3431">
        <v>0.77075269004553704</v>
      </c>
      <c r="G3431">
        <v>0.42329300907263301</v>
      </c>
      <c r="H3431">
        <v>0.121256699873093</v>
      </c>
      <c r="I3431">
        <v>7.0943714796295104E-2</v>
      </c>
      <c r="J3431">
        <v>7.3740362889729405E-2</v>
      </c>
      <c r="K3431">
        <v>6.2980011963228305E-2</v>
      </c>
      <c r="L3431">
        <v>847.80356585204095</v>
      </c>
      <c r="M3431">
        <v>16.144493755974999</v>
      </c>
      <c r="N3431">
        <v>52.513481175153601</v>
      </c>
      <c r="O3431">
        <v>51.727603867834503</v>
      </c>
      <c r="P3431">
        <v>-7.8032399113029796E-2</v>
      </c>
      <c r="Q3431">
        <v>0</v>
      </c>
      <c r="R3431">
        <v>0.97214659280263604</v>
      </c>
      <c r="S3431" t="s">
        <v>9999</v>
      </c>
      <c r="T3431" t="s">
        <v>13134</v>
      </c>
      <c r="U3431" t="s">
        <v>13134</v>
      </c>
      <c r="V3431" t="s">
        <v>13134</v>
      </c>
      <c r="W3431" t="s">
        <v>16511</v>
      </c>
      <c r="X3431">
        <v>32</v>
      </c>
      <c r="Y3431" t="s">
        <v>22919</v>
      </c>
      <c r="Z3431" t="s">
        <v>29399</v>
      </c>
      <c r="AA3431">
        <v>0.53416626393269984</v>
      </c>
      <c r="AB3431" t="str">
        <f>HYPERLINK("Melting_Curves/meltCurve_Q13620_1_CUL4B.pdf", "Melting_Curves/meltCurve_Q13620_1_CUL4B.pdf")</f>
        <v>Melting_Curves/meltCurve_Q13620_1_CUL4B.pdf</v>
      </c>
    </row>
    <row r="3432" spans="1:28" x14ac:dyDescent="0.25">
      <c r="A3432" t="s">
        <v>3436</v>
      </c>
      <c r="B3432">
        <v>0.99472303558308395</v>
      </c>
      <c r="C3432">
        <v>0.96223832540534704</v>
      </c>
      <c r="D3432">
        <v>0.78942411495283904</v>
      </c>
      <c r="E3432">
        <v>0.52733350598648199</v>
      </c>
      <c r="F3432">
        <v>0.193597634216576</v>
      </c>
      <c r="G3432">
        <v>0.103794486834034</v>
      </c>
      <c r="H3432">
        <v>7.2458120368578099E-2</v>
      </c>
      <c r="I3432">
        <v>4.7481579425938697E-2</v>
      </c>
      <c r="J3432">
        <v>5.70364912424451E-2</v>
      </c>
      <c r="K3432">
        <v>5.2906163868646598E-2</v>
      </c>
      <c r="L3432">
        <v>875.41719984173096</v>
      </c>
      <c r="M3432">
        <v>18.908051700695999</v>
      </c>
      <c r="N3432">
        <v>46.5230453022481</v>
      </c>
      <c r="O3432">
        <v>45.790096944081</v>
      </c>
      <c r="P3432">
        <v>-9.8737070460864801E-2</v>
      </c>
      <c r="Q3432">
        <v>4.3582828354252201E-2</v>
      </c>
      <c r="R3432">
        <v>0.99782956106407705</v>
      </c>
      <c r="S3432" t="s">
        <v>10000</v>
      </c>
      <c r="T3432" t="s">
        <v>13134</v>
      </c>
      <c r="U3432" t="s">
        <v>13134</v>
      </c>
      <c r="V3432" t="s">
        <v>13134</v>
      </c>
      <c r="W3432" t="s">
        <v>16512</v>
      </c>
      <c r="X3432">
        <v>13</v>
      </c>
      <c r="Y3432" t="s">
        <v>22920</v>
      </c>
      <c r="Z3432" t="s">
        <v>29400</v>
      </c>
      <c r="AA3432">
        <v>0.35401665240107261</v>
      </c>
      <c r="AB3432" t="str">
        <f>HYPERLINK("Melting_Curves/meltCurve_Q13625_2_TP53BP2.pdf", "Melting_Curves/meltCurve_Q13625_2_TP53BP2.pdf")</f>
        <v>Melting_Curves/meltCurve_Q13625_2_TP53BP2.pdf</v>
      </c>
    </row>
    <row r="3433" spans="1:28" x14ac:dyDescent="0.25">
      <c r="A3433" t="s">
        <v>3437</v>
      </c>
      <c r="B3433">
        <v>0.99472303558308395</v>
      </c>
      <c r="C3433">
        <v>0.75476120745409703</v>
      </c>
      <c r="D3433">
        <v>0.84861346671987803</v>
      </c>
      <c r="E3433">
        <v>0.67857987895502703</v>
      </c>
      <c r="F3433">
        <v>0.52556769055252905</v>
      </c>
      <c r="G3433">
        <v>0.220534966954131</v>
      </c>
      <c r="H3433">
        <v>7.6741116049173302E-2</v>
      </c>
      <c r="I3433">
        <v>4.0040519620426901E-2</v>
      </c>
      <c r="J3433">
        <v>4.8475371340550702E-2</v>
      </c>
      <c r="K3433">
        <v>5.55041943414517E-2</v>
      </c>
      <c r="L3433">
        <v>594.09134886545598</v>
      </c>
      <c r="M3433">
        <v>12.1098040529444</v>
      </c>
      <c r="N3433">
        <v>49.0587069584587</v>
      </c>
      <c r="O3433">
        <v>47.778382976281499</v>
      </c>
      <c r="P3433">
        <v>-6.3379196504723401E-2</v>
      </c>
      <c r="Q3433">
        <v>0</v>
      </c>
      <c r="R3433">
        <v>0.95841995360854304</v>
      </c>
      <c r="S3433" t="s">
        <v>10001</v>
      </c>
      <c r="T3433" t="s">
        <v>13134</v>
      </c>
      <c r="U3433" t="s">
        <v>13134</v>
      </c>
      <c r="V3433" t="s">
        <v>13134</v>
      </c>
      <c r="W3433" t="s">
        <v>16513</v>
      </c>
      <c r="X3433">
        <v>11</v>
      </c>
      <c r="Y3433" t="s">
        <v>22921</v>
      </c>
      <c r="Z3433" t="s">
        <v>29401</v>
      </c>
      <c r="AA3433">
        <v>0.43122576761259968</v>
      </c>
      <c r="AB3433" t="str">
        <f>HYPERLINK("Melting_Curves/meltCurve_Q13627_2_DYRK1A.pdf", "Melting_Curves/meltCurve_Q13627_2_DYRK1A.pdf")</f>
        <v>Melting_Curves/meltCurve_Q13627_2_DYRK1A.pdf</v>
      </c>
    </row>
    <row r="3434" spans="1:28" x14ac:dyDescent="0.25">
      <c r="A3434" t="s">
        <v>3438</v>
      </c>
      <c r="B3434">
        <v>0.99472303558308395</v>
      </c>
      <c r="C3434">
        <v>0.98314585100699603</v>
      </c>
      <c r="D3434">
        <v>0.96194696474353503</v>
      </c>
      <c r="E3434">
        <v>0.936941177856914</v>
      </c>
      <c r="F3434">
        <v>0.76793519001613197</v>
      </c>
      <c r="G3434">
        <v>0.69377736311883698</v>
      </c>
      <c r="H3434">
        <v>0.55053109671762002</v>
      </c>
      <c r="I3434">
        <v>0.29964671149965899</v>
      </c>
      <c r="J3434">
        <v>6.4944691227657197E-2</v>
      </c>
      <c r="K3434">
        <v>0.10895649463840699</v>
      </c>
      <c r="L3434">
        <v>763.68662639876402</v>
      </c>
      <c r="M3434">
        <v>13.4505036975763</v>
      </c>
      <c r="N3434">
        <v>56.777548784989797</v>
      </c>
      <c r="O3434">
        <v>55.566572755682799</v>
      </c>
      <c r="P3434">
        <v>-6.0524605488732897E-2</v>
      </c>
      <c r="Q3434">
        <v>0</v>
      </c>
      <c r="R3434">
        <v>0.97566427147624701</v>
      </c>
      <c r="S3434" t="s">
        <v>10002</v>
      </c>
      <c r="T3434" t="s">
        <v>13134</v>
      </c>
      <c r="U3434" t="s">
        <v>13134</v>
      </c>
      <c r="V3434" t="s">
        <v>13134</v>
      </c>
      <c r="W3434" t="s">
        <v>16514</v>
      </c>
      <c r="X3434">
        <v>15</v>
      </c>
      <c r="Y3434" t="s">
        <v>22922</v>
      </c>
      <c r="Z3434" t="s">
        <v>29402</v>
      </c>
      <c r="AA3434">
        <v>0.6671038272196429</v>
      </c>
      <c r="AB3434" t="str">
        <f>HYPERLINK("Melting_Curves/meltCurve_Q13630_TSTA3.pdf", "Melting_Curves/meltCurve_Q13630_TSTA3.pdf")</f>
        <v>Melting_Curves/meltCurve_Q13630_TSTA3.pdf</v>
      </c>
    </row>
    <row r="3435" spans="1:28" x14ac:dyDescent="0.25">
      <c r="A3435" t="s">
        <v>3439</v>
      </c>
      <c r="B3435">
        <v>0.99472303558308395</v>
      </c>
      <c r="C3435">
        <v>0.98843772501349103</v>
      </c>
      <c r="D3435">
        <v>0.95519530483060799</v>
      </c>
      <c r="E3435">
        <v>0.91906388143278095</v>
      </c>
      <c r="F3435">
        <v>0.67473148608788203</v>
      </c>
      <c r="G3435">
        <v>0.501047564801538</v>
      </c>
      <c r="H3435">
        <v>0.28119150927582498</v>
      </c>
      <c r="I3435">
        <v>0.156788467614703</v>
      </c>
      <c r="J3435">
        <v>0.1266628247081</v>
      </c>
      <c r="K3435">
        <v>0.11568269272476001</v>
      </c>
      <c r="L3435">
        <v>790.92434760000697</v>
      </c>
      <c r="M3435">
        <v>14.958854342497601</v>
      </c>
      <c r="N3435">
        <v>53.364842655617998</v>
      </c>
      <c r="O3435">
        <v>51.9554023719217</v>
      </c>
      <c r="P3435">
        <v>-6.7353964670529398E-2</v>
      </c>
      <c r="Q3435">
        <v>6.4354825736627805E-2</v>
      </c>
      <c r="R3435">
        <v>0.99713042559582599</v>
      </c>
      <c r="S3435" t="s">
        <v>10003</v>
      </c>
      <c r="T3435" t="s">
        <v>13134</v>
      </c>
      <c r="U3435" t="s">
        <v>13134</v>
      </c>
      <c r="V3435" t="s">
        <v>13134</v>
      </c>
      <c r="W3435" t="s">
        <v>16515</v>
      </c>
      <c r="X3435">
        <v>10</v>
      </c>
      <c r="Y3435" t="s">
        <v>22923</v>
      </c>
      <c r="Z3435" t="s">
        <v>29403</v>
      </c>
      <c r="AA3435">
        <v>0.57632992127068927</v>
      </c>
      <c r="AB3435" t="str">
        <f>HYPERLINK("Melting_Curves/meltCurve_Q13636_RAB31.pdf", "Melting_Curves/meltCurve_Q13636_RAB31.pdf")</f>
        <v>Melting_Curves/meltCurve_Q13636_RAB31.pdf</v>
      </c>
    </row>
    <row r="3436" spans="1:28" x14ac:dyDescent="0.25">
      <c r="A3436" t="s">
        <v>3440</v>
      </c>
      <c r="B3436">
        <v>0.99472303558308395</v>
      </c>
      <c r="C3436">
        <v>0.98468870035871103</v>
      </c>
      <c r="D3436">
        <v>0.90867633005963699</v>
      </c>
      <c r="E3436">
        <v>0.85118379830691304</v>
      </c>
      <c r="F3436">
        <v>0.69229328140503799</v>
      </c>
      <c r="G3436">
        <v>0.41808669121067099</v>
      </c>
      <c r="H3436">
        <v>0.22477204917629201</v>
      </c>
      <c r="I3436">
        <v>0.19812480791824799</v>
      </c>
      <c r="J3436">
        <v>5.2896473957402899E-2</v>
      </c>
      <c r="K3436">
        <v>3.55826710916929E-2</v>
      </c>
      <c r="L3436">
        <v>706.68292392330295</v>
      </c>
      <c r="M3436">
        <v>13.407504681729</v>
      </c>
      <c r="N3436">
        <v>52.708012455854401</v>
      </c>
      <c r="O3436">
        <v>51.576906611652603</v>
      </c>
      <c r="P3436">
        <v>-6.4998131828705799E-2</v>
      </c>
      <c r="Q3436">
        <v>0</v>
      </c>
      <c r="R3436">
        <v>0.99372065033744295</v>
      </c>
      <c r="S3436" t="s">
        <v>10004</v>
      </c>
      <c r="T3436" t="s">
        <v>13134</v>
      </c>
      <c r="U3436" t="s">
        <v>13134</v>
      </c>
      <c r="V3436" t="s">
        <v>13134</v>
      </c>
      <c r="W3436" t="s">
        <v>16516</v>
      </c>
      <c r="X3436">
        <v>4</v>
      </c>
      <c r="Y3436" t="s">
        <v>22924</v>
      </c>
      <c r="Z3436" t="s">
        <v>29404</v>
      </c>
      <c r="AA3436">
        <v>0.54384355074549451</v>
      </c>
      <c r="AB3436" t="str">
        <f>HYPERLINK("Melting_Curves/meltCurve_Q13637_RAB32.pdf", "Melting_Curves/meltCurve_Q13637_RAB32.pdf")</f>
        <v>Melting_Curves/meltCurve_Q13637_RAB32.pdf</v>
      </c>
    </row>
    <row r="3437" spans="1:28" x14ac:dyDescent="0.25">
      <c r="A3437" t="s">
        <v>3441</v>
      </c>
      <c r="B3437">
        <v>0.99472303558308395</v>
      </c>
      <c r="C3437">
        <v>0.88331112398926104</v>
      </c>
      <c r="D3437">
        <v>0.96446327428276202</v>
      </c>
      <c r="E3437">
        <v>0.76239835523607202</v>
      </c>
      <c r="F3437">
        <v>0.50869851468338201</v>
      </c>
      <c r="G3437">
        <v>0.454061664346187</v>
      </c>
      <c r="H3437">
        <v>0.40604593100195202</v>
      </c>
      <c r="I3437">
        <v>0.39257918420250099</v>
      </c>
      <c r="J3437">
        <v>0.50399720483048105</v>
      </c>
      <c r="K3437">
        <v>0.31451468141778</v>
      </c>
      <c r="L3437">
        <v>1073.1544200419701</v>
      </c>
      <c r="M3437">
        <v>22.677928660781401</v>
      </c>
      <c r="N3437">
        <v>50.959855498348901</v>
      </c>
      <c r="O3437">
        <v>46.958184312996401</v>
      </c>
      <c r="P3437">
        <v>-7.2326056225448604E-2</v>
      </c>
      <c r="Q3437">
        <v>0.40096241083116901</v>
      </c>
      <c r="R3437">
        <v>0.94778952950463102</v>
      </c>
      <c r="S3437" t="s">
        <v>10005</v>
      </c>
      <c r="T3437" t="s">
        <v>13134</v>
      </c>
      <c r="U3437" t="s">
        <v>13134</v>
      </c>
      <c r="V3437" t="s">
        <v>13134</v>
      </c>
      <c r="W3437" t="s">
        <v>16517</v>
      </c>
      <c r="X3437">
        <v>15</v>
      </c>
      <c r="Y3437" t="s">
        <v>22925</v>
      </c>
      <c r="Z3437" t="s">
        <v>29405</v>
      </c>
      <c r="AA3437">
        <v>0.61319916141502329</v>
      </c>
      <c r="AB3437" t="str">
        <f>HYPERLINK("Melting_Curves/meltCurve_Q13643_FHL3.pdf", "Melting_Curves/meltCurve_Q13643_FHL3.pdf")</f>
        <v>Melting_Curves/meltCurve_Q13643_FHL3.pdf</v>
      </c>
    </row>
    <row r="3438" spans="1:28" x14ac:dyDescent="0.25">
      <c r="A3438" t="s">
        <v>3442</v>
      </c>
      <c r="B3438">
        <v>0.99472303558308395</v>
      </c>
      <c r="C3438">
        <v>0.92235111492177402</v>
      </c>
      <c r="D3438">
        <v>0.66361649891375796</v>
      </c>
      <c r="E3438">
        <v>0.33259431371645898</v>
      </c>
      <c r="F3438">
        <v>0.244780819283613</v>
      </c>
      <c r="G3438">
        <v>0.16172060253036299</v>
      </c>
      <c r="H3438">
        <v>6.4505346534971503E-2</v>
      </c>
      <c r="I3438">
        <v>6.4196229779403494E-2</v>
      </c>
      <c r="J3438">
        <v>9.5313906885706901E-2</v>
      </c>
      <c r="K3438">
        <v>0.11177183202178299</v>
      </c>
      <c r="L3438">
        <v>802.68004884191896</v>
      </c>
      <c r="M3438">
        <v>18.082057685586602</v>
      </c>
      <c r="N3438">
        <v>44.894912960492299</v>
      </c>
      <c r="O3438">
        <v>43.858713821929904</v>
      </c>
      <c r="P3438">
        <v>-9.3607746329765498E-2</v>
      </c>
      <c r="Q3438">
        <v>9.18475164797561E-2</v>
      </c>
      <c r="R3438">
        <v>0.99205889265284597</v>
      </c>
      <c r="S3438" t="s">
        <v>10006</v>
      </c>
      <c r="T3438" t="s">
        <v>13134</v>
      </c>
      <c r="U3438" t="s">
        <v>13134</v>
      </c>
      <c r="V3438" t="s">
        <v>13134</v>
      </c>
      <c r="W3438" t="s">
        <v>16518</v>
      </c>
      <c r="X3438">
        <v>2</v>
      </c>
      <c r="Y3438" t="s">
        <v>22926</v>
      </c>
      <c r="Z3438" t="s">
        <v>29406</v>
      </c>
      <c r="AA3438">
        <v>0.33054104672712942</v>
      </c>
      <c r="AB3438" t="str">
        <f>HYPERLINK("Melting_Curves/meltCurve_Q13670_PMS2P11.pdf", "Melting_Curves/meltCurve_Q13670_PMS2P11.pdf")</f>
        <v>Melting_Curves/meltCurve_Q13670_PMS2P11.pdf</v>
      </c>
    </row>
    <row r="3439" spans="1:28" x14ac:dyDescent="0.25">
      <c r="A3439" t="s">
        <v>3443</v>
      </c>
      <c r="B3439">
        <v>0.99472303558308395</v>
      </c>
      <c r="C3439">
        <v>0.97217913392365896</v>
      </c>
      <c r="D3439">
        <v>0.90190553090603798</v>
      </c>
      <c r="E3439">
        <v>0.60606125802979305</v>
      </c>
      <c r="F3439">
        <v>0.235846025482181</v>
      </c>
      <c r="G3439">
        <v>0.14950740414334801</v>
      </c>
      <c r="H3439">
        <v>6.90240441764364E-2</v>
      </c>
      <c r="I3439">
        <v>1.7739357257671E-2</v>
      </c>
      <c r="J3439">
        <v>2.2717880973999099E-2</v>
      </c>
      <c r="K3439">
        <v>0</v>
      </c>
      <c r="L3439">
        <v>943.58587853953804</v>
      </c>
      <c r="M3439">
        <v>19.872921047466701</v>
      </c>
      <c r="N3439">
        <v>47.574748158619002</v>
      </c>
      <c r="O3439">
        <v>47.008048561532803</v>
      </c>
      <c r="P3439">
        <v>-0.10366267024999599</v>
      </c>
      <c r="Q3439">
        <v>1.9204672272488399E-2</v>
      </c>
      <c r="R3439">
        <v>0.99740033115573001</v>
      </c>
      <c r="S3439" t="s">
        <v>10007</v>
      </c>
      <c r="T3439" t="s">
        <v>13134</v>
      </c>
      <c r="U3439" t="s">
        <v>13134</v>
      </c>
      <c r="V3439" t="s">
        <v>13134</v>
      </c>
      <c r="W3439" t="s">
        <v>16519</v>
      </c>
      <c r="X3439">
        <v>4</v>
      </c>
      <c r="Y3439" t="s">
        <v>22927</v>
      </c>
      <c r="Z3439" t="s">
        <v>29407</v>
      </c>
      <c r="AA3439">
        <v>0.37488166758644259</v>
      </c>
      <c r="AB3439" t="str">
        <f>HYPERLINK("Melting_Curves/meltCurve_Q13686_ALKBH1.pdf", "Melting_Curves/meltCurve_Q13686_ALKBH1.pdf")</f>
        <v>Melting_Curves/meltCurve_Q13686_ALKBH1.pdf</v>
      </c>
    </row>
    <row r="3440" spans="1:28" x14ac:dyDescent="0.25">
      <c r="A3440" t="s">
        <v>3444</v>
      </c>
      <c r="B3440">
        <v>0.99472303558308395</v>
      </c>
      <c r="C3440">
        <v>0.94687488656105001</v>
      </c>
      <c r="D3440">
        <v>0.91962876978629104</v>
      </c>
      <c r="E3440">
        <v>0.79007834522781795</v>
      </c>
      <c r="F3440">
        <v>0.59938554997555604</v>
      </c>
      <c r="G3440">
        <v>0.199661593160287</v>
      </c>
      <c r="H3440">
        <v>0.10529938800134001</v>
      </c>
      <c r="I3440">
        <v>7.6734950111078407E-2</v>
      </c>
      <c r="J3440">
        <v>7.6944278751696404E-2</v>
      </c>
      <c r="K3440">
        <v>7.3125948621179396E-2</v>
      </c>
      <c r="L3440">
        <v>958.95344447869502</v>
      </c>
      <c r="M3440">
        <v>19.084385830941201</v>
      </c>
      <c r="N3440">
        <v>50.498672037066697</v>
      </c>
      <c r="O3440">
        <v>49.7060895179253</v>
      </c>
      <c r="P3440">
        <v>-9.1652932716207294E-2</v>
      </c>
      <c r="Q3440">
        <v>4.5181361201060803E-2</v>
      </c>
      <c r="R3440">
        <v>0.99008323237904405</v>
      </c>
      <c r="S3440" t="s">
        <v>10008</v>
      </c>
      <c r="T3440" t="s">
        <v>13134</v>
      </c>
      <c r="U3440" t="s">
        <v>13134</v>
      </c>
      <c r="V3440" t="s">
        <v>13134</v>
      </c>
      <c r="W3440" t="s">
        <v>16520</v>
      </c>
      <c r="X3440">
        <v>16</v>
      </c>
      <c r="Y3440" t="s">
        <v>22928</v>
      </c>
      <c r="Z3440" t="s">
        <v>29408</v>
      </c>
      <c r="AA3440">
        <v>0.48044179442834323</v>
      </c>
      <c r="AB3440" t="str">
        <f>HYPERLINK("Melting_Curves/meltCurve_Q13724_MOGS.pdf", "Melting_Curves/meltCurve_Q13724_MOGS.pdf")</f>
        <v>Melting_Curves/meltCurve_Q13724_MOGS.pdf</v>
      </c>
    </row>
    <row r="3441" spans="1:28" x14ac:dyDescent="0.25">
      <c r="A3441" t="s">
        <v>3445</v>
      </c>
      <c r="B3441">
        <v>0.99472303558308395</v>
      </c>
      <c r="C3441">
        <v>0.90924759951871903</v>
      </c>
      <c r="D3441">
        <v>0.68060625728298596</v>
      </c>
      <c r="E3441">
        <v>0.72525587457166096</v>
      </c>
      <c r="F3441">
        <v>0.67957140158539298</v>
      </c>
      <c r="G3441">
        <v>0.17333585631623</v>
      </c>
      <c r="H3441">
        <v>0.13148703224827199</v>
      </c>
      <c r="I3441">
        <v>0.10298101650953</v>
      </c>
      <c r="J3441">
        <v>0.118735929344212</v>
      </c>
      <c r="K3441">
        <v>0.13380260306993</v>
      </c>
      <c r="L3441">
        <v>509.94557035822299</v>
      </c>
      <c r="M3441">
        <v>10.239343815629599</v>
      </c>
      <c r="N3441">
        <v>49.802559256806497</v>
      </c>
      <c r="O3441">
        <v>48.015111905979701</v>
      </c>
      <c r="P3441">
        <v>-5.33368176779744E-2</v>
      </c>
      <c r="Q3441">
        <v>0</v>
      </c>
      <c r="R3441">
        <v>0.91620991172761301</v>
      </c>
      <c r="S3441" t="s">
        <v>10009</v>
      </c>
      <c r="T3441" t="s">
        <v>13134</v>
      </c>
      <c r="U3441" t="s">
        <v>13134</v>
      </c>
      <c r="V3441" t="s">
        <v>13134</v>
      </c>
      <c r="W3441" t="s">
        <v>16521</v>
      </c>
      <c r="X3441">
        <v>13</v>
      </c>
      <c r="Y3441" t="s">
        <v>22929</v>
      </c>
      <c r="Z3441" t="s">
        <v>29409</v>
      </c>
      <c r="AA3441">
        <v>0.46053160204054838</v>
      </c>
      <c r="AB3441" t="str">
        <f>HYPERLINK("Melting_Curves/meltCurve_Q13769_THOC5.pdf", "Melting_Curves/meltCurve_Q13769_THOC5.pdf")</f>
        <v>Melting_Curves/meltCurve_Q13769_THOC5.pdf</v>
      </c>
    </row>
    <row r="3442" spans="1:28" x14ac:dyDescent="0.25">
      <c r="A3442" t="s">
        <v>3446</v>
      </c>
      <c r="B3442">
        <v>0.99472303558308395</v>
      </c>
      <c r="C3442">
        <v>0.83221111924594104</v>
      </c>
      <c r="D3442">
        <v>1.1161659115171001</v>
      </c>
      <c r="E3442">
        <v>0.85885955776728795</v>
      </c>
      <c r="F3442">
        <v>0.48553143236340701</v>
      </c>
      <c r="G3442">
        <v>0.335442221076244</v>
      </c>
      <c r="H3442">
        <v>0.132731508455359</v>
      </c>
      <c r="I3442">
        <v>8.0270164078236506E-2</v>
      </c>
      <c r="J3442">
        <v>8.0347798757664499E-2</v>
      </c>
      <c r="K3442">
        <v>6.6345862244227602E-2</v>
      </c>
      <c r="L3442">
        <v>1022.86778778858</v>
      </c>
      <c r="M3442">
        <v>20.319292342637201</v>
      </c>
      <c r="N3442">
        <v>50.709407302780697</v>
      </c>
      <c r="O3442">
        <v>49.859757020432902</v>
      </c>
      <c r="P3442">
        <v>-9.4871576745598707E-2</v>
      </c>
      <c r="Q3442">
        <v>6.8839640173228106E-2</v>
      </c>
      <c r="R3442">
        <v>0.96394666597683099</v>
      </c>
      <c r="S3442" t="s">
        <v>10010</v>
      </c>
      <c r="T3442" t="s">
        <v>13134</v>
      </c>
      <c r="U3442" t="s">
        <v>13134</v>
      </c>
      <c r="V3442" t="s">
        <v>13134</v>
      </c>
      <c r="W3442" t="s">
        <v>16522</v>
      </c>
      <c r="X3442">
        <v>6</v>
      </c>
      <c r="Y3442" t="s">
        <v>22930</v>
      </c>
      <c r="Z3442" t="s">
        <v>29410</v>
      </c>
      <c r="AA3442">
        <v>0.49480340450882909</v>
      </c>
      <c r="AB3442" t="str">
        <f>HYPERLINK("Melting_Curves/meltCurve_Q13795_ARFRP1.pdf", "Melting_Curves/meltCurve_Q13795_ARFRP1.pdf")</f>
        <v>Melting_Curves/meltCurve_Q13795_ARFRP1.pdf</v>
      </c>
    </row>
    <row r="3443" spans="1:28" x14ac:dyDescent="0.25">
      <c r="A3443" t="s">
        <v>3447</v>
      </c>
      <c r="B3443">
        <v>0.99472303558308395</v>
      </c>
      <c r="C3443">
        <v>0.94079438724393905</v>
      </c>
      <c r="D3443">
        <v>0.95379849844450304</v>
      </c>
      <c r="E3443">
        <v>0.93400891898766303</v>
      </c>
      <c r="F3443">
        <v>1.0671431573501999</v>
      </c>
      <c r="G3443">
        <v>0.75226118259472097</v>
      </c>
      <c r="H3443">
        <v>0.51056458206042998</v>
      </c>
      <c r="I3443">
        <v>0.370827386599416</v>
      </c>
      <c r="J3443">
        <v>0.21428892148725201</v>
      </c>
      <c r="K3443">
        <v>0.13928597411399299</v>
      </c>
      <c r="L3443">
        <v>1104.11681704747</v>
      </c>
      <c r="M3443">
        <v>19.321554842054901</v>
      </c>
      <c r="N3443">
        <v>57.939234884643199</v>
      </c>
      <c r="O3443">
        <v>56.542756751252199</v>
      </c>
      <c r="P3443">
        <v>-7.5484973697806004E-2</v>
      </c>
      <c r="Q3443">
        <v>0.11643383330833899</v>
      </c>
      <c r="R3443">
        <v>0.97244952816410901</v>
      </c>
      <c r="S3443" t="s">
        <v>10011</v>
      </c>
      <c r="T3443" t="s">
        <v>13134</v>
      </c>
      <c r="U3443" t="s">
        <v>13134</v>
      </c>
      <c r="V3443" t="s">
        <v>13134</v>
      </c>
      <c r="W3443" t="s">
        <v>16523</v>
      </c>
      <c r="X3443">
        <v>13</v>
      </c>
      <c r="Y3443" t="s">
        <v>22931</v>
      </c>
      <c r="Z3443" t="s">
        <v>29411</v>
      </c>
      <c r="AA3443">
        <v>0.71733526897613709</v>
      </c>
      <c r="AB3443" t="str">
        <f>HYPERLINK("Melting_Curves/meltCurve_Q13868_EXOSC2.pdf", "Melting_Curves/meltCurve_Q13868_EXOSC2.pdf")</f>
        <v>Melting_Curves/meltCurve_Q13868_EXOSC2.pdf</v>
      </c>
    </row>
    <row r="3444" spans="1:28" x14ac:dyDescent="0.25">
      <c r="A3444" t="s">
        <v>3448</v>
      </c>
      <c r="B3444">
        <v>0.99472303558308395</v>
      </c>
      <c r="C3444">
        <v>0.94136807992367899</v>
      </c>
      <c r="D3444">
        <v>0.91606397168043896</v>
      </c>
      <c r="E3444">
        <v>0.88257994747202195</v>
      </c>
      <c r="F3444">
        <v>0.79710597282295004</v>
      </c>
      <c r="G3444">
        <v>0.58269461895663399</v>
      </c>
      <c r="H3444">
        <v>0.38057654477674602</v>
      </c>
      <c r="I3444">
        <v>0.18355421206574801</v>
      </c>
      <c r="J3444">
        <v>6.0462333341068597E-2</v>
      </c>
      <c r="K3444">
        <v>6.8981137168172793E-2</v>
      </c>
      <c r="L3444">
        <v>771.82745573076897</v>
      </c>
      <c r="M3444">
        <v>14.0690614257548</v>
      </c>
      <c r="N3444">
        <v>54.859911035322298</v>
      </c>
      <c r="O3444">
        <v>53.787233658340703</v>
      </c>
      <c r="P3444">
        <v>-6.5400685623546603E-2</v>
      </c>
      <c r="Q3444">
        <v>0</v>
      </c>
      <c r="R3444">
        <v>0.98971954754402303</v>
      </c>
      <c r="S3444" t="s">
        <v>10012</v>
      </c>
      <c r="T3444" t="s">
        <v>13134</v>
      </c>
      <c r="U3444" t="s">
        <v>13134</v>
      </c>
      <c r="V3444" t="s">
        <v>13134</v>
      </c>
      <c r="W3444" t="s">
        <v>16524</v>
      </c>
      <c r="X3444">
        <v>34</v>
      </c>
      <c r="Y3444" t="s">
        <v>22932</v>
      </c>
      <c r="Z3444" t="s">
        <v>29412</v>
      </c>
      <c r="AA3444">
        <v>0.61008305887013292</v>
      </c>
      <c r="AB3444" t="str">
        <f>HYPERLINK("Melting_Curves/meltCurve_Q13885_TUBB2A.pdf", "Melting_Curves/meltCurve_Q13885_TUBB2A.pdf")</f>
        <v>Melting_Curves/meltCurve_Q13885_TUBB2A.pdf</v>
      </c>
    </row>
    <row r="3445" spans="1:28" x14ac:dyDescent="0.25">
      <c r="A3445" t="s">
        <v>3449</v>
      </c>
      <c r="B3445">
        <v>0.99472303558308395</v>
      </c>
      <c r="C3445">
        <v>0.99655087061081304</v>
      </c>
      <c r="D3445">
        <v>1.1453137402168401</v>
      </c>
      <c r="E3445">
        <v>0.92568016810887599</v>
      </c>
      <c r="F3445">
        <v>0.24246605658842499</v>
      </c>
      <c r="G3445">
        <v>0.14184481906052199</v>
      </c>
      <c r="H3445">
        <v>9.8908641669432001E-2</v>
      </c>
      <c r="I3445">
        <v>6.6379164120792394E-2</v>
      </c>
      <c r="J3445">
        <v>9.2569695053649995E-2</v>
      </c>
      <c r="K3445">
        <v>7.8158683647891095E-2</v>
      </c>
      <c r="L3445">
        <v>2619.5582117017302</v>
      </c>
      <c r="M3445">
        <v>53.792342852155898</v>
      </c>
      <c r="N3445">
        <v>48.886829006436301</v>
      </c>
      <c r="O3445">
        <v>48.630462483975002</v>
      </c>
      <c r="P3445">
        <v>-0.25054880212994202</v>
      </c>
      <c r="Q3445">
        <v>9.3975799327949902E-2</v>
      </c>
      <c r="R3445">
        <v>0.987722605802139</v>
      </c>
      <c r="S3445" t="s">
        <v>10013</v>
      </c>
      <c r="T3445" t="s">
        <v>13134</v>
      </c>
      <c r="U3445" t="s">
        <v>13134</v>
      </c>
      <c r="V3445" t="s">
        <v>13134</v>
      </c>
      <c r="W3445" t="s">
        <v>16525</v>
      </c>
      <c r="X3445">
        <v>20</v>
      </c>
      <c r="Y3445" t="s">
        <v>22933</v>
      </c>
      <c r="Z3445" t="s">
        <v>29413</v>
      </c>
      <c r="AA3445">
        <v>0.44893303317915628</v>
      </c>
      <c r="AB3445" t="str">
        <f>HYPERLINK("Melting_Curves/meltCurve_Q13895_BYSL.pdf", "Melting_Curves/meltCurve_Q13895_BYSL.pdf")</f>
        <v>Melting_Curves/meltCurve_Q13895_BYSL.pdf</v>
      </c>
    </row>
    <row r="3446" spans="1:28" x14ac:dyDescent="0.25">
      <c r="A3446" t="s">
        <v>3450</v>
      </c>
      <c r="B3446">
        <v>0.99472303558308395</v>
      </c>
      <c r="C3446">
        <v>1.0191570743551901</v>
      </c>
      <c r="D3446">
        <v>0.98077156637511498</v>
      </c>
      <c r="E3446">
        <v>0.89998833504562803</v>
      </c>
      <c r="F3446">
        <v>0.72712759531019899</v>
      </c>
      <c r="G3446">
        <v>0.59476279189947601</v>
      </c>
      <c r="H3446">
        <v>0.487008172062601</v>
      </c>
      <c r="I3446">
        <v>0.45196946102125701</v>
      </c>
      <c r="J3446">
        <v>0.42808076612860102</v>
      </c>
      <c r="K3446">
        <v>0.37778628806963399</v>
      </c>
      <c r="L3446">
        <v>791.07060081317104</v>
      </c>
      <c r="M3446">
        <v>15.4259755939612</v>
      </c>
      <c r="N3446">
        <v>56.798353904008302</v>
      </c>
      <c r="O3446">
        <v>50.443099352045202</v>
      </c>
      <c r="P3446">
        <v>-4.6774602027968001E-2</v>
      </c>
      <c r="Q3446">
        <v>0.38824165491582202</v>
      </c>
      <c r="R3446">
        <v>0.99613184428403101</v>
      </c>
      <c r="S3446" t="s">
        <v>10014</v>
      </c>
      <c r="T3446" t="s">
        <v>13134</v>
      </c>
      <c r="U3446" t="s">
        <v>13134</v>
      </c>
      <c r="V3446" t="s">
        <v>13134</v>
      </c>
      <c r="W3446" t="s">
        <v>16526</v>
      </c>
      <c r="X3446">
        <v>11</v>
      </c>
      <c r="Y3446" t="s">
        <v>22934</v>
      </c>
      <c r="Z3446" t="s">
        <v>29414</v>
      </c>
      <c r="AA3446">
        <v>0.69120283676805216</v>
      </c>
      <c r="AB3446" t="str">
        <f>HYPERLINK("Melting_Curves/meltCurve_Q13907_IDI1.pdf", "Melting_Curves/meltCurve_Q13907_IDI1.pdf")</f>
        <v>Melting_Curves/meltCurve_Q13907_IDI1.pdf</v>
      </c>
    </row>
    <row r="3447" spans="1:28" x14ac:dyDescent="0.25">
      <c r="A3447" t="s">
        <v>3451</v>
      </c>
      <c r="B3447">
        <v>0.99472303558308395</v>
      </c>
      <c r="C3447">
        <v>0.97684869573534905</v>
      </c>
      <c r="D3447">
        <v>0.98099032574230405</v>
      </c>
      <c r="E3447">
        <v>0.68607563878650601</v>
      </c>
      <c r="F3447">
        <v>0.239549222625802</v>
      </c>
      <c r="G3447">
        <v>0.145464895049775</v>
      </c>
      <c r="H3447">
        <v>8.2341444002298203E-2</v>
      </c>
      <c r="I3447">
        <v>5.4464089531764799E-2</v>
      </c>
      <c r="J3447">
        <v>7.2431664564032605E-2</v>
      </c>
      <c r="K3447">
        <v>5.1854789510600199E-2</v>
      </c>
      <c r="L3447">
        <v>1360.67459547762</v>
      </c>
      <c r="M3447">
        <v>28.5189935856686</v>
      </c>
      <c r="N3447">
        <v>47.9646592226756</v>
      </c>
      <c r="O3447">
        <v>47.478431559974098</v>
      </c>
      <c r="P3447">
        <v>-0.13966430884153</v>
      </c>
      <c r="Q3447">
        <v>6.9954626576512205E-2</v>
      </c>
      <c r="R3447">
        <v>0.99802075875792995</v>
      </c>
      <c r="S3447" t="s">
        <v>10015</v>
      </c>
      <c r="T3447" t="s">
        <v>13134</v>
      </c>
      <c r="U3447" t="s">
        <v>13134</v>
      </c>
      <c r="V3447" t="s">
        <v>13134</v>
      </c>
      <c r="W3447" t="s">
        <v>16527</v>
      </c>
      <c r="X3447">
        <v>16</v>
      </c>
      <c r="Y3447" t="s">
        <v>22935</v>
      </c>
      <c r="Z3447" t="s">
        <v>29415</v>
      </c>
      <c r="AA3447">
        <v>0.40808255934698928</v>
      </c>
      <c r="AB3447" t="str">
        <f>HYPERLINK("Melting_Curves/meltCurve_Q13951_2_CBFB.pdf", "Melting_Curves/meltCurve_Q13951_2_CBFB.pdf")</f>
        <v>Melting_Curves/meltCurve_Q13951_2_CBFB.pdf</v>
      </c>
    </row>
    <row r="3448" spans="1:28" x14ac:dyDescent="0.25">
      <c r="A3448" t="s">
        <v>3452</v>
      </c>
      <c r="B3448">
        <v>0.99472303558308395</v>
      </c>
      <c r="C3448">
        <v>0.980383359168436</v>
      </c>
      <c r="D3448">
        <v>1.03607201522783</v>
      </c>
      <c r="E3448">
        <v>0.85136144874820596</v>
      </c>
      <c r="F3448">
        <v>0.61927566512280097</v>
      </c>
      <c r="G3448">
        <v>0.56733324808304997</v>
      </c>
      <c r="H3448">
        <v>0.21633916530568501</v>
      </c>
      <c r="I3448">
        <v>9.0533891307873898E-2</v>
      </c>
      <c r="J3448">
        <v>4.54826788761949E-2</v>
      </c>
      <c r="K3448">
        <v>4.9932790272112199E-2</v>
      </c>
      <c r="L3448">
        <v>774.85960467091797</v>
      </c>
      <c r="M3448">
        <v>14.609579875968199</v>
      </c>
      <c r="N3448">
        <v>53.037789122762902</v>
      </c>
      <c r="O3448">
        <v>52.0737826422056</v>
      </c>
      <c r="P3448">
        <v>-7.0146702015835699E-2</v>
      </c>
      <c r="Q3448">
        <v>0</v>
      </c>
      <c r="R3448">
        <v>0.98115968987680002</v>
      </c>
      <c r="S3448" t="s">
        <v>10016</v>
      </c>
      <c r="T3448" t="s">
        <v>13134</v>
      </c>
      <c r="U3448" t="s">
        <v>13134</v>
      </c>
      <c r="V3448" t="s">
        <v>13134</v>
      </c>
      <c r="W3448" t="s">
        <v>16528</v>
      </c>
      <c r="X3448">
        <v>10</v>
      </c>
      <c r="Y3448" t="s">
        <v>22936</v>
      </c>
      <c r="Z3448" t="s">
        <v>29416</v>
      </c>
      <c r="AA3448">
        <v>0.55282622720856012</v>
      </c>
      <c r="AB3448" t="str">
        <f>HYPERLINK("Melting_Curves/meltCurve_Q13952_3_NFYC.pdf", "Melting_Curves/meltCurve_Q13952_3_NFYC.pdf")</f>
        <v>Melting_Curves/meltCurve_Q13952_3_NFYC.pdf</v>
      </c>
    </row>
    <row r="3449" spans="1:28" x14ac:dyDescent="0.25">
      <c r="A3449" t="s">
        <v>3453</v>
      </c>
      <c r="B3449">
        <v>0.99472303558308395</v>
      </c>
      <c r="C3449">
        <v>0.92352365968614303</v>
      </c>
      <c r="D3449">
        <v>0.84980242430862996</v>
      </c>
      <c r="E3449">
        <v>0.56528654041497906</v>
      </c>
      <c r="F3449">
        <v>0.167924555411853</v>
      </c>
      <c r="G3449">
        <v>8.7646365660977499E-2</v>
      </c>
      <c r="H3449">
        <v>5.3483035204353997E-2</v>
      </c>
      <c r="I3449">
        <v>3.8022869350666101E-2</v>
      </c>
      <c r="J3449">
        <v>4.5632061459574498E-2</v>
      </c>
      <c r="K3449">
        <v>3.91677771511613E-2</v>
      </c>
      <c r="L3449">
        <v>1006.96498935507</v>
      </c>
      <c r="M3449">
        <v>21.562882560893399</v>
      </c>
      <c r="N3449">
        <v>46.8468227462917</v>
      </c>
      <c r="O3449">
        <v>46.302915973342401</v>
      </c>
      <c r="P3449">
        <v>-0.112596568842979</v>
      </c>
      <c r="Q3449">
        <v>3.2889333885705398E-2</v>
      </c>
      <c r="R3449">
        <v>0.99577964682061304</v>
      </c>
      <c r="S3449" t="s">
        <v>10017</v>
      </c>
      <c r="T3449" t="s">
        <v>13134</v>
      </c>
      <c r="U3449" t="s">
        <v>13134</v>
      </c>
      <c r="V3449" t="s">
        <v>13134</v>
      </c>
      <c r="W3449" t="s">
        <v>16529</v>
      </c>
      <c r="X3449">
        <v>82</v>
      </c>
      <c r="Y3449" t="s">
        <v>22937</v>
      </c>
      <c r="Z3449" t="s">
        <v>29417</v>
      </c>
      <c r="AA3449">
        <v>0.35644798580535958</v>
      </c>
      <c r="AB3449" t="str">
        <f>HYPERLINK("Melting_Curves/meltCurve_Q14008_2_CKAP5.pdf", "Melting_Curves/meltCurve_Q14008_2_CKAP5.pdf")</f>
        <v>Melting_Curves/meltCurve_Q14008_2_CKAP5.pdf</v>
      </c>
    </row>
    <row r="3450" spans="1:28" x14ac:dyDescent="0.25">
      <c r="A3450" t="s">
        <v>3454</v>
      </c>
      <c r="B3450">
        <v>0.99472303558308395</v>
      </c>
      <c r="C3450">
        <v>0.93624413245684401</v>
      </c>
      <c r="D3450">
        <v>0.86966208911343201</v>
      </c>
      <c r="E3450">
        <v>0.77727701065202004</v>
      </c>
      <c r="F3450">
        <v>0.65516472889618105</v>
      </c>
      <c r="G3450">
        <v>0.419384821816704</v>
      </c>
      <c r="H3450">
        <v>0.27962896317310199</v>
      </c>
      <c r="I3450">
        <v>0.233274379204155</v>
      </c>
      <c r="J3450">
        <v>0.24675944610655301</v>
      </c>
      <c r="K3450">
        <v>0.230514173331928</v>
      </c>
      <c r="L3450">
        <v>605.94427875157999</v>
      </c>
      <c r="M3450">
        <v>11.9981483786441</v>
      </c>
      <c r="N3450">
        <v>52.229479088804801</v>
      </c>
      <c r="O3450">
        <v>49.161558199235103</v>
      </c>
      <c r="P3450">
        <v>-5.1038887388499002E-2</v>
      </c>
      <c r="Q3450">
        <v>0.16368890953676701</v>
      </c>
      <c r="R3450">
        <v>0.98909217656975101</v>
      </c>
      <c r="S3450" t="s">
        <v>10018</v>
      </c>
      <c r="T3450" t="s">
        <v>13134</v>
      </c>
      <c r="U3450" t="s">
        <v>13134</v>
      </c>
      <c r="V3450" t="s">
        <v>13134</v>
      </c>
      <c r="W3450" t="s">
        <v>16530</v>
      </c>
      <c r="X3450">
        <v>4</v>
      </c>
      <c r="Y3450" t="s">
        <v>22938</v>
      </c>
      <c r="Z3450" t="s">
        <v>29418</v>
      </c>
      <c r="AA3450">
        <v>0.56273508188509236</v>
      </c>
      <c r="AB3450" t="str">
        <f>HYPERLINK("Melting_Curves/meltCurve_Q14011_CIRBP.pdf", "Melting_Curves/meltCurve_Q14011_CIRBP.pdf")</f>
        <v>Melting_Curves/meltCurve_Q14011_CIRBP.pdf</v>
      </c>
    </row>
    <row r="3451" spans="1:28" x14ac:dyDescent="0.25">
      <c r="A3451" t="s">
        <v>3455</v>
      </c>
      <c r="B3451">
        <v>0.99472303558308395</v>
      </c>
      <c r="C3451">
        <v>1.0735857448608901</v>
      </c>
      <c r="D3451">
        <v>1.1716278742739901</v>
      </c>
      <c r="E3451">
        <v>1.01753429690293</v>
      </c>
      <c r="F3451">
        <v>0.575369931056538</v>
      </c>
      <c r="G3451">
        <v>0.31935567722131802</v>
      </c>
      <c r="H3451">
        <v>8.4470255328370505E-2</v>
      </c>
      <c r="I3451">
        <v>6.1350210791956503E-2</v>
      </c>
      <c r="J3451">
        <v>7.9834778267218298E-2</v>
      </c>
      <c r="K3451">
        <v>6.3392141697572901E-2</v>
      </c>
      <c r="L3451">
        <v>1407.0543259358899</v>
      </c>
      <c r="M3451">
        <v>27.558729932873199</v>
      </c>
      <c r="N3451">
        <v>51.325471338400099</v>
      </c>
      <c r="O3451">
        <v>50.790010773224701</v>
      </c>
      <c r="P3451">
        <v>-0.12653285986017401</v>
      </c>
      <c r="Q3451">
        <v>6.7221686577344397E-2</v>
      </c>
      <c r="R3451">
        <v>0.97395690467670604</v>
      </c>
      <c r="S3451" t="s">
        <v>10019</v>
      </c>
      <c r="T3451" t="s">
        <v>13134</v>
      </c>
      <c r="U3451" t="s">
        <v>13134</v>
      </c>
      <c r="V3451" t="s">
        <v>13134</v>
      </c>
      <c r="W3451" t="s">
        <v>16531</v>
      </c>
      <c r="X3451">
        <v>9</v>
      </c>
      <c r="Y3451" t="s">
        <v>22939</v>
      </c>
      <c r="Z3451" t="s">
        <v>29419</v>
      </c>
      <c r="AA3451">
        <v>0.51112883841594114</v>
      </c>
      <c r="AB3451" t="str">
        <f>HYPERLINK("Melting_Curves/meltCurve_Q14019_COTL1.pdf", "Melting_Curves/meltCurve_Q14019_COTL1.pdf")</f>
        <v>Melting_Curves/meltCurve_Q14019_COTL1.pdf</v>
      </c>
    </row>
    <row r="3452" spans="1:28" x14ac:dyDescent="0.25">
      <c r="A3452" t="s">
        <v>3456</v>
      </c>
      <c r="B3452">
        <v>0.99472303558308395</v>
      </c>
      <c r="C3452">
        <v>0.96138642699374299</v>
      </c>
      <c r="D3452">
        <v>0.92940520886325295</v>
      </c>
      <c r="E3452">
        <v>0.89396321263717404</v>
      </c>
      <c r="F3452">
        <v>0.61542538079724096</v>
      </c>
      <c r="G3452">
        <v>0.58403710165717104</v>
      </c>
      <c r="H3452">
        <v>0.54514944288265699</v>
      </c>
      <c r="I3452">
        <v>0.61494485212352201</v>
      </c>
      <c r="J3452">
        <v>0.86735023453622495</v>
      </c>
      <c r="K3452">
        <v>0.66462430967453801</v>
      </c>
      <c r="L3452">
        <v>11689.0974052732</v>
      </c>
      <c r="M3452">
        <v>250</v>
      </c>
      <c r="O3452">
        <v>46.7533975467231</v>
      </c>
      <c r="P3452">
        <v>-0.46976726164948501</v>
      </c>
      <c r="Q3452">
        <v>0.64858855198224197</v>
      </c>
      <c r="R3452">
        <v>0.74522203190527403</v>
      </c>
      <c r="S3452" t="s">
        <v>10020</v>
      </c>
      <c r="T3452" t="s">
        <v>13134</v>
      </c>
      <c r="U3452" t="s">
        <v>13134</v>
      </c>
      <c r="V3452" t="s">
        <v>13134</v>
      </c>
      <c r="W3452" t="s">
        <v>16532</v>
      </c>
      <c r="X3452">
        <v>5</v>
      </c>
      <c r="Y3452" t="s">
        <v>22940</v>
      </c>
      <c r="Z3452" t="s">
        <v>29420</v>
      </c>
      <c r="AA3452">
        <v>0.76290095446448092</v>
      </c>
      <c r="AB3452" t="str">
        <f>HYPERLINK("Melting_Curves/meltCurve_Q14061_COX17.pdf", "Melting_Curves/meltCurve_Q14061_COX17.pdf")</f>
        <v>Melting_Curves/meltCurve_Q14061_COX17.pdf</v>
      </c>
    </row>
    <row r="3453" spans="1:28" x14ac:dyDescent="0.25">
      <c r="A3453" t="s">
        <v>3457</v>
      </c>
      <c r="B3453">
        <v>0.99472303558308395</v>
      </c>
      <c r="C3453">
        <v>0.96191363510268901</v>
      </c>
      <c r="D3453">
        <v>0.96269259932899998</v>
      </c>
      <c r="E3453">
        <v>0.949277702412474</v>
      </c>
      <c r="F3453">
        <v>0.79990954103570699</v>
      </c>
      <c r="G3453">
        <v>0.56001488663209997</v>
      </c>
      <c r="H3453">
        <v>0.38315144151791197</v>
      </c>
      <c r="I3453">
        <v>0.33021930325614202</v>
      </c>
      <c r="J3453">
        <v>0.35146202413559102</v>
      </c>
      <c r="K3453">
        <v>0.28438143330558102</v>
      </c>
      <c r="L3453">
        <v>1084.9557979382</v>
      </c>
      <c r="M3453">
        <v>20.720108298084799</v>
      </c>
      <c r="N3453">
        <v>54.779689879093901</v>
      </c>
      <c r="O3453">
        <v>51.882036709003003</v>
      </c>
      <c r="P3453">
        <v>-6.9931364475473698E-2</v>
      </c>
      <c r="Q3453">
        <v>0.29960228102653003</v>
      </c>
      <c r="R3453">
        <v>0.99471827696290704</v>
      </c>
      <c r="S3453" t="s">
        <v>10021</v>
      </c>
      <c r="T3453" t="s">
        <v>13134</v>
      </c>
      <c r="U3453" t="s">
        <v>13134</v>
      </c>
      <c r="V3453" t="s">
        <v>13134</v>
      </c>
      <c r="W3453" t="s">
        <v>16533</v>
      </c>
      <c r="X3453">
        <v>19</v>
      </c>
      <c r="Y3453" t="s">
        <v>22941</v>
      </c>
      <c r="Z3453" t="s">
        <v>29421</v>
      </c>
      <c r="AA3453">
        <v>0.66676264241171779</v>
      </c>
      <c r="AB3453" t="str">
        <f>HYPERLINK("Melting_Curves/meltCurve_Q14103_3_HNRNPD.pdf", "Melting_Curves/meltCurve_Q14103_3_HNRNPD.pdf")</f>
        <v>Melting_Curves/meltCurve_Q14103_3_HNRNPD.pdf</v>
      </c>
    </row>
    <row r="3454" spans="1:28" x14ac:dyDescent="0.25">
      <c r="A3454" t="s">
        <v>3458</v>
      </c>
      <c r="B3454">
        <v>0.99472303558308395</v>
      </c>
      <c r="C3454">
        <v>1.0027444794583</v>
      </c>
      <c r="D3454">
        <v>0.94284475494720499</v>
      </c>
      <c r="E3454">
        <v>0.871090649311141</v>
      </c>
      <c r="F3454">
        <v>0.73336511907811996</v>
      </c>
      <c r="G3454">
        <v>0.53653720900669899</v>
      </c>
      <c r="H3454">
        <v>0.44905579018423297</v>
      </c>
      <c r="I3454">
        <v>0.409932721949262</v>
      </c>
      <c r="J3454">
        <v>0.39506961506515098</v>
      </c>
      <c r="K3454">
        <v>0.41052486829767498</v>
      </c>
      <c r="L3454">
        <v>838.76507686243303</v>
      </c>
      <c r="M3454">
        <v>16.584236818390401</v>
      </c>
      <c r="N3454">
        <v>55.388437451832402</v>
      </c>
      <c r="O3454">
        <v>49.857836231652499</v>
      </c>
      <c r="P3454">
        <v>-5.1424521535221999E-2</v>
      </c>
      <c r="Q3454">
        <v>0.38164396791849098</v>
      </c>
      <c r="R3454">
        <v>0.99674420191449198</v>
      </c>
      <c r="S3454" t="s">
        <v>10022</v>
      </c>
      <c r="T3454" t="s">
        <v>13134</v>
      </c>
      <c r="U3454" t="s">
        <v>13134</v>
      </c>
      <c r="V3454" t="s">
        <v>13134</v>
      </c>
      <c r="W3454" t="s">
        <v>16534</v>
      </c>
      <c r="X3454">
        <v>7</v>
      </c>
      <c r="Y3454" t="s">
        <v>22942</v>
      </c>
      <c r="Z3454" t="s">
        <v>29422</v>
      </c>
      <c r="AA3454">
        <v>0.67243913255656762</v>
      </c>
      <c r="AB3454" t="str">
        <f>HYPERLINK("Melting_Curves/meltCurve_Q14108_SCARB2.pdf", "Melting_Curves/meltCurve_Q14108_SCARB2.pdf")</f>
        <v>Melting_Curves/meltCurve_Q14108_SCARB2.pdf</v>
      </c>
    </row>
    <row r="3455" spans="1:28" x14ac:dyDescent="0.25">
      <c r="A3455" t="s">
        <v>3459</v>
      </c>
      <c r="B3455">
        <v>0.99472303558308395</v>
      </c>
      <c r="C3455">
        <v>1.1739780435137901</v>
      </c>
      <c r="D3455">
        <v>1.0014107207426199</v>
      </c>
      <c r="E3455">
        <v>0.92196461259144402</v>
      </c>
      <c r="F3455">
        <v>0.76532431105630105</v>
      </c>
      <c r="G3455">
        <v>0.42382674926435798</v>
      </c>
      <c r="H3455">
        <v>0.301360099032358</v>
      </c>
      <c r="I3455">
        <v>0.23899421115474601</v>
      </c>
      <c r="J3455">
        <v>0.30093152169681298</v>
      </c>
      <c r="K3455">
        <v>0.28324456730254999</v>
      </c>
      <c r="L3455">
        <v>1444.66750099822</v>
      </c>
      <c r="M3455">
        <v>28.120515443333801</v>
      </c>
      <c r="N3455">
        <v>52.822945368114198</v>
      </c>
      <c r="O3455">
        <v>51.116447831231</v>
      </c>
      <c r="P3455">
        <v>-0.10056567892142999</v>
      </c>
      <c r="Q3455">
        <v>0.26878768903478301</v>
      </c>
      <c r="R3455">
        <v>0.971104038678262</v>
      </c>
      <c r="S3455" t="s">
        <v>10023</v>
      </c>
      <c r="T3455" t="s">
        <v>13134</v>
      </c>
      <c r="U3455" t="s">
        <v>13134</v>
      </c>
      <c r="V3455" t="s">
        <v>13134</v>
      </c>
      <c r="W3455" t="s">
        <v>16535</v>
      </c>
      <c r="X3455">
        <v>3</v>
      </c>
      <c r="Y3455" t="s">
        <v>22943</v>
      </c>
      <c r="Z3455" t="s">
        <v>29423</v>
      </c>
      <c r="AA3455">
        <v>0.6243252884900381</v>
      </c>
      <c r="AB3455" t="str">
        <f>HYPERLINK("Melting_Curves/meltCurve_Q14114_4_LRP8.pdf", "Melting_Curves/meltCurve_Q14114_4_LRP8.pdf")</f>
        <v>Melting_Curves/meltCurve_Q14114_4_LRP8.pdf</v>
      </c>
    </row>
    <row r="3456" spans="1:28" x14ac:dyDescent="0.25">
      <c r="A3456" t="s">
        <v>3460</v>
      </c>
      <c r="B3456">
        <v>0.99472303558308395</v>
      </c>
      <c r="C3456">
        <v>1.03315892875698</v>
      </c>
      <c r="D3456">
        <v>0.93099169732373699</v>
      </c>
      <c r="E3456">
        <v>0.82580895980472702</v>
      </c>
      <c r="F3456">
        <v>0.70902342041383903</v>
      </c>
      <c r="G3456">
        <v>0.47573519176583501</v>
      </c>
      <c r="H3456">
        <v>0.39510390031070602</v>
      </c>
      <c r="I3456">
        <v>0.32915537509152598</v>
      </c>
      <c r="J3456">
        <v>0.34156060434947799</v>
      </c>
      <c r="K3456">
        <v>0.17609118138764601</v>
      </c>
      <c r="L3456">
        <v>628.19810283079596</v>
      </c>
      <c r="M3456">
        <v>12.093685972037999</v>
      </c>
      <c r="N3456">
        <v>54.196059206161401</v>
      </c>
      <c r="O3456">
        <v>50.585198466218003</v>
      </c>
      <c r="P3456">
        <v>-4.7976733932792601E-2</v>
      </c>
      <c r="Q3456">
        <v>0.19748350104606499</v>
      </c>
      <c r="R3456">
        <v>0.98215157547454401</v>
      </c>
      <c r="S3456" t="s">
        <v>10024</v>
      </c>
      <c r="T3456" t="s">
        <v>13134</v>
      </c>
      <c r="U3456" t="s">
        <v>13134</v>
      </c>
      <c r="V3456" t="s">
        <v>13134</v>
      </c>
      <c r="W3456" t="s">
        <v>16536</v>
      </c>
      <c r="X3456">
        <v>3</v>
      </c>
      <c r="Y3456" t="s">
        <v>22944</v>
      </c>
      <c r="Z3456" t="s">
        <v>29424</v>
      </c>
      <c r="AA3456">
        <v>0.61630667702932207</v>
      </c>
      <c r="AB3456" t="str">
        <f>HYPERLINK("Melting_Curves/meltCurve_Q14116_2_IL18.pdf", "Melting_Curves/meltCurve_Q14116_2_IL18.pdf")</f>
        <v>Melting_Curves/meltCurve_Q14116_2_IL18.pdf</v>
      </c>
    </row>
    <row r="3457" spans="1:28" x14ac:dyDescent="0.25">
      <c r="A3457" t="s">
        <v>3461</v>
      </c>
      <c r="B3457">
        <v>0.99472303558308395</v>
      </c>
      <c r="C3457">
        <v>1.09637287624001</v>
      </c>
      <c r="D3457">
        <v>0.88927701129560599</v>
      </c>
      <c r="E3457">
        <v>0.751871698994514</v>
      </c>
      <c r="F3457">
        <v>0.42880653897457599</v>
      </c>
      <c r="G3457">
        <v>0.27234558656339303</v>
      </c>
      <c r="H3457">
        <v>0.22336295340763501</v>
      </c>
      <c r="I3457">
        <v>0.22634003324280699</v>
      </c>
      <c r="J3457">
        <v>0.30079794829694101</v>
      </c>
      <c r="K3457">
        <v>0.28036237549806597</v>
      </c>
      <c r="L3457">
        <v>1183.39746639861</v>
      </c>
      <c r="M3457">
        <v>24.784798499852599</v>
      </c>
      <c r="N3457">
        <v>49.124037329504397</v>
      </c>
      <c r="O3457">
        <v>47.439345056319098</v>
      </c>
      <c r="P3457">
        <v>-9.7906735137716402E-2</v>
      </c>
      <c r="Q3457">
        <v>0.250417105577939</v>
      </c>
      <c r="R3457">
        <v>0.98080045010550498</v>
      </c>
      <c r="S3457" t="s">
        <v>10025</v>
      </c>
      <c r="T3457" t="s">
        <v>13134</v>
      </c>
      <c r="U3457" t="s">
        <v>13134</v>
      </c>
      <c r="V3457" t="s">
        <v>13134</v>
      </c>
      <c r="W3457" t="s">
        <v>16537</v>
      </c>
      <c r="X3457">
        <v>5</v>
      </c>
      <c r="Y3457" t="s">
        <v>22945</v>
      </c>
      <c r="Z3457" t="s">
        <v>29425</v>
      </c>
      <c r="AA3457">
        <v>0.52541473758600121</v>
      </c>
      <c r="AB3457" t="str">
        <f>HYPERLINK("Melting_Curves/meltCurve_Q14118_DAG1.pdf", "Melting_Curves/meltCurve_Q14118_DAG1.pdf")</f>
        <v>Melting_Curves/meltCurve_Q14118_DAG1.pdf</v>
      </c>
    </row>
    <row r="3458" spans="1:28" x14ac:dyDescent="0.25">
      <c r="A3458" t="s">
        <v>3462</v>
      </c>
      <c r="B3458">
        <v>0.99472303558308395</v>
      </c>
      <c r="C3458">
        <v>0.97149073855343104</v>
      </c>
      <c r="D3458">
        <v>0.90713957425639202</v>
      </c>
      <c r="E3458">
        <v>0.75644890858024105</v>
      </c>
      <c r="F3458">
        <v>0.643067782390356</v>
      </c>
      <c r="G3458">
        <v>0.34156774764417802</v>
      </c>
      <c r="H3458">
        <v>0.19282008064099199</v>
      </c>
      <c r="I3458">
        <v>0.12768456195945299</v>
      </c>
      <c r="J3458">
        <v>0.16880606827657901</v>
      </c>
      <c r="K3458">
        <v>0.220318600270722</v>
      </c>
      <c r="L3458">
        <v>779.88408253785201</v>
      </c>
      <c r="M3458">
        <v>15.538764867738401</v>
      </c>
      <c r="N3458">
        <v>51.194568056814902</v>
      </c>
      <c r="O3458">
        <v>49.380355597526602</v>
      </c>
      <c r="P3458">
        <v>-6.8333585827223001E-2</v>
      </c>
      <c r="Q3458">
        <v>0.13145192437633699</v>
      </c>
      <c r="R3458">
        <v>0.98280809539619596</v>
      </c>
      <c r="S3458" t="s">
        <v>10026</v>
      </c>
      <c r="T3458" t="s">
        <v>13134</v>
      </c>
      <c r="U3458" t="s">
        <v>13134</v>
      </c>
      <c r="V3458" t="s">
        <v>13134</v>
      </c>
      <c r="W3458" t="s">
        <v>16538</v>
      </c>
      <c r="X3458">
        <v>15</v>
      </c>
      <c r="Y3458" t="s">
        <v>22946</v>
      </c>
      <c r="Z3458" t="s">
        <v>29426</v>
      </c>
      <c r="AA3458">
        <v>0.53045635810655767</v>
      </c>
      <c r="AB3458" t="str">
        <f>HYPERLINK("Melting_Curves/meltCurve_Q14126_DSG2.pdf", "Melting_Curves/meltCurve_Q14126_DSG2.pdf")</f>
        <v>Melting_Curves/meltCurve_Q14126_DSG2.pdf</v>
      </c>
    </row>
    <row r="3459" spans="1:28" x14ac:dyDescent="0.25">
      <c r="A3459" t="s">
        <v>3463</v>
      </c>
      <c r="B3459">
        <v>0.99472303558308395</v>
      </c>
      <c r="C3459">
        <v>0.93604799628287705</v>
      </c>
      <c r="D3459">
        <v>0.70904484183724503</v>
      </c>
      <c r="E3459">
        <v>0.53636688470595895</v>
      </c>
      <c r="F3459">
        <v>0.359417715205052</v>
      </c>
      <c r="G3459">
        <v>0.17779910953730099</v>
      </c>
      <c r="H3459">
        <v>0.109852729326661</v>
      </c>
      <c r="I3459">
        <v>8.6802345055949498E-2</v>
      </c>
      <c r="J3459">
        <v>8.4858845240793901E-2</v>
      </c>
      <c r="K3459">
        <v>7.7507104174459704E-2</v>
      </c>
      <c r="L3459">
        <v>593.42767485782304</v>
      </c>
      <c r="M3459">
        <v>12.713531413728001</v>
      </c>
      <c r="N3459">
        <v>47.044915401982003</v>
      </c>
      <c r="O3459">
        <v>45.567218821399599</v>
      </c>
      <c r="P3459">
        <v>-6.6462335147855295E-2</v>
      </c>
      <c r="Q3459">
        <v>4.7339292022258499E-2</v>
      </c>
      <c r="R3459">
        <v>0.99432612183387903</v>
      </c>
      <c r="S3459" t="s">
        <v>10027</v>
      </c>
      <c r="T3459" t="s">
        <v>13134</v>
      </c>
      <c r="U3459" t="s">
        <v>13134</v>
      </c>
      <c r="V3459" t="s">
        <v>13134</v>
      </c>
      <c r="W3459" t="s">
        <v>16539</v>
      </c>
      <c r="X3459">
        <v>5</v>
      </c>
      <c r="Y3459" t="s">
        <v>22947</v>
      </c>
      <c r="Z3459" t="s">
        <v>29427</v>
      </c>
      <c r="AA3459">
        <v>0.38352349864753271</v>
      </c>
      <c r="AB3459" t="str">
        <f>HYPERLINK("Melting_Curves/meltCurve_Q14137_BOP1.pdf", "Melting_Curves/meltCurve_Q14137_BOP1.pdf")</f>
        <v>Melting_Curves/meltCurve_Q14137_BOP1.pdf</v>
      </c>
    </row>
    <row r="3460" spans="1:28" x14ac:dyDescent="0.25">
      <c r="A3460" t="s">
        <v>3464</v>
      </c>
      <c r="B3460">
        <v>0.99472303558308395</v>
      </c>
      <c r="C3460">
        <v>0.90936723448053303</v>
      </c>
      <c r="D3460">
        <v>0.81590172065220901</v>
      </c>
      <c r="E3460">
        <v>0.42793316656459401</v>
      </c>
      <c r="F3460">
        <v>0.18326237671781101</v>
      </c>
      <c r="G3460">
        <v>8.6245367382493998E-2</v>
      </c>
      <c r="H3460">
        <v>5.32346689296967E-2</v>
      </c>
      <c r="I3460">
        <v>3.4454457935999501E-2</v>
      </c>
      <c r="J3460">
        <v>4.4690729757007802E-2</v>
      </c>
      <c r="K3460">
        <v>3.7838565339973401E-2</v>
      </c>
      <c r="L3460">
        <v>901.61975732852898</v>
      </c>
      <c r="M3460">
        <v>19.680440312992001</v>
      </c>
      <c r="N3460">
        <v>45.982975288731502</v>
      </c>
      <c r="O3460">
        <v>45.347844334379502</v>
      </c>
      <c r="P3460">
        <v>-0.10469410139275601</v>
      </c>
      <c r="Q3460">
        <v>3.5085185013825397E-2</v>
      </c>
      <c r="R3460">
        <v>0.99823798934832197</v>
      </c>
      <c r="S3460" t="s">
        <v>10028</v>
      </c>
      <c r="T3460" t="s">
        <v>13134</v>
      </c>
      <c r="U3460" t="s">
        <v>13134</v>
      </c>
      <c r="V3460" t="s">
        <v>13134</v>
      </c>
      <c r="W3460" t="s">
        <v>16540</v>
      </c>
      <c r="X3460">
        <v>14</v>
      </c>
      <c r="Y3460" t="s">
        <v>22948</v>
      </c>
      <c r="Z3460" t="s">
        <v>29428</v>
      </c>
      <c r="AA3460">
        <v>0.33158473018086532</v>
      </c>
      <c r="AB3460" t="str">
        <f>HYPERLINK("Melting_Curves/meltCurve_Q14139_UBE4A.pdf", "Melting_Curves/meltCurve_Q14139_UBE4A.pdf")</f>
        <v>Melting_Curves/meltCurve_Q14139_UBE4A.pdf</v>
      </c>
    </row>
    <row r="3461" spans="1:28" x14ac:dyDescent="0.25">
      <c r="A3461" t="s">
        <v>3465</v>
      </c>
      <c r="B3461">
        <v>0.99472303558308395</v>
      </c>
      <c r="C3461">
        <v>1.1110427762513699</v>
      </c>
      <c r="D3461">
        <v>0.87325454467861896</v>
      </c>
      <c r="E3461">
        <v>0.84215207712804796</v>
      </c>
      <c r="F3461">
        <v>0.70351988160566004</v>
      </c>
      <c r="G3461">
        <v>0.413090193869531</v>
      </c>
      <c r="H3461">
        <v>0.36746426195089099</v>
      </c>
      <c r="I3461">
        <v>0.26335166885958899</v>
      </c>
      <c r="J3461">
        <v>0.33271051104809501</v>
      </c>
      <c r="K3461">
        <v>0.284470751207275</v>
      </c>
      <c r="L3461">
        <v>854.16405771481698</v>
      </c>
      <c r="M3461">
        <v>16.936216322122799</v>
      </c>
      <c r="N3461">
        <v>52.871987852135803</v>
      </c>
      <c r="O3461">
        <v>49.746775125981898</v>
      </c>
      <c r="P3461">
        <v>-6.2050501325017403E-2</v>
      </c>
      <c r="Q3461">
        <v>0.27100157821624399</v>
      </c>
      <c r="R3461">
        <v>0.96627897199311596</v>
      </c>
      <c r="S3461" t="s">
        <v>10029</v>
      </c>
      <c r="T3461" t="s">
        <v>13134</v>
      </c>
      <c r="U3461" t="s">
        <v>13134</v>
      </c>
      <c r="V3461" t="s">
        <v>13134</v>
      </c>
      <c r="W3461" t="s">
        <v>16541</v>
      </c>
      <c r="X3461">
        <v>2</v>
      </c>
      <c r="Y3461" t="s">
        <v>22949</v>
      </c>
      <c r="Z3461" t="s">
        <v>29429</v>
      </c>
      <c r="AA3461">
        <v>0.61001750298227198</v>
      </c>
      <c r="AB3461" t="str">
        <f>HYPERLINK("Melting_Curves/meltCurve_Q14142_2_TRIM14.pdf", "Melting_Curves/meltCurve_Q14142_2_TRIM14.pdf")</f>
        <v>Melting_Curves/meltCurve_Q14142_2_TRIM14.pdf</v>
      </c>
    </row>
    <row r="3462" spans="1:28" x14ac:dyDescent="0.25">
      <c r="A3462" t="s">
        <v>3466</v>
      </c>
      <c r="B3462">
        <v>0.99472303558308395</v>
      </c>
      <c r="C3462">
        <v>0.84150794273422402</v>
      </c>
      <c r="D3462">
        <v>0.75835649891649304</v>
      </c>
      <c r="E3462">
        <v>0.54458154989864604</v>
      </c>
      <c r="F3462">
        <v>0.39055254739395101</v>
      </c>
      <c r="G3462">
        <v>0.16327908992152301</v>
      </c>
      <c r="H3462">
        <v>0.111601911834199</v>
      </c>
      <c r="I3462">
        <v>4.8688885010022102E-2</v>
      </c>
      <c r="J3462">
        <v>6.9003095651055807E-2</v>
      </c>
      <c r="K3462">
        <v>6.08048959903058E-2</v>
      </c>
      <c r="L3462">
        <v>531.23480714486698</v>
      </c>
      <c r="M3462">
        <v>11.230740714368</v>
      </c>
      <c r="N3462">
        <v>47.312291348253403</v>
      </c>
      <c r="O3462">
        <v>45.876503795446503</v>
      </c>
      <c r="P3462">
        <v>-6.1144226875708002E-2</v>
      </c>
      <c r="Q3462">
        <v>1.23778749893947E-3</v>
      </c>
      <c r="R3462">
        <v>0.992106503658436</v>
      </c>
      <c r="S3462" t="s">
        <v>10030</v>
      </c>
      <c r="T3462" t="s">
        <v>13134</v>
      </c>
      <c r="U3462" t="s">
        <v>13134</v>
      </c>
      <c r="V3462" t="s">
        <v>13134</v>
      </c>
      <c r="W3462" t="s">
        <v>16542</v>
      </c>
      <c r="X3462">
        <v>8</v>
      </c>
      <c r="Y3462" t="s">
        <v>22950</v>
      </c>
      <c r="Z3462" t="s">
        <v>29430</v>
      </c>
      <c r="AA3462">
        <v>0.3799803354625601</v>
      </c>
      <c r="AB3462" t="str">
        <f>HYPERLINK("Melting_Curves/meltCurve_Q14145_KEAP1.pdf", "Melting_Curves/meltCurve_Q14145_KEAP1.pdf")</f>
        <v>Melting_Curves/meltCurve_Q14145_KEAP1.pdf</v>
      </c>
    </row>
    <row r="3463" spans="1:28" x14ac:dyDescent="0.25">
      <c r="A3463" t="s">
        <v>3467</v>
      </c>
      <c r="B3463">
        <v>0.99472303558308395</v>
      </c>
      <c r="C3463">
        <v>0.84510529177270099</v>
      </c>
      <c r="D3463">
        <v>0.83168718558745902</v>
      </c>
      <c r="E3463">
        <v>0.57908618046747595</v>
      </c>
      <c r="F3463">
        <v>0.37546524875352</v>
      </c>
      <c r="G3463">
        <v>9.6896046630651697E-2</v>
      </c>
      <c r="H3463">
        <v>7.0761289694687396E-2</v>
      </c>
      <c r="I3463">
        <v>6.7528391928375398E-2</v>
      </c>
      <c r="J3463">
        <v>5.68841080270494E-2</v>
      </c>
      <c r="K3463">
        <v>0</v>
      </c>
      <c r="L3463">
        <v>650.26435966096903</v>
      </c>
      <c r="M3463">
        <v>13.668799011313499</v>
      </c>
      <c r="N3463">
        <v>47.572894191192297</v>
      </c>
      <c r="O3463">
        <v>46.589312292742598</v>
      </c>
      <c r="P3463">
        <v>-7.3357946105606003E-2</v>
      </c>
      <c r="Q3463">
        <v>0</v>
      </c>
      <c r="R3463">
        <v>0.98684043725739801</v>
      </c>
      <c r="S3463" t="s">
        <v>10031</v>
      </c>
      <c r="T3463" t="s">
        <v>13134</v>
      </c>
      <c r="U3463" t="s">
        <v>13134</v>
      </c>
      <c r="V3463" t="s">
        <v>13134</v>
      </c>
      <c r="W3463" t="s">
        <v>16543</v>
      </c>
      <c r="X3463">
        <v>7</v>
      </c>
      <c r="Y3463" t="s">
        <v>22951</v>
      </c>
      <c r="Z3463" t="s">
        <v>29431</v>
      </c>
      <c r="AA3463">
        <v>0.37843987495398079</v>
      </c>
      <c r="AB3463" t="str">
        <f>HYPERLINK("Melting_Curves/meltCurve_Q14147_DHX34.pdf", "Melting_Curves/meltCurve_Q14147_DHX34.pdf")</f>
        <v>Melting_Curves/meltCurve_Q14147_DHX34.pdf</v>
      </c>
    </row>
    <row r="3464" spans="1:28" x14ac:dyDescent="0.25">
      <c r="A3464" t="s">
        <v>3468</v>
      </c>
      <c r="B3464">
        <v>0.99472303558308395</v>
      </c>
      <c r="C3464">
        <v>0.97213420556016505</v>
      </c>
      <c r="D3464">
        <v>0.80351455672748795</v>
      </c>
      <c r="E3464">
        <v>0.41241037256302399</v>
      </c>
      <c r="F3464">
        <v>0.15800949195456901</v>
      </c>
      <c r="G3464">
        <v>8.1891741830522696E-2</v>
      </c>
      <c r="H3464">
        <v>5.8122761514070101E-2</v>
      </c>
      <c r="I3464">
        <v>5.4256586356968402E-2</v>
      </c>
      <c r="J3464">
        <v>5.9090105588837198E-2</v>
      </c>
      <c r="K3464">
        <v>5.2681825309073803E-2</v>
      </c>
      <c r="L3464">
        <v>1034.7647244465199</v>
      </c>
      <c r="M3464">
        <v>22.700997509837599</v>
      </c>
      <c r="N3464">
        <v>45.807930939281398</v>
      </c>
      <c r="O3464">
        <v>45.233069193103802</v>
      </c>
      <c r="P3464">
        <v>-0.11883387528096701</v>
      </c>
      <c r="Q3464">
        <v>5.2885232416964703E-2</v>
      </c>
      <c r="R3464">
        <v>0.99991861520380998</v>
      </c>
      <c r="S3464" t="s">
        <v>10032</v>
      </c>
      <c r="T3464" t="s">
        <v>13134</v>
      </c>
      <c r="U3464" t="s">
        <v>13134</v>
      </c>
      <c r="V3464" t="s">
        <v>13134</v>
      </c>
      <c r="W3464" t="s">
        <v>16544</v>
      </c>
      <c r="X3464">
        <v>20</v>
      </c>
      <c r="Y3464" t="s">
        <v>22952</v>
      </c>
      <c r="Z3464" t="s">
        <v>29432</v>
      </c>
      <c r="AA3464">
        <v>0.33337302306231931</v>
      </c>
      <c r="AB3464" t="str">
        <f>HYPERLINK("Melting_Curves/meltCurve_Q14149_MORC3.pdf", "Melting_Curves/meltCurve_Q14149_MORC3.pdf")</f>
        <v>Melting_Curves/meltCurve_Q14149_MORC3.pdf</v>
      </c>
    </row>
    <row r="3465" spans="1:28" x14ac:dyDescent="0.25">
      <c r="A3465" t="s">
        <v>3469</v>
      </c>
      <c r="B3465">
        <v>0.99472303558308395</v>
      </c>
      <c r="C3465">
        <v>0.96976235513499598</v>
      </c>
      <c r="D3465">
        <v>0.920845583429309</v>
      </c>
      <c r="E3465">
        <v>0.78750275711825901</v>
      </c>
      <c r="F3465">
        <v>0.77218366403596395</v>
      </c>
      <c r="G3465">
        <v>0.56435429769601997</v>
      </c>
      <c r="H3465">
        <v>0.48750364181178002</v>
      </c>
      <c r="I3465">
        <v>0.78411699738490404</v>
      </c>
      <c r="J3465">
        <v>0.86630764868654397</v>
      </c>
      <c r="K3465">
        <v>1.09537538079633</v>
      </c>
      <c r="L3465">
        <v>1529.56858841139</v>
      </c>
      <c r="M3465">
        <v>34.9466459754859</v>
      </c>
      <c r="O3465">
        <v>43.626111035931999</v>
      </c>
      <c r="P3465">
        <v>-4.7788319823255702E-2</v>
      </c>
      <c r="Q3465">
        <v>0.76137214543377096</v>
      </c>
      <c r="R3465">
        <v>0.26060054760157098</v>
      </c>
      <c r="S3465" t="s">
        <v>10033</v>
      </c>
      <c r="T3465" t="s">
        <v>13134</v>
      </c>
      <c r="U3465" t="s">
        <v>13134</v>
      </c>
      <c r="V3465" t="s">
        <v>13134</v>
      </c>
      <c r="W3465" t="s">
        <v>16545</v>
      </c>
      <c r="X3465">
        <v>29</v>
      </c>
      <c r="Y3465" t="s">
        <v>22953</v>
      </c>
      <c r="Z3465" t="s">
        <v>29433</v>
      </c>
      <c r="AA3465">
        <v>0.81617196710144169</v>
      </c>
      <c r="AB3465" t="str">
        <f>HYPERLINK("Melting_Curves/meltCurve_Q14151_SAFB2.pdf", "Melting_Curves/meltCurve_Q14151_SAFB2.pdf")</f>
        <v>Melting_Curves/meltCurve_Q14151_SAFB2.pdf</v>
      </c>
    </row>
    <row r="3466" spans="1:28" x14ac:dyDescent="0.25">
      <c r="A3466" t="s">
        <v>3470</v>
      </c>
      <c r="B3466">
        <v>0.99472303558308395</v>
      </c>
      <c r="C3466">
        <v>0.84718545307882698</v>
      </c>
      <c r="D3466">
        <v>0.67818033693940705</v>
      </c>
      <c r="E3466">
        <v>0.50376582138188697</v>
      </c>
      <c r="F3466">
        <v>0.15609160149624501</v>
      </c>
      <c r="G3466">
        <v>7.5530850143422701E-2</v>
      </c>
      <c r="H3466">
        <v>4.8360886332887598E-2</v>
      </c>
      <c r="I3466">
        <v>3.3913531711512498E-2</v>
      </c>
      <c r="J3466">
        <v>4.1082478912133499E-2</v>
      </c>
      <c r="K3466">
        <v>3.5565046040706601E-2</v>
      </c>
      <c r="L3466">
        <v>661.980490186466</v>
      </c>
      <c r="M3466">
        <v>14.5381654504273</v>
      </c>
      <c r="N3466">
        <v>45.582081463587798</v>
      </c>
      <c r="O3466">
        <v>44.698466978267497</v>
      </c>
      <c r="P3466">
        <v>-8.0702638117180703E-2</v>
      </c>
      <c r="Q3466">
        <v>7.6127955247794702E-3</v>
      </c>
      <c r="R3466">
        <v>0.98886706398164703</v>
      </c>
      <c r="S3466" t="s">
        <v>10034</v>
      </c>
      <c r="T3466" t="s">
        <v>13134</v>
      </c>
      <c r="U3466" t="s">
        <v>13134</v>
      </c>
      <c r="V3466" t="s">
        <v>13134</v>
      </c>
      <c r="W3466" t="s">
        <v>16546</v>
      </c>
      <c r="X3466">
        <v>78</v>
      </c>
      <c r="Y3466" t="s">
        <v>22954</v>
      </c>
      <c r="Z3466" t="s">
        <v>29434</v>
      </c>
      <c r="AA3466">
        <v>0.31454836516599449</v>
      </c>
      <c r="AB3466" t="str">
        <f>HYPERLINK("Melting_Curves/meltCurve_Q14152_EIF3A.pdf", "Melting_Curves/meltCurve_Q14152_EIF3A.pdf")</f>
        <v>Melting_Curves/meltCurve_Q14152_EIF3A.pdf</v>
      </c>
    </row>
    <row r="3467" spans="1:28" x14ac:dyDescent="0.25">
      <c r="A3467" t="s">
        <v>3471</v>
      </c>
      <c r="B3467">
        <v>0.99472303558308395</v>
      </c>
      <c r="C3467">
        <v>0.95671073582667499</v>
      </c>
      <c r="D3467">
        <v>0.94420889123489504</v>
      </c>
      <c r="E3467">
        <v>0.81430222410253095</v>
      </c>
      <c r="F3467">
        <v>0.60243244848316002</v>
      </c>
      <c r="G3467">
        <v>0.40637904344912001</v>
      </c>
      <c r="H3467">
        <v>0.37869924225893298</v>
      </c>
      <c r="I3467">
        <v>0.45616629021834598</v>
      </c>
      <c r="J3467">
        <v>0.70672246939374295</v>
      </c>
      <c r="K3467">
        <v>0.68217753658489</v>
      </c>
      <c r="L3467">
        <v>1634.8533466321001</v>
      </c>
      <c r="M3467">
        <v>34.697780196005397</v>
      </c>
      <c r="O3467">
        <v>46.961251426869801</v>
      </c>
      <c r="P3467">
        <v>-8.6961068427570606E-2</v>
      </c>
      <c r="Q3467">
        <v>0.52921638601908305</v>
      </c>
      <c r="R3467">
        <v>0.78552564669389902</v>
      </c>
      <c r="S3467" t="s">
        <v>10035</v>
      </c>
      <c r="T3467" t="s">
        <v>13134</v>
      </c>
      <c r="U3467" t="s">
        <v>13134</v>
      </c>
      <c r="V3467" t="s">
        <v>13134</v>
      </c>
      <c r="W3467" t="s">
        <v>16547</v>
      </c>
      <c r="X3467">
        <v>29</v>
      </c>
      <c r="Y3467" t="s">
        <v>22955</v>
      </c>
      <c r="Z3467" t="s">
        <v>29435</v>
      </c>
      <c r="AA3467">
        <v>0.69002307920466677</v>
      </c>
      <c r="AB3467" t="str">
        <f>HYPERLINK("Melting_Curves/meltCurve_Q14157_UBAP2L.pdf", "Melting_Curves/meltCurve_Q14157_UBAP2L.pdf")</f>
        <v>Melting_Curves/meltCurve_Q14157_UBAP2L.pdf</v>
      </c>
    </row>
    <row r="3468" spans="1:28" x14ac:dyDescent="0.25">
      <c r="A3468" t="s">
        <v>3472</v>
      </c>
      <c r="B3468">
        <v>0.99472303558308395</v>
      </c>
      <c r="C3468">
        <v>0.87621568877251599</v>
      </c>
      <c r="D3468">
        <v>0.94428538060202805</v>
      </c>
      <c r="E3468">
        <v>0.70490854929999103</v>
      </c>
      <c r="F3468">
        <v>0.46692639011168602</v>
      </c>
      <c r="G3468">
        <v>0.32041032523017099</v>
      </c>
      <c r="H3468">
        <v>0.33975262996606398</v>
      </c>
      <c r="I3468">
        <v>0.253328281580881</v>
      </c>
      <c r="J3468">
        <v>0.45165270906588001</v>
      </c>
      <c r="K3468">
        <v>0.32775472401376199</v>
      </c>
      <c r="L3468">
        <v>1094.56903536252</v>
      </c>
      <c r="M3468">
        <v>23.282431269296499</v>
      </c>
      <c r="N3468">
        <v>49.316849426622397</v>
      </c>
      <c r="O3468">
        <v>46.669956102992202</v>
      </c>
      <c r="P3468">
        <v>-8.3373061048282196E-2</v>
      </c>
      <c r="Q3468">
        <v>0.33152209423755502</v>
      </c>
      <c r="R3468">
        <v>0.95084386681940203</v>
      </c>
      <c r="S3468" t="s">
        <v>10036</v>
      </c>
      <c r="T3468" t="s">
        <v>13134</v>
      </c>
      <c r="U3468" t="s">
        <v>13134</v>
      </c>
      <c r="V3468" t="s">
        <v>13134</v>
      </c>
      <c r="W3468" t="s">
        <v>16548</v>
      </c>
      <c r="X3468">
        <v>30</v>
      </c>
      <c r="Y3468" t="s">
        <v>22955</v>
      </c>
      <c r="Z3468" t="s">
        <v>29436</v>
      </c>
      <c r="AA3468">
        <v>0.56110702000378743</v>
      </c>
      <c r="AB3468" t="str">
        <f>HYPERLINK("Melting_Curves/meltCurve_Q14157_1_UBAP2L.pdf", "Melting_Curves/meltCurve_Q14157_1_UBAP2L.pdf")</f>
        <v>Melting_Curves/meltCurve_Q14157_1_UBAP2L.pdf</v>
      </c>
    </row>
    <row r="3469" spans="1:28" x14ac:dyDescent="0.25">
      <c r="A3469" t="s">
        <v>3473</v>
      </c>
      <c r="B3469">
        <v>0.99472303558308395</v>
      </c>
      <c r="C3469">
        <v>0.91623378692343405</v>
      </c>
      <c r="D3469">
        <v>0.833149022482218</v>
      </c>
      <c r="E3469">
        <v>0.31745162840868901</v>
      </c>
      <c r="F3469">
        <v>0.164310836267476</v>
      </c>
      <c r="G3469">
        <v>9.35487753388871E-2</v>
      </c>
      <c r="H3469">
        <v>6.1169405927285397E-2</v>
      </c>
      <c r="I3469">
        <v>4.2635725234374998E-2</v>
      </c>
      <c r="J3469">
        <v>5.8575599703157497E-2</v>
      </c>
      <c r="K3469">
        <v>4.1109951115023899E-2</v>
      </c>
      <c r="L3469">
        <v>1167.3948573089999</v>
      </c>
      <c r="M3469">
        <v>25.852727007066498</v>
      </c>
      <c r="N3469">
        <v>45.377260760594901</v>
      </c>
      <c r="O3469">
        <v>44.887998430836198</v>
      </c>
      <c r="P3469">
        <v>-0.13544446130267801</v>
      </c>
      <c r="Q3469">
        <v>5.9324116935880099E-2</v>
      </c>
      <c r="R3469">
        <v>0.994505081343805</v>
      </c>
      <c r="S3469" t="s">
        <v>10037</v>
      </c>
      <c r="T3469" t="s">
        <v>13134</v>
      </c>
      <c r="U3469" t="s">
        <v>13134</v>
      </c>
      <c r="V3469" t="s">
        <v>13134</v>
      </c>
      <c r="W3469" t="s">
        <v>16549</v>
      </c>
      <c r="X3469">
        <v>36</v>
      </c>
      <c r="Y3469" t="s">
        <v>22956</v>
      </c>
      <c r="Z3469" t="s">
        <v>29437</v>
      </c>
      <c r="AA3469">
        <v>0.322256039084935</v>
      </c>
      <c r="AB3469" t="str">
        <f>HYPERLINK("Melting_Curves/meltCurve_Q14160_SCRIB.pdf", "Melting_Curves/meltCurve_Q14160_SCRIB.pdf")</f>
        <v>Melting_Curves/meltCurve_Q14160_SCRIB.pdf</v>
      </c>
    </row>
    <row r="3470" spans="1:28" x14ac:dyDescent="0.25">
      <c r="A3470" t="s">
        <v>3474</v>
      </c>
      <c r="B3470">
        <v>0.99472303558308395</v>
      </c>
      <c r="C3470">
        <v>0.88417880959085104</v>
      </c>
      <c r="D3470">
        <v>0.86888480988388195</v>
      </c>
      <c r="E3470">
        <v>0.747586675927706</v>
      </c>
      <c r="F3470">
        <v>0.622549436969142</v>
      </c>
      <c r="G3470">
        <v>0.25699275512296599</v>
      </c>
      <c r="H3470">
        <v>8.4232468374466393E-2</v>
      </c>
      <c r="I3470">
        <v>4.8047222350246097E-2</v>
      </c>
      <c r="J3470">
        <v>4.8864809623340499E-2</v>
      </c>
      <c r="K3470">
        <v>5.0705696795950703E-2</v>
      </c>
      <c r="L3470">
        <v>741.41030579663402</v>
      </c>
      <c r="M3470">
        <v>14.684168529170099</v>
      </c>
      <c r="N3470">
        <v>50.490454770423</v>
      </c>
      <c r="O3470">
        <v>49.581781827213398</v>
      </c>
      <c r="P3470">
        <v>-7.4048271594151699E-2</v>
      </c>
      <c r="Q3470">
        <v>0</v>
      </c>
      <c r="R3470">
        <v>0.97923138612821203</v>
      </c>
      <c r="S3470" t="s">
        <v>10038</v>
      </c>
      <c r="T3470" t="s">
        <v>13134</v>
      </c>
      <c r="U3470" t="s">
        <v>13134</v>
      </c>
      <c r="V3470" t="s">
        <v>13134</v>
      </c>
      <c r="W3470" t="s">
        <v>16550</v>
      </c>
      <c r="X3470">
        <v>13</v>
      </c>
      <c r="Y3470" t="s">
        <v>22957</v>
      </c>
      <c r="Z3470" t="s">
        <v>29438</v>
      </c>
      <c r="AA3470">
        <v>0.47083734147557571</v>
      </c>
      <c r="AB3470" t="str">
        <f>HYPERLINK("Melting_Curves/meltCurve_Q14165_MLEC.pdf", "Melting_Curves/meltCurve_Q14165_MLEC.pdf")</f>
        <v>Melting_Curves/meltCurve_Q14165_MLEC.pdf</v>
      </c>
    </row>
    <row r="3471" spans="1:28" x14ac:dyDescent="0.25">
      <c r="A3471" t="s">
        <v>3475</v>
      </c>
      <c r="B3471">
        <v>0.99472303558308395</v>
      </c>
      <c r="C3471">
        <v>0.89756237059006905</v>
      </c>
      <c r="D3471">
        <v>0.74126810110817498</v>
      </c>
      <c r="E3471">
        <v>0.30583689232424599</v>
      </c>
      <c r="F3471">
        <v>0.16603813569456199</v>
      </c>
      <c r="G3471">
        <v>8.0442570731001098E-2</v>
      </c>
      <c r="H3471">
        <v>4.4745852028669E-2</v>
      </c>
      <c r="I3471">
        <v>3.3684379323343401E-2</v>
      </c>
      <c r="J3471">
        <v>3.3738852684721897E-2</v>
      </c>
      <c r="K3471">
        <v>3.2213553157971898E-2</v>
      </c>
      <c r="L3471">
        <v>902.09284232646496</v>
      </c>
      <c r="M3471">
        <v>20.131530990012401</v>
      </c>
      <c r="N3471">
        <v>44.979588629497997</v>
      </c>
      <c r="O3471">
        <v>44.374824236884997</v>
      </c>
      <c r="P3471">
        <v>-0.109274631843794</v>
      </c>
      <c r="Q3471">
        <v>3.6558370372780903E-2</v>
      </c>
      <c r="R3471">
        <v>0.99697524210340305</v>
      </c>
      <c r="S3471" t="s">
        <v>10039</v>
      </c>
      <c r="T3471" t="s">
        <v>13134</v>
      </c>
      <c r="U3471" t="s">
        <v>13134</v>
      </c>
      <c r="V3471" t="s">
        <v>13134</v>
      </c>
      <c r="W3471" t="s">
        <v>16551</v>
      </c>
      <c r="X3471">
        <v>21</v>
      </c>
      <c r="Y3471" t="s">
        <v>22958</v>
      </c>
      <c r="Z3471" t="s">
        <v>29439</v>
      </c>
      <c r="AA3471">
        <v>0.29988544400713402</v>
      </c>
      <c r="AB3471" t="str">
        <f>HYPERLINK("Melting_Curves/meltCurve_Q14166_TTLL12.pdf", "Melting_Curves/meltCurve_Q14166_TTLL12.pdf")</f>
        <v>Melting_Curves/meltCurve_Q14166_TTLL12.pdf</v>
      </c>
    </row>
    <row r="3472" spans="1:28" x14ac:dyDescent="0.25">
      <c r="A3472" t="s">
        <v>3476</v>
      </c>
      <c r="B3472">
        <v>0.99472303558308395</v>
      </c>
      <c r="C3472">
        <v>0.92879627702545398</v>
      </c>
      <c r="D3472">
        <v>0.76608603195455305</v>
      </c>
      <c r="E3472">
        <v>0.44803242080259797</v>
      </c>
      <c r="F3472">
        <v>0.175811165509899</v>
      </c>
      <c r="G3472">
        <v>8.1625686665448297E-2</v>
      </c>
      <c r="H3472">
        <v>5.0838564216623298E-2</v>
      </c>
      <c r="I3472">
        <v>3.8746110391180498E-2</v>
      </c>
      <c r="J3472">
        <v>4.5456410478201002E-2</v>
      </c>
      <c r="K3472">
        <v>4.5146915527621602E-2</v>
      </c>
      <c r="L3472">
        <v>849.35811353393501</v>
      </c>
      <c r="M3472">
        <v>18.576500851142601</v>
      </c>
      <c r="N3472">
        <v>45.8909212134744</v>
      </c>
      <c r="O3472">
        <v>45.202221355851997</v>
      </c>
      <c r="P3472">
        <v>-9.9353667985856001E-2</v>
      </c>
      <c r="Q3472">
        <v>3.3012651911128198E-2</v>
      </c>
      <c r="R3472">
        <v>0.99942530473832303</v>
      </c>
      <c r="S3472" t="s">
        <v>10040</v>
      </c>
      <c r="T3472" t="s">
        <v>13134</v>
      </c>
      <c r="U3472" t="s">
        <v>13134</v>
      </c>
      <c r="V3472" t="s">
        <v>13134</v>
      </c>
      <c r="W3472" t="s">
        <v>16552</v>
      </c>
      <c r="X3472">
        <v>10</v>
      </c>
      <c r="Y3472" t="s">
        <v>22959</v>
      </c>
      <c r="Z3472" t="s">
        <v>29440</v>
      </c>
      <c r="AA3472">
        <v>0.32885902557510549</v>
      </c>
      <c r="AB3472" t="str">
        <f>HYPERLINK("Melting_Curves/meltCurve_Q14181_POLA2.pdf", "Melting_Curves/meltCurve_Q14181_POLA2.pdf")</f>
        <v>Melting_Curves/meltCurve_Q14181_POLA2.pdf</v>
      </c>
    </row>
    <row r="3473" spans="1:28" x14ac:dyDescent="0.25">
      <c r="A3473" t="s">
        <v>3477</v>
      </c>
      <c r="B3473">
        <v>0.99472303558308395</v>
      </c>
      <c r="C3473">
        <v>0.85715649742849898</v>
      </c>
      <c r="D3473">
        <v>0.56206801585491695</v>
      </c>
      <c r="E3473">
        <v>0.31076105519921199</v>
      </c>
      <c r="F3473">
        <v>0.22160330512947399</v>
      </c>
      <c r="G3473">
        <v>0.109734732336456</v>
      </c>
      <c r="H3473">
        <v>9.1537857175893494E-2</v>
      </c>
      <c r="I3473">
        <v>7.1398459737151296E-2</v>
      </c>
      <c r="J3473">
        <v>0.12674659935545099</v>
      </c>
      <c r="K3473">
        <v>9.5855826837770899E-2</v>
      </c>
      <c r="L3473">
        <v>763.15829380078196</v>
      </c>
      <c r="M3473">
        <v>17.562121078399901</v>
      </c>
      <c r="N3473">
        <v>43.988970524402397</v>
      </c>
      <c r="O3473">
        <v>42.903113212349901</v>
      </c>
      <c r="P3473">
        <v>-9.2513719319029797E-2</v>
      </c>
      <c r="Q3473">
        <v>9.6029312009888498E-2</v>
      </c>
      <c r="R3473">
        <v>0.99363693672532605</v>
      </c>
      <c r="S3473" t="s">
        <v>10041</v>
      </c>
      <c r="T3473" t="s">
        <v>13134</v>
      </c>
      <c r="U3473" t="s">
        <v>13134</v>
      </c>
      <c r="V3473" t="s">
        <v>13134</v>
      </c>
      <c r="W3473" t="s">
        <v>16553</v>
      </c>
      <c r="X3473">
        <v>4</v>
      </c>
      <c r="Y3473" t="s">
        <v>22960</v>
      </c>
      <c r="Z3473" t="s">
        <v>29441</v>
      </c>
      <c r="AA3473">
        <v>0.30699246371817412</v>
      </c>
      <c r="AB3473" t="str">
        <f>HYPERLINK("Melting_Curves/meltCurve_Q14191_WRN.pdf", "Melting_Curves/meltCurve_Q14191_WRN.pdf")</f>
        <v>Melting_Curves/meltCurve_Q14191_WRN.pdf</v>
      </c>
    </row>
    <row r="3474" spans="1:28" x14ac:dyDescent="0.25">
      <c r="A3474" t="s">
        <v>3478</v>
      </c>
      <c r="B3474">
        <v>0.99472303558308395</v>
      </c>
      <c r="C3474">
        <v>0.93747093983438001</v>
      </c>
      <c r="D3474">
        <v>0.69217088673296701</v>
      </c>
      <c r="E3474">
        <v>0.55793332187943601</v>
      </c>
      <c r="F3474">
        <v>0.38011608163385702</v>
      </c>
      <c r="G3474">
        <v>9.0942344858840701E-2</v>
      </c>
      <c r="H3474">
        <v>6.5952955137457997E-2</v>
      </c>
      <c r="I3474">
        <v>4.5562571699569801E-2</v>
      </c>
      <c r="J3474">
        <v>5.2279711404534697E-2</v>
      </c>
      <c r="K3474">
        <v>4.3357852441628798E-2</v>
      </c>
      <c r="L3474">
        <v>599.095004135164</v>
      </c>
      <c r="M3474">
        <v>12.737239944547101</v>
      </c>
      <c r="N3474">
        <v>47.034914984664901</v>
      </c>
      <c r="O3474">
        <v>45.920763400011303</v>
      </c>
      <c r="P3474">
        <v>-6.9356840105852205E-2</v>
      </c>
      <c r="Q3474">
        <v>0</v>
      </c>
      <c r="R3474">
        <v>0.98462174073407605</v>
      </c>
      <c r="S3474" t="s">
        <v>10042</v>
      </c>
      <c r="T3474" t="s">
        <v>13134</v>
      </c>
      <c r="U3474" t="s">
        <v>13134</v>
      </c>
      <c r="V3474" t="s">
        <v>13134</v>
      </c>
      <c r="W3474" t="s">
        <v>16554</v>
      </c>
      <c r="X3474">
        <v>162</v>
      </c>
      <c r="Y3474" t="s">
        <v>22961</v>
      </c>
      <c r="Z3474" t="s">
        <v>29442</v>
      </c>
      <c r="AA3474">
        <v>0.3642898272002108</v>
      </c>
      <c r="AB3474" t="str">
        <f>HYPERLINK("Melting_Curves/meltCurve_Q14204_DYNC1H1.pdf", "Melting_Curves/meltCurve_Q14204_DYNC1H1.pdf")</f>
        <v>Melting_Curves/meltCurve_Q14204_DYNC1H1.pdf</v>
      </c>
    </row>
    <row r="3475" spans="1:28" x14ac:dyDescent="0.25">
      <c r="A3475" t="s">
        <v>3479</v>
      </c>
      <c r="B3475">
        <v>0.99472303558308395</v>
      </c>
      <c r="C3475">
        <v>1.01158771687198</v>
      </c>
      <c r="D3475">
        <v>0.99452846050036503</v>
      </c>
      <c r="E3475">
        <v>0.95283086266111605</v>
      </c>
      <c r="F3475">
        <v>0.777752664167638</v>
      </c>
      <c r="G3475">
        <v>0.79240353078245795</v>
      </c>
      <c r="H3475">
        <v>0.45218510397170297</v>
      </c>
      <c r="I3475">
        <v>8.5295462809770795E-2</v>
      </c>
      <c r="J3475">
        <v>7.1454583156062304E-2</v>
      </c>
      <c r="K3475">
        <v>8.5309398933937394E-2</v>
      </c>
      <c r="L3475">
        <v>1126.5985696743301</v>
      </c>
      <c r="M3475">
        <v>19.985251259618501</v>
      </c>
      <c r="N3475">
        <v>56.371499118786602</v>
      </c>
      <c r="O3475">
        <v>55.8161876299596</v>
      </c>
      <c r="P3475">
        <v>-8.9516595315589698E-2</v>
      </c>
      <c r="Q3475">
        <v>0</v>
      </c>
      <c r="R3475">
        <v>0.97369201713814302</v>
      </c>
      <c r="S3475" t="s">
        <v>10043</v>
      </c>
      <c r="T3475" t="s">
        <v>13134</v>
      </c>
      <c r="U3475" t="s">
        <v>13134</v>
      </c>
      <c r="V3475" t="s">
        <v>13134</v>
      </c>
      <c r="W3475" t="s">
        <v>16555</v>
      </c>
      <c r="X3475">
        <v>18</v>
      </c>
      <c r="Y3475" t="s">
        <v>22962</v>
      </c>
      <c r="Z3475" t="s">
        <v>29443</v>
      </c>
      <c r="AA3475">
        <v>0.65550110727395317</v>
      </c>
      <c r="AB3475" t="str">
        <f>HYPERLINK("Melting_Curves/meltCurve_Q14232_EIF2B1.pdf", "Melting_Curves/meltCurve_Q14232_EIF2B1.pdf")</f>
        <v>Melting_Curves/meltCurve_Q14232_EIF2B1.pdf</v>
      </c>
    </row>
    <row r="3476" spans="1:28" x14ac:dyDescent="0.25">
      <c r="A3476" t="s">
        <v>3480</v>
      </c>
      <c r="B3476">
        <v>0.99472303558308395</v>
      </c>
      <c r="C3476">
        <v>1.0017173702981601</v>
      </c>
      <c r="D3476">
        <v>0.91943057527119598</v>
      </c>
      <c r="E3476">
        <v>0.87502269099305796</v>
      </c>
      <c r="F3476">
        <v>0.78886555394339397</v>
      </c>
      <c r="G3476">
        <v>0.57202734510408604</v>
      </c>
      <c r="H3476">
        <v>0.325179605658173</v>
      </c>
      <c r="I3476">
        <v>0.15012564293679401</v>
      </c>
      <c r="J3476">
        <v>0.12530877257489501</v>
      </c>
      <c r="K3476">
        <v>0.101764289422452</v>
      </c>
      <c r="L3476">
        <v>751.36310218044105</v>
      </c>
      <c r="M3476">
        <v>13.7959566759599</v>
      </c>
      <c r="N3476">
        <v>54.525349882208701</v>
      </c>
      <c r="O3476">
        <v>53.3564982614418</v>
      </c>
      <c r="P3476">
        <v>-6.4140033503685995E-2</v>
      </c>
      <c r="Q3476">
        <v>7.8808914191682896E-3</v>
      </c>
      <c r="R3476">
        <v>0.99350638234390598</v>
      </c>
      <c r="S3476" t="s">
        <v>10044</v>
      </c>
      <c r="T3476" t="s">
        <v>13134</v>
      </c>
      <c r="U3476" t="s">
        <v>13134</v>
      </c>
      <c r="V3476" t="s">
        <v>13134</v>
      </c>
      <c r="W3476" t="s">
        <v>16556</v>
      </c>
      <c r="X3476">
        <v>22</v>
      </c>
      <c r="Y3476" t="s">
        <v>22963</v>
      </c>
      <c r="Z3476" t="s">
        <v>29444</v>
      </c>
      <c r="AA3476">
        <v>0.60115886925365958</v>
      </c>
      <c r="AB3476" t="str">
        <f>HYPERLINK("Melting_Curves/meltCurve_Q14240_EIF4A2.pdf", "Melting_Curves/meltCurve_Q14240_EIF4A2.pdf")</f>
        <v>Melting_Curves/meltCurve_Q14240_EIF4A2.pdf</v>
      </c>
    </row>
    <row r="3477" spans="1:28" x14ac:dyDescent="0.25">
      <c r="A3477" t="s">
        <v>3481</v>
      </c>
      <c r="B3477">
        <v>0.99472303558308395</v>
      </c>
      <c r="C3477">
        <v>0.94656029156195998</v>
      </c>
      <c r="D3477">
        <v>0.93197013632799197</v>
      </c>
      <c r="E3477">
        <v>0.637121180263582</v>
      </c>
      <c r="F3477">
        <v>0.17533080027516099</v>
      </c>
      <c r="G3477">
        <v>9.8642971141818594E-2</v>
      </c>
      <c r="H3477">
        <v>6.2677430371814002E-2</v>
      </c>
      <c r="I3477">
        <v>5.6106779363226E-2</v>
      </c>
      <c r="J3477">
        <v>6.5263227065093798E-2</v>
      </c>
      <c r="K3477">
        <v>5.4653769570221798E-2</v>
      </c>
      <c r="L3477">
        <v>1422.6031955718299</v>
      </c>
      <c r="M3477">
        <v>30.1216573611269</v>
      </c>
      <c r="N3477">
        <v>47.426562632079602</v>
      </c>
      <c r="O3477">
        <v>47.021869866406497</v>
      </c>
      <c r="P3477">
        <v>-0.15068674653021399</v>
      </c>
      <c r="Q3477">
        <v>5.9078360975194803E-2</v>
      </c>
      <c r="R3477">
        <v>0.997582883738106</v>
      </c>
      <c r="S3477" t="s">
        <v>10045</v>
      </c>
      <c r="T3477" t="s">
        <v>13134</v>
      </c>
      <c r="U3477" t="s">
        <v>13134</v>
      </c>
      <c r="V3477" t="s">
        <v>13134</v>
      </c>
      <c r="W3477" t="s">
        <v>16557</v>
      </c>
      <c r="X3477">
        <v>18</v>
      </c>
      <c r="Y3477" t="s">
        <v>22964</v>
      </c>
      <c r="Z3477" t="s">
        <v>29445</v>
      </c>
      <c r="AA3477">
        <v>0.38533582141802031</v>
      </c>
      <c r="AB3477" t="str">
        <f>HYPERLINK("Melting_Curves/meltCurve_Q14241_TCEB3.pdf", "Melting_Curves/meltCurve_Q14241_TCEB3.pdf")</f>
        <v>Melting_Curves/meltCurve_Q14241_TCEB3.pdf</v>
      </c>
    </row>
    <row r="3478" spans="1:28" x14ac:dyDescent="0.25">
      <c r="A3478" t="s">
        <v>3482</v>
      </c>
      <c r="B3478">
        <v>0.99472303558308395</v>
      </c>
      <c r="C3478">
        <v>0.89269778870406202</v>
      </c>
      <c r="D3478">
        <v>0.85839191185587604</v>
      </c>
      <c r="E3478">
        <v>0.66072097728243495</v>
      </c>
      <c r="F3478">
        <v>0.48425551077592499</v>
      </c>
      <c r="G3478">
        <v>0.28209371550026702</v>
      </c>
      <c r="H3478">
        <v>0.24293447740122401</v>
      </c>
      <c r="I3478">
        <v>0.229564948948554</v>
      </c>
      <c r="J3478">
        <v>0.22110580561825</v>
      </c>
      <c r="K3478">
        <v>0.15760045299105399</v>
      </c>
      <c r="L3478">
        <v>617.36089742487502</v>
      </c>
      <c r="M3478">
        <v>12.8821732190465</v>
      </c>
      <c r="N3478">
        <v>49.404127246488201</v>
      </c>
      <c r="O3478">
        <v>46.812889420492198</v>
      </c>
      <c r="P3478">
        <v>-5.7790668452108597E-2</v>
      </c>
      <c r="Q3478">
        <v>0.16012527574385299</v>
      </c>
      <c r="R3478">
        <v>0.99245303215733105</v>
      </c>
      <c r="S3478" t="s">
        <v>10046</v>
      </c>
      <c r="T3478" t="s">
        <v>13134</v>
      </c>
      <c r="U3478" t="s">
        <v>13134</v>
      </c>
      <c r="V3478" t="s">
        <v>13134</v>
      </c>
      <c r="W3478" t="s">
        <v>16558</v>
      </c>
      <c r="X3478">
        <v>10</v>
      </c>
      <c r="Y3478" t="s">
        <v>22965</v>
      </c>
      <c r="Z3478" t="s">
        <v>29446</v>
      </c>
      <c r="AA3478">
        <v>0.48965446412379821</v>
      </c>
      <c r="AB3478" t="str">
        <f>HYPERLINK("Melting_Curves/meltCurve_Q14244_MAP7.pdf", "Melting_Curves/meltCurve_Q14244_MAP7.pdf")</f>
        <v>Melting_Curves/meltCurve_Q14244_MAP7.pdf</v>
      </c>
    </row>
    <row r="3479" spans="1:28" x14ac:dyDescent="0.25">
      <c r="A3479" t="s">
        <v>3483</v>
      </c>
      <c r="B3479">
        <v>0.99472303558308395</v>
      </c>
      <c r="C3479">
        <v>1.01080471074471</v>
      </c>
      <c r="D3479">
        <v>1.00787195344503</v>
      </c>
      <c r="E3479">
        <v>0.97277285601577501</v>
      </c>
      <c r="F3479">
        <v>0.716669719234028</v>
      </c>
      <c r="G3479">
        <v>0.62971383813609605</v>
      </c>
      <c r="H3479">
        <v>0.57526807426982196</v>
      </c>
      <c r="I3479">
        <v>0.67047540364166103</v>
      </c>
      <c r="J3479">
        <v>0.90130103369318504</v>
      </c>
      <c r="K3479">
        <v>0.62484736263587604</v>
      </c>
      <c r="L3479">
        <v>2977.12837935569</v>
      </c>
      <c r="M3479">
        <v>61.448031643489699</v>
      </c>
      <c r="O3479">
        <v>48.398297576403202</v>
      </c>
      <c r="P3479">
        <v>-0.10137280309495</v>
      </c>
      <c r="Q3479">
        <v>0.68062318256463905</v>
      </c>
      <c r="R3479">
        <v>0.779225511882781</v>
      </c>
      <c r="S3479" t="s">
        <v>10047</v>
      </c>
      <c r="T3479" t="s">
        <v>13134</v>
      </c>
      <c r="U3479" t="s">
        <v>13134</v>
      </c>
      <c r="V3479" t="s">
        <v>13134</v>
      </c>
      <c r="W3479" t="s">
        <v>16559</v>
      </c>
      <c r="X3479">
        <v>57</v>
      </c>
      <c r="Y3479" t="s">
        <v>22966</v>
      </c>
      <c r="Z3479" t="s">
        <v>29447</v>
      </c>
      <c r="AA3479">
        <v>0.80296474520973693</v>
      </c>
      <c r="AB3479" t="str">
        <f>HYPERLINK("Melting_Curves/meltCurve_Q14247_CTTN.pdf", "Melting_Curves/meltCurve_Q14247_CTTN.pdf")</f>
        <v>Melting_Curves/meltCurve_Q14247_CTTN.pdf</v>
      </c>
    </row>
    <row r="3480" spans="1:28" x14ac:dyDescent="0.25">
      <c r="A3480" t="s">
        <v>3484</v>
      </c>
      <c r="B3480">
        <v>0.99472303558308395</v>
      </c>
      <c r="C3480">
        <v>1.1299912973955</v>
      </c>
      <c r="D3480">
        <v>1.1005617640832901</v>
      </c>
      <c r="E3480">
        <v>0.949248672137597</v>
      </c>
      <c r="F3480">
        <v>0.65822999854896003</v>
      </c>
      <c r="G3480">
        <v>0.60336831393249102</v>
      </c>
      <c r="H3480">
        <v>0.48060913968107299</v>
      </c>
      <c r="I3480">
        <v>0.525872690847761</v>
      </c>
      <c r="J3480">
        <v>0.73715711488674596</v>
      </c>
      <c r="K3480">
        <v>0.46435674731168203</v>
      </c>
      <c r="L3480">
        <v>2150.8612425931501</v>
      </c>
      <c r="M3480">
        <v>44.0584715181704</v>
      </c>
      <c r="O3480">
        <v>48.718083286495599</v>
      </c>
      <c r="P3480">
        <v>-9.9445962527007395E-2</v>
      </c>
      <c r="Q3480">
        <v>0.56014726371671897</v>
      </c>
      <c r="R3480">
        <v>0.87204136164203006</v>
      </c>
      <c r="S3480" t="s">
        <v>10048</v>
      </c>
      <c r="T3480" t="s">
        <v>13134</v>
      </c>
      <c r="U3480" t="s">
        <v>13134</v>
      </c>
      <c r="V3480" t="s">
        <v>13134</v>
      </c>
      <c r="W3480" t="s">
        <v>16560</v>
      </c>
      <c r="X3480">
        <v>52</v>
      </c>
      <c r="Y3480" t="s">
        <v>22966</v>
      </c>
      <c r="Z3480" t="s">
        <v>29448</v>
      </c>
      <c r="AA3480">
        <v>0.7346464895691206</v>
      </c>
      <c r="AB3480" t="str">
        <f>HYPERLINK("Melting_Curves/meltCurve_Q14247_3_CTTN.pdf", "Melting_Curves/meltCurve_Q14247_3_CTTN.pdf")</f>
        <v>Melting_Curves/meltCurve_Q14247_3_CTTN.pdf</v>
      </c>
    </row>
    <row r="3481" spans="1:28" x14ac:dyDescent="0.25">
      <c r="A3481" t="s">
        <v>3485</v>
      </c>
      <c r="B3481">
        <v>0.99472303558308395</v>
      </c>
      <c r="C3481">
        <v>0.98858289382190201</v>
      </c>
      <c r="D3481">
        <v>0.90119171760876604</v>
      </c>
      <c r="E3481">
        <v>0.82118463407821696</v>
      </c>
      <c r="F3481">
        <v>0.69504238160834797</v>
      </c>
      <c r="G3481">
        <v>0.247584416258947</v>
      </c>
      <c r="H3481">
        <v>0.112176747034158</v>
      </c>
      <c r="I3481">
        <v>7.2968789459053399E-2</v>
      </c>
      <c r="J3481">
        <v>8.50683859528963E-2</v>
      </c>
      <c r="K3481">
        <v>7.2665263273689495E-2</v>
      </c>
      <c r="L3481">
        <v>1073.17407496841</v>
      </c>
      <c r="M3481">
        <v>20.995840742074002</v>
      </c>
      <c r="N3481">
        <v>51.3649930699343</v>
      </c>
      <c r="O3481">
        <v>50.656749061139699</v>
      </c>
      <c r="P3481">
        <v>-9.8562376298905893E-2</v>
      </c>
      <c r="Q3481">
        <v>4.88182546242409E-2</v>
      </c>
      <c r="R3481">
        <v>0.98590494487317604</v>
      </c>
      <c r="S3481" t="s">
        <v>10049</v>
      </c>
      <c r="T3481" t="s">
        <v>13134</v>
      </c>
      <c r="U3481" t="s">
        <v>13134</v>
      </c>
      <c r="V3481" t="s">
        <v>13134</v>
      </c>
      <c r="W3481" t="s">
        <v>16561</v>
      </c>
      <c r="X3481">
        <v>9</v>
      </c>
      <c r="Y3481" t="s">
        <v>22967</v>
      </c>
      <c r="Z3481" t="s">
        <v>29449</v>
      </c>
      <c r="AA3481">
        <v>0.50777068600553699</v>
      </c>
      <c r="AB3481" t="str">
        <f>HYPERLINK("Melting_Curves/meltCurve_Q14249_ENDOG.pdf", "Melting_Curves/meltCurve_Q14249_ENDOG.pdf")</f>
        <v>Melting_Curves/meltCurve_Q14249_ENDOG.pdf</v>
      </c>
    </row>
    <row r="3482" spans="1:28" x14ac:dyDescent="0.25">
      <c r="A3482" t="s">
        <v>3486</v>
      </c>
      <c r="B3482">
        <v>0.99472303558308395</v>
      </c>
      <c r="C3482">
        <v>0.96442818482661397</v>
      </c>
      <c r="D3482">
        <v>0.77030858013437797</v>
      </c>
      <c r="E3482">
        <v>0.67420132827757395</v>
      </c>
      <c r="F3482">
        <v>0.54473339088633899</v>
      </c>
      <c r="G3482">
        <v>0.22946964322699401</v>
      </c>
      <c r="H3482">
        <v>0.145924490007588</v>
      </c>
      <c r="I3482">
        <v>0.101753693597118</v>
      </c>
      <c r="J3482">
        <v>0.110419439332038</v>
      </c>
      <c r="K3482">
        <v>0.10674048818072999</v>
      </c>
      <c r="L3482">
        <v>579.58301741129003</v>
      </c>
      <c r="M3482">
        <v>11.8032922420783</v>
      </c>
      <c r="N3482">
        <v>49.399360719369902</v>
      </c>
      <c r="O3482">
        <v>47.757627708403298</v>
      </c>
      <c r="P3482">
        <v>-5.9694314208656903E-2</v>
      </c>
      <c r="Q3482">
        <v>3.4124957179216403E-2</v>
      </c>
      <c r="R3482">
        <v>0.98230975584062696</v>
      </c>
      <c r="S3482" t="s">
        <v>10050</v>
      </c>
      <c r="T3482" t="s">
        <v>13134</v>
      </c>
      <c r="U3482" t="s">
        <v>13134</v>
      </c>
      <c r="V3482" t="s">
        <v>13134</v>
      </c>
      <c r="W3482" t="s">
        <v>16562</v>
      </c>
      <c r="X3482">
        <v>6</v>
      </c>
      <c r="Y3482" t="s">
        <v>22968</v>
      </c>
      <c r="Z3482" t="s">
        <v>29450</v>
      </c>
      <c r="AA3482">
        <v>0.45296752510060179</v>
      </c>
      <c r="AB3482" t="str">
        <f>HYPERLINK("Melting_Curves/meltCurve_Q14257_RCN2.pdf", "Melting_Curves/meltCurve_Q14257_RCN2.pdf")</f>
        <v>Melting_Curves/meltCurve_Q14257_RCN2.pdf</v>
      </c>
    </row>
    <row r="3483" spans="1:28" x14ac:dyDescent="0.25">
      <c r="A3483" t="s">
        <v>3487</v>
      </c>
      <c r="B3483">
        <v>0.99472303558308395</v>
      </c>
      <c r="C3483">
        <v>0.96002284983894903</v>
      </c>
      <c r="D3483">
        <v>0.93533835464867099</v>
      </c>
      <c r="E3483">
        <v>0.73354364389025695</v>
      </c>
      <c r="F3483">
        <v>0.24188205094575099</v>
      </c>
      <c r="G3483">
        <v>0.11163835769934199</v>
      </c>
      <c r="H3483">
        <v>6.33211122989569E-2</v>
      </c>
      <c r="I3483">
        <v>4.5430573847694597E-2</v>
      </c>
      <c r="J3483">
        <v>5.6583297777398997E-2</v>
      </c>
      <c r="K3483">
        <v>4.5799153842813002E-2</v>
      </c>
      <c r="L3483">
        <v>1384.6021244312001</v>
      </c>
      <c r="M3483">
        <v>28.8557358780138</v>
      </c>
      <c r="N3483">
        <v>48.167366983005302</v>
      </c>
      <c r="O3483">
        <v>47.754920753069698</v>
      </c>
      <c r="P3483">
        <v>-0.143189294881336</v>
      </c>
      <c r="Q3483">
        <v>5.2120321297292702E-2</v>
      </c>
      <c r="R3483">
        <v>0.99785786927081699</v>
      </c>
      <c r="S3483" t="s">
        <v>10051</v>
      </c>
      <c r="T3483" t="s">
        <v>13134</v>
      </c>
      <c r="U3483" t="s">
        <v>13134</v>
      </c>
      <c r="V3483" t="s">
        <v>13134</v>
      </c>
      <c r="W3483" t="s">
        <v>16563</v>
      </c>
      <c r="X3483">
        <v>15</v>
      </c>
      <c r="Y3483" t="s">
        <v>22969</v>
      </c>
      <c r="Z3483" t="s">
        <v>29451</v>
      </c>
      <c r="AA3483">
        <v>0.40522564306733488</v>
      </c>
      <c r="AB3483" t="str">
        <f>HYPERLINK("Melting_Curves/meltCurve_Q14258_TRIM25.pdf", "Melting_Curves/meltCurve_Q14258_TRIM25.pdf")</f>
        <v>Melting_Curves/meltCurve_Q14258_TRIM25.pdf</v>
      </c>
    </row>
    <row r="3484" spans="1:28" x14ac:dyDescent="0.25">
      <c r="A3484" t="s">
        <v>3488</v>
      </c>
      <c r="B3484">
        <v>0.99472303558308395</v>
      </c>
      <c r="C3484">
        <v>0.84781245238955505</v>
      </c>
      <c r="D3484">
        <v>0.842605314902242</v>
      </c>
      <c r="E3484">
        <v>0.38778464685512198</v>
      </c>
      <c r="F3484">
        <v>8.4077722126286294E-2</v>
      </c>
      <c r="G3484">
        <v>5.2342551998890603E-2</v>
      </c>
      <c r="H3484">
        <v>2.79430010761215E-2</v>
      </c>
      <c r="I3484">
        <v>1.9717499495024202E-2</v>
      </c>
      <c r="J3484">
        <v>2.75118921788488E-2</v>
      </c>
      <c r="K3484">
        <v>2.0939908490623101E-2</v>
      </c>
      <c r="L3484">
        <v>1073.5139602276799</v>
      </c>
      <c r="M3484">
        <v>23.5582064369659</v>
      </c>
      <c r="N3484">
        <v>45.6364865877241</v>
      </c>
      <c r="O3484">
        <v>45.244035402810098</v>
      </c>
      <c r="P3484">
        <v>-0.127933047844698</v>
      </c>
      <c r="Q3484">
        <v>1.7224085178376199E-2</v>
      </c>
      <c r="R3484">
        <v>0.98875842152664795</v>
      </c>
      <c r="S3484" t="s">
        <v>10052</v>
      </c>
      <c r="T3484" t="s">
        <v>13134</v>
      </c>
      <c r="U3484" t="s">
        <v>13134</v>
      </c>
      <c r="V3484" t="s">
        <v>13134</v>
      </c>
      <c r="W3484" t="s">
        <v>16564</v>
      </c>
      <c r="X3484">
        <v>15</v>
      </c>
      <c r="Y3484" t="s">
        <v>22970</v>
      </c>
      <c r="Z3484" t="s">
        <v>29452</v>
      </c>
      <c r="AA3484">
        <v>0.3070893651291019</v>
      </c>
      <c r="AB3484" t="str">
        <f>HYPERLINK("Melting_Curves/meltCurve_Q14289_2_PTK2B.pdf", "Melting_Curves/meltCurve_Q14289_2_PTK2B.pdf")</f>
        <v>Melting_Curves/meltCurve_Q14289_2_PTK2B.pdf</v>
      </c>
    </row>
    <row r="3485" spans="1:28" x14ac:dyDescent="0.25">
      <c r="A3485" t="s">
        <v>3489</v>
      </c>
      <c r="B3485">
        <v>0.99472303558308395</v>
      </c>
      <c r="C3485">
        <v>1.0109871575356699</v>
      </c>
      <c r="D3485">
        <v>0.868195020275214</v>
      </c>
      <c r="E3485">
        <v>0.73411307229822698</v>
      </c>
      <c r="F3485">
        <v>0.48743201637413403</v>
      </c>
      <c r="G3485">
        <v>0.193955147579778</v>
      </c>
      <c r="H3485">
        <v>7.6421249464222796E-2</v>
      </c>
      <c r="I3485">
        <v>4.9832916247159499E-2</v>
      </c>
      <c r="J3485">
        <v>6.5263334435499407E-2</v>
      </c>
      <c r="K3485">
        <v>5.2146096887376703E-2</v>
      </c>
      <c r="L3485">
        <v>818.05716861396002</v>
      </c>
      <c r="M3485">
        <v>16.563117489680899</v>
      </c>
      <c r="N3485">
        <v>49.515964881468697</v>
      </c>
      <c r="O3485">
        <v>48.687172862152998</v>
      </c>
      <c r="P3485">
        <v>-8.3303897030490195E-2</v>
      </c>
      <c r="Q3485">
        <v>2.0582059142222199E-2</v>
      </c>
      <c r="R3485">
        <v>0.99449240220275903</v>
      </c>
      <c r="S3485" t="s">
        <v>10053</v>
      </c>
      <c r="T3485" t="s">
        <v>13134</v>
      </c>
      <c r="U3485" t="s">
        <v>13134</v>
      </c>
      <c r="V3485" t="s">
        <v>13134</v>
      </c>
      <c r="W3485" t="s">
        <v>16565</v>
      </c>
      <c r="X3485">
        <v>91</v>
      </c>
      <c r="Y3485" t="s">
        <v>22971</v>
      </c>
      <c r="Z3485" t="s">
        <v>29453</v>
      </c>
      <c r="AA3485">
        <v>0.44292777808413297</v>
      </c>
      <c r="AB3485" t="str">
        <f>HYPERLINK("Melting_Curves/meltCurve_Q14315_FLNC.pdf", "Melting_Curves/meltCurve_Q14315_FLNC.pdf")</f>
        <v>Melting_Curves/meltCurve_Q14315_FLNC.pdf</v>
      </c>
    </row>
    <row r="3486" spans="1:28" x14ac:dyDescent="0.25">
      <c r="A3486" t="s">
        <v>3490</v>
      </c>
      <c r="B3486">
        <v>0.99472303558308395</v>
      </c>
      <c r="C3486">
        <v>0.93381673522076003</v>
      </c>
      <c r="D3486">
        <v>0.72921992963870397</v>
      </c>
      <c r="E3486">
        <v>0.34179809161348101</v>
      </c>
      <c r="F3486">
        <v>0.145661802208125</v>
      </c>
      <c r="G3486">
        <v>6.3589834569597298E-2</v>
      </c>
      <c r="H3486">
        <v>4.1763000152467297E-2</v>
      </c>
      <c r="I3486">
        <v>2.8921003133667599E-2</v>
      </c>
      <c r="J3486">
        <v>3.3331760877029597E-2</v>
      </c>
      <c r="K3486">
        <v>3.3523599548139903E-2</v>
      </c>
      <c r="L3486">
        <v>918.79434016990297</v>
      </c>
      <c r="M3486">
        <v>20.4316761516626</v>
      </c>
      <c r="N3486">
        <v>45.110646618959102</v>
      </c>
      <c r="O3486">
        <v>44.544979679888897</v>
      </c>
      <c r="P3486">
        <v>-0.111111742255273</v>
      </c>
      <c r="Q3486">
        <v>3.1049202930769799E-2</v>
      </c>
      <c r="R3486">
        <v>0.99979892367561696</v>
      </c>
      <c r="S3486" t="s">
        <v>10054</v>
      </c>
      <c r="T3486" t="s">
        <v>13134</v>
      </c>
      <c r="U3486" t="s">
        <v>13134</v>
      </c>
      <c r="V3486" t="s">
        <v>13134</v>
      </c>
      <c r="W3486" t="s">
        <v>16566</v>
      </c>
      <c r="X3486">
        <v>14</v>
      </c>
      <c r="Y3486" t="s">
        <v>20833</v>
      </c>
      <c r="Z3486" t="s">
        <v>29454</v>
      </c>
      <c r="AA3486">
        <v>0.30061399633733221</v>
      </c>
      <c r="AB3486" t="str">
        <f>HYPERLINK("Melting_Curves/meltCurve_Q14318_2_FKBP8.pdf", "Melting_Curves/meltCurve_Q14318_2_FKBP8.pdf")</f>
        <v>Melting_Curves/meltCurve_Q14318_2_FKBP8.pdf</v>
      </c>
    </row>
    <row r="3487" spans="1:28" x14ac:dyDescent="0.25">
      <c r="A3487" t="s">
        <v>3491</v>
      </c>
      <c r="B3487">
        <v>0.99472303558308395</v>
      </c>
      <c r="C3487">
        <v>0.95514706398441995</v>
      </c>
      <c r="D3487">
        <v>0.98550645765108202</v>
      </c>
      <c r="E3487">
        <v>0.72357557938736805</v>
      </c>
      <c r="F3487">
        <v>0.28028173178520199</v>
      </c>
      <c r="G3487">
        <v>0.14482460382853399</v>
      </c>
      <c r="H3487">
        <v>8.4315340138765099E-2</v>
      </c>
      <c r="I3487">
        <v>7.5216971599568194E-2</v>
      </c>
      <c r="J3487">
        <v>9.9363211473040697E-2</v>
      </c>
      <c r="K3487">
        <v>7.1178224101819301E-2</v>
      </c>
      <c r="L3487">
        <v>1368.60791267389</v>
      </c>
      <c r="M3487">
        <v>28.523010811004902</v>
      </c>
      <c r="N3487">
        <v>48.292394046488198</v>
      </c>
      <c r="O3487">
        <v>47.748590841903003</v>
      </c>
      <c r="P3487">
        <v>-0.13685487698170801</v>
      </c>
      <c r="Q3487">
        <v>8.36064924445723E-2</v>
      </c>
      <c r="R3487">
        <v>0.99799866706877705</v>
      </c>
      <c r="S3487" t="s">
        <v>10055</v>
      </c>
      <c r="T3487" t="s">
        <v>13134</v>
      </c>
      <c r="U3487" t="s">
        <v>13134</v>
      </c>
      <c r="V3487" t="s">
        <v>13134</v>
      </c>
      <c r="W3487" t="s">
        <v>16567</v>
      </c>
      <c r="X3487">
        <v>17</v>
      </c>
      <c r="Y3487" t="s">
        <v>22972</v>
      </c>
      <c r="Z3487" t="s">
        <v>29455</v>
      </c>
      <c r="AA3487">
        <v>0.42508943581865349</v>
      </c>
      <c r="AB3487" t="str">
        <f>HYPERLINK("Melting_Curves/meltCurve_Q14320_FAM50A.pdf", "Melting_Curves/meltCurve_Q14320_FAM50A.pdf")</f>
        <v>Melting_Curves/meltCurve_Q14320_FAM50A.pdf</v>
      </c>
    </row>
    <row r="3488" spans="1:28" x14ac:dyDescent="0.25">
      <c r="A3488" t="s">
        <v>3492</v>
      </c>
      <c r="B3488">
        <v>0.99472303558308395</v>
      </c>
      <c r="C3488">
        <v>0.913801212392784</v>
      </c>
      <c r="D3488">
        <v>0.90157503293942898</v>
      </c>
      <c r="E3488">
        <v>0.64417321655546</v>
      </c>
      <c r="F3488">
        <v>0.34478267265845602</v>
      </c>
      <c r="G3488">
        <v>0.17321784070513599</v>
      </c>
      <c r="H3488">
        <v>9.2873628985366205E-2</v>
      </c>
      <c r="I3488">
        <v>6.8278089566139094E-2</v>
      </c>
      <c r="J3488">
        <v>8.28762580362956E-2</v>
      </c>
      <c r="K3488">
        <v>6.6447094679974103E-2</v>
      </c>
      <c r="L3488">
        <v>840.02370434442003</v>
      </c>
      <c r="M3488">
        <v>17.544929924670601</v>
      </c>
      <c r="N3488">
        <v>48.203185743996102</v>
      </c>
      <c r="O3488">
        <v>47.269438335007102</v>
      </c>
      <c r="P3488">
        <v>-8.7624741658733393E-2</v>
      </c>
      <c r="Q3488">
        <v>5.57397257990088E-2</v>
      </c>
      <c r="R3488">
        <v>0.99698353195089695</v>
      </c>
      <c r="S3488" t="s">
        <v>10056</v>
      </c>
      <c r="T3488" t="s">
        <v>13134</v>
      </c>
      <c r="U3488" t="s">
        <v>13134</v>
      </c>
      <c r="V3488" t="s">
        <v>13134</v>
      </c>
      <c r="W3488" t="s">
        <v>16568</v>
      </c>
      <c r="X3488">
        <v>14</v>
      </c>
      <c r="Y3488" t="s">
        <v>22973</v>
      </c>
      <c r="Z3488" t="s">
        <v>29456</v>
      </c>
      <c r="AA3488">
        <v>0.41396678582385338</v>
      </c>
      <c r="AB3488" t="str">
        <f>HYPERLINK("Melting_Curves/meltCurve_Q14331_FRG1.pdf", "Melting_Curves/meltCurve_Q14331_FRG1.pdf")</f>
        <v>Melting_Curves/meltCurve_Q14331_FRG1.pdf</v>
      </c>
    </row>
    <row r="3489" spans="1:28" x14ac:dyDescent="0.25">
      <c r="A3489" t="s">
        <v>3493</v>
      </c>
      <c r="B3489">
        <v>0.99472303558308395</v>
      </c>
      <c r="C3489">
        <v>0.90280794804614894</v>
      </c>
      <c r="D3489">
        <v>0.96828529365725202</v>
      </c>
      <c r="E3489">
        <v>0.83156075585546496</v>
      </c>
      <c r="F3489">
        <v>0.62345595141671595</v>
      </c>
      <c r="G3489">
        <v>0.46289536096245698</v>
      </c>
      <c r="H3489">
        <v>0.19603150999607999</v>
      </c>
      <c r="I3489">
        <v>8.4128660643009501E-2</v>
      </c>
      <c r="J3489">
        <v>9.6300457523135999E-2</v>
      </c>
      <c r="K3489">
        <v>7.5664474269709805E-2</v>
      </c>
      <c r="L3489">
        <v>704.55163558684103</v>
      </c>
      <c r="M3489">
        <v>13.4736626704924</v>
      </c>
      <c r="N3489">
        <v>52.3013912149476</v>
      </c>
      <c r="O3489">
        <v>51.179457834761898</v>
      </c>
      <c r="P3489">
        <v>-6.5738078441228504E-2</v>
      </c>
      <c r="Q3489">
        <v>1.33402663653148E-3</v>
      </c>
      <c r="R3489">
        <v>0.98912996699949196</v>
      </c>
      <c r="S3489" t="s">
        <v>10057</v>
      </c>
      <c r="T3489" t="s">
        <v>13134</v>
      </c>
      <c r="U3489" t="s">
        <v>13134</v>
      </c>
      <c r="V3489" t="s">
        <v>13134</v>
      </c>
      <c r="W3489" t="s">
        <v>16569</v>
      </c>
      <c r="X3489">
        <v>13</v>
      </c>
      <c r="Y3489" t="s">
        <v>22974</v>
      </c>
      <c r="Z3489" t="s">
        <v>29457</v>
      </c>
      <c r="AA3489">
        <v>0.5312710963291023</v>
      </c>
      <c r="AB3489" t="str">
        <f>HYPERLINK("Melting_Curves/meltCurve_Q14344_GNA13.pdf", "Melting_Curves/meltCurve_Q14344_GNA13.pdf")</f>
        <v>Melting_Curves/meltCurve_Q14344_GNA13.pdf</v>
      </c>
    </row>
    <row r="3490" spans="1:28" x14ac:dyDescent="0.25">
      <c r="A3490" t="s">
        <v>3494</v>
      </c>
      <c r="B3490">
        <v>0.99472303558308395</v>
      </c>
      <c r="C3490">
        <v>1.03892837725521</v>
      </c>
      <c r="D3490">
        <v>1.06517295239948</v>
      </c>
      <c r="E3490">
        <v>0.81503537196818598</v>
      </c>
      <c r="F3490">
        <v>0.28321417591914599</v>
      </c>
      <c r="G3490">
        <v>9.17278835076831E-2</v>
      </c>
      <c r="H3490">
        <v>4.4975735476896803E-2</v>
      </c>
      <c r="I3490">
        <v>3.6935274763881698E-2</v>
      </c>
      <c r="J3490">
        <v>4.1759074992137497E-2</v>
      </c>
      <c r="K3490">
        <v>3.3114640690499297E-2</v>
      </c>
      <c r="L3490">
        <v>1676.6764674671799</v>
      </c>
      <c r="M3490">
        <v>34.4866151713356</v>
      </c>
      <c r="N3490">
        <v>48.740710339600703</v>
      </c>
      <c r="O3490">
        <v>48.455596001426798</v>
      </c>
      <c r="P3490">
        <v>-0.17054203145638699</v>
      </c>
      <c r="Q3490">
        <v>4.1520150920263697E-2</v>
      </c>
      <c r="R3490">
        <v>0.99608507347599895</v>
      </c>
      <c r="S3490" t="s">
        <v>10058</v>
      </c>
      <c r="T3490" t="s">
        <v>13134</v>
      </c>
      <c r="U3490" t="s">
        <v>13134</v>
      </c>
      <c r="V3490" t="s">
        <v>13134</v>
      </c>
      <c r="W3490" t="s">
        <v>16570</v>
      </c>
      <c r="X3490">
        <v>4</v>
      </c>
      <c r="Y3490" t="s">
        <v>22975</v>
      </c>
      <c r="Z3490" t="s">
        <v>29458</v>
      </c>
      <c r="AA3490">
        <v>0.41705445934821661</v>
      </c>
      <c r="AB3490" t="str">
        <f>HYPERLINK("Melting_Curves/meltCurve_Q14353_GAMT.pdf", "Melting_Curves/meltCurve_Q14353_GAMT.pdf")</f>
        <v>Melting_Curves/meltCurve_Q14353_GAMT.pdf</v>
      </c>
    </row>
    <row r="3491" spans="1:28" x14ac:dyDescent="0.25">
      <c r="A3491" t="s">
        <v>3495</v>
      </c>
      <c r="B3491">
        <v>0.99472303558308395</v>
      </c>
      <c r="C3491">
        <v>0.98697479276764</v>
      </c>
      <c r="D3491">
        <v>1.05629917327588</v>
      </c>
      <c r="E3491">
        <v>0.96857268644425198</v>
      </c>
      <c r="F3491">
        <v>0.76340380241706196</v>
      </c>
      <c r="G3491">
        <v>0.481565419715976</v>
      </c>
      <c r="H3491">
        <v>8.4521597348615599E-2</v>
      </c>
      <c r="I3491">
        <v>6.2486068787409303E-2</v>
      </c>
      <c r="J3491">
        <v>6.3526517501668697E-2</v>
      </c>
      <c r="K3491">
        <v>4.9603381785664799E-2</v>
      </c>
      <c r="L3491">
        <v>1318.80394490358</v>
      </c>
      <c r="M3491">
        <v>24.891633869323901</v>
      </c>
      <c r="N3491">
        <v>53.110165908891801</v>
      </c>
      <c r="O3491">
        <v>52.643418472382997</v>
      </c>
      <c r="P3491">
        <v>-0.114759646931498</v>
      </c>
      <c r="Q3491">
        <v>2.9190884384995699E-2</v>
      </c>
      <c r="R3491">
        <v>0.99213787779586204</v>
      </c>
      <c r="S3491" t="s">
        <v>10059</v>
      </c>
      <c r="T3491" t="s">
        <v>13134</v>
      </c>
      <c r="U3491" t="s">
        <v>13134</v>
      </c>
      <c r="V3491" t="s">
        <v>13134</v>
      </c>
      <c r="W3491" t="s">
        <v>16571</v>
      </c>
      <c r="X3491">
        <v>16</v>
      </c>
      <c r="Y3491" t="s">
        <v>22976</v>
      </c>
      <c r="Z3491" t="s">
        <v>29459</v>
      </c>
      <c r="AA3491">
        <v>0.55501159844303372</v>
      </c>
      <c r="AB3491" t="str">
        <f>HYPERLINK("Melting_Curves/meltCurve_Q14376_GALE.pdf", "Melting_Curves/meltCurve_Q14376_GALE.pdf")</f>
        <v>Melting_Curves/meltCurve_Q14376_GALE.pdf</v>
      </c>
    </row>
    <row r="3492" spans="1:28" x14ac:dyDescent="0.25">
      <c r="A3492" t="s">
        <v>3496</v>
      </c>
      <c r="B3492">
        <v>0.99472303558308395</v>
      </c>
      <c r="C3492">
        <v>0.89289536044645801</v>
      </c>
      <c r="D3492">
        <v>0.94991989370020102</v>
      </c>
      <c r="E3492">
        <v>0.761961808267547</v>
      </c>
      <c r="F3492">
        <v>0.58103116678452105</v>
      </c>
      <c r="G3492">
        <v>0.50047087195412499</v>
      </c>
      <c r="H3492">
        <v>0.35435463939427903</v>
      </c>
      <c r="I3492">
        <v>0.30343984895228299</v>
      </c>
      <c r="J3492">
        <v>0.366154478134467</v>
      </c>
      <c r="K3492">
        <v>0.32291514344277999</v>
      </c>
      <c r="L3492">
        <v>654.04011325786405</v>
      </c>
      <c r="M3492">
        <v>13.337927041479</v>
      </c>
      <c r="N3492">
        <v>52.598711847037997</v>
      </c>
      <c r="O3492">
        <v>47.973173532273002</v>
      </c>
      <c r="P3492">
        <v>-4.8843264213288801E-2</v>
      </c>
      <c r="Q3492">
        <v>0.29740450457626599</v>
      </c>
      <c r="R3492">
        <v>0.98004390628947902</v>
      </c>
      <c r="S3492" t="s">
        <v>10060</v>
      </c>
      <c r="T3492" t="s">
        <v>13134</v>
      </c>
      <c r="U3492" t="s">
        <v>13134</v>
      </c>
      <c r="V3492" t="s">
        <v>13134</v>
      </c>
      <c r="W3492" t="s">
        <v>16572</v>
      </c>
      <c r="X3492">
        <v>20</v>
      </c>
      <c r="Y3492" t="s">
        <v>22977</v>
      </c>
      <c r="Z3492" t="s">
        <v>29460</v>
      </c>
      <c r="AA3492">
        <v>0.59730193163119438</v>
      </c>
      <c r="AB3492" t="str">
        <f>HYPERLINK("Melting_Curves/meltCurve_Q14444_2_CAPRIN1.pdf", "Melting_Curves/meltCurve_Q14444_2_CAPRIN1.pdf")</f>
        <v>Melting_Curves/meltCurve_Q14444_2_CAPRIN1.pdf</v>
      </c>
    </row>
    <row r="3493" spans="1:28" x14ac:dyDescent="0.25">
      <c r="A3493" t="s">
        <v>3497</v>
      </c>
      <c r="B3493">
        <v>0.99472303558308395</v>
      </c>
      <c r="C3493">
        <v>0.99597511845572695</v>
      </c>
      <c r="D3493">
        <v>0.69032841915227905</v>
      </c>
      <c r="E3493">
        <v>0.59612352544077296</v>
      </c>
      <c r="F3493">
        <v>0.55953267266185902</v>
      </c>
      <c r="G3493">
        <v>0.21218536462739401</v>
      </c>
      <c r="H3493">
        <v>0.13387165439333801</v>
      </c>
      <c r="I3493">
        <v>0.117891464028376</v>
      </c>
      <c r="J3493">
        <v>0.115797032605015</v>
      </c>
      <c r="K3493">
        <v>0.14087100830458499</v>
      </c>
      <c r="L3493">
        <v>535.22602022789999</v>
      </c>
      <c r="M3493">
        <v>11.114956170907201</v>
      </c>
      <c r="N3493">
        <v>48.647443642223003</v>
      </c>
      <c r="O3493">
        <v>46.673812120898702</v>
      </c>
      <c r="P3493">
        <v>-5.6377823293646503E-2</v>
      </c>
      <c r="Q3493">
        <v>5.3342211487109499E-2</v>
      </c>
      <c r="R3493">
        <v>0.957326058827346</v>
      </c>
      <c r="S3493" t="s">
        <v>10061</v>
      </c>
      <c r="T3493" t="s">
        <v>13134</v>
      </c>
      <c r="U3493" t="s">
        <v>13134</v>
      </c>
      <c r="V3493" t="s">
        <v>13134</v>
      </c>
      <c r="W3493" t="s">
        <v>16573</v>
      </c>
      <c r="X3493">
        <v>8</v>
      </c>
      <c r="Y3493" t="s">
        <v>22978</v>
      </c>
      <c r="Z3493" t="s">
        <v>29461</v>
      </c>
      <c r="AA3493">
        <v>0.43804555256488248</v>
      </c>
      <c r="AB3493" t="str">
        <f>HYPERLINK("Melting_Curves/meltCurve_Q14457_BECN1.pdf", "Melting_Curves/meltCurve_Q14457_BECN1.pdf")</f>
        <v>Melting_Curves/meltCurve_Q14457_BECN1.pdf</v>
      </c>
    </row>
    <row r="3494" spans="1:28" x14ac:dyDescent="0.25">
      <c r="A3494" t="s">
        <v>3498</v>
      </c>
      <c r="B3494">
        <v>0.99472303558308395</v>
      </c>
      <c r="C3494">
        <v>0.85580367484215802</v>
      </c>
      <c r="D3494">
        <v>0.78870157851150502</v>
      </c>
      <c r="E3494">
        <v>0.73998669154310404</v>
      </c>
      <c r="F3494">
        <v>1.0805835255068901</v>
      </c>
      <c r="G3494">
        <v>0.621421849807274</v>
      </c>
      <c r="H3494">
        <v>0.84919297995941001</v>
      </c>
      <c r="I3494">
        <v>0.372993319500873</v>
      </c>
      <c r="J3494">
        <v>0.80838523140690599</v>
      </c>
      <c r="K3494">
        <v>0.82833252741097596</v>
      </c>
      <c r="L3494">
        <v>291.12993253267899</v>
      </c>
      <c r="M3494">
        <v>6.5768212917648103</v>
      </c>
      <c r="O3494">
        <v>40.709187107357899</v>
      </c>
      <c r="P3494">
        <v>-1.29062022314084E-2</v>
      </c>
      <c r="Q3494">
        <v>0.68119489950276202</v>
      </c>
      <c r="R3494">
        <v>0.17199288462741</v>
      </c>
      <c r="S3494" t="s">
        <v>10062</v>
      </c>
      <c r="T3494" t="s">
        <v>13134</v>
      </c>
      <c r="U3494" t="s">
        <v>13134</v>
      </c>
      <c r="V3494" t="s">
        <v>13134</v>
      </c>
      <c r="W3494" t="s">
        <v>16574</v>
      </c>
      <c r="X3494">
        <v>2</v>
      </c>
      <c r="Y3494" t="s">
        <v>22979</v>
      </c>
      <c r="Z3494" t="s">
        <v>29462</v>
      </c>
      <c r="AA3494">
        <v>0.78819702828853444</v>
      </c>
      <c r="AB3494" t="str">
        <f>HYPERLINK("Melting_Curves/meltCurve_Q14469_HES1.pdf", "Melting_Curves/meltCurve_Q14469_HES1.pdf")</f>
        <v>Melting_Curves/meltCurve_Q14469_HES1.pdf</v>
      </c>
    </row>
    <row r="3495" spans="1:28" x14ac:dyDescent="0.25">
      <c r="A3495" t="s">
        <v>3499</v>
      </c>
      <c r="B3495">
        <v>0.99472303558308395</v>
      </c>
      <c r="C3495">
        <v>0.78582380019857101</v>
      </c>
      <c r="D3495">
        <v>0.90411079065646105</v>
      </c>
      <c r="E3495">
        <v>0.53391186523357703</v>
      </c>
      <c r="F3495">
        <v>0.172301658438509</v>
      </c>
      <c r="G3495">
        <v>9.1667284732245599E-2</v>
      </c>
      <c r="H3495">
        <v>4.5347431134207299E-2</v>
      </c>
      <c r="I3495">
        <v>2.9076467809114302E-2</v>
      </c>
      <c r="J3495">
        <v>2.7599678980211401E-2</v>
      </c>
      <c r="K3495">
        <v>3.0435675789681201E-2</v>
      </c>
      <c r="L3495">
        <v>935.48322173707004</v>
      </c>
      <c r="M3495">
        <v>20.048235190344801</v>
      </c>
      <c r="N3495">
        <v>46.7577758584317</v>
      </c>
      <c r="O3495">
        <v>46.204826694870398</v>
      </c>
      <c r="P3495">
        <v>-0.106287696059627</v>
      </c>
      <c r="Q3495">
        <v>2.0194185057637301E-2</v>
      </c>
      <c r="R3495">
        <v>0.97351746316255505</v>
      </c>
      <c r="S3495" t="s">
        <v>10063</v>
      </c>
      <c r="T3495" t="s">
        <v>13134</v>
      </c>
      <c r="U3495" t="s">
        <v>13134</v>
      </c>
      <c r="V3495" t="s">
        <v>13134</v>
      </c>
      <c r="W3495" t="s">
        <v>16575</v>
      </c>
      <c r="X3495">
        <v>13</v>
      </c>
      <c r="Y3495" t="s">
        <v>22980</v>
      </c>
      <c r="Z3495" t="s">
        <v>29463</v>
      </c>
      <c r="AA3495">
        <v>0.34849954761863677</v>
      </c>
      <c r="AB3495" t="str">
        <f>HYPERLINK("Melting_Curves/meltCurve_Q14498_2_RBM39.pdf", "Melting_Curves/meltCurve_Q14498_2_RBM39.pdf")</f>
        <v>Melting_Curves/meltCurve_Q14498_2_RBM39.pdf</v>
      </c>
    </row>
    <row r="3496" spans="1:28" x14ac:dyDescent="0.25">
      <c r="A3496" t="s">
        <v>3500</v>
      </c>
      <c r="B3496">
        <v>0.99472303558308395</v>
      </c>
      <c r="C3496">
        <v>0.95964015451624696</v>
      </c>
      <c r="D3496">
        <v>0.81707913986213498</v>
      </c>
      <c r="E3496">
        <v>0.57225382674910996</v>
      </c>
      <c r="F3496">
        <v>0.38788050007809299</v>
      </c>
      <c r="G3496">
        <v>0.152806773366954</v>
      </c>
      <c r="H3496">
        <v>0.11456887635615801</v>
      </c>
      <c r="I3496">
        <v>7.82415548525046E-2</v>
      </c>
      <c r="J3496">
        <v>0.107925374685215</v>
      </c>
      <c r="K3496">
        <v>0.10915352293293901</v>
      </c>
      <c r="L3496">
        <v>728.40881781132305</v>
      </c>
      <c r="M3496">
        <v>15.4275398269929</v>
      </c>
      <c r="N3496">
        <v>47.705523211089798</v>
      </c>
      <c r="O3496">
        <v>46.442875785128201</v>
      </c>
      <c r="P3496">
        <v>-7.6959975369881806E-2</v>
      </c>
      <c r="Q3496">
        <v>7.3366411234833603E-2</v>
      </c>
      <c r="R3496">
        <v>0.99480911835291796</v>
      </c>
      <c r="S3496" t="s">
        <v>10064</v>
      </c>
      <c r="T3496" t="s">
        <v>13134</v>
      </c>
      <c r="U3496" t="s">
        <v>13134</v>
      </c>
      <c r="V3496" t="s">
        <v>13134</v>
      </c>
      <c r="W3496" t="s">
        <v>16576</v>
      </c>
      <c r="X3496">
        <v>5</v>
      </c>
      <c r="Y3496" t="s">
        <v>22981</v>
      </c>
      <c r="Z3496" t="s">
        <v>29464</v>
      </c>
      <c r="AA3496">
        <v>0.40862915874127592</v>
      </c>
      <c r="AB3496" t="str">
        <f>HYPERLINK("Melting_Curves/meltCurve_Q14517_FAT1.pdf", "Melting_Curves/meltCurve_Q14517_FAT1.pdf")</f>
        <v>Melting_Curves/meltCurve_Q14517_FAT1.pdf</v>
      </c>
    </row>
    <row r="3497" spans="1:28" x14ac:dyDescent="0.25">
      <c r="A3497" t="s">
        <v>3501</v>
      </c>
      <c r="B3497">
        <v>0.99472303558308395</v>
      </c>
      <c r="C3497">
        <v>0.98617958720860399</v>
      </c>
      <c r="D3497">
        <v>0.9730105501738</v>
      </c>
      <c r="E3497">
        <v>0.90682311319506204</v>
      </c>
      <c r="F3497">
        <v>0.70570769510291897</v>
      </c>
      <c r="G3497">
        <v>0.54362002344214599</v>
      </c>
      <c r="H3497">
        <v>0.121757465282344</v>
      </c>
      <c r="I3497">
        <v>4.9303402891152301E-2</v>
      </c>
      <c r="J3497">
        <v>4.4284963232328202E-2</v>
      </c>
      <c r="K3497">
        <v>3.4421011467066401E-2</v>
      </c>
      <c r="L3497">
        <v>1005.33405257895</v>
      </c>
      <c r="M3497">
        <v>18.9124062632301</v>
      </c>
      <c r="N3497">
        <v>53.157384516556299</v>
      </c>
      <c r="O3497">
        <v>52.5737617572658</v>
      </c>
      <c r="P3497">
        <v>-8.9936373781472595E-2</v>
      </c>
      <c r="Q3497">
        <v>0</v>
      </c>
      <c r="R3497">
        <v>0.98775770004563501</v>
      </c>
      <c r="S3497" t="s">
        <v>10065</v>
      </c>
      <c r="T3497" t="s">
        <v>13134</v>
      </c>
      <c r="U3497" t="s">
        <v>13134</v>
      </c>
      <c r="V3497" t="s">
        <v>13134</v>
      </c>
      <c r="W3497" t="s">
        <v>16577</v>
      </c>
      <c r="X3497">
        <v>1</v>
      </c>
      <c r="Y3497" t="s">
        <v>22982</v>
      </c>
      <c r="Z3497" t="s">
        <v>29465</v>
      </c>
      <c r="AA3497">
        <v>0.55211381881922228</v>
      </c>
      <c r="AB3497" t="str">
        <f>HYPERLINK("Melting_Curves/meltCurve_Q14520_2_HABP2.pdf", "Melting_Curves/meltCurve_Q14520_2_HABP2.pdf")</f>
        <v>Melting_Curves/meltCurve_Q14520_2_HABP2.pdf</v>
      </c>
    </row>
    <row r="3498" spans="1:28" x14ac:dyDescent="0.25">
      <c r="A3498" t="s">
        <v>3502</v>
      </c>
      <c r="B3498">
        <v>0.99472303558308395</v>
      </c>
      <c r="C3498">
        <v>1.0248261668229699</v>
      </c>
      <c r="D3498">
        <v>0.85490482928449896</v>
      </c>
      <c r="E3498">
        <v>0.71159108988834496</v>
      </c>
      <c r="F3498">
        <v>0.36666599340292499</v>
      </c>
      <c r="G3498">
        <v>0.114823954832076</v>
      </c>
      <c r="H3498">
        <v>7.1892892414267398E-2</v>
      </c>
      <c r="I3498">
        <v>4.68898957698268E-2</v>
      </c>
      <c r="J3498">
        <v>6.9818109811542003E-2</v>
      </c>
      <c r="K3498">
        <v>4.75715111682187E-2</v>
      </c>
      <c r="L3498">
        <v>945.58511292613298</v>
      </c>
      <c r="M3498">
        <v>19.557401564089702</v>
      </c>
      <c r="N3498">
        <v>48.536371721820601</v>
      </c>
      <c r="O3498">
        <v>47.852233474730603</v>
      </c>
      <c r="P3498">
        <v>-9.84686021633355E-2</v>
      </c>
      <c r="Q3498">
        <v>3.6318757273912601E-2</v>
      </c>
      <c r="R3498">
        <v>0.99420650505747998</v>
      </c>
      <c r="S3498" t="s">
        <v>10066</v>
      </c>
      <c r="T3498" t="s">
        <v>13134</v>
      </c>
      <c r="U3498" t="s">
        <v>13134</v>
      </c>
      <c r="V3498" t="s">
        <v>13134</v>
      </c>
      <c r="W3498" t="s">
        <v>16578</v>
      </c>
      <c r="X3498">
        <v>21</v>
      </c>
      <c r="Y3498" t="s">
        <v>22983</v>
      </c>
      <c r="Z3498" t="s">
        <v>29466</v>
      </c>
      <c r="AA3498">
        <v>0.41410191913989669</v>
      </c>
      <c r="AB3498" t="str">
        <f>HYPERLINK("Melting_Curves/meltCurve_Q14527_HLTF.pdf", "Melting_Curves/meltCurve_Q14527_HLTF.pdf")</f>
        <v>Melting_Curves/meltCurve_Q14527_HLTF.pdf</v>
      </c>
    </row>
    <row r="3499" spans="1:28" x14ac:dyDescent="0.25">
      <c r="A3499" t="s">
        <v>3503</v>
      </c>
      <c r="B3499">
        <v>0.99472303558308395</v>
      </c>
      <c r="C3499">
        <v>1.00162706029018</v>
      </c>
      <c r="D3499">
        <v>0.96146564496498199</v>
      </c>
      <c r="E3499">
        <v>0.81144574196200703</v>
      </c>
      <c r="F3499">
        <v>0.46897639791989199</v>
      </c>
      <c r="G3499">
        <v>0.187410823023861</v>
      </c>
      <c r="H3499">
        <v>0.11083069032708499</v>
      </c>
      <c r="I3499">
        <v>6.6219721013270699E-2</v>
      </c>
      <c r="J3499">
        <v>6.3875806667447299E-2</v>
      </c>
      <c r="K3499">
        <v>6.4926835235909794E-2</v>
      </c>
      <c r="L3499">
        <v>1093.6931886308901</v>
      </c>
      <c r="M3499">
        <v>22.0707112747716</v>
      </c>
      <c r="N3499">
        <v>49.831657514784801</v>
      </c>
      <c r="O3499">
        <v>49.152617759594499</v>
      </c>
      <c r="P3499">
        <v>-0.105764962404679</v>
      </c>
      <c r="Q3499">
        <v>5.7844558264339901E-2</v>
      </c>
      <c r="R3499">
        <v>0.99974452558073701</v>
      </c>
      <c r="S3499" t="s">
        <v>10067</v>
      </c>
      <c r="T3499" t="s">
        <v>13134</v>
      </c>
      <c r="U3499" t="s">
        <v>13134</v>
      </c>
      <c r="V3499" t="s">
        <v>13134</v>
      </c>
      <c r="W3499" t="s">
        <v>16579</v>
      </c>
      <c r="X3499">
        <v>14</v>
      </c>
      <c r="Y3499" t="s">
        <v>22984</v>
      </c>
      <c r="Z3499" t="s">
        <v>29467</v>
      </c>
      <c r="AA3499">
        <v>0.46248415827822098</v>
      </c>
      <c r="AB3499" t="str">
        <f>HYPERLINK("Melting_Curves/meltCurve_Q14534_SQLE.pdf", "Melting_Curves/meltCurve_Q14534_SQLE.pdf")</f>
        <v>Melting_Curves/meltCurve_Q14534_SQLE.pdf</v>
      </c>
    </row>
    <row r="3500" spans="1:28" x14ac:dyDescent="0.25">
      <c r="A3500" t="s">
        <v>3504</v>
      </c>
      <c r="B3500">
        <v>0.99472303558308395</v>
      </c>
      <c r="C3500">
        <v>0.92050178507951097</v>
      </c>
      <c r="D3500">
        <v>0.98697547529590002</v>
      </c>
      <c r="E3500">
        <v>0.92177692426490498</v>
      </c>
      <c r="F3500">
        <v>0.65103223826443901</v>
      </c>
      <c r="G3500">
        <v>0.27539178350864801</v>
      </c>
      <c r="H3500">
        <v>0.121735218590712</v>
      </c>
      <c r="I3500">
        <v>8.9927288919871701E-2</v>
      </c>
      <c r="J3500">
        <v>9.0669796460607202E-2</v>
      </c>
      <c r="K3500">
        <v>7.9700854269187799E-2</v>
      </c>
      <c r="L3500">
        <v>1317.01631941454</v>
      </c>
      <c r="M3500">
        <v>25.764947177806999</v>
      </c>
      <c r="N3500">
        <v>51.452415016554703</v>
      </c>
      <c r="O3500">
        <v>50.811642307492598</v>
      </c>
      <c r="P3500">
        <v>-0.116957543154442</v>
      </c>
      <c r="Q3500">
        <v>7.73924173014163E-2</v>
      </c>
      <c r="R3500">
        <v>0.99583750351661904</v>
      </c>
      <c r="S3500" t="s">
        <v>10068</v>
      </c>
      <c r="T3500" t="s">
        <v>13134</v>
      </c>
      <c r="U3500" t="s">
        <v>13134</v>
      </c>
      <c r="V3500" t="s">
        <v>13134</v>
      </c>
      <c r="W3500" t="s">
        <v>16580</v>
      </c>
      <c r="X3500">
        <v>12</v>
      </c>
      <c r="Y3500" t="s">
        <v>22985</v>
      </c>
      <c r="Z3500" t="s">
        <v>29468</v>
      </c>
      <c r="AA3500">
        <v>0.51922985008282008</v>
      </c>
      <c r="AB3500" t="str">
        <f>HYPERLINK("Melting_Curves/meltCurve_Q14554_PDIA5.pdf", "Melting_Curves/meltCurve_Q14554_PDIA5.pdf")</f>
        <v>Melting_Curves/meltCurve_Q14554_PDIA5.pdf</v>
      </c>
    </row>
    <row r="3501" spans="1:28" x14ac:dyDescent="0.25">
      <c r="A3501" t="s">
        <v>3505</v>
      </c>
      <c r="B3501">
        <v>0.99472303558308395</v>
      </c>
      <c r="C3501">
        <v>1.0181793991435899</v>
      </c>
      <c r="D3501">
        <v>0.88392699151327103</v>
      </c>
      <c r="E3501">
        <v>0.78170288799043797</v>
      </c>
      <c r="F3501">
        <v>1.0120584788729099</v>
      </c>
      <c r="G3501">
        <v>0.52142581127659404</v>
      </c>
      <c r="H3501">
        <v>0.331994307647207</v>
      </c>
      <c r="I3501">
        <v>0.237185648005036</v>
      </c>
      <c r="J3501">
        <v>0.151311201210271</v>
      </c>
      <c r="K3501">
        <v>0.190122510797257</v>
      </c>
      <c r="L3501">
        <v>1827.9342371355499</v>
      </c>
      <c r="M3501">
        <v>34.144004727827799</v>
      </c>
      <c r="N3501">
        <v>54.347302053274198</v>
      </c>
      <c r="O3501">
        <v>53.353384871364803</v>
      </c>
      <c r="P3501">
        <v>-0.12804656227566699</v>
      </c>
      <c r="Q3501">
        <v>0.19966150162858501</v>
      </c>
      <c r="R3501">
        <v>0.93637888012693105</v>
      </c>
      <c r="S3501" t="s">
        <v>10069</v>
      </c>
      <c r="T3501" t="s">
        <v>13134</v>
      </c>
      <c r="U3501" t="s">
        <v>13134</v>
      </c>
      <c r="V3501" t="s">
        <v>13134</v>
      </c>
      <c r="W3501" t="s">
        <v>16581</v>
      </c>
      <c r="X3501">
        <v>7</v>
      </c>
      <c r="Y3501" t="s">
        <v>22986</v>
      </c>
      <c r="Z3501" t="s">
        <v>29469</v>
      </c>
      <c r="AA3501">
        <v>0.64481395721169188</v>
      </c>
      <c r="AB3501" t="str">
        <f>HYPERLINK("Melting_Curves/meltCurve_Q14558_PRPSAP1.pdf", "Melting_Curves/meltCurve_Q14558_PRPSAP1.pdf")</f>
        <v>Melting_Curves/meltCurve_Q14558_PRPSAP1.pdf</v>
      </c>
    </row>
    <row r="3502" spans="1:28" x14ac:dyDescent="0.25">
      <c r="A3502" t="s">
        <v>3506</v>
      </c>
      <c r="B3502">
        <v>0.99472303558308395</v>
      </c>
      <c r="C3502">
        <v>1.01968444664798</v>
      </c>
      <c r="D3502">
        <v>0.84297279931745805</v>
      </c>
      <c r="E3502">
        <v>0.62998564371639898</v>
      </c>
      <c r="F3502">
        <v>0.39394615419935902</v>
      </c>
      <c r="G3502">
        <v>0.13369891045885601</v>
      </c>
      <c r="H3502">
        <v>6.8594794109044205E-2</v>
      </c>
      <c r="I3502">
        <v>2.2376815633114101E-2</v>
      </c>
      <c r="J3502">
        <v>1.21065191990316E-2</v>
      </c>
      <c r="K3502">
        <v>3.66592448537729E-2</v>
      </c>
      <c r="L3502">
        <v>769.63938387102701</v>
      </c>
      <c r="M3502">
        <v>15.935331125256599</v>
      </c>
      <c r="N3502">
        <v>48.297671339265499</v>
      </c>
      <c r="O3502">
        <v>47.556256445226502</v>
      </c>
      <c r="P3502">
        <v>-8.3777600434015706E-2</v>
      </c>
      <c r="Q3502">
        <v>0</v>
      </c>
      <c r="R3502">
        <v>0.99524863574244804</v>
      </c>
      <c r="S3502" t="s">
        <v>10070</v>
      </c>
      <c r="T3502" t="s">
        <v>13134</v>
      </c>
      <c r="U3502" t="s">
        <v>13134</v>
      </c>
      <c r="V3502" t="s">
        <v>13134</v>
      </c>
      <c r="W3502" t="s">
        <v>16582</v>
      </c>
      <c r="X3502">
        <v>10</v>
      </c>
      <c r="Y3502" t="s">
        <v>22987</v>
      </c>
      <c r="Z3502" t="s">
        <v>29470</v>
      </c>
      <c r="AA3502">
        <v>0.39635642048097941</v>
      </c>
      <c r="AB3502" t="str">
        <f>HYPERLINK("Melting_Curves/meltCurve_Q14562_DHX8.pdf", "Melting_Curves/meltCurve_Q14562_DHX8.pdf")</f>
        <v>Melting_Curves/meltCurve_Q14562_DHX8.pdf</v>
      </c>
    </row>
    <row r="3503" spans="1:28" x14ac:dyDescent="0.25">
      <c r="A3503" t="s">
        <v>3507</v>
      </c>
      <c r="B3503">
        <v>0.99472303558308395</v>
      </c>
      <c r="C3503">
        <v>0.92941925204653697</v>
      </c>
      <c r="D3503">
        <v>0.78485275813302302</v>
      </c>
      <c r="E3503">
        <v>0.65406853585570601</v>
      </c>
      <c r="F3503">
        <v>0.562512155082596</v>
      </c>
      <c r="G3503">
        <v>0.10575354537664999</v>
      </c>
      <c r="H3503">
        <v>6.0787999875674799E-2</v>
      </c>
      <c r="I3503">
        <v>3.8997001224141702E-2</v>
      </c>
      <c r="J3503">
        <v>4.3144832741167399E-2</v>
      </c>
      <c r="K3503">
        <v>3.9955931502458103E-2</v>
      </c>
      <c r="L3503">
        <v>676.90560302452695</v>
      </c>
      <c r="M3503">
        <v>13.8556526652947</v>
      </c>
      <c r="N3503">
        <v>48.854111719587202</v>
      </c>
      <c r="O3503">
        <v>47.870197385540102</v>
      </c>
      <c r="P3503">
        <v>-7.2370505806200899E-2</v>
      </c>
      <c r="Q3503">
        <v>0</v>
      </c>
      <c r="R3503">
        <v>0.96715580369130305</v>
      </c>
      <c r="S3503" t="s">
        <v>10071</v>
      </c>
      <c r="T3503" t="s">
        <v>13134</v>
      </c>
      <c r="U3503" t="s">
        <v>13134</v>
      </c>
      <c r="V3503" t="s">
        <v>13134</v>
      </c>
      <c r="W3503" t="s">
        <v>16583</v>
      </c>
      <c r="X3503">
        <v>44</v>
      </c>
      <c r="Y3503" t="s">
        <v>22988</v>
      </c>
      <c r="Z3503" t="s">
        <v>29471</v>
      </c>
      <c r="AA3503">
        <v>0.41954505108939483</v>
      </c>
      <c r="AB3503" t="str">
        <f>HYPERLINK("Melting_Curves/meltCurve_Q14566_MCM6.pdf", "Melting_Curves/meltCurve_Q14566_MCM6.pdf")</f>
        <v>Melting_Curves/meltCurve_Q14566_MCM6.pdf</v>
      </c>
    </row>
    <row r="3504" spans="1:28" x14ac:dyDescent="0.25">
      <c r="A3504" t="s">
        <v>3508</v>
      </c>
      <c r="B3504">
        <v>0.99472303558308395</v>
      </c>
      <c r="C3504">
        <v>0.93187681324278604</v>
      </c>
      <c r="D3504">
        <v>0.67397825983082604</v>
      </c>
      <c r="E3504">
        <v>0.44429553977755198</v>
      </c>
      <c r="F3504">
        <v>0.168283683213311</v>
      </c>
      <c r="G3504">
        <v>9.2048249296939999E-2</v>
      </c>
      <c r="H3504">
        <v>6.2632199173032602E-2</v>
      </c>
      <c r="I3504">
        <v>5.1768300706349503E-2</v>
      </c>
      <c r="J3504">
        <v>4.5199441957103903E-2</v>
      </c>
      <c r="K3504">
        <v>4.1964226221968597E-2</v>
      </c>
      <c r="L3504">
        <v>754.22387720618099</v>
      </c>
      <c r="M3504">
        <v>16.665746129013101</v>
      </c>
      <c r="N3504">
        <v>45.453073217500403</v>
      </c>
      <c r="O3504">
        <v>44.619398589120898</v>
      </c>
      <c r="P3504">
        <v>-9.0127750788979097E-2</v>
      </c>
      <c r="Q3504">
        <v>3.4864133482759803E-2</v>
      </c>
      <c r="R3504">
        <v>0.99626029137289696</v>
      </c>
      <c r="S3504" t="s">
        <v>10072</v>
      </c>
      <c r="T3504" t="s">
        <v>13134</v>
      </c>
      <c r="U3504" t="s">
        <v>13134</v>
      </c>
      <c r="V3504" t="s">
        <v>13134</v>
      </c>
      <c r="W3504" t="s">
        <v>16584</v>
      </c>
      <c r="X3504">
        <v>11</v>
      </c>
      <c r="Y3504" t="s">
        <v>22989</v>
      </c>
      <c r="Z3504" t="s">
        <v>29472</v>
      </c>
      <c r="AA3504">
        <v>0.3188996321801712</v>
      </c>
      <c r="AB3504" t="str">
        <f>HYPERLINK("Melting_Curves/meltCurve_Q14573_ITPR3.pdf", "Melting_Curves/meltCurve_Q14573_ITPR3.pdf")</f>
        <v>Melting_Curves/meltCurve_Q14573_ITPR3.pdf</v>
      </c>
    </row>
    <row r="3505" spans="1:28" x14ac:dyDescent="0.25">
      <c r="A3505" t="s">
        <v>3509</v>
      </c>
      <c r="B3505">
        <v>0.99472303558308395</v>
      </c>
      <c r="C3505">
        <v>0.86438758438580099</v>
      </c>
      <c r="D3505">
        <v>0.77003353310425404</v>
      </c>
      <c r="E3505">
        <v>0.371391420362013</v>
      </c>
      <c r="F3505">
        <v>0.11230590542275</v>
      </c>
      <c r="G3505">
        <v>7.23953414470071E-2</v>
      </c>
      <c r="H3505">
        <v>4.5608123205513502E-2</v>
      </c>
      <c r="I3505">
        <v>4.0110924551908997E-2</v>
      </c>
      <c r="J3505">
        <v>3.9672106681420502E-2</v>
      </c>
      <c r="K3505">
        <v>2.9551086333795301E-2</v>
      </c>
      <c r="L3505">
        <v>901.06572373905999</v>
      </c>
      <c r="M3505">
        <v>19.9617386444523</v>
      </c>
      <c r="N3505">
        <v>45.275750771427901</v>
      </c>
      <c r="O3505">
        <v>44.693950479875802</v>
      </c>
      <c r="P3505">
        <v>-0.108410113111909</v>
      </c>
      <c r="Q3505">
        <v>2.91191682257315E-2</v>
      </c>
      <c r="R3505">
        <v>0.99483881006183095</v>
      </c>
      <c r="S3505" t="s">
        <v>10073</v>
      </c>
      <c r="T3505" t="s">
        <v>13134</v>
      </c>
      <c r="U3505" t="s">
        <v>13134</v>
      </c>
      <c r="V3505" t="s">
        <v>13134</v>
      </c>
      <c r="W3505" t="s">
        <v>16585</v>
      </c>
      <c r="X3505">
        <v>7</v>
      </c>
      <c r="Y3505" t="s">
        <v>22990</v>
      </c>
      <c r="Z3505" t="s">
        <v>29473</v>
      </c>
      <c r="AA3505">
        <v>0.30533213645278479</v>
      </c>
      <c r="AB3505" t="str">
        <f>HYPERLINK("Melting_Curves/meltCurve_Q14644_RASA3.pdf", "Melting_Curves/meltCurve_Q14644_RASA3.pdf")</f>
        <v>Melting_Curves/meltCurve_Q14644_RASA3.pdf</v>
      </c>
    </row>
    <row r="3506" spans="1:28" x14ac:dyDescent="0.25">
      <c r="A3506" t="s">
        <v>3510</v>
      </c>
      <c r="B3506">
        <v>0.99472303558308395</v>
      </c>
      <c r="C3506">
        <v>1.02569124514472</v>
      </c>
      <c r="D3506">
        <v>1.0277757364464399</v>
      </c>
      <c r="E3506">
        <v>0.95083064804563899</v>
      </c>
      <c r="F3506">
        <v>0.59787442533712398</v>
      </c>
      <c r="G3506">
        <v>0.18568797977188201</v>
      </c>
      <c r="H3506">
        <v>0.102810214333275</v>
      </c>
      <c r="I3506">
        <v>6.6065481204829204E-2</v>
      </c>
      <c r="J3506">
        <v>6.4851333428244201E-2</v>
      </c>
      <c r="K3506">
        <v>5.7167796893195302E-2</v>
      </c>
      <c r="L3506">
        <v>1645.16656979909</v>
      </c>
      <c r="M3506">
        <v>32.484182079080298</v>
      </c>
      <c r="N3506">
        <v>50.866664955714597</v>
      </c>
      <c r="O3506">
        <v>50.454397328396098</v>
      </c>
      <c r="P3506">
        <v>-0.150342899339963</v>
      </c>
      <c r="Q3506">
        <v>6.5954948228042098E-2</v>
      </c>
      <c r="R3506">
        <v>0.99889375247189605</v>
      </c>
      <c r="S3506" t="s">
        <v>10074</v>
      </c>
      <c r="T3506" t="s">
        <v>13134</v>
      </c>
      <c r="U3506" t="s">
        <v>13134</v>
      </c>
      <c r="V3506" t="s">
        <v>13134</v>
      </c>
      <c r="W3506" t="s">
        <v>16586</v>
      </c>
      <c r="X3506">
        <v>17</v>
      </c>
      <c r="Y3506" t="s">
        <v>22991</v>
      </c>
      <c r="Z3506" t="s">
        <v>29474</v>
      </c>
      <c r="AA3506">
        <v>0.4957439189146316</v>
      </c>
      <c r="AB3506" t="str">
        <f>HYPERLINK("Melting_Curves/meltCurve_Q14651_PLS1.pdf", "Melting_Curves/meltCurve_Q14651_PLS1.pdf")</f>
        <v>Melting_Curves/meltCurve_Q14651_PLS1.pdf</v>
      </c>
    </row>
    <row r="3507" spans="1:28" x14ac:dyDescent="0.25">
      <c r="A3507" t="s">
        <v>3511</v>
      </c>
      <c r="B3507">
        <v>0.99472303558308395</v>
      </c>
      <c r="C3507">
        <v>0.94411853808729895</v>
      </c>
      <c r="D3507">
        <v>1.0557339525036</v>
      </c>
      <c r="E3507">
        <v>0.85201641284896501</v>
      </c>
      <c r="F3507">
        <v>0.47827373064377099</v>
      </c>
      <c r="G3507">
        <v>0.24871687904502399</v>
      </c>
      <c r="H3507">
        <v>0.10182423217584401</v>
      </c>
      <c r="I3507">
        <v>5.4323241539713803E-2</v>
      </c>
      <c r="J3507">
        <v>7.0264498022404601E-2</v>
      </c>
      <c r="K3507">
        <v>5.9839023691997797E-2</v>
      </c>
      <c r="L3507">
        <v>1152.21489956202</v>
      </c>
      <c r="M3507">
        <v>23.061289274548798</v>
      </c>
      <c r="N3507">
        <v>50.239276532550001</v>
      </c>
      <c r="O3507">
        <v>49.592016788077302</v>
      </c>
      <c r="P3507">
        <v>-0.109337461649443</v>
      </c>
      <c r="Q3507">
        <v>5.9520965610636398E-2</v>
      </c>
      <c r="R3507">
        <v>0.99321880160830001</v>
      </c>
      <c r="S3507" t="s">
        <v>10075</v>
      </c>
      <c r="T3507" t="s">
        <v>13134</v>
      </c>
      <c r="U3507" t="s">
        <v>13134</v>
      </c>
      <c r="V3507" t="s">
        <v>13134</v>
      </c>
      <c r="W3507" t="s">
        <v>16587</v>
      </c>
      <c r="X3507">
        <v>8</v>
      </c>
      <c r="Y3507" t="s">
        <v>22992</v>
      </c>
      <c r="Z3507" t="s">
        <v>29475</v>
      </c>
      <c r="AA3507">
        <v>0.4754794396796358</v>
      </c>
      <c r="AB3507" t="str">
        <f>HYPERLINK("Melting_Curves/meltCurve_Q14653_IRF3.pdf", "Melting_Curves/meltCurve_Q14653_IRF3.pdf")</f>
        <v>Melting_Curves/meltCurve_Q14653_IRF3.pdf</v>
      </c>
    </row>
    <row r="3508" spans="1:28" x14ac:dyDescent="0.25">
      <c r="A3508" t="s">
        <v>3512</v>
      </c>
      <c r="B3508">
        <v>0.99472303558308395</v>
      </c>
      <c r="C3508">
        <v>1.2590852686290099</v>
      </c>
      <c r="D3508">
        <v>0.95896804456672802</v>
      </c>
      <c r="E3508">
        <v>0.85004701612572298</v>
      </c>
      <c r="F3508">
        <v>0.74414583525414801</v>
      </c>
      <c r="G3508">
        <v>0.50412730151302898</v>
      </c>
      <c r="H3508">
        <v>0.34099925924693503</v>
      </c>
      <c r="I3508">
        <v>0.28231302432857203</v>
      </c>
      <c r="J3508">
        <v>0.24314076574127899</v>
      </c>
      <c r="K3508">
        <v>7.1847928510899203E-2</v>
      </c>
      <c r="L3508">
        <v>711.17860475606903</v>
      </c>
      <c r="M3508">
        <v>13.303757619487399</v>
      </c>
      <c r="N3508">
        <v>54.290127023252502</v>
      </c>
      <c r="O3508">
        <v>52.292456355173101</v>
      </c>
      <c r="P3508">
        <v>-5.7739041369263201E-2</v>
      </c>
      <c r="Q3508">
        <v>9.2337989347754196E-2</v>
      </c>
      <c r="R3508">
        <v>0.93746111793242004</v>
      </c>
      <c r="S3508" t="s">
        <v>10076</v>
      </c>
      <c r="T3508" t="s">
        <v>13134</v>
      </c>
      <c r="U3508" t="s">
        <v>13134</v>
      </c>
      <c r="V3508" t="s">
        <v>13134</v>
      </c>
      <c r="W3508" t="s">
        <v>16588</v>
      </c>
      <c r="X3508">
        <v>7</v>
      </c>
      <c r="Y3508" t="s">
        <v>22993</v>
      </c>
      <c r="Z3508" t="s">
        <v>29476</v>
      </c>
      <c r="AA3508">
        <v>0.60724411568292969</v>
      </c>
      <c r="AB3508" t="str">
        <f>HYPERLINK("Melting_Curves/meltCurve_Q14657_LAGE3.pdf", "Melting_Curves/meltCurve_Q14657_LAGE3.pdf")</f>
        <v>Melting_Curves/meltCurve_Q14657_LAGE3.pdf</v>
      </c>
    </row>
    <row r="3509" spans="1:28" x14ac:dyDescent="0.25">
      <c r="A3509" t="s">
        <v>3513</v>
      </c>
      <c r="B3509">
        <v>0.99472303558308395</v>
      </c>
      <c r="C3509">
        <v>0.98299786599542305</v>
      </c>
      <c r="D3509">
        <v>0.77278002791352995</v>
      </c>
      <c r="E3509">
        <v>0.28281941244151199</v>
      </c>
      <c r="F3509">
        <v>0.167262079613646</v>
      </c>
      <c r="G3509">
        <v>8.6270056217599103E-2</v>
      </c>
      <c r="H3509">
        <v>5.0095142240058302E-2</v>
      </c>
      <c r="I3509">
        <v>4.2934139295050897E-2</v>
      </c>
      <c r="J3509">
        <v>3.51393735950205E-2</v>
      </c>
      <c r="K3509">
        <v>3.3787121083390999E-2</v>
      </c>
      <c r="L3509">
        <v>1159.8679185936801</v>
      </c>
      <c r="M3509">
        <v>25.869056649680999</v>
      </c>
      <c r="N3509">
        <v>45.032521783108102</v>
      </c>
      <c r="O3509">
        <v>44.570751548883003</v>
      </c>
      <c r="P3509">
        <v>-0.13736201991987099</v>
      </c>
      <c r="Q3509">
        <v>5.3346656085325503E-2</v>
      </c>
      <c r="R3509">
        <v>0.99597532478498096</v>
      </c>
      <c r="S3509" t="s">
        <v>10077</v>
      </c>
      <c r="T3509" t="s">
        <v>13134</v>
      </c>
      <c r="U3509" t="s">
        <v>13134</v>
      </c>
      <c r="V3509" t="s">
        <v>13134</v>
      </c>
      <c r="W3509" t="s">
        <v>16589</v>
      </c>
      <c r="X3509">
        <v>18</v>
      </c>
      <c r="Y3509" t="s">
        <v>22994</v>
      </c>
      <c r="Z3509" t="s">
        <v>29477</v>
      </c>
      <c r="AA3509">
        <v>0.30784159880290862</v>
      </c>
      <c r="AB3509" t="str">
        <f>HYPERLINK("Melting_Curves/meltCurve_Q14669_3_TRIP12.pdf", "Melting_Curves/meltCurve_Q14669_3_TRIP12.pdf")</f>
        <v>Melting_Curves/meltCurve_Q14669_3_TRIP12.pdf</v>
      </c>
    </row>
    <row r="3510" spans="1:28" x14ac:dyDescent="0.25">
      <c r="A3510" t="s">
        <v>3514</v>
      </c>
      <c r="B3510">
        <v>0.99472303558308395</v>
      </c>
      <c r="C3510">
        <v>0.95375702578829002</v>
      </c>
      <c r="D3510">
        <v>0.908151363698535</v>
      </c>
      <c r="E3510">
        <v>0.74340907318688898</v>
      </c>
      <c r="F3510">
        <v>0.270148403270354</v>
      </c>
      <c r="G3510">
        <v>0.10276700415286499</v>
      </c>
      <c r="H3510">
        <v>6.8650227655832202E-2</v>
      </c>
      <c r="I3510">
        <v>5.6593979101749299E-2</v>
      </c>
      <c r="J3510">
        <v>7.3812418328149207E-2</v>
      </c>
      <c r="K3510">
        <v>5.9492046779561901E-2</v>
      </c>
      <c r="L3510">
        <v>1313.70382245992</v>
      </c>
      <c r="M3510">
        <v>27.329258555881701</v>
      </c>
      <c r="N3510">
        <v>48.289207239000298</v>
      </c>
      <c r="O3510">
        <v>47.814337430610003</v>
      </c>
      <c r="P3510">
        <v>-0.134540163695203</v>
      </c>
      <c r="Q3510">
        <v>5.8461397299653502E-2</v>
      </c>
      <c r="R3510">
        <v>0.99627587066897105</v>
      </c>
      <c r="S3510" t="s">
        <v>10078</v>
      </c>
      <c r="T3510" t="s">
        <v>13134</v>
      </c>
      <c r="U3510" t="s">
        <v>13134</v>
      </c>
      <c r="V3510" t="s">
        <v>13134</v>
      </c>
      <c r="W3510" t="s">
        <v>16590</v>
      </c>
      <c r="X3510">
        <v>20</v>
      </c>
      <c r="Y3510" t="s">
        <v>22995</v>
      </c>
      <c r="Z3510" t="s">
        <v>29478</v>
      </c>
      <c r="AA3510">
        <v>0.41260263769680022</v>
      </c>
      <c r="AB3510" t="str">
        <f>HYPERLINK("Melting_Curves/meltCurve_Q14671_PUM1.pdf", "Melting_Curves/meltCurve_Q14671_PUM1.pdf")</f>
        <v>Melting_Curves/meltCurve_Q14671_PUM1.pdf</v>
      </c>
    </row>
    <row r="3511" spans="1:28" x14ac:dyDescent="0.25">
      <c r="A3511" t="s">
        <v>3515</v>
      </c>
      <c r="B3511">
        <v>0.99472303558308395</v>
      </c>
      <c r="C3511">
        <v>0.88856610762868204</v>
      </c>
      <c r="D3511">
        <v>0.7523825020671</v>
      </c>
      <c r="E3511">
        <v>0.52110131609793497</v>
      </c>
      <c r="F3511">
        <v>0.24349736039471001</v>
      </c>
      <c r="G3511">
        <v>0.16372925168361699</v>
      </c>
      <c r="H3511">
        <v>9.1241986012278106E-2</v>
      </c>
      <c r="I3511">
        <v>7.0454394737909598E-2</v>
      </c>
      <c r="J3511">
        <v>7.1086824745716495E-2</v>
      </c>
      <c r="K3511">
        <v>9.0198666379446596E-2</v>
      </c>
      <c r="L3511">
        <v>688.55359224125505</v>
      </c>
      <c r="M3511">
        <v>14.9422689720693</v>
      </c>
      <c r="N3511">
        <v>46.458966778110003</v>
      </c>
      <c r="O3511">
        <v>45.279198265244901</v>
      </c>
      <c r="P3511">
        <v>-7.7786140937118997E-2</v>
      </c>
      <c r="Q3511">
        <v>5.7242778634011497E-2</v>
      </c>
      <c r="R3511">
        <v>0.99689980351560703</v>
      </c>
      <c r="S3511" t="s">
        <v>10079</v>
      </c>
      <c r="T3511" t="s">
        <v>13134</v>
      </c>
      <c r="U3511" t="s">
        <v>13134</v>
      </c>
      <c r="V3511" t="s">
        <v>13134</v>
      </c>
      <c r="W3511" t="s">
        <v>16591</v>
      </c>
      <c r="X3511">
        <v>6</v>
      </c>
      <c r="Y3511" t="s">
        <v>22996</v>
      </c>
      <c r="Z3511" t="s">
        <v>29479</v>
      </c>
      <c r="AA3511">
        <v>0.3644667339531949</v>
      </c>
      <c r="AB3511" t="str">
        <f>HYPERLINK("Melting_Curves/meltCurve_Q14674_ESPL1.pdf", "Melting_Curves/meltCurve_Q14674_ESPL1.pdf")</f>
        <v>Melting_Curves/meltCurve_Q14674_ESPL1.pdf</v>
      </c>
    </row>
    <row r="3512" spans="1:28" x14ac:dyDescent="0.25">
      <c r="A3512" t="s">
        <v>3516</v>
      </c>
      <c r="B3512">
        <v>0.99472303558308395</v>
      </c>
      <c r="C3512">
        <v>1.0344907287815499</v>
      </c>
      <c r="D3512">
        <v>0.93025425248064697</v>
      </c>
      <c r="E3512">
        <v>0.75254904803821299</v>
      </c>
      <c r="F3512">
        <v>0.48146128502084401</v>
      </c>
      <c r="G3512">
        <v>0.18953401970495401</v>
      </c>
      <c r="H3512">
        <v>7.9039915585800799E-2</v>
      </c>
      <c r="I3512">
        <v>4.7601388519302103E-2</v>
      </c>
      <c r="J3512">
        <v>5.4799587800116303E-2</v>
      </c>
      <c r="K3512">
        <v>4.9612051712110299E-2</v>
      </c>
      <c r="L3512">
        <v>932.84554443527998</v>
      </c>
      <c r="M3512">
        <v>18.841756839814298</v>
      </c>
      <c r="N3512">
        <v>49.666687525338197</v>
      </c>
      <c r="O3512">
        <v>48.961897242160198</v>
      </c>
      <c r="P3512">
        <v>-9.3425097396303503E-2</v>
      </c>
      <c r="Q3512">
        <v>2.8947971267714201E-2</v>
      </c>
      <c r="R3512">
        <v>0.99725714762354001</v>
      </c>
      <c r="S3512" t="s">
        <v>10080</v>
      </c>
      <c r="T3512" t="s">
        <v>13134</v>
      </c>
      <c r="U3512" t="s">
        <v>13134</v>
      </c>
      <c r="V3512" t="s">
        <v>13134</v>
      </c>
      <c r="W3512" t="s">
        <v>16592</v>
      </c>
      <c r="X3512">
        <v>37</v>
      </c>
      <c r="Y3512" t="s">
        <v>22997</v>
      </c>
      <c r="Z3512" t="s">
        <v>29480</v>
      </c>
      <c r="AA3512">
        <v>0.44807624725143391</v>
      </c>
      <c r="AB3512" t="str">
        <f>HYPERLINK("Melting_Curves/meltCurve_Q14676_MDC1.pdf", "Melting_Curves/meltCurve_Q14676_MDC1.pdf")</f>
        <v>Melting_Curves/meltCurve_Q14676_MDC1.pdf</v>
      </c>
    </row>
    <row r="3513" spans="1:28" x14ac:dyDescent="0.25">
      <c r="A3513" t="s">
        <v>3517</v>
      </c>
      <c r="B3513">
        <v>0.99472303558308395</v>
      </c>
      <c r="C3513">
        <v>0.901266412709677</v>
      </c>
      <c r="D3513">
        <v>0.937178730707519</v>
      </c>
      <c r="E3513">
        <v>0.71716116459774304</v>
      </c>
      <c r="F3513">
        <v>0.56492154018400598</v>
      </c>
      <c r="G3513">
        <v>0.30166238429043502</v>
      </c>
      <c r="H3513">
        <v>0.176053023211585</v>
      </c>
      <c r="I3513">
        <v>0.151229444417154</v>
      </c>
      <c r="J3513">
        <v>0.19955279214222399</v>
      </c>
      <c r="K3513">
        <v>0.17801046494247699</v>
      </c>
      <c r="L3513">
        <v>759.36029346765304</v>
      </c>
      <c r="M3513">
        <v>15.415550845348999</v>
      </c>
      <c r="N3513">
        <v>50.310177923934702</v>
      </c>
      <c r="O3513">
        <v>48.452761356027501</v>
      </c>
      <c r="P3513">
        <v>-6.8597456636240506E-2</v>
      </c>
      <c r="Q3513">
        <v>0.13764113993638</v>
      </c>
      <c r="R3513">
        <v>0.98535942274139798</v>
      </c>
      <c r="S3513" t="s">
        <v>10081</v>
      </c>
      <c r="T3513" t="s">
        <v>13134</v>
      </c>
      <c r="U3513" t="s">
        <v>13134</v>
      </c>
      <c r="V3513" t="s">
        <v>13134</v>
      </c>
      <c r="W3513" t="s">
        <v>16593</v>
      </c>
      <c r="X3513">
        <v>16</v>
      </c>
      <c r="Y3513" t="s">
        <v>22998</v>
      </c>
      <c r="Z3513" t="s">
        <v>29481</v>
      </c>
      <c r="AA3513">
        <v>0.50770021295584289</v>
      </c>
      <c r="AB3513" t="str">
        <f>HYPERLINK("Melting_Curves/meltCurve_Q14677_CLINT1.pdf", "Melting_Curves/meltCurve_Q14677_CLINT1.pdf")</f>
        <v>Melting_Curves/meltCurve_Q14677_CLINT1.pdf</v>
      </c>
    </row>
    <row r="3514" spans="1:28" x14ac:dyDescent="0.25">
      <c r="A3514" t="s">
        <v>3518</v>
      </c>
      <c r="B3514">
        <v>0.99472303558308395</v>
      </c>
      <c r="C3514">
        <v>0.97960980384076601</v>
      </c>
      <c r="D3514">
        <v>0.79516449161510305</v>
      </c>
      <c r="E3514">
        <v>0.52419593508462903</v>
      </c>
      <c r="F3514">
        <v>0.27979362562306698</v>
      </c>
      <c r="G3514">
        <v>0.157325575546718</v>
      </c>
      <c r="H3514">
        <v>9.7952555509708106E-2</v>
      </c>
      <c r="I3514">
        <v>7.0939998752195907E-2</v>
      </c>
      <c r="J3514">
        <v>7.8387786602967302E-2</v>
      </c>
      <c r="K3514">
        <v>5.4384891118694802E-2</v>
      </c>
      <c r="L3514">
        <v>776.92747988213398</v>
      </c>
      <c r="M3514">
        <v>16.684569927457801</v>
      </c>
      <c r="N3514">
        <v>46.921017182175099</v>
      </c>
      <c r="O3514">
        <v>45.912115727807702</v>
      </c>
      <c r="P3514">
        <v>-8.5463688796353104E-2</v>
      </c>
      <c r="Q3514">
        <v>5.9356565870580601E-2</v>
      </c>
      <c r="R3514">
        <v>0.99866693933249095</v>
      </c>
      <c r="S3514" t="s">
        <v>10082</v>
      </c>
      <c r="T3514" t="s">
        <v>13134</v>
      </c>
      <c r="U3514" t="s">
        <v>13134</v>
      </c>
      <c r="V3514" t="s">
        <v>13134</v>
      </c>
      <c r="W3514" t="s">
        <v>16594</v>
      </c>
      <c r="X3514">
        <v>2</v>
      </c>
      <c r="Y3514" t="s">
        <v>22999</v>
      </c>
      <c r="Z3514" t="s">
        <v>29482</v>
      </c>
      <c r="AA3514">
        <v>0.37680611663076741</v>
      </c>
      <c r="AB3514" t="str">
        <f>HYPERLINK("Melting_Curves/meltCurve_Q14680_3_MELK.pdf", "Melting_Curves/meltCurve_Q14680_3_MELK.pdf")</f>
        <v>Melting_Curves/meltCurve_Q14680_3_MELK.pdf</v>
      </c>
    </row>
    <row r="3515" spans="1:28" x14ac:dyDescent="0.25">
      <c r="A3515" t="s">
        <v>3519</v>
      </c>
      <c r="B3515">
        <v>0.99472303558308395</v>
      </c>
      <c r="C3515">
        <v>0.92400742945774705</v>
      </c>
      <c r="D3515">
        <v>0.94681100583925304</v>
      </c>
      <c r="E3515">
        <v>0.66247560683909401</v>
      </c>
      <c r="F3515">
        <v>0.46411560645549299</v>
      </c>
      <c r="G3515">
        <v>0.282875619905191</v>
      </c>
      <c r="H3515">
        <v>0.18381662693793299</v>
      </c>
      <c r="I3515">
        <v>0.13226802907224</v>
      </c>
      <c r="J3515">
        <v>0.24903355214133099</v>
      </c>
      <c r="K3515">
        <v>0.126141891046717</v>
      </c>
      <c r="L3515">
        <v>800.16153107847697</v>
      </c>
      <c r="M3515">
        <v>16.591749629545401</v>
      </c>
      <c r="N3515">
        <v>49.286349952738398</v>
      </c>
      <c r="O3515">
        <v>47.542243317752003</v>
      </c>
      <c r="P3515">
        <v>-7.416174677845E-2</v>
      </c>
      <c r="Q3515">
        <v>0.15004131631918999</v>
      </c>
      <c r="R3515">
        <v>0.98510409755394002</v>
      </c>
      <c r="S3515" t="s">
        <v>10083</v>
      </c>
      <c r="T3515" t="s">
        <v>13134</v>
      </c>
      <c r="U3515" t="s">
        <v>13134</v>
      </c>
      <c r="V3515" t="s">
        <v>13134</v>
      </c>
      <c r="W3515" t="s">
        <v>16595</v>
      </c>
      <c r="X3515">
        <v>1</v>
      </c>
      <c r="Y3515" t="s">
        <v>23000</v>
      </c>
      <c r="Z3515" t="s">
        <v>29483</v>
      </c>
      <c r="AA3515">
        <v>0.4837960759564941</v>
      </c>
      <c r="AB3515" t="str">
        <f>HYPERLINK("Melting_Curves/meltCurve_Q14681_KCTD2.pdf", "Melting_Curves/meltCurve_Q14681_KCTD2.pdf")</f>
        <v>Melting_Curves/meltCurve_Q14681_KCTD2.pdf</v>
      </c>
    </row>
    <row r="3516" spans="1:28" x14ac:dyDescent="0.25">
      <c r="A3516" t="s">
        <v>3520</v>
      </c>
      <c r="B3516">
        <v>0.99472303558308395</v>
      </c>
      <c r="C3516">
        <v>0.965004376068199</v>
      </c>
      <c r="D3516">
        <v>0.785509303472123</v>
      </c>
      <c r="E3516">
        <v>0.66974776049777995</v>
      </c>
      <c r="F3516">
        <v>0.57934051275539999</v>
      </c>
      <c r="G3516">
        <v>0.25194134388724998</v>
      </c>
      <c r="H3516">
        <v>9.0861473325121594E-2</v>
      </c>
      <c r="I3516">
        <v>5.0417001068196798E-2</v>
      </c>
      <c r="J3516">
        <v>5.9827905769913398E-2</v>
      </c>
      <c r="K3516">
        <v>4.5673722169944801E-2</v>
      </c>
      <c r="L3516">
        <v>618.51248269502105</v>
      </c>
      <c r="M3516">
        <v>12.469822929578299</v>
      </c>
      <c r="N3516">
        <v>49.600763392962399</v>
      </c>
      <c r="O3516">
        <v>48.376951541054197</v>
      </c>
      <c r="P3516">
        <v>-6.4454319444402997E-2</v>
      </c>
      <c r="Q3516">
        <v>0</v>
      </c>
      <c r="R3516">
        <v>0.97992218244973295</v>
      </c>
      <c r="S3516" t="s">
        <v>10084</v>
      </c>
      <c r="T3516" t="s">
        <v>13134</v>
      </c>
      <c r="U3516" t="s">
        <v>13134</v>
      </c>
      <c r="V3516" t="s">
        <v>13134</v>
      </c>
      <c r="W3516" t="s">
        <v>16596</v>
      </c>
      <c r="X3516">
        <v>80</v>
      </c>
      <c r="Y3516" t="s">
        <v>23001</v>
      </c>
      <c r="Z3516" t="s">
        <v>29484</v>
      </c>
      <c r="AA3516">
        <v>0.44737754722623951</v>
      </c>
      <c r="AB3516" t="str">
        <f>HYPERLINK("Melting_Curves/meltCurve_Q14683_SMC1A.pdf", "Melting_Curves/meltCurve_Q14683_SMC1A.pdf")</f>
        <v>Melting_Curves/meltCurve_Q14683_SMC1A.pdf</v>
      </c>
    </row>
    <row r="3517" spans="1:28" x14ac:dyDescent="0.25">
      <c r="A3517" t="s">
        <v>3521</v>
      </c>
      <c r="B3517">
        <v>0.99472303558308395</v>
      </c>
      <c r="C3517">
        <v>1.15784771553948</v>
      </c>
      <c r="D3517">
        <v>0.84738767053050901</v>
      </c>
      <c r="E3517">
        <v>0.51826532274072901</v>
      </c>
      <c r="F3517">
        <v>0.48094917765228701</v>
      </c>
      <c r="G3517">
        <v>0.24241767834332401</v>
      </c>
      <c r="H3517">
        <v>0.19857542143073501</v>
      </c>
      <c r="I3517">
        <v>0.124404910866596</v>
      </c>
      <c r="J3517">
        <v>0.107773639295265</v>
      </c>
      <c r="K3517">
        <v>0.106489567049756</v>
      </c>
      <c r="L3517">
        <v>728.56231506834195</v>
      </c>
      <c r="M3517">
        <v>15.2780298755779</v>
      </c>
      <c r="N3517">
        <v>48.467734573677298</v>
      </c>
      <c r="O3517">
        <v>46.8923347197399</v>
      </c>
      <c r="P3517">
        <v>-7.2574016350095194E-2</v>
      </c>
      <c r="Q3517">
        <v>0.109087995571596</v>
      </c>
      <c r="R3517">
        <v>0.95497913135034296</v>
      </c>
      <c r="S3517" t="s">
        <v>10085</v>
      </c>
      <c r="T3517" t="s">
        <v>13134</v>
      </c>
      <c r="U3517" t="s">
        <v>13134</v>
      </c>
      <c r="V3517" t="s">
        <v>13134</v>
      </c>
      <c r="W3517" t="s">
        <v>16597</v>
      </c>
      <c r="X3517">
        <v>2</v>
      </c>
      <c r="Y3517" t="s">
        <v>23002</v>
      </c>
      <c r="Z3517" t="s">
        <v>29485</v>
      </c>
      <c r="AA3517">
        <v>0.44559940109588558</v>
      </c>
      <c r="AB3517" t="str">
        <f>HYPERLINK("Melting_Curves/meltCurve_Q14684_2_RRP1B.pdf", "Melting_Curves/meltCurve_Q14684_2_RRP1B.pdf")</f>
        <v>Melting_Curves/meltCurve_Q14684_2_RRP1B.pdf</v>
      </c>
    </row>
    <row r="3518" spans="1:28" x14ac:dyDescent="0.25">
      <c r="A3518" t="s">
        <v>3522</v>
      </c>
      <c r="B3518">
        <v>0.99472303558308395</v>
      </c>
      <c r="C3518">
        <v>0.872769483726624</v>
      </c>
      <c r="D3518">
        <v>0.75568513990448505</v>
      </c>
      <c r="E3518">
        <v>0.47130751712930502</v>
      </c>
      <c r="F3518">
        <v>0.25899187793789802</v>
      </c>
      <c r="G3518">
        <v>0.159777060828177</v>
      </c>
      <c r="H3518">
        <v>0.138674502443697</v>
      </c>
      <c r="I3518">
        <v>0.17001266310899099</v>
      </c>
      <c r="J3518">
        <v>0.27427217798046299</v>
      </c>
      <c r="K3518">
        <v>0.26164217180503402</v>
      </c>
      <c r="L3518">
        <v>872.97986506299003</v>
      </c>
      <c r="M3518">
        <v>19.537161298304198</v>
      </c>
      <c r="N3518">
        <v>45.824673602766602</v>
      </c>
      <c r="O3518">
        <v>44.222810910118497</v>
      </c>
      <c r="P3518">
        <v>-8.91692770607002E-2</v>
      </c>
      <c r="Q3518">
        <v>0.192682052692081</v>
      </c>
      <c r="R3518">
        <v>0.97405554351601298</v>
      </c>
      <c r="S3518" t="s">
        <v>10086</v>
      </c>
      <c r="T3518" t="s">
        <v>13134</v>
      </c>
      <c r="U3518" t="s">
        <v>13134</v>
      </c>
      <c r="V3518" t="s">
        <v>13134</v>
      </c>
      <c r="W3518" t="s">
        <v>16598</v>
      </c>
      <c r="X3518">
        <v>4</v>
      </c>
      <c r="Y3518" t="s">
        <v>23003</v>
      </c>
      <c r="Z3518" t="s">
        <v>29486</v>
      </c>
      <c r="AA3518">
        <v>0.41063316611930678</v>
      </c>
      <c r="AB3518" t="str">
        <f>HYPERLINK("Melting_Curves/meltCurve_Q14686_NCOA6.pdf", "Melting_Curves/meltCurve_Q14686_NCOA6.pdf")</f>
        <v>Melting_Curves/meltCurve_Q14686_NCOA6.pdf</v>
      </c>
    </row>
    <row r="3519" spans="1:28" x14ac:dyDescent="0.25">
      <c r="A3519" t="s">
        <v>3523</v>
      </c>
      <c r="B3519">
        <v>0.99472303558308395</v>
      </c>
      <c r="C3519">
        <v>0.92779485641126702</v>
      </c>
      <c r="D3519">
        <v>0.50356757621808601</v>
      </c>
      <c r="E3519">
        <v>0.30143996968350301</v>
      </c>
      <c r="F3519">
        <v>9.4084288268610899E-2</v>
      </c>
      <c r="G3519">
        <v>6.6333605129454701E-2</v>
      </c>
      <c r="H3519">
        <v>4.4723918279813098E-2</v>
      </c>
      <c r="I3519">
        <v>4.50849550146055E-2</v>
      </c>
      <c r="J3519">
        <v>6.5196925658707397E-2</v>
      </c>
      <c r="K3519">
        <v>5.7336818349848898E-2</v>
      </c>
      <c r="L3519">
        <v>902.753723380721</v>
      </c>
      <c r="M3519">
        <v>20.804437644237002</v>
      </c>
      <c r="N3519">
        <v>43.632382551375997</v>
      </c>
      <c r="O3519">
        <v>42.997427917270599</v>
      </c>
      <c r="P3519">
        <v>-0.114426168804603</v>
      </c>
      <c r="Q3519">
        <v>5.4068603536938001E-2</v>
      </c>
      <c r="R3519">
        <v>0.98928025684732102</v>
      </c>
      <c r="S3519" t="s">
        <v>10087</v>
      </c>
      <c r="T3519" t="s">
        <v>13134</v>
      </c>
      <c r="U3519" t="s">
        <v>13134</v>
      </c>
      <c r="V3519" t="s">
        <v>13134</v>
      </c>
      <c r="W3519" t="s">
        <v>16599</v>
      </c>
      <c r="X3519">
        <v>14</v>
      </c>
      <c r="Y3519" t="s">
        <v>23004</v>
      </c>
      <c r="Z3519" t="s">
        <v>29487</v>
      </c>
      <c r="AA3519">
        <v>0.26746377616498779</v>
      </c>
      <c r="AB3519" t="str">
        <f>HYPERLINK("Melting_Curves/meltCurve_Q14687_2_GSE1.pdf", "Melting_Curves/meltCurve_Q14687_2_GSE1.pdf")</f>
        <v>Melting_Curves/meltCurve_Q14687_2_GSE1.pdf</v>
      </c>
    </row>
    <row r="3520" spans="1:28" x14ac:dyDescent="0.25">
      <c r="A3520" t="s">
        <v>3524</v>
      </c>
      <c r="B3520">
        <v>0.99472303558308395</v>
      </c>
      <c r="C3520">
        <v>0.83144419571721095</v>
      </c>
      <c r="D3520">
        <v>0.77968961937163395</v>
      </c>
      <c r="E3520">
        <v>0.41916853880798099</v>
      </c>
      <c r="F3520">
        <v>0.32134992735455398</v>
      </c>
      <c r="G3520">
        <v>0.19543229886592101</v>
      </c>
      <c r="H3520">
        <v>0.120290903497975</v>
      </c>
      <c r="I3520">
        <v>9.8420536078748594E-2</v>
      </c>
      <c r="J3520">
        <v>5.4154189600121097E-2</v>
      </c>
      <c r="K3520">
        <v>0.100987571355296</v>
      </c>
      <c r="L3520">
        <v>601.27513700994598</v>
      </c>
      <c r="M3520">
        <v>13.130948504798701</v>
      </c>
      <c r="N3520">
        <v>46.2809009361916</v>
      </c>
      <c r="O3520">
        <v>44.767736826944599</v>
      </c>
      <c r="P3520">
        <v>-6.8579178048661399E-2</v>
      </c>
      <c r="Q3520">
        <v>6.4923063681058199E-2</v>
      </c>
      <c r="R3520">
        <v>0.98766378396652499</v>
      </c>
      <c r="S3520" t="s">
        <v>10088</v>
      </c>
      <c r="T3520" t="s">
        <v>13134</v>
      </c>
      <c r="U3520" t="s">
        <v>13134</v>
      </c>
      <c r="V3520" t="s">
        <v>13134</v>
      </c>
      <c r="W3520" t="s">
        <v>16600</v>
      </c>
      <c r="X3520">
        <v>2</v>
      </c>
      <c r="Y3520" t="s">
        <v>23005</v>
      </c>
      <c r="Z3520" t="s">
        <v>29488</v>
      </c>
      <c r="AA3520">
        <v>0.36672260786035621</v>
      </c>
      <c r="AB3520" t="str">
        <f>HYPERLINK("Melting_Curves/meltCurve_Q14690_PDCD11.pdf", "Melting_Curves/meltCurve_Q14690_PDCD11.pdf")</f>
        <v>Melting_Curves/meltCurve_Q14690_PDCD11.pdf</v>
      </c>
    </row>
    <row r="3521" spans="1:28" x14ac:dyDescent="0.25">
      <c r="A3521" t="s">
        <v>3525</v>
      </c>
      <c r="B3521">
        <v>0.99472303558308395</v>
      </c>
      <c r="C3521">
        <v>0.96566796766233198</v>
      </c>
      <c r="D3521">
        <v>0.99205119668774999</v>
      </c>
      <c r="E3521">
        <v>0.89289034355570795</v>
      </c>
      <c r="F3521">
        <v>0.59088801648590294</v>
      </c>
      <c r="G3521">
        <v>0.15700501862673799</v>
      </c>
      <c r="H3521">
        <v>9.4001529244591195E-2</v>
      </c>
      <c r="I3521">
        <v>5.2967755961509197E-2</v>
      </c>
      <c r="J3521">
        <v>5.19557532203761E-2</v>
      </c>
      <c r="K3521">
        <v>5.5051700667866799E-2</v>
      </c>
      <c r="L3521">
        <v>1477.0379214275799</v>
      </c>
      <c r="M3521">
        <v>29.238814472420501</v>
      </c>
      <c r="N3521">
        <v>50.698426510630497</v>
      </c>
      <c r="O3521">
        <v>50.281814814409799</v>
      </c>
      <c r="P3521">
        <v>-0.13812970128458499</v>
      </c>
      <c r="Q3521">
        <v>4.9843680842023501E-2</v>
      </c>
      <c r="R3521">
        <v>0.997775611358513</v>
      </c>
      <c r="S3521" t="s">
        <v>10089</v>
      </c>
      <c r="T3521" t="s">
        <v>13134</v>
      </c>
      <c r="U3521" t="s">
        <v>13134</v>
      </c>
      <c r="V3521" t="s">
        <v>13134</v>
      </c>
      <c r="W3521" t="s">
        <v>16601</v>
      </c>
      <c r="X3521">
        <v>7</v>
      </c>
      <c r="Y3521" t="s">
        <v>23006</v>
      </c>
      <c r="Z3521" t="s">
        <v>29489</v>
      </c>
      <c r="AA3521">
        <v>0.4841125939502085</v>
      </c>
      <c r="AB3521" t="str">
        <f>HYPERLINK("Melting_Curves/meltCurve_Q14691_GINS1.pdf", "Melting_Curves/meltCurve_Q14691_GINS1.pdf")</f>
        <v>Melting_Curves/meltCurve_Q14691_GINS1.pdf</v>
      </c>
    </row>
    <row r="3522" spans="1:28" x14ac:dyDescent="0.25">
      <c r="A3522" t="s">
        <v>3526</v>
      </c>
      <c r="B3522">
        <v>0.99472303558308395</v>
      </c>
      <c r="C3522">
        <v>0.78852693047657296</v>
      </c>
      <c r="D3522">
        <v>0.98372145794763699</v>
      </c>
      <c r="E3522">
        <v>0.87218054544453705</v>
      </c>
      <c r="F3522">
        <v>0.78141003802577402</v>
      </c>
      <c r="G3522">
        <v>0.298370471740867</v>
      </c>
      <c r="H3522">
        <v>4.4275389489021599E-2</v>
      </c>
      <c r="I3522">
        <v>9.4181339302778305E-2</v>
      </c>
      <c r="J3522">
        <v>5.6308989661896E-2</v>
      </c>
      <c r="K3522">
        <v>0.122928206517998</v>
      </c>
      <c r="L3522">
        <v>1679.6181303824101</v>
      </c>
      <c r="M3522">
        <v>32.388987658573299</v>
      </c>
      <c r="N3522">
        <v>52.100129586269901</v>
      </c>
      <c r="O3522">
        <v>51.661207104035199</v>
      </c>
      <c r="P3522">
        <v>-0.14577375289692601</v>
      </c>
      <c r="Q3522">
        <v>6.9954042880584794E-2</v>
      </c>
      <c r="R3522">
        <v>0.95838836761243096</v>
      </c>
      <c r="S3522" t="s">
        <v>10090</v>
      </c>
      <c r="T3522" t="s">
        <v>13134</v>
      </c>
      <c r="U3522" t="s">
        <v>13134</v>
      </c>
      <c r="V3522" t="s">
        <v>13134</v>
      </c>
      <c r="W3522" t="s">
        <v>16602</v>
      </c>
      <c r="X3522">
        <v>2</v>
      </c>
      <c r="Y3522" t="s">
        <v>23007</v>
      </c>
      <c r="Z3522" t="s">
        <v>29490</v>
      </c>
      <c r="AA3522">
        <v>0.5356156827489138</v>
      </c>
      <c r="AB3522" t="str">
        <f>HYPERLINK("Melting_Curves/meltCurve_Q14692_BMS1.pdf", "Melting_Curves/meltCurve_Q14692_BMS1.pdf")</f>
        <v>Melting_Curves/meltCurve_Q14692_BMS1.pdf</v>
      </c>
    </row>
    <row r="3523" spans="1:28" x14ac:dyDescent="0.25">
      <c r="A3523" t="s">
        <v>3527</v>
      </c>
      <c r="B3523">
        <v>0.99472303558308395</v>
      </c>
      <c r="C3523">
        <v>0.81523479351283401</v>
      </c>
      <c r="D3523">
        <v>0.63913674697562695</v>
      </c>
      <c r="E3523">
        <v>0.26299134030476301</v>
      </c>
      <c r="F3523">
        <v>0.13885228723526299</v>
      </c>
      <c r="G3523">
        <v>6.5874973590774599E-2</v>
      </c>
      <c r="H3523">
        <v>4.7763928585692797E-2</v>
      </c>
      <c r="I3523">
        <v>3.6366349353366897E-2</v>
      </c>
      <c r="J3523">
        <v>5.2100169731054302E-2</v>
      </c>
      <c r="K3523">
        <v>5.4487752374287303E-2</v>
      </c>
      <c r="L3523">
        <v>788.73266738380903</v>
      </c>
      <c r="M3523">
        <v>17.990913499241699</v>
      </c>
      <c r="N3523">
        <v>44.044541930428998</v>
      </c>
      <c r="O3523">
        <v>43.309724458880702</v>
      </c>
      <c r="P3523">
        <v>-9.9705163349739098E-2</v>
      </c>
      <c r="Q3523">
        <v>3.99621063758707E-2</v>
      </c>
      <c r="R3523">
        <v>0.99566616792788099</v>
      </c>
      <c r="S3523" t="s">
        <v>10091</v>
      </c>
      <c r="T3523" t="s">
        <v>13134</v>
      </c>
      <c r="U3523" t="s">
        <v>13134</v>
      </c>
      <c r="V3523" t="s">
        <v>13134</v>
      </c>
      <c r="W3523" t="s">
        <v>16603</v>
      </c>
      <c r="X3523">
        <v>19</v>
      </c>
      <c r="Y3523" t="s">
        <v>23008</v>
      </c>
      <c r="Z3523" t="s">
        <v>29491</v>
      </c>
      <c r="AA3523">
        <v>0.27516010641689748</v>
      </c>
      <c r="AB3523" t="str">
        <f>HYPERLINK("Melting_Curves/meltCurve_Q14694_USP10.pdf", "Melting_Curves/meltCurve_Q14694_USP10.pdf")</f>
        <v>Melting_Curves/meltCurve_Q14694_USP10.pdf</v>
      </c>
    </row>
    <row r="3524" spans="1:28" x14ac:dyDescent="0.25">
      <c r="A3524" t="s">
        <v>3528</v>
      </c>
      <c r="B3524">
        <v>0.99472303558308395</v>
      </c>
      <c r="C3524">
        <v>1.09090251317616</v>
      </c>
      <c r="D3524">
        <v>1.0305203120452699</v>
      </c>
      <c r="E3524">
        <v>0.90568320980266404</v>
      </c>
      <c r="F3524">
        <v>0.67267912121028695</v>
      </c>
      <c r="G3524">
        <v>0.45213760234168499</v>
      </c>
      <c r="H3524">
        <v>0.20725688527882999</v>
      </c>
      <c r="I3524">
        <v>0.126157451152414</v>
      </c>
      <c r="J3524">
        <v>0.14651135921478201</v>
      </c>
      <c r="K3524">
        <v>0.12372112700035701</v>
      </c>
      <c r="L3524">
        <v>1000.56932658969</v>
      </c>
      <c r="M3524">
        <v>19.245501794090199</v>
      </c>
      <c r="N3524">
        <v>52.626834979072498</v>
      </c>
      <c r="O3524">
        <v>51.438195219797798</v>
      </c>
      <c r="P3524">
        <v>-8.3820724761302506E-2</v>
      </c>
      <c r="Q3524">
        <v>0.103910053541447</v>
      </c>
      <c r="R3524">
        <v>0.99004560797457797</v>
      </c>
      <c r="S3524" t="s">
        <v>10092</v>
      </c>
      <c r="T3524" t="s">
        <v>13134</v>
      </c>
      <c r="U3524" t="s">
        <v>13134</v>
      </c>
      <c r="V3524" t="s">
        <v>13134</v>
      </c>
      <c r="W3524" t="s">
        <v>16604</v>
      </c>
      <c r="X3524">
        <v>9</v>
      </c>
      <c r="Y3524" t="s">
        <v>23009</v>
      </c>
      <c r="Z3524" t="s">
        <v>29492</v>
      </c>
      <c r="AA3524">
        <v>0.56393135558046337</v>
      </c>
      <c r="AB3524" t="str">
        <f>HYPERLINK("Melting_Curves/meltCurve_Q14696_MESDC2.pdf", "Melting_Curves/meltCurve_Q14696_MESDC2.pdf")</f>
        <v>Melting_Curves/meltCurve_Q14696_MESDC2.pdf</v>
      </c>
    </row>
    <row r="3525" spans="1:28" x14ac:dyDescent="0.25">
      <c r="A3525" t="s">
        <v>3529</v>
      </c>
      <c r="B3525">
        <v>0.99472303558308395</v>
      </c>
      <c r="C3525">
        <v>0.94683321485340799</v>
      </c>
      <c r="D3525">
        <v>0.99062963748833099</v>
      </c>
      <c r="E3525">
        <v>0.80640556882379899</v>
      </c>
      <c r="F3525">
        <v>0.38367379204230301</v>
      </c>
      <c r="G3525">
        <v>0.10620934264217</v>
      </c>
      <c r="H3525">
        <v>6.0028826478155599E-2</v>
      </c>
      <c r="I3525">
        <v>4.2286216265508998E-2</v>
      </c>
      <c r="J3525">
        <v>4.9195248503953799E-2</v>
      </c>
      <c r="K3525">
        <v>4.4774478637553301E-2</v>
      </c>
      <c r="L3525">
        <v>1329.9622322037401</v>
      </c>
      <c r="M3525">
        <v>27.119659201466099</v>
      </c>
      <c r="N3525">
        <v>49.194336528354903</v>
      </c>
      <c r="O3525">
        <v>48.776207853410902</v>
      </c>
      <c r="P3525">
        <v>-0.13335111836562699</v>
      </c>
      <c r="Q3525">
        <v>4.0652032975263402E-2</v>
      </c>
      <c r="R3525">
        <v>0.99815750099509504</v>
      </c>
      <c r="S3525" t="s">
        <v>10093</v>
      </c>
      <c r="T3525" t="s">
        <v>13134</v>
      </c>
      <c r="U3525" t="s">
        <v>13134</v>
      </c>
      <c r="V3525" t="s">
        <v>13134</v>
      </c>
      <c r="W3525" t="s">
        <v>16605</v>
      </c>
      <c r="X3525">
        <v>43</v>
      </c>
      <c r="Y3525" t="s">
        <v>23010</v>
      </c>
      <c r="Z3525" t="s">
        <v>29493</v>
      </c>
      <c r="AA3525">
        <v>0.4327601908886452</v>
      </c>
      <c r="AB3525" t="str">
        <f>HYPERLINK("Melting_Curves/meltCurve_Q14697_GANAB.pdf", "Melting_Curves/meltCurve_Q14697_GANAB.pdf")</f>
        <v>Melting_Curves/meltCurve_Q14697_GANAB.pdf</v>
      </c>
    </row>
    <row r="3526" spans="1:28" x14ac:dyDescent="0.25">
      <c r="A3526" t="s">
        <v>3530</v>
      </c>
      <c r="B3526">
        <v>0.99472303558308395</v>
      </c>
      <c r="C3526">
        <v>1.2888589274114399</v>
      </c>
      <c r="D3526">
        <v>0.95954038499042504</v>
      </c>
      <c r="E3526">
        <v>0.764770622328108</v>
      </c>
      <c r="F3526">
        <v>0.33500910181832699</v>
      </c>
      <c r="G3526">
        <v>5.0839054459569301E-2</v>
      </c>
      <c r="H3526">
        <v>0</v>
      </c>
      <c r="I3526">
        <v>0</v>
      </c>
      <c r="J3526">
        <v>0</v>
      </c>
      <c r="K3526">
        <v>0</v>
      </c>
      <c r="L3526">
        <v>1337.3587055677499</v>
      </c>
      <c r="M3526">
        <v>27.4190386995555</v>
      </c>
      <c r="N3526">
        <v>48.774821031771602</v>
      </c>
      <c r="O3526">
        <v>48.517604431384903</v>
      </c>
      <c r="P3526">
        <v>-0.141285324373328</v>
      </c>
      <c r="Q3526">
        <v>0</v>
      </c>
      <c r="R3526">
        <v>0.96306323602977895</v>
      </c>
      <c r="S3526" t="s">
        <v>10094</v>
      </c>
      <c r="T3526" t="s">
        <v>13134</v>
      </c>
      <c r="U3526" t="s">
        <v>13134</v>
      </c>
      <c r="V3526" t="s">
        <v>13134</v>
      </c>
      <c r="W3526" t="s">
        <v>16606</v>
      </c>
      <c r="X3526">
        <v>43</v>
      </c>
      <c r="Y3526" t="s">
        <v>23010</v>
      </c>
      <c r="Z3526" t="s">
        <v>29494</v>
      </c>
      <c r="AA3526">
        <v>0.39967832546846233</v>
      </c>
      <c r="AB3526" t="str">
        <f>HYPERLINK("Melting_Curves/meltCurve_Q14697_2_GANAB.pdf", "Melting_Curves/meltCurve_Q14697_2_GANAB.pdf")</f>
        <v>Melting_Curves/meltCurve_Q14697_2_GANAB.pdf</v>
      </c>
    </row>
    <row r="3527" spans="1:28" x14ac:dyDescent="0.25">
      <c r="A3527" t="s">
        <v>3531</v>
      </c>
      <c r="B3527">
        <v>0.99472303558308395</v>
      </c>
      <c r="C3527">
        <v>0.93026780038949997</v>
      </c>
      <c r="D3527">
        <v>0.74254330802563495</v>
      </c>
      <c r="E3527">
        <v>0.61539334782310595</v>
      </c>
      <c r="F3527">
        <v>0.436485957072133</v>
      </c>
      <c r="G3527">
        <v>0.12738684843476999</v>
      </c>
      <c r="H3527">
        <v>4.7121855009822397E-2</v>
      </c>
      <c r="I3527">
        <v>2.9979195712748399E-2</v>
      </c>
      <c r="J3527">
        <v>3.1550309656936303E-2</v>
      </c>
      <c r="K3527">
        <v>2.8318736184153499E-2</v>
      </c>
      <c r="L3527">
        <v>637.47669002259602</v>
      </c>
      <c r="M3527">
        <v>13.3186528256686</v>
      </c>
      <c r="N3527">
        <v>47.863450045845099</v>
      </c>
      <c r="O3527">
        <v>46.823032717187601</v>
      </c>
      <c r="P3527">
        <v>-7.1123084453929897E-2</v>
      </c>
      <c r="Q3527">
        <v>0</v>
      </c>
      <c r="R3527">
        <v>0.98509732366213398</v>
      </c>
      <c r="S3527" t="s">
        <v>10095</v>
      </c>
      <c r="T3527" t="s">
        <v>13134</v>
      </c>
      <c r="U3527" t="s">
        <v>13134</v>
      </c>
      <c r="V3527" t="s">
        <v>13134</v>
      </c>
      <c r="W3527" t="s">
        <v>16607</v>
      </c>
      <c r="X3527">
        <v>15</v>
      </c>
      <c r="Y3527" t="s">
        <v>23011</v>
      </c>
      <c r="Z3527" t="s">
        <v>29495</v>
      </c>
      <c r="AA3527">
        <v>0.38897321100583843</v>
      </c>
      <c r="AB3527" t="str">
        <f>HYPERLINK("Melting_Curves/meltCurve_Q14739_LBR.pdf", "Melting_Curves/meltCurve_Q14739_LBR.pdf")</f>
        <v>Melting_Curves/meltCurve_Q14739_LBR.pdf</v>
      </c>
    </row>
    <row r="3528" spans="1:28" x14ac:dyDescent="0.25">
      <c r="A3528" t="s">
        <v>3532</v>
      </c>
      <c r="B3528">
        <v>0.99472303558308395</v>
      </c>
      <c r="C3528">
        <v>0.74269621623476501</v>
      </c>
      <c r="D3528">
        <v>0.66824592924447901</v>
      </c>
      <c r="E3528">
        <v>0.29042725418461901</v>
      </c>
      <c r="F3528">
        <v>0.18383006106702199</v>
      </c>
      <c r="G3528">
        <v>0.102605510926068</v>
      </c>
      <c r="H3528">
        <v>7.9757704659216E-2</v>
      </c>
      <c r="I3528">
        <v>5.8331130413515397E-2</v>
      </c>
      <c r="J3528">
        <v>2.88496664021612E-2</v>
      </c>
      <c r="K3528">
        <v>6.0919311305036299E-2</v>
      </c>
      <c r="L3528">
        <v>644.56470686484204</v>
      </c>
      <c r="M3528">
        <v>14.659233063659601</v>
      </c>
      <c r="N3528">
        <v>44.225377229313096</v>
      </c>
      <c r="O3528">
        <v>43.175947391350697</v>
      </c>
      <c r="P3528">
        <v>-8.1443543191016293E-2</v>
      </c>
      <c r="Q3528">
        <v>4.0601032081332401E-2</v>
      </c>
      <c r="R3528">
        <v>0.98478064697338696</v>
      </c>
      <c r="S3528" t="s">
        <v>10096</v>
      </c>
      <c r="T3528" t="s">
        <v>13134</v>
      </c>
      <c r="U3528" t="s">
        <v>13134</v>
      </c>
      <c r="V3528" t="s">
        <v>13134</v>
      </c>
      <c r="W3528" t="s">
        <v>16608</v>
      </c>
      <c r="X3528">
        <v>1</v>
      </c>
      <c r="Y3528" t="s">
        <v>23012</v>
      </c>
      <c r="Z3528" t="s">
        <v>29496</v>
      </c>
      <c r="AA3528">
        <v>0.28852761203409888</v>
      </c>
      <c r="AB3528" t="str">
        <f>HYPERLINK("Melting_Curves/meltCurve_Q14781_CBX2.pdf", "Melting_Curves/meltCurve_Q14781_CBX2.pdf")</f>
        <v>Melting_Curves/meltCurve_Q14781_CBX2.pdf</v>
      </c>
    </row>
    <row r="3529" spans="1:28" x14ac:dyDescent="0.25">
      <c r="A3529" t="s">
        <v>3533</v>
      </c>
      <c r="B3529">
        <v>0.99472303558308395</v>
      </c>
      <c r="C3529">
        <v>1.00156666730739</v>
      </c>
      <c r="D3529">
        <v>0.78919488812322602</v>
      </c>
      <c r="E3529">
        <v>0.335414747995258</v>
      </c>
      <c r="F3529">
        <v>0.21735237393613999</v>
      </c>
      <c r="G3529">
        <v>0.115944536970072</v>
      </c>
      <c r="H3529">
        <v>8.5843304764541897E-2</v>
      </c>
      <c r="I3529">
        <v>6.1495200164921798E-2</v>
      </c>
      <c r="J3529">
        <v>9.3220572080056199E-2</v>
      </c>
      <c r="K3529">
        <v>6.7693317541414694E-2</v>
      </c>
      <c r="L3529">
        <v>1109.1592346310199</v>
      </c>
      <c r="M3529">
        <v>24.620906213079099</v>
      </c>
      <c r="N3529">
        <v>45.405612345479398</v>
      </c>
      <c r="O3529">
        <v>44.755474948899099</v>
      </c>
      <c r="P3529">
        <v>-0.12545583536156599</v>
      </c>
      <c r="Q3529">
        <v>8.7807326493577004E-2</v>
      </c>
      <c r="R3529">
        <v>0.99449139189514002</v>
      </c>
      <c r="S3529" t="s">
        <v>10097</v>
      </c>
      <c r="T3529" t="s">
        <v>13134</v>
      </c>
      <c r="U3529" t="s">
        <v>13134</v>
      </c>
      <c r="V3529" t="s">
        <v>13134</v>
      </c>
      <c r="W3529" t="s">
        <v>16609</v>
      </c>
      <c r="X3529">
        <v>48</v>
      </c>
      <c r="Y3529" t="s">
        <v>23013</v>
      </c>
      <c r="Z3529" t="s">
        <v>29497</v>
      </c>
      <c r="AA3529">
        <v>0.34029813070776999</v>
      </c>
      <c r="AB3529" t="str">
        <f>HYPERLINK("Melting_Curves/meltCurve_Q14789_2_GOLGB1.pdf", "Melting_Curves/meltCurve_Q14789_2_GOLGB1.pdf")</f>
        <v>Melting_Curves/meltCurve_Q14789_2_GOLGB1.pdf</v>
      </c>
    </row>
    <row r="3530" spans="1:28" x14ac:dyDescent="0.25">
      <c r="A3530" t="s">
        <v>3534</v>
      </c>
      <c r="B3530">
        <v>0.99472303558308395</v>
      </c>
      <c r="C3530">
        <v>0.96075660236300797</v>
      </c>
      <c r="D3530">
        <v>0.93189872996808099</v>
      </c>
      <c r="E3530">
        <v>0.59426960484163505</v>
      </c>
      <c r="F3530">
        <v>0.27409367956248898</v>
      </c>
      <c r="G3530">
        <v>0.12784167951946299</v>
      </c>
      <c r="H3530">
        <v>7.0443454540926806E-2</v>
      </c>
      <c r="I3530">
        <v>5.0380707392871003E-2</v>
      </c>
      <c r="J3530">
        <v>4.60906249343426E-2</v>
      </c>
      <c r="K3530">
        <v>4.9719094133218303E-2</v>
      </c>
      <c r="L3530">
        <v>1013.06827323199</v>
      </c>
      <c r="M3530">
        <v>21.3750350758874</v>
      </c>
      <c r="N3530">
        <v>47.618313987259398</v>
      </c>
      <c r="O3530">
        <v>46.9859512303237</v>
      </c>
      <c r="P3530">
        <v>-0.108308161100719</v>
      </c>
      <c r="Q3530">
        <v>4.7705038584949302E-2</v>
      </c>
      <c r="R3530">
        <v>0.99888112615642</v>
      </c>
      <c r="S3530" t="s">
        <v>10098</v>
      </c>
      <c r="T3530" t="s">
        <v>13134</v>
      </c>
      <c r="U3530" t="s">
        <v>13134</v>
      </c>
      <c r="V3530" t="s">
        <v>13134</v>
      </c>
      <c r="W3530" t="s">
        <v>16610</v>
      </c>
      <c r="X3530">
        <v>7</v>
      </c>
      <c r="Y3530" t="s">
        <v>23014</v>
      </c>
      <c r="Z3530" t="s">
        <v>29498</v>
      </c>
      <c r="AA3530">
        <v>0.38864235199441738</v>
      </c>
      <c r="AB3530" t="str">
        <f>HYPERLINK("Melting_Curves/meltCurve_Q14790_CASP8.pdf", "Melting_Curves/meltCurve_Q14790_CASP8.pdf")</f>
        <v>Melting_Curves/meltCurve_Q14790_CASP8.pdf</v>
      </c>
    </row>
    <row r="3531" spans="1:28" x14ac:dyDescent="0.25">
      <c r="A3531" t="s">
        <v>3535</v>
      </c>
      <c r="B3531">
        <v>0.99472303558308395</v>
      </c>
      <c r="C3531">
        <v>0.99178693107881999</v>
      </c>
      <c r="D3531">
        <v>0.89688475376877896</v>
      </c>
      <c r="E3531">
        <v>0.80344911612827596</v>
      </c>
      <c r="F3531">
        <v>0.55422885811859401</v>
      </c>
      <c r="G3531">
        <v>0.165482718534571</v>
      </c>
      <c r="H3531">
        <v>0.13089187843724001</v>
      </c>
      <c r="I3531">
        <v>8.5034698919878901E-2</v>
      </c>
      <c r="J3531">
        <v>0.12156295750646599</v>
      </c>
      <c r="K3531">
        <v>0.13612930322413599</v>
      </c>
      <c r="L3531">
        <v>1086.52359473466</v>
      </c>
      <c r="M3531">
        <v>21.885659854425601</v>
      </c>
      <c r="N3531">
        <v>50.1198336138035</v>
      </c>
      <c r="O3531">
        <v>49.2365435381693</v>
      </c>
      <c r="P3531">
        <v>-0.100731790584936</v>
      </c>
      <c r="Q3531">
        <v>9.3548486672353104E-2</v>
      </c>
      <c r="R3531">
        <v>0.98803279184660997</v>
      </c>
      <c r="S3531" t="s">
        <v>10099</v>
      </c>
      <c r="T3531" t="s">
        <v>13134</v>
      </c>
      <c r="U3531" t="s">
        <v>13134</v>
      </c>
      <c r="V3531" t="s">
        <v>13134</v>
      </c>
      <c r="W3531" t="s">
        <v>16611</v>
      </c>
      <c r="X3531">
        <v>7</v>
      </c>
      <c r="Y3531" t="s">
        <v>23015</v>
      </c>
      <c r="Z3531" t="s">
        <v>29499</v>
      </c>
      <c r="AA3531">
        <v>0.48577745658030619</v>
      </c>
      <c r="AB3531" t="str">
        <f>HYPERLINK("Melting_Curves/meltCurve_Q147X3_NAA30.pdf", "Melting_Curves/meltCurve_Q147X3_NAA30.pdf")</f>
        <v>Melting_Curves/meltCurve_Q147X3_NAA30.pdf</v>
      </c>
    </row>
    <row r="3532" spans="1:28" x14ac:dyDescent="0.25">
      <c r="A3532" t="s">
        <v>3536</v>
      </c>
      <c r="B3532">
        <v>0.99472303558308395</v>
      </c>
      <c r="C3532">
        <v>0.89416732967235502</v>
      </c>
      <c r="D3532">
        <v>0.77913707422728495</v>
      </c>
      <c r="E3532">
        <v>0.33673532298540898</v>
      </c>
      <c r="F3532">
        <v>0.20126642940217199</v>
      </c>
      <c r="G3532">
        <v>8.6586778169622E-2</v>
      </c>
      <c r="H3532">
        <v>5.4499286777188002E-2</v>
      </c>
      <c r="I3532">
        <v>4.2274561982315599E-2</v>
      </c>
      <c r="J3532">
        <v>4.5540907652054999E-2</v>
      </c>
      <c r="K3532">
        <v>3.8756738525105298E-2</v>
      </c>
      <c r="L3532">
        <v>878.82910010941202</v>
      </c>
      <c r="M3532">
        <v>19.464095373350599</v>
      </c>
      <c r="N3532">
        <v>45.362585742096798</v>
      </c>
      <c r="O3532">
        <v>44.682798396510499</v>
      </c>
      <c r="P3532">
        <v>-0.10418622803102</v>
      </c>
      <c r="Q3532">
        <v>4.3333183323719597E-2</v>
      </c>
      <c r="R3532">
        <v>0.99498326549122795</v>
      </c>
      <c r="S3532" t="s">
        <v>10100</v>
      </c>
      <c r="T3532" t="s">
        <v>13134</v>
      </c>
      <c r="U3532" t="s">
        <v>13134</v>
      </c>
      <c r="V3532" t="s">
        <v>13134</v>
      </c>
      <c r="W3532" t="s">
        <v>16612</v>
      </c>
      <c r="X3532">
        <v>9</v>
      </c>
      <c r="Y3532" t="s">
        <v>23016</v>
      </c>
      <c r="Z3532" t="s">
        <v>29500</v>
      </c>
      <c r="AA3532">
        <v>0.31655604889497818</v>
      </c>
      <c r="AB3532" t="str">
        <f>HYPERLINK("Melting_Curves/meltCurve_Q14807_KIF22.pdf", "Melting_Curves/meltCurve_Q14807_KIF22.pdf")</f>
        <v>Melting_Curves/meltCurve_Q14807_KIF22.pdf</v>
      </c>
    </row>
    <row r="3533" spans="1:28" x14ac:dyDescent="0.25">
      <c r="A3533" t="s">
        <v>3537</v>
      </c>
      <c r="B3533">
        <v>0.99472303558308395</v>
      </c>
      <c r="C3533">
        <v>0.934441712092138</v>
      </c>
      <c r="D3533">
        <v>1.0547782184605601</v>
      </c>
      <c r="E3533">
        <v>0.91661241781895597</v>
      </c>
      <c r="F3533">
        <v>0.62077612407660099</v>
      </c>
      <c r="G3533">
        <v>0.63281827310188998</v>
      </c>
      <c r="H3533">
        <v>0.60505056924812495</v>
      </c>
      <c r="I3533">
        <v>0.69420825065523295</v>
      </c>
      <c r="J3533">
        <v>1.0012623256519699</v>
      </c>
      <c r="K3533">
        <v>0.64673926986436003</v>
      </c>
      <c r="L3533">
        <v>11694.454167566801</v>
      </c>
      <c r="M3533">
        <v>250</v>
      </c>
      <c r="O3533">
        <v>46.774823098684301</v>
      </c>
      <c r="P3533">
        <v>-0.40066630910801498</v>
      </c>
      <c r="Q3533">
        <v>0.70014246801812996</v>
      </c>
      <c r="R3533">
        <v>0.60630550894567903</v>
      </c>
      <c r="S3533" t="s">
        <v>10101</v>
      </c>
      <c r="T3533" t="s">
        <v>13134</v>
      </c>
      <c r="U3533" t="s">
        <v>13134</v>
      </c>
      <c r="V3533" t="s">
        <v>13134</v>
      </c>
      <c r="W3533" t="s">
        <v>16613</v>
      </c>
      <c r="X3533">
        <v>26</v>
      </c>
      <c r="Y3533" t="s">
        <v>23017</v>
      </c>
      <c r="Z3533" t="s">
        <v>29501</v>
      </c>
      <c r="AA3533">
        <v>0.79789881712163213</v>
      </c>
      <c r="AB3533" t="str">
        <f>HYPERLINK("Melting_Curves/meltCurve_Q14847_LASP1.pdf", "Melting_Curves/meltCurve_Q14847_LASP1.pdf")</f>
        <v>Melting_Curves/meltCurve_Q14847_LASP1.pdf</v>
      </c>
    </row>
    <row r="3534" spans="1:28" x14ac:dyDescent="0.25">
      <c r="A3534" t="s">
        <v>3538</v>
      </c>
      <c r="B3534">
        <v>0.99472303558308395</v>
      </c>
      <c r="C3534">
        <v>0.84998883079918697</v>
      </c>
      <c r="D3534">
        <v>0.70718050027181201</v>
      </c>
      <c r="E3534">
        <v>0.48657267670371801</v>
      </c>
      <c r="F3534">
        <v>0.24605131844914099</v>
      </c>
      <c r="G3534">
        <v>0.109805201243333</v>
      </c>
      <c r="H3534">
        <v>7.2944211581108698E-2</v>
      </c>
      <c r="I3534">
        <v>6.5479304410723096E-2</v>
      </c>
      <c r="J3534">
        <v>9.3919492991732703E-2</v>
      </c>
      <c r="K3534">
        <v>6.5319438173818203E-2</v>
      </c>
      <c r="L3534">
        <v>643.39518553274104</v>
      </c>
      <c r="M3534">
        <v>14.108949204566001</v>
      </c>
      <c r="N3534">
        <v>45.903251033622098</v>
      </c>
      <c r="O3534">
        <v>44.715138107028999</v>
      </c>
      <c r="P3534">
        <v>-7.5403185771324696E-2</v>
      </c>
      <c r="Q3534">
        <v>4.4229019551408899E-2</v>
      </c>
      <c r="R3534">
        <v>0.99445711313825202</v>
      </c>
      <c r="S3534" t="s">
        <v>10102</v>
      </c>
      <c r="T3534" t="s">
        <v>13134</v>
      </c>
      <c r="U3534" t="s">
        <v>13134</v>
      </c>
      <c r="V3534" t="s">
        <v>13134</v>
      </c>
      <c r="W3534" t="s">
        <v>16614</v>
      </c>
      <c r="X3534">
        <v>21</v>
      </c>
      <c r="Y3534" t="s">
        <v>23018</v>
      </c>
      <c r="Z3534" t="s">
        <v>29502</v>
      </c>
      <c r="AA3534">
        <v>0.34333885135896769</v>
      </c>
      <c r="AB3534" t="str">
        <f>HYPERLINK("Melting_Curves/meltCurve_Q14966_3_ZNF638.pdf", "Melting_Curves/meltCurve_Q14966_3_ZNF638.pdf")</f>
        <v>Melting_Curves/meltCurve_Q14966_3_ZNF638.pdf</v>
      </c>
    </row>
    <row r="3535" spans="1:28" x14ac:dyDescent="0.25">
      <c r="A3535" t="s">
        <v>3539</v>
      </c>
      <c r="B3535">
        <v>0.99472303558308395</v>
      </c>
      <c r="C3535">
        <v>0.99114142003733996</v>
      </c>
      <c r="D3535">
        <v>0.96946744199405399</v>
      </c>
      <c r="E3535">
        <v>0.65020918074645395</v>
      </c>
      <c r="F3535">
        <v>0.20547483928357499</v>
      </c>
      <c r="G3535">
        <v>8.9957236460428497E-2</v>
      </c>
      <c r="H3535">
        <v>5.2966884549788401E-2</v>
      </c>
      <c r="I3535">
        <v>3.3707644814313403E-2</v>
      </c>
      <c r="J3535">
        <v>4.1196465567742403E-2</v>
      </c>
      <c r="K3535">
        <v>3.6562565054893199E-2</v>
      </c>
      <c r="L3535">
        <v>1383.08795919723</v>
      </c>
      <c r="M3535">
        <v>29.114424817553299</v>
      </c>
      <c r="N3535">
        <v>47.650133297820297</v>
      </c>
      <c r="O3535">
        <v>47.282821378996303</v>
      </c>
      <c r="P3535">
        <v>-0.147418146632258</v>
      </c>
      <c r="Q3535">
        <v>4.2358595645156399E-2</v>
      </c>
      <c r="R3535">
        <v>0.99961138862820398</v>
      </c>
      <c r="S3535" t="s">
        <v>10103</v>
      </c>
      <c r="T3535" t="s">
        <v>13134</v>
      </c>
      <c r="U3535" t="s">
        <v>13134</v>
      </c>
      <c r="V3535" t="s">
        <v>13134</v>
      </c>
      <c r="W3535" t="s">
        <v>16615</v>
      </c>
      <c r="X3535">
        <v>37</v>
      </c>
      <c r="Y3535" t="s">
        <v>23019</v>
      </c>
      <c r="Z3535" t="s">
        <v>29503</v>
      </c>
      <c r="AA3535">
        <v>0.38366940118927612</v>
      </c>
      <c r="AB3535" t="str">
        <f>HYPERLINK("Melting_Curves/meltCurve_Q14974_KPNB1.pdf", "Melting_Curves/meltCurve_Q14974_KPNB1.pdf")</f>
        <v>Melting_Curves/meltCurve_Q14974_KPNB1.pdf</v>
      </c>
    </row>
    <row r="3536" spans="1:28" x14ac:dyDescent="0.25">
      <c r="A3536" t="s">
        <v>3540</v>
      </c>
      <c r="B3536">
        <v>0.99472303558308395</v>
      </c>
      <c r="C3536">
        <v>0.80111345831015401</v>
      </c>
      <c r="D3536">
        <v>1.12026943525533</v>
      </c>
      <c r="E3536">
        <v>0.833200936440749</v>
      </c>
      <c r="F3536">
        <v>0.50464983137689701</v>
      </c>
      <c r="G3536">
        <v>0.54875105036560901</v>
      </c>
      <c r="H3536">
        <v>0.50760234792666603</v>
      </c>
      <c r="I3536">
        <v>0.59970194459889803</v>
      </c>
      <c r="J3536">
        <v>0.89575367643164805</v>
      </c>
      <c r="K3536">
        <v>0.67105499478317499</v>
      </c>
      <c r="L3536">
        <v>11661.163214582501</v>
      </c>
      <c r="M3536">
        <v>250</v>
      </c>
      <c r="O3536">
        <v>46.6416872256289</v>
      </c>
      <c r="P3536">
        <v>-0.50752324719773401</v>
      </c>
      <c r="Q3536">
        <v>0.62125230739192505</v>
      </c>
      <c r="R3536">
        <v>0.60548845450626099</v>
      </c>
      <c r="S3536" t="s">
        <v>10104</v>
      </c>
      <c r="T3536" t="s">
        <v>13134</v>
      </c>
      <c r="U3536" t="s">
        <v>13134</v>
      </c>
      <c r="V3536" t="s">
        <v>13134</v>
      </c>
      <c r="W3536" t="s">
        <v>16616</v>
      </c>
      <c r="X3536">
        <v>27</v>
      </c>
      <c r="Y3536" t="s">
        <v>23020</v>
      </c>
      <c r="Z3536" t="s">
        <v>29504</v>
      </c>
      <c r="AA3536">
        <v>0.74304631245697605</v>
      </c>
      <c r="AB3536" t="str">
        <f>HYPERLINK("Melting_Curves/meltCurve_Q14978_2_NOLC1.pdf", "Melting_Curves/meltCurve_Q14978_2_NOLC1.pdf")</f>
        <v>Melting_Curves/meltCurve_Q14978_2_NOLC1.pdf</v>
      </c>
    </row>
    <row r="3537" spans="1:28" x14ac:dyDescent="0.25">
      <c r="A3537" t="s">
        <v>3541</v>
      </c>
      <c r="B3537">
        <v>0.99472303558308395</v>
      </c>
      <c r="C3537">
        <v>0.79927666256331997</v>
      </c>
      <c r="D3537">
        <v>0.54363607265157099</v>
      </c>
      <c r="E3537">
        <v>0.30777254424170902</v>
      </c>
      <c r="F3537">
        <v>0.150466042097298</v>
      </c>
      <c r="G3537">
        <v>9.0090590860716094E-2</v>
      </c>
      <c r="H3537">
        <v>5.6709597721172601E-2</v>
      </c>
      <c r="I3537">
        <v>4.3752734023509099E-2</v>
      </c>
      <c r="J3537">
        <v>5.5777513925401097E-2</v>
      </c>
      <c r="K3537">
        <v>4.4353031998129101E-2</v>
      </c>
      <c r="L3537">
        <v>686.543956581815</v>
      </c>
      <c r="M3537">
        <v>15.794648126976901</v>
      </c>
      <c r="N3537">
        <v>43.717652243377501</v>
      </c>
      <c r="O3537">
        <v>42.787997098975602</v>
      </c>
      <c r="P3537">
        <v>-8.8294772843188193E-2</v>
      </c>
      <c r="Q3537">
        <v>4.3310178268920099E-2</v>
      </c>
      <c r="R3537">
        <v>0.99659554315714705</v>
      </c>
      <c r="S3537" t="s">
        <v>10105</v>
      </c>
      <c r="T3537" t="s">
        <v>13134</v>
      </c>
      <c r="U3537" t="s">
        <v>13134</v>
      </c>
      <c r="V3537" t="s">
        <v>13134</v>
      </c>
      <c r="W3537" t="s">
        <v>16617</v>
      </c>
      <c r="X3537">
        <v>49</v>
      </c>
      <c r="Y3537" t="s">
        <v>23021</v>
      </c>
      <c r="Z3537" t="s">
        <v>29505</v>
      </c>
      <c r="AA3537">
        <v>0.27147851608024209</v>
      </c>
      <c r="AB3537" t="str">
        <f>HYPERLINK("Melting_Curves/meltCurve_Q14980_NUMA1.pdf", "Melting_Curves/meltCurve_Q14980_NUMA1.pdf")</f>
        <v>Melting_Curves/meltCurve_Q14980_NUMA1.pdf</v>
      </c>
    </row>
    <row r="3538" spans="1:28" x14ac:dyDescent="0.25">
      <c r="A3538" t="s">
        <v>3542</v>
      </c>
      <c r="B3538">
        <v>0.99472303558308395</v>
      </c>
      <c r="C3538">
        <v>0.94969394062735002</v>
      </c>
      <c r="D3538">
        <v>0.76417010768298299</v>
      </c>
      <c r="E3538">
        <v>0.64330778589509197</v>
      </c>
      <c r="F3538">
        <v>0.489063518440707</v>
      </c>
      <c r="G3538">
        <v>0.123538955641128</v>
      </c>
      <c r="H3538">
        <v>7.0958817902806406E-2</v>
      </c>
      <c r="I3538">
        <v>5.2477178232908199E-2</v>
      </c>
      <c r="J3538">
        <v>6.5488664886674305E-2</v>
      </c>
      <c r="K3538">
        <v>5.5655858852303002E-2</v>
      </c>
      <c r="L3538">
        <v>635.79381911174596</v>
      </c>
      <c r="M3538">
        <v>13.1241212232284</v>
      </c>
      <c r="N3538">
        <v>48.444677470852803</v>
      </c>
      <c r="O3538">
        <v>47.361327547561302</v>
      </c>
      <c r="P3538">
        <v>-6.9288353519544196E-2</v>
      </c>
      <c r="Q3538">
        <v>0</v>
      </c>
      <c r="R3538">
        <v>0.97964280202806797</v>
      </c>
      <c r="S3538" t="s">
        <v>10106</v>
      </c>
      <c r="T3538" t="s">
        <v>13134</v>
      </c>
      <c r="U3538" t="s">
        <v>13134</v>
      </c>
      <c r="V3538" t="s">
        <v>13134</v>
      </c>
      <c r="W3538" t="s">
        <v>16618</v>
      </c>
      <c r="X3538">
        <v>19</v>
      </c>
      <c r="Y3538" t="s">
        <v>23022</v>
      </c>
      <c r="Z3538" t="s">
        <v>29506</v>
      </c>
      <c r="AA3538">
        <v>0.40837126341567398</v>
      </c>
      <c r="AB3538" t="str">
        <f>HYPERLINK("Melting_Curves/meltCurve_Q14997_PSME4.pdf", "Melting_Curves/meltCurve_Q14997_PSME4.pdf")</f>
        <v>Melting_Curves/meltCurve_Q14997_PSME4.pdf</v>
      </c>
    </row>
    <row r="3539" spans="1:28" x14ac:dyDescent="0.25">
      <c r="A3539" t="s">
        <v>3543</v>
      </c>
      <c r="B3539">
        <v>0.99472303558308395</v>
      </c>
      <c r="C3539">
        <v>0.96812746255886695</v>
      </c>
      <c r="D3539">
        <v>0.70042958327037297</v>
      </c>
      <c r="E3539">
        <v>0.50127228218372699</v>
      </c>
      <c r="F3539">
        <v>0.22136673964447501</v>
      </c>
      <c r="G3539">
        <v>9.4158692867268801E-2</v>
      </c>
      <c r="H3539">
        <v>6.2875142638249698E-2</v>
      </c>
      <c r="I3539">
        <v>5.11821629635381E-2</v>
      </c>
      <c r="J3539">
        <v>5.6764738865601898E-2</v>
      </c>
      <c r="K3539">
        <v>4.6989472178931499E-2</v>
      </c>
      <c r="L3539">
        <v>745.78883371308802</v>
      </c>
      <c r="M3539">
        <v>16.2422765763129</v>
      </c>
      <c r="N3539">
        <v>46.117856811757001</v>
      </c>
      <c r="O3539">
        <v>45.237412681004997</v>
      </c>
      <c r="P3539">
        <v>-8.6695495016580304E-2</v>
      </c>
      <c r="Q3539">
        <v>3.4226465521362402E-2</v>
      </c>
      <c r="R3539">
        <v>0.99405744151079301</v>
      </c>
      <c r="S3539" t="s">
        <v>10107</v>
      </c>
      <c r="T3539" t="s">
        <v>13134</v>
      </c>
      <c r="U3539" t="s">
        <v>13134</v>
      </c>
      <c r="V3539" t="s">
        <v>13134</v>
      </c>
      <c r="W3539" t="s">
        <v>16619</v>
      </c>
      <c r="X3539">
        <v>14</v>
      </c>
      <c r="Y3539" t="s">
        <v>23023</v>
      </c>
      <c r="Z3539" t="s">
        <v>29507</v>
      </c>
      <c r="AA3539">
        <v>0.34041701388713219</v>
      </c>
      <c r="AB3539" t="str">
        <f>HYPERLINK("Melting_Curves/meltCurve_Q14BN4_SLMAP.pdf", "Melting_Curves/meltCurve_Q14BN4_SLMAP.pdf")</f>
        <v>Melting_Curves/meltCurve_Q14BN4_SLMAP.pdf</v>
      </c>
    </row>
    <row r="3540" spans="1:28" x14ac:dyDescent="0.25">
      <c r="A3540" t="s">
        <v>3544</v>
      </c>
      <c r="B3540">
        <v>0.99472303558308395</v>
      </c>
      <c r="C3540">
        <v>0.90891079505139705</v>
      </c>
      <c r="D3540">
        <v>0.87352433074345104</v>
      </c>
      <c r="E3540">
        <v>0.576942876425656</v>
      </c>
      <c r="F3540">
        <v>0.16686279687897301</v>
      </c>
      <c r="G3540">
        <v>8.7645740224860796E-2</v>
      </c>
      <c r="H3540">
        <v>5.2153742588409803E-2</v>
      </c>
      <c r="I3540">
        <v>3.9878589549539198E-2</v>
      </c>
      <c r="J3540">
        <v>4.61413814732703E-2</v>
      </c>
      <c r="K3540">
        <v>4.2738470054424299E-2</v>
      </c>
      <c r="L3540">
        <v>1076.3179732052299</v>
      </c>
      <c r="M3540">
        <v>22.9892027853904</v>
      </c>
      <c r="N3540">
        <v>46.972331173174403</v>
      </c>
      <c r="O3540">
        <v>46.468474200140697</v>
      </c>
      <c r="P3540">
        <v>-0.119196568543362</v>
      </c>
      <c r="Q3540">
        <v>3.6281775651171397E-2</v>
      </c>
      <c r="R3540">
        <v>0.99451338318467997</v>
      </c>
      <c r="S3540" t="s">
        <v>10108</v>
      </c>
      <c r="T3540" t="s">
        <v>13134</v>
      </c>
      <c r="U3540" t="s">
        <v>13134</v>
      </c>
      <c r="V3540" t="s">
        <v>13134</v>
      </c>
      <c r="W3540" t="s">
        <v>16620</v>
      </c>
      <c r="X3540">
        <v>46</v>
      </c>
      <c r="Y3540" t="s">
        <v>23024</v>
      </c>
      <c r="Z3540" t="s">
        <v>29508</v>
      </c>
      <c r="AA3540">
        <v>0.36124466762904411</v>
      </c>
      <c r="AB3540" t="str">
        <f>HYPERLINK("Melting_Curves/meltCurve_Q14C86_6_GAPVD1.pdf", "Melting_Curves/meltCurve_Q14C86_6_GAPVD1.pdf")</f>
        <v>Melting_Curves/meltCurve_Q14C86_6_GAPVD1.pdf</v>
      </c>
    </row>
    <row r="3541" spans="1:28" x14ac:dyDescent="0.25">
      <c r="A3541" t="s">
        <v>3545</v>
      </c>
      <c r="B3541">
        <v>0.99472303558308395</v>
      </c>
      <c r="C3541">
        <v>0.92766702154517</v>
      </c>
      <c r="D3541">
        <v>0.94873453459360202</v>
      </c>
      <c r="E3541">
        <v>0.83030766309261905</v>
      </c>
      <c r="F3541">
        <v>0.54358668362231699</v>
      </c>
      <c r="G3541">
        <v>0.12508246681190299</v>
      </c>
      <c r="H3541">
        <v>8.2295324471049799E-2</v>
      </c>
      <c r="I3541">
        <v>6.4740986001465994E-2</v>
      </c>
      <c r="J3541">
        <v>7.8628176671316094E-2</v>
      </c>
      <c r="K3541">
        <v>6.3752327686058693E-2</v>
      </c>
      <c r="L3541">
        <v>1264.3240701864599</v>
      </c>
      <c r="M3541">
        <v>25.321078226030298</v>
      </c>
      <c r="N3541">
        <v>50.151759545401497</v>
      </c>
      <c r="O3541">
        <v>49.623374565744001</v>
      </c>
      <c r="P3541">
        <v>-0.12086019137920601</v>
      </c>
      <c r="Q3541">
        <v>5.2581594229360699E-2</v>
      </c>
      <c r="R3541">
        <v>0.991115863400991</v>
      </c>
      <c r="S3541" t="s">
        <v>10109</v>
      </c>
      <c r="T3541" t="s">
        <v>13134</v>
      </c>
      <c r="U3541" t="s">
        <v>13134</v>
      </c>
      <c r="V3541" t="s">
        <v>13134</v>
      </c>
      <c r="W3541" t="s">
        <v>16621</v>
      </c>
      <c r="X3541">
        <v>24</v>
      </c>
      <c r="Y3541" t="s">
        <v>23025</v>
      </c>
      <c r="Z3541" t="s">
        <v>29509</v>
      </c>
      <c r="AA3541">
        <v>0.46905203205717078</v>
      </c>
      <c r="AB3541" t="str">
        <f>HYPERLINK("Melting_Curves/meltCurve_Q14CX7_NAA25.pdf", "Melting_Curves/meltCurve_Q14CX7_NAA25.pdf")</f>
        <v>Melting_Curves/meltCurve_Q14CX7_NAA25.pdf</v>
      </c>
    </row>
    <row r="3542" spans="1:28" x14ac:dyDescent="0.25">
      <c r="A3542" t="s">
        <v>3546</v>
      </c>
      <c r="B3542">
        <v>0.99472303558308395</v>
      </c>
      <c r="C3542">
        <v>0.81372950902087504</v>
      </c>
      <c r="D3542">
        <v>0.68504098789328705</v>
      </c>
      <c r="E3542">
        <v>0.36876550677237102</v>
      </c>
      <c r="F3542">
        <v>0.251112447507428</v>
      </c>
      <c r="G3542">
        <v>0.116261900470469</v>
      </c>
      <c r="H3542">
        <v>0.10339032836470299</v>
      </c>
      <c r="I3542">
        <v>6.5782556610782694E-2</v>
      </c>
      <c r="J3542">
        <v>8.33876163881032E-2</v>
      </c>
      <c r="K3542">
        <v>7.4109109981496599E-2</v>
      </c>
      <c r="L3542">
        <v>641.38032628384099</v>
      </c>
      <c r="M3542">
        <v>14.365225521249</v>
      </c>
      <c r="N3542">
        <v>45.0608651323763</v>
      </c>
      <c r="O3542">
        <v>43.809643390176099</v>
      </c>
      <c r="P3542">
        <v>-7.6931002616629093E-2</v>
      </c>
      <c r="Q3542">
        <v>6.16461912943247E-2</v>
      </c>
      <c r="R3542">
        <v>0.99399165380321097</v>
      </c>
      <c r="S3542" t="s">
        <v>10110</v>
      </c>
      <c r="T3542" t="s">
        <v>13134</v>
      </c>
      <c r="U3542" t="s">
        <v>13134</v>
      </c>
      <c r="V3542" t="s">
        <v>13134</v>
      </c>
      <c r="W3542" t="s">
        <v>16622</v>
      </c>
      <c r="X3542">
        <v>2</v>
      </c>
      <c r="Y3542" t="s">
        <v>23026</v>
      </c>
      <c r="Z3542" t="s">
        <v>29510</v>
      </c>
      <c r="AA3542">
        <v>0.3255445201629113</v>
      </c>
      <c r="AB3542" t="str">
        <f>HYPERLINK("Melting_Curves/meltCurve_Q14CZ7_FASTKD3.pdf", "Melting_Curves/meltCurve_Q14CZ7_FASTKD3.pdf")</f>
        <v>Melting_Curves/meltCurve_Q14CZ7_FASTKD3.pdf</v>
      </c>
    </row>
    <row r="3543" spans="1:28" x14ac:dyDescent="0.25">
      <c r="A3543" t="s">
        <v>3547</v>
      </c>
      <c r="B3543">
        <v>0.99472303558308395</v>
      </c>
      <c r="C3543">
        <v>0.97067703325595101</v>
      </c>
      <c r="D3543">
        <v>0.77562249135470396</v>
      </c>
      <c r="E3543">
        <v>0.50656863203661695</v>
      </c>
      <c r="F3543">
        <v>0.15006472830898701</v>
      </c>
      <c r="G3543">
        <v>7.8396122286434194E-2</v>
      </c>
      <c r="H3543">
        <v>5.0209134663082397E-2</v>
      </c>
      <c r="I3543">
        <v>3.8379426493060399E-2</v>
      </c>
      <c r="J3543">
        <v>4.5094893028184001E-2</v>
      </c>
      <c r="K3543">
        <v>3.8356728793879802E-2</v>
      </c>
      <c r="L3543">
        <v>917.99198697493398</v>
      </c>
      <c r="M3543">
        <v>19.915776337009898</v>
      </c>
      <c r="N3543">
        <v>46.238182750770299</v>
      </c>
      <c r="O3543">
        <v>45.6365293742885</v>
      </c>
      <c r="P3543">
        <v>-0.10581239101037899</v>
      </c>
      <c r="Q3543">
        <v>3.0165758408382901E-2</v>
      </c>
      <c r="R3543">
        <v>0.99651411939710799</v>
      </c>
      <c r="S3543" t="s">
        <v>10111</v>
      </c>
      <c r="T3543" t="s">
        <v>13134</v>
      </c>
      <c r="U3543" t="s">
        <v>13134</v>
      </c>
      <c r="V3543" t="s">
        <v>13134</v>
      </c>
      <c r="W3543" t="s">
        <v>16623</v>
      </c>
      <c r="X3543">
        <v>22</v>
      </c>
      <c r="Y3543" t="s">
        <v>19926</v>
      </c>
      <c r="Z3543" t="s">
        <v>29511</v>
      </c>
      <c r="AA3543">
        <v>0.33693226605574639</v>
      </c>
      <c r="AB3543" t="str">
        <f>HYPERLINK("Melting_Curves/meltCurve_Q15003_NCAPH.pdf", "Melting_Curves/meltCurve_Q15003_NCAPH.pdf")</f>
        <v>Melting_Curves/meltCurve_Q15003_NCAPH.pdf</v>
      </c>
    </row>
    <row r="3544" spans="1:28" x14ac:dyDescent="0.25">
      <c r="A3544" t="s">
        <v>3548</v>
      </c>
      <c r="B3544">
        <v>0.99472303558308395</v>
      </c>
      <c r="C3544">
        <v>0.995528396552529</v>
      </c>
      <c r="D3544">
        <v>0.98825708829263603</v>
      </c>
      <c r="E3544">
        <v>0.93322007601946899</v>
      </c>
      <c r="F3544">
        <v>0.74762751067136601</v>
      </c>
      <c r="G3544">
        <v>0.69673947563050997</v>
      </c>
      <c r="H3544">
        <v>0.66531064879603097</v>
      </c>
      <c r="I3544">
        <v>0.75351063567404597</v>
      </c>
      <c r="J3544">
        <v>1.0225606711774899</v>
      </c>
      <c r="K3544">
        <v>0.73234839081073499</v>
      </c>
      <c r="L3544">
        <v>11691.736723374501</v>
      </c>
      <c r="M3544">
        <v>250</v>
      </c>
      <c r="O3544">
        <v>46.763954111430998</v>
      </c>
      <c r="P3544">
        <v>-0.30781869943106299</v>
      </c>
      <c r="Q3544">
        <v>0.76968288767486204</v>
      </c>
      <c r="R3544">
        <v>0.563742141636562</v>
      </c>
      <c r="S3544" t="s">
        <v>10112</v>
      </c>
      <c r="T3544" t="s">
        <v>13134</v>
      </c>
      <c r="U3544" t="s">
        <v>13134</v>
      </c>
      <c r="V3544" t="s">
        <v>13134</v>
      </c>
      <c r="W3544" t="s">
        <v>16624</v>
      </c>
      <c r="X3544">
        <v>9</v>
      </c>
      <c r="Y3544" t="s">
        <v>23027</v>
      </c>
      <c r="Z3544" t="s">
        <v>29512</v>
      </c>
      <c r="AA3544">
        <v>0.84468495783742814</v>
      </c>
      <c r="AB3544" t="str">
        <f>HYPERLINK("Melting_Curves/meltCurve_Q15004_KIAA0101.pdf", "Melting_Curves/meltCurve_Q15004_KIAA0101.pdf")</f>
        <v>Melting_Curves/meltCurve_Q15004_KIAA0101.pdf</v>
      </c>
    </row>
    <row r="3545" spans="1:28" x14ac:dyDescent="0.25">
      <c r="A3545" t="s">
        <v>3549</v>
      </c>
      <c r="B3545">
        <v>0.99472303558308395</v>
      </c>
      <c r="C3545">
        <v>0.88514631504547703</v>
      </c>
      <c r="D3545">
        <v>0.77923014155831405</v>
      </c>
      <c r="E3545">
        <v>0.64828379209720799</v>
      </c>
      <c r="F3545">
        <v>0.52511456352562402</v>
      </c>
      <c r="G3545">
        <v>0.24811118854924599</v>
      </c>
      <c r="H3545">
        <v>8.5042069409996104E-2</v>
      </c>
      <c r="I3545">
        <v>5.01081403304343E-2</v>
      </c>
      <c r="J3545">
        <v>0.103765577949969</v>
      </c>
      <c r="K3545">
        <v>4.8119378499239598E-2</v>
      </c>
      <c r="L3545">
        <v>556.06528185543698</v>
      </c>
      <c r="M3545">
        <v>11.351476893177599</v>
      </c>
      <c r="N3545">
        <v>48.986159943754899</v>
      </c>
      <c r="O3545">
        <v>47.539779143687497</v>
      </c>
      <c r="P3545">
        <v>-5.9712463337556802E-2</v>
      </c>
      <c r="Q3545">
        <v>0</v>
      </c>
      <c r="R3545">
        <v>0.98150336611049804</v>
      </c>
      <c r="S3545" t="s">
        <v>10113</v>
      </c>
      <c r="T3545" t="s">
        <v>13134</v>
      </c>
      <c r="U3545" t="s">
        <v>13134</v>
      </c>
      <c r="V3545" t="s">
        <v>13134</v>
      </c>
      <c r="W3545" t="s">
        <v>16625</v>
      </c>
      <c r="X3545">
        <v>9</v>
      </c>
      <c r="Y3545" t="s">
        <v>23028</v>
      </c>
      <c r="Z3545" t="s">
        <v>29513</v>
      </c>
      <c r="AA3545">
        <v>0.43149899843324568</v>
      </c>
      <c r="AB3545" t="str">
        <f>HYPERLINK("Melting_Curves/meltCurve_Q15006_EMC2.pdf", "Melting_Curves/meltCurve_Q15006_EMC2.pdf")</f>
        <v>Melting_Curves/meltCurve_Q15006_EMC2.pdf</v>
      </c>
    </row>
    <row r="3546" spans="1:28" x14ac:dyDescent="0.25">
      <c r="A3546" t="s">
        <v>3550</v>
      </c>
      <c r="B3546">
        <v>0.99472303558308395</v>
      </c>
      <c r="C3546">
        <v>0.91769855823450797</v>
      </c>
      <c r="D3546">
        <v>0.69638122389358303</v>
      </c>
      <c r="E3546">
        <v>0.55942292748522005</v>
      </c>
      <c r="F3546">
        <v>0.18260865434964299</v>
      </c>
      <c r="G3546">
        <v>9.6018086837820496E-2</v>
      </c>
      <c r="H3546">
        <v>5.9415838466168699E-2</v>
      </c>
      <c r="I3546">
        <v>4.8806668929081497E-2</v>
      </c>
      <c r="J3546">
        <v>6.2529535204425099E-2</v>
      </c>
      <c r="K3546">
        <v>5.96514241886879E-2</v>
      </c>
      <c r="L3546">
        <v>722.606195458054</v>
      </c>
      <c r="M3546">
        <v>15.7023372070656</v>
      </c>
      <c r="N3546">
        <v>46.202130169364303</v>
      </c>
      <c r="O3546">
        <v>45.292029270283003</v>
      </c>
      <c r="P3546">
        <v>-8.40651439482277E-2</v>
      </c>
      <c r="Q3546">
        <v>3.01673713296427E-2</v>
      </c>
      <c r="R3546">
        <v>0.98718097462154697</v>
      </c>
      <c r="S3546" t="s">
        <v>10114</v>
      </c>
      <c r="T3546" t="s">
        <v>13134</v>
      </c>
      <c r="U3546" t="s">
        <v>13134</v>
      </c>
      <c r="V3546" t="s">
        <v>13134</v>
      </c>
      <c r="W3546" t="s">
        <v>16626</v>
      </c>
      <c r="X3546">
        <v>11</v>
      </c>
      <c r="Y3546" t="s">
        <v>23029</v>
      </c>
      <c r="Z3546" t="s">
        <v>29514</v>
      </c>
      <c r="AA3546">
        <v>0.34221737251435569</v>
      </c>
      <c r="AB3546" t="str">
        <f>HYPERLINK("Melting_Curves/meltCurve_Q15007_WTAP.pdf", "Melting_Curves/meltCurve_Q15007_WTAP.pdf")</f>
        <v>Melting_Curves/meltCurve_Q15007_WTAP.pdf</v>
      </c>
    </row>
    <row r="3547" spans="1:28" x14ac:dyDescent="0.25">
      <c r="A3547" t="s">
        <v>3551</v>
      </c>
      <c r="B3547">
        <v>0.99472303558308395</v>
      </c>
      <c r="C3547">
        <v>0.93271016793917505</v>
      </c>
      <c r="D3547">
        <v>0.71465694508182698</v>
      </c>
      <c r="E3547">
        <v>0.619737612936897</v>
      </c>
      <c r="F3547">
        <v>0.54138244180322403</v>
      </c>
      <c r="G3547">
        <v>0.229855975697068</v>
      </c>
      <c r="H3547">
        <v>0.119618873710388</v>
      </c>
      <c r="I3547">
        <v>4.7683921921361401E-2</v>
      </c>
      <c r="J3547">
        <v>4.6472341113983601E-2</v>
      </c>
      <c r="K3547">
        <v>3.9592152108703399E-2</v>
      </c>
      <c r="L3547">
        <v>539.88659389520399</v>
      </c>
      <c r="M3547">
        <v>11.086935869713299</v>
      </c>
      <c r="N3547">
        <v>48.695744293633702</v>
      </c>
      <c r="O3547">
        <v>47.192037747458798</v>
      </c>
      <c r="P3547">
        <v>-5.8752326559800297E-2</v>
      </c>
      <c r="Q3547">
        <v>0</v>
      </c>
      <c r="R3547">
        <v>0.97608715468424301</v>
      </c>
      <c r="S3547" t="s">
        <v>10115</v>
      </c>
      <c r="T3547" t="s">
        <v>13134</v>
      </c>
      <c r="U3547" t="s">
        <v>13134</v>
      </c>
      <c r="V3547" t="s">
        <v>13134</v>
      </c>
      <c r="W3547" t="s">
        <v>16627</v>
      </c>
      <c r="X3547">
        <v>20</v>
      </c>
      <c r="Y3547" t="s">
        <v>23030</v>
      </c>
      <c r="Z3547" t="s">
        <v>29515</v>
      </c>
      <c r="AA3547">
        <v>0.42340876186576298</v>
      </c>
      <c r="AB3547" t="str">
        <f>HYPERLINK("Melting_Curves/meltCurve_Q15008_PSMD6.pdf", "Melting_Curves/meltCurve_Q15008_PSMD6.pdf")</f>
        <v>Melting_Curves/meltCurve_Q15008_PSMD6.pdf</v>
      </c>
    </row>
    <row r="3548" spans="1:28" x14ac:dyDescent="0.25">
      <c r="A3548" t="s">
        <v>3552</v>
      </c>
      <c r="B3548">
        <v>0.99472303558308395</v>
      </c>
      <c r="C3548">
        <v>1.08830952133924</v>
      </c>
      <c r="D3548">
        <v>0.91671808549245304</v>
      </c>
      <c r="E3548">
        <v>0.74611006341970698</v>
      </c>
      <c r="F3548">
        <v>0.42986841540253801</v>
      </c>
      <c r="G3548">
        <v>0.29351943708795802</v>
      </c>
      <c r="H3548">
        <v>0.125490099619775</v>
      </c>
      <c r="I3548">
        <v>7.0613770515944099E-2</v>
      </c>
      <c r="J3548">
        <v>7.8828080019696198E-2</v>
      </c>
      <c r="K3548">
        <v>3.24868925832104E-2</v>
      </c>
      <c r="L3548">
        <v>810.16663215351798</v>
      </c>
      <c r="M3548">
        <v>16.365618711316799</v>
      </c>
      <c r="N3548">
        <v>49.756624615090097</v>
      </c>
      <c r="O3548">
        <v>48.782754726657402</v>
      </c>
      <c r="P3548">
        <v>-8.0534350947727998E-2</v>
      </c>
      <c r="Q3548">
        <v>3.9839522438179002E-2</v>
      </c>
      <c r="R3548">
        <v>0.98992488830102798</v>
      </c>
      <c r="S3548" t="s">
        <v>10116</v>
      </c>
      <c r="T3548" t="s">
        <v>13134</v>
      </c>
      <c r="U3548" t="s">
        <v>13134</v>
      </c>
      <c r="V3548" t="s">
        <v>13134</v>
      </c>
      <c r="W3548" t="s">
        <v>16628</v>
      </c>
      <c r="X3548">
        <v>3</v>
      </c>
      <c r="Y3548" t="s">
        <v>23031</v>
      </c>
      <c r="Z3548" t="s">
        <v>29516</v>
      </c>
      <c r="AA3548">
        <v>0.45783268551898743</v>
      </c>
      <c r="AB3548" t="str">
        <f>HYPERLINK("Melting_Curves/meltCurve_Q15011_3_HERPUD1.pdf", "Melting_Curves/meltCurve_Q15011_3_HERPUD1.pdf")</f>
        <v>Melting_Curves/meltCurve_Q15011_3_HERPUD1.pdf</v>
      </c>
    </row>
    <row r="3549" spans="1:28" x14ac:dyDescent="0.25">
      <c r="A3549" t="s">
        <v>3553</v>
      </c>
      <c r="B3549">
        <v>0.99472303558308395</v>
      </c>
      <c r="C3549">
        <v>0.95599770166157605</v>
      </c>
      <c r="D3549">
        <v>0.85333677891227799</v>
      </c>
      <c r="E3549">
        <v>0.67715537171155604</v>
      </c>
      <c r="F3549">
        <v>0.56244859060257901</v>
      </c>
      <c r="G3549">
        <v>0.35006065587431101</v>
      </c>
      <c r="H3549">
        <v>0.262875258552703</v>
      </c>
      <c r="I3549">
        <v>0.26455899032152802</v>
      </c>
      <c r="J3549">
        <v>0.339091168601374</v>
      </c>
      <c r="K3549">
        <v>0.28931944808363802</v>
      </c>
      <c r="L3549">
        <v>686.18846260363796</v>
      </c>
      <c r="M3549">
        <v>14.4061517426642</v>
      </c>
      <c r="N3549">
        <v>50.225107126140799</v>
      </c>
      <c r="O3549">
        <v>46.742032835070198</v>
      </c>
      <c r="P3549">
        <v>-5.6842158032402203E-2</v>
      </c>
      <c r="Q3549">
        <v>0.26236966406964901</v>
      </c>
      <c r="R3549">
        <v>0.98336363817954098</v>
      </c>
      <c r="S3549" t="s">
        <v>10117</v>
      </c>
      <c r="T3549" t="s">
        <v>13134</v>
      </c>
      <c r="U3549" t="s">
        <v>13134</v>
      </c>
      <c r="V3549" t="s">
        <v>13134</v>
      </c>
      <c r="W3549" t="s">
        <v>16629</v>
      </c>
      <c r="X3549">
        <v>1</v>
      </c>
      <c r="Y3549" t="s">
        <v>23032</v>
      </c>
      <c r="Z3549" t="s">
        <v>29517</v>
      </c>
      <c r="AA3549">
        <v>0.54132267838878911</v>
      </c>
      <c r="AB3549" t="str">
        <f>HYPERLINK("Melting_Curves/meltCurve_Q15012_LAPTM4A.pdf", "Melting_Curves/meltCurve_Q15012_LAPTM4A.pdf")</f>
        <v>Melting_Curves/meltCurve_Q15012_LAPTM4A.pdf</v>
      </c>
    </row>
    <row r="3550" spans="1:28" x14ac:dyDescent="0.25">
      <c r="A3550" t="s">
        <v>3554</v>
      </c>
      <c r="B3550">
        <v>0.99472303558308395</v>
      </c>
      <c r="C3550">
        <v>0.94685254066187696</v>
      </c>
      <c r="D3550">
        <v>0.813063768575219</v>
      </c>
      <c r="E3550">
        <v>0.66055560169913896</v>
      </c>
      <c r="F3550">
        <v>0.42992547183171897</v>
      </c>
      <c r="G3550">
        <v>0.209121595713959</v>
      </c>
      <c r="H3550">
        <v>7.8813045179627506E-2</v>
      </c>
      <c r="I3550">
        <v>7.2118000537756799E-2</v>
      </c>
      <c r="J3550">
        <v>0.102035260841947</v>
      </c>
      <c r="K3550">
        <v>5.7781525001197702E-2</v>
      </c>
      <c r="L3550">
        <v>663.40286244191395</v>
      </c>
      <c r="M3550">
        <v>13.6972388936227</v>
      </c>
      <c r="N3550">
        <v>48.635693522557702</v>
      </c>
      <c r="O3550">
        <v>47.435967256805498</v>
      </c>
      <c r="P3550">
        <v>-7.01986093484889E-2</v>
      </c>
      <c r="Q3550">
        <v>2.7699205173326202E-2</v>
      </c>
      <c r="R3550">
        <v>0.99412052294625397</v>
      </c>
      <c r="S3550" t="s">
        <v>10118</v>
      </c>
      <c r="T3550" t="s">
        <v>13134</v>
      </c>
      <c r="U3550" t="s">
        <v>13134</v>
      </c>
      <c r="V3550" t="s">
        <v>13134</v>
      </c>
      <c r="W3550" t="s">
        <v>16630</v>
      </c>
      <c r="X3550">
        <v>4</v>
      </c>
      <c r="Y3550" t="s">
        <v>23033</v>
      </c>
      <c r="Z3550" t="s">
        <v>29518</v>
      </c>
      <c r="AA3550">
        <v>0.42275541671786099</v>
      </c>
      <c r="AB3550" t="str">
        <f>HYPERLINK("Melting_Curves/meltCurve_Q15013_MAD2L1BP.pdf", "Melting_Curves/meltCurve_Q15013_MAD2L1BP.pdf")</f>
        <v>Melting_Curves/meltCurve_Q15013_MAD2L1BP.pdf</v>
      </c>
    </row>
    <row r="3551" spans="1:28" x14ac:dyDescent="0.25">
      <c r="A3551" t="s">
        <v>3555</v>
      </c>
      <c r="B3551">
        <v>0.99472303558308395</v>
      </c>
      <c r="C3551">
        <v>1.01237772191811</v>
      </c>
      <c r="D3551">
        <v>0.83397591575679497</v>
      </c>
      <c r="E3551">
        <v>0.74341770839698695</v>
      </c>
      <c r="F3551">
        <v>0.73264792648497701</v>
      </c>
      <c r="G3551">
        <v>0.48184388614830298</v>
      </c>
      <c r="H3551">
        <v>0.32089102744618497</v>
      </c>
      <c r="I3551">
        <v>0.21589336983445401</v>
      </c>
      <c r="J3551">
        <v>0.244654390706529</v>
      </c>
      <c r="K3551">
        <v>0.12421875230370499</v>
      </c>
      <c r="L3551">
        <v>478.23622179076199</v>
      </c>
      <c r="M3551">
        <v>8.93361584065652</v>
      </c>
      <c r="N3551">
        <v>53.532191695806702</v>
      </c>
      <c r="O3551">
        <v>51.053788604776202</v>
      </c>
      <c r="P3551">
        <v>-4.3778786187966802E-2</v>
      </c>
      <c r="Q3551">
        <v>0</v>
      </c>
      <c r="R3551">
        <v>0.97616922766507597</v>
      </c>
      <c r="S3551" t="s">
        <v>10119</v>
      </c>
      <c r="T3551" t="s">
        <v>13134</v>
      </c>
      <c r="U3551" t="s">
        <v>13134</v>
      </c>
      <c r="V3551" t="s">
        <v>13134</v>
      </c>
      <c r="W3551" t="s">
        <v>16631</v>
      </c>
      <c r="X3551">
        <v>13</v>
      </c>
      <c r="Y3551" t="s">
        <v>23034</v>
      </c>
      <c r="Z3551" t="s">
        <v>29519</v>
      </c>
      <c r="AA3551">
        <v>0.57038768187829481</v>
      </c>
      <c r="AB3551" t="str">
        <f>HYPERLINK("Melting_Curves/meltCurve_Q15018_FAM175B.pdf", "Melting_Curves/meltCurve_Q15018_FAM175B.pdf")</f>
        <v>Melting_Curves/meltCurve_Q15018_FAM175B.pdf</v>
      </c>
    </row>
    <row r="3552" spans="1:28" x14ac:dyDescent="0.25">
      <c r="A3552" t="s">
        <v>3556</v>
      </c>
      <c r="B3552">
        <v>0.99472303558308395</v>
      </c>
      <c r="C3552">
        <v>0.94125579266828296</v>
      </c>
      <c r="D3552">
        <v>0.92174078562175399</v>
      </c>
      <c r="E3552">
        <v>0.79127085225617599</v>
      </c>
      <c r="F3552">
        <v>0.71057181784380197</v>
      </c>
      <c r="G3552">
        <v>0.48164343213201299</v>
      </c>
      <c r="H3552">
        <v>0.37834263518726502</v>
      </c>
      <c r="I3552">
        <v>0.34087037829420802</v>
      </c>
      <c r="J3552">
        <v>0.34282667551003299</v>
      </c>
      <c r="K3552">
        <v>0.14650735795699901</v>
      </c>
      <c r="L3552">
        <v>483.80840524988503</v>
      </c>
      <c r="M3552">
        <v>9.0974829210450494</v>
      </c>
      <c r="N3552">
        <v>54.517545866082898</v>
      </c>
      <c r="O3552">
        <v>50.799802110452497</v>
      </c>
      <c r="P3552">
        <v>-4.0322615360119302E-2</v>
      </c>
      <c r="Q3552">
        <v>9.9991186032308998E-2</v>
      </c>
      <c r="R3552">
        <v>0.97744706830238903</v>
      </c>
      <c r="S3552" t="s">
        <v>10120</v>
      </c>
      <c r="T3552" t="s">
        <v>13134</v>
      </c>
      <c r="U3552" t="s">
        <v>13134</v>
      </c>
      <c r="V3552" t="s">
        <v>13134</v>
      </c>
      <c r="W3552" t="s">
        <v>16632</v>
      </c>
      <c r="X3552">
        <v>21</v>
      </c>
      <c r="Y3552" t="s">
        <v>23035</v>
      </c>
      <c r="Z3552" t="s">
        <v>29520</v>
      </c>
      <c r="AA3552">
        <v>0.60472542725291911</v>
      </c>
      <c r="AB3552" t="str">
        <f>HYPERLINK("Melting_Curves/meltCurve_Q15019_SEPT2.pdf", "Melting_Curves/meltCurve_Q15019_SEPT2.pdf")</f>
        <v>Melting_Curves/meltCurve_Q15019_SEPT2.pdf</v>
      </c>
    </row>
    <row r="3553" spans="1:28" x14ac:dyDescent="0.25">
      <c r="A3553" t="s">
        <v>3557</v>
      </c>
      <c r="B3553">
        <v>0.99472303558308395</v>
      </c>
      <c r="C3553">
        <v>0.90032656995798899</v>
      </c>
      <c r="D3553">
        <v>0.62385246919423698</v>
      </c>
      <c r="E3553">
        <v>0.41682939266388402</v>
      </c>
      <c r="F3553">
        <v>0.13356744292126599</v>
      </c>
      <c r="G3553">
        <v>6.2500141152091696E-2</v>
      </c>
      <c r="H3553">
        <v>4.0071848287652499E-2</v>
      </c>
      <c r="I3553">
        <v>3.40125929866592E-2</v>
      </c>
      <c r="J3553">
        <v>4.0499423081482501E-2</v>
      </c>
      <c r="K3553">
        <v>3.1428455258063002E-2</v>
      </c>
      <c r="L3553">
        <v>730.73085192839903</v>
      </c>
      <c r="M3553">
        <v>16.309702191425998</v>
      </c>
      <c r="N3553">
        <v>44.911530856715999</v>
      </c>
      <c r="O3553">
        <v>44.1461241035813</v>
      </c>
      <c r="P3553">
        <v>-9.0591096050104306E-2</v>
      </c>
      <c r="Q3553">
        <v>1.92448544287213E-2</v>
      </c>
      <c r="R3553">
        <v>0.99403259955602796</v>
      </c>
      <c r="S3553" t="s">
        <v>10121</v>
      </c>
      <c r="T3553" t="s">
        <v>13134</v>
      </c>
      <c r="U3553" t="s">
        <v>13134</v>
      </c>
      <c r="V3553" t="s">
        <v>13134</v>
      </c>
      <c r="W3553" t="s">
        <v>16633</v>
      </c>
      <c r="X3553">
        <v>28</v>
      </c>
      <c r="Y3553" t="s">
        <v>23036</v>
      </c>
      <c r="Z3553" t="s">
        <v>29521</v>
      </c>
      <c r="AA3553">
        <v>0.29417113131365219</v>
      </c>
      <c r="AB3553" t="str">
        <f>HYPERLINK("Melting_Curves/meltCurve_Q15020_SART3.pdf", "Melting_Curves/meltCurve_Q15020_SART3.pdf")</f>
        <v>Melting_Curves/meltCurve_Q15020_SART3.pdf</v>
      </c>
    </row>
    <row r="3554" spans="1:28" x14ac:dyDescent="0.25">
      <c r="A3554" t="s">
        <v>3558</v>
      </c>
      <c r="B3554">
        <v>0.99472303558308395</v>
      </c>
      <c r="C3554">
        <v>0.88702533998149302</v>
      </c>
      <c r="D3554">
        <v>0.78333280926855497</v>
      </c>
      <c r="E3554">
        <v>0.48959999745522798</v>
      </c>
      <c r="F3554">
        <v>0.13139175973318901</v>
      </c>
      <c r="G3554">
        <v>7.4391257905637997E-2</v>
      </c>
      <c r="H3554">
        <v>4.7061606028751798E-2</v>
      </c>
      <c r="I3554">
        <v>3.34360589234775E-2</v>
      </c>
      <c r="J3554">
        <v>4.2591519742104303E-2</v>
      </c>
      <c r="K3554">
        <v>3.3366851071601603E-2</v>
      </c>
      <c r="L3554">
        <v>863.464302220327</v>
      </c>
      <c r="M3554">
        <v>18.8065823077293</v>
      </c>
      <c r="N3554">
        <v>46.024041493418402</v>
      </c>
      <c r="O3554">
        <v>45.403189087653097</v>
      </c>
      <c r="P3554">
        <v>-0.10125804928481701</v>
      </c>
      <c r="Q3554">
        <v>2.2204147800177099E-2</v>
      </c>
      <c r="R3554">
        <v>0.99374495720062295</v>
      </c>
      <c r="S3554" t="s">
        <v>10122</v>
      </c>
      <c r="T3554" t="s">
        <v>13134</v>
      </c>
      <c r="U3554" t="s">
        <v>13134</v>
      </c>
      <c r="V3554" t="s">
        <v>13134</v>
      </c>
      <c r="W3554" t="s">
        <v>16634</v>
      </c>
      <c r="X3554">
        <v>32</v>
      </c>
      <c r="Y3554" t="s">
        <v>23037</v>
      </c>
      <c r="Z3554" t="s">
        <v>29522</v>
      </c>
      <c r="AA3554">
        <v>0.32718587462583221</v>
      </c>
      <c r="AB3554" t="str">
        <f>HYPERLINK("Melting_Curves/meltCurve_Q15021_NCAPD2.pdf", "Melting_Curves/meltCurve_Q15021_NCAPD2.pdf")</f>
        <v>Melting_Curves/meltCurve_Q15021_NCAPD2.pdf</v>
      </c>
    </row>
    <row r="3555" spans="1:28" x14ac:dyDescent="0.25">
      <c r="A3555" t="s">
        <v>3559</v>
      </c>
      <c r="B3555">
        <v>0.99472303558308395</v>
      </c>
      <c r="C3555">
        <v>0.96033391897756004</v>
      </c>
      <c r="D3555">
        <v>0.98454472274490601</v>
      </c>
      <c r="E3555">
        <v>1.0683548863341299</v>
      </c>
      <c r="F3555">
        <v>1.3921346826834999</v>
      </c>
      <c r="G3555">
        <v>0.90910174202929295</v>
      </c>
      <c r="H3555">
        <v>0.69450513964935701</v>
      </c>
      <c r="I3555">
        <v>0.49898198084920198</v>
      </c>
      <c r="J3555">
        <v>0.43009216102460901</v>
      </c>
      <c r="K3555">
        <v>0.252971004760426</v>
      </c>
      <c r="L3555">
        <v>1561.16717115238</v>
      </c>
      <c r="M3555">
        <v>26.677710926875399</v>
      </c>
      <c r="N3555">
        <v>60.581705549083097</v>
      </c>
      <c r="O3555">
        <v>58.193696709316299</v>
      </c>
      <c r="P3555">
        <v>-8.0414621560994701E-2</v>
      </c>
      <c r="Q3555">
        <v>0.29835446522606301</v>
      </c>
      <c r="R3555">
        <v>0.83142518973525004</v>
      </c>
      <c r="S3555" t="s">
        <v>10123</v>
      </c>
      <c r="T3555" t="s">
        <v>13134</v>
      </c>
      <c r="U3555" t="s">
        <v>13134</v>
      </c>
      <c r="V3555" t="s">
        <v>13134</v>
      </c>
      <c r="W3555" t="s">
        <v>16635</v>
      </c>
      <c r="X3555">
        <v>12</v>
      </c>
      <c r="Y3555" t="s">
        <v>23038</v>
      </c>
      <c r="Z3555" t="s">
        <v>29523</v>
      </c>
      <c r="AA3555">
        <v>0.80562736328646456</v>
      </c>
      <c r="AB3555" t="str">
        <f>HYPERLINK("Melting_Curves/meltCurve_Q15024_EXOSC7.pdf", "Melting_Curves/meltCurve_Q15024_EXOSC7.pdf")</f>
        <v>Melting_Curves/meltCurve_Q15024_EXOSC7.pdf</v>
      </c>
    </row>
    <row r="3556" spans="1:28" x14ac:dyDescent="0.25">
      <c r="A3556" t="s">
        <v>3560</v>
      </c>
      <c r="B3556">
        <v>0.99472303558308395</v>
      </c>
      <c r="C3556">
        <v>0.93498381965181998</v>
      </c>
      <c r="D3556">
        <v>0.83937142763721695</v>
      </c>
      <c r="E3556">
        <v>0.80745261598629703</v>
      </c>
      <c r="F3556">
        <v>0.99788753374893402</v>
      </c>
      <c r="G3556">
        <v>1.23875145692779</v>
      </c>
      <c r="H3556">
        <v>1.1472714868132901</v>
      </c>
      <c r="I3556">
        <v>0.67118721853215801</v>
      </c>
      <c r="J3556">
        <v>0.19900480516789301</v>
      </c>
      <c r="K3556">
        <v>0.21049389016332601</v>
      </c>
      <c r="L3556">
        <v>15000</v>
      </c>
      <c r="M3556">
        <v>245.55199565403601</v>
      </c>
      <c r="N3556">
        <v>61.218165466054899</v>
      </c>
      <c r="O3556">
        <v>61.082806417496499</v>
      </c>
      <c r="P3556">
        <v>-0.79922784011624104</v>
      </c>
      <c r="Q3556">
        <v>0.20474554909218101</v>
      </c>
      <c r="R3556">
        <v>0.87147594828188402</v>
      </c>
      <c r="S3556" t="s">
        <v>10124</v>
      </c>
      <c r="T3556" t="s">
        <v>13134</v>
      </c>
      <c r="U3556" t="s">
        <v>13134</v>
      </c>
      <c r="V3556" t="s">
        <v>13134</v>
      </c>
      <c r="W3556" t="s">
        <v>16636</v>
      </c>
      <c r="X3556">
        <v>49</v>
      </c>
      <c r="Y3556" t="s">
        <v>23039</v>
      </c>
      <c r="Z3556" t="s">
        <v>29524</v>
      </c>
      <c r="AA3556">
        <v>0.84333996922646115</v>
      </c>
      <c r="AB3556" t="str">
        <f>HYPERLINK("Melting_Curves/meltCurve_Q15029_2_EFTUD2.pdf", "Melting_Curves/meltCurve_Q15029_2_EFTUD2.pdf")</f>
        <v>Melting_Curves/meltCurve_Q15029_2_EFTUD2.pdf</v>
      </c>
    </row>
    <row r="3557" spans="1:28" x14ac:dyDescent="0.25">
      <c r="A3557" t="s">
        <v>3561</v>
      </c>
      <c r="B3557">
        <v>0.99472303558308395</v>
      </c>
      <c r="C3557">
        <v>0.98239372635344802</v>
      </c>
      <c r="D3557">
        <v>0.95627528063148304</v>
      </c>
      <c r="E3557">
        <v>0.76408135350840101</v>
      </c>
      <c r="F3557">
        <v>0.29942126366682498</v>
      </c>
      <c r="G3557">
        <v>0.15549239396955</v>
      </c>
      <c r="H3557">
        <v>8.3119982491349706E-2</v>
      </c>
      <c r="I3557">
        <v>7.8249215340507397E-2</v>
      </c>
      <c r="J3557">
        <v>8.1101032190818698E-2</v>
      </c>
      <c r="K3557">
        <v>6.9189914621024001E-2</v>
      </c>
      <c r="L3557">
        <v>1342.9835392999701</v>
      </c>
      <c r="M3557">
        <v>27.814406942242901</v>
      </c>
      <c r="N3557">
        <v>48.580911161989498</v>
      </c>
      <c r="O3557">
        <v>48.036246321669601</v>
      </c>
      <c r="P3557">
        <v>-0.133434569552348</v>
      </c>
      <c r="Q3557">
        <v>7.8227842823741803E-2</v>
      </c>
      <c r="R3557">
        <v>0.99894218070015595</v>
      </c>
      <c r="S3557" t="s">
        <v>10125</v>
      </c>
      <c r="T3557" t="s">
        <v>13134</v>
      </c>
      <c r="U3557" t="s">
        <v>13134</v>
      </c>
      <c r="V3557" t="s">
        <v>13134</v>
      </c>
      <c r="W3557" t="s">
        <v>16637</v>
      </c>
      <c r="X3557">
        <v>4</v>
      </c>
      <c r="Y3557" t="s">
        <v>23040</v>
      </c>
      <c r="Z3557" t="s">
        <v>29525</v>
      </c>
      <c r="AA3557">
        <v>0.43131300864167771</v>
      </c>
      <c r="AB3557" t="str">
        <f>HYPERLINK("Melting_Curves/meltCurve_Q15032_2_R3HDM1.pdf", "Melting_Curves/meltCurve_Q15032_2_R3HDM1.pdf")</f>
        <v>Melting_Curves/meltCurve_Q15032_2_R3HDM1.pdf</v>
      </c>
    </row>
    <row r="3558" spans="1:28" x14ac:dyDescent="0.25">
      <c r="A3558" t="s">
        <v>3562</v>
      </c>
      <c r="B3558">
        <v>0.99472303558308395</v>
      </c>
      <c r="C3558">
        <v>0.930966459807677</v>
      </c>
      <c r="D3558">
        <v>0.87891141798600503</v>
      </c>
      <c r="E3558">
        <v>0.51864374520930401</v>
      </c>
      <c r="F3558">
        <v>0.16940157677275</v>
      </c>
      <c r="G3558">
        <v>9.3956516358515499E-2</v>
      </c>
      <c r="H3558">
        <v>5.24982635263848E-2</v>
      </c>
      <c r="I3558">
        <v>4.1939959448504802E-2</v>
      </c>
      <c r="J3558">
        <v>5.2902345563959799E-2</v>
      </c>
      <c r="K3558">
        <v>4.5685104313921199E-2</v>
      </c>
      <c r="L3558">
        <v>1082.15530939264</v>
      </c>
      <c r="M3558">
        <v>23.278722217501901</v>
      </c>
      <c r="N3558">
        <v>46.670529265076702</v>
      </c>
      <c r="O3558">
        <v>46.147908047853697</v>
      </c>
      <c r="P3558">
        <v>-0.12059235452460899</v>
      </c>
      <c r="Q3558">
        <v>4.37644261240921E-2</v>
      </c>
      <c r="R3558">
        <v>0.99793214481478998</v>
      </c>
      <c r="S3558" t="s">
        <v>10126</v>
      </c>
      <c r="T3558" t="s">
        <v>13134</v>
      </c>
      <c r="U3558" t="s">
        <v>13134</v>
      </c>
      <c r="V3558" t="s">
        <v>13134</v>
      </c>
      <c r="W3558" t="s">
        <v>16638</v>
      </c>
      <c r="X3558">
        <v>10</v>
      </c>
      <c r="Y3558" t="s">
        <v>23041</v>
      </c>
      <c r="Z3558" t="s">
        <v>29526</v>
      </c>
      <c r="AA3558">
        <v>0.35536827569614421</v>
      </c>
      <c r="AB3558" t="str">
        <f>HYPERLINK("Melting_Curves/meltCurve_Q15036_2_SNX17.pdf", "Melting_Curves/meltCurve_Q15036_2_SNX17.pdf")</f>
        <v>Melting_Curves/meltCurve_Q15036_2_SNX17.pdf</v>
      </c>
    </row>
    <row r="3559" spans="1:28" x14ac:dyDescent="0.25">
      <c r="A3559" t="s">
        <v>3563</v>
      </c>
      <c r="B3559">
        <v>0.99472303558308395</v>
      </c>
      <c r="C3559">
        <v>0.94459568198385802</v>
      </c>
      <c r="D3559">
        <v>0.73438757748592298</v>
      </c>
      <c r="E3559">
        <v>0.90265383450453596</v>
      </c>
      <c r="F3559">
        <v>0.53890799547726198</v>
      </c>
      <c r="G3559">
        <v>0.315071708680768</v>
      </c>
      <c r="H3559">
        <v>0.23508188797257301</v>
      </c>
      <c r="I3559">
        <v>0.246885242613547</v>
      </c>
      <c r="J3559">
        <v>0.30250359821589601</v>
      </c>
      <c r="K3559">
        <v>0.249091950064631</v>
      </c>
      <c r="L3559">
        <v>824.96637641350196</v>
      </c>
      <c r="M3559">
        <v>16.823715804821401</v>
      </c>
      <c r="N3559">
        <v>50.848217083301599</v>
      </c>
      <c r="O3559">
        <v>48.358818555858498</v>
      </c>
      <c r="P3559">
        <v>-6.7366097697868096E-2</v>
      </c>
      <c r="Q3559">
        <v>0.225489767152696</v>
      </c>
      <c r="R3559">
        <v>0.92569367892032495</v>
      </c>
      <c r="S3559" t="s">
        <v>10127</v>
      </c>
      <c r="T3559" t="s">
        <v>13134</v>
      </c>
      <c r="U3559" t="s">
        <v>13134</v>
      </c>
      <c r="V3559" t="s">
        <v>13134</v>
      </c>
      <c r="W3559" t="s">
        <v>16639</v>
      </c>
      <c r="X3559">
        <v>1</v>
      </c>
      <c r="Y3559" t="s">
        <v>23042</v>
      </c>
      <c r="Z3559" t="s">
        <v>29527</v>
      </c>
      <c r="AA3559">
        <v>0.55003958466035663</v>
      </c>
      <c r="AB3559" t="str">
        <f>HYPERLINK("Melting_Curves/meltCurve_Q15038_2_DAZAP2.pdf", "Melting_Curves/meltCurve_Q15038_2_DAZAP2.pdf")</f>
        <v>Melting_Curves/meltCurve_Q15038_2_DAZAP2.pdf</v>
      </c>
    </row>
    <row r="3560" spans="1:28" x14ac:dyDescent="0.25">
      <c r="A3560" t="s">
        <v>3564</v>
      </c>
      <c r="B3560">
        <v>0.99472303558308395</v>
      </c>
      <c r="C3560">
        <v>1.0014020082266899</v>
      </c>
      <c r="D3560">
        <v>0.83842607189440399</v>
      </c>
      <c r="E3560">
        <v>0.55942566737957899</v>
      </c>
      <c r="F3560">
        <v>0.16066994025610501</v>
      </c>
      <c r="G3560">
        <v>8.7106860979045395E-2</v>
      </c>
      <c r="H3560">
        <v>5.8952409327728203E-2</v>
      </c>
      <c r="I3560">
        <v>4.4420760694564701E-2</v>
      </c>
      <c r="J3560">
        <v>6.2844534442068306E-2</v>
      </c>
      <c r="K3560">
        <v>4.0682698220884002E-2</v>
      </c>
      <c r="L3560">
        <v>1080.57092237918</v>
      </c>
      <c r="M3560">
        <v>23.1797674030412</v>
      </c>
      <c r="N3560">
        <v>46.799661925078198</v>
      </c>
      <c r="O3560">
        <v>46.274188604120503</v>
      </c>
      <c r="P3560">
        <v>-0.11981614304209701</v>
      </c>
      <c r="Q3560">
        <v>4.32528601570401E-2</v>
      </c>
      <c r="R3560">
        <v>0.99671395273692298</v>
      </c>
      <c r="S3560" t="s">
        <v>10128</v>
      </c>
      <c r="T3560" t="s">
        <v>13134</v>
      </c>
      <c r="U3560" t="s">
        <v>13134</v>
      </c>
      <c r="V3560" t="s">
        <v>13134</v>
      </c>
      <c r="W3560" t="s">
        <v>16640</v>
      </c>
      <c r="X3560">
        <v>29</v>
      </c>
      <c r="Y3560" t="s">
        <v>23043</v>
      </c>
      <c r="Z3560" t="s">
        <v>29528</v>
      </c>
      <c r="AA3560">
        <v>0.35926503723371522</v>
      </c>
      <c r="AB3560" t="str">
        <f>HYPERLINK("Melting_Curves/meltCurve_Q15042_RAB3GAP1.pdf", "Melting_Curves/meltCurve_Q15042_RAB3GAP1.pdf")</f>
        <v>Melting_Curves/meltCurve_Q15042_RAB3GAP1.pdf</v>
      </c>
    </row>
    <row r="3561" spans="1:28" x14ac:dyDescent="0.25">
      <c r="A3561" t="s">
        <v>3565</v>
      </c>
      <c r="B3561">
        <v>0.99472303558308395</v>
      </c>
      <c r="C3561">
        <v>0.84598185157757499</v>
      </c>
      <c r="D3561">
        <v>0.69639852481835895</v>
      </c>
      <c r="E3561">
        <v>0.65246662342308304</v>
      </c>
      <c r="F3561">
        <v>0.75778448816044497</v>
      </c>
      <c r="G3561">
        <v>0.37059820696432599</v>
      </c>
      <c r="H3561">
        <v>0.33712038046780801</v>
      </c>
      <c r="I3561">
        <v>0.26904422433998398</v>
      </c>
      <c r="J3561">
        <v>0.39499680169208401</v>
      </c>
      <c r="K3561">
        <v>0.65402942748972703</v>
      </c>
      <c r="L3561">
        <v>478.05822080655599</v>
      </c>
      <c r="M3561">
        <v>10.6568943207873</v>
      </c>
      <c r="N3561">
        <v>52.628204757438802</v>
      </c>
      <c r="O3561">
        <v>43.365983642920398</v>
      </c>
      <c r="P3561">
        <v>-3.7102292169082E-2</v>
      </c>
      <c r="Q3561">
        <v>0.39631029041339799</v>
      </c>
      <c r="R3561">
        <v>0.68922432294938496</v>
      </c>
      <c r="S3561" t="s">
        <v>10129</v>
      </c>
      <c r="T3561" t="s">
        <v>13134</v>
      </c>
      <c r="U3561" t="s">
        <v>13134</v>
      </c>
      <c r="V3561" t="s">
        <v>13134</v>
      </c>
      <c r="W3561" t="s">
        <v>16641</v>
      </c>
      <c r="X3561">
        <v>4</v>
      </c>
      <c r="Y3561" t="s">
        <v>23044</v>
      </c>
      <c r="Z3561" t="s">
        <v>29529</v>
      </c>
      <c r="AA3561">
        <v>0.58168901208719193</v>
      </c>
      <c r="AB3561" t="str">
        <f>HYPERLINK("Melting_Curves/meltCurve_Q15043_2_SLC39A14.pdf", "Melting_Curves/meltCurve_Q15043_2_SLC39A14.pdf")</f>
        <v>Melting_Curves/meltCurve_Q15043_2_SLC39A14.pdf</v>
      </c>
    </row>
    <row r="3562" spans="1:28" x14ac:dyDescent="0.25">
      <c r="A3562" t="s">
        <v>3566</v>
      </c>
      <c r="B3562">
        <v>0.99472303558308395</v>
      </c>
      <c r="C3562">
        <v>0.94614948977947799</v>
      </c>
      <c r="D3562">
        <v>0.76127135138700497</v>
      </c>
      <c r="E3562">
        <v>0.62738836774373197</v>
      </c>
      <c r="F3562">
        <v>0.65244770949268305</v>
      </c>
      <c r="G3562">
        <v>0.28988808569888302</v>
      </c>
      <c r="H3562">
        <v>9.0611846353593095E-2</v>
      </c>
      <c r="I3562">
        <v>5.7546210573148203E-2</v>
      </c>
      <c r="J3562">
        <v>6.7817407417751094E-2</v>
      </c>
      <c r="K3562">
        <v>5.7738159749258597E-2</v>
      </c>
      <c r="L3562">
        <v>564.00656735420398</v>
      </c>
      <c r="M3562">
        <v>11.333100325891801</v>
      </c>
      <c r="N3562">
        <v>49.766321302903599</v>
      </c>
      <c r="O3562">
        <v>48.292353698753601</v>
      </c>
      <c r="P3562">
        <v>-5.86868704454067E-2</v>
      </c>
      <c r="Q3562">
        <v>0</v>
      </c>
      <c r="R3562">
        <v>0.95847372069788705</v>
      </c>
      <c r="S3562" t="s">
        <v>10130</v>
      </c>
      <c r="T3562" t="s">
        <v>13134</v>
      </c>
      <c r="U3562" t="s">
        <v>13134</v>
      </c>
      <c r="V3562" t="s">
        <v>13134</v>
      </c>
      <c r="W3562" t="s">
        <v>16642</v>
      </c>
      <c r="X3562">
        <v>25</v>
      </c>
      <c r="Y3562" t="s">
        <v>23045</v>
      </c>
      <c r="Z3562" t="s">
        <v>29530</v>
      </c>
      <c r="AA3562">
        <v>0.45592645457792219</v>
      </c>
      <c r="AB3562" t="str">
        <f>HYPERLINK("Melting_Curves/meltCurve_Q15046_KARS.pdf", "Melting_Curves/meltCurve_Q15046_KARS.pdf")</f>
        <v>Melting_Curves/meltCurve_Q15046_KARS.pdf</v>
      </c>
    </row>
    <row r="3563" spans="1:28" x14ac:dyDescent="0.25">
      <c r="A3563" t="s">
        <v>3567</v>
      </c>
      <c r="B3563">
        <v>0.99472303558308395</v>
      </c>
      <c r="C3563">
        <v>0.962470054684057</v>
      </c>
      <c r="D3563">
        <v>0.83233175898270195</v>
      </c>
      <c r="E3563">
        <v>0.56001092224844795</v>
      </c>
      <c r="F3563">
        <v>0.236582153124935</v>
      </c>
      <c r="G3563">
        <v>9.7973760613692201E-2</v>
      </c>
      <c r="H3563">
        <v>6.1204506100509301E-2</v>
      </c>
      <c r="I3563">
        <v>5.7495553678132597E-2</v>
      </c>
      <c r="J3563">
        <v>5.9567694358869799E-2</v>
      </c>
      <c r="K3563">
        <v>5.0837688309709202E-2</v>
      </c>
      <c r="L3563">
        <v>905.69267955226906</v>
      </c>
      <c r="M3563">
        <v>19.361613991339102</v>
      </c>
      <c r="N3563">
        <v>46.994875136471897</v>
      </c>
      <c r="O3563">
        <v>46.287334163367802</v>
      </c>
      <c r="P3563">
        <v>-0.10010250158332699</v>
      </c>
      <c r="Q3563">
        <v>4.2785515743367399E-2</v>
      </c>
      <c r="R3563">
        <v>0.99904312457639899</v>
      </c>
      <c r="S3563" t="s">
        <v>10131</v>
      </c>
      <c r="T3563" t="s">
        <v>13134</v>
      </c>
      <c r="U3563" t="s">
        <v>13134</v>
      </c>
      <c r="V3563" t="s">
        <v>13134</v>
      </c>
      <c r="W3563" t="s">
        <v>16643</v>
      </c>
      <c r="X3563">
        <v>7</v>
      </c>
      <c r="Y3563" t="s">
        <v>23046</v>
      </c>
      <c r="Z3563" t="s">
        <v>29531</v>
      </c>
      <c r="AA3563">
        <v>0.36811462412027701</v>
      </c>
      <c r="AB3563" t="str">
        <f>HYPERLINK("Melting_Curves/meltCurve_Q15047_3_SETDB1.pdf", "Melting_Curves/meltCurve_Q15047_3_SETDB1.pdf")</f>
        <v>Melting_Curves/meltCurve_Q15047_3_SETDB1.pdf</v>
      </c>
    </row>
    <row r="3564" spans="1:28" x14ac:dyDescent="0.25">
      <c r="A3564" t="s">
        <v>3568</v>
      </c>
      <c r="B3564">
        <v>0.99472303558308395</v>
      </c>
      <c r="C3564">
        <v>0.89090543141388401</v>
      </c>
      <c r="D3564">
        <v>0.90997101800078595</v>
      </c>
      <c r="E3564">
        <v>0.58072520640198999</v>
      </c>
      <c r="F3564">
        <v>0.33016750196867301</v>
      </c>
      <c r="G3564">
        <v>0.15455797292701301</v>
      </c>
      <c r="H3564">
        <v>0.10898830636427</v>
      </c>
      <c r="I3564">
        <v>6.6334763589935994E-2</v>
      </c>
      <c r="J3564">
        <v>6.7224802868052297E-2</v>
      </c>
      <c r="K3564">
        <v>6.0194703385452103E-2</v>
      </c>
      <c r="L3564">
        <v>809.12268466864703</v>
      </c>
      <c r="M3564">
        <v>17.050874715880401</v>
      </c>
      <c r="N3564">
        <v>47.766284253762798</v>
      </c>
      <c r="O3564">
        <v>46.815146363868898</v>
      </c>
      <c r="P3564">
        <v>-8.6248949793504601E-2</v>
      </c>
      <c r="Q3564">
        <v>5.2832029562884797E-2</v>
      </c>
      <c r="R3564">
        <v>0.99389292172125998</v>
      </c>
      <c r="S3564" t="s">
        <v>10132</v>
      </c>
      <c r="T3564" t="s">
        <v>13134</v>
      </c>
      <c r="U3564" t="s">
        <v>13134</v>
      </c>
      <c r="V3564" t="s">
        <v>13134</v>
      </c>
      <c r="W3564" t="s">
        <v>16644</v>
      </c>
      <c r="X3564">
        <v>3</v>
      </c>
      <c r="Y3564" t="s">
        <v>23047</v>
      </c>
      <c r="Z3564" t="s">
        <v>29532</v>
      </c>
      <c r="AA3564">
        <v>0.39964988227942988</v>
      </c>
      <c r="AB3564" t="str">
        <f>HYPERLINK("Melting_Curves/meltCurve_Q15048_LRRC14.pdf", "Melting_Curves/meltCurve_Q15048_LRRC14.pdf")</f>
        <v>Melting_Curves/meltCurve_Q15048_LRRC14.pdf</v>
      </c>
    </row>
    <row r="3565" spans="1:28" x14ac:dyDescent="0.25">
      <c r="A3565" t="s">
        <v>3569</v>
      </c>
      <c r="B3565">
        <v>0.99472303558308395</v>
      </c>
      <c r="C3565">
        <v>0.85810873563937995</v>
      </c>
      <c r="D3565">
        <v>1.0445953921657201</v>
      </c>
      <c r="E3565">
        <v>0.85559286068199503</v>
      </c>
      <c r="F3565">
        <v>0.519324634458881</v>
      </c>
      <c r="G3565">
        <v>0.34172883905839702</v>
      </c>
      <c r="H3565">
        <v>0.22566123503305399</v>
      </c>
      <c r="I3565">
        <v>0.18688311749104899</v>
      </c>
      <c r="J3565">
        <v>0.25564696859042002</v>
      </c>
      <c r="K3565">
        <v>0.17558318550473501</v>
      </c>
      <c r="L3565">
        <v>1177.60445104271</v>
      </c>
      <c r="M3565">
        <v>23.780418570658899</v>
      </c>
      <c r="N3565">
        <v>50.642677964655199</v>
      </c>
      <c r="O3565">
        <v>49.173721083154</v>
      </c>
      <c r="P3565">
        <v>-9.6131962377276503E-2</v>
      </c>
      <c r="Q3565">
        <v>0.20487701915397899</v>
      </c>
      <c r="R3565">
        <v>0.97437332236917795</v>
      </c>
      <c r="S3565" t="s">
        <v>10133</v>
      </c>
      <c r="T3565" t="s">
        <v>13134</v>
      </c>
      <c r="U3565" t="s">
        <v>13134</v>
      </c>
      <c r="V3565" t="s">
        <v>13134</v>
      </c>
      <c r="W3565" t="s">
        <v>16645</v>
      </c>
      <c r="X3565">
        <v>23</v>
      </c>
      <c r="Y3565" t="s">
        <v>23048</v>
      </c>
      <c r="Z3565" t="s">
        <v>29533</v>
      </c>
      <c r="AA3565">
        <v>0.54431660451927621</v>
      </c>
      <c r="AB3565" t="str">
        <f>HYPERLINK("Melting_Curves/meltCurve_Q15056_EIF4H.pdf", "Melting_Curves/meltCurve_Q15056_EIF4H.pdf")</f>
        <v>Melting_Curves/meltCurve_Q15056_EIF4H.pdf</v>
      </c>
    </row>
    <row r="3566" spans="1:28" x14ac:dyDescent="0.25">
      <c r="A3566" t="s">
        <v>3570</v>
      </c>
      <c r="B3566">
        <v>0.99472303558308395</v>
      </c>
      <c r="C3566">
        <v>0.95386659064688195</v>
      </c>
      <c r="D3566">
        <v>1.0496195762905201</v>
      </c>
      <c r="E3566">
        <v>0.86951519593413495</v>
      </c>
      <c r="F3566">
        <v>0.58201468760499997</v>
      </c>
      <c r="G3566">
        <v>0.33732944529544601</v>
      </c>
      <c r="H3566">
        <v>0.21861556192932999</v>
      </c>
      <c r="I3566">
        <v>0.19253376185464999</v>
      </c>
      <c r="J3566">
        <v>0.241440469079619</v>
      </c>
      <c r="K3566">
        <v>0.19582320188468699</v>
      </c>
      <c r="L3566">
        <v>1220.74820370881</v>
      </c>
      <c r="M3566">
        <v>24.413102124456501</v>
      </c>
      <c r="N3566">
        <v>51.093103915892399</v>
      </c>
      <c r="O3566">
        <v>49.671923243695602</v>
      </c>
      <c r="P3566">
        <v>-9.7944660231970307E-2</v>
      </c>
      <c r="Q3566">
        <v>0.202882495355895</v>
      </c>
      <c r="R3566">
        <v>0.99295620030324805</v>
      </c>
      <c r="S3566" t="s">
        <v>10134</v>
      </c>
      <c r="T3566" t="s">
        <v>13134</v>
      </c>
      <c r="U3566" t="s">
        <v>13134</v>
      </c>
      <c r="V3566" t="s">
        <v>13134</v>
      </c>
      <c r="W3566" t="s">
        <v>16646</v>
      </c>
      <c r="X3566">
        <v>22</v>
      </c>
      <c r="Y3566" t="s">
        <v>23048</v>
      </c>
      <c r="Z3566" t="s">
        <v>29534</v>
      </c>
      <c r="AA3566">
        <v>0.55569443720642941</v>
      </c>
      <c r="AB3566" t="str">
        <f>HYPERLINK("Melting_Curves/meltCurve_Q15056_2_EIF4H.pdf", "Melting_Curves/meltCurve_Q15056_2_EIF4H.pdf")</f>
        <v>Melting_Curves/meltCurve_Q15056_2_EIF4H.pdf</v>
      </c>
    </row>
    <row r="3567" spans="1:28" x14ac:dyDescent="0.25">
      <c r="A3567" t="s">
        <v>3571</v>
      </c>
      <c r="B3567">
        <v>0.99472303558308395</v>
      </c>
      <c r="C3567">
        <v>0.88339522126613401</v>
      </c>
      <c r="D3567">
        <v>0.97228616011345104</v>
      </c>
      <c r="E3567">
        <v>0.71852832887335705</v>
      </c>
      <c r="F3567">
        <v>0.30677131638448302</v>
      </c>
      <c r="G3567">
        <v>0.12721489175084999</v>
      </c>
      <c r="H3567">
        <v>9.0446008651856993E-2</v>
      </c>
      <c r="I3567">
        <v>5.5293322300031401E-2</v>
      </c>
      <c r="J3567">
        <v>7.5497017661624199E-2</v>
      </c>
      <c r="K3567">
        <v>7.1409609211099206E-2</v>
      </c>
      <c r="L3567">
        <v>1214.7999607240899</v>
      </c>
      <c r="M3567">
        <v>25.241613031505</v>
      </c>
      <c r="N3567">
        <v>48.402532313527999</v>
      </c>
      <c r="O3567">
        <v>47.827855746651203</v>
      </c>
      <c r="P3567">
        <v>-0.123108217050742</v>
      </c>
      <c r="Q3567">
        <v>6.6949359701367603E-2</v>
      </c>
      <c r="R3567">
        <v>0.99136035479677798</v>
      </c>
      <c r="S3567" t="s">
        <v>10135</v>
      </c>
      <c r="T3567" t="s">
        <v>13134</v>
      </c>
      <c r="U3567" t="s">
        <v>13134</v>
      </c>
      <c r="V3567" t="s">
        <v>13134</v>
      </c>
      <c r="W3567" t="s">
        <v>16647</v>
      </c>
      <c r="X3567">
        <v>14</v>
      </c>
      <c r="Y3567" t="s">
        <v>23049</v>
      </c>
      <c r="Z3567" t="s">
        <v>29535</v>
      </c>
      <c r="AA3567">
        <v>0.42082980113805651</v>
      </c>
      <c r="AB3567" t="str">
        <f>HYPERLINK("Melting_Curves/meltCurve_Q15057_ACAP2.pdf", "Melting_Curves/meltCurve_Q15057_ACAP2.pdf")</f>
        <v>Melting_Curves/meltCurve_Q15057_ACAP2.pdf</v>
      </c>
    </row>
    <row r="3568" spans="1:28" x14ac:dyDescent="0.25">
      <c r="A3568" t="s">
        <v>3572</v>
      </c>
      <c r="B3568">
        <v>0.99472303558308395</v>
      </c>
      <c r="C3568">
        <v>0.90607851102722203</v>
      </c>
      <c r="D3568">
        <v>0.56929943450333997</v>
      </c>
      <c r="E3568">
        <v>0.21463912069041099</v>
      </c>
      <c r="F3568">
        <v>0.124969340151382</v>
      </c>
      <c r="G3568">
        <v>6.8397326011609902E-2</v>
      </c>
      <c r="H3568">
        <v>4.8149935231116797E-2</v>
      </c>
      <c r="I3568">
        <v>3.9675989858931601E-2</v>
      </c>
      <c r="J3568">
        <v>4.9926689851365197E-2</v>
      </c>
      <c r="K3568">
        <v>3.5709915337295499E-2</v>
      </c>
      <c r="L3568">
        <v>989.70259403648902</v>
      </c>
      <c r="M3568">
        <v>22.778360128260498</v>
      </c>
      <c r="N3568">
        <v>43.650884523131701</v>
      </c>
      <c r="O3568">
        <v>43.118524781395003</v>
      </c>
      <c r="P3568">
        <v>-0.125475716035922</v>
      </c>
      <c r="Q3568">
        <v>4.9936430719136303E-2</v>
      </c>
      <c r="R3568">
        <v>0.99838015216943199</v>
      </c>
      <c r="S3568" t="s">
        <v>10136</v>
      </c>
      <c r="T3568" t="s">
        <v>13134</v>
      </c>
      <c r="U3568" t="s">
        <v>13134</v>
      </c>
      <c r="V3568" t="s">
        <v>13134</v>
      </c>
      <c r="W3568" t="s">
        <v>16648</v>
      </c>
      <c r="X3568">
        <v>26</v>
      </c>
      <c r="Y3568" t="s">
        <v>23050</v>
      </c>
      <c r="Z3568" t="s">
        <v>29536</v>
      </c>
      <c r="AA3568">
        <v>0.26385617406000539</v>
      </c>
      <c r="AB3568" t="str">
        <f>HYPERLINK("Melting_Curves/meltCurve_Q15058_KIF14.pdf", "Melting_Curves/meltCurve_Q15058_KIF14.pdf")</f>
        <v>Melting_Curves/meltCurve_Q15058_KIF14.pdf</v>
      </c>
    </row>
    <row r="3569" spans="1:28" x14ac:dyDescent="0.25">
      <c r="A3569" t="s">
        <v>3573</v>
      </c>
      <c r="B3569">
        <v>0.99472303558308395</v>
      </c>
      <c r="C3569">
        <v>1.05484317957939</v>
      </c>
      <c r="D3569">
        <v>0.93260812355568301</v>
      </c>
      <c r="E3569">
        <v>0.74681807327976102</v>
      </c>
      <c r="F3569">
        <v>0.30587872595488103</v>
      </c>
      <c r="G3569">
        <v>0.16440670319950201</v>
      </c>
      <c r="H3569">
        <v>8.0729100183000502E-2</v>
      </c>
      <c r="I3569">
        <v>6.9754269914357694E-2</v>
      </c>
      <c r="J3569">
        <v>7.8562129566323594E-2</v>
      </c>
      <c r="K3569">
        <v>5.9735265666536599E-2</v>
      </c>
      <c r="L3569">
        <v>1222.33866725233</v>
      </c>
      <c r="M3569">
        <v>25.323796438990001</v>
      </c>
      <c r="N3569">
        <v>48.560158839137898</v>
      </c>
      <c r="O3569">
        <v>47.970391317268501</v>
      </c>
      <c r="P3569">
        <v>-0.12266355344674799</v>
      </c>
      <c r="Q3569">
        <v>7.0574542834980603E-2</v>
      </c>
      <c r="R3569">
        <v>0.996372816903906</v>
      </c>
      <c r="S3569" t="s">
        <v>10137</v>
      </c>
      <c r="T3569" t="s">
        <v>13134</v>
      </c>
      <c r="U3569" t="s">
        <v>13134</v>
      </c>
      <c r="V3569" t="s">
        <v>13134</v>
      </c>
      <c r="W3569" t="s">
        <v>16649</v>
      </c>
      <c r="X3569">
        <v>13</v>
      </c>
      <c r="Y3569" t="s">
        <v>23051</v>
      </c>
      <c r="Z3569" t="s">
        <v>29537</v>
      </c>
      <c r="AA3569">
        <v>0.42743032778772783</v>
      </c>
      <c r="AB3569" t="str">
        <f>HYPERLINK("Melting_Curves/meltCurve_Q15059_BRD3.pdf", "Melting_Curves/meltCurve_Q15059_BRD3.pdf")</f>
        <v>Melting_Curves/meltCurve_Q15059_BRD3.pdf</v>
      </c>
    </row>
    <row r="3570" spans="1:28" x14ac:dyDescent="0.25">
      <c r="A3570" t="s">
        <v>3574</v>
      </c>
      <c r="B3570">
        <v>0.99472303558308395</v>
      </c>
      <c r="C3570">
        <v>0.94839321053734305</v>
      </c>
      <c r="D3570">
        <v>1.02342689317014</v>
      </c>
      <c r="E3570">
        <v>1.3334774973571</v>
      </c>
      <c r="F3570">
        <v>1.4968619282645499</v>
      </c>
      <c r="G3570">
        <v>1.2797705596153699</v>
      </c>
      <c r="H3570">
        <v>0.64446643337083598</v>
      </c>
      <c r="I3570">
        <v>0.21996814447716101</v>
      </c>
      <c r="J3570">
        <v>0.15289581627458099</v>
      </c>
      <c r="K3570">
        <v>0.122008934860658</v>
      </c>
      <c r="L3570">
        <v>8397.7040659049708</v>
      </c>
      <c r="M3570">
        <v>146.00165445041199</v>
      </c>
      <c r="N3570">
        <v>57.675921723514797</v>
      </c>
      <c r="O3570">
        <v>57.507083184103003</v>
      </c>
      <c r="P3570">
        <v>-0.530063055422899</v>
      </c>
      <c r="Q3570">
        <v>0.164875822618929</v>
      </c>
      <c r="R3570">
        <v>0.81037342315028804</v>
      </c>
      <c r="S3570" t="s">
        <v>10138</v>
      </c>
      <c r="T3570" t="s">
        <v>13134</v>
      </c>
      <c r="U3570" t="s">
        <v>13134</v>
      </c>
      <c r="V3570" t="s">
        <v>13134</v>
      </c>
      <c r="W3570" t="s">
        <v>16650</v>
      </c>
      <c r="X3570">
        <v>17</v>
      </c>
      <c r="Y3570" t="s">
        <v>23052</v>
      </c>
      <c r="Z3570" t="s">
        <v>29538</v>
      </c>
      <c r="AA3570">
        <v>0.73628871765028192</v>
      </c>
      <c r="AB3570" t="str">
        <f>HYPERLINK("Melting_Curves/meltCurve_Q15061_WDR43.pdf", "Melting_Curves/meltCurve_Q15061_WDR43.pdf")</f>
        <v>Melting_Curves/meltCurve_Q15061_WDR43.pdf</v>
      </c>
    </row>
    <row r="3571" spans="1:28" x14ac:dyDescent="0.25">
      <c r="A3571" t="s">
        <v>3575</v>
      </c>
      <c r="B3571">
        <v>0.99472303558308395</v>
      </c>
      <c r="C3571">
        <v>0.95031277379415602</v>
      </c>
      <c r="D3571">
        <v>0.87301732785973596</v>
      </c>
      <c r="E3571">
        <v>0.76499922516405106</v>
      </c>
      <c r="F3571">
        <v>0.67137435231910902</v>
      </c>
      <c r="G3571">
        <v>0.40016731060966898</v>
      </c>
      <c r="H3571">
        <v>0.32426710390513502</v>
      </c>
      <c r="I3571">
        <v>0.25264735910314601</v>
      </c>
      <c r="J3571">
        <v>0.34139464255618202</v>
      </c>
      <c r="K3571">
        <v>0.22163817048631601</v>
      </c>
      <c r="L3571">
        <v>608.30924809763906</v>
      </c>
      <c r="M3571">
        <v>12.1453158888378</v>
      </c>
      <c r="N3571">
        <v>52.412890401543599</v>
      </c>
      <c r="O3571">
        <v>48.786087636360499</v>
      </c>
      <c r="P3571">
        <v>-4.9278723781663002E-2</v>
      </c>
      <c r="Q3571">
        <v>0.208398319953468</v>
      </c>
      <c r="R3571">
        <v>0.97846835096668605</v>
      </c>
      <c r="S3571" t="s">
        <v>10139</v>
      </c>
      <c r="T3571" t="s">
        <v>13134</v>
      </c>
      <c r="U3571" t="s">
        <v>13134</v>
      </c>
      <c r="V3571" t="s">
        <v>13134</v>
      </c>
      <c r="W3571" t="s">
        <v>16651</v>
      </c>
      <c r="X3571">
        <v>21</v>
      </c>
      <c r="Y3571" t="s">
        <v>23053</v>
      </c>
      <c r="Z3571" t="s">
        <v>29539</v>
      </c>
      <c r="AA3571">
        <v>0.57542016845354083</v>
      </c>
      <c r="AB3571" t="str">
        <f>HYPERLINK("Melting_Curves/meltCurve_Q15067_2_ACOX1.pdf", "Melting_Curves/meltCurve_Q15067_2_ACOX1.pdf")</f>
        <v>Melting_Curves/meltCurve_Q15067_2_ACOX1.pdf</v>
      </c>
    </row>
    <row r="3572" spans="1:28" x14ac:dyDescent="0.25">
      <c r="A3572" t="s">
        <v>3576</v>
      </c>
      <c r="B3572">
        <v>0.99472303558308395</v>
      </c>
      <c r="C3572">
        <v>1.0121396300263501</v>
      </c>
      <c r="D3572">
        <v>0.99447466336020895</v>
      </c>
      <c r="E3572">
        <v>0.88657186435410196</v>
      </c>
      <c r="F3572">
        <v>0.647030570636275</v>
      </c>
      <c r="G3572">
        <v>0.50833428204559195</v>
      </c>
      <c r="H3572">
        <v>0.452208548122087</v>
      </c>
      <c r="I3572">
        <v>0.47559400933296397</v>
      </c>
      <c r="J3572">
        <v>0.71797061323316202</v>
      </c>
      <c r="K3572">
        <v>0.62379342442610097</v>
      </c>
      <c r="L3572">
        <v>1805.52202355956</v>
      </c>
      <c r="M3572">
        <v>37.595989196631798</v>
      </c>
      <c r="O3572">
        <v>47.889055829593502</v>
      </c>
      <c r="P3572">
        <v>-8.7007600321244605E-2</v>
      </c>
      <c r="Q3572">
        <v>0.55668665843298204</v>
      </c>
      <c r="R3572">
        <v>0.88555017950940096</v>
      </c>
      <c r="S3572" t="s">
        <v>10140</v>
      </c>
      <c r="T3572" t="s">
        <v>13134</v>
      </c>
      <c r="U3572" t="s">
        <v>13134</v>
      </c>
      <c r="V3572" t="s">
        <v>13134</v>
      </c>
      <c r="W3572" t="s">
        <v>16652</v>
      </c>
      <c r="X3572">
        <v>95</v>
      </c>
      <c r="Y3572" t="s">
        <v>23054</v>
      </c>
      <c r="Z3572" t="s">
        <v>29540</v>
      </c>
      <c r="AA3572">
        <v>0.72126182215410728</v>
      </c>
      <c r="AB3572" t="str">
        <f>HYPERLINK("Melting_Curves/meltCurve_Q15075_EEA1.pdf", "Melting_Curves/meltCurve_Q15075_EEA1.pdf")</f>
        <v>Melting_Curves/meltCurve_Q15075_EEA1.pdf</v>
      </c>
    </row>
    <row r="3573" spans="1:28" x14ac:dyDescent="0.25">
      <c r="A3573" t="s">
        <v>3577</v>
      </c>
      <c r="B3573">
        <v>0.99472303558308395</v>
      </c>
      <c r="C3573">
        <v>0.92559614625447895</v>
      </c>
      <c r="D3573">
        <v>1.0111171305134301</v>
      </c>
      <c r="E3573">
        <v>0.76921358863161804</v>
      </c>
      <c r="F3573">
        <v>0.461160462690891</v>
      </c>
      <c r="G3573">
        <v>0.190455006945145</v>
      </c>
      <c r="H3573">
        <v>7.4629141078442401E-2</v>
      </c>
      <c r="I3573">
        <v>3.8622390627061798E-2</v>
      </c>
      <c r="J3573">
        <v>4.69079281158769E-2</v>
      </c>
      <c r="K3573">
        <v>5.1626561359308397E-2</v>
      </c>
      <c r="L3573">
        <v>1025.85091809044</v>
      </c>
      <c r="M3573">
        <v>20.7154744025753</v>
      </c>
      <c r="N3573">
        <v>49.684550502041702</v>
      </c>
      <c r="O3573">
        <v>49.0664471333736</v>
      </c>
      <c r="P3573">
        <v>-0.10207236037937401</v>
      </c>
      <c r="Q3573">
        <v>3.2957463712012303E-2</v>
      </c>
      <c r="R3573">
        <v>0.99481429937710397</v>
      </c>
      <c r="S3573" t="s">
        <v>10141</v>
      </c>
      <c r="T3573" t="s">
        <v>13134</v>
      </c>
      <c r="U3573" t="s">
        <v>13134</v>
      </c>
      <c r="V3573" t="s">
        <v>13134</v>
      </c>
      <c r="W3573" t="s">
        <v>16653</v>
      </c>
      <c r="X3573">
        <v>12</v>
      </c>
      <c r="Y3573" t="s">
        <v>23055</v>
      </c>
      <c r="Z3573" t="s">
        <v>29541</v>
      </c>
      <c r="AA3573">
        <v>0.44853170957834221</v>
      </c>
      <c r="AB3573" t="str">
        <f>HYPERLINK("Melting_Curves/meltCurve_Q15102_PAFAH1B3.pdf", "Melting_Curves/meltCurve_Q15102_PAFAH1B3.pdf")</f>
        <v>Melting_Curves/meltCurve_Q15102_PAFAH1B3.pdf</v>
      </c>
    </row>
    <row r="3574" spans="1:28" x14ac:dyDescent="0.25">
      <c r="A3574" t="s">
        <v>3578</v>
      </c>
      <c r="B3574">
        <v>0.99472303558308395</v>
      </c>
      <c r="C3574">
        <v>1.09324402035892</v>
      </c>
      <c r="D3574">
        <v>0.89760440841620304</v>
      </c>
      <c r="E3574">
        <v>0.47998797796715797</v>
      </c>
      <c r="F3574">
        <v>0.231202355087301</v>
      </c>
      <c r="G3574">
        <v>0.142409739223364</v>
      </c>
      <c r="H3574">
        <v>9.2998052136475606E-2</v>
      </c>
      <c r="I3574">
        <v>8.1832385640975405E-2</v>
      </c>
      <c r="J3574">
        <v>0.119849631318967</v>
      </c>
      <c r="K3574">
        <v>9.3826018793521607E-2</v>
      </c>
      <c r="L3574">
        <v>1256.14011413614</v>
      </c>
      <c r="M3574">
        <v>27.190520254613698</v>
      </c>
      <c r="N3574">
        <v>46.602991233346003</v>
      </c>
      <c r="O3574">
        <v>45.949998036726903</v>
      </c>
      <c r="P3574">
        <v>-0.13236134271658001</v>
      </c>
      <c r="Q3574">
        <v>0.105284329783292</v>
      </c>
      <c r="R3574">
        <v>0.99078114900893</v>
      </c>
      <c r="S3574" t="s">
        <v>10142</v>
      </c>
      <c r="T3574" t="s">
        <v>13134</v>
      </c>
      <c r="U3574" t="s">
        <v>13134</v>
      </c>
      <c r="V3574" t="s">
        <v>13134</v>
      </c>
      <c r="W3574" t="s">
        <v>16654</v>
      </c>
      <c r="X3574">
        <v>11</v>
      </c>
      <c r="Y3574" t="s">
        <v>23056</v>
      </c>
      <c r="Z3574" t="s">
        <v>29542</v>
      </c>
      <c r="AA3574">
        <v>0.38585638874761791</v>
      </c>
      <c r="AB3574" t="str">
        <f>HYPERLINK("Melting_Curves/meltCurve_Q15111_PLCL1.pdf", "Melting_Curves/meltCurve_Q15111_PLCL1.pdf")</f>
        <v>Melting_Curves/meltCurve_Q15111_PLCL1.pdf</v>
      </c>
    </row>
    <row r="3575" spans="1:28" x14ac:dyDescent="0.25">
      <c r="A3575" t="s">
        <v>3579</v>
      </c>
      <c r="B3575">
        <v>0.99472303558308395</v>
      </c>
      <c r="C3575">
        <v>0.93544644774351604</v>
      </c>
      <c r="D3575">
        <v>0.9382390770579</v>
      </c>
      <c r="E3575">
        <v>0.734561285904478</v>
      </c>
      <c r="F3575">
        <v>0.40902722270235597</v>
      </c>
      <c r="G3575">
        <v>8.2307809619179301E-2</v>
      </c>
      <c r="H3575">
        <v>5.6748850588009499E-2</v>
      </c>
      <c r="I3575">
        <v>4.3003437084307899E-2</v>
      </c>
      <c r="J3575">
        <v>3.02759186059809E-2</v>
      </c>
      <c r="K3575">
        <v>2.85244484846944E-2</v>
      </c>
      <c r="L3575">
        <v>1047.78423050432</v>
      </c>
      <c r="M3575">
        <v>21.442022602615001</v>
      </c>
      <c r="N3575">
        <v>48.945142277678102</v>
      </c>
      <c r="O3575">
        <v>48.4468208948241</v>
      </c>
      <c r="P3575">
        <v>-0.108762262837224</v>
      </c>
      <c r="Q3575">
        <v>1.7059486038407401E-2</v>
      </c>
      <c r="R3575">
        <v>0.99507438693003203</v>
      </c>
      <c r="S3575" t="s">
        <v>10143</v>
      </c>
      <c r="T3575" t="s">
        <v>13134</v>
      </c>
      <c r="U3575" t="s">
        <v>13134</v>
      </c>
      <c r="V3575" t="s">
        <v>13134</v>
      </c>
      <c r="W3575" t="s">
        <v>16655</v>
      </c>
      <c r="X3575">
        <v>4</v>
      </c>
      <c r="Y3575" t="s">
        <v>23057</v>
      </c>
      <c r="Z3575" t="s">
        <v>29543</v>
      </c>
      <c r="AA3575">
        <v>0.41722057313822009</v>
      </c>
      <c r="AB3575" t="str">
        <f>HYPERLINK("Melting_Curves/meltCurve_Q15118_PDK1.pdf", "Melting_Curves/meltCurve_Q15118_PDK1.pdf")</f>
        <v>Melting_Curves/meltCurve_Q15118_PDK1.pdf</v>
      </c>
    </row>
    <row r="3576" spans="1:28" x14ac:dyDescent="0.25">
      <c r="A3576" t="s">
        <v>3580</v>
      </c>
      <c r="B3576">
        <v>0.99472303558308395</v>
      </c>
      <c r="C3576">
        <v>1.0068299551131299</v>
      </c>
      <c r="D3576">
        <v>0.99171031325762904</v>
      </c>
      <c r="E3576">
        <v>0.73763396850490304</v>
      </c>
      <c r="F3576">
        <v>0.28652190699841501</v>
      </c>
      <c r="G3576">
        <v>0.13096286204711299</v>
      </c>
      <c r="H3576">
        <v>9.4921595056456795E-2</v>
      </c>
      <c r="I3576">
        <v>7.5152902366442495E-2</v>
      </c>
      <c r="J3576">
        <v>9.3197600820669704E-2</v>
      </c>
      <c r="K3576">
        <v>7.9933161205328895E-2</v>
      </c>
      <c r="L3576">
        <v>1430.8477290702399</v>
      </c>
      <c r="M3576">
        <v>29.770136706740299</v>
      </c>
      <c r="N3576">
        <v>48.367459618877298</v>
      </c>
      <c r="O3576">
        <v>47.847883015433098</v>
      </c>
      <c r="P3576">
        <v>-0.142264103946493</v>
      </c>
      <c r="Q3576">
        <v>8.5393476316255698E-2</v>
      </c>
      <c r="R3576">
        <v>0.99952864594878099</v>
      </c>
      <c r="S3576" t="s">
        <v>10144</v>
      </c>
      <c r="T3576" t="s">
        <v>13134</v>
      </c>
      <c r="U3576" t="s">
        <v>13134</v>
      </c>
      <c r="V3576" t="s">
        <v>13134</v>
      </c>
      <c r="W3576" t="s">
        <v>16656</v>
      </c>
      <c r="X3576">
        <v>8</v>
      </c>
      <c r="Y3576" t="s">
        <v>23058</v>
      </c>
      <c r="Z3576" t="s">
        <v>29544</v>
      </c>
      <c r="AA3576">
        <v>0.42818320157478701</v>
      </c>
      <c r="AB3576" t="str">
        <f>HYPERLINK("Melting_Curves/meltCurve_Q15121_PEA15.pdf", "Melting_Curves/meltCurve_Q15121_PEA15.pdf")</f>
        <v>Melting_Curves/meltCurve_Q15121_PEA15.pdf</v>
      </c>
    </row>
    <row r="3577" spans="1:28" x14ac:dyDescent="0.25">
      <c r="A3577" t="s">
        <v>3581</v>
      </c>
      <c r="B3577">
        <v>0.99472303558308395</v>
      </c>
      <c r="C3577">
        <v>0.87613324893003297</v>
      </c>
      <c r="D3577">
        <v>0.98905275408027205</v>
      </c>
      <c r="E3577">
        <v>0.41053715371328597</v>
      </c>
      <c r="F3577">
        <v>0.16131037726462799</v>
      </c>
      <c r="G3577">
        <v>8.1327499335962797E-2</v>
      </c>
      <c r="H3577">
        <v>5.8227750877004901E-2</v>
      </c>
      <c r="I3577">
        <v>3.53562941495357E-2</v>
      </c>
      <c r="J3577">
        <v>5.7975961395126202E-2</v>
      </c>
      <c r="K3577">
        <v>4.6394446914674599E-2</v>
      </c>
      <c r="L3577">
        <v>1761.2714907903401</v>
      </c>
      <c r="M3577">
        <v>38.237595795330897</v>
      </c>
      <c r="N3577">
        <v>46.227701317357898</v>
      </c>
      <c r="O3577">
        <v>45.935809632821901</v>
      </c>
      <c r="P3577">
        <v>-0.19472128137505401</v>
      </c>
      <c r="Q3577">
        <v>6.4307537701502396E-2</v>
      </c>
      <c r="R3577">
        <v>0.98586233478577201</v>
      </c>
      <c r="S3577" t="s">
        <v>10145</v>
      </c>
      <c r="T3577" t="s">
        <v>13134</v>
      </c>
      <c r="U3577" t="s">
        <v>13134</v>
      </c>
      <c r="V3577" t="s">
        <v>13134</v>
      </c>
      <c r="W3577" t="s">
        <v>16657</v>
      </c>
      <c r="X3577">
        <v>8</v>
      </c>
      <c r="Y3577" t="s">
        <v>23059</v>
      </c>
      <c r="Z3577" t="s">
        <v>29545</v>
      </c>
      <c r="AA3577">
        <v>0.35019088784500341</v>
      </c>
      <c r="AB3577" t="str">
        <f>HYPERLINK("Melting_Curves/meltCurve_Q15126_PMVK.pdf", "Melting_Curves/meltCurve_Q15126_PMVK.pdf")</f>
        <v>Melting_Curves/meltCurve_Q15126_PMVK.pdf</v>
      </c>
    </row>
    <row r="3578" spans="1:28" x14ac:dyDescent="0.25">
      <c r="A3578" t="s">
        <v>3582</v>
      </c>
      <c r="B3578">
        <v>0.99472303558308395</v>
      </c>
      <c r="C3578">
        <v>0.72636203499955898</v>
      </c>
      <c r="D3578">
        <v>0.67001429079326902</v>
      </c>
      <c r="E3578">
        <v>0.619747701910635</v>
      </c>
      <c r="F3578">
        <v>0.68580809486302396</v>
      </c>
      <c r="G3578">
        <v>5.32639980087787E-2</v>
      </c>
      <c r="H3578">
        <v>3.3283080536127399E-2</v>
      </c>
      <c r="I3578">
        <v>0</v>
      </c>
      <c r="J3578">
        <v>7.7162079278097796E-3</v>
      </c>
      <c r="K3578">
        <v>1.5980310671921599E-2</v>
      </c>
      <c r="L3578">
        <v>522.78404109143798</v>
      </c>
      <c r="M3578">
        <v>10.9405688594245</v>
      </c>
      <c r="N3578">
        <v>47.784005827531203</v>
      </c>
      <c r="O3578">
        <v>46.270738082102199</v>
      </c>
      <c r="P3578">
        <v>-5.9132061007630903E-2</v>
      </c>
      <c r="Q3578">
        <v>0</v>
      </c>
      <c r="R3578">
        <v>0.85913514863573603</v>
      </c>
      <c r="S3578" t="s">
        <v>10146</v>
      </c>
      <c r="T3578" t="s">
        <v>13134</v>
      </c>
      <c r="U3578" t="s">
        <v>13134</v>
      </c>
      <c r="V3578" t="s">
        <v>13134</v>
      </c>
      <c r="W3578" t="s">
        <v>16658</v>
      </c>
      <c r="X3578">
        <v>2</v>
      </c>
      <c r="Y3578" t="s">
        <v>23060</v>
      </c>
      <c r="Z3578" t="s">
        <v>29546</v>
      </c>
      <c r="AA3578">
        <v>0.39562368512711971</v>
      </c>
      <c r="AB3578" t="str">
        <f>HYPERLINK("Melting_Curves/meltCurve_Q15131_CDK10.pdf", "Melting_Curves/meltCurve_Q15131_CDK10.pdf")</f>
        <v>Melting_Curves/meltCurve_Q15131_CDK10.pdf</v>
      </c>
    </row>
    <row r="3579" spans="1:28" x14ac:dyDescent="0.25">
      <c r="A3579" t="s">
        <v>3583</v>
      </c>
      <c r="B3579">
        <v>0.99472303558308395</v>
      </c>
      <c r="C3579">
        <v>0.96514718776115604</v>
      </c>
      <c r="D3579">
        <v>0.83446344911199999</v>
      </c>
      <c r="E3579">
        <v>0.43217949449458198</v>
      </c>
      <c r="F3579">
        <v>0.18394258140890901</v>
      </c>
      <c r="G3579">
        <v>9.7659731735603106E-2</v>
      </c>
      <c r="H3579">
        <v>6.4393679045516405E-2</v>
      </c>
      <c r="I3579">
        <v>4.5351008451765498E-2</v>
      </c>
      <c r="J3579">
        <v>5.2707096586960503E-2</v>
      </c>
      <c r="K3579">
        <v>4.7712415237670502E-2</v>
      </c>
      <c r="L3579">
        <v>1015.39887887195</v>
      </c>
      <c r="M3579">
        <v>22.135623214064399</v>
      </c>
      <c r="N3579">
        <v>46.098667430959097</v>
      </c>
      <c r="O3579">
        <v>45.502264332011599</v>
      </c>
      <c r="P3579">
        <v>-0.115342139656085</v>
      </c>
      <c r="Q3579">
        <v>5.1625925839908403E-2</v>
      </c>
      <c r="R3579">
        <v>0.99958177109293</v>
      </c>
      <c r="S3579" t="s">
        <v>10147</v>
      </c>
      <c r="T3579" t="s">
        <v>13134</v>
      </c>
      <c r="U3579" t="s">
        <v>13134</v>
      </c>
      <c r="V3579" t="s">
        <v>13134</v>
      </c>
      <c r="W3579" t="s">
        <v>16659</v>
      </c>
      <c r="X3579">
        <v>147</v>
      </c>
      <c r="Y3579" t="s">
        <v>23061</v>
      </c>
      <c r="Z3579" t="s">
        <v>29547</v>
      </c>
      <c r="AA3579">
        <v>0.34215843267792589</v>
      </c>
      <c r="AB3579" t="str">
        <f>HYPERLINK("Melting_Curves/meltCurve_Q15149_4_PLEC.pdf", "Melting_Curves/meltCurve_Q15149_4_PLEC.pdf")</f>
        <v>Melting_Curves/meltCurve_Q15149_4_PLEC.pdf</v>
      </c>
    </row>
    <row r="3580" spans="1:28" x14ac:dyDescent="0.25">
      <c r="A3580" t="s">
        <v>3584</v>
      </c>
      <c r="B3580">
        <v>0.99472303558308395</v>
      </c>
      <c r="C3580">
        <v>1.1635440712549801</v>
      </c>
      <c r="D3580">
        <v>0.94485802833107901</v>
      </c>
      <c r="E3580">
        <v>0.85837341403844702</v>
      </c>
      <c r="F3580">
        <v>0.53986830086982196</v>
      </c>
      <c r="G3580">
        <v>0.170644331082944</v>
      </c>
      <c r="H3580">
        <v>5.0312137024910102E-2</v>
      </c>
      <c r="I3580">
        <v>3.3332742389919102E-2</v>
      </c>
      <c r="J3580">
        <v>2.4061314524490701E-2</v>
      </c>
      <c r="K3580">
        <v>1.9770437052017201E-2</v>
      </c>
      <c r="L3580">
        <v>1216.4435866767601</v>
      </c>
      <c r="M3580">
        <v>24.170962835077301</v>
      </c>
      <c r="N3580">
        <v>50.382612796377003</v>
      </c>
      <c r="O3580">
        <v>49.985968053620802</v>
      </c>
      <c r="P3580">
        <v>-0.119289353375132</v>
      </c>
      <c r="Q3580">
        <v>1.32454349483484E-2</v>
      </c>
      <c r="R3580">
        <v>0.98500399810997596</v>
      </c>
      <c r="S3580" t="s">
        <v>10148</v>
      </c>
      <c r="T3580" t="s">
        <v>13134</v>
      </c>
      <c r="U3580" t="s">
        <v>13134</v>
      </c>
      <c r="V3580" t="s">
        <v>13134</v>
      </c>
      <c r="W3580" t="s">
        <v>16660</v>
      </c>
      <c r="X3580">
        <v>29</v>
      </c>
      <c r="Y3580" t="s">
        <v>23062</v>
      </c>
      <c r="Z3580" t="s">
        <v>29548</v>
      </c>
      <c r="AA3580">
        <v>0.46080816436886812</v>
      </c>
      <c r="AB3580" t="str">
        <f>HYPERLINK("Melting_Curves/meltCurve_Q15155_NOMO1.pdf", "Melting_Curves/meltCurve_Q15155_NOMO1.pdf")</f>
        <v>Melting_Curves/meltCurve_Q15155_NOMO1.pdf</v>
      </c>
    </row>
    <row r="3581" spans="1:28" x14ac:dyDescent="0.25">
      <c r="A3581" t="s">
        <v>3585</v>
      </c>
      <c r="B3581">
        <v>0.99472303558308395</v>
      </c>
      <c r="C3581">
        <v>0.973713474222627</v>
      </c>
      <c r="D3581">
        <v>0.99591295195783602</v>
      </c>
      <c r="E3581">
        <v>0.80919287027111497</v>
      </c>
      <c r="F3581">
        <v>0.18951051953328499</v>
      </c>
      <c r="G3581">
        <v>7.6509521076182405E-2</v>
      </c>
      <c r="H3581">
        <v>3.2889232036317398E-2</v>
      </c>
      <c r="I3581">
        <v>2.4302656417569402E-2</v>
      </c>
      <c r="J3581">
        <v>2.1008361852617299E-2</v>
      </c>
      <c r="K3581">
        <v>2.3456544161721399E-2</v>
      </c>
      <c r="L3581">
        <v>1937.0925261560201</v>
      </c>
      <c r="M3581">
        <v>40.177726065001799</v>
      </c>
      <c r="N3581">
        <v>48.290899793856703</v>
      </c>
      <c r="O3581">
        <v>48.094126470735198</v>
      </c>
      <c r="P3581">
        <v>-0.202302607187134</v>
      </c>
      <c r="Q3581">
        <v>3.1349307927132398E-2</v>
      </c>
      <c r="R3581">
        <v>0.99900304631662795</v>
      </c>
      <c r="S3581" t="s">
        <v>10149</v>
      </c>
      <c r="T3581" t="s">
        <v>13134</v>
      </c>
      <c r="U3581" t="s">
        <v>13134</v>
      </c>
      <c r="V3581" t="s">
        <v>13134</v>
      </c>
      <c r="W3581" t="s">
        <v>16661</v>
      </c>
      <c r="X3581">
        <v>11</v>
      </c>
      <c r="Y3581" t="s">
        <v>23063</v>
      </c>
      <c r="Z3581" t="s">
        <v>29549</v>
      </c>
      <c r="AA3581">
        <v>0.39660112510082601</v>
      </c>
      <c r="AB3581" t="str">
        <f>HYPERLINK("Melting_Curves/meltCurve_Q15172_PPP2R5A.pdf", "Melting_Curves/meltCurve_Q15172_PPP2R5A.pdf")</f>
        <v>Melting_Curves/meltCurve_Q15172_PPP2R5A.pdf</v>
      </c>
    </row>
    <row r="3582" spans="1:28" x14ac:dyDescent="0.25">
      <c r="A3582" t="s">
        <v>3586</v>
      </c>
      <c r="B3582">
        <v>0.99472303558308395</v>
      </c>
      <c r="C3582">
        <v>0.99141646444435405</v>
      </c>
      <c r="D3582">
        <v>0.85213936175377902</v>
      </c>
      <c r="E3582">
        <v>0.52574980968274498</v>
      </c>
      <c r="F3582">
        <v>0.29205021983509899</v>
      </c>
      <c r="G3582">
        <v>0.118814985945927</v>
      </c>
      <c r="H3582">
        <v>6.8812098397726201E-2</v>
      </c>
      <c r="I3582">
        <v>4.71280024009718E-2</v>
      </c>
      <c r="J3582">
        <v>5.4594863278078602E-2</v>
      </c>
      <c r="K3582">
        <v>1.56902890944161E-2</v>
      </c>
      <c r="L3582">
        <v>837.23735013507201</v>
      </c>
      <c r="M3582">
        <v>17.815878593827598</v>
      </c>
      <c r="N3582">
        <v>47.165849595290901</v>
      </c>
      <c r="O3582">
        <v>46.413813721053003</v>
      </c>
      <c r="P3582">
        <v>-9.2949361230672101E-2</v>
      </c>
      <c r="Q3582">
        <v>3.14455992847123E-2</v>
      </c>
      <c r="R3582">
        <v>0.99801641462505497</v>
      </c>
      <c r="S3582" t="s">
        <v>10150</v>
      </c>
      <c r="T3582" t="s">
        <v>13134</v>
      </c>
      <c r="U3582" t="s">
        <v>13134</v>
      </c>
      <c r="V3582" t="s">
        <v>13134</v>
      </c>
      <c r="W3582" t="s">
        <v>16662</v>
      </c>
      <c r="X3582">
        <v>3</v>
      </c>
      <c r="Y3582" t="s">
        <v>20259</v>
      </c>
      <c r="Z3582" t="s">
        <v>29550</v>
      </c>
      <c r="AA3582">
        <v>0.3699565821593726</v>
      </c>
      <c r="AB3582" t="str">
        <f>HYPERLINK("Melting_Curves/meltCurve_Q15173_2_PPP2R5B.pdf", "Melting_Curves/meltCurve_Q15173_2_PPP2R5B.pdf")</f>
        <v>Melting_Curves/meltCurve_Q15173_2_PPP2R5B.pdf</v>
      </c>
    </row>
    <row r="3583" spans="1:28" x14ac:dyDescent="0.25">
      <c r="A3583" t="s">
        <v>3587</v>
      </c>
      <c r="B3583">
        <v>0.99472303558308395</v>
      </c>
      <c r="C3583">
        <v>1.0331824742231901</v>
      </c>
      <c r="D3583">
        <v>0.99030535668535602</v>
      </c>
      <c r="E3583">
        <v>0.98271888054241197</v>
      </c>
      <c r="F3583">
        <v>0.83645574225821595</v>
      </c>
      <c r="G3583">
        <v>0.70852176531983602</v>
      </c>
      <c r="H3583">
        <v>0.52956271034727398</v>
      </c>
      <c r="I3583">
        <v>0.49634060391943302</v>
      </c>
      <c r="J3583">
        <v>0.37612751587445598</v>
      </c>
      <c r="K3583">
        <v>0.15952805882391599</v>
      </c>
      <c r="L3583">
        <v>588.97767689793704</v>
      </c>
      <c r="M3583">
        <v>9.9493669024590705</v>
      </c>
      <c r="N3583">
        <v>59.197502997859701</v>
      </c>
      <c r="O3583">
        <v>56.9549947415125</v>
      </c>
      <c r="P3583">
        <v>-4.3693713585452702E-2</v>
      </c>
      <c r="Q3583">
        <v>0</v>
      </c>
      <c r="R3583">
        <v>0.97448086585711802</v>
      </c>
      <c r="S3583" t="s">
        <v>10151</v>
      </c>
      <c r="T3583" t="s">
        <v>13134</v>
      </c>
      <c r="U3583" t="s">
        <v>13134</v>
      </c>
      <c r="V3583" t="s">
        <v>13134</v>
      </c>
      <c r="W3583" t="s">
        <v>16663</v>
      </c>
      <c r="X3583">
        <v>20</v>
      </c>
      <c r="Y3583" t="s">
        <v>23064</v>
      </c>
      <c r="Z3583" t="s">
        <v>29551</v>
      </c>
      <c r="AA3583">
        <v>0.72055395161115821</v>
      </c>
      <c r="AB3583" t="str">
        <f>HYPERLINK("Melting_Curves/meltCurve_Q15181_PPA1.pdf", "Melting_Curves/meltCurve_Q15181_PPA1.pdf")</f>
        <v>Melting_Curves/meltCurve_Q15181_PPA1.pdf</v>
      </c>
    </row>
    <row r="3584" spans="1:28" x14ac:dyDescent="0.25">
      <c r="A3584" t="s">
        <v>3588</v>
      </c>
      <c r="B3584">
        <v>0.99472303558308395</v>
      </c>
      <c r="C3584">
        <v>1.0128877520893</v>
      </c>
      <c r="D3584">
        <v>0.896819705844348</v>
      </c>
      <c r="E3584">
        <v>0.59584100040911603</v>
      </c>
      <c r="F3584">
        <v>0.19425631961696799</v>
      </c>
      <c r="G3584">
        <v>9.6609476367728001E-2</v>
      </c>
      <c r="H3584">
        <v>5.7420195872900301E-2</v>
      </c>
      <c r="I3584">
        <v>4.7135659999030202E-2</v>
      </c>
      <c r="J3584">
        <v>4.9400785321237997E-2</v>
      </c>
      <c r="K3584">
        <v>4.4477330736775102E-2</v>
      </c>
      <c r="L3584">
        <v>1184.0482111265901</v>
      </c>
      <c r="M3584">
        <v>25.158999396961399</v>
      </c>
      <c r="N3584">
        <v>47.245112749540603</v>
      </c>
      <c r="O3584">
        <v>46.768298394002301</v>
      </c>
      <c r="P3584">
        <v>-0.128261526148295</v>
      </c>
      <c r="Q3584">
        <v>4.6306277944145997E-2</v>
      </c>
      <c r="R3584">
        <v>0.99901060897479899</v>
      </c>
      <c r="S3584" t="s">
        <v>10152</v>
      </c>
      <c r="T3584" t="s">
        <v>13134</v>
      </c>
      <c r="U3584" t="s">
        <v>13134</v>
      </c>
      <c r="V3584" t="s">
        <v>13134</v>
      </c>
      <c r="W3584" t="s">
        <v>16664</v>
      </c>
      <c r="X3584">
        <v>15</v>
      </c>
      <c r="Y3584" t="s">
        <v>23065</v>
      </c>
      <c r="Z3584" t="s">
        <v>29552</v>
      </c>
      <c r="AA3584">
        <v>0.37410964637070387</v>
      </c>
      <c r="AB3584" t="str">
        <f>HYPERLINK("Melting_Curves/meltCurve_Q15208_STK38.pdf", "Melting_Curves/meltCurve_Q15208_STK38.pdf")</f>
        <v>Melting_Curves/meltCurve_Q15208_STK38.pdf</v>
      </c>
    </row>
    <row r="3585" spans="1:28" x14ac:dyDescent="0.25">
      <c r="A3585" t="s">
        <v>3589</v>
      </c>
      <c r="B3585">
        <v>0.99472303558308395</v>
      </c>
      <c r="C3585">
        <v>0.92889188688222302</v>
      </c>
      <c r="D3585">
        <v>0.86072963517704304</v>
      </c>
      <c r="E3585">
        <v>0.21498835376837999</v>
      </c>
      <c r="F3585">
        <v>9.5530077543878406E-2</v>
      </c>
      <c r="G3585">
        <v>5.9682174241147801E-2</v>
      </c>
      <c r="H3585">
        <v>4.1877279819248901E-2</v>
      </c>
      <c r="I3585">
        <v>2.9454501644683301E-2</v>
      </c>
      <c r="J3585">
        <v>3.6503160525363301E-2</v>
      </c>
      <c r="K3585">
        <v>2.7033507458478899E-2</v>
      </c>
      <c r="L3585">
        <v>1740.95041547389</v>
      </c>
      <c r="M3585">
        <v>38.8121479539696</v>
      </c>
      <c r="N3585">
        <v>44.963157054131997</v>
      </c>
      <c r="O3585">
        <v>44.7372303678968</v>
      </c>
      <c r="P3585">
        <v>-0.207293631668997</v>
      </c>
      <c r="Q3585">
        <v>4.42455500077591E-2</v>
      </c>
      <c r="R3585">
        <v>0.99594802803170501</v>
      </c>
      <c r="S3585" t="s">
        <v>10153</v>
      </c>
      <c r="T3585" t="s">
        <v>13134</v>
      </c>
      <c r="U3585" t="s">
        <v>13134</v>
      </c>
      <c r="V3585" t="s">
        <v>13134</v>
      </c>
      <c r="W3585" t="s">
        <v>16665</v>
      </c>
      <c r="X3585">
        <v>42</v>
      </c>
      <c r="Y3585" t="s">
        <v>23066</v>
      </c>
      <c r="Z3585" t="s">
        <v>29553</v>
      </c>
      <c r="AA3585">
        <v>0.29767609269723538</v>
      </c>
      <c r="AB3585" t="str">
        <f>HYPERLINK("Melting_Curves/meltCurve_Q15233_NONO.pdf", "Melting_Curves/meltCurve_Q15233_NONO.pdf")</f>
        <v>Melting_Curves/meltCurve_Q15233_NONO.pdf</v>
      </c>
    </row>
    <row r="3586" spans="1:28" x14ac:dyDescent="0.25">
      <c r="A3586" t="s">
        <v>3590</v>
      </c>
      <c r="B3586">
        <v>0.99472303558308395</v>
      </c>
      <c r="C3586">
        <v>0.92655166425513003</v>
      </c>
      <c r="D3586">
        <v>0.989113836435208</v>
      </c>
      <c r="E3586">
        <v>0.95289109239995795</v>
      </c>
      <c r="F3586">
        <v>0.36732735507695502</v>
      </c>
      <c r="G3586">
        <v>0.13037694872161701</v>
      </c>
      <c r="H3586">
        <v>6.8338371773115497E-2</v>
      </c>
      <c r="I3586">
        <v>4.46700880502265E-2</v>
      </c>
      <c r="J3586">
        <v>6.9006618371231301E-2</v>
      </c>
      <c r="K3586">
        <v>5.3716873835969098E-2</v>
      </c>
      <c r="L3586">
        <v>2178.6777185019801</v>
      </c>
      <c r="M3586">
        <v>44.102765226943397</v>
      </c>
      <c r="N3586">
        <v>49.560897884825202</v>
      </c>
      <c r="O3586">
        <v>49.298781712791701</v>
      </c>
      <c r="P3586">
        <v>-0.20873532981700499</v>
      </c>
      <c r="Q3586">
        <v>6.6690459014980205E-2</v>
      </c>
      <c r="R3586">
        <v>0.99553410223162597</v>
      </c>
      <c r="S3586" t="s">
        <v>10154</v>
      </c>
      <c r="T3586" t="s">
        <v>13134</v>
      </c>
      <c r="U3586" t="s">
        <v>13134</v>
      </c>
      <c r="V3586" t="s">
        <v>13134</v>
      </c>
      <c r="W3586" t="s">
        <v>16666</v>
      </c>
      <c r="X3586">
        <v>10</v>
      </c>
      <c r="Y3586" t="s">
        <v>23067</v>
      </c>
      <c r="Z3586" t="s">
        <v>29554</v>
      </c>
      <c r="AA3586">
        <v>0.45507676399457148</v>
      </c>
      <c r="AB3586" t="str">
        <f>HYPERLINK("Melting_Curves/meltCurve_Q15269_PWP2.pdf", "Melting_Curves/meltCurve_Q15269_PWP2.pdf")</f>
        <v>Melting_Curves/meltCurve_Q15269_PWP2.pdf</v>
      </c>
    </row>
    <row r="3587" spans="1:28" x14ac:dyDescent="0.25">
      <c r="A3587" t="s">
        <v>3591</v>
      </c>
      <c r="B3587">
        <v>0.99472303558308395</v>
      </c>
      <c r="C3587">
        <v>1.04826815422534</v>
      </c>
      <c r="D3587">
        <v>0.928962785876427</v>
      </c>
      <c r="E3587">
        <v>0.78956022003858894</v>
      </c>
      <c r="F3587">
        <v>0.87050226964678901</v>
      </c>
      <c r="G3587">
        <v>0.398761891171307</v>
      </c>
      <c r="H3587">
        <v>0.29874989625620602</v>
      </c>
      <c r="I3587">
        <v>0.22255220479100499</v>
      </c>
      <c r="J3587">
        <v>0.34252625352806398</v>
      </c>
      <c r="K3587">
        <v>0.31938411421421098</v>
      </c>
      <c r="L3587">
        <v>2130.47559541393</v>
      </c>
      <c r="M3587">
        <v>41.163933475607898</v>
      </c>
      <c r="N3587">
        <v>52.871745044416201</v>
      </c>
      <c r="O3587">
        <v>51.634188875605098</v>
      </c>
      <c r="P3587">
        <v>-0.14145414654857699</v>
      </c>
      <c r="Q3587">
        <v>0.29026649385815501</v>
      </c>
      <c r="R3587">
        <v>0.94151347514182304</v>
      </c>
      <c r="S3587" t="s">
        <v>10155</v>
      </c>
      <c r="T3587" t="s">
        <v>13134</v>
      </c>
      <c r="U3587" t="s">
        <v>13134</v>
      </c>
      <c r="V3587" t="s">
        <v>13134</v>
      </c>
      <c r="W3587" t="s">
        <v>16667</v>
      </c>
      <c r="X3587">
        <v>6</v>
      </c>
      <c r="Y3587" t="s">
        <v>23068</v>
      </c>
      <c r="Z3587" t="s">
        <v>29555</v>
      </c>
      <c r="AA3587">
        <v>0.6417503671308572</v>
      </c>
      <c r="AB3587" t="str">
        <f>HYPERLINK("Melting_Curves/meltCurve_Q15274_QPRT.pdf", "Melting_Curves/meltCurve_Q15274_QPRT.pdf")</f>
        <v>Melting_Curves/meltCurve_Q15274_QPRT.pdf</v>
      </c>
    </row>
    <row r="3588" spans="1:28" x14ac:dyDescent="0.25">
      <c r="A3588" t="s">
        <v>3592</v>
      </c>
      <c r="B3588">
        <v>0.99472303558308395</v>
      </c>
      <c r="C3588">
        <v>1.0111103170947</v>
      </c>
      <c r="D3588">
        <v>0.96379978329018501</v>
      </c>
      <c r="E3588">
        <v>0.81953657480908304</v>
      </c>
      <c r="F3588">
        <v>0.30412303732573098</v>
      </c>
      <c r="G3588">
        <v>0.12213549230618299</v>
      </c>
      <c r="H3588">
        <v>8.3240483468096593E-2</v>
      </c>
      <c r="I3588">
        <v>6.3749614544124297E-2</v>
      </c>
      <c r="J3588">
        <v>8.5586068019064404E-2</v>
      </c>
      <c r="K3588">
        <v>8.5765851767166001E-2</v>
      </c>
      <c r="L3588">
        <v>1609.9017696758699</v>
      </c>
      <c r="M3588">
        <v>33.1729353561106</v>
      </c>
      <c r="N3588">
        <v>48.784394302111899</v>
      </c>
      <c r="O3588">
        <v>48.355258880934997</v>
      </c>
      <c r="P3588">
        <v>-0.157913596339503</v>
      </c>
      <c r="Q3588">
        <v>7.9259530365656097E-2</v>
      </c>
      <c r="R3588">
        <v>0.99929381293767205</v>
      </c>
      <c r="S3588" t="s">
        <v>10156</v>
      </c>
      <c r="T3588" t="s">
        <v>13134</v>
      </c>
      <c r="U3588" t="s">
        <v>13134</v>
      </c>
      <c r="V3588" t="s">
        <v>13134</v>
      </c>
      <c r="W3588" t="s">
        <v>16668</v>
      </c>
      <c r="X3588">
        <v>30</v>
      </c>
      <c r="Y3588" t="s">
        <v>23069</v>
      </c>
      <c r="Z3588" t="s">
        <v>29556</v>
      </c>
      <c r="AA3588">
        <v>0.43764983573026928</v>
      </c>
      <c r="AB3588" t="str">
        <f>HYPERLINK("Melting_Curves/meltCurve_Q15276_RABEP1.pdf", "Melting_Curves/meltCurve_Q15276_RABEP1.pdf")</f>
        <v>Melting_Curves/meltCurve_Q15276_RABEP1.pdf</v>
      </c>
    </row>
    <row r="3589" spans="1:28" x14ac:dyDescent="0.25">
      <c r="A3589" t="s">
        <v>3593</v>
      </c>
      <c r="B3589">
        <v>0.99472303558308395</v>
      </c>
      <c r="C3589">
        <v>0.96784657559840104</v>
      </c>
      <c r="D3589">
        <v>0.96780144588895101</v>
      </c>
      <c r="E3589">
        <v>0.85917888393001196</v>
      </c>
      <c r="F3589">
        <v>0.63348102015010499</v>
      </c>
      <c r="G3589">
        <v>0.54664234277571599</v>
      </c>
      <c r="H3589">
        <v>0.38370983170349399</v>
      </c>
      <c r="I3589">
        <v>0.315019910234766</v>
      </c>
      <c r="J3589">
        <v>0.252134459047965</v>
      </c>
      <c r="K3589">
        <v>0.15472437125595001</v>
      </c>
      <c r="L3589">
        <v>552.32964216647304</v>
      </c>
      <c r="M3589">
        <v>10.341996303485599</v>
      </c>
      <c r="N3589">
        <v>54.480108166412002</v>
      </c>
      <c r="O3589">
        <v>51.525362929024602</v>
      </c>
      <c r="P3589">
        <v>-4.55726081029489E-2</v>
      </c>
      <c r="Q3589">
        <v>9.2190172901459894E-2</v>
      </c>
      <c r="R3589">
        <v>0.99140654433125097</v>
      </c>
      <c r="S3589" t="s">
        <v>10157</v>
      </c>
      <c r="T3589" t="s">
        <v>13134</v>
      </c>
      <c r="U3589" t="s">
        <v>13134</v>
      </c>
      <c r="V3589" t="s">
        <v>13134</v>
      </c>
      <c r="W3589" t="s">
        <v>16669</v>
      </c>
      <c r="X3589">
        <v>16</v>
      </c>
      <c r="Y3589" t="s">
        <v>23070</v>
      </c>
      <c r="Z3589" t="s">
        <v>29557</v>
      </c>
      <c r="AA3589">
        <v>0.60727690811319002</v>
      </c>
      <c r="AB3589" t="str">
        <f>HYPERLINK("Melting_Curves/meltCurve_Q15286_RAB35.pdf", "Melting_Curves/meltCurve_Q15286_RAB35.pdf")</f>
        <v>Melting_Curves/meltCurve_Q15286_RAB35.pdf</v>
      </c>
    </row>
    <row r="3590" spans="1:28" x14ac:dyDescent="0.25">
      <c r="A3590" t="s">
        <v>3594</v>
      </c>
      <c r="B3590">
        <v>0.99472303558308395</v>
      </c>
      <c r="C3590">
        <v>0.97071598321179797</v>
      </c>
      <c r="D3590">
        <v>0.83840006455058502</v>
      </c>
      <c r="E3590">
        <v>0.78560943891258295</v>
      </c>
      <c r="F3590">
        <v>0.60809855579594896</v>
      </c>
      <c r="G3590">
        <v>0.47824727229146202</v>
      </c>
      <c r="H3590">
        <v>0.57711195807636695</v>
      </c>
      <c r="I3590">
        <v>0.615440095692664</v>
      </c>
      <c r="J3590">
        <v>0.76290286651585903</v>
      </c>
      <c r="K3590">
        <v>0.41349273764917999</v>
      </c>
      <c r="L3590">
        <v>836.16978523756495</v>
      </c>
      <c r="M3590">
        <v>18.491283583854401</v>
      </c>
      <c r="O3590">
        <v>44.700763570208601</v>
      </c>
      <c r="P3590">
        <v>-4.4929729727074597E-2</v>
      </c>
      <c r="Q3590">
        <v>0.56556740135720496</v>
      </c>
      <c r="R3590">
        <v>0.76904392800294896</v>
      </c>
      <c r="S3590" t="s">
        <v>10158</v>
      </c>
      <c r="T3590" t="s">
        <v>13134</v>
      </c>
      <c r="U3590" t="s">
        <v>13134</v>
      </c>
      <c r="V3590" t="s">
        <v>13134</v>
      </c>
      <c r="W3590" t="s">
        <v>16670</v>
      </c>
      <c r="X3590">
        <v>21</v>
      </c>
      <c r="Y3590" t="s">
        <v>23071</v>
      </c>
      <c r="Z3590" t="s">
        <v>29558</v>
      </c>
      <c r="AA3590">
        <v>0.69130470042757941</v>
      </c>
      <c r="AB3590" t="str">
        <f>HYPERLINK("Melting_Curves/meltCurve_Q15291_RBBP5.pdf", "Melting_Curves/meltCurve_Q15291_RBBP5.pdf")</f>
        <v>Melting_Curves/meltCurve_Q15291_RBBP5.pdf</v>
      </c>
    </row>
    <row r="3591" spans="1:28" x14ac:dyDescent="0.25">
      <c r="A3591" t="s">
        <v>3595</v>
      </c>
      <c r="B3591">
        <v>0.99472303558308395</v>
      </c>
      <c r="C3591">
        <v>0.99940803277636003</v>
      </c>
      <c r="D3591">
        <v>0.94235667364734799</v>
      </c>
      <c r="E3591">
        <v>0.77191477481663195</v>
      </c>
      <c r="F3591">
        <v>0.57910241565341303</v>
      </c>
      <c r="G3591">
        <v>0.376702367862428</v>
      </c>
      <c r="H3591">
        <v>0.29155673999634302</v>
      </c>
      <c r="I3591">
        <v>0.27057726020197298</v>
      </c>
      <c r="J3591">
        <v>0.40581130967329498</v>
      </c>
      <c r="K3591">
        <v>0.33154668664888798</v>
      </c>
      <c r="L3591">
        <v>987.46008479702505</v>
      </c>
      <c r="M3591">
        <v>20.376141439197401</v>
      </c>
      <c r="N3591">
        <v>50.946803065891501</v>
      </c>
      <c r="O3591">
        <v>48.002058425877799</v>
      </c>
      <c r="P3591">
        <v>-7.2700849750075097E-2</v>
      </c>
      <c r="Q3591">
        <v>0.31494690243787099</v>
      </c>
      <c r="R3591">
        <v>0.98129499758933103</v>
      </c>
      <c r="S3591" t="s">
        <v>10159</v>
      </c>
      <c r="T3591" t="s">
        <v>13134</v>
      </c>
      <c r="U3591" t="s">
        <v>13134</v>
      </c>
      <c r="V3591" t="s">
        <v>13134</v>
      </c>
      <c r="W3591" t="s">
        <v>16671</v>
      </c>
      <c r="X3591">
        <v>5</v>
      </c>
      <c r="Y3591" t="s">
        <v>23072</v>
      </c>
      <c r="Z3591" t="s">
        <v>29559</v>
      </c>
      <c r="AA3591">
        <v>0.58537956931705049</v>
      </c>
      <c r="AB3591" t="str">
        <f>HYPERLINK("Melting_Curves/meltCurve_Q15293_RCN1.pdf", "Melting_Curves/meltCurve_Q15293_RCN1.pdf")</f>
        <v>Melting_Curves/meltCurve_Q15293_RCN1.pdf</v>
      </c>
    </row>
    <row r="3592" spans="1:28" x14ac:dyDescent="0.25">
      <c r="A3592" t="s">
        <v>3596</v>
      </c>
      <c r="B3592">
        <v>0.99472303558308395</v>
      </c>
      <c r="C3592">
        <v>0.96161186070142901</v>
      </c>
      <c r="D3592">
        <v>0.54831997813316802</v>
      </c>
      <c r="E3592">
        <v>0.20762778061659201</v>
      </c>
      <c r="F3592">
        <v>9.7094875099829905E-2</v>
      </c>
      <c r="G3592">
        <v>6.5663877167729007E-2</v>
      </c>
      <c r="H3592">
        <v>4.1442401669517397E-2</v>
      </c>
      <c r="I3592">
        <v>3.47864752957679E-2</v>
      </c>
      <c r="J3592">
        <v>3.5178638378197201E-2</v>
      </c>
      <c r="K3592">
        <v>2.9597362203874201E-2</v>
      </c>
      <c r="L3592">
        <v>1128.97311133986</v>
      </c>
      <c r="M3592">
        <v>26.013080165917302</v>
      </c>
      <c r="N3592">
        <v>43.563268488981699</v>
      </c>
      <c r="O3592">
        <v>43.146160221995899</v>
      </c>
      <c r="P3592">
        <v>-0.143736201197075</v>
      </c>
      <c r="Q3592">
        <v>4.6388370003336697E-2</v>
      </c>
      <c r="R3592">
        <v>0.99598916537164495</v>
      </c>
      <c r="S3592" t="s">
        <v>10160</v>
      </c>
      <c r="T3592" t="s">
        <v>13134</v>
      </c>
      <c r="U3592" t="s">
        <v>13134</v>
      </c>
      <c r="V3592" t="s">
        <v>13134</v>
      </c>
      <c r="W3592" t="s">
        <v>16672</v>
      </c>
      <c r="X3592">
        <v>10</v>
      </c>
      <c r="Y3592" t="s">
        <v>23073</v>
      </c>
      <c r="Z3592" t="s">
        <v>29560</v>
      </c>
      <c r="AA3592">
        <v>0.25706838562662487</v>
      </c>
      <c r="AB3592" t="str">
        <f>HYPERLINK("Melting_Curves/meltCurve_Q15311_RALBP1.pdf", "Melting_Curves/meltCurve_Q15311_RALBP1.pdf")</f>
        <v>Melting_Curves/meltCurve_Q15311_RALBP1.pdf</v>
      </c>
    </row>
    <row r="3593" spans="1:28" x14ac:dyDescent="0.25">
      <c r="A3593" t="s">
        <v>3597</v>
      </c>
      <c r="B3593">
        <v>0.99472303558308395</v>
      </c>
      <c r="C3593">
        <v>1.01900249382491</v>
      </c>
      <c r="D3593">
        <v>0.93184610869126405</v>
      </c>
      <c r="E3593">
        <v>0.68099487068471798</v>
      </c>
      <c r="F3593">
        <v>0.35961880204548602</v>
      </c>
      <c r="G3593">
        <v>0.16676773184002</v>
      </c>
      <c r="H3593">
        <v>0.138714884549962</v>
      </c>
      <c r="I3593">
        <v>0.106218379204627</v>
      </c>
      <c r="J3593">
        <v>0.117035898381312</v>
      </c>
      <c r="K3593">
        <v>9.8343332913563397E-2</v>
      </c>
      <c r="L3593">
        <v>1043.7133267868101</v>
      </c>
      <c r="M3593">
        <v>21.768508038083802</v>
      </c>
      <c r="N3593">
        <v>48.463842730699703</v>
      </c>
      <c r="O3593">
        <v>47.546885104983801</v>
      </c>
      <c r="P3593">
        <v>-0.10258422433811799</v>
      </c>
      <c r="Q3593">
        <v>0.103760607049355</v>
      </c>
      <c r="R3593">
        <v>0.99891306716524797</v>
      </c>
      <c r="S3593" t="s">
        <v>10161</v>
      </c>
      <c r="T3593" t="s">
        <v>13134</v>
      </c>
      <c r="U3593" t="s">
        <v>13134</v>
      </c>
      <c r="V3593" t="s">
        <v>13134</v>
      </c>
      <c r="W3593" t="s">
        <v>16673</v>
      </c>
      <c r="X3593">
        <v>4</v>
      </c>
      <c r="Y3593" t="s">
        <v>23074</v>
      </c>
      <c r="Z3593" t="s">
        <v>29561</v>
      </c>
      <c r="AA3593">
        <v>0.44077808868166413</v>
      </c>
      <c r="AB3593" t="str">
        <f>HYPERLINK("Melting_Curves/meltCurve_Q15334_LLGL1.pdf", "Melting_Curves/meltCurve_Q15334_LLGL1.pdf")</f>
        <v>Melting_Curves/meltCurve_Q15334_LLGL1.pdf</v>
      </c>
    </row>
    <row r="3594" spans="1:28" x14ac:dyDescent="0.25">
      <c r="A3594" t="s">
        <v>3598</v>
      </c>
      <c r="B3594">
        <v>0.99472303558308395</v>
      </c>
      <c r="C3594">
        <v>1.04826783041716</v>
      </c>
      <c r="D3594">
        <v>0.83573058350885499</v>
      </c>
      <c r="E3594">
        <v>0.68240624002607198</v>
      </c>
      <c r="F3594">
        <v>0.40901454956493799</v>
      </c>
      <c r="G3594">
        <v>0.20143563280837201</v>
      </c>
      <c r="H3594">
        <v>9.7566977420115497E-2</v>
      </c>
      <c r="I3594">
        <v>0.108150898377587</v>
      </c>
      <c r="J3594">
        <v>0.113665111983127</v>
      </c>
      <c r="K3594">
        <v>0.10818068740271</v>
      </c>
      <c r="L3594">
        <v>827.73689450540496</v>
      </c>
      <c r="M3594">
        <v>17.186798391653401</v>
      </c>
      <c r="N3594">
        <v>48.679930913439499</v>
      </c>
      <c r="O3594">
        <v>47.523370758810699</v>
      </c>
      <c r="P3594">
        <v>-8.2852252528010803E-2</v>
      </c>
      <c r="Q3594">
        <v>8.3672214501344697E-2</v>
      </c>
      <c r="R3594">
        <v>0.99130361465132399</v>
      </c>
      <c r="S3594" t="s">
        <v>10162</v>
      </c>
      <c r="T3594" t="s">
        <v>13134</v>
      </c>
      <c r="U3594" t="s">
        <v>13134</v>
      </c>
      <c r="V3594" t="s">
        <v>13134</v>
      </c>
      <c r="W3594" t="s">
        <v>16674</v>
      </c>
      <c r="X3594">
        <v>2</v>
      </c>
      <c r="Y3594" t="s">
        <v>23075</v>
      </c>
      <c r="Z3594" t="s">
        <v>29562</v>
      </c>
      <c r="AA3594">
        <v>0.44048679325287188</v>
      </c>
      <c r="AB3594" t="str">
        <f>HYPERLINK("Melting_Curves/meltCurve_Q15345_3_LRRC41.pdf", "Melting_Curves/meltCurve_Q15345_3_LRRC41.pdf")</f>
        <v>Melting_Curves/meltCurve_Q15345_3_LRRC41.pdf</v>
      </c>
    </row>
    <row r="3595" spans="1:28" x14ac:dyDescent="0.25">
      <c r="A3595" t="s">
        <v>3599</v>
      </c>
      <c r="B3595">
        <v>0.99472303558308395</v>
      </c>
      <c r="C3595">
        <v>0.57679673214527605</v>
      </c>
      <c r="D3595">
        <v>0.97962366135199297</v>
      </c>
      <c r="E3595">
        <v>0.63492062835235796</v>
      </c>
      <c r="F3595">
        <v>0.35939742901855498</v>
      </c>
      <c r="G3595">
        <v>0.25531800312569303</v>
      </c>
      <c r="H3595">
        <v>0.140069239150973</v>
      </c>
      <c r="I3595">
        <v>0.110117123086441</v>
      </c>
      <c r="J3595">
        <v>0.10077211647928</v>
      </c>
      <c r="K3595">
        <v>5.7961606379154297E-2</v>
      </c>
      <c r="L3595">
        <v>480.75519650076399</v>
      </c>
      <c r="M3595">
        <v>9.9460783766364997</v>
      </c>
      <c r="N3595">
        <v>48.3361789153507</v>
      </c>
      <c r="O3595">
        <v>46.503964183221299</v>
      </c>
      <c r="P3595">
        <v>-5.3495536443137003E-2</v>
      </c>
      <c r="Q3595">
        <v>0</v>
      </c>
      <c r="R3595">
        <v>0.871211433512731</v>
      </c>
      <c r="S3595" t="s">
        <v>10163</v>
      </c>
      <c r="T3595" t="s">
        <v>13134</v>
      </c>
      <c r="U3595" t="s">
        <v>13134</v>
      </c>
      <c r="V3595" t="s">
        <v>13134</v>
      </c>
      <c r="W3595" t="s">
        <v>16675</v>
      </c>
      <c r="X3595">
        <v>4</v>
      </c>
      <c r="Y3595" t="s">
        <v>23076</v>
      </c>
      <c r="Z3595" t="s">
        <v>29563</v>
      </c>
      <c r="AA3595">
        <v>0.41728367214101297</v>
      </c>
      <c r="AB3595" t="str">
        <f>HYPERLINK("Melting_Curves/meltCurve_Q15363_TMED2.pdf", "Melting_Curves/meltCurve_Q15363_TMED2.pdf")</f>
        <v>Melting_Curves/meltCurve_Q15363_TMED2.pdf</v>
      </c>
    </row>
    <row r="3596" spans="1:28" x14ac:dyDescent="0.25">
      <c r="A3596" t="s">
        <v>3600</v>
      </c>
      <c r="B3596">
        <v>0.99472303558308395</v>
      </c>
      <c r="C3596">
        <v>1.0231518896445899</v>
      </c>
      <c r="D3596">
        <v>0.99034994409325905</v>
      </c>
      <c r="E3596">
        <v>0.668765956907166</v>
      </c>
      <c r="F3596">
        <v>0.21704241927854301</v>
      </c>
      <c r="G3596">
        <v>9.3525287436102694E-2</v>
      </c>
      <c r="H3596">
        <v>5.0858532304397297E-2</v>
      </c>
      <c r="I3596">
        <v>3.44488787123041E-2</v>
      </c>
      <c r="J3596">
        <v>4.00243578502665E-2</v>
      </c>
      <c r="K3596">
        <v>3.3457668396494403E-2</v>
      </c>
      <c r="L3596">
        <v>1419.4993280720801</v>
      </c>
      <c r="M3596">
        <v>29.785318305599901</v>
      </c>
      <c r="N3596">
        <v>47.799815077119703</v>
      </c>
      <c r="O3596">
        <v>47.444409907982298</v>
      </c>
      <c r="P3596">
        <v>-0.15029873735034099</v>
      </c>
      <c r="Q3596">
        <v>4.2375571271179198E-2</v>
      </c>
      <c r="R3596">
        <v>0.99884085908950504</v>
      </c>
      <c r="S3596" t="s">
        <v>10164</v>
      </c>
      <c r="T3596" t="s">
        <v>13134</v>
      </c>
      <c r="U3596" t="s">
        <v>13134</v>
      </c>
      <c r="V3596" t="s">
        <v>13134</v>
      </c>
      <c r="W3596" t="s">
        <v>16676</v>
      </c>
      <c r="X3596">
        <v>17</v>
      </c>
      <c r="Y3596" t="s">
        <v>23077</v>
      </c>
      <c r="Z3596" t="s">
        <v>29564</v>
      </c>
      <c r="AA3596">
        <v>0.38829489444311188</v>
      </c>
      <c r="AB3596" t="str">
        <f>HYPERLINK("Melting_Curves/meltCurve_Q15365_PCBP1.pdf", "Melting_Curves/meltCurve_Q15365_PCBP1.pdf")</f>
        <v>Melting_Curves/meltCurve_Q15365_PCBP1.pdf</v>
      </c>
    </row>
    <row r="3597" spans="1:28" x14ac:dyDescent="0.25">
      <c r="A3597" t="s">
        <v>3601</v>
      </c>
      <c r="B3597">
        <v>0.99472303558308395</v>
      </c>
      <c r="C3597">
        <v>1.04574702336847</v>
      </c>
      <c r="D3597">
        <v>1.0851190845834</v>
      </c>
      <c r="E3597">
        <v>0.74126212263351798</v>
      </c>
      <c r="F3597">
        <v>0.54973742069374498</v>
      </c>
      <c r="G3597">
        <v>0.35061458379704702</v>
      </c>
      <c r="H3597">
        <v>0.27441358594887399</v>
      </c>
      <c r="I3597">
        <v>0.131427188709443</v>
      </c>
      <c r="J3597">
        <v>0.13556123726196001</v>
      </c>
      <c r="K3597">
        <v>0.10895993576527201</v>
      </c>
      <c r="L3597">
        <v>827.815659173516</v>
      </c>
      <c r="M3597">
        <v>16.466182259986802</v>
      </c>
      <c r="N3597">
        <v>51.074893424400599</v>
      </c>
      <c r="O3597">
        <v>49.549741136822199</v>
      </c>
      <c r="P3597">
        <v>-7.3628176852633107E-2</v>
      </c>
      <c r="Q3597">
        <v>0.113819686988336</v>
      </c>
      <c r="R3597">
        <v>0.97770595347210398</v>
      </c>
      <c r="S3597" t="s">
        <v>10165</v>
      </c>
      <c r="T3597" t="s">
        <v>13134</v>
      </c>
      <c r="U3597" t="s">
        <v>13134</v>
      </c>
      <c r="V3597" t="s">
        <v>13134</v>
      </c>
      <c r="W3597" t="s">
        <v>16677</v>
      </c>
      <c r="X3597">
        <v>13</v>
      </c>
      <c r="Y3597" t="s">
        <v>20398</v>
      </c>
      <c r="Z3597" t="s">
        <v>29565</v>
      </c>
      <c r="AA3597">
        <v>0.5219215211065581</v>
      </c>
      <c r="AB3597" t="str">
        <f>HYPERLINK("Melting_Curves/meltCurve_Q15366_3_PCBP2.pdf", "Melting_Curves/meltCurve_Q15366_3_PCBP2.pdf")</f>
        <v>Melting_Curves/meltCurve_Q15366_3_PCBP2.pdf</v>
      </c>
    </row>
    <row r="3598" spans="1:28" x14ac:dyDescent="0.25">
      <c r="A3598" t="s">
        <v>3602</v>
      </c>
      <c r="B3598">
        <v>0.99472303558308395</v>
      </c>
      <c r="C3598">
        <v>0.93930849747104705</v>
      </c>
      <c r="D3598">
        <v>0.99882335805036204</v>
      </c>
      <c r="E3598">
        <v>0.60841633094590897</v>
      </c>
      <c r="F3598">
        <v>0.17000853952056</v>
      </c>
      <c r="G3598">
        <v>8.6613912937078694E-2</v>
      </c>
      <c r="H3598">
        <v>4.7176942872415202E-2</v>
      </c>
      <c r="I3598">
        <v>4.2044432691602199E-2</v>
      </c>
      <c r="J3598">
        <v>4.0959391798030702E-2</v>
      </c>
      <c r="K3598">
        <v>3.5305560416588798E-2</v>
      </c>
      <c r="L3598">
        <v>1537.1120560714</v>
      </c>
      <c r="M3598">
        <v>32.582398378602598</v>
      </c>
      <c r="N3598">
        <v>47.318664989505997</v>
      </c>
      <c r="O3598">
        <v>46.999504142836102</v>
      </c>
      <c r="P3598">
        <v>-0.165213554233928</v>
      </c>
      <c r="Q3598">
        <v>4.6734552994940198E-2</v>
      </c>
      <c r="R3598">
        <v>0.99668777055535895</v>
      </c>
      <c r="S3598" t="s">
        <v>10166</v>
      </c>
      <c r="T3598" t="s">
        <v>13134</v>
      </c>
      <c r="U3598" t="s">
        <v>13134</v>
      </c>
      <c r="V3598" t="s">
        <v>13134</v>
      </c>
      <c r="W3598" t="s">
        <v>16678</v>
      </c>
      <c r="X3598">
        <v>13</v>
      </c>
      <c r="Y3598" t="s">
        <v>20398</v>
      </c>
      <c r="Z3598" t="s">
        <v>29566</v>
      </c>
      <c r="AA3598">
        <v>0.37479151570491659</v>
      </c>
      <c r="AB3598" t="str">
        <f>HYPERLINK("Melting_Curves/meltCurve_Q15366_6_PCBP2.pdf", "Melting_Curves/meltCurve_Q15366_6_PCBP2.pdf")</f>
        <v>Melting_Curves/meltCurve_Q15366_6_PCBP2.pdf</v>
      </c>
    </row>
    <row r="3599" spans="1:28" x14ac:dyDescent="0.25">
      <c r="A3599" t="s">
        <v>3603</v>
      </c>
      <c r="B3599">
        <v>0.99472303558308395</v>
      </c>
      <c r="C3599">
        <v>0.922875954430463</v>
      </c>
      <c r="D3599">
        <v>0.90562448392255201</v>
      </c>
      <c r="E3599">
        <v>0.83380903796819905</v>
      </c>
      <c r="F3599">
        <v>0.64376668496243605</v>
      </c>
      <c r="G3599">
        <v>0.30875571837475402</v>
      </c>
      <c r="H3599">
        <v>0.102658598033809</v>
      </c>
      <c r="I3599">
        <v>5.4325276589665003E-2</v>
      </c>
      <c r="J3599">
        <v>5.5165161986211401E-2</v>
      </c>
      <c r="K3599">
        <v>4.3408992540807198E-2</v>
      </c>
      <c r="L3599">
        <v>880.64536921138597</v>
      </c>
      <c r="M3599">
        <v>17.1557643448885</v>
      </c>
      <c r="N3599">
        <v>51.361145403607097</v>
      </c>
      <c r="O3599">
        <v>50.650092746457098</v>
      </c>
      <c r="P3599">
        <v>-8.4277332306840105E-2</v>
      </c>
      <c r="Q3599">
        <v>4.7892649264940999E-3</v>
      </c>
      <c r="R3599">
        <v>0.99099924018949004</v>
      </c>
      <c r="S3599" t="s">
        <v>10167</v>
      </c>
      <c r="T3599" t="s">
        <v>13134</v>
      </c>
      <c r="U3599" t="s">
        <v>13134</v>
      </c>
      <c r="V3599" t="s">
        <v>13134</v>
      </c>
      <c r="W3599" t="s">
        <v>16679</v>
      </c>
      <c r="X3599">
        <v>15</v>
      </c>
      <c r="Y3599" t="s">
        <v>23078</v>
      </c>
      <c r="Z3599" t="s">
        <v>29567</v>
      </c>
      <c r="AA3599">
        <v>0.49669747755136773</v>
      </c>
      <c r="AB3599" t="str">
        <f>HYPERLINK("Melting_Curves/meltCurve_Q15370_TCEB2.pdf", "Melting_Curves/meltCurve_Q15370_TCEB2.pdf")</f>
        <v>Melting_Curves/meltCurve_Q15370_TCEB2.pdf</v>
      </c>
    </row>
    <row r="3600" spans="1:28" x14ac:dyDescent="0.25">
      <c r="A3600" t="s">
        <v>3604</v>
      </c>
      <c r="B3600">
        <v>0.99472303558308395</v>
      </c>
      <c r="C3600">
        <v>1.0243721782597699</v>
      </c>
      <c r="D3600">
        <v>1.00369576934744</v>
      </c>
      <c r="E3600">
        <v>0.93993463012535605</v>
      </c>
      <c r="F3600">
        <v>0.69725485030407097</v>
      </c>
      <c r="G3600">
        <v>0.53907046281144</v>
      </c>
      <c r="H3600">
        <v>0.28738953703972903</v>
      </c>
      <c r="I3600">
        <v>0.104722853691434</v>
      </c>
      <c r="J3600">
        <v>5.1250115957810198E-2</v>
      </c>
      <c r="K3600">
        <v>6.5794830586226094E-2</v>
      </c>
      <c r="L3600">
        <v>840.51498788359004</v>
      </c>
      <c r="M3600">
        <v>15.624040947880999</v>
      </c>
      <c r="N3600">
        <v>53.796261279007098</v>
      </c>
      <c r="O3600">
        <v>52.938100946944097</v>
      </c>
      <c r="P3600">
        <v>-7.3790839656447393E-2</v>
      </c>
      <c r="Q3600">
        <v>0</v>
      </c>
      <c r="R3600">
        <v>0.99426419795203502</v>
      </c>
      <c r="S3600" t="s">
        <v>10168</v>
      </c>
      <c r="T3600" t="s">
        <v>13134</v>
      </c>
      <c r="U3600" t="s">
        <v>13134</v>
      </c>
      <c r="V3600" t="s">
        <v>13134</v>
      </c>
      <c r="W3600" t="s">
        <v>16680</v>
      </c>
      <c r="X3600">
        <v>14</v>
      </c>
      <c r="Y3600" t="s">
        <v>23079</v>
      </c>
      <c r="Z3600" t="s">
        <v>29568</v>
      </c>
      <c r="AA3600">
        <v>0.57589958131462871</v>
      </c>
      <c r="AB3600" t="str">
        <f>HYPERLINK("Melting_Curves/meltCurve_Q15382_RHEB.pdf", "Melting_Curves/meltCurve_Q15382_RHEB.pdf")</f>
        <v>Melting_Curves/meltCurve_Q15382_RHEB.pdf</v>
      </c>
    </row>
    <row r="3601" spans="1:28" x14ac:dyDescent="0.25">
      <c r="A3601" t="s">
        <v>3605</v>
      </c>
      <c r="B3601">
        <v>0.99472303558308395</v>
      </c>
      <c r="C3601">
        <v>0.92212097658079994</v>
      </c>
      <c r="D3601">
        <v>0.879872287178046</v>
      </c>
      <c r="E3601">
        <v>0.78847330530455995</v>
      </c>
      <c r="F3601">
        <v>0.296262220233042</v>
      </c>
      <c r="G3601">
        <v>0.10035507820120899</v>
      </c>
      <c r="H3601">
        <v>3.71350002993657E-2</v>
      </c>
      <c r="I3601">
        <v>2.6730817455076699E-2</v>
      </c>
      <c r="J3601">
        <v>8.8501204217939795E-3</v>
      </c>
      <c r="K3601">
        <v>2.1789541311672499E-2</v>
      </c>
      <c r="L3601">
        <v>1208.93680787331</v>
      </c>
      <c r="M3601">
        <v>24.883101652728399</v>
      </c>
      <c r="N3601">
        <v>48.6430704415368</v>
      </c>
      <c r="O3601">
        <v>48.2741199980806</v>
      </c>
      <c r="P3601">
        <v>-0.126968309398649</v>
      </c>
      <c r="Q3601">
        <v>1.47210133563151E-2</v>
      </c>
      <c r="R3601">
        <v>0.99118462444783995</v>
      </c>
      <c r="S3601" t="s">
        <v>10169</v>
      </c>
      <c r="T3601" t="s">
        <v>13134</v>
      </c>
      <c r="U3601" t="s">
        <v>13134</v>
      </c>
      <c r="V3601" t="s">
        <v>13134</v>
      </c>
      <c r="W3601" t="s">
        <v>16681</v>
      </c>
      <c r="X3601">
        <v>5</v>
      </c>
      <c r="Y3601" t="s">
        <v>23080</v>
      </c>
      <c r="Z3601" t="s">
        <v>29569</v>
      </c>
      <c r="AA3601">
        <v>0.40373582836935817</v>
      </c>
      <c r="AB3601" t="str">
        <f>HYPERLINK("Melting_Curves/meltCurve_Q15386_UBE3C.pdf", "Melting_Curves/meltCurve_Q15386_UBE3C.pdf")</f>
        <v>Melting_Curves/meltCurve_Q15386_UBE3C.pdf</v>
      </c>
    </row>
    <row r="3602" spans="1:28" x14ac:dyDescent="0.25">
      <c r="A3602" t="s">
        <v>3606</v>
      </c>
      <c r="B3602">
        <v>0.99472303558308395</v>
      </c>
      <c r="C3602">
        <v>0.90122586179987096</v>
      </c>
      <c r="D3602">
        <v>0.76492618382080502</v>
      </c>
      <c r="E3602">
        <v>0.65956659593707001</v>
      </c>
      <c r="F3602">
        <v>0.841571042312377</v>
      </c>
      <c r="G3602">
        <v>0.384448471756137</v>
      </c>
      <c r="H3602">
        <v>9.8774913449069995E-2</v>
      </c>
      <c r="I3602">
        <v>5.8659390372548997E-2</v>
      </c>
      <c r="J3602">
        <v>6.3523779846833994E-2</v>
      </c>
      <c r="K3602">
        <v>5.6684706558376E-2</v>
      </c>
      <c r="L3602">
        <v>645.77167941740697</v>
      </c>
      <c r="M3602">
        <v>12.515611266657499</v>
      </c>
      <c r="N3602">
        <v>51.597294374234203</v>
      </c>
      <c r="O3602">
        <v>50.333163662243699</v>
      </c>
      <c r="P3602">
        <v>-6.2176573819340698E-2</v>
      </c>
      <c r="Q3602">
        <v>0</v>
      </c>
      <c r="R3602">
        <v>0.90257664057703602</v>
      </c>
      <c r="S3602" t="s">
        <v>10170</v>
      </c>
      <c r="T3602" t="s">
        <v>13134</v>
      </c>
      <c r="U3602" t="s">
        <v>13134</v>
      </c>
      <c r="V3602" t="s">
        <v>13134</v>
      </c>
      <c r="W3602" t="s">
        <v>16682</v>
      </c>
      <c r="X3602">
        <v>37</v>
      </c>
      <c r="Y3602" t="s">
        <v>23081</v>
      </c>
      <c r="Z3602" t="s">
        <v>29570</v>
      </c>
      <c r="AA3602">
        <v>0.51036864994534425</v>
      </c>
      <c r="AB3602" t="str">
        <f>HYPERLINK("Melting_Curves/meltCurve_Q15393_SF3B3.pdf", "Melting_Curves/meltCurve_Q15393_SF3B3.pdf")</f>
        <v>Melting_Curves/meltCurve_Q15393_SF3B3.pdf</v>
      </c>
    </row>
    <row r="3603" spans="1:28" x14ac:dyDescent="0.25">
      <c r="A3603" t="s">
        <v>3607</v>
      </c>
      <c r="B3603">
        <v>0.99472303558308395</v>
      </c>
      <c r="C3603">
        <v>0.872713097452116</v>
      </c>
      <c r="D3603">
        <v>0.65367597983682002</v>
      </c>
      <c r="E3603">
        <v>0.344350533848861</v>
      </c>
      <c r="F3603">
        <v>0.173154109324796</v>
      </c>
      <c r="G3603">
        <v>8.33814673519465E-2</v>
      </c>
      <c r="H3603">
        <v>5.2176670258050797E-2</v>
      </c>
      <c r="I3603">
        <v>3.7679745387461001E-2</v>
      </c>
      <c r="J3603">
        <v>4.6264792181598902E-2</v>
      </c>
      <c r="K3603">
        <v>4.1030833449139999E-2</v>
      </c>
      <c r="L3603">
        <v>743.71827388759596</v>
      </c>
      <c r="M3603">
        <v>16.701312327123201</v>
      </c>
      <c r="N3603">
        <v>44.724396328472402</v>
      </c>
      <c r="O3603">
        <v>43.906779792803398</v>
      </c>
      <c r="P3603">
        <v>-9.1780746493695803E-2</v>
      </c>
      <c r="Q3603">
        <v>3.4918475316839899E-2</v>
      </c>
      <c r="R3603">
        <v>0.99922254006144995</v>
      </c>
      <c r="S3603" t="s">
        <v>10171</v>
      </c>
      <c r="T3603" t="s">
        <v>13134</v>
      </c>
      <c r="U3603" t="s">
        <v>13134</v>
      </c>
      <c r="V3603" t="s">
        <v>13134</v>
      </c>
      <c r="W3603" t="s">
        <v>16683</v>
      </c>
      <c r="X3603">
        <v>24</v>
      </c>
      <c r="Y3603" t="s">
        <v>23082</v>
      </c>
      <c r="Z3603" t="s">
        <v>29571</v>
      </c>
      <c r="AA3603">
        <v>0.29589642094542762</v>
      </c>
      <c r="AB3603" t="str">
        <f>HYPERLINK("Melting_Curves/meltCurve_Q15398_3_DLGAP5.pdf", "Melting_Curves/meltCurve_Q15398_3_DLGAP5.pdf")</f>
        <v>Melting_Curves/meltCurve_Q15398_3_DLGAP5.pdf</v>
      </c>
    </row>
    <row r="3604" spans="1:28" x14ac:dyDescent="0.25">
      <c r="A3604" t="s">
        <v>3608</v>
      </c>
      <c r="B3604">
        <v>0.99472303558308395</v>
      </c>
      <c r="C3604">
        <v>0.92616903272698203</v>
      </c>
      <c r="D3604">
        <v>0.93044765302561006</v>
      </c>
      <c r="E3604">
        <v>0.84803486485174995</v>
      </c>
      <c r="F3604">
        <v>0.62268568486125397</v>
      </c>
      <c r="G3604">
        <v>0.58753734565331805</v>
      </c>
      <c r="H3604">
        <v>0.33747127645253999</v>
      </c>
      <c r="I3604">
        <v>0.18785724556351399</v>
      </c>
      <c r="J3604">
        <v>0.121228698044428</v>
      </c>
      <c r="K3604">
        <v>8.7055223220750405E-2</v>
      </c>
      <c r="L3604">
        <v>585.503272791977</v>
      </c>
      <c r="M3604">
        <v>10.8925688586212</v>
      </c>
      <c r="N3604">
        <v>53.7525427032433</v>
      </c>
      <c r="O3604">
        <v>52.036033199904303</v>
      </c>
      <c r="P3604">
        <v>-5.2350192654217302E-2</v>
      </c>
      <c r="Q3604">
        <v>0</v>
      </c>
      <c r="R3604">
        <v>0.98586193498122499</v>
      </c>
      <c r="S3604" t="s">
        <v>10172</v>
      </c>
      <c r="T3604" t="s">
        <v>13134</v>
      </c>
      <c r="U3604" t="s">
        <v>13134</v>
      </c>
      <c r="V3604" t="s">
        <v>13134</v>
      </c>
      <c r="W3604" t="s">
        <v>16684</v>
      </c>
      <c r="X3604">
        <v>10</v>
      </c>
      <c r="Y3604" t="s">
        <v>23083</v>
      </c>
      <c r="Z3604" t="s">
        <v>29572</v>
      </c>
      <c r="AA3604">
        <v>0.57742593288857524</v>
      </c>
      <c r="AB3604" t="str">
        <f>HYPERLINK("Melting_Curves/meltCurve_Q15404_RSU1.pdf", "Melting_Curves/meltCurve_Q15404_RSU1.pdf")</f>
        <v>Melting_Curves/meltCurve_Q15404_RSU1.pdf</v>
      </c>
    </row>
    <row r="3605" spans="1:28" x14ac:dyDescent="0.25">
      <c r="A3605" t="s">
        <v>3609</v>
      </c>
      <c r="B3605">
        <v>0.99472303558308395</v>
      </c>
      <c r="C3605">
        <v>0.97608036130658105</v>
      </c>
      <c r="D3605">
        <v>0.92448434798493395</v>
      </c>
      <c r="E3605">
        <v>0.85277728459079305</v>
      </c>
      <c r="F3605">
        <v>0.77922995874685397</v>
      </c>
      <c r="G3605">
        <v>0.61207245993325698</v>
      </c>
      <c r="H3605">
        <v>0.78003361423039097</v>
      </c>
      <c r="I3605">
        <v>1.49122360583683</v>
      </c>
      <c r="J3605">
        <v>1.79297741571664</v>
      </c>
      <c r="K3605">
        <v>2.60936558985374</v>
      </c>
      <c r="L3605">
        <v>15000</v>
      </c>
      <c r="M3605">
        <v>249.91076672285499</v>
      </c>
      <c r="O3605">
        <v>60.017580064347896</v>
      </c>
      <c r="P3605">
        <v>0.52049492698843702</v>
      </c>
      <c r="Q3605">
        <v>1.5</v>
      </c>
      <c r="R3605">
        <v>0.53270196922464097</v>
      </c>
      <c r="S3605" t="s">
        <v>10173</v>
      </c>
      <c r="T3605" t="s">
        <v>13134</v>
      </c>
      <c r="U3605" t="s">
        <v>13134</v>
      </c>
      <c r="V3605" t="s">
        <v>13134</v>
      </c>
      <c r="W3605" t="s">
        <v>16685</v>
      </c>
      <c r="X3605">
        <v>28</v>
      </c>
      <c r="Y3605" t="s">
        <v>23084</v>
      </c>
      <c r="Z3605" t="s">
        <v>29573</v>
      </c>
      <c r="AA3605">
        <v>1.116256900152597</v>
      </c>
      <c r="AB3605" t="str">
        <f>HYPERLINK("Melting_Curves/meltCurve_Q15424_2_SAFB.pdf", "Melting_Curves/meltCurve_Q15424_2_SAFB.pdf")</f>
        <v>Melting_Curves/meltCurve_Q15424_2_SAFB.pdf</v>
      </c>
    </row>
    <row r="3606" spans="1:28" x14ac:dyDescent="0.25">
      <c r="A3606" t="s">
        <v>3610</v>
      </c>
      <c r="B3606">
        <v>0.99472303558308395</v>
      </c>
      <c r="C3606">
        <v>0.76978934658624698</v>
      </c>
      <c r="D3606">
        <v>1.00131723675617</v>
      </c>
      <c r="E3606">
        <v>0.50758194743526996</v>
      </c>
      <c r="F3606">
        <v>0.16166784536161699</v>
      </c>
      <c r="G3606">
        <v>7.8811669593163103E-2</v>
      </c>
      <c r="H3606">
        <v>3.9360773447579198E-2</v>
      </c>
      <c r="I3606">
        <v>3.03772644107119E-2</v>
      </c>
      <c r="J3606">
        <v>3.2781015705014099E-2</v>
      </c>
      <c r="K3606">
        <v>3.0712927603494901E-2</v>
      </c>
      <c r="L3606">
        <v>1390.6551263291501</v>
      </c>
      <c r="M3606">
        <v>29.801422844460799</v>
      </c>
      <c r="N3606">
        <v>46.7930477200957</v>
      </c>
      <c r="O3606">
        <v>46.455447156775499</v>
      </c>
      <c r="P3606">
        <v>-0.15405291020213699</v>
      </c>
      <c r="Q3606">
        <v>3.9435277260540802E-2</v>
      </c>
      <c r="R3606">
        <v>0.963301952385202</v>
      </c>
      <c r="S3606" t="s">
        <v>10174</v>
      </c>
      <c r="T3606" t="s">
        <v>13134</v>
      </c>
      <c r="U3606" t="s">
        <v>13134</v>
      </c>
      <c r="V3606" t="s">
        <v>13134</v>
      </c>
      <c r="W3606" t="s">
        <v>16686</v>
      </c>
      <c r="X3606">
        <v>10</v>
      </c>
      <c r="Y3606" t="s">
        <v>23085</v>
      </c>
      <c r="Z3606" t="s">
        <v>29574</v>
      </c>
      <c r="AA3606">
        <v>0.3544897646357732</v>
      </c>
      <c r="AB3606" t="str">
        <f>HYPERLINK("Melting_Curves/meltCurve_Q15428_SF3A2.pdf", "Melting_Curves/meltCurve_Q15428_SF3A2.pdf")</f>
        <v>Melting_Curves/meltCurve_Q15428_SF3A2.pdf</v>
      </c>
    </row>
    <row r="3607" spans="1:28" x14ac:dyDescent="0.25">
      <c r="A3607" t="s">
        <v>3611</v>
      </c>
      <c r="B3607">
        <v>0.99472303558308395</v>
      </c>
      <c r="C3607">
        <v>0.93788847818163501</v>
      </c>
      <c r="D3607">
        <v>1.02566652468451</v>
      </c>
      <c r="E3607">
        <v>0.94260953495104904</v>
      </c>
      <c r="F3607">
        <v>0.73693189709851203</v>
      </c>
      <c r="G3607">
        <v>0.36864015195765198</v>
      </c>
      <c r="H3607">
        <v>7.9157167202443507E-2</v>
      </c>
      <c r="I3607">
        <v>4.2093748224472302E-2</v>
      </c>
      <c r="J3607">
        <v>4.3870509971412598E-2</v>
      </c>
      <c r="K3607">
        <v>4.5762723445102002E-2</v>
      </c>
      <c r="L3607">
        <v>1323.16461297658</v>
      </c>
      <c r="M3607">
        <v>25.314437326108202</v>
      </c>
      <c r="N3607">
        <v>52.373325915408998</v>
      </c>
      <c r="O3607">
        <v>51.946259528688898</v>
      </c>
      <c r="P3607">
        <v>-0.118840686404264</v>
      </c>
      <c r="Q3607">
        <v>2.4548707557590001E-2</v>
      </c>
      <c r="R3607">
        <v>0.99578331166460499</v>
      </c>
      <c r="S3607" t="s">
        <v>10175</v>
      </c>
      <c r="T3607" t="s">
        <v>13134</v>
      </c>
      <c r="U3607" t="s">
        <v>13134</v>
      </c>
      <c r="V3607" t="s">
        <v>13134</v>
      </c>
      <c r="W3607" t="s">
        <v>16687</v>
      </c>
      <c r="X3607">
        <v>20</v>
      </c>
      <c r="Y3607" t="s">
        <v>23086</v>
      </c>
      <c r="Z3607" t="s">
        <v>29575</v>
      </c>
      <c r="AA3607">
        <v>0.52947836400509563</v>
      </c>
      <c r="AB3607" t="str">
        <f>HYPERLINK("Melting_Curves/meltCurve_Q15435_PPP1R7.pdf", "Melting_Curves/meltCurve_Q15435_PPP1R7.pdf")</f>
        <v>Melting_Curves/meltCurve_Q15435_PPP1R7.pdf</v>
      </c>
    </row>
    <row r="3608" spans="1:28" x14ac:dyDescent="0.25">
      <c r="A3608" t="s">
        <v>3612</v>
      </c>
      <c r="B3608">
        <v>0.99472303558308395</v>
      </c>
      <c r="C3608">
        <v>0.92555608452356597</v>
      </c>
      <c r="D3608">
        <v>0.86671196251433402</v>
      </c>
      <c r="E3608">
        <v>0.66970162438382397</v>
      </c>
      <c r="F3608">
        <v>0.29104400150762</v>
      </c>
      <c r="G3608">
        <v>0.16829564253269599</v>
      </c>
      <c r="H3608">
        <v>0.11436336755964301</v>
      </c>
      <c r="I3608">
        <v>5.1504062170373503E-2</v>
      </c>
      <c r="J3608">
        <v>5.1446791890361103E-2</v>
      </c>
      <c r="K3608">
        <v>4.4408032882105999E-2</v>
      </c>
      <c r="L3608">
        <v>835.77854115030902</v>
      </c>
      <c r="M3608">
        <v>17.478494872044902</v>
      </c>
      <c r="N3608">
        <v>48.0516547432427</v>
      </c>
      <c r="O3608">
        <v>47.204750031596603</v>
      </c>
      <c r="P3608">
        <v>-8.8793999793390893E-2</v>
      </c>
      <c r="Q3608">
        <v>4.0817149572880698E-2</v>
      </c>
      <c r="R3608">
        <v>0.99548152384973498</v>
      </c>
      <c r="S3608" t="s">
        <v>10176</v>
      </c>
      <c r="T3608" t="s">
        <v>13134</v>
      </c>
      <c r="U3608" t="s">
        <v>13134</v>
      </c>
      <c r="V3608" t="s">
        <v>13134</v>
      </c>
      <c r="W3608" t="s">
        <v>16688</v>
      </c>
      <c r="X3608">
        <v>22</v>
      </c>
      <c r="Y3608" t="s">
        <v>23087</v>
      </c>
      <c r="Z3608" t="s">
        <v>29576</v>
      </c>
      <c r="AA3608">
        <v>0.40287635987691878</v>
      </c>
      <c r="AB3608" t="str">
        <f>HYPERLINK("Melting_Curves/meltCurve_Q15437_SEC23B.pdf", "Melting_Curves/meltCurve_Q15437_SEC23B.pdf")</f>
        <v>Melting_Curves/meltCurve_Q15437_SEC23B.pdf</v>
      </c>
    </row>
    <row r="3609" spans="1:28" x14ac:dyDescent="0.25">
      <c r="A3609" t="s">
        <v>3613</v>
      </c>
      <c r="B3609">
        <v>0.99472303558308395</v>
      </c>
      <c r="C3609">
        <v>1.0129081800273301</v>
      </c>
      <c r="D3609">
        <v>0.94475736954775902</v>
      </c>
      <c r="E3609">
        <v>0.55103068657702203</v>
      </c>
      <c r="F3609">
        <v>0.198342675506575</v>
      </c>
      <c r="G3609">
        <v>8.6819933831887394E-2</v>
      </c>
      <c r="H3609">
        <v>4.6450613841267203E-2</v>
      </c>
      <c r="I3609">
        <v>3.1317783762800103E-2</v>
      </c>
      <c r="J3609">
        <v>4.1415819952409699E-2</v>
      </c>
      <c r="K3609">
        <v>3.50722326744883E-2</v>
      </c>
      <c r="L3609">
        <v>1247.52172090505</v>
      </c>
      <c r="M3609">
        <v>26.577564684940899</v>
      </c>
      <c r="N3609">
        <v>47.089940318489099</v>
      </c>
      <c r="O3609">
        <v>46.675585713048498</v>
      </c>
      <c r="P3609">
        <v>-0.13653800942943201</v>
      </c>
      <c r="Q3609">
        <v>4.08566611070049E-2</v>
      </c>
      <c r="R3609">
        <v>0.99896535481031801</v>
      </c>
      <c r="S3609" t="s">
        <v>10177</v>
      </c>
      <c r="T3609" t="s">
        <v>13134</v>
      </c>
      <c r="U3609" t="s">
        <v>13134</v>
      </c>
      <c r="V3609" t="s">
        <v>13134</v>
      </c>
      <c r="W3609" t="s">
        <v>16689</v>
      </c>
      <c r="X3609">
        <v>25</v>
      </c>
      <c r="Y3609" t="s">
        <v>23088</v>
      </c>
      <c r="Z3609" t="s">
        <v>29577</v>
      </c>
      <c r="AA3609">
        <v>0.36573134377359251</v>
      </c>
      <c r="AB3609" t="str">
        <f>HYPERLINK("Melting_Curves/meltCurve_Q15459_SF3A1.pdf", "Melting_Curves/meltCurve_Q15459_SF3A1.pdf")</f>
        <v>Melting_Curves/meltCurve_Q15459_SF3A1.pdf</v>
      </c>
    </row>
    <row r="3610" spans="1:28" x14ac:dyDescent="0.25">
      <c r="A3610" t="s">
        <v>3614</v>
      </c>
      <c r="B3610">
        <v>0.99472303558308395</v>
      </c>
      <c r="C3610">
        <v>0.88060108944563698</v>
      </c>
      <c r="D3610">
        <v>0.95667941644461296</v>
      </c>
      <c r="E3610">
        <v>0.83757360736293696</v>
      </c>
      <c r="F3610">
        <v>0.53041993616355498</v>
      </c>
      <c r="G3610">
        <v>0.24095980214680199</v>
      </c>
      <c r="H3610">
        <v>0.15082158759428399</v>
      </c>
      <c r="I3610">
        <v>0.107443208992554</v>
      </c>
      <c r="J3610">
        <v>0.132350064603283</v>
      </c>
      <c r="K3610">
        <v>0.100927215883358</v>
      </c>
      <c r="L3610">
        <v>1055.1905197065</v>
      </c>
      <c r="M3610">
        <v>21.160851338028699</v>
      </c>
      <c r="N3610">
        <v>50.397415738804902</v>
      </c>
      <c r="O3610">
        <v>49.4262984365498</v>
      </c>
      <c r="P3610">
        <v>-9.6318184781837193E-2</v>
      </c>
      <c r="Q3610">
        <v>0.100125547244048</v>
      </c>
      <c r="R3610">
        <v>0.98920541872830203</v>
      </c>
      <c r="S3610" t="s">
        <v>10178</v>
      </c>
      <c r="T3610" t="s">
        <v>13134</v>
      </c>
      <c r="U3610" t="s">
        <v>13134</v>
      </c>
      <c r="V3610" t="s">
        <v>13134</v>
      </c>
      <c r="W3610" t="s">
        <v>16690</v>
      </c>
      <c r="X3610">
        <v>3</v>
      </c>
      <c r="Y3610" t="s">
        <v>23089</v>
      </c>
      <c r="Z3610" t="s">
        <v>29578</v>
      </c>
      <c r="AA3610">
        <v>0.49674766257659941</v>
      </c>
      <c r="AB3610" t="str">
        <f>HYPERLINK("Melting_Curves/meltCurve_Q15464_2_SHB.pdf", "Melting_Curves/meltCurve_Q15464_2_SHB.pdf")</f>
        <v>Melting_Curves/meltCurve_Q15464_2_SHB.pdf</v>
      </c>
    </row>
    <row r="3611" spans="1:28" x14ac:dyDescent="0.25">
      <c r="A3611" t="s">
        <v>3615</v>
      </c>
      <c r="B3611">
        <v>0.99472303558308395</v>
      </c>
      <c r="C3611">
        <v>1.0255914984388801</v>
      </c>
      <c r="D3611">
        <v>0.88722130840999702</v>
      </c>
      <c r="E3611">
        <v>0.73456790487905299</v>
      </c>
      <c r="F3611">
        <v>0.53731718099685599</v>
      </c>
      <c r="G3611">
        <v>0.289622694926084</v>
      </c>
      <c r="H3611">
        <v>0.23889244462018799</v>
      </c>
      <c r="I3611">
        <v>0.19386378453263101</v>
      </c>
      <c r="J3611">
        <v>0.279434634075028</v>
      </c>
      <c r="K3611">
        <v>0.22665295096821</v>
      </c>
      <c r="L3611">
        <v>860.07096781042696</v>
      </c>
      <c r="M3611">
        <v>17.731169540030301</v>
      </c>
      <c r="N3611">
        <v>50.060886534993003</v>
      </c>
      <c r="O3611">
        <v>47.901797583040398</v>
      </c>
      <c r="P3611">
        <v>-7.2950701786487507E-2</v>
      </c>
      <c r="Q3611">
        <v>0.21171881234053899</v>
      </c>
      <c r="R3611">
        <v>0.98818540940387301</v>
      </c>
      <c r="S3611" t="s">
        <v>10179</v>
      </c>
      <c r="T3611" t="s">
        <v>13134</v>
      </c>
      <c r="U3611" t="s">
        <v>13134</v>
      </c>
      <c r="V3611" t="s">
        <v>13134</v>
      </c>
      <c r="W3611" t="s">
        <v>16691</v>
      </c>
      <c r="X3611">
        <v>2</v>
      </c>
      <c r="Y3611" t="s">
        <v>23090</v>
      </c>
      <c r="Z3611" t="s">
        <v>29579</v>
      </c>
      <c r="AA3611">
        <v>0.52696600080825351</v>
      </c>
      <c r="AB3611" t="str">
        <f>HYPERLINK("Melting_Curves/meltCurve_Q15506_SPA17.pdf", "Melting_Curves/meltCurve_Q15506_SPA17.pdf")</f>
        <v>Melting_Curves/meltCurve_Q15506_SPA17.pdf</v>
      </c>
    </row>
    <row r="3612" spans="1:28" x14ac:dyDescent="0.25">
      <c r="A3612" t="s">
        <v>3616</v>
      </c>
      <c r="B3612">
        <v>0.99472303558308395</v>
      </c>
      <c r="C3612">
        <v>0.89475239540296003</v>
      </c>
      <c r="D3612">
        <v>1.0094426780063901</v>
      </c>
      <c r="E3612">
        <v>0.77591418781455102</v>
      </c>
      <c r="F3612">
        <v>0.44434644768626802</v>
      </c>
      <c r="G3612">
        <v>0.19087494909914299</v>
      </c>
      <c r="H3612">
        <v>9.0773837163371701E-2</v>
      </c>
      <c r="I3612">
        <v>6.6678586543495094E-2</v>
      </c>
      <c r="J3612">
        <v>6.9133456530439799E-2</v>
      </c>
      <c r="K3612">
        <v>6.0179523300643002E-2</v>
      </c>
      <c r="L3612">
        <v>1061.57774523116</v>
      </c>
      <c r="M3612">
        <v>21.528842495323001</v>
      </c>
      <c r="N3612">
        <v>49.580047453662999</v>
      </c>
      <c r="O3612">
        <v>48.890017821138002</v>
      </c>
      <c r="P3612">
        <v>-0.10399081272198001</v>
      </c>
      <c r="Q3612">
        <v>5.54084843405903E-2</v>
      </c>
      <c r="R3612">
        <v>0.99191301778413399</v>
      </c>
      <c r="S3612" t="s">
        <v>10180</v>
      </c>
      <c r="T3612" t="s">
        <v>13134</v>
      </c>
      <c r="U3612" t="s">
        <v>13134</v>
      </c>
      <c r="V3612" t="s">
        <v>13134</v>
      </c>
      <c r="W3612" t="s">
        <v>16692</v>
      </c>
      <c r="X3612">
        <v>8</v>
      </c>
      <c r="Y3612" t="s">
        <v>23091</v>
      </c>
      <c r="Z3612" t="s">
        <v>29580</v>
      </c>
      <c r="AA3612">
        <v>0.45387201137311689</v>
      </c>
      <c r="AB3612" t="str">
        <f>HYPERLINK("Melting_Curves/meltCurve_Q15526_2_SURF1.pdf", "Melting_Curves/meltCurve_Q15526_2_SURF1.pdf")</f>
        <v>Melting_Curves/meltCurve_Q15526_2_SURF1.pdf</v>
      </c>
    </row>
    <row r="3613" spans="1:28" x14ac:dyDescent="0.25">
      <c r="A3613" t="s">
        <v>3617</v>
      </c>
      <c r="B3613">
        <v>0.99472303558308395</v>
      </c>
      <c r="C3613">
        <v>1.0534706809187899</v>
      </c>
      <c r="D3613">
        <v>0.90183783256747097</v>
      </c>
      <c r="E3613">
        <v>0.73186398715543399</v>
      </c>
      <c r="F3613">
        <v>0.42315062413932503</v>
      </c>
      <c r="G3613">
        <v>0.231030804919796</v>
      </c>
      <c r="H3613">
        <v>0.136086277803076</v>
      </c>
      <c r="I3613">
        <v>0.115237073559824</v>
      </c>
      <c r="J3613">
        <v>0.110979887543194</v>
      </c>
      <c r="K3613">
        <v>9.5576587059222604E-2</v>
      </c>
      <c r="L3613">
        <v>910.61789945810995</v>
      </c>
      <c r="M3613">
        <v>18.696547969606499</v>
      </c>
      <c r="N3613">
        <v>49.253738457049799</v>
      </c>
      <c r="O3613">
        <v>48.1582068901699</v>
      </c>
      <c r="P3613">
        <v>-8.7938782553795503E-2</v>
      </c>
      <c r="Q3613">
        <v>9.3994418149591405E-2</v>
      </c>
      <c r="R3613">
        <v>0.99610830307630105</v>
      </c>
      <c r="S3613" t="s">
        <v>10181</v>
      </c>
      <c r="T3613" t="s">
        <v>13134</v>
      </c>
      <c r="U3613" t="s">
        <v>13134</v>
      </c>
      <c r="V3613" t="s">
        <v>13134</v>
      </c>
      <c r="W3613" t="s">
        <v>16693</v>
      </c>
      <c r="X3613">
        <v>9</v>
      </c>
      <c r="Y3613" t="s">
        <v>23092</v>
      </c>
      <c r="Z3613" t="s">
        <v>29581</v>
      </c>
      <c r="AA3613">
        <v>0.46097871427719961</v>
      </c>
      <c r="AB3613" t="str">
        <f>HYPERLINK("Melting_Curves/meltCurve_Q15527_SURF2.pdf", "Melting_Curves/meltCurve_Q15527_SURF2.pdf")</f>
        <v>Melting_Curves/meltCurve_Q15527_SURF2.pdf</v>
      </c>
    </row>
    <row r="3614" spans="1:28" x14ac:dyDescent="0.25">
      <c r="A3614" t="s">
        <v>3618</v>
      </c>
      <c r="B3614">
        <v>0.99472303558308395</v>
      </c>
      <c r="C3614">
        <v>0.88090845467220602</v>
      </c>
      <c r="D3614">
        <v>0.69827970382980997</v>
      </c>
      <c r="E3614">
        <v>0.56026602736345898</v>
      </c>
      <c r="F3614">
        <v>0.26451037261355198</v>
      </c>
      <c r="G3614">
        <v>0.16083016507629</v>
      </c>
      <c r="H3614">
        <v>0.100553889317814</v>
      </c>
      <c r="I3614">
        <v>8.1757589109391904E-2</v>
      </c>
      <c r="J3614">
        <v>9.2380610393901899E-2</v>
      </c>
      <c r="K3614">
        <v>6.7674897472252998E-2</v>
      </c>
      <c r="L3614">
        <v>609.26326935840802</v>
      </c>
      <c r="M3614">
        <v>13.1904538333212</v>
      </c>
      <c r="N3614">
        <v>46.538385113153197</v>
      </c>
      <c r="O3614">
        <v>45.1667809598326</v>
      </c>
      <c r="P3614">
        <v>-6.9586264676132395E-2</v>
      </c>
      <c r="Q3614">
        <v>4.7049330406423701E-2</v>
      </c>
      <c r="R3614">
        <v>0.99262316570452602</v>
      </c>
      <c r="S3614" t="s">
        <v>10182</v>
      </c>
      <c r="T3614" t="s">
        <v>13134</v>
      </c>
      <c r="U3614" t="s">
        <v>13134</v>
      </c>
      <c r="V3614" t="s">
        <v>13134</v>
      </c>
      <c r="W3614" t="s">
        <v>16694</v>
      </c>
      <c r="X3614">
        <v>4</v>
      </c>
      <c r="Y3614" t="s">
        <v>23093</v>
      </c>
      <c r="Z3614" t="s">
        <v>29582</v>
      </c>
      <c r="AA3614">
        <v>0.36661506419121681</v>
      </c>
      <c r="AB3614" t="str">
        <f>HYPERLINK("Melting_Curves/meltCurve_Q15542_2_TAF5.pdf", "Melting_Curves/meltCurve_Q15542_2_TAF5.pdf")</f>
        <v>Melting_Curves/meltCurve_Q15542_2_TAF5.pdf</v>
      </c>
    </row>
    <row r="3615" spans="1:28" x14ac:dyDescent="0.25">
      <c r="A3615" t="s">
        <v>3619</v>
      </c>
      <c r="B3615">
        <v>0.99472303558308395</v>
      </c>
      <c r="C3615">
        <v>0.78973493114758797</v>
      </c>
      <c r="D3615">
        <v>0.84916988616994205</v>
      </c>
      <c r="E3615">
        <v>0.952658163264261</v>
      </c>
      <c r="F3615">
        <v>0.59523286554810995</v>
      </c>
      <c r="G3615">
        <v>0.224036331142732</v>
      </c>
      <c r="H3615">
        <v>0.23550011102882101</v>
      </c>
      <c r="I3615">
        <v>8.3267926726587102E-2</v>
      </c>
      <c r="J3615">
        <v>0.12882959225493301</v>
      </c>
      <c r="K3615">
        <v>3.7801912067629298E-2</v>
      </c>
      <c r="L3615">
        <v>1188.71382553686</v>
      </c>
      <c r="M3615">
        <v>23.463868848810399</v>
      </c>
      <c r="N3615">
        <v>51.098161637733099</v>
      </c>
      <c r="O3615">
        <v>50.297793166991703</v>
      </c>
      <c r="P3615">
        <v>-0.106031050522768</v>
      </c>
      <c r="Q3615">
        <v>9.0851721229488994E-2</v>
      </c>
      <c r="R3615">
        <v>0.93924956626296696</v>
      </c>
      <c r="S3615" t="s">
        <v>10183</v>
      </c>
      <c r="T3615" t="s">
        <v>13134</v>
      </c>
      <c r="U3615" t="s">
        <v>13134</v>
      </c>
      <c r="V3615" t="s">
        <v>13134</v>
      </c>
      <c r="W3615" t="s">
        <v>16695</v>
      </c>
      <c r="X3615">
        <v>1</v>
      </c>
      <c r="Y3615" t="s">
        <v>23094</v>
      </c>
      <c r="Z3615" t="s">
        <v>29583</v>
      </c>
      <c r="AA3615">
        <v>0.51386063436796248</v>
      </c>
      <c r="AB3615" t="str">
        <f>HYPERLINK("Melting_Curves/meltCurve_Q15543_TAF13.pdf", "Melting_Curves/meltCurve_Q15543_TAF13.pdf")</f>
        <v>Melting_Curves/meltCurve_Q15543_TAF13.pdf</v>
      </c>
    </row>
    <row r="3616" spans="1:28" x14ac:dyDescent="0.25">
      <c r="A3616" t="s">
        <v>3620</v>
      </c>
      <c r="B3616">
        <v>0.99472303558308395</v>
      </c>
      <c r="C3616">
        <v>0.92935612869030504</v>
      </c>
      <c r="D3616">
        <v>0.89024269590501603</v>
      </c>
      <c r="E3616">
        <v>0.77727728171590704</v>
      </c>
      <c r="F3616">
        <v>0.31578454134369699</v>
      </c>
      <c r="G3616">
        <v>0.211398823862849</v>
      </c>
      <c r="H3616">
        <v>0.19296760627918499</v>
      </c>
      <c r="I3616">
        <v>0.16884632307737599</v>
      </c>
      <c r="J3616">
        <v>0.25324408174605501</v>
      </c>
      <c r="K3616">
        <v>0.167707945225651</v>
      </c>
      <c r="L3616">
        <v>1519.0175985329799</v>
      </c>
      <c r="M3616">
        <v>31.784355092580899</v>
      </c>
      <c r="N3616">
        <v>48.526705249998798</v>
      </c>
      <c r="O3616">
        <v>47.603379428383199</v>
      </c>
      <c r="P3616">
        <v>-0.13502159099984201</v>
      </c>
      <c r="Q3616">
        <v>0.191117770545633</v>
      </c>
      <c r="R3616">
        <v>0.98402791726057504</v>
      </c>
      <c r="S3616" t="s">
        <v>10184</v>
      </c>
      <c r="T3616" t="s">
        <v>13134</v>
      </c>
      <c r="U3616" t="s">
        <v>13134</v>
      </c>
      <c r="V3616" t="s">
        <v>13134</v>
      </c>
      <c r="W3616" t="s">
        <v>16696</v>
      </c>
      <c r="X3616">
        <v>1</v>
      </c>
      <c r="Y3616" t="s">
        <v>23095</v>
      </c>
      <c r="Z3616" t="s">
        <v>29584</v>
      </c>
      <c r="AA3616">
        <v>0.48633051068960931</v>
      </c>
      <c r="AB3616" t="str">
        <f>HYPERLINK("Melting_Curves/meltCurve_Q15544_2_TAF11.pdf", "Melting_Curves/meltCurve_Q15544_2_TAF11.pdf")</f>
        <v>Melting_Curves/meltCurve_Q15544_2_TAF11.pdf</v>
      </c>
    </row>
    <row r="3617" spans="1:28" x14ac:dyDescent="0.25">
      <c r="A3617" t="s">
        <v>3621</v>
      </c>
      <c r="B3617">
        <v>0.99472303558308395</v>
      </c>
      <c r="C3617">
        <v>0.96440162166752896</v>
      </c>
      <c r="D3617">
        <v>0.82682064505359099</v>
      </c>
      <c r="E3617">
        <v>0.64958960967414303</v>
      </c>
      <c r="F3617">
        <v>0.44145515789289602</v>
      </c>
      <c r="G3617">
        <v>0.29663989114719702</v>
      </c>
      <c r="H3617">
        <v>0.222445358801166</v>
      </c>
      <c r="I3617">
        <v>0.223463403121228</v>
      </c>
      <c r="J3617">
        <v>0.31083956708998001</v>
      </c>
      <c r="K3617">
        <v>0.27384201148200499</v>
      </c>
      <c r="L3617">
        <v>787.58074291321998</v>
      </c>
      <c r="M3617">
        <v>16.8566982594708</v>
      </c>
      <c r="N3617">
        <v>48.647546739964</v>
      </c>
      <c r="O3617">
        <v>46.079434978155199</v>
      </c>
      <c r="P3617">
        <v>-6.9197014362462006E-2</v>
      </c>
      <c r="Q3617">
        <v>0.24342108683993699</v>
      </c>
      <c r="R3617">
        <v>0.98817918877761202</v>
      </c>
      <c r="S3617" t="s">
        <v>10185</v>
      </c>
      <c r="T3617" t="s">
        <v>13134</v>
      </c>
      <c r="U3617" t="s">
        <v>13134</v>
      </c>
      <c r="V3617" t="s">
        <v>13134</v>
      </c>
      <c r="W3617" t="s">
        <v>16697</v>
      </c>
      <c r="X3617">
        <v>10</v>
      </c>
      <c r="Y3617" t="s">
        <v>23096</v>
      </c>
      <c r="Z3617" t="s">
        <v>29585</v>
      </c>
      <c r="AA3617">
        <v>0.50239988015295367</v>
      </c>
      <c r="AB3617" t="str">
        <f>HYPERLINK("Melting_Curves/meltCurve_Q15545_TAF7.pdf", "Melting_Curves/meltCurve_Q15545_TAF7.pdf")</f>
        <v>Melting_Curves/meltCurve_Q15545_TAF7.pdf</v>
      </c>
    </row>
    <row r="3618" spans="1:28" x14ac:dyDescent="0.25">
      <c r="A3618" t="s">
        <v>3622</v>
      </c>
      <c r="B3618">
        <v>0.99472303558308395</v>
      </c>
      <c r="C3618">
        <v>0.94493775332345897</v>
      </c>
      <c r="D3618">
        <v>0.96245222471582303</v>
      </c>
      <c r="E3618">
        <v>0.81368677750264296</v>
      </c>
      <c r="F3618">
        <v>0.37089509701737999</v>
      </c>
      <c r="G3618">
        <v>9.4265507345753202E-2</v>
      </c>
      <c r="H3618">
        <v>4.9694541166476702E-2</v>
      </c>
      <c r="I3618">
        <v>3.1441092840495601E-2</v>
      </c>
      <c r="J3618">
        <v>3.9516982162827903E-2</v>
      </c>
      <c r="K3618">
        <v>2.8349999111675E-2</v>
      </c>
      <c r="L3618">
        <v>1336.8571343379699</v>
      </c>
      <c r="M3618">
        <v>27.262316751598402</v>
      </c>
      <c r="N3618">
        <v>49.142998212757597</v>
      </c>
      <c r="O3618">
        <v>48.775260651623398</v>
      </c>
      <c r="P3618">
        <v>-0.13573923093839599</v>
      </c>
      <c r="Q3618">
        <v>2.8600350056737299E-2</v>
      </c>
      <c r="R3618">
        <v>0.99801624863916105</v>
      </c>
      <c r="S3618" t="s">
        <v>10186</v>
      </c>
      <c r="T3618" t="s">
        <v>13134</v>
      </c>
      <c r="U3618" t="s">
        <v>13134</v>
      </c>
      <c r="V3618" t="s">
        <v>13134</v>
      </c>
      <c r="W3618" t="s">
        <v>16698</v>
      </c>
      <c r="X3618">
        <v>11</v>
      </c>
      <c r="Y3618" t="s">
        <v>23097</v>
      </c>
      <c r="Z3618" t="s">
        <v>29586</v>
      </c>
      <c r="AA3618">
        <v>0.42544016345921443</v>
      </c>
      <c r="AB3618" t="str">
        <f>HYPERLINK("Melting_Curves/meltCurve_Q15554_3_TERF2.pdf", "Melting_Curves/meltCurve_Q15554_3_TERF2.pdf")</f>
        <v>Melting_Curves/meltCurve_Q15554_3_TERF2.pdf</v>
      </c>
    </row>
    <row r="3619" spans="1:28" x14ac:dyDescent="0.25">
      <c r="A3619" t="s">
        <v>3623</v>
      </c>
      <c r="B3619">
        <v>0.99472303558308395</v>
      </c>
      <c r="C3619">
        <v>0.79617818796043205</v>
      </c>
      <c r="D3619">
        <v>0.39707393951508602</v>
      </c>
      <c r="E3619">
        <v>0.18275082459547201</v>
      </c>
      <c r="F3619">
        <v>8.5636681986944796E-2</v>
      </c>
      <c r="G3619">
        <v>4.3257813503968998E-2</v>
      </c>
      <c r="H3619">
        <v>2.6797524917530801E-2</v>
      </c>
      <c r="I3619">
        <v>2.4262039160968401E-2</v>
      </c>
      <c r="J3619">
        <v>3.0685647870602899E-2</v>
      </c>
      <c r="K3619">
        <v>1.94948518570967E-2</v>
      </c>
      <c r="L3619">
        <v>911.85382499137199</v>
      </c>
      <c r="M3619">
        <v>21.581469357699898</v>
      </c>
      <c r="N3619">
        <v>42.387857182925899</v>
      </c>
      <c r="O3619">
        <v>41.893929003677499</v>
      </c>
      <c r="P3619">
        <v>-0.124476680287208</v>
      </c>
      <c r="Q3619">
        <v>3.3486722420851101E-2</v>
      </c>
      <c r="R3619">
        <v>0.99605549918554803</v>
      </c>
      <c r="S3619" t="s">
        <v>10187</v>
      </c>
      <c r="T3619" t="s">
        <v>13134</v>
      </c>
      <c r="U3619" t="s">
        <v>13134</v>
      </c>
      <c r="V3619" t="s">
        <v>13134</v>
      </c>
      <c r="W3619" t="s">
        <v>16699</v>
      </c>
      <c r="X3619">
        <v>13</v>
      </c>
      <c r="Y3619" t="s">
        <v>23098</v>
      </c>
      <c r="Z3619" t="s">
        <v>29587</v>
      </c>
      <c r="AA3619">
        <v>0.21458544953947911</v>
      </c>
      <c r="AB3619" t="str">
        <f>HYPERLINK("Melting_Curves/meltCurve_Q15555_MAPRE2.pdf", "Melting_Curves/meltCurve_Q15555_MAPRE2.pdf")</f>
        <v>Melting_Curves/meltCurve_Q15555_MAPRE2.pdf</v>
      </c>
    </row>
    <row r="3620" spans="1:28" x14ac:dyDescent="0.25">
      <c r="A3620" t="s">
        <v>3624</v>
      </c>
      <c r="B3620">
        <v>0.99472303558308395</v>
      </c>
      <c r="C3620">
        <v>0.83768605768375803</v>
      </c>
      <c r="D3620">
        <v>0.63950449347282801</v>
      </c>
      <c r="E3620">
        <v>0.29164298217582402</v>
      </c>
      <c r="F3620">
        <v>0.213843426535375</v>
      </c>
      <c r="G3620">
        <v>0.10610493519358299</v>
      </c>
      <c r="H3620">
        <v>6.33718210091537E-2</v>
      </c>
      <c r="I3620">
        <v>5.1639040122134397E-2</v>
      </c>
      <c r="J3620">
        <v>5.6310026118829799E-2</v>
      </c>
      <c r="K3620">
        <v>4.8571350316039201E-2</v>
      </c>
      <c r="L3620">
        <v>715.93022255496896</v>
      </c>
      <c r="M3620">
        <v>16.233149944612801</v>
      </c>
      <c r="N3620">
        <v>44.396971479778898</v>
      </c>
      <c r="O3620">
        <v>43.449972260442301</v>
      </c>
      <c r="P3620">
        <v>-8.8648296198075294E-2</v>
      </c>
      <c r="Q3620">
        <v>5.0959032799997903E-2</v>
      </c>
      <c r="R3620">
        <v>0.99499920568842104</v>
      </c>
      <c r="S3620" t="s">
        <v>10188</v>
      </c>
      <c r="T3620" t="s">
        <v>13134</v>
      </c>
      <c r="U3620" t="s">
        <v>13134</v>
      </c>
      <c r="V3620" t="s">
        <v>13134</v>
      </c>
      <c r="W3620" t="s">
        <v>16700</v>
      </c>
      <c r="X3620">
        <v>1</v>
      </c>
      <c r="Y3620" t="s">
        <v>23099</v>
      </c>
      <c r="Z3620" t="s">
        <v>29588</v>
      </c>
      <c r="AA3620">
        <v>0.29553296932062711</v>
      </c>
      <c r="AB3620" t="str">
        <f>HYPERLINK("Melting_Curves/meltCurve_Q15596_NCOA2.pdf", "Melting_Curves/meltCurve_Q15596_NCOA2.pdf")</f>
        <v>Melting_Curves/meltCurve_Q15596_NCOA2.pdf</v>
      </c>
    </row>
    <row r="3621" spans="1:28" x14ac:dyDescent="0.25">
      <c r="A3621" t="s">
        <v>3625</v>
      </c>
      <c r="B3621">
        <v>0.99472303558308395</v>
      </c>
      <c r="C3621">
        <v>1.0372914958413799</v>
      </c>
      <c r="D3621">
        <v>0.96063464400030196</v>
      </c>
      <c r="E3621">
        <v>0.85845954516829004</v>
      </c>
      <c r="F3621">
        <v>0.60183178482128297</v>
      </c>
      <c r="G3621">
        <v>0.39644615602785799</v>
      </c>
      <c r="H3621">
        <v>0.32160084785230503</v>
      </c>
      <c r="I3621">
        <v>0.31128456007348299</v>
      </c>
      <c r="J3621">
        <v>0.44619936083450201</v>
      </c>
      <c r="K3621">
        <v>0.31634542343476402</v>
      </c>
      <c r="L3621">
        <v>1245.6443774326599</v>
      </c>
      <c r="M3621">
        <v>25.351953246690499</v>
      </c>
      <c r="N3621">
        <v>51.4807545150178</v>
      </c>
      <c r="O3621">
        <v>48.8314080970625</v>
      </c>
      <c r="P3621">
        <v>-8.5330784701901197E-2</v>
      </c>
      <c r="Q3621">
        <v>0.34257227914489902</v>
      </c>
      <c r="R3621">
        <v>0.98060378347298305</v>
      </c>
      <c r="S3621" t="s">
        <v>10189</v>
      </c>
      <c r="T3621" t="s">
        <v>13134</v>
      </c>
      <c r="U3621" t="s">
        <v>13134</v>
      </c>
      <c r="V3621" t="s">
        <v>13134</v>
      </c>
      <c r="W3621" t="s">
        <v>16701</v>
      </c>
      <c r="X3621">
        <v>13</v>
      </c>
      <c r="Y3621" t="s">
        <v>23100</v>
      </c>
      <c r="Z3621" t="s">
        <v>29589</v>
      </c>
      <c r="AA3621">
        <v>0.61401965045645024</v>
      </c>
      <c r="AB3621" t="str">
        <f>HYPERLINK("Melting_Curves/meltCurve_Q15599_2_SLC9A3R2.pdf", "Melting_Curves/meltCurve_Q15599_2_SLC9A3R2.pdf")</f>
        <v>Melting_Curves/meltCurve_Q15599_2_SLC9A3R2.pdf</v>
      </c>
    </row>
    <row r="3622" spans="1:28" x14ac:dyDescent="0.25">
      <c r="A3622" t="s">
        <v>3626</v>
      </c>
      <c r="B3622">
        <v>0.99472303558308395</v>
      </c>
      <c r="C3622">
        <v>0.98646658452622504</v>
      </c>
      <c r="D3622">
        <v>0.92861060040783905</v>
      </c>
      <c r="E3622">
        <v>0.55978634494438295</v>
      </c>
      <c r="F3622">
        <v>0.30235139236315101</v>
      </c>
      <c r="G3622">
        <v>0.18761565509536299</v>
      </c>
      <c r="H3622">
        <v>0.142814095746532</v>
      </c>
      <c r="I3622">
        <v>0.11103142536744399</v>
      </c>
      <c r="J3622">
        <v>0.15417664961095401</v>
      </c>
      <c r="K3622">
        <v>0.122351965570315</v>
      </c>
      <c r="L3622">
        <v>1078.91324401406</v>
      </c>
      <c r="M3622">
        <v>23.064996390228199</v>
      </c>
      <c r="N3622">
        <v>47.414095872846097</v>
      </c>
      <c r="O3622">
        <v>46.429724399978497</v>
      </c>
      <c r="P3622">
        <v>-0.107648231677423</v>
      </c>
      <c r="Q3622">
        <v>0.13323475138360499</v>
      </c>
      <c r="R3622">
        <v>0.99746120507407598</v>
      </c>
      <c r="S3622" t="s">
        <v>10190</v>
      </c>
      <c r="T3622" t="s">
        <v>13134</v>
      </c>
      <c r="U3622" t="s">
        <v>13134</v>
      </c>
      <c r="V3622" t="s">
        <v>13134</v>
      </c>
      <c r="W3622" t="s">
        <v>16702</v>
      </c>
      <c r="X3622">
        <v>6</v>
      </c>
      <c r="Y3622" t="s">
        <v>23101</v>
      </c>
      <c r="Z3622" t="s">
        <v>29590</v>
      </c>
      <c r="AA3622">
        <v>0.42425088697894642</v>
      </c>
      <c r="AB3622" t="str">
        <f>HYPERLINK("Melting_Curves/meltCurve_Q15628_TRADD.pdf", "Melting_Curves/meltCurve_Q15628_TRADD.pdf")</f>
        <v>Melting_Curves/meltCurve_Q15628_TRADD.pdf</v>
      </c>
    </row>
    <row r="3623" spans="1:28" x14ac:dyDescent="0.25">
      <c r="A3623" t="s">
        <v>3627</v>
      </c>
      <c r="B3623">
        <v>0.99472303558308395</v>
      </c>
      <c r="C3623">
        <v>1.0521234481733901</v>
      </c>
      <c r="D3623">
        <v>0.99040119140494198</v>
      </c>
      <c r="E3623">
        <v>0.84397931701698103</v>
      </c>
      <c r="F3623">
        <v>0.62983226037030904</v>
      </c>
      <c r="G3623">
        <v>0.54006557887025297</v>
      </c>
      <c r="H3623">
        <v>0.38001953370712599</v>
      </c>
      <c r="I3623">
        <v>0.35875135363241201</v>
      </c>
      <c r="J3623">
        <v>0.43064631317396102</v>
      </c>
      <c r="K3623">
        <v>0.334744260202127</v>
      </c>
      <c r="L3623">
        <v>907.42468331518796</v>
      </c>
      <c r="M3623">
        <v>18.251927230634699</v>
      </c>
      <c r="N3623">
        <v>53.479549070199099</v>
      </c>
      <c r="O3623">
        <v>49.131372577487198</v>
      </c>
      <c r="P3623">
        <v>-5.92958777785089E-2</v>
      </c>
      <c r="Q3623">
        <v>0.361568442926819</v>
      </c>
      <c r="R3623">
        <v>0.982033390184469</v>
      </c>
      <c r="S3623" t="s">
        <v>10191</v>
      </c>
      <c r="T3623" t="s">
        <v>13134</v>
      </c>
      <c r="U3623" t="s">
        <v>13134</v>
      </c>
      <c r="V3623" t="s">
        <v>13134</v>
      </c>
      <c r="W3623" t="s">
        <v>16703</v>
      </c>
      <c r="X3623">
        <v>24</v>
      </c>
      <c r="Y3623" t="s">
        <v>20704</v>
      </c>
      <c r="Z3623" t="s">
        <v>29591</v>
      </c>
      <c r="AA3623">
        <v>0.64204852693468684</v>
      </c>
      <c r="AB3623" t="str">
        <f>HYPERLINK("Melting_Curves/meltCurve_Q15637_5_SF1.pdf", "Melting_Curves/meltCurve_Q15637_5_SF1.pdf")</f>
        <v>Melting_Curves/meltCurve_Q15637_5_SF1.pdf</v>
      </c>
    </row>
    <row r="3624" spans="1:28" x14ac:dyDescent="0.25">
      <c r="A3624" t="s">
        <v>3628</v>
      </c>
      <c r="B3624">
        <v>0.99472303558308395</v>
      </c>
      <c r="C3624">
        <v>0.91203134593993596</v>
      </c>
      <c r="D3624">
        <v>0.96102798056654604</v>
      </c>
      <c r="E3624">
        <v>0.86565321358466996</v>
      </c>
      <c r="F3624">
        <v>0.65981629751317705</v>
      </c>
      <c r="G3624">
        <v>0.48853522552276402</v>
      </c>
      <c r="H3624">
        <v>0.19594815559909401</v>
      </c>
      <c r="I3624">
        <v>0.20470695242092099</v>
      </c>
      <c r="J3624">
        <v>0.234821671253198</v>
      </c>
      <c r="K3624">
        <v>0.20348886975415201</v>
      </c>
      <c r="L3624">
        <v>883.49662482298504</v>
      </c>
      <c r="M3624">
        <v>17.224321984208501</v>
      </c>
      <c r="N3624">
        <v>52.572624694794399</v>
      </c>
      <c r="O3624">
        <v>50.6171254963377</v>
      </c>
      <c r="P3624">
        <v>-7.0514206893602993E-2</v>
      </c>
      <c r="Q3624">
        <v>0.171168074918885</v>
      </c>
      <c r="R3624">
        <v>0.98069048186577101</v>
      </c>
      <c r="S3624" t="s">
        <v>10192</v>
      </c>
      <c r="T3624" t="s">
        <v>13134</v>
      </c>
      <c r="U3624" t="s">
        <v>13134</v>
      </c>
      <c r="V3624" t="s">
        <v>13134</v>
      </c>
      <c r="W3624" t="s">
        <v>16704</v>
      </c>
      <c r="X3624">
        <v>21</v>
      </c>
      <c r="Y3624" t="s">
        <v>20704</v>
      </c>
      <c r="Z3624" t="s">
        <v>29592</v>
      </c>
      <c r="AA3624">
        <v>0.57970399668543149</v>
      </c>
      <c r="AB3624" t="str">
        <f>HYPERLINK("Melting_Curves/meltCurve_Q15637_6_SF1.pdf", "Melting_Curves/meltCurve_Q15637_6_SF1.pdf")</f>
        <v>Melting_Curves/meltCurve_Q15637_6_SF1.pdf</v>
      </c>
    </row>
    <row r="3625" spans="1:28" x14ac:dyDescent="0.25">
      <c r="A3625" t="s">
        <v>3629</v>
      </c>
      <c r="B3625">
        <v>0.99472303558308395</v>
      </c>
      <c r="C3625">
        <v>0.97558741137862104</v>
      </c>
      <c r="D3625">
        <v>0.74983672092146103</v>
      </c>
      <c r="E3625">
        <v>0.80349797333165096</v>
      </c>
      <c r="F3625">
        <v>0.41726881523766901</v>
      </c>
      <c r="G3625">
        <v>0.31591753912584503</v>
      </c>
      <c r="H3625">
        <v>0.217930584128879</v>
      </c>
      <c r="I3625">
        <v>0.15342830977494701</v>
      </c>
      <c r="J3625">
        <v>0.15942227240856599</v>
      </c>
      <c r="K3625">
        <v>0.167492468677155</v>
      </c>
      <c r="L3625">
        <v>641.64384585507196</v>
      </c>
      <c r="M3625">
        <v>13.1870643342377</v>
      </c>
      <c r="N3625">
        <v>49.679566564538398</v>
      </c>
      <c r="O3625">
        <v>47.578956757511399</v>
      </c>
      <c r="P3625">
        <v>-6.1065504652162303E-2</v>
      </c>
      <c r="Q3625">
        <v>0.11884935441425699</v>
      </c>
      <c r="R3625">
        <v>0.96991631385602795</v>
      </c>
      <c r="S3625" t="s">
        <v>10193</v>
      </c>
      <c r="T3625" t="s">
        <v>13134</v>
      </c>
      <c r="U3625" t="s">
        <v>13134</v>
      </c>
      <c r="V3625" t="s">
        <v>13134</v>
      </c>
      <c r="W3625" t="s">
        <v>16705</v>
      </c>
      <c r="X3625">
        <v>19</v>
      </c>
      <c r="Y3625" t="s">
        <v>23102</v>
      </c>
      <c r="Z3625" t="s">
        <v>29593</v>
      </c>
      <c r="AA3625">
        <v>0.48455868664009227</v>
      </c>
      <c r="AB3625" t="str">
        <f>HYPERLINK("Melting_Curves/meltCurve_Q15642_TRIP10.pdf", "Melting_Curves/meltCurve_Q15642_TRIP10.pdf")</f>
        <v>Melting_Curves/meltCurve_Q15642_TRIP10.pdf</v>
      </c>
    </row>
    <row r="3626" spans="1:28" x14ac:dyDescent="0.25">
      <c r="A3626" t="s">
        <v>3630</v>
      </c>
      <c r="B3626">
        <v>0.99472303558308395</v>
      </c>
      <c r="C3626">
        <v>0.92173721724956104</v>
      </c>
      <c r="D3626">
        <v>0.98453872950105004</v>
      </c>
      <c r="E3626">
        <v>0.77723885337707299</v>
      </c>
      <c r="F3626">
        <v>0.23409235550565999</v>
      </c>
      <c r="G3626">
        <v>0.103134871662098</v>
      </c>
      <c r="H3626">
        <v>5.7388261857598703E-2</v>
      </c>
      <c r="I3626">
        <v>4.1313489809953398E-2</v>
      </c>
      <c r="J3626">
        <v>4.9394187443055002E-2</v>
      </c>
      <c r="K3626">
        <v>5.0153629152447997E-2</v>
      </c>
      <c r="L3626">
        <v>1650.7156861021699</v>
      </c>
      <c r="M3626">
        <v>34.268478060903497</v>
      </c>
      <c r="N3626">
        <v>48.327912175273603</v>
      </c>
      <c r="O3626">
        <v>48.006938752096801</v>
      </c>
      <c r="P3626">
        <v>-0.169009580777991</v>
      </c>
      <c r="Q3626">
        <v>5.29370509671684E-2</v>
      </c>
      <c r="R3626">
        <v>0.99596960052721495</v>
      </c>
      <c r="S3626" t="s">
        <v>10194</v>
      </c>
      <c r="T3626" t="s">
        <v>13134</v>
      </c>
      <c r="U3626" t="s">
        <v>13134</v>
      </c>
      <c r="V3626" t="s">
        <v>13134</v>
      </c>
      <c r="W3626" t="s">
        <v>16706</v>
      </c>
      <c r="X3626">
        <v>19</v>
      </c>
      <c r="Y3626" t="s">
        <v>23102</v>
      </c>
      <c r="Z3626" t="s">
        <v>29594</v>
      </c>
      <c r="AA3626">
        <v>0.40986932222917871</v>
      </c>
      <c r="AB3626" t="str">
        <f>HYPERLINK("Melting_Curves/meltCurve_Q15642_2_TRIP10.pdf", "Melting_Curves/meltCurve_Q15642_2_TRIP10.pdf")</f>
        <v>Melting_Curves/meltCurve_Q15642_2_TRIP10.pdf</v>
      </c>
    </row>
    <row r="3627" spans="1:28" x14ac:dyDescent="0.25">
      <c r="A3627" t="s">
        <v>3631</v>
      </c>
      <c r="B3627">
        <v>0.99472303558308395</v>
      </c>
      <c r="C3627">
        <v>0.94524445435791005</v>
      </c>
      <c r="D3627">
        <v>0.63016399710906601</v>
      </c>
      <c r="E3627">
        <v>0.32111843174160198</v>
      </c>
      <c r="F3627">
        <v>0.22569773988473901</v>
      </c>
      <c r="G3627">
        <v>0.116488549768807</v>
      </c>
      <c r="H3627">
        <v>7.5379045174373896E-2</v>
      </c>
      <c r="I3627">
        <v>5.41061010634366E-2</v>
      </c>
      <c r="J3627">
        <v>7.0281745555891201E-2</v>
      </c>
      <c r="K3627">
        <v>5.6032236428806302E-2</v>
      </c>
      <c r="L3627">
        <v>811.59958412493302</v>
      </c>
      <c r="M3627">
        <v>18.3059275328091</v>
      </c>
      <c r="N3627">
        <v>44.697308526031499</v>
      </c>
      <c r="O3627">
        <v>43.816427823681899</v>
      </c>
      <c r="P3627">
        <v>-9.7256009322039899E-2</v>
      </c>
      <c r="Q3627">
        <v>6.8888659711137695E-2</v>
      </c>
      <c r="R3627">
        <v>0.99285480297247697</v>
      </c>
      <c r="S3627" t="s">
        <v>10195</v>
      </c>
      <c r="T3627" t="s">
        <v>13134</v>
      </c>
      <c r="U3627" t="s">
        <v>13134</v>
      </c>
      <c r="V3627" t="s">
        <v>13134</v>
      </c>
      <c r="W3627" t="s">
        <v>16707</v>
      </c>
      <c r="X3627">
        <v>27</v>
      </c>
      <c r="Y3627" t="s">
        <v>23103</v>
      </c>
      <c r="Z3627" t="s">
        <v>29595</v>
      </c>
      <c r="AA3627">
        <v>0.31151488943088201</v>
      </c>
      <c r="AB3627" t="str">
        <f>HYPERLINK("Melting_Curves/meltCurve_Q15643_TRIP11.pdf", "Melting_Curves/meltCurve_Q15643_TRIP11.pdf")</f>
        <v>Melting_Curves/meltCurve_Q15643_TRIP11.pdf</v>
      </c>
    </row>
    <row r="3628" spans="1:28" x14ac:dyDescent="0.25">
      <c r="A3628" t="s">
        <v>3632</v>
      </c>
      <c r="B3628">
        <v>0.99472303558308395</v>
      </c>
      <c r="C3628">
        <v>0.93242551525209005</v>
      </c>
      <c r="D3628">
        <v>0.96374247500018595</v>
      </c>
      <c r="E3628">
        <v>0.66018723491787301</v>
      </c>
      <c r="F3628">
        <v>0.26386058707024401</v>
      </c>
      <c r="G3628">
        <v>0.106849928725403</v>
      </c>
      <c r="H3628">
        <v>5.9285923723105101E-2</v>
      </c>
      <c r="I3628">
        <v>4.2126667100073699E-2</v>
      </c>
      <c r="J3628">
        <v>4.4955339016815303E-2</v>
      </c>
      <c r="K3628">
        <v>4.5325654241790601E-2</v>
      </c>
      <c r="L3628">
        <v>1178.3045451352</v>
      </c>
      <c r="M3628">
        <v>24.6710001336705</v>
      </c>
      <c r="N3628">
        <v>47.938115497794797</v>
      </c>
      <c r="O3628">
        <v>47.450250416501</v>
      </c>
      <c r="P3628">
        <v>-0.124314492846788</v>
      </c>
      <c r="Q3628">
        <v>4.3627267200166402E-2</v>
      </c>
      <c r="R3628">
        <v>0.99738364559975201</v>
      </c>
      <c r="S3628" t="s">
        <v>10196</v>
      </c>
      <c r="T3628" t="s">
        <v>13134</v>
      </c>
      <c r="U3628" t="s">
        <v>13134</v>
      </c>
      <c r="V3628" t="s">
        <v>13134</v>
      </c>
      <c r="W3628" t="s">
        <v>16708</v>
      </c>
      <c r="X3628">
        <v>15</v>
      </c>
      <c r="Y3628" t="s">
        <v>23104</v>
      </c>
      <c r="Z3628" t="s">
        <v>29596</v>
      </c>
      <c r="AA3628">
        <v>0.39500689385726789</v>
      </c>
      <c r="AB3628" t="str">
        <f>HYPERLINK("Melting_Curves/meltCurve_Q15645_TRIP13.pdf", "Melting_Curves/meltCurve_Q15645_TRIP13.pdf")</f>
        <v>Melting_Curves/meltCurve_Q15645_TRIP13.pdf</v>
      </c>
    </row>
    <row r="3629" spans="1:28" x14ac:dyDescent="0.25">
      <c r="A3629" t="s">
        <v>3633</v>
      </c>
      <c r="B3629">
        <v>0.99472303558308395</v>
      </c>
      <c r="C3629">
        <v>0.922587865561736</v>
      </c>
      <c r="D3629">
        <v>0.67881473219178801</v>
      </c>
      <c r="E3629">
        <v>0.54662809423294101</v>
      </c>
      <c r="F3629">
        <v>0.64557721093868703</v>
      </c>
      <c r="G3629">
        <v>0.179135647880766</v>
      </c>
      <c r="H3629">
        <v>0.11446159264971099</v>
      </c>
      <c r="I3629">
        <v>8.2197281020648202E-2</v>
      </c>
      <c r="J3629">
        <v>8.10839204307892E-2</v>
      </c>
      <c r="K3629">
        <v>7.3248813688061395E-2</v>
      </c>
      <c r="L3629">
        <v>483.96416241783402</v>
      </c>
      <c r="M3629">
        <v>9.9807762600479304</v>
      </c>
      <c r="N3629">
        <v>48.489608186027901</v>
      </c>
      <c r="O3629">
        <v>46.663591053735701</v>
      </c>
      <c r="P3629">
        <v>-5.3498170576761601E-2</v>
      </c>
      <c r="Q3629">
        <v>0</v>
      </c>
      <c r="R3629">
        <v>0.932700228254562</v>
      </c>
      <c r="S3629" t="s">
        <v>10197</v>
      </c>
      <c r="T3629" t="s">
        <v>13134</v>
      </c>
      <c r="U3629" t="s">
        <v>13134</v>
      </c>
      <c r="V3629" t="s">
        <v>13134</v>
      </c>
      <c r="W3629" t="s">
        <v>16709</v>
      </c>
      <c r="X3629">
        <v>11</v>
      </c>
      <c r="Y3629" t="s">
        <v>23105</v>
      </c>
      <c r="Z3629" t="s">
        <v>29597</v>
      </c>
      <c r="AA3629">
        <v>0.42176665773530259</v>
      </c>
      <c r="AB3629" t="str">
        <f>HYPERLINK("Melting_Curves/meltCurve_Q15648_MED1.pdf", "Melting_Curves/meltCurve_Q15648_MED1.pdf")</f>
        <v>Melting_Curves/meltCurve_Q15648_MED1.pdf</v>
      </c>
    </row>
    <row r="3630" spans="1:28" x14ac:dyDescent="0.25">
      <c r="A3630" t="s">
        <v>3634</v>
      </c>
      <c r="B3630">
        <v>0.99472303558308395</v>
      </c>
      <c r="C3630">
        <v>1.0194198990913199</v>
      </c>
      <c r="D3630">
        <v>1.0818137218286099</v>
      </c>
      <c r="E3630">
        <v>1.0254754460103701</v>
      </c>
      <c r="F3630">
        <v>0.75695296117820199</v>
      </c>
      <c r="G3630">
        <v>0.69583381679434997</v>
      </c>
      <c r="H3630">
        <v>0.40132407711103901</v>
      </c>
      <c r="I3630">
        <v>0.42824933806837701</v>
      </c>
      <c r="J3630">
        <v>0.46858447306668299</v>
      </c>
      <c r="K3630">
        <v>0.29954983196324397</v>
      </c>
      <c r="L3630">
        <v>1071.7330901545899</v>
      </c>
      <c r="M3630">
        <v>20.297242642451302</v>
      </c>
      <c r="N3630">
        <v>56.468443031103298</v>
      </c>
      <c r="O3630">
        <v>52.297385643276897</v>
      </c>
      <c r="P3630">
        <v>-6.1502730491361103E-2</v>
      </c>
      <c r="Q3630">
        <v>0.36615369172113199</v>
      </c>
      <c r="R3630">
        <v>0.94861333267585801</v>
      </c>
      <c r="S3630" t="s">
        <v>10198</v>
      </c>
      <c r="T3630" t="s">
        <v>13134</v>
      </c>
      <c r="U3630" t="s">
        <v>13134</v>
      </c>
      <c r="V3630" t="s">
        <v>13134</v>
      </c>
      <c r="W3630" t="s">
        <v>16710</v>
      </c>
      <c r="X3630">
        <v>5</v>
      </c>
      <c r="Y3630" t="s">
        <v>23106</v>
      </c>
      <c r="Z3630" t="s">
        <v>29598</v>
      </c>
      <c r="AA3630">
        <v>0.70787876579673137</v>
      </c>
      <c r="AB3630" t="str">
        <f>HYPERLINK("Melting_Curves/meltCurve_Q15649_ZNHIT3.pdf", "Melting_Curves/meltCurve_Q15649_ZNHIT3.pdf")</f>
        <v>Melting_Curves/meltCurve_Q15649_ZNHIT3.pdf</v>
      </c>
    </row>
    <row r="3631" spans="1:28" x14ac:dyDescent="0.25">
      <c r="A3631" t="s">
        <v>3635</v>
      </c>
      <c r="B3631">
        <v>0.99472303558308395</v>
      </c>
      <c r="C3631">
        <v>0.96878668394074996</v>
      </c>
      <c r="D3631">
        <v>0.84925011141916695</v>
      </c>
      <c r="E3631">
        <v>0.97671547847094597</v>
      </c>
      <c r="F3631">
        <v>0.64348102488661896</v>
      </c>
      <c r="G3631">
        <v>0.25935113018352501</v>
      </c>
      <c r="H3631">
        <v>8.4127491543174407E-2</v>
      </c>
      <c r="I3631">
        <v>0</v>
      </c>
      <c r="J3631">
        <v>0</v>
      </c>
      <c r="K3631">
        <v>7.2342762638869296E-2</v>
      </c>
      <c r="L3631">
        <v>1338.2588096918</v>
      </c>
      <c r="M3631">
        <v>26.046117714394001</v>
      </c>
      <c r="N3631">
        <v>51.457747728912103</v>
      </c>
      <c r="O3631">
        <v>51.080349790171503</v>
      </c>
      <c r="P3631">
        <v>-0.125029123401839</v>
      </c>
      <c r="Q3631">
        <v>1.9207624902545101E-2</v>
      </c>
      <c r="R3631">
        <v>0.98386612453934796</v>
      </c>
      <c r="S3631" t="s">
        <v>10199</v>
      </c>
      <c r="T3631" t="s">
        <v>13134</v>
      </c>
      <c r="U3631" t="s">
        <v>13134</v>
      </c>
      <c r="V3631" t="s">
        <v>13134</v>
      </c>
      <c r="W3631" t="s">
        <v>16711</v>
      </c>
      <c r="X3631">
        <v>2</v>
      </c>
      <c r="Y3631" t="s">
        <v>23107</v>
      </c>
      <c r="Z3631" t="s">
        <v>29599</v>
      </c>
      <c r="AA3631">
        <v>0.49738455581145669</v>
      </c>
      <c r="AB3631" t="str">
        <f>HYPERLINK("Melting_Curves/meltCurve_Q15650_TRIP4.pdf", "Melting_Curves/meltCurve_Q15650_TRIP4.pdf")</f>
        <v>Melting_Curves/meltCurve_Q15650_TRIP4.pdf</v>
      </c>
    </row>
    <row r="3632" spans="1:28" x14ac:dyDescent="0.25">
      <c r="A3632" t="s">
        <v>3636</v>
      </c>
      <c r="B3632">
        <v>0.99472303558308395</v>
      </c>
      <c r="C3632">
        <v>1.2257869596756299</v>
      </c>
      <c r="D3632">
        <v>0.89692531662623398</v>
      </c>
      <c r="E3632">
        <v>0.98321447699157405</v>
      </c>
      <c r="F3632">
        <v>0.808666129934143</v>
      </c>
      <c r="G3632">
        <v>0.56733328529347404</v>
      </c>
      <c r="H3632">
        <v>0.47459166327319302</v>
      </c>
      <c r="I3632">
        <v>0.53364154662466101</v>
      </c>
      <c r="J3632">
        <v>0.67540092235665805</v>
      </c>
      <c r="K3632">
        <v>0.43743933431363802</v>
      </c>
      <c r="L3632">
        <v>2235.5438738458001</v>
      </c>
      <c r="M3632">
        <v>44.166338358580603</v>
      </c>
      <c r="O3632">
        <v>50.513024152855401</v>
      </c>
      <c r="P3632">
        <v>-0.102576641198717</v>
      </c>
      <c r="Q3632">
        <v>0.53073319527961804</v>
      </c>
      <c r="R3632">
        <v>0.84819194136304499</v>
      </c>
      <c r="S3632" t="s">
        <v>10200</v>
      </c>
      <c r="T3632" t="s">
        <v>13134</v>
      </c>
      <c r="U3632" t="s">
        <v>13134</v>
      </c>
      <c r="V3632" t="s">
        <v>13134</v>
      </c>
      <c r="W3632" t="s">
        <v>16712</v>
      </c>
      <c r="X3632">
        <v>1</v>
      </c>
      <c r="Y3632" t="s">
        <v>23108</v>
      </c>
      <c r="Z3632" t="s">
        <v>29600</v>
      </c>
      <c r="AA3632">
        <v>0.74506926776626892</v>
      </c>
      <c r="AB3632" t="str">
        <f>HYPERLINK("Melting_Curves/meltCurve_Q15651_HMGN3.pdf", "Melting_Curves/meltCurve_Q15651_HMGN3.pdf")</f>
        <v>Melting_Curves/meltCurve_Q15651_HMGN3.pdf</v>
      </c>
    </row>
    <row r="3633" spans="1:28" x14ac:dyDescent="0.25">
      <c r="A3633" t="s">
        <v>3637</v>
      </c>
      <c r="B3633">
        <v>0.99472303558308395</v>
      </c>
      <c r="C3633">
        <v>0.90492418917291995</v>
      </c>
      <c r="D3633">
        <v>0.77141241614628797</v>
      </c>
      <c r="E3633">
        <v>0.580752536265977</v>
      </c>
      <c r="F3633">
        <v>0.35190378448973503</v>
      </c>
      <c r="G3633">
        <v>0.16494846903591301</v>
      </c>
      <c r="H3633">
        <v>0.114852651660732</v>
      </c>
      <c r="I3633">
        <v>9.0325877281887304E-2</v>
      </c>
      <c r="J3633">
        <v>8.9549046161590096E-2</v>
      </c>
      <c r="K3633">
        <v>0.114389717484111</v>
      </c>
      <c r="L3633">
        <v>650.17292678925298</v>
      </c>
      <c r="M3633">
        <v>13.857370957943401</v>
      </c>
      <c r="N3633">
        <v>47.389615001110897</v>
      </c>
      <c r="O3633">
        <v>45.974211162482597</v>
      </c>
      <c r="P3633">
        <v>-7.0519067667023594E-2</v>
      </c>
      <c r="Q3633">
        <v>6.4292339316492003E-2</v>
      </c>
      <c r="R3633">
        <v>0.99563629615685501</v>
      </c>
      <c r="S3633" t="s">
        <v>10201</v>
      </c>
      <c r="T3633" t="s">
        <v>13134</v>
      </c>
      <c r="U3633" t="s">
        <v>13134</v>
      </c>
      <c r="V3633" t="s">
        <v>13134</v>
      </c>
      <c r="W3633" t="s">
        <v>16713</v>
      </c>
      <c r="X3633">
        <v>15</v>
      </c>
      <c r="Y3633" t="s">
        <v>23109</v>
      </c>
      <c r="Z3633" t="s">
        <v>29601</v>
      </c>
      <c r="AA3633">
        <v>0.39794242177242622</v>
      </c>
      <c r="AB3633" t="str">
        <f>HYPERLINK("Melting_Curves/meltCurve_Q15652_3_JMJD1C.pdf", "Melting_Curves/meltCurve_Q15652_3_JMJD1C.pdf")</f>
        <v>Melting_Curves/meltCurve_Q15652_3_JMJD1C.pdf</v>
      </c>
    </row>
    <row r="3634" spans="1:28" x14ac:dyDescent="0.25">
      <c r="A3634" t="s">
        <v>3638</v>
      </c>
      <c r="B3634">
        <v>0.99472303558308395</v>
      </c>
      <c r="C3634">
        <v>0.96736847937662696</v>
      </c>
      <c r="D3634">
        <v>0.89315036354264898</v>
      </c>
      <c r="E3634">
        <v>0.68396976240611995</v>
      </c>
      <c r="F3634">
        <v>0.25606612476691698</v>
      </c>
      <c r="G3634">
        <v>0.121353394933767</v>
      </c>
      <c r="H3634">
        <v>7.5361298722862693E-2</v>
      </c>
      <c r="I3634">
        <v>5.3192214408152402E-2</v>
      </c>
      <c r="J3634">
        <v>0.13776370557661899</v>
      </c>
      <c r="K3634">
        <v>5.6422386194436E-2</v>
      </c>
      <c r="L3634">
        <v>1177.48523141288</v>
      </c>
      <c r="M3634">
        <v>24.739346010665699</v>
      </c>
      <c r="N3634">
        <v>47.902935113803501</v>
      </c>
      <c r="O3634">
        <v>47.287909797915198</v>
      </c>
      <c r="P3634">
        <v>-0.12119623843658001</v>
      </c>
      <c r="Q3634">
        <v>7.3372597135161102E-2</v>
      </c>
      <c r="R3634">
        <v>0.994169516823041</v>
      </c>
      <c r="S3634" t="s">
        <v>10202</v>
      </c>
      <c r="T3634" t="s">
        <v>13134</v>
      </c>
      <c r="U3634" t="s">
        <v>13134</v>
      </c>
      <c r="V3634" t="s">
        <v>13134</v>
      </c>
      <c r="W3634" t="s">
        <v>16714</v>
      </c>
      <c r="X3634">
        <v>7</v>
      </c>
      <c r="Y3634" t="s">
        <v>23110</v>
      </c>
      <c r="Z3634" t="s">
        <v>29602</v>
      </c>
      <c r="AA3634">
        <v>0.40866197671898152</v>
      </c>
      <c r="AB3634" t="str">
        <f>HYPERLINK("Melting_Curves/meltCurve_Q15653_NFKBIB.pdf", "Melting_Curves/meltCurve_Q15653_NFKBIB.pdf")</f>
        <v>Melting_Curves/meltCurve_Q15653_NFKBIB.pdf</v>
      </c>
    </row>
    <row r="3635" spans="1:28" x14ac:dyDescent="0.25">
      <c r="A3635" t="s">
        <v>3639</v>
      </c>
      <c r="B3635">
        <v>0.99472303558308395</v>
      </c>
      <c r="C3635">
        <v>0.96722460468148996</v>
      </c>
      <c r="D3635">
        <v>0.963890028478673</v>
      </c>
      <c r="E3635">
        <v>0.79754617631965097</v>
      </c>
      <c r="F3635">
        <v>0.51638871814628795</v>
      </c>
      <c r="G3635">
        <v>0.31551543803826398</v>
      </c>
      <c r="H3635">
        <v>0.167399014516074</v>
      </c>
      <c r="I3635">
        <v>8.3964326256592406E-2</v>
      </c>
      <c r="J3635">
        <v>7.9853897292832904E-2</v>
      </c>
      <c r="K3635">
        <v>7.0874732148754602E-2</v>
      </c>
      <c r="L3635">
        <v>812.37802964441096</v>
      </c>
      <c r="M3635">
        <v>16.140755184232798</v>
      </c>
      <c r="N3635">
        <v>50.653145696579301</v>
      </c>
      <c r="O3635">
        <v>49.577300737629898</v>
      </c>
      <c r="P3635">
        <v>-7.7425562755970498E-2</v>
      </c>
      <c r="Q3635">
        <v>4.8802954414237598E-2</v>
      </c>
      <c r="R3635">
        <v>0.998715692737428</v>
      </c>
      <c r="S3635" t="s">
        <v>10203</v>
      </c>
      <c r="T3635" t="s">
        <v>13134</v>
      </c>
      <c r="U3635" t="s">
        <v>13134</v>
      </c>
      <c r="V3635" t="s">
        <v>13134</v>
      </c>
      <c r="W3635" t="s">
        <v>16715</v>
      </c>
      <c r="X3635">
        <v>23</v>
      </c>
      <c r="Y3635" t="s">
        <v>23111</v>
      </c>
      <c r="Z3635" t="s">
        <v>29603</v>
      </c>
      <c r="AA3635">
        <v>0.48915875983684681</v>
      </c>
      <c r="AB3635" t="str">
        <f>HYPERLINK("Melting_Curves/meltCurve_Q15654_TRIP6.pdf", "Melting_Curves/meltCurve_Q15654_TRIP6.pdf")</f>
        <v>Melting_Curves/meltCurve_Q15654_TRIP6.pdf</v>
      </c>
    </row>
    <row r="3636" spans="1:28" x14ac:dyDescent="0.25">
      <c r="A3636" t="s">
        <v>3640</v>
      </c>
      <c r="B3636">
        <v>0.99472303558308395</v>
      </c>
      <c r="C3636">
        <v>0.99931088400183199</v>
      </c>
      <c r="D3636">
        <v>1.0298366353416299</v>
      </c>
      <c r="E3636">
        <v>0.97324228302854598</v>
      </c>
      <c r="F3636">
        <v>0.63802452812352195</v>
      </c>
      <c r="G3636">
        <v>0.14910711441077101</v>
      </c>
      <c r="H3636">
        <v>6.1573057444926298E-2</v>
      </c>
      <c r="I3636">
        <v>3.8004647685659497E-2</v>
      </c>
      <c r="J3636">
        <v>3.36414135427517E-2</v>
      </c>
      <c r="K3636">
        <v>2.96588534275883E-2</v>
      </c>
      <c r="L3636">
        <v>1894.2033244402501</v>
      </c>
      <c r="M3636">
        <v>37.220866934616097</v>
      </c>
      <c r="N3636">
        <v>50.994207230611799</v>
      </c>
      <c r="O3636">
        <v>50.744665139881</v>
      </c>
      <c r="P3636">
        <v>-0.17671437706801399</v>
      </c>
      <c r="Q3636">
        <v>3.6316145648604997E-2</v>
      </c>
      <c r="R3636">
        <v>0.999405787142577</v>
      </c>
      <c r="S3636" t="s">
        <v>10204</v>
      </c>
      <c r="T3636" t="s">
        <v>13134</v>
      </c>
      <c r="U3636" t="s">
        <v>13134</v>
      </c>
      <c r="V3636" t="s">
        <v>13134</v>
      </c>
      <c r="W3636" t="s">
        <v>16716</v>
      </c>
      <c r="X3636">
        <v>16</v>
      </c>
      <c r="Y3636" t="s">
        <v>23112</v>
      </c>
      <c r="Z3636" t="s">
        <v>29604</v>
      </c>
      <c r="AA3636">
        <v>0.48644160906851419</v>
      </c>
      <c r="AB3636" t="str">
        <f>HYPERLINK("Melting_Curves/meltCurve_Q15691_MAPRE1.pdf", "Melting_Curves/meltCurve_Q15691_MAPRE1.pdf")</f>
        <v>Melting_Curves/meltCurve_Q15691_MAPRE1.pdf</v>
      </c>
    </row>
    <row r="3637" spans="1:28" x14ac:dyDescent="0.25">
      <c r="A3637" t="s">
        <v>3641</v>
      </c>
      <c r="B3637">
        <v>0.99472303558308395</v>
      </c>
      <c r="C3637">
        <v>1.0019064461723499</v>
      </c>
      <c r="D3637">
        <v>1.06517800542084</v>
      </c>
      <c r="E3637">
        <v>0.88649414646379698</v>
      </c>
      <c r="F3637">
        <v>0.58529325316554803</v>
      </c>
      <c r="G3637">
        <v>0.44238135519156102</v>
      </c>
      <c r="H3637">
        <v>0.327950570791611</v>
      </c>
      <c r="I3637">
        <v>0.346977447236401</v>
      </c>
      <c r="J3637">
        <v>0.50828935722166302</v>
      </c>
      <c r="K3637">
        <v>0.43786258100879899</v>
      </c>
      <c r="L3637">
        <v>1645.7731615632199</v>
      </c>
      <c r="M3637">
        <v>33.695967561183302</v>
      </c>
      <c r="N3637">
        <v>51.415625243697498</v>
      </c>
      <c r="O3637">
        <v>48.670799033147098</v>
      </c>
      <c r="P3637">
        <v>-0.102561136409454</v>
      </c>
      <c r="Q3637">
        <v>0.40744125651514201</v>
      </c>
      <c r="R3637">
        <v>0.96497305349819495</v>
      </c>
      <c r="S3637" t="s">
        <v>10205</v>
      </c>
      <c r="T3637" t="s">
        <v>13134</v>
      </c>
      <c r="U3637" t="s">
        <v>13134</v>
      </c>
      <c r="V3637" t="s">
        <v>13134</v>
      </c>
      <c r="W3637" t="s">
        <v>16717</v>
      </c>
      <c r="X3637">
        <v>2</v>
      </c>
      <c r="Y3637" t="s">
        <v>23113</v>
      </c>
      <c r="Z3637" t="s">
        <v>29605</v>
      </c>
      <c r="AA3637">
        <v>0.64416508273639927</v>
      </c>
      <c r="AB3637" t="str">
        <f>HYPERLINK("Melting_Curves/meltCurve_Q15714_2_TSC22D1.pdf", "Melting_Curves/meltCurve_Q15714_2_TSC22D1.pdf")</f>
        <v>Melting_Curves/meltCurve_Q15714_2_TSC22D1.pdf</v>
      </c>
    </row>
    <row r="3638" spans="1:28" x14ac:dyDescent="0.25">
      <c r="A3638" t="s">
        <v>3642</v>
      </c>
      <c r="B3638">
        <v>0.99472303558308395</v>
      </c>
      <c r="C3638">
        <v>0.99675687356796105</v>
      </c>
      <c r="D3638">
        <v>0.90485175965355902</v>
      </c>
      <c r="E3638">
        <v>0.70054355204713603</v>
      </c>
      <c r="F3638">
        <v>0.26758672795898603</v>
      </c>
      <c r="G3638">
        <v>0.114094041945005</v>
      </c>
      <c r="H3638">
        <v>8.7817171368614999E-2</v>
      </c>
      <c r="I3638">
        <v>7.0817497242821104E-2</v>
      </c>
      <c r="J3638">
        <v>9.2584237038497594E-2</v>
      </c>
      <c r="K3638">
        <v>7.5743160085280398E-2</v>
      </c>
      <c r="L3638">
        <v>1233.5954963443801</v>
      </c>
      <c r="M3638">
        <v>25.833950968573401</v>
      </c>
      <c r="N3638">
        <v>48.050760938633204</v>
      </c>
      <c r="O3638">
        <v>47.467574531702198</v>
      </c>
      <c r="P3638">
        <v>-0.12593462805964001</v>
      </c>
      <c r="Q3638">
        <v>7.4436458525920499E-2</v>
      </c>
      <c r="R3638">
        <v>0.99807394028551399</v>
      </c>
      <c r="S3638" t="s">
        <v>10206</v>
      </c>
      <c r="T3638" t="s">
        <v>13134</v>
      </c>
      <c r="U3638" t="s">
        <v>13134</v>
      </c>
      <c r="V3638" t="s">
        <v>13134</v>
      </c>
      <c r="W3638" t="s">
        <v>16718</v>
      </c>
      <c r="X3638">
        <v>7</v>
      </c>
      <c r="Y3638" t="s">
        <v>23114</v>
      </c>
      <c r="Z3638" t="s">
        <v>29606</v>
      </c>
      <c r="AA3638">
        <v>0.41348782329497091</v>
      </c>
      <c r="AB3638" t="str">
        <f>HYPERLINK("Melting_Curves/meltCurve_Q15717_ELAVL1.pdf", "Melting_Curves/meltCurve_Q15717_ELAVL1.pdf")</f>
        <v>Melting_Curves/meltCurve_Q15717_ELAVL1.pdf</v>
      </c>
    </row>
    <row r="3639" spans="1:28" x14ac:dyDescent="0.25">
      <c r="A3639" t="s">
        <v>3643</v>
      </c>
      <c r="B3639">
        <v>0.99472303558308395</v>
      </c>
      <c r="C3639">
        <v>0.99682030308387803</v>
      </c>
      <c r="D3639">
        <v>1.0389879501591599</v>
      </c>
      <c r="E3639">
        <v>0.93687878414278203</v>
      </c>
      <c r="F3639">
        <v>0.623000661351789</v>
      </c>
      <c r="G3639">
        <v>0.23761660655019801</v>
      </c>
      <c r="H3639">
        <v>6.6739289106096805E-2</v>
      </c>
      <c r="I3639">
        <v>4.8524116505369697E-2</v>
      </c>
      <c r="J3639">
        <v>5.0431605809082902E-2</v>
      </c>
      <c r="K3639">
        <v>4.3353200486179903E-2</v>
      </c>
      <c r="L3639">
        <v>1417.3406498863801</v>
      </c>
      <c r="M3639">
        <v>27.7709314337888</v>
      </c>
      <c r="N3639">
        <v>51.190550955640497</v>
      </c>
      <c r="O3639">
        <v>50.774404561590003</v>
      </c>
      <c r="P3639">
        <v>-0.131268211499705</v>
      </c>
      <c r="Q3639">
        <v>4.0002529370354201E-2</v>
      </c>
      <c r="R3639">
        <v>0.99867088478227495</v>
      </c>
      <c r="S3639" t="s">
        <v>10207</v>
      </c>
      <c r="T3639" t="s">
        <v>13134</v>
      </c>
      <c r="U3639" t="s">
        <v>13134</v>
      </c>
      <c r="V3639" t="s">
        <v>13134</v>
      </c>
      <c r="W3639" t="s">
        <v>16719</v>
      </c>
      <c r="X3639">
        <v>16</v>
      </c>
      <c r="Y3639" t="s">
        <v>23115</v>
      </c>
      <c r="Z3639" t="s">
        <v>29607</v>
      </c>
      <c r="AA3639">
        <v>0.49612751920565451</v>
      </c>
      <c r="AB3639" t="str">
        <f>HYPERLINK("Melting_Curves/meltCurve_Q15738_NSDHL.pdf", "Melting_Curves/meltCurve_Q15738_NSDHL.pdf")</f>
        <v>Melting_Curves/meltCurve_Q15738_NSDHL.pdf</v>
      </c>
    </row>
    <row r="3640" spans="1:28" x14ac:dyDescent="0.25">
      <c r="A3640" t="s">
        <v>3644</v>
      </c>
      <c r="B3640">
        <v>0.99472303558308395</v>
      </c>
      <c r="C3640">
        <v>0.66236728288729696</v>
      </c>
      <c r="D3640">
        <v>0.35981629193992198</v>
      </c>
      <c r="E3640">
        <v>0.16908496766258799</v>
      </c>
      <c r="F3640">
        <v>0.10994778763365</v>
      </c>
      <c r="G3640">
        <v>5.9844127121240799E-2</v>
      </c>
      <c r="H3640">
        <v>3.8128863306366598E-2</v>
      </c>
      <c r="I3640">
        <v>3.2541063940984799E-2</v>
      </c>
      <c r="J3640">
        <v>3.52161314787044E-2</v>
      </c>
      <c r="K3640">
        <v>3.4513624351664697E-2</v>
      </c>
      <c r="L3640">
        <v>816.16715315390104</v>
      </c>
      <c r="M3640">
        <v>19.674009231676401</v>
      </c>
      <c r="N3640">
        <v>41.688165465799798</v>
      </c>
      <c r="O3640">
        <v>41.063069921424798</v>
      </c>
      <c r="P3640">
        <v>-0.114295629313603</v>
      </c>
      <c r="Q3640">
        <v>4.5813927421161298E-2</v>
      </c>
      <c r="R3640">
        <v>0.99033213184486801</v>
      </c>
      <c r="S3640" t="s">
        <v>10208</v>
      </c>
      <c r="T3640" t="s">
        <v>13134</v>
      </c>
      <c r="U3640" t="s">
        <v>13134</v>
      </c>
      <c r="V3640" t="s">
        <v>13134</v>
      </c>
      <c r="W3640" t="s">
        <v>16720</v>
      </c>
      <c r="X3640">
        <v>6</v>
      </c>
      <c r="Y3640" t="s">
        <v>23116</v>
      </c>
      <c r="Z3640" t="s">
        <v>29608</v>
      </c>
      <c r="AA3640">
        <v>0.20430096033286099</v>
      </c>
      <c r="AB3640" t="str">
        <f>HYPERLINK("Melting_Curves/meltCurve_Q15742_3_NAB2.pdf", "Melting_Curves/meltCurve_Q15742_3_NAB2.pdf")</f>
        <v>Melting_Curves/meltCurve_Q15742_3_NAB2.pdf</v>
      </c>
    </row>
    <row r="3641" spans="1:28" x14ac:dyDescent="0.25">
      <c r="A3641" t="s">
        <v>3645</v>
      </c>
      <c r="B3641">
        <v>0.99472303558308395</v>
      </c>
      <c r="C3641">
        <v>1.0272289181596399</v>
      </c>
      <c r="D3641">
        <v>0.96229968609404104</v>
      </c>
      <c r="E3641">
        <v>0.88534406649212505</v>
      </c>
      <c r="F3641">
        <v>0.80191526446378802</v>
      </c>
      <c r="G3641">
        <v>0.49894082785140298</v>
      </c>
      <c r="H3641">
        <v>0.41805165973109998</v>
      </c>
      <c r="I3641">
        <v>0.41139352814597901</v>
      </c>
      <c r="J3641">
        <v>0.60509211970499499</v>
      </c>
      <c r="K3641">
        <v>0.475351374439066</v>
      </c>
      <c r="L3641">
        <v>1725.36648666884</v>
      </c>
      <c r="M3641">
        <v>34.1312204212254</v>
      </c>
      <c r="N3641">
        <v>55.135706840731402</v>
      </c>
      <c r="O3641">
        <v>50.378401199217201</v>
      </c>
      <c r="P3641">
        <v>-8.9644659155447295E-2</v>
      </c>
      <c r="Q3641">
        <v>0.47073257323360002</v>
      </c>
      <c r="R3641">
        <v>0.934442947949506</v>
      </c>
      <c r="S3641" t="s">
        <v>10209</v>
      </c>
      <c r="T3641" t="s">
        <v>13134</v>
      </c>
      <c r="U3641" t="s">
        <v>13134</v>
      </c>
      <c r="V3641" t="s">
        <v>13134</v>
      </c>
      <c r="W3641" t="s">
        <v>16721</v>
      </c>
      <c r="X3641">
        <v>2</v>
      </c>
      <c r="Y3641" t="s">
        <v>23117</v>
      </c>
      <c r="Z3641" t="s">
        <v>29609</v>
      </c>
      <c r="AA3641">
        <v>0.71234013186084155</v>
      </c>
      <c r="AB3641" t="str">
        <f>HYPERLINK("Melting_Curves/meltCurve_Q15743_GPR68.pdf", "Melting_Curves/meltCurve_Q15743_GPR68.pdf")</f>
        <v>Melting_Curves/meltCurve_Q15743_GPR68.pdf</v>
      </c>
    </row>
    <row r="3642" spans="1:28" x14ac:dyDescent="0.25">
      <c r="A3642" t="s">
        <v>3646</v>
      </c>
      <c r="B3642">
        <v>0.99472303558308395</v>
      </c>
      <c r="C3642">
        <v>0.76239863883858605</v>
      </c>
      <c r="D3642">
        <v>0.980092813612775</v>
      </c>
      <c r="E3642">
        <v>0.68560222786186398</v>
      </c>
      <c r="F3642">
        <v>0.30877676080483801</v>
      </c>
      <c r="G3642">
        <v>0.16310554026327301</v>
      </c>
      <c r="H3642">
        <v>7.4719790297380503E-2</v>
      </c>
      <c r="I3642">
        <v>4.5112035456605998E-2</v>
      </c>
      <c r="J3642">
        <v>2.29261228115752E-2</v>
      </c>
      <c r="K3642">
        <v>2.09109469509925E-2</v>
      </c>
      <c r="L3642">
        <v>904.27879659059795</v>
      </c>
      <c r="M3642">
        <v>18.728424502681101</v>
      </c>
      <c r="N3642">
        <v>48.391616154246101</v>
      </c>
      <c r="O3642">
        <v>47.743373164713297</v>
      </c>
      <c r="P3642">
        <v>-9.6067626152905206E-2</v>
      </c>
      <c r="Q3642">
        <v>2.04409903757285E-2</v>
      </c>
      <c r="R3642">
        <v>0.96329568516472397</v>
      </c>
      <c r="S3642" t="s">
        <v>10210</v>
      </c>
      <c r="T3642" t="s">
        <v>13134</v>
      </c>
      <c r="U3642" t="s">
        <v>13134</v>
      </c>
      <c r="V3642" t="s">
        <v>13134</v>
      </c>
      <c r="W3642" t="s">
        <v>16722</v>
      </c>
      <c r="X3642">
        <v>2</v>
      </c>
      <c r="Y3642" t="s">
        <v>23118</v>
      </c>
      <c r="Z3642" t="s">
        <v>29610</v>
      </c>
      <c r="AA3642">
        <v>0.40342741046907021</v>
      </c>
      <c r="AB3642" t="str">
        <f>HYPERLINK("Melting_Curves/meltCurve_Q15746_4_MYLK.pdf", "Melting_Curves/meltCurve_Q15746_4_MYLK.pdf")</f>
        <v>Melting_Curves/meltCurve_Q15746_4_MYLK.pdf</v>
      </c>
    </row>
    <row r="3643" spans="1:28" x14ac:dyDescent="0.25">
      <c r="A3643" t="s">
        <v>3647</v>
      </c>
      <c r="B3643">
        <v>0.99472303558308395</v>
      </c>
      <c r="C3643">
        <v>0.94441175031201896</v>
      </c>
      <c r="D3643">
        <v>0.89368804738948204</v>
      </c>
      <c r="E3643">
        <v>0.69894057296259204</v>
      </c>
      <c r="F3643">
        <v>0.25037553890312703</v>
      </c>
      <c r="G3643">
        <v>0.144162100554588</v>
      </c>
      <c r="H3643">
        <v>8.4362345233714706E-2</v>
      </c>
      <c r="I3643">
        <v>6.8895612005481693E-2</v>
      </c>
      <c r="J3643">
        <v>7.0963364461958001E-2</v>
      </c>
      <c r="K3643">
        <v>7.3590968231561096E-2</v>
      </c>
      <c r="L3643">
        <v>1147.70675632189</v>
      </c>
      <c r="M3643">
        <v>24.0603570998782</v>
      </c>
      <c r="N3643">
        <v>47.995949086344297</v>
      </c>
      <c r="O3643">
        <v>47.375300315150803</v>
      </c>
      <c r="P3643">
        <v>-0.11824725810169801</v>
      </c>
      <c r="Q3643">
        <v>6.8690190696036796E-2</v>
      </c>
      <c r="R3643">
        <v>0.99531356037914498</v>
      </c>
      <c r="S3643" t="s">
        <v>10211</v>
      </c>
      <c r="T3643" t="s">
        <v>13134</v>
      </c>
      <c r="U3643" t="s">
        <v>13134</v>
      </c>
      <c r="V3643" t="s">
        <v>13134</v>
      </c>
      <c r="W3643" t="s">
        <v>16723</v>
      </c>
      <c r="X3643">
        <v>15</v>
      </c>
      <c r="Y3643" t="s">
        <v>23119</v>
      </c>
      <c r="Z3643" t="s">
        <v>29611</v>
      </c>
      <c r="AA3643">
        <v>0.40941886355877222</v>
      </c>
      <c r="AB3643" t="str">
        <f>HYPERLINK("Melting_Curves/meltCurve_Q15750_TAB1.pdf", "Melting_Curves/meltCurve_Q15750_TAB1.pdf")</f>
        <v>Melting_Curves/meltCurve_Q15750_TAB1.pdf</v>
      </c>
    </row>
    <row r="3644" spans="1:28" x14ac:dyDescent="0.25">
      <c r="A3644" t="s">
        <v>3648</v>
      </c>
      <c r="B3644">
        <v>0.99472303558308395</v>
      </c>
      <c r="C3644">
        <v>0.61501973533154797</v>
      </c>
      <c r="D3644">
        <v>1.13875622156611</v>
      </c>
      <c r="E3644">
        <v>0.59804301849410502</v>
      </c>
      <c r="F3644">
        <v>0.25675265738717801</v>
      </c>
      <c r="G3644">
        <v>0.20051188484065799</v>
      </c>
      <c r="H3644">
        <v>0.12802720705874501</v>
      </c>
      <c r="I3644">
        <v>7.1580374978177902E-2</v>
      </c>
      <c r="J3644">
        <v>9.3264352937456302E-2</v>
      </c>
      <c r="K3644">
        <v>4.5700141590521E-2</v>
      </c>
      <c r="L3644">
        <v>1424.6176461180601</v>
      </c>
      <c r="M3644">
        <v>30.142769342145002</v>
      </c>
      <c r="N3644">
        <v>47.627782655360001</v>
      </c>
      <c r="O3644">
        <v>47.0557662829317</v>
      </c>
      <c r="P3644">
        <v>-0.14361091833661299</v>
      </c>
      <c r="Q3644">
        <v>0.10324359288891601</v>
      </c>
      <c r="R3644">
        <v>0.86710508198795699</v>
      </c>
      <c r="S3644" t="s">
        <v>10212</v>
      </c>
      <c r="T3644" t="s">
        <v>13134</v>
      </c>
      <c r="U3644" t="s">
        <v>13134</v>
      </c>
      <c r="V3644" t="s">
        <v>13134</v>
      </c>
      <c r="W3644" t="s">
        <v>16724</v>
      </c>
      <c r="X3644">
        <v>3</v>
      </c>
      <c r="Y3644" t="s">
        <v>23120</v>
      </c>
      <c r="Z3644" t="s">
        <v>29612</v>
      </c>
      <c r="AA3644">
        <v>0.41519196652612089</v>
      </c>
      <c r="AB3644" t="str">
        <f>HYPERLINK("Melting_Curves/meltCurve_Q15751_HERC1.pdf", "Melting_Curves/meltCurve_Q15751_HERC1.pdf")</f>
        <v>Melting_Curves/meltCurve_Q15751_HERC1.pdf</v>
      </c>
    </row>
    <row r="3645" spans="1:28" x14ac:dyDescent="0.25">
      <c r="A3645" t="s">
        <v>3649</v>
      </c>
      <c r="B3645">
        <v>0.99472303558308395</v>
      </c>
      <c r="C3645">
        <v>0.96734923057418598</v>
      </c>
      <c r="D3645">
        <v>1.0265204203948901</v>
      </c>
      <c r="E3645">
        <v>0.97587208343500598</v>
      </c>
      <c r="F3645">
        <v>0.85969287619955503</v>
      </c>
      <c r="G3645">
        <v>0.73201265348933997</v>
      </c>
      <c r="H3645">
        <v>0.46666515011324999</v>
      </c>
      <c r="I3645">
        <v>0.67923866508833597</v>
      </c>
      <c r="J3645">
        <v>0.75187230288015705</v>
      </c>
      <c r="K3645">
        <v>0.90194928489053805</v>
      </c>
      <c r="L3645">
        <v>2470.27923286859</v>
      </c>
      <c r="M3645">
        <v>49.118830163882102</v>
      </c>
      <c r="O3645">
        <v>50.208740983401697</v>
      </c>
      <c r="P3645">
        <v>-7.2418280521209397E-2</v>
      </c>
      <c r="Q3645">
        <v>0.70389947033335898</v>
      </c>
      <c r="R3645">
        <v>0.64145310240919495</v>
      </c>
      <c r="S3645" t="s">
        <v>10213</v>
      </c>
      <c r="T3645" t="s">
        <v>13134</v>
      </c>
      <c r="U3645" t="s">
        <v>13134</v>
      </c>
      <c r="V3645" t="s">
        <v>13134</v>
      </c>
      <c r="W3645" t="s">
        <v>16725</v>
      </c>
      <c r="X3645">
        <v>16</v>
      </c>
      <c r="Y3645" t="s">
        <v>23121</v>
      </c>
      <c r="Z3645" t="s">
        <v>29613</v>
      </c>
      <c r="AA3645">
        <v>0.83577144183147711</v>
      </c>
      <c r="AB3645" t="str">
        <f>HYPERLINK("Melting_Curves/meltCurve_Q15758_SLC1A5.pdf", "Melting_Curves/meltCurve_Q15758_SLC1A5.pdf")</f>
        <v>Melting_Curves/meltCurve_Q15758_SLC1A5.pdf</v>
      </c>
    </row>
    <row r="3646" spans="1:28" x14ac:dyDescent="0.25">
      <c r="A3646" t="s">
        <v>3650</v>
      </c>
      <c r="B3646">
        <v>0.99472303558308395</v>
      </c>
      <c r="C3646">
        <v>0.99942279191857297</v>
      </c>
      <c r="D3646">
        <v>0.98212326340845502</v>
      </c>
      <c r="E3646">
        <v>0.75922003827769402</v>
      </c>
      <c r="F3646">
        <v>0.66469032151601104</v>
      </c>
      <c r="G3646">
        <v>0.26741760380587498</v>
      </c>
      <c r="H3646">
        <v>0.114562317002447</v>
      </c>
      <c r="I3646">
        <v>9.0568424925751997E-2</v>
      </c>
      <c r="J3646">
        <v>0.25279170680957203</v>
      </c>
      <c r="K3646">
        <v>5.6521924131937899E-2</v>
      </c>
      <c r="L3646">
        <v>980.40426744669401</v>
      </c>
      <c r="M3646">
        <v>19.427374825754502</v>
      </c>
      <c r="N3646">
        <v>51.032455138256097</v>
      </c>
      <c r="O3646">
        <v>49.939493598372898</v>
      </c>
      <c r="P3646">
        <v>-8.7811820365753093E-2</v>
      </c>
      <c r="Q3646">
        <v>9.7125686273393005E-2</v>
      </c>
      <c r="R3646">
        <v>0.96823918040394197</v>
      </c>
      <c r="S3646" t="s">
        <v>10214</v>
      </c>
      <c r="T3646" t="s">
        <v>13134</v>
      </c>
      <c r="U3646" t="s">
        <v>13134</v>
      </c>
      <c r="V3646" t="s">
        <v>13134</v>
      </c>
      <c r="W3646" t="s">
        <v>16726</v>
      </c>
      <c r="X3646">
        <v>1</v>
      </c>
      <c r="Y3646" t="s">
        <v>23122</v>
      </c>
      <c r="Z3646" t="s">
        <v>29614</v>
      </c>
      <c r="AA3646">
        <v>0.51483625145745393</v>
      </c>
      <c r="AB3646" t="str">
        <f>HYPERLINK("Melting_Curves/meltCurve_Q15759_MAPK11.pdf", "Melting_Curves/meltCurve_Q15759_MAPK11.pdf")</f>
        <v>Melting_Curves/meltCurve_Q15759_MAPK11.pdf</v>
      </c>
    </row>
    <row r="3647" spans="1:28" x14ac:dyDescent="0.25">
      <c r="A3647" t="s">
        <v>3651</v>
      </c>
      <c r="B3647">
        <v>0.99472303558308395</v>
      </c>
      <c r="C3647">
        <v>1.0465825696809701</v>
      </c>
      <c r="D3647">
        <v>0.65407872883555396</v>
      </c>
      <c r="E3647">
        <v>0.64872241835451305</v>
      </c>
      <c r="F3647">
        <v>0.50448336606997801</v>
      </c>
      <c r="G3647">
        <v>0.35096568290913599</v>
      </c>
      <c r="H3647">
        <v>0.19070234169849501</v>
      </c>
      <c r="I3647">
        <v>0.13862470454283601</v>
      </c>
      <c r="J3647">
        <v>0.15134103782486599</v>
      </c>
      <c r="K3647">
        <v>0.11939166764296399</v>
      </c>
      <c r="L3647">
        <v>486.32198940811003</v>
      </c>
      <c r="M3647">
        <v>9.9508178959803004</v>
      </c>
      <c r="N3647">
        <v>49.410254544383797</v>
      </c>
      <c r="O3647">
        <v>47.021690056232501</v>
      </c>
      <c r="P3647">
        <v>-5.02155159538702E-2</v>
      </c>
      <c r="Q3647">
        <v>5.1314685537778501E-2</v>
      </c>
      <c r="R3647">
        <v>0.95612713413769901</v>
      </c>
      <c r="S3647" t="s">
        <v>10215</v>
      </c>
      <c r="T3647" t="s">
        <v>13134</v>
      </c>
      <c r="U3647" t="s">
        <v>13134</v>
      </c>
      <c r="V3647" t="s">
        <v>13134</v>
      </c>
      <c r="W3647" t="s">
        <v>16727</v>
      </c>
      <c r="X3647">
        <v>3</v>
      </c>
      <c r="Y3647" t="s">
        <v>23123</v>
      </c>
      <c r="Z3647" t="s">
        <v>29615</v>
      </c>
      <c r="AA3647">
        <v>0.46255535328771391</v>
      </c>
      <c r="AB3647" t="str">
        <f>HYPERLINK("Melting_Curves/meltCurve_Q15773_MLF2.pdf", "Melting_Curves/meltCurve_Q15773_MLF2.pdf")</f>
        <v>Melting_Curves/meltCurve_Q15773_MLF2.pdf</v>
      </c>
    </row>
    <row r="3648" spans="1:28" x14ac:dyDescent="0.25">
      <c r="A3648" t="s">
        <v>3652</v>
      </c>
      <c r="B3648">
        <v>0.99472303558308395</v>
      </c>
      <c r="C3648">
        <v>0.93425387806695304</v>
      </c>
      <c r="D3648">
        <v>0.949908365959513</v>
      </c>
      <c r="E3648">
        <v>0.52021556673053604</v>
      </c>
      <c r="F3648">
        <v>0.15165937479736999</v>
      </c>
      <c r="G3648">
        <v>8.7751820795569396E-2</v>
      </c>
      <c r="H3648">
        <v>6.8642038973896397E-2</v>
      </c>
      <c r="I3648">
        <v>4.2994535467868002E-2</v>
      </c>
      <c r="J3648">
        <v>5.2658886978538599E-2</v>
      </c>
      <c r="K3648">
        <v>5.3323868336122002E-2</v>
      </c>
      <c r="L3648">
        <v>1426.6211530448199</v>
      </c>
      <c r="M3648">
        <v>30.6284130363758</v>
      </c>
      <c r="N3648">
        <v>46.763601067137998</v>
      </c>
      <c r="O3648">
        <v>46.381150591927501</v>
      </c>
      <c r="P3648">
        <v>-0.155660751012343</v>
      </c>
      <c r="Q3648">
        <v>5.7126302431016199E-2</v>
      </c>
      <c r="R3648">
        <v>0.99712491125118397</v>
      </c>
      <c r="S3648" t="s">
        <v>10216</v>
      </c>
      <c r="T3648" t="s">
        <v>13134</v>
      </c>
      <c r="U3648" t="s">
        <v>13134</v>
      </c>
      <c r="V3648" t="s">
        <v>13134</v>
      </c>
      <c r="W3648" t="s">
        <v>16728</v>
      </c>
      <c r="X3648">
        <v>20</v>
      </c>
      <c r="Y3648" t="s">
        <v>23124</v>
      </c>
      <c r="Z3648" t="s">
        <v>29616</v>
      </c>
      <c r="AA3648">
        <v>0.36337849557135959</v>
      </c>
      <c r="AB3648" t="str">
        <f>HYPERLINK("Melting_Curves/meltCurve_Q15785_TOMM34.pdf", "Melting_Curves/meltCurve_Q15785_TOMM34.pdf")</f>
        <v>Melting_Curves/meltCurve_Q15785_TOMM34.pdf</v>
      </c>
    </row>
    <row r="3649" spans="1:28" x14ac:dyDescent="0.25">
      <c r="A3649" t="s">
        <v>3653</v>
      </c>
      <c r="B3649">
        <v>0.99472303558308395</v>
      </c>
      <c r="C3649">
        <v>0.96633865510041395</v>
      </c>
      <c r="D3649">
        <v>1.0314121661621201</v>
      </c>
      <c r="E3649">
        <v>0.80062299997778796</v>
      </c>
      <c r="F3649">
        <v>0.27164112589253903</v>
      </c>
      <c r="G3649">
        <v>0.107161657258132</v>
      </c>
      <c r="H3649">
        <v>5.1357476019392098E-2</v>
      </c>
      <c r="I3649">
        <v>4.2884457491355998E-2</v>
      </c>
      <c r="J3649">
        <v>5.0607051701656497E-2</v>
      </c>
      <c r="K3649">
        <v>5.0251473506530898E-2</v>
      </c>
      <c r="L3649">
        <v>1640.34912255004</v>
      </c>
      <c r="M3649">
        <v>33.853917129345298</v>
      </c>
      <c r="N3649">
        <v>48.611918665471201</v>
      </c>
      <c r="O3649">
        <v>48.285615082033203</v>
      </c>
      <c r="P3649">
        <v>-0.166139116439945</v>
      </c>
      <c r="Q3649">
        <v>5.2151411407118799E-2</v>
      </c>
      <c r="R3649">
        <v>0.99791758583926904</v>
      </c>
      <c r="S3649" t="s">
        <v>10217</v>
      </c>
      <c r="T3649" t="s">
        <v>13134</v>
      </c>
      <c r="U3649" t="s">
        <v>13134</v>
      </c>
      <c r="V3649" t="s">
        <v>13134</v>
      </c>
      <c r="W3649" t="s">
        <v>16729</v>
      </c>
      <c r="X3649">
        <v>13</v>
      </c>
      <c r="Y3649" t="s">
        <v>23125</v>
      </c>
      <c r="Z3649" t="s">
        <v>29617</v>
      </c>
      <c r="AA3649">
        <v>0.41847361724374299</v>
      </c>
      <c r="AB3649" t="str">
        <f>HYPERLINK("Melting_Curves/meltCurve_Q15796_2_SMAD2.pdf", "Melting_Curves/meltCurve_Q15796_2_SMAD2.pdf")</f>
        <v>Melting_Curves/meltCurve_Q15796_2_SMAD2.pdf</v>
      </c>
    </row>
    <row r="3650" spans="1:28" x14ac:dyDescent="0.25">
      <c r="A3650" t="s">
        <v>3654</v>
      </c>
      <c r="B3650">
        <v>0.99472303558308395</v>
      </c>
      <c r="C3650">
        <v>0.799734206667159</v>
      </c>
      <c r="D3650">
        <v>0.84716777848637304</v>
      </c>
      <c r="E3650">
        <v>0.77880961256677905</v>
      </c>
      <c r="F3650">
        <v>0.64977012227036901</v>
      </c>
      <c r="G3650">
        <v>0.49125459371182001</v>
      </c>
      <c r="H3650">
        <v>0.36773975019025201</v>
      </c>
      <c r="I3650">
        <v>0.28257604639644202</v>
      </c>
      <c r="J3650">
        <v>0.15281039569499999</v>
      </c>
      <c r="K3650">
        <v>0.100532614176675</v>
      </c>
      <c r="L3650">
        <v>429.671614512914</v>
      </c>
      <c r="M3650">
        <v>8.0929421896133302</v>
      </c>
      <c r="N3650">
        <v>53.092139351129397</v>
      </c>
      <c r="O3650">
        <v>50.145296694960201</v>
      </c>
      <c r="P3650">
        <v>-4.0391167402906603E-2</v>
      </c>
      <c r="Q3650">
        <v>0</v>
      </c>
      <c r="R3650">
        <v>0.96839204624682096</v>
      </c>
      <c r="S3650" t="s">
        <v>10218</v>
      </c>
      <c r="T3650" t="s">
        <v>13134</v>
      </c>
      <c r="U3650" t="s">
        <v>13134</v>
      </c>
      <c r="V3650" t="s">
        <v>13134</v>
      </c>
      <c r="W3650" t="s">
        <v>16730</v>
      </c>
      <c r="X3650">
        <v>1</v>
      </c>
      <c r="Y3650" t="s">
        <v>23126</v>
      </c>
      <c r="Z3650" t="s">
        <v>29618</v>
      </c>
      <c r="AA3650">
        <v>0.55770131042109627</v>
      </c>
      <c r="AB3650" t="str">
        <f>HYPERLINK("Melting_Curves/meltCurve_Q15800_2_MSMO1.pdf", "Melting_Curves/meltCurve_Q15800_2_MSMO1.pdf")</f>
        <v>Melting_Curves/meltCurve_Q15800_2_MSMO1.pdf</v>
      </c>
    </row>
    <row r="3651" spans="1:28" x14ac:dyDescent="0.25">
      <c r="A3651" t="s">
        <v>3655</v>
      </c>
      <c r="B3651">
        <v>0.99472303558308395</v>
      </c>
      <c r="C3651">
        <v>0.98078165213790403</v>
      </c>
      <c r="D3651">
        <v>1.0140563955089299</v>
      </c>
      <c r="E3651">
        <v>0.84833649383794696</v>
      </c>
      <c r="F3651">
        <v>0.58250084652165801</v>
      </c>
      <c r="G3651">
        <v>0.24605375836399701</v>
      </c>
      <c r="H3651">
        <v>0.117118937957813</v>
      </c>
      <c r="I3651">
        <v>7.0021541969953902E-2</v>
      </c>
      <c r="J3651">
        <v>7.4044142432645801E-2</v>
      </c>
      <c r="K3651">
        <v>6.1220693685653103E-2</v>
      </c>
      <c r="L3651">
        <v>1109.0907783672101</v>
      </c>
      <c r="M3651">
        <v>21.929617184372301</v>
      </c>
      <c r="N3651">
        <v>50.845360219618797</v>
      </c>
      <c r="O3651">
        <v>50.160095899274701</v>
      </c>
      <c r="P3651">
        <v>-0.103285902169414</v>
      </c>
      <c r="Q3651">
        <v>5.5028914221285398E-2</v>
      </c>
      <c r="R3651">
        <v>0.99842710966287895</v>
      </c>
      <c r="S3651" t="s">
        <v>10219</v>
      </c>
      <c r="T3651" t="s">
        <v>13134</v>
      </c>
      <c r="U3651" t="s">
        <v>13134</v>
      </c>
      <c r="V3651" t="s">
        <v>13134</v>
      </c>
      <c r="W3651" t="s">
        <v>16731</v>
      </c>
      <c r="X3651">
        <v>14</v>
      </c>
      <c r="Y3651" t="s">
        <v>23127</v>
      </c>
      <c r="Z3651" t="s">
        <v>29619</v>
      </c>
      <c r="AA3651">
        <v>0.49319792528885231</v>
      </c>
      <c r="AB3651" t="str">
        <f>HYPERLINK("Melting_Curves/meltCurve_Q15814_TBCC.pdf", "Melting_Curves/meltCurve_Q15814_TBCC.pdf")</f>
        <v>Melting_Curves/meltCurve_Q15814_TBCC.pdf</v>
      </c>
    </row>
    <row r="3652" spans="1:28" x14ac:dyDescent="0.25">
      <c r="A3652" t="s">
        <v>3656</v>
      </c>
      <c r="B3652">
        <v>0.99472303558308395</v>
      </c>
      <c r="C3652">
        <v>0.97937291569191498</v>
      </c>
      <c r="D3652">
        <v>1.0638783104582801</v>
      </c>
      <c r="E3652">
        <v>0.97657645413544603</v>
      </c>
      <c r="F3652">
        <v>0.65979320223596005</v>
      </c>
      <c r="G3652">
        <v>0.31176621384627301</v>
      </c>
      <c r="H3652">
        <v>7.0563181084034005E-2</v>
      </c>
      <c r="I3652">
        <v>5.1847687290142802E-2</v>
      </c>
      <c r="J3652">
        <v>4.5690395798036701E-2</v>
      </c>
      <c r="K3652">
        <v>3.8988996474342501E-2</v>
      </c>
      <c r="L3652">
        <v>1352.6866166024099</v>
      </c>
      <c r="M3652">
        <v>26.207070387035898</v>
      </c>
      <c r="N3652">
        <v>51.7533843743551</v>
      </c>
      <c r="O3652">
        <v>51.3176081358651</v>
      </c>
      <c r="P3652">
        <v>-0.123362134012467</v>
      </c>
      <c r="Q3652">
        <v>3.3760134018371003E-2</v>
      </c>
      <c r="R3652">
        <v>0.99541279262596705</v>
      </c>
      <c r="S3652" t="s">
        <v>10220</v>
      </c>
      <c r="T3652" t="s">
        <v>13134</v>
      </c>
      <c r="U3652" t="s">
        <v>13134</v>
      </c>
      <c r="V3652" t="s">
        <v>13134</v>
      </c>
      <c r="W3652" t="s">
        <v>16732</v>
      </c>
      <c r="X3652">
        <v>16</v>
      </c>
      <c r="Y3652" t="s">
        <v>23128</v>
      </c>
      <c r="Z3652" t="s">
        <v>29620</v>
      </c>
      <c r="AA3652">
        <v>0.51233235456397908</v>
      </c>
      <c r="AB3652" t="str">
        <f>HYPERLINK("Melting_Curves/meltCurve_Q15819_UBE2V2.pdf", "Melting_Curves/meltCurve_Q15819_UBE2V2.pdf")</f>
        <v>Melting_Curves/meltCurve_Q15819_UBE2V2.pdf</v>
      </c>
    </row>
    <row r="3653" spans="1:28" x14ac:dyDescent="0.25">
      <c r="A3653" t="s">
        <v>3657</v>
      </c>
      <c r="B3653">
        <v>0.99472303558308395</v>
      </c>
      <c r="C3653">
        <v>0.97456700095137405</v>
      </c>
      <c r="D3653">
        <v>0.83656628393357102</v>
      </c>
      <c r="E3653">
        <v>0.78928163306223498</v>
      </c>
      <c r="F3653">
        <v>0.77206955367409602</v>
      </c>
      <c r="G3653">
        <v>0.61365441328920001</v>
      </c>
      <c r="H3653">
        <v>0.448299152683105</v>
      </c>
      <c r="I3653">
        <v>0.35021405321001597</v>
      </c>
      <c r="J3653">
        <v>0.204386173173846</v>
      </c>
      <c r="K3653">
        <v>0.14147606828576401</v>
      </c>
      <c r="L3653">
        <v>480.07649678605202</v>
      </c>
      <c r="M3653">
        <v>8.6142281422073097</v>
      </c>
      <c r="N3653">
        <v>55.730645579418002</v>
      </c>
      <c r="O3653">
        <v>52.971236290813899</v>
      </c>
      <c r="P3653">
        <v>-4.0690054958798703E-2</v>
      </c>
      <c r="Q3653">
        <v>0</v>
      </c>
      <c r="R3653">
        <v>0.97663745198233098</v>
      </c>
      <c r="S3653" t="s">
        <v>10221</v>
      </c>
      <c r="T3653" t="s">
        <v>13134</v>
      </c>
      <c r="U3653" t="s">
        <v>13134</v>
      </c>
      <c r="V3653" t="s">
        <v>13134</v>
      </c>
      <c r="W3653" t="s">
        <v>16733</v>
      </c>
      <c r="X3653">
        <v>7</v>
      </c>
      <c r="Y3653" t="s">
        <v>23129</v>
      </c>
      <c r="Z3653" t="s">
        <v>29621</v>
      </c>
      <c r="AA3653">
        <v>0.62773709462356442</v>
      </c>
      <c r="AB3653" t="str">
        <f>HYPERLINK("Melting_Curves/meltCurve_Q15831_STK11.pdf", "Melting_Curves/meltCurve_Q15831_STK11.pdf")</f>
        <v>Melting_Curves/meltCurve_Q15831_STK11.pdf</v>
      </c>
    </row>
    <row r="3654" spans="1:28" x14ac:dyDescent="0.25">
      <c r="A3654" t="s">
        <v>3658</v>
      </c>
      <c r="B3654">
        <v>0.99472303558308395</v>
      </c>
      <c r="C3654">
        <v>0.93053091838122404</v>
      </c>
      <c r="D3654">
        <v>0.96315934893904698</v>
      </c>
      <c r="E3654">
        <v>0.58565963387840603</v>
      </c>
      <c r="F3654">
        <v>0.17034779198626501</v>
      </c>
      <c r="G3654">
        <v>9.8312019864717298E-2</v>
      </c>
      <c r="H3654">
        <v>6.5345054401483402E-2</v>
      </c>
      <c r="I3654">
        <v>4.04478303324209E-2</v>
      </c>
      <c r="J3654">
        <v>6.0193904000631702E-2</v>
      </c>
      <c r="K3654">
        <v>3.5312924745216898E-2</v>
      </c>
      <c r="L3654">
        <v>1409.7709277193601</v>
      </c>
      <c r="M3654">
        <v>29.992087201734101</v>
      </c>
      <c r="N3654">
        <v>47.182857707182201</v>
      </c>
      <c r="O3654">
        <v>46.797278595706999</v>
      </c>
      <c r="P3654">
        <v>-0.15164971619213899</v>
      </c>
      <c r="Q3654">
        <v>5.35173377664254E-2</v>
      </c>
      <c r="R3654">
        <v>0.996422700959118</v>
      </c>
      <c r="S3654" t="s">
        <v>10222</v>
      </c>
      <c r="T3654" t="s">
        <v>13134</v>
      </c>
      <c r="U3654" t="s">
        <v>13134</v>
      </c>
      <c r="V3654" t="s">
        <v>13134</v>
      </c>
      <c r="W3654" t="s">
        <v>16734</v>
      </c>
      <c r="X3654">
        <v>30</v>
      </c>
      <c r="Y3654" t="s">
        <v>23130</v>
      </c>
      <c r="Z3654" t="s">
        <v>29622</v>
      </c>
      <c r="AA3654">
        <v>0.37466622221988999</v>
      </c>
      <c r="AB3654" t="str">
        <f>HYPERLINK("Melting_Curves/meltCurve_Q15833_STXBP2.pdf", "Melting_Curves/meltCurve_Q15833_STXBP2.pdf")</f>
        <v>Melting_Curves/meltCurve_Q15833_STXBP2.pdf</v>
      </c>
    </row>
    <row r="3655" spans="1:28" x14ac:dyDescent="0.25">
      <c r="A3655" t="s">
        <v>3659</v>
      </c>
      <c r="B3655">
        <v>0.99472303558308395</v>
      </c>
      <c r="C3655">
        <v>1.07545161757633</v>
      </c>
      <c r="D3655">
        <v>0.95307603759023796</v>
      </c>
      <c r="E3655">
        <v>0.87485267570031799</v>
      </c>
      <c r="F3655">
        <v>0.72870187408310205</v>
      </c>
      <c r="G3655">
        <v>0.55262680574914302</v>
      </c>
      <c r="H3655">
        <v>0.41901396424781001</v>
      </c>
      <c r="I3655">
        <v>0.50083490669974895</v>
      </c>
      <c r="J3655">
        <v>0.56607741025223901</v>
      </c>
      <c r="K3655">
        <v>0.67339979313445897</v>
      </c>
      <c r="L3655">
        <v>1288.0062432816601</v>
      </c>
      <c r="M3655">
        <v>26.376721483766399</v>
      </c>
      <c r="O3655">
        <v>48.553074062422503</v>
      </c>
      <c r="P3655">
        <v>-6.2817075606188599E-2</v>
      </c>
      <c r="Q3655">
        <v>0.53748160104542397</v>
      </c>
      <c r="R3655">
        <v>0.90108092422085795</v>
      </c>
      <c r="S3655" t="s">
        <v>10223</v>
      </c>
      <c r="T3655" t="s">
        <v>13134</v>
      </c>
      <c r="U3655" t="s">
        <v>13134</v>
      </c>
      <c r="V3655" t="s">
        <v>13134</v>
      </c>
      <c r="W3655" t="s">
        <v>16735</v>
      </c>
      <c r="X3655">
        <v>5</v>
      </c>
      <c r="Y3655" t="s">
        <v>23131</v>
      </c>
      <c r="Z3655" t="s">
        <v>29623</v>
      </c>
      <c r="AA3655">
        <v>0.72347628602953862</v>
      </c>
      <c r="AB3655" t="str">
        <f>HYPERLINK("Melting_Curves/meltCurve_Q15836_VAMP3.pdf", "Melting_Curves/meltCurve_Q15836_VAMP3.pdf")</f>
        <v>Melting_Curves/meltCurve_Q15836_VAMP3.pdf</v>
      </c>
    </row>
    <row r="3656" spans="1:28" x14ac:dyDescent="0.25">
      <c r="A3656" t="s">
        <v>3660</v>
      </c>
      <c r="B3656">
        <v>0.99472303558308395</v>
      </c>
      <c r="C3656">
        <v>0.82013737404805398</v>
      </c>
      <c r="D3656">
        <v>0.88768377537535403</v>
      </c>
      <c r="E3656">
        <v>0.65196233241776802</v>
      </c>
      <c r="F3656">
        <v>0.39370957970049197</v>
      </c>
      <c r="G3656">
        <v>0.19351182288242899</v>
      </c>
      <c r="H3656">
        <v>0.108077805941662</v>
      </c>
      <c r="I3656">
        <v>7.68075917647352E-2</v>
      </c>
      <c r="J3656">
        <v>8.4564307695803698E-2</v>
      </c>
      <c r="K3656">
        <v>0.119942800953276</v>
      </c>
      <c r="L3656">
        <v>700.11611634340102</v>
      </c>
      <c r="M3656">
        <v>14.583276078441999</v>
      </c>
      <c r="N3656">
        <v>48.406713855600202</v>
      </c>
      <c r="O3656">
        <v>47.132519339931498</v>
      </c>
      <c r="P3656">
        <v>-7.2984740350136204E-2</v>
      </c>
      <c r="Q3656">
        <v>5.6572297788685999E-2</v>
      </c>
      <c r="R3656">
        <v>0.98066871931735</v>
      </c>
      <c r="S3656" t="s">
        <v>10224</v>
      </c>
      <c r="T3656" t="s">
        <v>13134</v>
      </c>
      <c r="U3656" t="s">
        <v>13134</v>
      </c>
      <c r="V3656" t="s">
        <v>13134</v>
      </c>
      <c r="W3656" t="s">
        <v>16736</v>
      </c>
      <c r="X3656">
        <v>8</v>
      </c>
      <c r="Y3656" t="s">
        <v>23132</v>
      </c>
      <c r="Z3656" t="s">
        <v>29624</v>
      </c>
      <c r="AA3656">
        <v>0.42452750067547329</v>
      </c>
      <c r="AB3656" t="str">
        <f>HYPERLINK("Melting_Curves/meltCurve_Q15904_ATP6AP1.pdf", "Melting_Curves/meltCurve_Q15904_ATP6AP1.pdf")</f>
        <v>Melting_Curves/meltCurve_Q15904_ATP6AP1.pdf</v>
      </c>
    </row>
    <row r="3657" spans="1:28" x14ac:dyDescent="0.25">
      <c r="A3657" t="s">
        <v>3661</v>
      </c>
      <c r="B3657">
        <v>0.99472303558308395</v>
      </c>
      <c r="C3657">
        <v>0.97188187709279805</v>
      </c>
      <c r="D3657">
        <v>0.66794115527016396</v>
      </c>
      <c r="E3657">
        <v>0.45553287109979101</v>
      </c>
      <c r="F3657">
        <v>0.25813221438217498</v>
      </c>
      <c r="G3657">
        <v>0.160790325757902</v>
      </c>
      <c r="H3657">
        <v>9.5180249061960806E-2</v>
      </c>
      <c r="I3657">
        <v>6.1107069607621703E-2</v>
      </c>
      <c r="J3657">
        <v>6.98661761600394E-2</v>
      </c>
      <c r="K3657">
        <v>6.0582308868048801E-2</v>
      </c>
      <c r="L3657">
        <v>690.37801083820102</v>
      </c>
      <c r="M3657">
        <v>15.158343903536601</v>
      </c>
      <c r="N3657">
        <v>45.919076172738599</v>
      </c>
      <c r="O3657">
        <v>44.773832064383399</v>
      </c>
      <c r="P3657">
        <v>-7.9722941110733803E-2</v>
      </c>
      <c r="Q3657">
        <v>5.8167422925121101E-2</v>
      </c>
      <c r="R3657">
        <v>0.99213346824515003</v>
      </c>
      <c r="S3657" t="s">
        <v>10225</v>
      </c>
      <c r="T3657" t="s">
        <v>13134</v>
      </c>
      <c r="U3657" t="s">
        <v>13134</v>
      </c>
      <c r="V3657" t="s">
        <v>13134</v>
      </c>
      <c r="W3657" t="s">
        <v>16737</v>
      </c>
      <c r="X3657">
        <v>4</v>
      </c>
      <c r="Y3657" t="s">
        <v>23133</v>
      </c>
      <c r="Z3657" t="s">
        <v>29625</v>
      </c>
      <c r="AA3657">
        <v>0.34797337700448761</v>
      </c>
      <c r="AB3657" t="str">
        <f>HYPERLINK("Melting_Curves/meltCurve_Q15906_VPS72.pdf", "Melting_Curves/meltCurve_Q15906_VPS72.pdf")</f>
        <v>Melting_Curves/meltCurve_Q15906_VPS72.pdf</v>
      </c>
    </row>
    <row r="3658" spans="1:28" x14ac:dyDescent="0.25">
      <c r="A3658" t="s">
        <v>3662</v>
      </c>
      <c r="B3658">
        <v>0.99472303558308395</v>
      </c>
      <c r="C3658">
        <v>0.90647628471095198</v>
      </c>
      <c r="D3658">
        <v>1.0213906442773699</v>
      </c>
      <c r="E3658">
        <v>0.95452938080856198</v>
      </c>
      <c r="F3658">
        <v>0.77356899074256602</v>
      </c>
      <c r="G3658">
        <v>0.72416858753618796</v>
      </c>
      <c r="H3658">
        <v>0.59382756298114603</v>
      </c>
      <c r="I3658">
        <v>0.678868846103718</v>
      </c>
      <c r="J3658">
        <v>0.61932845273949999</v>
      </c>
      <c r="K3658">
        <v>0.28242586696172101</v>
      </c>
      <c r="L3658">
        <v>387.43944849893398</v>
      </c>
      <c r="M3658">
        <v>6.0760731965682799</v>
      </c>
      <c r="N3658">
        <v>63.764776346213999</v>
      </c>
      <c r="O3658">
        <v>57.891044061592602</v>
      </c>
      <c r="P3658">
        <v>-2.6320492703365301E-2</v>
      </c>
      <c r="Q3658">
        <v>0</v>
      </c>
      <c r="R3658">
        <v>0.84651863354175405</v>
      </c>
      <c r="S3658" t="s">
        <v>10226</v>
      </c>
      <c r="T3658" t="s">
        <v>13134</v>
      </c>
      <c r="U3658" t="s">
        <v>13134</v>
      </c>
      <c r="V3658" t="s">
        <v>13134</v>
      </c>
      <c r="W3658" t="s">
        <v>16738</v>
      </c>
      <c r="X3658">
        <v>16</v>
      </c>
      <c r="Y3658" t="s">
        <v>23134</v>
      </c>
      <c r="Z3658" t="s">
        <v>29626</v>
      </c>
      <c r="AA3658">
        <v>0.76419138831765665</v>
      </c>
      <c r="AB3658" t="str">
        <f>HYPERLINK("Melting_Curves/meltCurve_Q15907_RAB11B.pdf", "Melting_Curves/meltCurve_Q15907_RAB11B.pdf")</f>
        <v>Melting_Curves/meltCurve_Q15907_RAB11B.pdf</v>
      </c>
    </row>
    <row r="3659" spans="1:28" x14ac:dyDescent="0.25">
      <c r="A3659" t="s">
        <v>3663</v>
      </c>
      <c r="B3659">
        <v>0.99472303558308395</v>
      </c>
      <c r="C3659">
        <v>0.92313403050115905</v>
      </c>
      <c r="D3659">
        <v>0.56404085126803305</v>
      </c>
      <c r="E3659">
        <v>0.448596693372879</v>
      </c>
      <c r="F3659">
        <v>0.24919510298765299</v>
      </c>
      <c r="G3659">
        <v>0.135772848493837</v>
      </c>
      <c r="H3659">
        <v>8.5837208233137605E-2</v>
      </c>
      <c r="I3659">
        <v>6.7026774050117394E-2</v>
      </c>
      <c r="J3659">
        <v>6.4671784686371095E-2</v>
      </c>
      <c r="K3659">
        <v>7.01822197741966E-2</v>
      </c>
      <c r="L3659">
        <v>624.18321170774095</v>
      </c>
      <c r="M3659">
        <v>13.9221342087914</v>
      </c>
      <c r="N3659">
        <v>45.207088568322199</v>
      </c>
      <c r="O3659">
        <v>43.9392475623157</v>
      </c>
      <c r="P3659">
        <v>-7.49221385446317E-2</v>
      </c>
      <c r="Q3659">
        <v>5.4289472376086001E-2</v>
      </c>
      <c r="R3659">
        <v>0.98394071217852197</v>
      </c>
      <c r="S3659" t="s">
        <v>10227</v>
      </c>
      <c r="T3659" t="s">
        <v>13134</v>
      </c>
      <c r="U3659" t="s">
        <v>13134</v>
      </c>
      <c r="V3659" t="s">
        <v>13134</v>
      </c>
      <c r="W3659" t="s">
        <v>16739</v>
      </c>
      <c r="X3659">
        <v>6</v>
      </c>
      <c r="Y3659" t="s">
        <v>23135</v>
      </c>
      <c r="Z3659" t="s">
        <v>29627</v>
      </c>
      <c r="AA3659">
        <v>0.32747926287771051</v>
      </c>
      <c r="AB3659" t="str">
        <f>HYPERLINK("Melting_Curves/meltCurve_Q15910_3_EZH2.pdf", "Melting_Curves/meltCurve_Q15910_3_EZH2.pdf")</f>
        <v>Melting_Curves/meltCurve_Q15910_3_EZH2.pdf</v>
      </c>
    </row>
    <row r="3660" spans="1:28" x14ac:dyDescent="0.25">
      <c r="A3660" t="s">
        <v>3664</v>
      </c>
      <c r="B3660">
        <v>0.99472303558308395</v>
      </c>
      <c r="C3660">
        <v>1.0521451956425101</v>
      </c>
      <c r="D3660">
        <v>0.993157122029102</v>
      </c>
      <c r="E3660">
        <v>0.95414753280461795</v>
      </c>
      <c r="F3660">
        <v>0.72882738131606295</v>
      </c>
      <c r="G3660">
        <v>0.66004227936823301</v>
      </c>
      <c r="H3660">
        <v>0.61262140823972899</v>
      </c>
      <c r="I3660">
        <v>0.76732689333932702</v>
      </c>
      <c r="J3660">
        <v>1.0609986833262799</v>
      </c>
      <c r="K3660">
        <v>0.75220570570404699</v>
      </c>
      <c r="L3660">
        <v>11716.3631927511</v>
      </c>
      <c r="M3660">
        <v>250</v>
      </c>
      <c r="O3660">
        <v>46.862454344134797</v>
      </c>
      <c r="P3660">
        <v>-0.31519050884677002</v>
      </c>
      <c r="Q3660">
        <v>0.76367039027205097</v>
      </c>
      <c r="R3660">
        <v>0.51607666310821099</v>
      </c>
      <c r="S3660" t="s">
        <v>10228</v>
      </c>
      <c r="T3660" t="s">
        <v>13134</v>
      </c>
      <c r="U3660" t="s">
        <v>13134</v>
      </c>
      <c r="V3660" t="s">
        <v>13134</v>
      </c>
      <c r="W3660" t="s">
        <v>16740</v>
      </c>
      <c r="X3660">
        <v>25</v>
      </c>
      <c r="Y3660" t="s">
        <v>23136</v>
      </c>
      <c r="Z3660" t="s">
        <v>29628</v>
      </c>
      <c r="AA3660">
        <v>0.84140644804829745</v>
      </c>
      <c r="AB3660" t="str">
        <f>HYPERLINK("Melting_Curves/meltCurve_Q15942_ZYX.pdf", "Melting_Curves/meltCurve_Q15942_ZYX.pdf")</f>
        <v>Melting_Curves/meltCurve_Q15942_ZYX.pdf</v>
      </c>
    </row>
    <row r="3661" spans="1:28" x14ac:dyDescent="0.25">
      <c r="A3661" t="s">
        <v>3665</v>
      </c>
      <c r="B3661">
        <v>0.99472303558308395</v>
      </c>
      <c r="C3661">
        <v>0.97451334142883395</v>
      </c>
      <c r="D3661">
        <v>0.98914236845259196</v>
      </c>
      <c r="E3661">
        <v>0.91978692494773295</v>
      </c>
      <c r="F3661">
        <v>0.64095628195618704</v>
      </c>
      <c r="G3661">
        <v>0.53784382646936602</v>
      </c>
      <c r="H3661">
        <v>0.123524532071336</v>
      </c>
      <c r="I3661">
        <v>6.6394197148829298E-2</v>
      </c>
      <c r="J3661">
        <v>5.5396157110831401E-2</v>
      </c>
      <c r="K3661">
        <v>5.0182429448581298E-2</v>
      </c>
      <c r="L3661">
        <v>906.24020216955705</v>
      </c>
      <c r="M3661">
        <v>17.149261887470999</v>
      </c>
      <c r="N3661">
        <v>52.844256199271001</v>
      </c>
      <c r="O3661">
        <v>52.141415096300797</v>
      </c>
      <c r="P3661">
        <v>-8.2229672116675603E-2</v>
      </c>
      <c r="Q3661">
        <v>0</v>
      </c>
      <c r="R3661">
        <v>0.98378760218313799</v>
      </c>
      <c r="S3661" t="s">
        <v>10229</v>
      </c>
      <c r="T3661" t="s">
        <v>13134</v>
      </c>
      <c r="U3661" t="s">
        <v>13134</v>
      </c>
      <c r="V3661" t="s">
        <v>13134</v>
      </c>
      <c r="W3661" t="s">
        <v>16741</v>
      </c>
      <c r="X3661">
        <v>16</v>
      </c>
      <c r="Y3661" t="s">
        <v>23137</v>
      </c>
      <c r="Z3661" t="s">
        <v>29629</v>
      </c>
      <c r="AA3661">
        <v>0.54371388338904536</v>
      </c>
      <c r="AB3661" t="str">
        <f>HYPERLINK("Melting_Curves/meltCurve_Q16134_ETFDH.pdf", "Melting_Curves/meltCurve_Q16134_ETFDH.pdf")</f>
        <v>Melting_Curves/meltCurve_Q16134_ETFDH.pdf</v>
      </c>
    </row>
    <row r="3662" spans="1:28" x14ac:dyDescent="0.25">
      <c r="A3662" t="s">
        <v>3666</v>
      </c>
      <c r="B3662">
        <v>0.99472303558308395</v>
      </c>
      <c r="C3662">
        <v>1.0180364594559701</v>
      </c>
      <c r="D3662">
        <v>0.88856914669966103</v>
      </c>
      <c r="E3662">
        <v>0.80736594263657502</v>
      </c>
      <c r="F3662">
        <v>0.67106179138506705</v>
      </c>
      <c r="G3662">
        <v>0.35334797606132301</v>
      </c>
      <c r="H3662">
        <v>9.1492653362968607E-2</v>
      </c>
      <c r="I3662">
        <v>5.3894979874884799E-2</v>
      </c>
      <c r="J3662">
        <v>5.57103141357599E-2</v>
      </c>
      <c r="K3662">
        <v>4.4492742791625302E-2</v>
      </c>
      <c r="L3662">
        <v>852.73963476631604</v>
      </c>
      <c r="M3662">
        <v>16.526185451992301</v>
      </c>
      <c r="N3662">
        <v>51.5993020627159</v>
      </c>
      <c r="O3662">
        <v>50.861528606717798</v>
      </c>
      <c r="P3662">
        <v>-8.1236875329332506E-2</v>
      </c>
      <c r="Q3662">
        <v>0</v>
      </c>
      <c r="R3662">
        <v>0.98862661780014405</v>
      </c>
      <c r="S3662" t="s">
        <v>10230</v>
      </c>
      <c r="T3662" t="s">
        <v>13134</v>
      </c>
      <c r="U3662" t="s">
        <v>13134</v>
      </c>
      <c r="V3662" t="s">
        <v>13134</v>
      </c>
      <c r="W3662" t="s">
        <v>16742</v>
      </c>
      <c r="X3662">
        <v>28</v>
      </c>
      <c r="Y3662" t="s">
        <v>20473</v>
      </c>
      <c r="Z3662" t="s">
        <v>29630</v>
      </c>
      <c r="AA3662">
        <v>0.5039110783479771</v>
      </c>
      <c r="AB3662" t="str">
        <f>HYPERLINK("Melting_Curves/meltCurve_Q16181_SEPT7.pdf", "Melting_Curves/meltCurve_Q16181_SEPT7.pdf")</f>
        <v>Melting_Curves/meltCurve_Q16181_SEPT7.pdf</v>
      </c>
    </row>
    <row r="3663" spans="1:28" x14ac:dyDescent="0.25">
      <c r="A3663" t="s">
        <v>3667</v>
      </c>
      <c r="B3663">
        <v>0.99472303558308395</v>
      </c>
      <c r="C3663">
        <v>1.00260659126995</v>
      </c>
      <c r="D3663">
        <v>0.78347779224704295</v>
      </c>
      <c r="E3663">
        <v>0.56398014679281205</v>
      </c>
      <c r="F3663">
        <v>0.42190943917552198</v>
      </c>
      <c r="G3663">
        <v>0.13398415978185099</v>
      </c>
      <c r="H3663">
        <v>7.4511062861630104E-2</v>
      </c>
      <c r="I3663">
        <v>5.80769815915511E-2</v>
      </c>
      <c r="J3663">
        <v>6.4168341261132106E-2</v>
      </c>
      <c r="K3663">
        <v>3.7766299576731402E-2</v>
      </c>
      <c r="L3663">
        <v>668.34896177136</v>
      </c>
      <c r="M3663">
        <v>14.001111056630901</v>
      </c>
      <c r="N3663">
        <v>47.836217134547098</v>
      </c>
      <c r="O3663">
        <v>46.793265192537298</v>
      </c>
      <c r="P3663">
        <v>-7.3725303966590897E-2</v>
      </c>
      <c r="Q3663">
        <v>1.45378150597727E-2</v>
      </c>
      <c r="R3663">
        <v>0.98870263328441998</v>
      </c>
      <c r="S3663" t="s">
        <v>10231</v>
      </c>
      <c r="T3663" t="s">
        <v>13134</v>
      </c>
      <c r="U3663" t="s">
        <v>13134</v>
      </c>
      <c r="V3663" t="s">
        <v>13134</v>
      </c>
      <c r="W3663" t="s">
        <v>16743</v>
      </c>
      <c r="X3663">
        <v>8</v>
      </c>
      <c r="Y3663" t="s">
        <v>23138</v>
      </c>
      <c r="Z3663" t="s">
        <v>29631</v>
      </c>
      <c r="AA3663">
        <v>0.39169595004480989</v>
      </c>
      <c r="AB3663" t="str">
        <f>HYPERLINK("Melting_Curves/meltCurve_Q16186_ADRM1.pdf", "Melting_Curves/meltCurve_Q16186_ADRM1.pdf")</f>
        <v>Melting_Curves/meltCurve_Q16186_ADRM1.pdf</v>
      </c>
    </row>
    <row r="3664" spans="1:28" x14ac:dyDescent="0.25">
      <c r="A3664" t="s">
        <v>3668</v>
      </c>
      <c r="B3664">
        <v>0.99472303558308395</v>
      </c>
      <c r="C3664">
        <v>1.0052891421538099</v>
      </c>
      <c r="D3664">
        <v>0.92464720347447105</v>
      </c>
      <c r="E3664">
        <v>0.85229914682296404</v>
      </c>
      <c r="F3664">
        <v>0.64829961256962598</v>
      </c>
      <c r="G3664">
        <v>0.40723441599189802</v>
      </c>
      <c r="H3664">
        <v>0.22994495574118801</v>
      </c>
      <c r="I3664">
        <v>0.17152455275758599</v>
      </c>
      <c r="J3664">
        <v>0.14328754509160799</v>
      </c>
      <c r="K3664">
        <v>0.111928961443871</v>
      </c>
      <c r="L3664">
        <v>783.46582695746895</v>
      </c>
      <c r="M3664">
        <v>15.1897195943413</v>
      </c>
      <c r="N3664">
        <v>52.243582791758001</v>
      </c>
      <c r="O3664">
        <v>50.709503448544297</v>
      </c>
      <c r="P3664">
        <v>-6.8310931665685401E-2</v>
      </c>
      <c r="Q3664">
        <v>8.7888277657571706E-2</v>
      </c>
      <c r="R3664">
        <v>0.99843290723258304</v>
      </c>
      <c r="S3664" t="s">
        <v>10232</v>
      </c>
      <c r="T3664" t="s">
        <v>13134</v>
      </c>
      <c r="U3664" t="s">
        <v>13134</v>
      </c>
      <c r="V3664" t="s">
        <v>13134</v>
      </c>
      <c r="W3664" t="s">
        <v>16744</v>
      </c>
      <c r="X3664">
        <v>24</v>
      </c>
      <c r="Y3664" t="s">
        <v>23139</v>
      </c>
      <c r="Z3664" t="s">
        <v>29632</v>
      </c>
      <c r="AA3664">
        <v>0.54872585024033749</v>
      </c>
      <c r="AB3664" t="str">
        <f>HYPERLINK("Melting_Curves/meltCurve_Q16204_CCDC6.pdf", "Melting_Curves/meltCurve_Q16204_CCDC6.pdf")</f>
        <v>Melting_Curves/meltCurve_Q16204_CCDC6.pdf</v>
      </c>
    </row>
    <row r="3665" spans="1:28" x14ac:dyDescent="0.25">
      <c r="A3665" t="s">
        <v>3669</v>
      </c>
      <c r="B3665">
        <v>0.99472303558308395</v>
      </c>
      <c r="C3665">
        <v>0.98624828670688702</v>
      </c>
      <c r="D3665">
        <v>1.00677254312457</v>
      </c>
      <c r="E3665">
        <v>0.95560565459247704</v>
      </c>
      <c r="F3665">
        <v>0.78469573445127305</v>
      </c>
      <c r="G3665">
        <v>0.57669396128700501</v>
      </c>
      <c r="H3665">
        <v>0.16299472560605599</v>
      </c>
      <c r="I3665">
        <v>5.3014815595604697E-2</v>
      </c>
      <c r="J3665">
        <v>4.8782075209013502E-2</v>
      </c>
      <c r="K3665">
        <v>4.5650779237957601E-2</v>
      </c>
      <c r="L3665">
        <v>1187.92273351987</v>
      </c>
      <c r="M3665">
        <v>22.046559203543399</v>
      </c>
      <c r="N3665">
        <v>53.916858422859796</v>
      </c>
      <c r="O3665">
        <v>53.445025855495402</v>
      </c>
      <c r="P3665">
        <v>-0.102409280606114</v>
      </c>
      <c r="Q3665">
        <v>6.98444491160982E-3</v>
      </c>
      <c r="R3665">
        <v>0.99357297231506203</v>
      </c>
      <c r="S3665" t="s">
        <v>10233</v>
      </c>
      <c r="T3665" t="s">
        <v>13134</v>
      </c>
      <c r="U3665" t="s">
        <v>13134</v>
      </c>
      <c r="V3665" t="s">
        <v>13134</v>
      </c>
      <c r="W3665" t="s">
        <v>16745</v>
      </c>
      <c r="X3665">
        <v>24</v>
      </c>
      <c r="Y3665" t="s">
        <v>23140</v>
      </c>
      <c r="Z3665" t="s">
        <v>29633</v>
      </c>
      <c r="AA3665">
        <v>0.57635591833976041</v>
      </c>
      <c r="AB3665" t="str">
        <f>HYPERLINK("Melting_Curves/meltCurve_Q16222_2_UAP1.pdf", "Melting_Curves/meltCurve_Q16222_2_UAP1.pdf")</f>
        <v>Melting_Curves/meltCurve_Q16222_2_UAP1.pdf</v>
      </c>
    </row>
    <row r="3666" spans="1:28" x14ac:dyDescent="0.25">
      <c r="A3666" t="s">
        <v>3670</v>
      </c>
      <c r="B3666">
        <v>0.99472303558308395</v>
      </c>
      <c r="C3666">
        <v>1.14003561481606</v>
      </c>
      <c r="D3666">
        <v>0.80679934876908899</v>
      </c>
      <c r="E3666">
        <v>0.57865650006831904</v>
      </c>
      <c r="F3666">
        <v>0.25689750393828797</v>
      </c>
      <c r="G3666">
        <v>0.168139343743301</v>
      </c>
      <c r="H3666">
        <v>0.168348629357603</v>
      </c>
      <c r="I3666">
        <v>0.144367802350163</v>
      </c>
      <c r="J3666">
        <v>0.182812969526297</v>
      </c>
      <c r="K3666">
        <v>5.6509740781553297E-2</v>
      </c>
      <c r="L3666">
        <v>1037.6967403096301</v>
      </c>
      <c r="M3666">
        <v>22.324292309447699</v>
      </c>
      <c r="N3666">
        <v>47.125358990707603</v>
      </c>
      <c r="O3666">
        <v>46.114689333494802</v>
      </c>
      <c r="P3666">
        <v>-0.105149200075513</v>
      </c>
      <c r="Q3666">
        <v>0.13120282095437899</v>
      </c>
      <c r="R3666">
        <v>0.97152793070536603</v>
      </c>
      <c r="S3666" t="s">
        <v>10234</v>
      </c>
      <c r="T3666" t="s">
        <v>13134</v>
      </c>
      <c r="U3666" t="s">
        <v>13134</v>
      </c>
      <c r="V3666" t="s">
        <v>13134</v>
      </c>
      <c r="W3666" t="s">
        <v>16746</v>
      </c>
      <c r="X3666">
        <v>2</v>
      </c>
      <c r="Y3666" t="s">
        <v>23141</v>
      </c>
      <c r="Z3666" t="s">
        <v>29634</v>
      </c>
      <c r="AA3666">
        <v>0.41493565849893638</v>
      </c>
      <c r="AB3666" t="str">
        <f>HYPERLINK("Melting_Curves/meltCurve_Q16384_SSX1.pdf", "Melting_Curves/meltCurve_Q16384_SSX1.pdf")</f>
        <v>Melting_Curves/meltCurve_Q16384_SSX1.pdf</v>
      </c>
    </row>
    <row r="3667" spans="1:28" x14ac:dyDescent="0.25">
      <c r="A3667" t="s">
        <v>3671</v>
      </c>
      <c r="B3667">
        <v>0.99472303558308395</v>
      </c>
      <c r="C3667">
        <v>0.88174411276187203</v>
      </c>
      <c r="D3667">
        <v>0.78635326019317597</v>
      </c>
      <c r="E3667">
        <v>0.64284264427883597</v>
      </c>
      <c r="F3667">
        <v>0.42286849060977999</v>
      </c>
      <c r="G3667">
        <v>0.172431933008763</v>
      </c>
      <c r="H3667">
        <v>9.7354166650654397E-2</v>
      </c>
      <c r="I3667">
        <v>4.9590536555957403E-2</v>
      </c>
      <c r="J3667">
        <v>5.6652317880299202E-2</v>
      </c>
      <c r="K3667">
        <v>4.9823105367737902E-2</v>
      </c>
      <c r="L3667">
        <v>597.025231008216</v>
      </c>
      <c r="M3667">
        <v>12.375444509932599</v>
      </c>
      <c r="N3667">
        <v>48.2427302935426</v>
      </c>
      <c r="O3667">
        <v>47.034985616861398</v>
      </c>
      <c r="P3667">
        <v>-6.5791965332530497E-2</v>
      </c>
      <c r="Q3667">
        <v>0</v>
      </c>
      <c r="R3667">
        <v>0.99210436354170495</v>
      </c>
      <c r="S3667" t="s">
        <v>10235</v>
      </c>
      <c r="T3667" t="s">
        <v>13134</v>
      </c>
      <c r="U3667" t="s">
        <v>13134</v>
      </c>
      <c r="V3667" t="s">
        <v>13134</v>
      </c>
      <c r="W3667" t="s">
        <v>16747</v>
      </c>
      <c r="X3667">
        <v>22</v>
      </c>
      <c r="Y3667" t="s">
        <v>23142</v>
      </c>
      <c r="Z3667" t="s">
        <v>29635</v>
      </c>
      <c r="AA3667">
        <v>0.40433848617048068</v>
      </c>
      <c r="AB3667" t="str">
        <f>HYPERLINK("Melting_Curves/meltCurve_Q16401_2_PSMD5.pdf", "Melting_Curves/meltCurve_Q16401_2_PSMD5.pdf")</f>
        <v>Melting_Curves/meltCurve_Q16401_2_PSMD5.pdf</v>
      </c>
    </row>
    <row r="3668" spans="1:28" x14ac:dyDescent="0.25">
      <c r="A3668" t="s">
        <v>3672</v>
      </c>
      <c r="B3668">
        <v>0.99472303558308395</v>
      </c>
      <c r="C3668">
        <v>0.98277777993955096</v>
      </c>
      <c r="D3668">
        <v>0.94333611726434996</v>
      </c>
      <c r="E3668">
        <v>0.77692127304874803</v>
      </c>
      <c r="F3668">
        <v>0.23669338675753801</v>
      </c>
      <c r="G3668">
        <v>9.6977632036859995E-2</v>
      </c>
      <c r="H3668">
        <v>6.2950574078105601E-2</v>
      </c>
      <c r="I3668">
        <v>5.00644934066449E-2</v>
      </c>
      <c r="J3668">
        <v>5.9375107246296598E-2</v>
      </c>
      <c r="K3668">
        <v>4.8045331184531401E-2</v>
      </c>
      <c r="L3668">
        <v>1615.8523434926899</v>
      </c>
      <c r="M3668">
        <v>33.560925307382398</v>
      </c>
      <c r="N3668">
        <v>48.316934017983101</v>
      </c>
      <c r="O3668">
        <v>47.976858877973598</v>
      </c>
      <c r="P3668">
        <v>-0.16513734101334901</v>
      </c>
      <c r="Q3668">
        <v>5.57188601935402E-2</v>
      </c>
      <c r="R3668">
        <v>0.99859104996347203</v>
      </c>
      <c r="S3668" t="s">
        <v>10236</v>
      </c>
      <c r="T3668" t="s">
        <v>13134</v>
      </c>
      <c r="U3668" t="s">
        <v>13134</v>
      </c>
      <c r="V3668" t="s">
        <v>13134</v>
      </c>
      <c r="W3668" t="s">
        <v>16748</v>
      </c>
      <c r="X3668">
        <v>29</v>
      </c>
      <c r="Y3668" t="s">
        <v>23143</v>
      </c>
      <c r="Z3668" t="s">
        <v>29636</v>
      </c>
      <c r="AA3668">
        <v>0.41105289372069681</v>
      </c>
      <c r="AB3668" t="str">
        <f>HYPERLINK("Melting_Curves/meltCurve_Q16512_PKN1.pdf", "Melting_Curves/meltCurve_Q16512_PKN1.pdf")</f>
        <v>Melting_Curves/meltCurve_Q16512_PKN1.pdf</v>
      </c>
    </row>
    <row r="3669" spans="1:28" x14ac:dyDescent="0.25">
      <c r="A3669" t="s">
        <v>3673</v>
      </c>
      <c r="B3669">
        <v>0.99472303558308395</v>
      </c>
      <c r="C3669">
        <v>0.93997048007064699</v>
      </c>
      <c r="D3669">
        <v>0.89901442824202205</v>
      </c>
      <c r="E3669">
        <v>0.62919420961561701</v>
      </c>
      <c r="F3669">
        <v>0.26801449581219</v>
      </c>
      <c r="G3669">
        <v>0.15212254783023699</v>
      </c>
      <c r="H3669">
        <v>0.100192366848842</v>
      </c>
      <c r="I3669">
        <v>6.0696038919146801E-2</v>
      </c>
      <c r="J3669">
        <v>6.03720073637493E-2</v>
      </c>
      <c r="K3669">
        <v>5.8467043237449001E-2</v>
      </c>
      <c r="L3669">
        <v>960.38135664050003</v>
      </c>
      <c r="M3669">
        <v>20.244166927832399</v>
      </c>
      <c r="N3669">
        <v>47.735281649984699</v>
      </c>
      <c r="O3669">
        <v>46.9842764915538</v>
      </c>
      <c r="P3669">
        <v>-0.101379653343944</v>
      </c>
      <c r="Q3669">
        <v>5.8869319550900398E-2</v>
      </c>
      <c r="R3669">
        <v>0.99802417970095803</v>
      </c>
      <c r="S3669" t="s">
        <v>10237</v>
      </c>
      <c r="T3669" t="s">
        <v>13134</v>
      </c>
      <c r="U3669" t="s">
        <v>13134</v>
      </c>
      <c r="V3669" t="s">
        <v>13134</v>
      </c>
      <c r="W3669" t="s">
        <v>16749</v>
      </c>
      <c r="X3669">
        <v>7</v>
      </c>
      <c r="Y3669" t="s">
        <v>23144</v>
      </c>
      <c r="Z3669" t="s">
        <v>29637</v>
      </c>
      <c r="AA3669">
        <v>0.39843356152618209</v>
      </c>
      <c r="AB3669" t="str">
        <f>HYPERLINK("Melting_Curves/meltCurve_Q16513_2_PKN2.pdf", "Melting_Curves/meltCurve_Q16513_2_PKN2.pdf")</f>
        <v>Melting_Curves/meltCurve_Q16513_2_PKN2.pdf</v>
      </c>
    </row>
    <row r="3670" spans="1:28" x14ac:dyDescent="0.25">
      <c r="A3670" t="s">
        <v>3674</v>
      </c>
      <c r="B3670">
        <v>0.99472303558308395</v>
      </c>
      <c r="C3670">
        <v>0.813360447267088</v>
      </c>
      <c r="D3670">
        <v>0.84075039824012199</v>
      </c>
      <c r="E3670">
        <v>0.56724576105340796</v>
      </c>
      <c r="F3670">
        <v>0.183623436874707</v>
      </c>
      <c r="G3670">
        <v>0.187215526445036</v>
      </c>
      <c r="H3670">
        <v>0.14968236548220501</v>
      </c>
      <c r="I3670">
        <v>0.13169402079023601</v>
      </c>
      <c r="J3670">
        <v>0.16038633691861401</v>
      </c>
      <c r="K3670">
        <v>9.4337248320005701E-2</v>
      </c>
      <c r="L3670">
        <v>839.050315338426</v>
      </c>
      <c r="M3670">
        <v>18.223359846729402</v>
      </c>
      <c r="N3670">
        <v>46.714755108768699</v>
      </c>
      <c r="O3670">
        <v>45.4988745344207</v>
      </c>
      <c r="P3670">
        <v>-8.8587068777837896E-2</v>
      </c>
      <c r="Q3670">
        <v>0.115328360791934</v>
      </c>
      <c r="R3670">
        <v>0.96988439418490602</v>
      </c>
      <c r="S3670" t="s">
        <v>10238</v>
      </c>
      <c r="T3670" t="s">
        <v>13134</v>
      </c>
      <c r="U3670" t="s">
        <v>13134</v>
      </c>
      <c r="V3670" t="s">
        <v>13134</v>
      </c>
      <c r="W3670" t="s">
        <v>16750</v>
      </c>
      <c r="X3670">
        <v>1</v>
      </c>
      <c r="Y3670" t="s">
        <v>23145</v>
      </c>
      <c r="Z3670" t="s">
        <v>29638</v>
      </c>
      <c r="AA3670">
        <v>0.39593086259664712</v>
      </c>
      <c r="AB3670" t="str">
        <f>HYPERLINK("Melting_Curves/meltCurve_Q16514_2_TAF12.pdf", "Melting_Curves/meltCurve_Q16514_2_TAF12.pdf")</f>
        <v>Melting_Curves/meltCurve_Q16514_2_TAF12.pdf</v>
      </c>
    </row>
    <row r="3671" spans="1:28" x14ac:dyDescent="0.25">
      <c r="A3671" t="s">
        <v>3675</v>
      </c>
      <c r="B3671">
        <v>0.99472303558308395</v>
      </c>
      <c r="C3671">
        <v>0.95498641483116498</v>
      </c>
      <c r="D3671">
        <v>0.84754056295567504</v>
      </c>
      <c r="E3671">
        <v>0.79747205485965</v>
      </c>
      <c r="F3671">
        <v>0.77998637966802098</v>
      </c>
      <c r="G3671">
        <v>0.648801996226127</v>
      </c>
      <c r="H3671">
        <v>0.59327020942773301</v>
      </c>
      <c r="I3671">
        <v>0.47804137382409501</v>
      </c>
      <c r="J3671">
        <v>0.23321675964281</v>
      </c>
      <c r="K3671">
        <v>0.175793357234622</v>
      </c>
      <c r="L3671">
        <v>443.60832391260402</v>
      </c>
      <c r="M3671">
        <v>7.6876908858112598</v>
      </c>
      <c r="N3671">
        <v>57.703714475936202</v>
      </c>
      <c r="O3671">
        <v>54.188509649305701</v>
      </c>
      <c r="P3671">
        <v>-3.5513877757674901E-2</v>
      </c>
      <c r="Q3671">
        <v>0</v>
      </c>
      <c r="R3671">
        <v>0.94575469015665503</v>
      </c>
      <c r="S3671" t="s">
        <v>10239</v>
      </c>
      <c r="T3671" t="s">
        <v>13134</v>
      </c>
      <c r="U3671" t="s">
        <v>13134</v>
      </c>
      <c r="V3671" t="s">
        <v>13134</v>
      </c>
      <c r="W3671" t="s">
        <v>16751</v>
      </c>
      <c r="X3671">
        <v>58</v>
      </c>
      <c r="Y3671" t="s">
        <v>23146</v>
      </c>
      <c r="Z3671" t="s">
        <v>29639</v>
      </c>
      <c r="AA3671">
        <v>0.66979683789306665</v>
      </c>
      <c r="AB3671" t="str">
        <f>HYPERLINK("Melting_Curves/meltCurve_Q16531_DDB1.pdf", "Melting_Curves/meltCurve_Q16531_DDB1.pdf")</f>
        <v>Melting_Curves/meltCurve_Q16531_DDB1.pdf</v>
      </c>
    </row>
    <row r="3672" spans="1:28" x14ac:dyDescent="0.25">
      <c r="A3672" t="s">
        <v>3676</v>
      </c>
      <c r="B3672">
        <v>0.99472303558308395</v>
      </c>
      <c r="C3672">
        <v>0.85831395816580103</v>
      </c>
      <c r="D3672">
        <v>0.91791668452338104</v>
      </c>
      <c r="E3672">
        <v>0.65281328454806398</v>
      </c>
      <c r="F3672">
        <v>0.196613000874342</v>
      </c>
      <c r="G3672">
        <v>7.3275225473333996E-2</v>
      </c>
      <c r="H3672">
        <v>3.8147872743875898E-2</v>
      </c>
      <c r="I3672">
        <v>2.3151923095013498E-2</v>
      </c>
      <c r="J3672">
        <v>2.7563043374439999E-2</v>
      </c>
      <c r="K3672">
        <v>2.9234390902487702E-2</v>
      </c>
      <c r="L3672">
        <v>1198.9631246440999</v>
      </c>
      <c r="M3672">
        <v>25.2455591873114</v>
      </c>
      <c r="N3672">
        <v>47.578828822715103</v>
      </c>
      <c r="O3672">
        <v>47.197057599667602</v>
      </c>
      <c r="P3672">
        <v>-0.130716772292019</v>
      </c>
      <c r="Q3672">
        <v>2.2502604014164301E-2</v>
      </c>
      <c r="R3672">
        <v>0.98769269075315302</v>
      </c>
      <c r="S3672" t="s">
        <v>10240</v>
      </c>
      <c r="T3672" t="s">
        <v>13134</v>
      </c>
      <c r="U3672" t="s">
        <v>13134</v>
      </c>
      <c r="V3672" t="s">
        <v>13134</v>
      </c>
      <c r="W3672" t="s">
        <v>16752</v>
      </c>
      <c r="X3672">
        <v>10</v>
      </c>
      <c r="Y3672" t="s">
        <v>23147</v>
      </c>
      <c r="Z3672" t="s">
        <v>29640</v>
      </c>
      <c r="AA3672">
        <v>0.37247591308187439</v>
      </c>
      <c r="AB3672" t="str">
        <f>HYPERLINK("Melting_Curves/meltCurve_Q16539_MAPK14.pdf", "Melting_Curves/meltCurve_Q16539_MAPK14.pdf")</f>
        <v>Melting_Curves/meltCurve_Q16539_MAPK14.pdf</v>
      </c>
    </row>
    <row r="3673" spans="1:28" x14ac:dyDescent="0.25">
      <c r="A3673" t="s">
        <v>3677</v>
      </c>
      <c r="B3673">
        <v>0.99472303558308395</v>
      </c>
      <c r="C3673">
        <v>0.82858590037994595</v>
      </c>
      <c r="D3673">
        <v>0.84735369153350504</v>
      </c>
      <c r="E3673">
        <v>0.46143571136062</v>
      </c>
      <c r="F3673">
        <v>0.14928926962428901</v>
      </c>
      <c r="G3673">
        <v>7.7069854419643397E-2</v>
      </c>
      <c r="H3673">
        <v>3.9882918158891202E-2</v>
      </c>
      <c r="I3673">
        <v>4.69549047745755E-2</v>
      </c>
      <c r="J3673">
        <v>2.8867431534427401E-2</v>
      </c>
      <c r="K3673">
        <v>3.4721738246033702E-2</v>
      </c>
      <c r="L3673">
        <v>899.46417104795898</v>
      </c>
      <c r="M3673">
        <v>19.5564968345337</v>
      </c>
      <c r="N3673">
        <v>46.110669732879302</v>
      </c>
      <c r="O3673">
        <v>45.520314124095201</v>
      </c>
      <c r="P3673">
        <v>-0.104797210844428</v>
      </c>
      <c r="Q3673">
        <v>2.4317830175230801E-2</v>
      </c>
      <c r="R3673">
        <v>0.98635422639871195</v>
      </c>
      <c r="S3673" t="s">
        <v>10241</v>
      </c>
      <c r="T3673" t="s">
        <v>13134</v>
      </c>
      <c r="U3673" t="s">
        <v>13134</v>
      </c>
      <c r="V3673" t="s">
        <v>13134</v>
      </c>
      <c r="W3673" t="s">
        <v>16753</v>
      </c>
      <c r="X3673">
        <v>8</v>
      </c>
      <c r="Y3673" t="s">
        <v>23147</v>
      </c>
      <c r="Z3673" t="s">
        <v>29641</v>
      </c>
      <c r="AA3673">
        <v>0.33014702104411953</v>
      </c>
      <c r="AB3673" t="str">
        <f>HYPERLINK("Melting_Curves/meltCurve_Q16539_2_MAPK14.pdf", "Melting_Curves/meltCurve_Q16539_2_MAPK14.pdf")</f>
        <v>Melting_Curves/meltCurve_Q16539_2_MAPK14.pdf</v>
      </c>
    </row>
    <row r="3674" spans="1:28" x14ac:dyDescent="0.25">
      <c r="A3674" t="s">
        <v>3678</v>
      </c>
      <c r="B3674">
        <v>0.99472303558308395</v>
      </c>
      <c r="C3674">
        <v>0.96974675797162602</v>
      </c>
      <c r="D3674">
        <v>0.953209587618708</v>
      </c>
      <c r="E3674">
        <v>0.88364162521381395</v>
      </c>
      <c r="F3674">
        <v>0.665016327752461</v>
      </c>
      <c r="G3674">
        <v>0.38633903983225898</v>
      </c>
      <c r="H3674">
        <v>9.7992686703670701E-2</v>
      </c>
      <c r="I3674">
        <v>6.5033420902141606E-2</v>
      </c>
      <c r="J3674">
        <v>6.8235103276702999E-2</v>
      </c>
      <c r="K3674">
        <v>5.8037106615913901E-2</v>
      </c>
      <c r="L3674">
        <v>1002.97827984813</v>
      </c>
      <c r="M3674">
        <v>19.343809219621399</v>
      </c>
      <c r="N3674">
        <v>51.993458124635303</v>
      </c>
      <c r="O3674">
        <v>51.305493101818598</v>
      </c>
      <c r="P3674">
        <v>-9.1813466363226598E-2</v>
      </c>
      <c r="Q3674">
        <v>2.59704910337493E-2</v>
      </c>
      <c r="R3674">
        <v>0.995240323824787</v>
      </c>
      <c r="S3674" t="s">
        <v>10242</v>
      </c>
      <c r="T3674" t="s">
        <v>13134</v>
      </c>
      <c r="U3674" t="s">
        <v>13134</v>
      </c>
      <c r="V3674" t="s">
        <v>13134</v>
      </c>
      <c r="W3674" t="s">
        <v>16754</v>
      </c>
      <c r="X3674">
        <v>36</v>
      </c>
      <c r="Y3674" t="s">
        <v>20919</v>
      </c>
      <c r="Z3674" t="s">
        <v>29642</v>
      </c>
      <c r="AA3674">
        <v>0.52140489841009741</v>
      </c>
      <c r="AB3674" t="str">
        <f>HYPERLINK("Melting_Curves/meltCurve_Q16543_CDC37.pdf", "Melting_Curves/meltCurve_Q16543_CDC37.pdf")</f>
        <v>Melting_Curves/meltCurve_Q16543_CDC37.pdf</v>
      </c>
    </row>
    <row r="3675" spans="1:28" x14ac:dyDescent="0.25">
      <c r="A3675" t="s">
        <v>3679</v>
      </c>
      <c r="B3675">
        <v>0.99472303558308395</v>
      </c>
      <c r="C3675">
        <v>0.97728659919433702</v>
      </c>
      <c r="D3675">
        <v>0.86569349472061097</v>
      </c>
      <c r="E3675">
        <v>0.696764922893783</v>
      </c>
      <c r="F3675">
        <v>0.62524862331050501</v>
      </c>
      <c r="G3675">
        <v>0.397794586503669</v>
      </c>
      <c r="H3675">
        <v>0.30838342940386199</v>
      </c>
      <c r="I3675">
        <v>0.17894425101446501</v>
      </c>
      <c r="J3675">
        <v>0.13023079517338201</v>
      </c>
      <c r="K3675">
        <v>0.12234727610863901</v>
      </c>
      <c r="L3675">
        <v>487.96186459515798</v>
      </c>
      <c r="M3675">
        <v>9.4042537636908605</v>
      </c>
      <c r="N3675">
        <v>51.887356132298002</v>
      </c>
      <c r="O3675">
        <v>49.703414646828101</v>
      </c>
      <c r="P3675">
        <v>-4.7330927155829601E-2</v>
      </c>
      <c r="Q3675">
        <v>0</v>
      </c>
      <c r="R3675">
        <v>0.99315411963392297</v>
      </c>
      <c r="S3675" t="s">
        <v>10243</v>
      </c>
      <c r="T3675" t="s">
        <v>13134</v>
      </c>
      <c r="U3675" t="s">
        <v>13134</v>
      </c>
      <c r="V3675" t="s">
        <v>13134</v>
      </c>
      <c r="W3675" t="s">
        <v>16755</v>
      </c>
      <c r="X3675">
        <v>10</v>
      </c>
      <c r="Y3675" t="s">
        <v>23148</v>
      </c>
      <c r="Z3675" t="s">
        <v>29643</v>
      </c>
      <c r="AA3675">
        <v>0.52414626405025111</v>
      </c>
      <c r="AB3675" t="str">
        <f>HYPERLINK("Melting_Curves/meltCurve_Q16555_2_DPYSL2.pdf", "Melting_Curves/meltCurve_Q16555_2_DPYSL2.pdf")</f>
        <v>Melting_Curves/meltCurve_Q16555_2_DPYSL2.pdf</v>
      </c>
    </row>
    <row r="3676" spans="1:28" x14ac:dyDescent="0.25">
      <c r="A3676" t="s">
        <v>3680</v>
      </c>
      <c r="B3676">
        <v>0.99472303558308395</v>
      </c>
      <c r="C3676">
        <v>0.95588804505858904</v>
      </c>
      <c r="D3676">
        <v>0.88374909910864796</v>
      </c>
      <c r="E3676">
        <v>0.78706039817845497</v>
      </c>
      <c r="F3676">
        <v>0.64495004749361895</v>
      </c>
      <c r="G3676">
        <v>0.53965064632997095</v>
      </c>
      <c r="H3676">
        <v>0.35570721542629502</v>
      </c>
      <c r="I3676">
        <v>0.218135473094201</v>
      </c>
      <c r="J3676">
        <v>0.12050556320047801</v>
      </c>
      <c r="K3676">
        <v>6.3198811639286007E-2</v>
      </c>
      <c r="L3676">
        <v>537.86828904440904</v>
      </c>
      <c r="M3676">
        <v>10.0721835293963</v>
      </c>
      <c r="N3676">
        <v>53.401365912059298</v>
      </c>
      <c r="O3676">
        <v>51.424484046996803</v>
      </c>
      <c r="P3676">
        <v>-4.8989064932077102E-2</v>
      </c>
      <c r="Q3676">
        <v>0</v>
      </c>
      <c r="R3676">
        <v>0.99077451106800896</v>
      </c>
      <c r="S3676" t="s">
        <v>10244</v>
      </c>
      <c r="T3676" t="s">
        <v>13134</v>
      </c>
      <c r="U3676" t="s">
        <v>13134</v>
      </c>
      <c r="V3676" t="s">
        <v>13134</v>
      </c>
      <c r="W3676" t="s">
        <v>13673</v>
      </c>
      <c r="X3676">
        <v>14</v>
      </c>
      <c r="Y3676" t="s">
        <v>20166</v>
      </c>
      <c r="Z3676" t="s">
        <v>29644</v>
      </c>
      <c r="AA3676">
        <v>0.56725109197876011</v>
      </c>
      <c r="AB3676" t="str">
        <f>HYPERLINK("Melting_Curves/meltCurve_Q16576_RBBP7.pdf", "Melting_Curves/meltCurve_Q16576_RBBP7.pdf")</f>
        <v>Melting_Curves/meltCurve_Q16576_RBBP7.pdf</v>
      </c>
    </row>
    <row r="3677" spans="1:28" x14ac:dyDescent="0.25">
      <c r="A3677" t="s">
        <v>3681</v>
      </c>
      <c r="B3677">
        <v>0.99472303558308395</v>
      </c>
      <c r="C3677">
        <v>1.1558567033518601</v>
      </c>
      <c r="D3677">
        <v>1.08508352150008</v>
      </c>
      <c r="E3677">
        <v>1.0128285982091501</v>
      </c>
      <c r="F3677">
        <v>0.90741968386770699</v>
      </c>
      <c r="G3677">
        <v>0.693707402111993</v>
      </c>
      <c r="H3677">
        <v>0.46008365470241902</v>
      </c>
      <c r="I3677">
        <v>0.48083335732386601</v>
      </c>
      <c r="J3677">
        <v>0.66298299449343501</v>
      </c>
      <c r="K3677">
        <v>0.44996795955643998</v>
      </c>
      <c r="L3677">
        <v>1963.9239040477601</v>
      </c>
      <c r="M3677">
        <v>37.280958678487004</v>
      </c>
      <c r="O3677">
        <v>52.528124474572799</v>
      </c>
      <c r="P3677">
        <v>-8.6610377519477699E-2</v>
      </c>
      <c r="Q3677">
        <v>0.51187220599817496</v>
      </c>
      <c r="R3677">
        <v>0.90120593166166496</v>
      </c>
      <c r="S3677" t="s">
        <v>10245</v>
      </c>
      <c r="T3677" t="s">
        <v>13134</v>
      </c>
      <c r="U3677" t="s">
        <v>13134</v>
      </c>
      <c r="V3677" t="s">
        <v>13134</v>
      </c>
      <c r="W3677" t="s">
        <v>16756</v>
      </c>
      <c r="X3677">
        <v>2</v>
      </c>
      <c r="Y3677" t="s">
        <v>23149</v>
      </c>
      <c r="Z3677" t="s">
        <v>29645</v>
      </c>
      <c r="AA3677">
        <v>0.76901984526846978</v>
      </c>
      <c r="AB3677" t="str">
        <f>HYPERLINK("Melting_Curves/meltCurve_Q16587_5_ZNF74.pdf", "Melting_Curves/meltCurve_Q16587_5_ZNF74.pdf")</f>
        <v>Melting_Curves/meltCurve_Q16587_5_ZNF74.pdf</v>
      </c>
    </row>
    <row r="3678" spans="1:28" x14ac:dyDescent="0.25">
      <c r="A3678" t="s">
        <v>3682</v>
      </c>
      <c r="B3678">
        <v>0.99472303558308395</v>
      </c>
      <c r="C3678">
        <v>0.82798901340190301</v>
      </c>
      <c r="D3678">
        <v>0.67355430896787805</v>
      </c>
      <c r="E3678">
        <v>0.50945439752381305</v>
      </c>
      <c r="F3678">
        <v>0.31108718066909902</v>
      </c>
      <c r="G3678">
        <v>0.24104890682340599</v>
      </c>
      <c r="H3678">
        <v>0.19613011604890301</v>
      </c>
      <c r="I3678">
        <v>0.17505938359721099</v>
      </c>
      <c r="J3678">
        <v>0.19067473489929601</v>
      </c>
      <c r="K3678">
        <v>0.14117842875743999</v>
      </c>
      <c r="L3678">
        <v>563.00401087448904</v>
      </c>
      <c r="M3678">
        <v>12.5304230822483</v>
      </c>
      <c r="N3678">
        <v>46.205967772437901</v>
      </c>
      <c r="O3678">
        <v>43.832654069790699</v>
      </c>
      <c r="P3678">
        <v>-6.1034319643081703E-2</v>
      </c>
      <c r="Q3678">
        <v>0.14615779658852701</v>
      </c>
      <c r="R3678">
        <v>0.99350930820318595</v>
      </c>
      <c r="S3678" t="s">
        <v>10246</v>
      </c>
      <c r="T3678" t="s">
        <v>13134</v>
      </c>
      <c r="U3678" t="s">
        <v>13134</v>
      </c>
      <c r="V3678" t="s">
        <v>13134</v>
      </c>
      <c r="W3678" t="s">
        <v>16757</v>
      </c>
      <c r="X3678">
        <v>8</v>
      </c>
      <c r="Y3678" t="s">
        <v>23150</v>
      </c>
      <c r="Z3678" t="s">
        <v>29646</v>
      </c>
      <c r="AA3678">
        <v>0.40068854278686938</v>
      </c>
      <c r="AB3678" t="str">
        <f>HYPERLINK("Melting_Curves/meltCurve_Q16594_TAF9.pdf", "Melting_Curves/meltCurve_Q16594_TAF9.pdf")</f>
        <v>Melting_Curves/meltCurve_Q16594_TAF9.pdf</v>
      </c>
    </row>
    <row r="3679" spans="1:28" x14ac:dyDescent="0.25">
      <c r="A3679" t="s">
        <v>3683</v>
      </c>
      <c r="B3679">
        <v>0.99472303558308395</v>
      </c>
      <c r="C3679">
        <v>1.11477298998786</v>
      </c>
      <c r="D3679">
        <v>0.80073953388285701</v>
      </c>
      <c r="E3679">
        <v>0.77863008264314404</v>
      </c>
      <c r="F3679">
        <v>0.54390486451127795</v>
      </c>
      <c r="G3679">
        <v>0.30565847951140401</v>
      </c>
      <c r="H3679">
        <v>0.18036857206474199</v>
      </c>
      <c r="I3679">
        <v>0.20237096078217801</v>
      </c>
      <c r="J3679">
        <v>0.22851404673176501</v>
      </c>
      <c r="K3679">
        <v>0.195472034953945</v>
      </c>
      <c r="L3679">
        <v>813.79869176499506</v>
      </c>
      <c r="M3679">
        <v>16.6025665584189</v>
      </c>
      <c r="N3679">
        <v>50.301422987870602</v>
      </c>
      <c r="O3679">
        <v>48.321870411799999</v>
      </c>
      <c r="P3679">
        <v>-7.1055287926526198E-2</v>
      </c>
      <c r="Q3679">
        <v>0.172828570839445</v>
      </c>
      <c r="R3679">
        <v>0.96499787596196096</v>
      </c>
      <c r="S3679" t="s">
        <v>10247</v>
      </c>
      <c r="T3679" t="s">
        <v>13134</v>
      </c>
      <c r="U3679" t="s">
        <v>13134</v>
      </c>
      <c r="V3679" t="s">
        <v>13134</v>
      </c>
      <c r="W3679" t="s">
        <v>16758</v>
      </c>
      <c r="X3679">
        <v>2</v>
      </c>
      <c r="Y3679" t="s">
        <v>23151</v>
      </c>
      <c r="Z3679" t="s">
        <v>29647</v>
      </c>
      <c r="AA3679">
        <v>0.51924281072666478</v>
      </c>
      <c r="AB3679" t="str">
        <f>HYPERLINK("Melting_Curves/meltCurve_Q16600_ZNF239.pdf", "Melting_Curves/meltCurve_Q16600_ZNF239.pdf")</f>
        <v>Melting_Curves/meltCurve_Q16600_ZNF239.pdf</v>
      </c>
    </row>
    <row r="3680" spans="1:28" x14ac:dyDescent="0.25">
      <c r="A3680" t="s">
        <v>3684</v>
      </c>
      <c r="B3680">
        <v>0.99472303558308395</v>
      </c>
      <c r="C3680">
        <v>1.04665683791347</v>
      </c>
      <c r="D3680">
        <v>0.96193242974487003</v>
      </c>
      <c r="E3680">
        <v>0.88390700931301802</v>
      </c>
      <c r="F3680">
        <v>0.66337056815016404</v>
      </c>
      <c r="G3680">
        <v>0.42809348921524398</v>
      </c>
      <c r="H3680">
        <v>0.24533847644381401</v>
      </c>
      <c r="I3680">
        <v>0.206671551975637</v>
      </c>
      <c r="J3680">
        <v>0.24025638421144399</v>
      </c>
      <c r="K3680">
        <v>0.19090105172823199</v>
      </c>
      <c r="L3680">
        <v>991.85612944572597</v>
      </c>
      <c r="M3680">
        <v>19.420149002310801</v>
      </c>
      <c r="N3680">
        <v>52.356007500249497</v>
      </c>
      <c r="O3680">
        <v>50.541252188742298</v>
      </c>
      <c r="P3680">
        <v>-7.7881767317104306E-2</v>
      </c>
      <c r="Q3680">
        <v>0.18927538160163301</v>
      </c>
      <c r="R3680">
        <v>0.99520527282287596</v>
      </c>
      <c r="S3680" t="s">
        <v>10248</v>
      </c>
      <c r="T3680" t="s">
        <v>13134</v>
      </c>
      <c r="U3680" t="s">
        <v>13134</v>
      </c>
      <c r="V3680" t="s">
        <v>13134</v>
      </c>
      <c r="W3680" t="s">
        <v>16759</v>
      </c>
      <c r="X3680">
        <v>13</v>
      </c>
      <c r="Y3680" t="s">
        <v>23152</v>
      </c>
      <c r="Z3680" t="s">
        <v>29648</v>
      </c>
      <c r="AA3680">
        <v>0.58073383593737538</v>
      </c>
      <c r="AB3680" t="str">
        <f>HYPERLINK("Melting_Curves/meltCurve_Q16610_ECM1.pdf", "Melting_Curves/meltCurve_Q16610_ECM1.pdf")</f>
        <v>Melting_Curves/meltCurve_Q16610_ECM1.pdf</v>
      </c>
    </row>
    <row r="3681" spans="1:28" x14ac:dyDescent="0.25">
      <c r="A3681" t="s">
        <v>3685</v>
      </c>
      <c r="B3681">
        <v>0.99472303558308395</v>
      </c>
      <c r="C3681">
        <v>0.91151286418313804</v>
      </c>
      <c r="D3681">
        <v>0.91327786550983703</v>
      </c>
      <c r="E3681">
        <v>0.82392172861650004</v>
      </c>
      <c r="F3681">
        <v>0.72973352341840003</v>
      </c>
      <c r="G3681">
        <v>0.441925408751913</v>
      </c>
      <c r="H3681">
        <v>0.30273659550704901</v>
      </c>
      <c r="I3681">
        <v>0.29002925860332701</v>
      </c>
      <c r="J3681">
        <v>0.89805107893626501</v>
      </c>
      <c r="K3681">
        <v>0.84081451567134102</v>
      </c>
      <c r="L3681">
        <v>1210.68539950284</v>
      </c>
      <c r="M3681">
        <v>25.617217218960899</v>
      </c>
      <c r="O3681">
        <v>46.975444983791</v>
      </c>
      <c r="P3681">
        <v>-5.9341501225454403E-2</v>
      </c>
      <c r="Q3681">
        <v>0.56473664587085803</v>
      </c>
      <c r="R3681">
        <v>0.42172495865913701</v>
      </c>
      <c r="S3681" t="s">
        <v>10249</v>
      </c>
      <c r="T3681" t="s">
        <v>13134</v>
      </c>
      <c r="U3681" t="s">
        <v>13134</v>
      </c>
      <c r="V3681" t="s">
        <v>13134</v>
      </c>
      <c r="W3681" t="s">
        <v>16760</v>
      </c>
      <c r="X3681">
        <v>2</v>
      </c>
      <c r="Y3681" t="s">
        <v>23153</v>
      </c>
      <c r="Z3681" t="s">
        <v>29649</v>
      </c>
      <c r="AA3681">
        <v>0.71709982117995541</v>
      </c>
      <c r="AB3681" t="str">
        <f>HYPERLINK("Melting_Curves/meltCurve_Q16626_MEA1.pdf", "Melting_Curves/meltCurve_Q16626_MEA1.pdf")</f>
        <v>Melting_Curves/meltCurve_Q16626_MEA1.pdf</v>
      </c>
    </row>
    <row r="3682" spans="1:28" x14ac:dyDescent="0.25">
      <c r="A3682" t="s">
        <v>3686</v>
      </c>
      <c r="B3682">
        <v>0.99472303558308395</v>
      </c>
      <c r="C3682">
        <v>0.95968675917583901</v>
      </c>
      <c r="D3682">
        <v>0.92152973204808997</v>
      </c>
      <c r="E3682">
        <v>0.81026068659239603</v>
      </c>
      <c r="F3682">
        <v>0.67764292440635998</v>
      </c>
      <c r="G3682">
        <v>0.39454133252998003</v>
      </c>
      <c r="H3682">
        <v>0.14921593304740899</v>
      </c>
      <c r="I3682">
        <v>7.9861780724785295E-2</v>
      </c>
      <c r="J3682">
        <v>9.1034866508110907E-2</v>
      </c>
      <c r="K3682">
        <v>7.8656076117879198E-2</v>
      </c>
      <c r="L3682">
        <v>788.46741557328198</v>
      </c>
      <c r="M3682">
        <v>15.2098057492951</v>
      </c>
      <c r="N3682">
        <v>51.972360864534501</v>
      </c>
      <c r="O3682">
        <v>50.968068586667698</v>
      </c>
      <c r="P3682">
        <v>-7.3188116822445498E-2</v>
      </c>
      <c r="Q3682">
        <v>1.9079999582826301E-2</v>
      </c>
      <c r="R3682">
        <v>0.991855596112868</v>
      </c>
      <c r="S3682" t="s">
        <v>10250</v>
      </c>
      <c r="T3682" t="s">
        <v>13134</v>
      </c>
      <c r="U3682" t="s">
        <v>13134</v>
      </c>
      <c r="V3682" t="s">
        <v>13134</v>
      </c>
      <c r="W3682" t="s">
        <v>16761</v>
      </c>
      <c r="X3682">
        <v>17</v>
      </c>
      <c r="Y3682" t="s">
        <v>23154</v>
      </c>
      <c r="Z3682" t="s">
        <v>29650</v>
      </c>
      <c r="AA3682">
        <v>0.52292365006360098</v>
      </c>
      <c r="AB3682" t="str">
        <f>HYPERLINK("Melting_Curves/meltCurve_Q16630_CPSF6.pdf", "Melting_Curves/meltCurve_Q16630_CPSF6.pdf")</f>
        <v>Melting_Curves/meltCurve_Q16630_CPSF6.pdf</v>
      </c>
    </row>
    <row r="3683" spans="1:28" x14ac:dyDescent="0.25">
      <c r="A3683" t="s">
        <v>3687</v>
      </c>
      <c r="B3683">
        <v>0.99472303558308395</v>
      </c>
      <c r="C3683">
        <v>0.93013352520250003</v>
      </c>
      <c r="D3683">
        <v>0.75707876532221197</v>
      </c>
      <c r="E3683">
        <v>0.62089095539908601</v>
      </c>
      <c r="F3683">
        <v>0.39568761400951902</v>
      </c>
      <c r="G3683">
        <v>0.12677628395572799</v>
      </c>
      <c r="H3683">
        <v>8.1765724899727402E-2</v>
      </c>
      <c r="I3683">
        <v>6.3622633595324204E-2</v>
      </c>
      <c r="J3683">
        <v>8.3438350963548999E-2</v>
      </c>
      <c r="K3683">
        <v>7.0515620765726497E-2</v>
      </c>
      <c r="L3683">
        <v>646.04577425684397</v>
      </c>
      <c r="M3683">
        <v>13.574591881019201</v>
      </c>
      <c r="N3683">
        <v>47.7759651119365</v>
      </c>
      <c r="O3683">
        <v>46.595063413105002</v>
      </c>
      <c r="P3683">
        <v>-7.0991528144479399E-2</v>
      </c>
      <c r="Q3683">
        <v>2.5426003143769398E-2</v>
      </c>
      <c r="R3683">
        <v>0.988992854796229</v>
      </c>
      <c r="S3683" t="s">
        <v>10251</v>
      </c>
      <c r="T3683" t="s">
        <v>13134</v>
      </c>
      <c r="U3683" t="s">
        <v>13134</v>
      </c>
      <c r="V3683" t="s">
        <v>13134</v>
      </c>
      <c r="W3683" t="s">
        <v>16762</v>
      </c>
      <c r="X3683">
        <v>10</v>
      </c>
      <c r="Y3683" t="s">
        <v>23155</v>
      </c>
      <c r="Z3683" t="s">
        <v>29651</v>
      </c>
      <c r="AA3683">
        <v>0.39514672509466497</v>
      </c>
      <c r="AB3683" t="str">
        <f>HYPERLINK("Melting_Curves/meltCurve_Q16643_2_DBN1.pdf", "Melting_Curves/meltCurve_Q16643_2_DBN1.pdf")</f>
        <v>Melting_Curves/meltCurve_Q16643_2_DBN1.pdf</v>
      </c>
    </row>
    <row r="3684" spans="1:28" x14ac:dyDescent="0.25">
      <c r="A3684" t="s">
        <v>3688</v>
      </c>
      <c r="B3684">
        <v>0.99472303558308395</v>
      </c>
      <c r="C3684">
        <v>0.877337798028055</v>
      </c>
      <c r="D3684">
        <v>0.97785598326022305</v>
      </c>
      <c r="E3684">
        <v>0.69479063152933396</v>
      </c>
      <c r="F3684">
        <v>0.231304156570109</v>
      </c>
      <c r="G3684">
        <v>8.5925510441610606E-2</v>
      </c>
      <c r="H3684">
        <v>5.7328160257184797E-2</v>
      </c>
      <c r="I3684">
        <v>4.9945887585110101E-2</v>
      </c>
      <c r="J3684">
        <v>5.9906904770011302E-2</v>
      </c>
      <c r="K3684">
        <v>3.9429783217242401E-2</v>
      </c>
      <c r="L3684">
        <v>1404.8823365672199</v>
      </c>
      <c r="M3684">
        <v>29.4057623131242</v>
      </c>
      <c r="N3684">
        <v>47.945543818055697</v>
      </c>
      <c r="O3684">
        <v>47.556435236266303</v>
      </c>
      <c r="P3684">
        <v>-0.14694089739656199</v>
      </c>
      <c r="Q3684">
        <v>4.94467573214077E-2</v>
      </c>
      <c r="R3684">
        <v>0.99085457759238804</v>
      </c>
      <c r="S3684" t="s">
        <v>10252</v>
      </c>
      <c r="T3684" t="s">
        <v>13134</v>
      </c>
      <c r="U3684" t="s">
        <v>13134</v>
      </c>
      <c r="V3684" t="s">
        <v>13134</v>
      </c>
      <c r="W3684" t="s">
        <v>16763</v>
      </c>
      <c r="X3684">
        <v>9</v>
      </c>
      <c r="Y3684" t="s">
        <v>23156</v>
      </c>
      <c r="Z3684" t="s">
        <v>29652</v>
      </c>
      <c r="AA3684">
        <v>0.39671374216294208</v>
      </c>
      <c r="AB3684" t="str">
        <f>HYPERLINK("Melting_Curves/meltCurve_Q16644_MAPKAPK3.pdf", "Melting_Curves/meltCurve_Q16644_MAPKAPK3.pdf")</f>
        <v>Melting_Curves/meltCurve_Q16644_MAPKAPK3.pdf</v>
      </c>
    </row>
    <row r="3685" spans="1:28" x14ac:dyDescent="0.25">
      <c r="A3685" t="s">
        <v>3689</v>
      </c>
      <c r="B3685">
        <v>0.99472303558308395</v>
      </c>
      <c r="C3685">
        <v>0.91575009010247599</v>
      </c>
      <c r="D3685">
        <v>0.62640607245739199</v>
      </c>
      <c r="E3685">
        <v>0.22107969751463699</v>
      </c>
      <c r="F3685">
        <v>7.7748051860367304E-2</v>
      </c>
      <c r="G3685">
        <v>5.2682126331261001E-2</v>
      </c>
      <c r="H3685">
        <v>2.5136092370392601E-2</v>
      </c>
      <c r="I3685">
        <v>1.8043997847469101E-2</v>
      </c>
      <c r="J3685">
        <v>2.4934289115070601E-2</v>
      </c>
      <c r="K3685">
        <v>1.5556745899351399E-2</v>
      </c>
      <c r="L3685">
        <v>1022.28130337802</v>
      </c>
      <c r="M3685">
        <v>23.291765254343598</v>
      </c>
      <c r="N3685">
        <v>43.981894176274501</v>
      </c>
      <c r="O3685">
        <v>43.570573086747203</v>
      </c>
      <c r="P3685">
        <v>-0.13048053270156701</v>
      </c>
      <c r="Q3685">
        <v>2.36878838894438E-2</v>
      </c>
      <c r="R3685">
        <v>0.99966617743488195</v>
      </c>
      <c r="S3685" t="s">
        <v>10253</v>
      </c>
      <c r="T3685" t="s">
        <v>13134</v>
      </c>
      <c r="U3685" t="s">
        <v>13134</v>
      </c>
      <c r="V3685" t="s">
        <v>13134</v>
      </c>
      <c r="W3685" t="s">
        <v>16764</v>
      </c>
      <c r="X3685">
        <v>4</v>
      </c>
      <c r="Y3685" t="s">
        <v>23157</v>
      </c>
      <c r="Z3685" t="s">
        <v>29653</v>
      </c>
      <c r="AA3685">
        <v>0.25729361584864829</v>
      </c>
      <c r="AB3685" t="str">
        <f>HYPERLINK("Melting_Curves/meltCurve_Q16656_2_NRF1.pdf", "Melting_Curves/meltCurve_Q16656_2_NRF1.pdf")</f>
        <v>Melting_Curves/meltCurve_Q16656_2_NRF1.pdf</v>
      </c>
    </row>
    <row r="3686" spans="1:28" x14ac:dyDescent="0.25">
      <c r="A3686" t="s">
        <v>3690</v>
      </c>
      <c r="B3686">
        <v>0.99472303558308395</v>
      </c>
      <c r="C3686">
        <v>0.98226675345894099</v>
      </c>
      <c r="D3686">
        <v>1.05001504208734</v>
      </c>
      <c r="E3686">
        <v>0.97619497430980495</v>
      </c>
      <c r="F3686">
        <v>0.66328661176390102</v>
      </c>
      <c r="G3686">
        <v>0.37708912216465801</v>
      </c>
      <c r="H3686">
        <v>0.103865944700538</v>
      </c>
      <c r="I3686">
        <v>5.3788020268094303E-2</v>
      </c>
      <c r="J3686">
        <v>5.1412885380689298E-2</v>
      </c>
      <c r="K3686">
        <v>3.9208470263132997E-2</v>
      </c>
      <c r="L3686">
        <v>1195.1419787208899</v>
      </c>
      <c r="M3686">
        <v>22.978895496998899</v>
      </c>
      <c r="N3686">
        <v>52.148033316653603</v>
      </c>
      <c r="O3686">
        <v>51.621317189637999</v>
      </c>
      <c r="P3686">
        <v>-0.108014293332578</v>
      </c>
      <c r="Q3686">
        <v>2.94161393726689E-2</v>
      </c>
      <c r="R3686">
        <v>0.99484969669718304</v>
      </c>
      <c r="S3686" t="s">
        <v>10254</v>
      </c>
      <c r="T3686" t="s">
        <v>13134</v>
      </c>
      <c r="U3686" t="s">
        <v>13134</v>
      </c>
      <c r="V3686" t="s">
        <v>13134</v>
      </c>
      <c r="W3686" t="s">
        <v>16765</v>
      </c>
      <c r="X3686">
        <v>39</v>
      </c>
      <c r="Y3686" t="s">
        <v>23158</v>
      </c>
      <c r="Z3686" t="s">
        <v>29654</v>
      </c>
      <c r="AA3686">
        <v>0.52501844244727935</v>
      </c>
      <c r="AB3686" t="str">
        <f>HYPERLINK("Melting_Curves/meltCurve_Q16658_FSCN1.pdf", "Melting_Curves/meltCurve_Q16658_FSCN1.pdf")</f>
        <v>Melting_Curves/meltCurve_Q16658_FSCN1.pdf</v>
      </c>
    </row>
    <row r="3687" spans="1:28" x14ac:dyDescent="0.25">
      <c r="A3687" t="s">
        <v>3691</v>
      </c>
      <c r="B3687">
        <v>0.99472303558308395</v>
      </c>
      <c r="C3687">
        <v>0.99022098231299105</v>
      </c>
      <c r="D3687">
        <v>0.90761811696800698</v>
      </c>
      <c r="E3687">
        <v>0.84530235371005802</v>
      </c>
      <c r="F3687">
        <v>0.67171118960723897</v>
      </c>
      <c r="G3687">
        <v>0.40093962371347902</v>
      </c>
      <c r="H3687">
        <v>0.122600519379558</v>
      </c>
      <c r="I3687">
        <v>6.3407164819511294E-2</v>
      </c>
      <c r="J3687">
        <v>7.1009367125681802E-2</v>
      </c>
      <c r="K3687">
        <v>5.9087454034407898E-2</v>
      </c>
      <c r="L3687">
        <v>855.56525661268199</v>
      </c>
      <c r="M3687">
        <v>16.459511281229101</v>
      </c>
      <c r="N3687">
        <v>52.030448812557502</v>
      </c>
      <c r="O3687">
        <v>51.230885979859799</v>
      </c>
      <c r="P3687">
        <v>-7.9689737001013505E-2</v>
      </c>
      <c r="Q3687">
        <v>7.9196642998641993E-3</v>
      </c>
      <c r="R3687">
        <v>0.99252082395108698</v>
      </c>
      <c r="S3687" t="s">
        <v>10255</v>
      </c>
      <c r="T3687" t="s">
        <v>13134</v>
      </c>
      <c r="U3687" t="s">
        <v>13134</v>
      </c>
      <c r="V3687" t="s">
        <v>13134</v>
      </c>
      <c r="W3687" t="s">
        <v>16766</v>
      </c>
      <c r="X3687">
        <v>11</v>
      </c>
      <c r="Y3687" t="s">
        <v>23159</v>
      </c>
      <c r="Z3687" t="s">
        <v>29655</v>
      </c>
      <c r="AA3687">
        <v>0.52025723758532694</v>
      </c>
      <c r="AB3687" t="str">
        <f>HYPERLINK("Melting_Curves/meltCurve_Q16706_MAN2A1.pdf", "Melting_Curves/meltCurve_Q16706_MAN2A1.pdf")</f>
        <v>Melting_Curves/meltCurve_Q16706_MAN2A1.pdf</v>
      </c>
    </row>
    <row r="3688" spans="1:28" x14ac:dyDescent="0.25">
      <c r="A3688" t="s">
        <v>3692</v>
      </c>
      <c r="B3688">
        <v>0.99472303558308395</v>
      </c>
      <c r="C3688">
        <v>0.87698900368758603</v>
      </c>
      <c r="D3688">
        <v>0.75960500647334195</v>
      </c>
      <c r="E3688">
        <v>0.54720068405765299</v>
      </c>
      <c r="F3688">
        <v>0.35819489653063802</v>
      </c>
      <c r="G3688">
        <v>0.20631046530031999</v>
      </c>
      <c r="H3688">
        <v>0.14773962531120399</v>
      </c>
      <c r="I3688">
        <v>0.132362650217206</v>
      </c>
      <c r="J3688">
        <v>0.14559485953613799</v>
      </c>
      <c r="K3688">
        <v>7.9768028257378901E-2</v>
      </c>
      <c r="L3688">
        <v>585.46282185493897</v>
      </c>
      <c r="M3688">
        <v>12.568449818053001</v>
      </c>
      <c r="N3688">
        <v>47.255839369397997</v>
      </c>
      <c r="O3688">
        <v>45.4498672318228</v>
      </c>
      <c r="P3688">
        <v>-6.3474320689969499E-2</v>
      </c>
      <c r="Q3688">
        <v>8.2044574919768798E-2</v>
      </c>
      <c r="R3688">
        <v>0.99641479946793698</v>
      </c>
      <c r="S3688" t="s">
        <v>10256</v>
      </c>
      <c r="T3688" t="s">
        <v>13134</v>
      </c>
      <c r="U3688" t="s">
        <v>13134</v>
      </c>
      <c r="V3688" t="s">
        <v>13134</v>
      </c>
      <c r="W3688" t="s">
        <v>16767</v>
      </c>
      <c r="X3688">
        <v>6</v>
      </c>
      <c r="Y3688" t="s">
        <v>23160</v>
      </c>
      <c r="Z3688" t="s">
        <v>29656</v>
      </c>
      <c r="AA3688">
        <v>0.40373492308866082</v>
      </c>
      <c r="AB3688" t="str">
        <f>HYPERLINK("Melting_Curves/meltCurve_Q16718_NDUFA5.pdf", "Melting_Curves/meltCurve_Q16718_NDUFA5.pdf")</f>
        <v>Melting_Curves/meltCurve_Q16718_NDUFA5.pdf</v>
      </c>
    </row>
    <row r="3689" spans="1:28" x14ac:dyDescent="0.25">
      <c r="A3689" t="s">
        <v>3693</v>
      </c>
      <c r="B3689">
        <v>0.99472303558308395</v>
      </c>
      <c r="C3689">
        <v>1.06934043230967</v>
      </c>
      <c r="D3689">
        <v>0.90271225722356496</v>
      </c>
      <c r="E3689">
        <v>0.80165289233633596</v>
      </c>
      <c r="F3689">
        <v>0.63083054649232795</v>
      </c>
      <c r="G3689">
        <v>0.480704548998449</v>
      </c>
      <c r="H3689">
        <v>0.380323489359358</v>
      </c>
      <c r="I3689">
        <v>0.31083975550889698</v>
      </c>
      <c r="J3689">
        <v>0.51802577886588697</v>
      </c>
      <c r="K3689">
        <v>0.421352220724793</v>
      </c>
      <c r="L3689">
        <v>920.36435147777001</v>
      </c>
      <c r="M3689">
        <v>19.004911015797699</v>
      </c>
      <c r="N3689">
        <v>52.910001748948503</v>
      </c>
      <c r="O3689">
        <v>47.9010854063038</v>
      </c>
      <c r="P3689">
        <v>-5.95097015106473E-2</v>
      </c>
      <c r="Q3689">
        <v>0.400056987947424</v>
      </c>
      <c r="R3689">
        <v>0.94775100625946296</v>
      </c>
      <c r="S3689" t="s">
        <v>10257</v>
      </c>
      <c r="T3689" t="s">
        <v>13134</v>
      </c>
      <c r="U3689" t="s">
        <v>13134</v>
      </c>
      <c r="V3689" t="s">
        <v>13134</v>
      </c>
      <c r="W3689" t="s">
        <v>16768</v>
      </c>
      <c r="X3689">
        <v>11</v>
      </c>
      <c r="Y3689" t="s">
        <v>23161</v>
      </c>
      <c r="Z3689" t="s">
        <v>29657</v>
      </c>
      <c r="AA3689">
        <v>0.63726323241675753</v>
      </c>
      <c r="AB3689" t="str">
        <f>HYPERLINK("Melting_Curves/meltCurve_Q16720_8_ATP2B3.pdf", "Melting_Curves/meltCurve_Q16720_8_ATP2B3.pdf")</f>
        <v>Melting_Curves/meltCurve_Q16720_8_ATP2B3.pdf</v>
      </c>
    </row>
    <row r="3690" spans="1:28" x14ac:dyDescent="0.25">
      <c r="A3690" t="s">
        <v>3694</v>
      </c>
      <c r="B3690">
        <v>0.99472303558308395</v>
      </c>
      <c r="C3690">
        <v>0.98866690705292004</v>
      </c>
      <c r="D3690">
        <v>0.50969360954322396</v>
      </c>
      <c r="E3690">
        <v>0.549363499207705</v>
      </c>
      <c r="F3690">
        <v>1.24986607654057</v>
      </c>
      <c r="G3690">
        <v>0.60897211936275697</v>
      </c>
      <c r="H3690">
        <v>0.61679337721480099</v>
      </c>
      <c r="I3690">
        <v>5.62291063664788E-2</v>
      </c>
      <c r="J3690">
        <v>5.9269183147390499E-2</v>
      </c>
      <c r="K3690">
        <v>0.117739296212501</v>
      </c>
      <c r="L3690">
        <v>1306.08538186281</v>
      </c>
      <c r="M3690">
        <v>22.955332847725099</v>
      </c>
      <c r="N3690">
        <v>56.9671062383388</v>
      </c>
      <c r="O3690">
        <v>56.470298807761601</v>
      </c>
      <c r="P3690">
        <v>-0.10020882909824</v>
      </c>
      <c r="Q3690">
        <v>1.3960460436123E-2</v>
      </c>
      <c r="R3690">
        <v>0.61011021387036002</v>
      </c>
      <c r="S3690" t="s">
        <v>10258</v>
      </c>
      <c r="T3690" t="s">
        <v>13134</v>
      </c>
      <c r="U3690" t="s">
        <v>13134</v>
      </c>
      <c r="V3690" t="s">
        <v>13134</v>
      </c>
      <c r="W3690" t="s">
        <v>16769</v>
      </c>
      <c r="X3690">
        <v>1</v>
      </c>
      <c r="Y3690" t="s">
        <v>23162</v>
      </c>
      <c r="Z3690" t="s">
        <v>29658</v>
      </c>
      <c r="AA3690">
        <v>0.67600780348328859</v>
      </c>
      <c r="AB3690" t="str">
        <f>HYPERLINK("Melting_Curves/meltCurve_Q16739_UGCG.pdf", "Melting_Curves/meltCurve_Q16739_UGCG.pdf")</f>
        <v>Melting_Curves/meltCurve_Q16739_UGCG.pdf</v>
      </c>
    </row>
    <row r="3691" spans="1:28" x14ac:dyDescent="0.25">
      <c r="A3691" t="s">
        <v>3695</v>
      </c>
      <c r="B3691">
        <v>0.99472303558308395</v>
      </c>
      <c r="C3691">
        <v>0.89749765643489099</v>
      </c>
      <c r="D3691">
        <v>0.96360782603053496</v>
      </c>
      <c r="E3691">
        <v>0.85760034960813003</v>
      </c>
      <c r="F3691">
        <v>0.70554575851791801</v>
      </c>
      <c r="G3691">
        <v>0.61196431378056504</v>
      </c>
      <c r="H3691">
        <v>0.37103034492450399</v>
      </c>
      <c r="I3691">
        <v>0.26450632997193002</v>
      </c>
      <c r="J3691">
        <v>0.13445911529754101</v>
      </c>
      <c r="K3691">
        <v>0.120379593866344</v>
      </c>
      <c r="L3691">
        <v>590.81121673965004</v>
      </c>
      <c r="M3691">
        <v>10.767900826710999</v>
      </c>
      <c r="N3691">
        <v>54.867809564250699</v>
      </c>
      <c r="O3691">
        <v>53.077070312367901</v>
      </c>
      <c r="P3691">
        <v>-5.0736807996616701E-2</v>
      </c>
      <c r="Q3691">
        <v>0</v>
      </c>
      <c r="R3691">
        <v>0.98718785419048105</v>
      </c>
      <c r="S3691" t="s">
        <v>10259</v>
      </c>
      <c r="T3691" t="s">
        <v>13134</v>
      </c>
      <c r="U3691" t="s">
        <v>13134</v>
      </c>
      <c r="V3691" t="s">
        <v>13134</v>
      </c>
      <c r="W3691" t="s">
        <v>16770</v>
      </c>
      <c r="X3691">
        <v>11</v>
      </c>
      <c r="Y3691" t="s">
        <v>23163</v>
      </c>
      <c r="Z3691" t="s">
        <v>29659</v>
      </c>
      <c r="AA3691">
        <v>0.60949302003990513</v>
      </c>
      <c r="AB3691" t="str">
        <f>HYPERLINK("Melting_Curves/meltCurve_Q16740_CLPP.pdf", "Melting_Curves/meltCurve_Q16740_CLPP.pdf")</f>
        <v>Melting_Curves/meltCurve_Q16740_CLPP.pdf</v>
      </c>
    </row>
    <row r="3692" spans="1:28" x14ac:dyDescent="0.25">
      <c r="A3692" t="s">
        <v>3696</v>
      </c>
      <c r="B3692">
        <v>0.99472303558308395</v>
      </c>
      <c r="C3692">
        <v>1.0288914493752499</v>
      </c>
      <c r="D3692">
        <v>0.88040890807442096</v>
      </c>
      <c r="E3692">
        <v>0.438676263868439</v>
      </c>
      <c r="F3692">
        <v>0.2485271253379</v>
      </c>
      <c r="G3692">
        <v>0.160434830700867</v>
      </c>
      <c r="H3692">
        <v>8.32585468025345E-2</v>
      </c>
      <c r="I3692">
        <v>6.0062419206882198E-2</v>
      </c>
      <c r="J3692">
        <v>5.9126520804553301E-2</v>
      </c>
      <c r="K3692">
        <v>5.5670629557916497E-2</v>
      </c>
      <c r="L3692">
        <v>1041.32397121585</v>
      </c>
      <c r="M3692">
        <v>22.562197863320399</v>
      </c>
      <c r="N3692">
        <v>46.493062104791697</v>
      </c>
      <c r="O3692">
        <v>45.795519123313802</v>
      </c>
      <c r="P3692">
        <v>-0.11381408290223601</v>
      </c>
      <c r="Q3692">
        <v>7.5964603401287106E-2</v>
      </c>
      <c r="R3692">
        <v>0.99222789092508001</v>
      </c>
      <c r="S3692" t="s">
        <v>10260</v>
      </c>
      <c r="T3692" t="s">
        <v>13134</v>
      </c>
      <c r="U3692" t="s">
        <v>13134</v>
      </c>
      <c r="V3692" t="s">
        <v>13134</v>
      </c>
      <c r="W3692" t="s">
        <v>16771</v>
      </c>
      <c r="X3692">
        <v>9</v>
      </c>
      <c r="Y3692" t="s">
        <v>23164</v>
      </c>
      <c r="Z3692" t="s">
        <v>29660</v>
      </c>
      <c r="AA3692">
        <v>0.36736108564932562</v>
      </c>
      <c r="AB3692" t="str">
        <f>HYPERLINK("Melting_Curves/meltCurve_Q16762_TST.pdf", "Melting_Curves/meltCurve_Q16762_TST.pdf")</f>
        <v>Melting_Curves/meltCurve_Q16762_TST.pdf</v>
      </c>
    </row>
    <row r="3693" spans="1:28" x14ac:dyDescent="0.25">
      <c r="A3693" t="s">
        <v>3697</v>
      </c>
      <c r="B3693">
        <v>0.99472303558308395</v>
      </c>
      <c r="C3693">
        <v>0.93369614961490999</v>
      </c>
      <c r="D3693">
        <v>0.97445326632015405</v>
      </c>
      <c r="E3693">
        <v>0.84265060642535194</v>
      </c>
      <c r="F3693">
        <v>0.54857729150877399</v>
      </c>
      <c r="G3693">
        <v>0.25194859231907502</v>
      </c>
      <c r="H3693">
        <v>8.9418851164614399E-2</v>
      </c>
      <c r="I3693">
        <v>5.0382218665042999E-2</v>
      </c>
      <c r="J3693">
        <v>6.1921804544631899E-2</v>
      </c>
      <c r="K3693">
        <v>4.7239969448333398E-2</v>
      </c>
      <c r="L3693">
        <v>1024.6969482797599</v>
      </c>
      <c r="M3693">
        <v>20.307007318426901</v>
      </c>
      <c r="N3693">
        <v>50.631875470718903</v>
      </c>
      <c r="O3693">
        <v>49.978571822951601</v>
      </c>
      <c r="P3693">
        <v>-9.8203624092714104E-2</v>
      </c>
      <c r="Q3693">
        <v>3.3254604511025902E-2</v>
      </c>
      <c r="R3693">
        <v>0.99700584512535595</v>
      </c>
      <c r="S3693" t="s">
        <v>10261</v>
      </c>
      <c r="T3693" t="s">
        <v>13134</v>
      </c>
      <c r="U3693" t="s">
        <v>13134</v>
      </c>
      <c r="V3693" t="s">
        <v>13134</v>
      </c>
      <c r="W3693" t="s">
        <v>16772</v>
      </c>
      <c r="X3693">
        <v>12</v>
      </c>
      <c r="Y3693" t="s">
        <v>23165</v>
      </c>
      <c r="Z3693" t="s">
        <v>29661</v>
      </c>
      <c r="AA3693">
        <v>0.47938823582157353</v>
      </c>
      <c r="AB3693" t="str">
        <f>HYPERLINK("Melting_Curves/meltCurve_Q16763_UBE2S.pdf", "Melting_Curves/meltCurve_Q16763_UBE2S.pdf")</f>
        <v>Melting_Curves/meltCurve_Q16763_UBE2S.pdf</v>
      </c>
    </row>
    <row r="3694" spans="1:28" x14ac:dyDescent="0.25">
      <c r="A3694" t="s">
        <v>3698</v>
      </c>
      <c r="B3694">
        <v>0.99472303558308395</v>
      </c>
      <c r="C3694">
        <v>0.74588752099547895</v>
      </c>
      <c r="D3694">
        <v>0.83089147482214598</v>
      </c>
      <c r="E3694">
        <v>0.53849947417541899</v>
      </c>
      <c r="F3694">
        <v>0.29186249609477499</v>
      </c>
      <c r="G3694">
        <v>0.16800615608508801</v>
      </c>
      <c r="H3694">
        <v>0.113577906725207</v>
      </c>
      <c r="I3694">
        <v>0.114830654696275</v>
      </c>
      <c r="J3694">
        <v>0.11338872453302599</v>
      </c>
      <c r="K3694">
        <v>0.13381775522553799</v>
      </c>
      <c r="L3694">
        <v>613.64159535684996</v>
      </c>
      <c r="M3694">
        <v>13.291559580793701</v>
      </c>
      <c r="N3694">
        <v>46.775835081568303</v>
      </c>
      <c r="O3694">
        <v>45.160257805140297</v>
      </c>
      <c r="P3694">
        <v>-6.7753021021575002E-2</v>
      </c>
      <c r="Q3694">
        <v>7.9341106463459904E-2</v>
      </c>
      <c r="R3694">
        <v>0.96625924276540598</v>
      </c>
      <c r="S3694" t="s">
        <v>10262</v>
      </c>
      <c r="T3694" t="s">
        <v>13134</v>
      </c>
      <c r="U3694" t="s">
        <v>13134</v>
      </c>
      <c r="V3694" t="s">
        <v>13134</v>
      </c>
      <c r="W3694" t="s">
        <v>16773</v>
      </c>
      <c r="X3694">
        <v>5</v>
      </c>
      <c r="Y3694" t="s">
        <v>23166</v>
      </c>
      <c r="Z3694" t="s">
        <v>29662</v>
      </c>
      <c r="AA3694">
        <v>0.38706682517336222</v>
      </c>
      <c r="AB3694" t="str">
        <f>HYPERLINK("Melting_Curves/meltCurve_Q16778_HIST2H2BE.pdf", "Melting_Curves/meltCurve_Q16778_HIST2H2BE.pdf")</f>
        <v>Melting_Curves/meltCurve_Q16778_HIST2H2BE.pdf</v>
      </c>
    </row>
    <row r="3695" spans="1:28" x14ac:dyDescent="0.25">
      <c r="A3695" t="s">
        <v>3699</v>
      </c>
      <c r="B3695">
        <v>0.99472303558308395</v>
      </c>
      <c r="C3695">
        <v>0.91631612737611101</v>
      </c>
      <c r="D3695">
        <v>0.67493693768492802</v>
      </c>
      <c r="E3695">
        <v>0.55679382498796104</v>
      </c>
      <c r="F3695">
        <v>0.205523721765418</v>
      </c>
      <c r="G3695">
        <v>9.2500010059489296E-2</v>
      </c>
      <c r="H3695">
        <v>4.6733510069142802E-2</v>
      </c>
      <c r="I3695">
        <v>3.1736450752379901E-2</v>
      </c>
      <c r="J3695">
        <v>3.9181130376939398E-2</v>
      </c>
      <c r="K3695">
        <v>2.68958477383517E-2</v>
      </c>
      <c r="L3695">
        <v>663.69177265241103</v>
      </c>
      <c r="M3695">
        <v>14.365034587070101</v>
      </c>
      <c r="N3695">
        <v>46.213903679955799</v>
      </c>
      <c r="O3695">
        <v>45.334204312322299</v>
      </c>
      <c r="P3695">
        <v>-7.9079257637655997E-2</v>
      </c>
      <c r="Q3695">
        <v>1.8634933448931799E-3</v>
      </c>
      <c r="R3695">
        <v>0.98848155577178698</v>
      </c>
      <c r="S3695" t="s">
        <v>10263</v>
      </c>
      <c r="T3695" t="s">
        <v>13134</v>
      </c>
      <c r="U3695" t="s">
        <v>13134</v>
      </c>
      <c r="V3695" t="s">
        <v>13134</v>
      </c>
      <c r="W3695" t="s">
        <v>16774</v>
      </c>
      <c r="X3695">
        <v>9</v>
      </c>
      <c r="Y3695" t="s">
        <v>23167</v>
      </c>
      <c r="Z3695" t="s">
        <v>29663</v>
      </c>
      <c r="AA3695">
        <v>0.33283667323680921</v>
      </c>
      <c r="AB3695" t="str">
        <f>HYPERLINK("Melting_Curves/meltCurve_Q16795_NDUFA9.pdf", "Melting_Curves/meltCurve_Q16795_NDUFA9.pdf")</f>
        <v>Melting_Curves/meltCurve_Q16795_NDUFA9.pdf</v>
      </c>
    </row>
    <row r="3696" spans="1:28" x14ac:dyDescent="0.25">
      <c r="A3696" t="s">
        <v>3700</v>
      </c>
      <c r="B3696">
        <v>0.99472303558308395</v>
      </c>
      <c r="C3696">
        <v>0.99220716353473604</v>
      </c>
      <c r="D3696">
        <v>1.0095168852115599</v>
      </c>
      <c r="E3696">
        <v>0.91442843213842295</v>
      </c>
      <c r="F3696">
        <v>0.65548388775588895</v>
      </c>
      <c r="G3696">
        <v>0.28665582721569199</v>
      </c>
      <c r="H3696">
        <v>9.2353763146937495E-2</v>
      </c>
      <c r="I3696">
        <v>6.2415890379595301E-2</v>
      </c>
      <c r="J3696">
        <v>5.9844419999192502E-2</v>
      </c>
      <c r="K3696">
        <v>5.5631762025484102E-2</v>
      </c>
      <c r="L3696">
        <v>1265.4273124241199</v>
      </c>
      <c r="M3696">
        <v>24.648587127332501</v>
      </c>
      <c r="N3696">
        <v>51.5389789241503</v>
      </c>
      <c r="O3696">
        <v>51.004395330955603</v>
      </c>
      <c r="P3696">
        <v>-0.11530104072068401</v>
      </c>
      <c r="Q3696">
        <v>4.5661125053399199E-2</v>
      </c>
      <c r="R3696">
        <v>0.99936597837738095</v>
      </c>
      <c r="S3696" t="s">
        <v>10264</v>
      </c>
      <c r="T3696" t="s">
        <v>13134</v>
      </c>
      <c r="U3696" t="s">
        <v>13134</v>
      </c>
      <c r="V3696" t="s">
        <v>13134</v>
      </c>
      <c r="W3696" t="s">
        <v>16775</v>
      </c>
      <c r="X3696">
        <v>25</v>
      </c>
      <c r="Y3696" t="s">
        <v>23168</v>
      </c>
      <c r="Z3696" t="s">
        <v>29664</v>
      </c>
      <c r="AA3696">
        <v>0.51045348384166511</v>
      </c>
      <c r="AB3696" t="str">
        <f>HYPERLINK("Melting_Curves/meltCurve_Q16822_PCK2.pdf", "Melting_Curves/meltCurve_Q16822_PCK2.pdf")</f>
        <v>Melting_Curves/meltCurve_Q16822_PCK2.pdf</v>
      </c>
    </row>
    <row r="3697" spans="1:28" x14ac:dyDescent="0.25">
      <c r="A3697" t="s">
        <v>3701</v>
      </c>
      <c r="B3697">
        <v>0.99472303558308395</v>
      </c>
      <c r="C3697">
        <v>0.91762463352814105</v>
      </c>
      <c r="D3697">
        <v>0.88210499550602095</v>
      </c>
      <c r="E3697">
        <v>0.50006521063777998</v>
      </c>
      <c r="F3697">
        <v>0.27855462271220099</v>
      </c>
      <c r="G3697">
        <v>0.16651102805096801</v>
      </c>
      <c r="H3697">
        <v>5.9100474214336299E-2</v>
      </c>
      <c r="I3697">
        <v>3.90688776660051E-2</v>
      </c>
      <c r="J3697">
        <v>4.5825486993542802E-2</v>
      </c>
      <c r="K3697">
        <v>3.9358916785838798E-2</v>
      </c>
      <c r="L3697">
        <v>801.67714278763594</v>
      </c>
      <c r="M3697">
        <v>17.1059745717948</v>
      </c>
      <c r="N3697">
        <v>47.063042884213601</v>
      </c>
      <c r="O3697">
        <v>46.238901140795903</v>
      </c>
      <c r="P3697">
        <v>-8.9285711083137501E-2</v>
      </c>
      <c r="Q3697">
        <v>3.4670604161072503E-2</v>
      </c>
      <c r="R3697">
        <v>0.994713694366128</v>
      </c>
      <c r="S3697" t="s">
        <v>10265</v>
      </c>
      <c r="T3697" t="s">
        <v>13134</v>
      </c>
      <c r="U3697" t="s">
        <v>13134</v>
      </c>
      <c r="V3697" t="s">
        <v>13134</v>
      </c>
      <c r="W3697" t="s">
        <v>16776</v>
      </c>
      <c r="X3697">
        <v>16</v>
      </c>
      <c r="Y3697" t="s">
        <v>23169</v>
      </c>
      <c r="Z3697" t="s">
        <v>29665</v>
      </c>
      <c r="AA3697">
        <v>0.36920410116018471</v>
      </c>
      <c r="AB3697" t="str">
        <f>HYPERLINK("Melting_Curves/meltCurve_Q16850_CYP51A1.pdf", "Melting_Curves/meltCurve_Q16850_CYP51A1.pdf")</f>
        <v>Melting_Curves/meltCurve_Q16850_CYP51A1.pdf</v>
      </c>
    </row>
    <row r="3698" spans="1:28" x14ac:dyDescent="0.25">
      <c r="A3698" t="s">
        <v>3702</v>
      </c>
      <c r="B3698">
        <v>0.99472303558308395</v>
      </c>
      <c r="C3698">
        <v>1.13969202923651</v>
      </c>
      <c r="D3698">
        <v>0.81704407446859995</v>
      </c>
      <c r="E3698">
        <v>0.80720743201325795</v>
      </c>
      <c r="F3698">
        <v>0.78568288599241998</v>
      </c>
      <c r="G3698">
        <v>0.49301009469457002</v>
      </c>
      <c r="H3698">
        <v>0.28835209420580599</v>
      </c>
      <c r="I3698">
        <v>0.37636459110082499</v>
      </c>
      <c r="J3698">
        <v>0.35692147382037698</v>
      </c>
      <c r="K3698">
        <v>0.32043440918428701</v>
      </c>
      <c r="L3698">
        <v>748.243032529743</v>
      </c>
      <c r="M3698">
        <v>14.7253077252717</v>
      </c>
      <c r="N3698">
        <v>53.9989844164974</v>
      </c>
      <c r="O3698">
        <v>49.903874888495103</v>
      </c>
      <c r="P3698">
        <v>-5.2362734219253103E-2</v>
      </c>
      <c r="Q3698">
        <v>0.29025060749271397</v>
      </c>
      <c r="R3698">
        <v>0.916921467620049</v>
      </c>
      <c r="S3698" t="s">
        <v>10266</v>
      </c>
      <c r="T3698" t="s">
        <v>13134</v>
      </c>
      <c r="U3698" t="s">
        <v>13134</v>
      </c>
      <c r="V3698" t="s">
        <v>13134</v>
      </c>
      <c r="W3698" t="s">
        <v>16777</v>
      </c>
      <c r="X3698">
        <v>3</v>
      </c>
      <c r="Y3698" t="s">
        <v>23170</v>
      </c>
      <c r="Z3698" t="s">
        <v>29666</v>
      </c>
      <c r="AA3698">
        <v>0.63181058194218209</v>
      </c>
      <c r="AB3698" t="str">
        <f>HYPERLINK("Melting_Curves/meltCurve_Q16854_DGUOK.pdf", "Melting_Curves/meltCurve_Q16854_DGUOK.pdf")</f>
        <v>Melting_Curves/meltCurve_Q16854_DGUOK.pdf</v>
      </c>
    </row>
    <row r="3699" spans="1:28" x14ac:dyDescent="0.25">
      <c r="A3699" t="s">
        <v>3703</v>
      </c>
      <c r="B3699">
        <v>0.99472303558308395</v>
      </c>
      <c r="C3699">
        <v>0.94305207772780797</v>
      </c>
      <c r="D3699">
        <v>0.88054886544261401</v>
      </c>
      <c r="E3699">
        <v>0.73093762863231204</v>
      </c>
      <c r="F3699">
        <v>0.70543548811082801</v>
      </c>
      <c r="G3699">
        <v>0.37501045229718499</v>
      </c>
      <c r="H3699">
        <v>0.26420207367068999</v>
      </c>
      <c r="I3699">
        <v>0.18878239076860401</v>
      </c>
      <c r="J3699">
        <v>0.20496400256845099</v>
      </c>
      <c r="K3699">
        <v>0.18524895328933699</v>
      </c>
      <c r="L3699">
        <v>593.45483365006601</v>
      </c>
      <c r="M3699">
        <v>11.642176180457399</v>
      </c>
      <c r="N3699">
        <v>52.040406846281499</v>
      </c>
      <c r="O3699">
        <v>49.5402631487826</v>
      </c>
      <c r="P3699">
        <v>-5.2533317820626403E-2</v>
      </c>
      <c r="Q3699">
        <v>0.106074605802754</v>
      </c>
      <c r="R3699">
        <v>0.97890209152530505</v>
      </c>
      <c r="S3699" t="s">
        <v>10267</v>
      </c>
      <c r="T3699" t="s">
        <v>13134</v>
      </c>
      <c r="U3699" t="s">
        <v>13134</v>
      </c>
      <c r="V3699" t="s">
        <v>13134</v>
      </c>
      <c r="W3699" t="s">
        <v>16778</v>
      </c>
      <c r="X3699">
        <v>3</v>
      </c>
      <c r="Y3699" t="s">
        <v>23171</v>
      </c>
      <c r="Z3699" t="s">
        <v>29667</v>
      </c>
      <c r="AA3699">
        <v>0.54650054264550474</v>
      </c>
      <c r="AB3699" t="str">
        <f>HYPERLINK("Melting_Curves/meltCurve_Q16864_ATP6V1F.pdf", "Melting_Curves/meltCurve_Q16864_ATP6V1F.pdf")</f>
        <v>Melting_Curves/meltCurve_Q16864_ATP6V1F.pdf</v>
      </c>
    </row>
    <row r="3700" spans="1:28" x14ac:dyDescent="0.25">
      <c r="A3700" t="s">
        <v>3704</v>
      </c>
      <c r="B3700">
        <v>0.99472303558308395</v>
      </c>
      <c r="C3700">
        <v>0.875790466404199</v>
      </c>
      <c r="D3700">
        <v>1.01539742983294</v>
      </c>
      <c r="E3700">
        <v>0.81411381432136498</v>
      </c>
      <c r="F3700">
        <v>0.40308246465604902</v>
      </c>
      <c r="G3700">
        <v>0.28101439749581197</v>
      </c>
      <c r="H3700">
        <v>0.13791237103951001</v>
      </c>
      <c r="I3700">
        <v>0.109878652223663</v>
      </c>
      <c r="J3700">
        <v>0.108195322575936</v>
      </c>
      <c r="K3700">
        <v>0.152964033586205</v>
      </c>
      <c r="L3700">
        <v>1172.76485538368</v>
      </c>
      <c r="M3700">
        <v>23.944826162322901</v>
      </c>
      <c r="N3700">
        <v>49.585364351420601</v>
      </c>
      <c r="O3700">
        <v>48.640024396029098</v>
      </c>
      <c r="P3700">
        <v>-0.107426488624633</v>
      </c>
      <c r="Q3700">
        <v>0.127136067777503</v>
      </c>
      <c r="R3700">
        <v>0.982436693246583</v>
      </c>
      <c r="S3700" t="s">
        <v>10268</v>
      </c>
      <c r="T3700" t="s">
        <v>13134</v>
      </c>
      <c r="U3700" t="s">
        <v>13134</v>
      </c>
      <c r="V3700" t="s">
        <v>13134</v>
      </c>
      <c r="W3700" t="s">
        <v>16779</v>
      </c>
      <c r="X3700">
        <v>2</v>
      </c>
      <c r="Y3700" t="s">
        <v>23172</v>
      </c>
      <c r="Z3700" t="s">
        <v>29668</v>
      </c>
      <c r="AA3700">
        <v>0.4838327955152531</v>
      </c>
      <c r="AB3700" t="str">
        <f>HYPERLINK("Melting_Curves/meltCurve_Q16880_UGT8.pdf", "Melting_Curves/meltCurve_Q16880_UGT8.pdf")</f>
        <v>Melting_Curves/meltCurve_Q16880_UGT8.pdf</v>
      </c>
    </row>
    <row r="3701" spans="1:28" x14ac:dyDescent="0.25">
      <c r="A3701" t="s">
        <v>3705</v>
      </c>
      <c r="B3701">
        <v>0.99472303558308395</v>
      </c>
      <c r="C3701">
        <v>0.88822520759037105</v>
      </c>
      <c r="D3701">
        <v>0.65945284872843102</v>
      </c>
      <c r="E3701">
        <v>0.58783692031722701</v>
      </c>
      <c r="F3701">
        <v>0.40143882586248297</v>
      </c>
      <c r="G3701">
        <v>0.21134845748776901</v>
      </c>
      <c r="H3701">
        <v>0.10066951998333</v>
      </c>
      <c r="I3701">
        <v>8.80189145504056E-2</v>
      </c>
      <c r="J3701">
        <v>0.101162136263415</v>
      </c>
      <c r="K3701">
        <v>6.9495073960523707E-2</v>
      </c>
      <c r="L3701">
        <v>492.28921469831499</v>
      </c>
      <c r="M3701">
        <v>10.4101181548751</v>
      </c>
      <c r="N3701">
        <v>47.405978134524098</v>
      </c>
      <c r="O3701">
        <v>45.644323291061802</v>
      </c>
      <c r="P3701">
        <v>-5.6321081607192298E-2</v>
      </c>
      <c r="Q3701">
        <v>1.2627533022201799E-2</v>
      </c>
      <c r="R3701">
        <v>0.98530496131784995</v>
      </c>
      <c r="S3701" t="s">
        <v>10269</v>
      </c>
      <c r="T3701" t="s">
        <v>13134</v>
      </c>
      <c r="U3701" t="s">
        <v>13134</v>
      </c>
      <c r="V3701" t="s">
        <v>13134</v>
      </c>
      <c r="W3701" t="s">
        <v>16780</v>
      </c>
      <c r="X3701">
        <v>49</v>
      </c>
      <c r="Y3701" t="s">
        <v>19925</v>
      </c>
      <c r="Z3701" t="s">
        <v>29669</v>
      </c>
      <c r="AA3701">
        <v>0.39077237274715082</v>
      </c>
      <c r="AB3701" t="str">
        <f>HYPERLINK("Melting_Curves/meltCurve_Q16891_2_IMMT.pdf", "Melting_Curves/meltCurve_Q16891_2_IMMT.pdf")</f>
        <v>Melting_Curves/meltCurve_Q16891_2_IMMT.pdf</v>
      </c>
    </row>
    <row r="3702" spans="1:28" x14ac:dyDescent="0.25">
      <c r="A3702" t="s">
        <v>3706</v>
      </c>
      <c r="B3702">
        <v>0.99472303558308395</v>
      </c>
      <c r="C3702">
        <v>0.93542622456369895</v>
      </c>
      <c r="D3702">
        <v>0.88059315382960701</v>
      </c>
      <c r="E3702">
        <v>0.56563211560567805</v>
      </c>
      <c r="F3702">
        <v>0.19761848519842701</v>
      </c>
      <c r="G3702">
        <v>0.104675550735362</v>
      </c>
      <c r="H3702">
        <v>7.2315665927183595E-2</v>
      </c>
      <c r="I3702">
        <v>5.0804334487719101E-2</v>
      </c>
      <c r="J3702">
        <v>6.1577818821218697E-2</v>
      </c>
      <c r="K3702">
        <v>5.4350937348514601E-2</v>
      </c>
      <c r="L3702">
        <v>1055.14232251559</v>
      </c>
      <c r="M3702">
        <v>22.551826185413699</v>
      </c>
      <c r="N3702">
        <v>47.017758604693903</v>
      </c>
      <c r="O3702">
        <v>46.424220298832303</v>
      </c>
      <c r="P3702">
        <v>-0.11509597359139701</v>
      </c>
      <c r="Q3702">
        <v>5.22927793472103E-2</v>
      </c>
      <c r="R3702">
        <v>0.99790918190353906</v>
      </c>
      <c r="S3702" t="s">
        <v>10270</v>
      </c>
      <c r="T3702" t="s">
        <v>13134</v>
      </c>
      <c r="U3702" t="s">
        <v>13134</v>
      </c>
      <c r="V3702" t="s">
        <v>13134</v>
      </c>
      <c r="W3702" t="s">
        <v>16781</v>
      </c>
      <c r="X3702">
        <v>8</v>
      </c>
      <c r="Y3702" t="s">
        <v>23173</v>
      </c>
      <c r="Z3702" t="s">
        <v>29670</v>
      </c>
      <c r="AA3702">
        <v>0.37124457349252749</v>
      </c>
      <c r="AB3702" t="str">
        <f>HYPERLINK("Melting_Curves/meltCurve_Q17RU2_REL.pdf", "Melting_Curves/meltCurve_Q17RU2_REL.pdf")</f>
        <v>Melting_Curves/meltCurve_Q17RU2_REL.pdf</v>
      </c>
    </row>
    <row r="3703" spans="1:28" x14ac:dyDescent="0.25">
      <c r="A3703" t="s">
        <v>3707</v>
      </c>
      <c r="B3703">
        <v>0.99472303558308395</v>
      </c>
      <c r="C3703">
        <v>0.80630491665726001</v>
      </c>
      <c r="D3703">
        <v>0.68320241880122401</v>
      </c>
      <c r="E3703">
        <v>0.52445478682215496</v>
      </c>
      <c r="F3703">
        <v>0.41302107442494601</v>
      </c>
      <c r="G3703">
        <v>0.21342332658347901</v>
      </c>
      <c r="H3703">
        <v>9.9936720212574506E-2</v>
      </c>
      <c r="I3703">
        <v>9.66757970205923E-2</v>
      </c>
      <c r="J3703">
        <v>0.114352714466084</v>
      </c>
      <c r="K3703">
        <v>8.5461495367689294E-2</v>
      </c>
      <c r="L3703">
        <v>460.06685904329498</v>
      </c>
      <c r="M3703">
        <v>9.8421308867825896</v>
      </c>
      <c r="N3703">
        <v>46.9554207162426</v>
      </c>
      <c r="O3703">
        <v>44.937523515776498</v>
      </c>
      <c r="P3703">
        <v>-5.35989907079919E-2</v>
      </c>
      <c r="Q3703">
        <v>2.1609616440145699E-2</v>
      </c>
      <c r="R3703">
        <v>0.98507277293864404</v>
      </c>
      <c r="S3703" t="s">
        <v>10271</v>
      </c>
      <c r="T3703" t="s">
        <v>13134</v>
      </c>
      <c r="U3703" t="s">
        <v>13134</v>
      </c>
      <c r="V3703" t="s">
        <v>13134</v>
      </c>
      <c r="W3703" t="s">
        <v>16782</v>
      </c>
      <c r="X3703">
        <v>2</v>
      </c>
      <c r="Y3703" t="s">
        <v>23174</v>
      </c>
      <c r="Z3703" t="s">
        <v>29671</v>
      </c>
      <c r="AA3703">
        <v>0.38337238601756962</v>
      </c>
      <c r="AB3703" t="str">
        <f>HYPERLINK("Melting_Curves/meltCurve_Q1ED39_KNOP1.pdf", "Melting_Curves/meltCurve_Q1ED39_KNOP1.pdf")</f>
        <v>Melting_Curves/meltCurve_Q1ED39_KNOP1.pdf</v>
      </c>
    </row>
    <row r="3704" spans="1:28" x14ac:dyDescent="0.25">
      <c r="A3704" t="s">
        <v>3708</v>
      </c>
      <c r="B3704">
        <v>0.99472303558308395</v>
      </c>
      <c r="C3704">
        <v>0.96736007467515694</v>
      </c>
      <c r="D3704">
        <v>0.89947030973991504</v>
      </c>
      <c r="E3704">
        <v>0.75256825464500798</v>
      </c>
      <c r="F3704">
        <v>0.54227731024941495</v>
      </c>
      <c r="G3704">
        <v>0.17430040479960901</v>
      </c>
      <c r="H3704">
        <v>0.11273252218202801</v>
      </c>
      <c r="I3704">
        <v>9.4863641078791597E-2</v>
      </c>
      <c r="J3704">
        <v>0.112224444574315</v>
      </c>
      <c r="K3704">
        <v>0.113649138006962</v>
      </c>
      <c r="L3704">
        <v>921.64618081149604</v>
      </c>
      <c r="M3704">
        <v>18.657944070823099</v>
      </c>
      <c r="N3704">
        <v>49.838755688173102</v>
      </c>
      <c r="O3704">
        <v>48.840032921170298</v>
      </c>
      <c r="P3704">
        <v>-8.8230142295309705E-2</v>
      </c>
      <c r="Q3704">
        <v>7.6215798245138702E-2</v>
      </c>
      <c r="R3704">
        <v>0.98926988699972096</v>
      </c>
      <c r="S3704" t="s">
        <v>10272</v>
      </c>
      <c r="T3704" t="s">
        <v>13134</v>
      </c>
      <c r="U3704" t="s">
        <v>13134</v>
      </c>
      <c r="V3704" t="s">
        <v>13134</v>
      </c>
      <c r="W3704" t="s">
        <v>16783</v>
      </c>
      <c r="X3704">
        <v>15</v>
      </c>
      <c r="Y3704" t="s">
        <v>23175</v>
      </c>
      <c r="Z3704" t="s">
        <v>29672</v>
      </c>
      <c r="AA3704">
        <v>0.47171871025898282</v>
      </c>
      <c r="AB3704" t="str">
        <f>HYPERLINK("Melting_Curves/meltCurve_Q1KMD3_HNRNPUL2.pdf", "Melting_Curves/meltCurve_Q1KMD3_HNRNPUL2.pdf")</f>
        <v>Melting_Curves/meltCurve_Q1KMD3_HNRNPUL2.pdf</v>
      </c>
    </row>
    <row r="3705" spans="1:28" x14ac:dyDescent="0.25">
      <c r="A3705" t="s">
        <v>3709</v>
      </c>
      <c r="B3705">
        <v>0.99472303558308395</v>
      </c>
      <c r="C3705">
        <v>0.92659522996896104</v>
      </c>
      <c r="D3705">
        <v>0.74303265763673598</v>
      </c>
      <c r="E3705">
        <v>0.45821987988435597</v>
      </c>
      <c r="F3705">
        <v>0.50836576511232701</v>
      </c>
      <c r="G3705">
        <v>0.33428867306270299</v>
      </c>
      <c r="H3705">
        <v>0.269989877287719</v>
      </c>
      <c r="I3705">
        <v>0.24711048851783099</v>
      </c>
      <c r="J3705">
        <v>0.30657022007215001</v>
      </c>
      <c r="K3705">
        <v>0.49717761795565102</v>
      </c>
      <c r="L3705">
        <v>841.40188938737197</v>
      </c>
      <c r="M3705">
        <v>19.137728994365499</v>
      </c>
      <c r="N3705">
        <v>46.732892361095303</v>
      </c>
      <c r="O3705">
        <v>43.494001791144598</v>
      </c>
      <c r="P3705">
        <v>-7.2713721270737997E-2</v>
      </c>
      <c r="Q3705">
        <v>0.339004495537715</v>
      </c>
      <c r="R3705">
        <v>0.91421907835279403</v>
      </c>
      <c r="S3705" t="s">
        <v>10273</v>
      </c>
      <c r="T3705" t="s">
        <v>13134</v>
      </c>
      <c r="U3705" t="s">
        <v>13134</v>
      </c>
      <c r="V3705" t="s">
        <v>13134</v>
      </c>
      <c r="W3705" t="s">
        <v>16784</v>
      </c>
      <c r="X3705">
        <v>6</v>
      </c>
      <c r="Y3705" t="s">
        <v>23176</v>
      </c>
      <c r="Z3705" t="s">
        <v>29673</v>
      </c>
      <c r="AA3705">
        <v>0.50223175099672512</v>
      </c>
      <c r="AB3705" t="str">
        <f>HYPERLINK("Melting_Curves/meltCurve_Q1L5Z9_LONRF2.pdf", "Melting_Curves/meltCurve_Q1L5Z9_LONRF2.pdf")</f>
        <v>Melting_Curves/meltCurve_Q1L5Z9_LONRF2.pdf</v>
      </c>
    </row>
    <row r="3706" spans="1:28" x14ac:dyDescent="0.25">
      <c r="A3706" t="s">
        <v>3710</v>
      </c>
      <c r="B3706">
        <v>0.99472303558308395</v>
      </c>
      <c r="C3706">
        <v>1.0071798112592101</v>
      </c>
      <c r="D3706">
        <v>0.843761701525096</v>
      </c>
      <c r="E3706">
        <v>0.629275970197825</v>
      </c>
      <c r="F3706">
        <v>0.43741228187987002</v>
      </c>
      <c r="G3706">
        <v>0.28472157846128299</v>
      </c>
      <c r="H3706">
        <v>0.22429485212605299</v>
      </c>
      <c r="I3706">
        <v>0.28870570116808503</v>
      </c>
      <c r="J3706">
        <v>0.45729638418641899</v>
      </c>
      <c r="K3706">
        <v>0.54576306035857103</v>
      </c>
      <c r="L3706">
        <v>1114.26164393714</v>
      </c>
      <c r="M3706">
        <v>24.428121041184799</v>
      </c>
      <c r="N3706">
        <v>48.142778724845002</v>
      </c>
      <c r="O3706">
        <v>45.311501611181001</v>
      </c>
      <c r="P3706">
        <v>-8.6067895797194302E-2</v>
      </c>
      <c r="Q3706">
        <v>0.36142309514658699</v>
      </c>
      <c r="R3706">
        <v>0.89475667005785198</v>
      </c>
      <c r="S3706" t="s">
        <v>10274</v>
      </c>
      <c r="T3706" t="s">
        <v>13134</v>
      </c>
      <c r="U3706" t="s">
        <v>13134</v>
      </c>
      <c r="V3706" t="s">
        <v>13134</v>
      </c>
      <c r="W3706" t="s">
        <v>16785</v>
      </c>
      <c r="X3706">
        <v>13</v>
      </c>
      <c r="Y3706" t="s">
        <v>23177</v>
      </c>
      <c r="Z3706" t="s">
        <v>29674</v>
      </c>
      <c r="AA3706">
        <v>0.5503041663199385</v>
      </c>
      <c r="AB3706" t="str">
        <f>HYPERLINK("Melting_Curves/meltCurve_Q1MSJ5_1_CSPP1.pdf", "Melting_Curves/meltCurve_Q1MSJ5_1_CSPP1.pdf")</f>
        <v>Melting_Curves/meltCurve_Q1MSJ5_1_CSPP1.pdf</v>
      </c>
    </row>
    <row r="3707" spans="1:28" x14ac:dyDescent="0.25">
      <c r="A3707" t="s">
        <v>3711</v>
      </c>
      <c r="B3707">
        <v>0.99472303558308395</v>
      </c>
      <c r="C3707">
        <v>0.96852345714135801</v>
      </c>
      <c r="D3707">
        <v>0.76269961344000203</v>
      </c>
      <c r="E3707">
        <v>0.38372102395990398</v>
      </c>
      <c r="F3707">
        <v>0.19862085297015</v>
      </c>
      <c r="G3707">
        <v>9.7441604229147993E-2</v>
      </c>
      <c r="H3707">
        <v>7.0786294282466397E-2</v>
      </c>
      <c r="I3707">
        <v>4.8921728191845898E-2</v>
      </c>
      <c r="J3707">
        <v>5.6978797444435299E-2</v>
      </c>
      <c r="K3707">
        <v>5.3381583836279299E-2</v>
      </c>
      <c r="L3707">
        <v>920.71325087854905</v>
      </c>
      <c r="M3707">
        <v>20.310520477468302</v>
      </c>
      <c r="N3707">
        <v>45.600486490811498</v>
      </c>
      <c r="O3707">
        <v>44.899245246874699</v>
      </c>
      <c r="P3707">
        <v>-0.106715900583257</v>
      </c>
      <c r="Q3707">
        <v>5.6387118905340802E-2</v>
      </c>
      <c r="R3707">
        <v>0.99869022843409005</v>
      </c>
      <c r="S3707" t="s">
        <v>10275</v>
      </c>
      <c r="T3707" t="s">
        <v>13134</v>
      </c>
      <c r="U3707" t="s">
        <v>13134</v>
      </c>
      <c r="V3707" t="s">
        <v>13134</v>
      </c>
      <c r="W3707" t="s">
        <v>16786</v>
      </c>
      <c r="X3707">
        <v>9</v>
      </c>
      <c r="Y3707" t="s">
        <v>23178</v>
      </c>
      <c r="Z3707" t="s">
        <v>29675</v>
      </c>
      <c r="AA3707">
        <v>0.33043002205669397</v>
      </c>
      <c r="AB3707" t="str">
        <f>HYPERLINK("Melting_Curves/meltCurve_Q27J81_2_INF2.pdf", "Melting_Curves/meltCurve_Q27J81_2_INF2.pdf")</f>
        <v>Melting_Curves/meltCurve_Q27J81_2_INF2.pdf</v>
      </c>
    </row>
    <row r="3708" spans="1:28" x14ac:dyDescent="0.25">
      <c r="A3708" t="s">
        <v>3712</v>
      </c>
      <c r="B3708">
        <v>0.99472303558308395</v>
      </c>
      <c r="C3708">
        <v>1.1780687078347001</v>
      </c>
      <c r="D3708">
        <v>1.0235123308198699</v>
      </c>
      <c r="E3708">
        <v>0.88479844391317397</v>
      </c>
      <c r="F3708">
        <v>0.62740754009558997</v>
      </c>
      <c r="G3708">
        <v>0.37604108659169999</v>
      </c>
      <c r="H3708">
        <v>0.27693235046868397</v>
      </c>
      <c r="I3708">
        <v>0.18149698292236299</v>
      </c>
      <c r="J3708">
        <v>0.23115530623887701</v>
      </c>
      <c r="K3708">
        <v>0.24935068071042499</v>
      </c>
      <c r="L3708">
        <v>1180.51703453398</v>
      </c>
      <c r="M3708">
        <v>23.412096258187599</v>
      </c>
      <c r="N3708">
        <v>51.705822415864098</v>
      </c>
      <c r="O3708">
        <v>50.059827646921498</v>
      </c>
      <c r="P3708">
        <v>-9.1171380837153093E-2</v>
      </c>
      <c r="Q3708">
        <v>0.22024175984347999</v>
      </c>
      <c r="R3708">
        <v>0.97188204511579301</v>
      </c>
      <c r="S3708" t="s">
        <v>10276</v>
      </c>
      <c r="T3708" t="s">
        <v>13134</v>
      </c>
      <c r="U3708" t="s">
        <v>13134</v>
      </c>
      <c r="V3708" t="s">
        <v>13134</v>
      </c>
      <c r="W3708" t="s">
        <v>16787</v>
      </c>
      <c r="X3708">
        <v>7</v>
      </c>
      <c r="Y3708" t="s">
        <v>23179</v>
      </c>
      <c r="Z3708" t="s">
        <v>29676</v>
      </c>
      <c r="AA3708">
        <v>0.57688158372011389</v>
      </c>
      <c r="AB3708" t="str">
        <f>HYPERLINK("Melting_Curves/meltCurve_Q29980_MICB.pdf", "Melting_Curves/meltCurve_Q29980_MICB.pdf")</f>
        <v>Melting_Curves/meltCurve_Q29980_MICB.pdf</v>
      </c>
    </row>
    <row r="3709" spans="1:28" x14ac:dyDescent="0.25">
      <c r="A3709" t="s">
        <v>3713</v>
      </c>
      <c r="B3709">
        <v>0.99472303558308395</v>
      </c>
      <c r="C3709">
        <v>0.95858021963701301</v>
      </c>
      <c r="D3709">
        <v>0.82239542424370304</v>
      </c>
      <c r="E3709">
        <v>0.41429139147210398</v>
      </c>
      <c r="F3709">
        <v>9.8097014428463095E-2</v>
      </c>
      <c r="G3709">
        <v>6.2382072693258503E-2</v>
      </c>
      <c r="H3709">
        <v>4.1184705269557101E-2</v>
      </c>
      <c r="I3709">
        <v>3.1813353035350003E-2</v>
      </c>
      <c r="J3709">
        <v>4.3756666074695999E-2</v>
      </c>
      <c r="K3709">
        <v>3.4616408443563902E-2</v>
      </c>
      <c r="L3709">
        <v>1132.4158069462501</v>
      </c>
      <c r="M3709">
        <v>24.797330415286499</v>
      </c>
      <c r="N3709">
        <v>45.792899371576603</v>
      </c>
      <c r="O3709">
        <v>45.372983896317102</v>
      </c>
      <c r="P3709">
        <v>-0.132124756947504</v>
      </c>
      <c r="Q3709">
        <v>3.2991387418170502E-2</v>
      </c>
      <c r="R3709">
        <v>0.99904998849876903</v>
      </c>
      <c r="S3709" t="s">
        <v>10277</v>
      </c>
      <c r="T3709" t="s">
        <v>13134</v>
      </c>
      <c r="U3709" t="s">
        <v>13134</v>
      </c>
      <c r="V3709" t="s">
        <v>13134</v>
      </c>
      <c r="W3709" t="s">
        <v>16788</v>
      </c>
      <c r="X3709">
        <v>54</v>
      </c>
      <c r="Y3709" t="s">
        <v>23180</v>
      </c>
      <c r="Z3709" t="s">
        <v>29677</v>
      </c>
      <c r="AA3709">
        <v>0.32047285756336019</v>
      </c>
      <c r="AB3709" t="str">
        <f>HYPERLINK("Melting_Curves/meltCurve_Q29RF7_PDS5A.pdf", "Melting_Curves/meltCurve_Q29RF7_PDS5A.pdf")</f>
        <v>Melting_Curves/meltCurve_Q29RF7_PDS5A.pdf</v>
      </c>
    </row>
    <row r="3710" spans="1:28" x14ac:dyDescent="0.25">
      <c r="A3710" t="s">
        <v>3714</v>
      </c>
      <c r="B3710">
        <v>0.99472303558308395</v>
      </c>
      <c r="C3710">
        <v>0.78490569293231005</v>
      </c>
      <c r="D3710">
        <v>0.56153059449835596</v>
      </c>
      <c r="E3710">
        <v>0.30785919075787899</v>
      </c>
      <c r="F3710">
        <v>0.22099149291738601</v>
      </c>
      <c r="G3710">
        <v>0.12206460407671101</v>
      </c>
      <c r="H3710">
        <v>8.6552538814003793E-2</v>
      </c>
      <c r="I3710">
        <v>7.6215773782549803E-2</v>
      </c>
      <c r="J3710">
        <v>7.3552300454066299E-2</v>
      </c>
      <c r="K3710">
        <v>6.0097805196629397E-2</v>
      </c>
      <c r="L3710">
        <v>643.60060408280697</v>
      </c>
      <c r="M3710">
        <v>14.8051206604055</v>
      </c>
      <c r="N3710">
        <v>43.903365547137497</v>
      </c>
      <c r="O3710">
        <v>42.701494241136899</v>
      </c>
      <c r="P3710">
        <v>-8.0812865684266905E-2</v>
      </c>
      <c r="Q3710">
        <v>6.7764923549871098E-2</v>
      </c>
      <c r="R3710">
        <v>0.99404706782707097</v>
      </c>
      <c r="S3710" t="s">
        <v>10278</v>
      </c>
      <c r="T3710" t="s">
        <v>13134</v>
      </c>
      <c r="U3710" t="s">
        <v>13134</v>
      </c>
      <c r="V3710" t="s">
        <v>13134</v>
      </c>
      <c r="W3710" t="s">
        <v>16789</v>
      </c>
      <c r="X3710">
        <v>3</v>
      </c>
      <c r="Y3710" t="s">
        <v>23181</v>
      </c>
      <c r="Z3710" t="s">
        <v>29678</v>
      </c>
      <c r="AA3710">
        <v>0.29338936874906579</v>
      </c>
      <c r="AB3710" t="str">
        <f>HYPERLINK("Melting_Curves/meltCurve_Q2KHR3_2_QSER1.pdf", "Melting_Curves/meltCurve_Q2KHR3_2_QSER1.pdf")</f>
        <v>Melting_Curves/meltCurve_Q2KHR3_2_QSER1.pdf</v>
      </c>
    </row>
    <row r="3711" spans="1:28" x14ac:dyDescent="0.25">
      <c r="A3711" t="s">
        <v>3715</v>
      </c>
      <c r="B3711">
        <v>0.99472303558308395</v>
      </c>
      <c r="C3711">
        <v>1.0043856741763399</v>
      </c>
      <c r="D3711">
        <v>0.82562038564945295</v>
      </c>
      <c r="E3711">
        <v>0.75857653488514498</v>
      </c>
      <c r="F3711">
        <v>0.69231259957656999</v>
      </c>
      <c r="G3711">
        <v>0.42845859735749497</v>
      </c>
      <c r="H3711">
        <v>0.182427126022356</v>
      </c>
      <c r="I3711">
        <v>7.4019793760929806E-2</v>
      </c>
      <c r="J3711">
        <v>0.10606690296600101</v>
      </c>
      <c r="K3711">
        <v>7.0018344791418302E-2</v>
      </c>
      <c r="L3711">
        <v>642.21023397866497</v>
      </c>
      <c r="M3711">
        <v>12.362788648488999</v>
      </c>
      <c r="N3711">
        <v>51.947036555841997</v>
      </c>
      <c r="O3711">
        <v>50.6439844550627</v>
      </c>
      <c r="P3711">
        <v>-6.1041032261978899E-2</v>
      </c>
      <c r="Q3711">
        <v>0</v>
      </c>
      <c r="R3711">
        <v>0.97781351044494602</v>
      </c>
      <c r="S3711" t="s">
        <v>10279</v>
      </c>
      <c r="T3711" t="s">
        <v>13134</v>
      </c>
      <c r="U3711" t="s">
        <v>13134</v>
      </c>
      <c r="V3711" t="s">
        <v>13134</v>
      </c>
      <c r="W3711" t="s">
        <v>16790</v>
      </c>
      <c r="X3711">
        <v>6</v>
      </c>
      <c r="Y3711" t="s">
        <v>23182</v>
      </c>
      <c r="Z3711" t="s">
        <v>29679</v>
      </c>
      <c r="AA3711">
        <v>0.52154351654427733</v>
      </c>
      <c r="AB3711" t="str">
        <f>HYPERLINK("Melting_Curves/meltCurve_Q2KHT3_CLEC16A.pdf", "Melting_Curves/meltCurve_Q2KHT3_CLEC16A.pdf")</f>
        <v>Melting_Curves/meltCurve_Q2KHT3_CLEC16A.pdf</v>
      </c>
    </row>
    <row r="3712" spans="1:28" x14ac:dyDescent="0.25">
      <c r="A3712" t="s">
        <v>3716</v>
      </c>
      <c r="B3712">
        <v>0.99472303558308395</v>
      </c>
      <c r="C3712">
        <v>1.0988166671644799</v>
      </c>
      <c r="D3712">
        <v>0.89013097529562102</v>
      </c>
      <c r="E3712">
        <v>0.74471976711554699</v>
      </c>
      <c r="F3712">
        <v>0.50139279705097795</v>
      </c>
      <c r="G3712">
        <v>0.24927697297076101</v>
      </c>
      <c r="H3712">
        <v>0.102387599812306</v>
      </c>
      <c r="I3712">
        <v>5.55538083844625E-2</v>
      </c>
      <c r="J3712">
        <v>4.69895327105102E-2</v>
      </c>
      <c r="K3712">
        <v>7.5405882640525099E-2</v>
      </c>
      <c r="L3712">
        <v>829.24692486689298</v>
      </c>
      <c r="M3712">
        <v>16.671780937198399</v>
      </c>
      <c r="N3712">
        <v>49.9259588157637</v>
      </c>
      <c r="O3712">
        <v>49.040446474380602</v>
      </c>
      <c r="P3712">
        <v>-8.2430925441043704E-2</v>
      </c>
      <c r="Q3712">
        <v>3.01743965895837E-2</v>
      </c>
      <c r="R3712">
        <v>0.98900643001275801</v>
      </c>
      <c r="S3712" t="s">
        <v>10280</v>
      </c>
      <c r="T3712" t="s">
        <v>13134</v>
      </c>
      <c r="U3712" t="s">
        <v>13134</v>
      </c>
      <c r="V3712" t="s">
        <v>13134</v>
      </c>
      <c r="W3712" t="s">
        <v>16791</v>
      </c>
      <c r="X3712">
        <v>7</v>
      </c>
      <c r="Y3712" t="s">
        <v>23183</v>
      </c>
      <c r="Z3712" t="s">
        <v>29680</v>
      </c>
      <c r="AA3712">
        <v>0.45938398749101939</v>
      </c>
      <c r="AB3712" t="str">
        <f>HYPERLINK("Melting_Curves/meltCurve_Q2M2I8_2_AAK1.pdf", "Melting_Curves/meltCurve_Q2M2I8_2_AAK1.pdf")</f>
        <v>Melting_Curves/meltCurve_Q2M2I8_2_AAK1.pdf</v>
      </c>
    </row>
    <row r="3713" spans="1:28" x14ac:dyDescent="0.25">
      <c r="A3713" t="s">
        <v>3717</v>
      </c>
      <c r="B3713">
        <v>0.99472303558308395</v>
      </c>
      <c r="C3713">
        <v>0.95470468770661099</v>
      </c>
      <c r="D3713">
        <v>0.72902046899186501</v>
      </c>
      <c r="E3713">
        <v>0.60999416509289095</v>
      </c>
      <c r="F3713">
        <v>0.22655352768678899</v>
      </c>
      <c r="G3713">
        <v>0.11423892985902501</v>
      </c>
      <c r="H3713">
        <v>9.1393327704659397E-2</v>
      </c>
      <c r="I3713">
        <v>7.3825365717659797E-2</v>
      </c>
      <c r="J3713">
        <v>0.106630024905618</v>
      </c>
      <c r="K3713">
        <v>8.1074917250834794E-2</v>
      </c>
      <c r="L3713">
        <v>775.48372219756902</v>
      </c>
      <c r="M3713">
        <v>16.691159843670398</v>
      </c>
      <c r="N3713">
        <v>46.831732575646498</v>
      </c>
      <c r="O3713">
        <v>45.809207758062399</v>
      </c>
      <c r="P3713">
        <v>-8.5455347390666805E-2</v>
      </c>
      <c r="Q3713">
        <v>6.19269606517725E-2</v>
      </c>
      <c r="R3713">
        <v>0.98545318873634202</v>
      </c>
      <c r="S3713" t="s">
        <v>10281</v>
      </c>
      <c r="T3713" t="s">
        <v>13134</v>
      </c>
      <c r="U3713" t="s">
        <v>13134</v>
      </c>
      <c r="V3713" t="s">
        <v>13134</v>
      </c>
      <c r="W3713" t="s">
        <v>16792</v>
      </c>
      <c r="X3713">
        <v>7</v>
      </c>
      <c r="Y3713" t="s">
        <v>23184</v>
      </c>
      <c r="Z3713" t="s">
        <v>29681</v>
      </c>
      <c r="AA3713">
        <v>0.37524063856046402</v>
      </c>
      <c r="AB3713" t="str">
        <f>HYPERLINK("Melting_Curves/meltCurve_Q2M389_KIAA1033.pdf", "Melting_Curves/meltCurve_Q2M389_KIAA1033.pdf")</f>
        <v>Melting_Curves/meltCurve_Q2M389_KIAA1033.pdf</v>
      </c>
    </row>
    <row r="3714" spans="1:28" x14ac:dyDescent="0.25">
      <c r="A3714" t="s">
        <v>3718</v>
      </c>
      <c r="B3714">
        <v>0.99472303558308395</v>
      </c>
      <c r="C3714">
        <v>0.91047900921148495</v>
      </c>
      <c r="D3714">
        <v>0.72904600024476296</v>
      </c>
      <c r="E3714">
        <v>0.26694489421085998</v>
      </c>
      <c r="F3714">
        <v>0.13685443081087001</v>
      </c>
      <c r="G3714">
        <v>7.5011279912182302E-2</v>
      </c>
      <c r="H3714">
        <v>6.6389520209935493E-2</v>
      </c>
      <c r="I3714">
        <v>4.0482540741085302E-2</v>
      </c>
      <c r="J3714">
        <v>5.31394670615788E-2</v>
      </c>
      <c r="K3714">
        <v>4.4153917054402803E-2</v>
      </c>
      <c r="L3714">
        <v>1050.73193297019</v>
      </c>
      <c r="M3714">
        <v>23.636324529370398</v>
      </c>
      <c r="N3714">
        <v>44.666747313598997</v>
      </c>
      <c r="O3714">
        <v>44.1395816995947</v>
      </c>
      <c r="P3714">
        <v>-0.12675142226376801</v>
      </c>
      <c r="Q3714">
        <v>5.3209691961834699E-2</v>
      </c>
      <c r="R3714">
        <v>0.99776971188271402</v>
      </c>
      <c r="S3714" t="s">
        <v>10282</v>
      </c>
      <c r="T3714" t="s">
        <v>13134</v>
      </c>
      <c r="U3714" t="s">
        <v>13134</v>
      </c>
      <c r="V3714" t="s">
        <v>13134</v>
      </c>
      <c r="W3714" t="s">
        <v>16793</v>
      </c>
      <c r="X3714">
        <v>25</v>
      </c>
      <c r="Y3714" t="s">
        <v>23185</v>
      </c>
      <c r="Z3714" t="s">
        <v>29682</v>
      </c>
      <c r="AA3714">
        <v>0.29721059541016842</v>
      </c>
      <c r="AB3714" t="str">
        <f>HYPERLINK("Melting_Curves/meltCurve_Q2NKX8_ERCC6L.pdf", "Melting_Curves/meltCurve_Q2NKX8_ERCC6L.pdf")</f>
        <v>Melting_Curves/meltCurve_Q2NKX8_ERCC6L.pdf</v>
      </c>
    </row>
    <row r="3715" spans="1:28" x14ac:dyDescent="0.25">
      <c r="A3715" t="s">
        <v>3719</v>
      </c>
      <c r="B3715">
        <v>0.99472303558308395</v>
      </c>
      <c r="C3715">
        <v>0.900819428268815</v>
      </c>
      <c r="D3715">
        <v>0.92621350838043903</v>
      </c>
      <c r="E3715">
        <v>0.64611155048118896</v>
      </c>
      <c r="F3715">
        <v>0.35595024159684702</v>
      </c>
      <c r="G3715">
        <v>0.307356687613908</v>
      </c>
      <c r="H3715">
        <v>0.181385930108001</v>
      </c>
      <c r="I3715">
        <v>0.22733452113220301</v>
      </c>
      <c r="J3715">
        <v>0.205708794238078</v>
      </c>
      <c r="K3715">
        <v>0.19824942230161199</v>
      </c>
      <c r="L3715">
        <v>937.26481085869705</v>
      </c>
      <c r="M3715">
        <v>19.898466965957098</v>
      </c>
      <c r="N3715">
        <v>48.3473291691556</v>
      </c>
      <c r="O3715">
        <v>46.634379582079298</v>
      </c>
      <c r="P3715">
        <v>-8.52908426085493E-2</v>
      </c>
      <c r="Q3715">
        <v>0.20047037836692899</v>
      </c>
      <c r="R3715">
        <v>0.988526534555631</v>
      </c>
      <c r="S3715" t="s">
        <v>10283</v>
      </c>
      <c r="T3715" t="s">
        <v>13134</v>
      </c>
      <c r="U3715" t="s">
        <v>13134</v>
      </c>
      <c r="V3715" t="s">
        <v>13134</v>
      </c>
      <c r="W3715" t="s">
        <v>16794</v>
      </c>
      <c r="X3715">
        <v>1</v>
      </c>
      <c r="Y3715" t="s">
        <v>23186</v>
      </c>
      <c r="Z3715" t="s">
        <v>29683</v>
      </c>
      <c r="AA3715">
        <v>0.48028338122758801</v>
      </c>
      <c r="AB3715" t="str">
        <f>HYPERLINK("Melting_Curves/meltCurve_Q2NKX9_3_C2orf68.pdf", "Melting_Curves/meltCurve_Q2NKX9_3_C2orf68.pdf")</f>
        <v>Melting_Curves/meltCurve_Q2NKX9_3_C2orf68.pdf</v>
      </c>
    </row>
    <row r="3716" spans="1:28" x14ac:dyDescent="0.25">
      <c r="A3716" t="s">
        <v>3720</v>
      </c>
      <c r="B3716">
        <v>0.99472303558308395</v>
      </c>
      <c r="C3716">
        <v>0.94591073505636802</v>
      </c>
      <c r="D3716">
        <v>0.99070215182808496</v>
      </c>
      <c r="E3716">
        <v>0.75411127463624295</v>
      </c>
      <c r="F3716">
        <v>0.19694699974709101</v>
      </c>
      <c r="G3716">
        <v>0.10943385080847</v>
      </c>
      <c r="H3716">
        <v>5.8872599025360198E-2</v>
      </c>
      <c r="I3716">
        <v>3.8235999926475597E-2</v>
      </c>
      <c r="J3716">
        <v>3.9764660726768299E-2</v>
      </c>
      <c r="K3716">
        <v>3.8240906570829999E-2</v>
      </c>
      <c r="L3716">
        <v>1726.5994016688401</v>
      </c>
      <c r="M3716">
        <v>36.017739559006898</v>
      </c>
      <c r="N3716">
        <v>48.080832538822797</v>
      </c>
      <c r="O3716">
        <v>47.790421227197399</v>
      </c>
      <c r="P3716">
        <v>-0.178822790304802</v>
      </c>
      <c r="Q3716">
        <v>5.0913338057795798E-2</v>
      </c>
      <c r="R3716">
        <v>0.99707966340171095</v>
      </c>
      <c r="S3716" t="s">
        <v>10284</v>
      </c>
      <c r="T3716" t="s">
        <v>13134</v>
      </c>
      <c r="U3716" t="s">
        <v>13134</v>
      </c>
      <c r="V3716" t="s">
        <v>13134</v>
      </c>
      <c r="W3716" t="s">
        <v>16795</v>
      </c>
      <c r="X3716">
        <v>20</v>
      </c>
      <c r="Y3716" t="s">
        <v>23187</v>
      </c>
      <c r="Z3716" t="s">
        <v>29684</v>
      </c>
      <c r="AA3716">
        <v>0.40081900905267848</v>
      </c>
      <c r="AB3716" t="str">
        <f>HYPERLINK("Melting_Curves/meltCurve_Q2NL82_TSR1.pdf", "Melting_Curves/meltCurve_Q2NL82_TSR1.pdf")</f>
        <v>Melting_Curves/meltCurve_Q2NL82_TSR1.pdf</v>
      </c>
    </row>
    <row r="3717" spans="1:28" x14ac:dyDescent="0.25">
      <c r="A3717" t="s">
        <v>3721</v>
      </c>
      <c r="B3717">
        <v>0.99472303558308395</v>
      </c>
      <c r="C3717">
        <v>0.83003885962914803</v>
      </c>
      <c r="D3717">
        <v>0.88557614334919299</v>
      </c>
      <c r="E3717">
        <v>0.73149608666462096</v>
      </c>
      <c r="F3717">
        <v>0.56426084682277</v>
      </c>
      <c r="G3717">
        <v>0.31476599258347199</v>
      </c>
      <c r="H3717">
        <v>8.85327519994214E-2</v>
      </c>
      <c r="I3717">
        <v>6.6526115095006694E-2</v>
      </c>
      <c r="J3717">
        <v>5.6365356361071102E-2</v>
      </c>
      <c r="K3717">
        <v>5.9166024832264297E-2</v>
      </c>
      <c r="L3717">
        <v>649.55922685149403</v>
      </c>
      <c r="M3717">
        <v>12.9250725804637</v>
      </c>
      <c r="N3717">
        <v>50.2557561922861</v>
      </c>
      <c r="O3717">
        <v>49.098350279129498</v>
      </c>
      <c r="P3717">
        <v>-6.5824044392797598E-2</v>
      </c>
      <c r="Q3717">
        <v>0</v>
      </c>
      <c r="R3717">
        <v>0.977416167947468</v>
      </c>
      <c r="S3717" t="s">
        <v>10285</v>
      </c>
      <c r="T3717" t="s">
        <v>13134</v>
      </c>
      <c r="U3717" t="s">
        <v>13134</v>
      </c>
      <c r="V3717" t="s">
        <v>13134</v>
      </c>
      <c r="W3717" t="s">
        <v>16796</v>
      </c>
      <c r="X3717">
        <v>3</v>
      </c>
      <c r="Y3717" t="s">
        <v>23188</v>
      </c>
      <c r="Z3717" t="s">
        <v>29685</v>
      </c>
      <c r="AA3717">
        <v>0.46707659355535081</v>
      </c>
      <c r="AB3717" t="str">
        <f>HYPERLINK("Melting_Curves/meltCurve_Q2TAA5_ALG11.pdf", "Melting_Curves/meltCurve_Q2TAA5_ALG11.pdf")</f>
        <v>Melting_Curves/meltCurve_Q2TAA5_ALG11.pdf</v>
      </c>
    </row>
    <row r="3718" spans="1:28" x14ac:dyDescent="0.25">
      <c r="A3718" t="s">
        <v>3722</v>
      </c>
      <c r="B3718">
        <v>0.99472303558308395</v>
      </c>
      <c r="C3718">
        <v>0.74314978066943305</v>
      </c>
      <c r="D3718">
        <v>0.767891617006913</v>
      </c>
      <c r="E3718">
        <v>0.36097185173386698</v>
      </c>
      <c r="F3718">
        <v>0.144409846193152</v>
      </c>
      <c r="G3718">
        <v>7.3277162705174897E-2</v>
      </c>
      <c r="H3718">
        <v>5.61712740215791E-2</v>
      </c>
      <c r="I3718">
        <v>4.2715680227518003E-2</v>
      </c>
      <c r="J3718">
        <v>5.6006973204431897E-2</v>
      </c>
      <c r="K3718">
        <v>4.8503293513286902E-2</v>
      </c>
      <c r="L3718">
        <v>706.39988496776596</v>
      </c>
      <c r="M3718">
        <v>15.758682918273401</v>
      </c>
      <c r="N3718">
        <v>44.984406200681697</v>
      </c>
      <c r="O3718">
        <v>44.122859595838598</v>
      </c>
      <c r="P3718">
        <v>-8.6887188481725094E-2</v>
      </c>
      <c r="Q3718">
        <v>2.6976660536740402E-2</v>
      </c>
      <c r="R3718">
        <v>0.97459121837135898</v>
      </c>
      <c r="S3718" t="s">
        <v>10286</v>
      </c>
      <c r="T3718" t="s">
        <v>13134</v>
      </c>
      <c r="U3718" t="s">
        <v>13134</v>
      </c>
      <c r="V3718" t="s">
        <v>13134</v>
      </c>
      <c r="W3718" t="s">
        <v>16797</v>
      </c>
      <c r="X3718">
        <v>7</v>
      </c>
      <c r="Y3718" t="s">
        <v>23189</v>
      </c>
      <c r="Z3718" t="s">
        <v>29686</v>
      </c>
      <c r="AA3718">
        <v>0.3018892589416628</v>
      </c>
      <c r="AB3718" t="str">
        <f>HYPERLINK("Melting_Curves/meltCurve_Q2TAL8_QRICH1.pdf", "Melting_Curves/meltCurve_Q2TAL8_QRICH1.pdf")</f>
        <v>Melting_Curves/meltCurve_Q2TAL8_QRICH1.pdf</v>
      </c>
    </row>
    <row r="3719" spans="1:28" x14ac:dyDescent="0.25">
      <c r="A3719" t="s">
        <v>3723</v>
      </c>
      <c r="B3719">
        <v>0.99472303558308395</v>
      </c>
      <c r="C3719">
        <v>0.90533838024075397</v>
      </c>
      <c r="D3719">
        <v>0.94433168044908</v>
      </c>
      <c r="E3719">
        <v>0.68473718581585197</v>
      </c>
      <c r="F3719">
        <v>0.23947175832874201</v>
      </c>
      <c r="G3719">
        <v>0.111604449813843</v>
      </c>
      <c r="H3719">
        <v>8.2071529260721796E-2</v>
      </c>
      <c r="I3719">
        <v>6.1454414793413799E-2</v>
      </c>
      <c r="J3719">
        <v>7.6788495477348798E-2</v>
      </c>
      <c r="K3719">
        <v>4.8747070209920799E-2</v>
      </c>
      <c r="L3719">
        <v>1290.85718188649</v>
      </c>
      <c r="M3719">
        <v>27.081314605995399</v>
      </c>
      <c r="N3719">
        <v>47.906847580439802</v>
      </c>
      <c r="O3719">
        <v>47.408350712945797</v>
      </c>
      <c r="P3719">
        <v>-0.133720341795698</v>
      </c>
      <c r="Q3719">
        <v>6.3650032796844003E-2</v>
      </c>
      <c r="R3719">
        <v>0.99409660263083999</v>
      </c>
      <c r="S3719" t="s">
        <v>10287</v>
      </c>
      <c r="T3719" t="s">
        <v>13134</v>
      </c>
      <c r="U3719" t="s">
        <v>13134</v>
      </c>
      <c r="V3719" t="s">
        <v>13134</v>
      </c>
      <c r="W3719" t="s">
        <v>16798</v>
      </c>
      <c r="X3719">
        <v>15</v>
      </c>
      <c r="Y3719" t="s">
        <v>23190</v>
      </c>
      <c r="Z3719" t="s">
        <v>29687</v>
      </c>
      <c r="AA3719">
        <v>0.40332149404404888</v>
      </c>
      <c r="AB3719" t="str">
        <f>HYPERLINK("Melting_Curves/meltCurve_Q2TAM5_RELA.pdf", "Melting_Curves/meltCurve_Q2TAM5_RELA.pdf")</f>
        <v>Melting_Curves/meltCurve_Q2TAM5_RELA.pdf</v>
      </c>
    </row>
    <row r="3720" spans="1:28" x14ac:dyDescent="0.25">
      <c r="A3720" t="s">
        <v>3724</v>
      </c>
      <c r="B3720">
        <v>0.99472303558308395</v>
      </c>
      <c r="C3720">
        <v>1.00742103506377</v>
      </c>
      <c r="D3720">
        <v>1.15520357928387</v>
      </c>
      <c r="E3720">
        <v>1.08398286743533</v>
      </c>
      <c r="F3720">
        <v>0.55926287251460804</v>
      </c>
      <c r="G3720">
        <v>0.30102373733028098</v>
      </c>
      <c r="H3720">
        <v>8.7986487638547897E-2</v>
      </c>
      <c r="I3720">
        <v>4.9300163568357799E-2</v>
      </c>
      <c r="J3720">
        <v>5.3449932321071703E-2</v>
      </c>
      <c r="K3720">
        <v>3.9462537443404201E-2</v>
      </c>
      <c r="L3720">
        <v>1496.2799506771801</v>
      </c>
      <c r="M3720">
        <v>29.322529546474701</v>
      </c>
      <c r="N3720">
        <v>51.23520783843</v>
      </c>
      <c r="O3720">
        <v>50.792762552871601</v>
      </c>
      <c r="P3720">
        <v>-0.13626806529760199</v>
      </c>
      <c r="Q3720">
        <v>5.5827297089828302E-2</v>
      </c>
      <c r="R3720">
        <v>0.97258848112235896</v>
      </c>
      <c r="S3720" t="s">
        <v>10288</v>
      </c>
      <c r="T3720" t="s">
        <v>13134</v>
      </c>
      <c r="U3720" t="s">
        <v>13134</v>
      </c>
      <c r="V3720" t="s">
        <v>13134</v>
      </c>
      <c r="W3720" t="s">
        <v>16799</v>
      </c>
      <c r="X3720">
        <v>12</v>
      </c>
      <c r="Y3720" t="s">
        <v>23191</v>
      </c>
      <c r="Z3720" t="s">
        <v>29688</v>
      </c>
      <c r="AA3720">
        <v>0.50348503209989814</v>
      </c>
      <c r="AB3720" t="str">
        <f>HYPERLINK("Melting_Curves/meltCurve_Q2TAY7_SMU1.pdf", "Melting_Curves/meltCurve_Q2TAY7_SMU1.pdf")</f>
        <v>Melting_Curves/meltCurve_Q2TAY7_SMU1.pdf</v>
      </c>
    </row>
    <row r="3721" spans="1:28" x14ac:dyDescent="0.25">
      <c r="A3721" t="s">
        <v>3725</v>
      </c>
      <c r="B3721">
        <v>0.99472303558308395</v>
      </c>
      <c r="C3721">
        <v>1.0154355009124201</v>
      </c>
      <c r="D3721">
        <v>0.88157031914356698</v>
      </c>
      <c r="E3721">
        <v>0.70785149507626399</v>
      </c>
      <c r="F3721">
        <v>0.58032240684902203</v>
      </c>
      <c r="G3721">
        <v>0.33651400653666003</v>
      </c>
      <c r="H3721">
        <v>0.18263974303469699</v>
      </c>
      <c r="I3721">
        <v>0.14552866061188699</v>
      </c>
      <c r="J3721">
        <v>0.14926430360454701</v>
      </c>
      <c r="K3721">
        <v>0.11656719090037</v>
      </c>
      <c r="L3721">
        <v>658.60269368663899</v>
      </c>
      <c r="M3721">
        <v>13.1677607397177</v>
      </c>
      <c r="N3721">
        <v>50.666989983312497</v>
      </c>
      <c r="O3721">
        <v>48.904944082870301</v>
      </c>
      <c r="P3721">
        <v>-6.2087158102242399E-2</v>
      </c>
      <c r="Q3721">
        <v>7.7790423263811304E-2</v>
      </c>
      <c r="R3721">
        <v>0.99259876327818397</v>
      </c>
      <c r="S3721" t="s">
        <v>10289</v>
      </c>
      <c r="T3721" t="s">
        <v>13134</v>
      </c>
      <c r="U3721" t="s">
        <v>13134</v>
      </c>
      <c r="V3721" t="s">
        <v>13134</v>
      </c>
      <c r="W3721" t="s">
        <v>16800</v>
      </c>
      <c r="X3721">
        <v>7</v>
      </c>
      <c r="Y3721" t="s">
        <v>23192</v>
      </c>
      <c r="Z3721" t="s">
        <v>29689</v>
      </c>
      <c r="AA3721">
        <v>0.50093014984370388</v>
      </c>
      <c r="AB3721" t="str">
        <f>HYPERLINK("Melting_Curves/meltCurve_Q2TBE0_CWF19L2.pdf", "Melting_Curves/meltCurve_Q2TBE0_CWF19L2.pdf")</f>
        <v>Melting_Curves/meltCurve_Q2TBE0_CWF19L2.pdf</v>
      </c>
    </row>
    <row r="3722" spans="1:28" x14ac:dyDescent="0.25">
      <c r="A3722" t="s">
        <v>3726</v>
      </c>
      <c r="B3722">
        <v>0.99472303558308395</v>
      </c>
      <c r="C3722">
        <v>0.95174330731633805</v>
      </c>
      <c r="D3722">
        <v>0.76127281129108204</v>
      </c>
      <c r="E3722">
        <v>0.61421602099005401</v>
      </c>
      <c r="F3722">
        <v>0.47098702782776097</v>
      </c>
      <c r="G3722">
        <v>0.53344710644345905</v>
      </c>
      <c r="H3722">
        <v>0.49284929479482598</v>
      </c>
      <c r="I3722">
        <v>0.528351626741285</v>
      </c>
      <c r="J3722">
        <v>0.89853485600718996</v>
      </c>
      <c r="K3722">
        <v>0.45276612625720197</v>
      </c>
      <c r="L3722">
        <v>1348.2299329703001</v>
      </c>
      <c r="M3722">
        <v>31.560535448434901</v>
      </c>
      <c r="O3722">
        <v>42.548433222044203</v>
      </c>
      <c r="P3722">
        <v>-8.0620989837546897E-2</v>
      </c>
      <c r="Q3722">
        <v>0.56524445795718503</v>
      </c>
      <c r="R3722">
        <v>0.65102313959022196</v>
      </c>
      <c r="S3722" t="s">
        <v>10290</v>
      </c>
      <c r="T3722" t="s">
        <v>13134</v>
      </c>
      <c r="U3722" t="s">
        <v>13134</v>
      </c>
      <c r="V3722" t="s">
        <v>13134</v>
      </c>
      <c r="W3722" t="s">
        <v>16801</v>
      </c>
      <c r="X3722">
        <v>33</v>
      </c>
      <c r="Y3722" t="s">
        <v>23193</v>
      </c>
      <c r="Z3722" t="s">
        <v>29690</v>
      </c>
      <c r="AA3722">
        <v>0.6503005963295615</v>
      </c>
      <c r="AB3722" t="str">
        <f>HYPERLINK("Melting_Curves/meltCurve_Q32MZ4_2_LRRFIP1.pdf", "Melting_Curves/meltCurve_Q32MZ4_2_LRRFIP1.pdf")</f>
        <v>Melting_Curves/meltCurve_Q32MZ4_2_LRRFIP1.pdf</v>
      </c>
    </row>
    <row r="3723" spans="1:28" x14ac:dyDescent="0.25">
      <c r="A3723" t="s">
        <v>3727</v>
      </c>
      <c r="B3723">
        <v>0.99472303558308395</v>
      </c>
      <c r="C3723">
        <v>1.0870173177537601</v>
      </c>
      <c r="D3723">
        <v>0.91616663235719498</v>
      </c>
      <c r="E3723">
        <v>0.74586927770620304</v>
      </c>
      <c r="F3723">
        <v>0.563091285163827</v>
      </c>
      <c r="G3723">
        <v>0.72466420494435002</v>
      </c>
      <c r="H3723">
        <v>0.69808474112724395</v>
      </c>
      <c r="I3723">
        <v>0.78080267014564697</v>
      </c>
      <c r="J3723">
        <v>1.1678256875470701</v>
      </c>
      <c r="K3723">
        <v>0.95072133499239897</v>
      </c>
      <c r="L3723">
        <v>10762.351775187</v>
      </c>
      <c r="M3723">
        <v>250</v>
      </c>
      <c r="O3723">
        <v>43.046651854330499</v>
      </c>
      <c r="P3723">
        <v>-0.28394044812269498</v>
      </c>
      <c r="Q3723">
        <v>0.80443702866529798</v>
      </c>
      <c r="R3723">
        <v>0.26475684852365899</v>
      </c>
      <c r="S3723" t="s">
        <v>10291</v>
      </c>
      <c r="T3723" t="s">
        <v>13134</v>
      </c>
      <c r="U3723" t="s">
        <v>13134</v>
      </c>
      <c r="V3723" t="s">
        <v>13134</v>
      </c>
      <c r="W3723" t="s">
        <v>16802</v>
      </c>
      <c r="X3723">
        <v>33</v>
      </c>
      <c r="Y3723" t="s">
        <v>23193</v>
      </c>
      <c r="Z3723" t="s">
        <v>29691</v>
      </c>
      <c r="AA3723">
        <v>0.84388647123224747</v>
      </c>
      <c r="AB3723" t="str">
        <f>HYPERLINK("Melting_Curves/meltCurve_Q32MZ4_3_LRRFIP1.pdf", "Melting_Curves/meltCurve_Q32MZ4_3_LRRFIP1.pdf")</f>
        <v>Melting_Curves/meltCurve_Q32MZ4_3_LRRFIP1.pdf</v>
      </c>
    </row>
    <row r="3724" spans="1:28" x14ac:dyDescent="0.25">
      <c r="A3724" t="s">
        <v>3728</v>
      </c>
      <c r="B3724">
        <v>0.99472303558308395</v>
      </c>
      <c r="C3724">
        <v>0.97519433843307302</v>
      </c>
      <c r="D3724">
        <v>0.80063677261499899</v>
      </c>
      <c r="E3724">
        <v>0.38484766652568803</v>
      </c>
      <c r="F3724">
        <v>0.10760852221077299</v>
      </c>
      <c r="G3724">
        <v>7.7636154697963505E-2</v>
      </c>
      <c r="H3724">
        <v>6.0977698399997303E-2</v>
      </c>
      <c r="I3724">
        <v>4.1329168762458499E-2</v>
      </c>
      <c r="J3724">
        <v>6.8274333747668906E-2</v>
      </c>
      <c r="K3724">
        <v>6.8447125975148695E-2</v>
      </c>
      <c r="L3724">
        <v>1150.62726829029</v>
      </c>
      <c r="M3724">
        <v>25.379943707007701</v>
      </c>
      <c r="N3724">
        <v>45.548474277943797</v>
      </c>
      <c r="O3724">
        <v>45.057435041234498</v>
      </c>
      <c r="P3724">
        <v>-0.13296312863253701</v>
      </c>
      <c r="Q3724">
        <v>5.5805367014695802E-2</v>
      </c>
      <c r="R3724">
        <v>0.99907747061054297</v>
      </c>
      <c r="S3724" t="s">
        <v>10292</v>
      </c>
      <c r="T3724" t="s">
        <v>13134</v>
      </c>
      <c r="U3724" t="s">
        <v>13134</v>
      </c>
      <c r="V3724" t="s">
        <v>13134</v>
      </c>
      <c r="W3724" t="s">
        <v>16803</v>
      </c>
      <c r="X3724">
        <v>7</v>
      </c>
      <c r="Y3724" t="s">
        <v>23194</v>
      </c>
      <c r="Z3724" t="s">
        <v>29692</v>
      </c>
      <c r="AA3724">
        <v>0.32569776841999681</v>
      </c>
      <c r="AB3724" t="str">
        <f>HYPERLINK("Melting_Curves/meltCurve_Q32N00_POLD3.pdf", "Melting_Curves/meltCurve_Q32N00_POLD3.pdf")</f>
        <v>Melting_Curves/meltCurve_Q32N00_POLD3.pdf</v>
      </c>
    </row>
    <row r="3725" spans="1:28" x14ac:dyDescent="0.25">
      <c r="A3725" t="s">
        <v>3729</v>
      </c>
      <c r="B3725">
        <v>0.99472303558308395</v>
      </c>
      <c r="C3725">
        <v>0.97381030906798205</v>
      </c>
      <c r="D3725">
        <v>0.98877239620095803</v>
      </c>
      <c r="E3725">
        <v>0.825646715262632</v>
      </c>
      <c r="F3725">
        <v>0.52841383197310399</v>
      </c>
      <c r="G3725">
        <v>0.23067021180698</v>
      </c>
      <c r="H3725">
        <v>7.7109734889620196E-2</v>
      </c>
      <c r="I3725">
        <v>7.8507920881897994E-2</v>
      </c>
      <c r="J3725">
        <v>5.6431110033830903E-2</v>
      </c>
      <c r="K3725">
        <v>9.5601744135887401E-2</v>
      </c>
      <c r="L3725">
        <v>1099.0782626709099</v>
      </c>
      <c r="M3725">
        <v>21.959106876949001</v>
      </c>
      <c r="N3725">
        <v>50.337789647960001</v>
      </c>
      <c r="O3725">
        <v>49.6415993031925</v>
      </c>
      <c r="P3725">
        <v>-0.10409100085409199</v>
      </c>
      <c r="Q3725">
        <v>5.8772730930334603E-2</v>
      </c>
      <c r="R3725">
        <v>0.99764559996735702</v>
      </c>
      <c r="S3725" t="s">
        <v>10293</v>
      </c>
      <c r="T3725" t="s">
        <v>13134</v>
      </c>
      <c r="U3725" t="s">
        <v>13134</v>
      </c>
      <c r="V3725" t="s">
        <v>13134</v>
      </c>
      <c r="W3725" t="s">
        <v>16804</v>
      </c>
      <c r="X3725">
        <v>5</v>
      </c>
      <c r="Y3725" t="s">
        <v>23195</v>
      </c>
      <c r="Z3725" t="s">
        <v>29693</v>
      </c>
      <c r="AA3725">
        <v>0.47873134203734807</v>
      </c>
      <c r="AB3725" t="str">
        <f>HYPERLINK("Melting_Curves/meltCurve_Q32NB8_PGS1.pdf", "Melting_Curves/meltCurve_Q32NB8_PGS1.pdf")</f>
        <v>Melting_Curves/meltCurve_Q32NB8_PGS1.pdf</v>
      </c>
    </row>
    <row r="3726" spans="1:28" x14ac:dyDescent="0.25">
      <c r="A3726" t="s">
        <v>3730</v>
      </c>
      <c r="B3726">
        <v>0.99472303558308395</v>
      </c>
      <c r="C3726">
        <v>0.96245976843421799</v>
      </c>
      <c r="D3726">
        <v>0.77375159763295798</v>
      </c>
      <c r="E3726">
        <v>0.65911900535398704</v>
      </c>
      <c r="F3726">
        <v>0.48520844597476598</v>
      </c>
      <c r="G3726">
        <v>0.15747718607197</v>
      </c>
      <c r="H3726">
        <v>0.10305015012235499</v>
      </c>
      <c r="I3726">
        <v>7.2833577749438494E-2</v>
      </c>
      <c r="J3726">
        <v>0.114649405712187</v>
      </c>
      <c r="K3726">
        <v>6.6671477928901296E-2</v>
      </c>
      <c r="L3726">
        <v>641.44582918484195</v>
      </c>
      <c r="M3726">
        <v>13.239476688837</v>
      </c>
      <c r="N3726">
        <v>48.668676018191597</v>
      </c>
      <c r="O3726">
        <v>47.384153371860798</v>
      </c>
      <c r="P3726">
        <v>-6.7841322593517495E-2</v>
      </c>
      <c r="Q3726">
        <v>2.8942085113721101E-2</v>
      </c>
      <c r="R3726">
        <v>0.98278115725176096</v>
      </c>
      <c r="S3726" t="s">
        <v>10294</v>
      </c>
      <c r="T3726" t="s">
        <v>13134</v>
      </c>
      <c r="U3726" t="s">
        <v>13134</v>
      </c>
      <c r="V3726" t="s">
        <v>13134</v>
      </c>
      <c r="W3726" t="s">
        <v>16805</v>
      </c>
      <c r="X3726">
        <v>14</v>
      </c>
      <c r="Y3726" t="s">
        <v>23196</v>
      </c>
      <c r="Z3726" t="s">
        <v>29694</v>
      </c>
      <c r="AA3726">
        <v>0.42530393366551522</v>
      </c>
      <c r="AB3726" t="str">
        <f>HYPERLINK("Melting_Curves/meltCurve_Q32P28_LEPRE1.pdf", "Melting_Curves/meltCurve_Q32P28_LEPRE1.pdf")</f>
        <v>Melting_Curves/meltCurve_Q32P28_LEPRE1.pdf</v>
      </c>
    </row>
    <row r="3727" spans="1:28" x14ac:dyDescent="0.25">
      <c r="A3727" t="s">
        <v>3731</v>
      </c>
      <c r="B3727">
        <v>0.99472303558308395</v>
      </c>
      <c r="C3727">
        <v>0.98843608999972499</v>
      </c>
      <c r="D3727">
        <v>0.82001683223629496</v>
      </c>
      <c r="E3727">
        <v>0.32691039849144898</v>
      </c>
      <c r="F3727">
        <v>0.16492086918118701</v>
      </c>
      <c r="G3727">
        <v>8.4965067806946001E-2</v>
      </c>
      <c r="H3727">
        <v>7.3576987473548794E-2</v>
      </c>
      <c r="I3727">
        <v>4.7933332714148499E-2</v>
      </c>
      <c r="J3727">
        <v>6.4909046527057895E-2</v>
      </c>
      <c r="K3727">
        <v>4.7022230025390299E-2</v>
      </c>
      <c r="L3727">
        <v>1230.47626783851</v>
      </c>
      <c r="M3727">
        <v>27.2458190762352</v>
      </c>
      <c r="N3727">
        <v>45.3978740020478</v>
      </c>
      <c r="O3727">
        <v>44.920832435041497</v>
      </c>
      <c r="P3727">
        <v>-0.14162703694894799</v>
      </c>
      <c r="Q3727">
        <v>6.5993395719572995E-2</v>
      </c>
      <c r="R3727">
        <v>0.99781016337523398</v>
      </c>
      <c r="S3727" t="s">
        <v>10295</v>
      </c>
      <c r="T3727" t="s">
        <v>13134</v>
      </c>
      <c r="U3727" t="s">
        <v>13134</v>
      </c>
      <c r="V3727" t="s">
        <v>13134</v>
      </c>
      <c r="W3727" t="s">
        <v>16806</v>
      </c>
      <c r="X3727">
        <v>10</v>
      </c>
      <c r="Y3727" t="s">
        <v>23197</v>
      </c>
      <c r="Z3727" t="s">
        <v>29695</v>
      </c>
      <c r="AA3727">
        <v>0.32652105190727199</v>
      </c>
      <c r="AB3727" t="str">
        <f>HYPERLINK("Melting_Curves/meltCurve_Q32P41_TRMT5.pdf", "Melting_Curves/meltCurve_Q32P41_TRMT5.pdf")</f>
        <v>Melting_Curves/meltCurve_Q32P41_TRMT5.pdf</v>
      </c>
    </row>
    <row r="3728" spans="1:28" x14ac:dyDescent="0.25">
      <c r="A3728" t="s">
        <v>3732</v>
      </c>
      <c r="B3728">
        <v>0.99472303558308395</v>
      </c>
      <c r="C3728">
        <v>0.98278409404711498</v>
      </c>
      <c r="D3728">
        <v>0.971256040230147</v>
      </c>
      <c r="E3728">
        <v>0.94026828447092703</v>
      </c>
      <c r="F3728">
        <v>0.804005519552627</v>
      </c>
      <c r="G3728">
        <v>0.667200825297806</v>
      </c>
      <c r="H3728">
        <v>0.57411776538937598</v>
      </c>
      <c r="I3728">
        <v>0.67279703818735603</v>
      </c>
      <c r="J3728">
        <v>1.0585849602561399</v>
      </c>
      <c r="K3728">
        <v>0.64974382930902796</v>
      </c>
      <c r="L3728">
        <v>1832.8885502683599</v>
      </c>
      <c r="M3728">
        <v>37.850010634876902</v>
      </c>
      <c r="O3728">
        <v>48.290466389229103</v>
      </c>
      <c r="P3728">
        <v>-5.3616955086047899E-2</v>
      </c>
      <c r="Q3728">
        <v>0.72637459926188097</v>
      </c>
      <c r="R3728">
        <v>0.479042417745353</v>
      </c>
      <c r="S3728" t="s">
        <v>10296</v>
      </c>
      <c r="T3728" t="s">
        <v>13134</v>
      </c>
      <c r="U3728" t="s">
        <v>13134</v>
      </c>
      <c r="V3728" t="s">
        <v>13134</v>
      </c>
      <c r="W3728" t="s">
        <v>13491</v>
      </c>
      <c r="X3728">
        <v>20</v>
      </c>
      <c r="Y3728" t="s">
        <v>23198</v>
      </c>
      <c r="Z3728" t="s">
        <v>29696</v>
      </c>
      <c r="AA3728">
        <v>0.83160435789486875</v>
      </c>
      <c r="AB3728" t="str">
        <f>HYPERLINK("Melting_Curves/meltCurve_Q32Q12_NME1_NME2.pdf", "Melting_Curves/meltCurve_Q32Q12_NME1_NME2.pdf")</f>
        <v>Melting_Curves/meltCurve_Q32Q12_NME1_NME2.pdf</v>
      </c>
    </row>
    <row r="3729" spans="1:28" x14ac:dyDescent="0.25">
      <c r="A3729" t="s">
        <v>3733</v>
      </c>
      <c r="B3729">
        <v>0.99472303558308395</v>
      </c>
      <c r="C3729">
        <v>0.87452065496612497</v>
      </c>
      <c r="D3729">
        <v>0.86135143721204499</v>
      </c>
      <c r="E3729">
        <v>0.54521522668735001</v>
      </c>
      <c r="F3729">
        <v>0.233004237682366</v>
      </c>
      <c r="G3729">
        <v>0.12579746773651301</v>
      </c>
      <c r="H3729">
        <v>9.0673429610201597E-2</v>
      </c>
      <c r="I3729">
        <v>5.6819971075484602E-2</v>
      </c>
      <c r="J3729">
        <v>6.5440703586801693E-2</v>
      </c>
      <c r="K3729">
        <v>7.7572246425084396E-2</v>
      </c>
      <c r="L3729">
        <v>866.73663455636699</v>
      </c>
      <c r="M3729">
        <v>18.592693514297899</v>
      </c>
      <c r="N3729">
        <v>46.923757089333101</v>
      </c>
      <c r="O3729">
        <v>46.087807500320899</v>
      </c>
      <c r="P3729">
        <v>-9.5088389408284998E-2</v>
      </c>
      <c r="Q3729">
        <v>5.7215369944809302E-2</v>
      </c>
      <c r="R3729">
        <v>0.99316271515632204</v>
      </c>
      <c r="S3729" t="s">
        <v>10297</v>
      </c>
      <c r="T3729" t="s">
        <v>13134</v>
      </c>
      <c r="U3729" t="s">
        <v>13134</v>
      </c>
      <c r="V3729" t="s">
        <v>13134</v>
      </c>
      <c r="W3729" t="s">
        <v>16807</v>
      </c>
      <c r="X3729">
        <v>6</v>
      </c>
      <c r="Y3729" t="s">
        <v>23199</v>
      </c>
      <c r="Z3729" t="s">
        <v>29697</v>
      </c>
      <c r="AA3729">
        <v>0.37368032941329887</v>
      </c>
      <c r="AB3729" t="str">
        <f>HYPERLINK("Melting_Curves/meltCurve_Q3B726_TWISTNB.pdf", "Melting_Curves/meltCurve_Q3B726_TWISTNB.pdf")</f>
        <v>Melting_Curves/meltCurve_Q3B726_TWISTNB.pdf</v>
      </c>
    </row>
    <row r="3730" spans="1:28" x14ac:dyDescent="0.25">
      <c r="A3730" t="s">
        <v>3734</v>
      </c>
      <c r="B3730">
        <v>0.99472303558308395</v>
      </c>
      <c r="C3730">
        <v>0.95706639240957003</v>
      </c>
      <c r="D3730">
        <v>0.83812253487497201</v>
      </c>
      <c r="E3730">
        <v>0.54593421509320705</v>
      </c>
      <c r="F3730">
        <v>0.230393478450411</v>
      </c>
      <c r="G3730">
        <v>0.133422384528396</v>
      </c>
      <c r="H3730">
        <v>0.11341032944240299</v>
      </c>
      <c r="I3730">
        <v>8.4835469034459501E-2</v>
      </c>
      <c r="J3730">
        <v>0.117284005857743</v>
      </c>
      <c r="K3730">
        <v>9.0330247065072602E-2</v>
      </c>
      <c r="L3730">
        <v>957.99081688313595</v>
      </c>
      <c r="M3730">
        <v>20.646019058308902</v>
      </c>
      <c r="N3730">
        <v>46.856116982449699</v>
      </c>
      <c r="O3730">
        <v>45.972038426550696</v>
      </c>
      <c r="P3730">
        <v>-0.102072261971543</v>
      </c>
      <c r="Q3730">
        <v>9.0898220879999506E-2</v>
      </c>
      <c r="R3730">
        <v>0.99859272855467796</v>
      </c>
      <c r="S3730" t="s">
        <v>10298</v>
      </c>
      <c r="T3730" t="s">
        <v>13134</v>
      </c>
      <c r="U3730" t="s">
        <v>13134</v>
      </c>
      <c r="V3730" t="s">
        <v>13134</v>
      </c>
      <c r="W3730" t="s">
        <v>16808</v>
      </c>
      <c r="X3730">
        <v>4</v>
      </c>
      <c r="Y3730" t="s">
        <v>23200</v>
      </c>
      <c r="Z3730" t="s">
        <v>29698</v>
      </c>
      <c r="AA3730">
        <v>0.38692525193853561</v>
      </c>
      <c r="AB3730" t="str">
        <f>HYPERLINK("Melting_Curves/meltCurve_Q3B7T1_5_EDRF1.pdf", "Melting_Curves/meltCurve_Q3B7T1_5_EDRF1.pdf")</f>
        <v>Melting_Curves/meltCurve_Q3B7T1_5_EDRF1.pdf</v>
      </c>
    </row>
    <row r="3731" spans="1:28" x14ac:dyDescent="0.25">
      <c r="A3731" t="s">
        <v>3735</v>
      </c>
      <c r="B3731">
        <v>0.99472303558308395</v>
      </c>
      <c r="C3731">
        <v>0.97022947770582202</v>
      </c>
      <c r="D3731">
        <v>0.70452211870335102</v>
      </c>
      <c r="E3731">
        <v>0.32314803903971001</v>
      </c>
      <c r="F3731">
        <v>0.22113293187672101</v>
      </c>
      <c r="G3731">
        <v>0.10576971440659599</v>
      </c>
      <c r="H3731">
        <v>7.4398319595280801E-2</v>
      </c>
      <c r="I3731">
        <v>6.2223852960730901E-2</v>
      </c>
      <c r="J3731">
        <v>6.4912420527784606E-2</v>
      </c>
      <c r="K3731">
        <v>8.8845822429468799E-2</v>
      </c>
      <c r="L3731">
        <v>935.16547772209503</v>
      </c>
      <c r="M3731">
        <v>20.944241209424199</v>
      </c>
      <c r="N3731">
        <v>45.017122669997697</v>
      </c>
      <c r="O3731">
        <v>44.2491932176764</v>
      </c>
      <c r="P3731">
        <v>-0.109050084696731</v>
      </c>
      <c r="Q3731">
        <v>7.8458774239200793E-2</v>
      </c>
      <c r="R3731">
        <v>0.99470132410540502</v>
      </c>
      <c r="S3731" t="s">
        <v>10299</v>
      </c>
      <c r="T3731" t="s">
        <v>13134</v>
      </c>
      <c r="U3731" t="s">
        <v>13134</v>
      </c>
      <c r="V3731" t="s">
        <v>13134</v>
      </c>
      <c r="W3731" t="s">
        <v>16809</v>
      </c>
      <c r="X3731">
        <v>3</v>
      </c>
      <c r="Y3731" t="s">
        <v>23201</v>
      </c>
      <c r="Z3731" t="s">
        <v>29699</v>
      </c>
      <c r="AA3731">
        <v>0.32448085627678253</v>
      </c>
      <c r="AB3731" t="str">
        <f>HYPERLINK("Melting_Curves/meltCurve_Q3BDU3_PMS1.pdf", "Melting_Curves/meltCurve_Q3BDU3_PMS1.pdf")</f>
        <v>Melting_Curves/meltCurve_Q3BDU3_PMS1.pdf</v>
      </c>
    </row>
    <row r="3732" spans="1:28" x14ac:dyDescent="0.25">
      <c r="A3732" t="s">
        <v>3736</v>
      </c>
      <c r="B3732">
        <v>0.99472303558308395</v>
      </c>
      <c r="C3732">
        <v>0.872477231038565</v>
      </c>
      <c r="D3732">
        <v>0.69192632460798198</v>
      </c>
      <c r="E3732">
        <v>0.58113468500435095</v>
      </c>
      <c r="F3732">
        <v>0.40883083754948801</v>
      </c>
      <c r="G3732">
        <v>0.15004523640063999</v>
      </c>
      <c r="H3732">
        <v>7.5406406963145406E-2</v>
      </c>
      <c r="I3732">
        <v>6.6508470269393702E-2</v>
      </c>
      <c r="J3732">
        <v>5.24370744960896E-2</v>
      </c>
      <c r="K3732">
        <v>6.4466833987886205E-2</v>
      </c>
      <c r="L3732">
        <v>530.59239434963501</v>
      </c>
      <c r="M3732">
        <v>11.220782030875601</v>
      </c>
      <c r="N3732">
        <v>47.286578792330403</v>
      </c>
      <c r="O3732">
        <v>45.859289003905801</v>
      </c>
      <c r="P3732">
        <v>-6.1188745158480197E-2</v>
      </c>
      <c r="Q3732">
        <v>0</v>
      </c>
      <c r="R3732">
        <v>0.98557003564538304</v>
      </c>
      <c r="S3732" t="s">
        <v>10300</v>
      </c>
      <c r="T3732" t="s">
        <v>13134</v>
      </c>
      <c r="U3732" t="s">
        <v>13134</v>
      </c>
      <c r="V3732" t="s">
        <v>13134</v>
      </c>
      <c r="W3732" t="s">
        <v>16810</v>
      </c>
      <c r="X3732">
        <v>6</v>
      </c>
      <c r="Y3732" t="s">
        <v>23202</v>
      </c>
      <c r="Z3732" t="s">
        <v>29700</v>
      </c>
      <c r="AA3732">
        <v>0.37878096809719808</v>
      </c>
      <c r="AB3732" t="str">
        <f>HYPERLINK("Melting_Curves/meltCurve_Q3KQU3_2_MAP7D1.pdf", "Melting_Curves/meltCurve_Q3KQU3_2_MAP7D1.pdf")</f>
        <v>Melting_Curves/meltCurve_Q3KQU3_2_MAP7D1.pdf</v>
      </c>
    </row>
    <row r="3733" spans="1:28" x14ac:dyDescent="0.25">
      <c r="A3733" t="s">
        <v>3737</v>
      </c>
      <c r="B3733">
        <v>0.99472303558308395</v>
      </c>
      <c r="C3733">
        <v>0.871197983935176</v>
      </c>
      <c r="D3733">
        <v>0.78768616792273505</v>
      </c>
      <c r="E3733">
        <v>0.63819555091732305</v>
      </c>
      <c r="F3733">
        <v>0.54911428069850299</v>
      </c>
      <c r="G3733">
        <v>0.245935485238438</v>
      </c>
      <c r="H3733">
        <v>0.19470878240856801</v>
      </c>
      <c r="I3733">
        <v>0.14464675019381601</v>
      </c>
      <c r="J3733">
        <v>0.17230758084411199</v>
      </c>
      <c r="K3733">
        <v>0.101787587742431</v>
      </c>
      <c r="L3733">
        <v>490.875302513051</v>
      </c>
      <c r="M3733">
        <v>10.0388857535669</v>
      </c>
      <c r="N3733">
        <v>49.353852234019399</v>
      </c>
      <c r="O3733">
        <v>47.075952263102003</v>
      </c>
      <c r="P3733">
        <v>-5.0973062352747602E-2</v>
      </c>
      <c r="Q3733">
        <v>4.4333754023515602E-2</v>
      </c>
      <c r="R3733">
        <v>0.98151457645727702</v>
      </c>
      <c r="S3733" t="s">
        <v>10301</v>
      </c>
      <c r="T3733" t="s">
        <v>13134</v>
      </c>
      <c r="U3733" t="s">
        <v>13134</v>
      </c>
      <c r="V3733" t="s">
        <v>13134</v>
      </c>
      <c r="W3733" t="s">
        <v>16811</v>
      </c>
      <c r="X3733">
        <v>7</v>
      </c>
      <c r="Y3733" t="s">
        <v>23203</v>
      </c>
      <c r="Z3733" t="s">
        <v>29701</v>
      </c>
      <c r="AA3733">
        <v>0.45895937099748169</v>
      </c>
      <c r="AB3733" t="str">
        <f>HYPERLINK("Melting_Curves/meltCurve_Q3KQV9_UAP1L1.pdf", "Melting_Curves/meltCurve_Q3KQV9_UAP1L1.pdf")</f>
        <v>Melting_Curves/meltCurve_Q3KQV9_UAP1L1.pdf</v>
      </c>
    </row>
    <row r="3734" spans="1:28" x14ac:dyDescent="0.25">
      <c r="A3734" t="s">
        <v>3738</v>
      </c>
      <c r="B3734">
        <v>0.99472303558308395</v>
      </c>
      <c r="C3734">
        <v>1.35263204793583</v>
      </c>
      <c r="D3734">
        <v>1.1069468663063</v>
      </c>
      <c r="E3734">
        <v>0.910599529199695</v>
      </c>
      <c r="F3734">
        <v>0.37474047955093798</v>
      </c>
      <c r="G3734">
        <v>0.30277139607780801</v>
      </c>
      <c r="H3734">
        <v>0.18776291435046999</v>
      </c>
      <c r="I3734">
        <v>0.313307914855666</v>
      </c>
      <c r="J3734">
        <v>0.32292806516938</v>
      </c>
      <c r="K3734">
        <v>0.177791383885745</v>
      </c>
      <c r="L3734">
        <v>2398.3107077439799</v>
      </c>
      <c r="M3734">
        <v>49.449333223508702</v>
      </c>
      <c r="N3734">
        <v>49.228488534937</v>
      </c>
      <c r="O3734">
        <v>48.421242176938897</v>
      </c>
      <c r="P3734">
        <v>-0.189086378566375</v>
      </c>
      <c r="Q3734">
        <v>0.25938017167035998</v>
      </c>
      <c r="R3734">
        <v>0.90920781387299199</v>
      </c>
      <c r="S3734" t="s">
        <v>10302</v>
      </c>
      <c r="T3734" t="s">
        <v>13134</v>
      </c>
      <c r="U3734" t="s">
        <v>13134</v>
      </c>
      <c r="V3734" t="s">
        <v>13134</v>
      </c>
      <c r="W3734" t="s">
        <v>16812</v>
      </c>
      <c r="X3734">
        <v>2</v>
      </c>
      <c r="Y3734" t="s">
        <v>23204</v>
      </c>
      <c r="Z3734" t="s">
        <v>29702</v>
      </c>
      <c r="AA3734">
        <v>0.54491354611788201</v>
      </c>
      <c r="AB3734" t="str">
        <f>HYPERLINK("Melting_Curves/meltCurve_Q3KRA9_ALKBH6.pdf", "Melting_Curves/meltCurve_Q3KRA9_ALKBH6.pdf")</f>
        <v>Melting_Curves/meltCurve_Q3KRA9_ALKBH6.pdf</v>
      </c>
    </row>
    <row r="3735" spans="1:28" x14ac:dyDescent="0.25">
      <c r="A3735" t="s">
        <v>3739</v>
      </c>
      <c r="B3735">
        <v>0.99472303558308395</v>
      </c>
      <c r="C3735">
        <v>1.00555923969217</v>
      </c>
      <c r="D3735">
        <v>0.97844237228315101</v>
      </c>
      <c r="E3735">
        <v>0.91918941101666096</v>
      </c>
      <c r="F3735">
        <v>0.79570941487593705</v>
      </c>
      <c r="G3735">
        <v>0.56674672058155695</v>
      </c>
      <c r="H3735">
        <v>0.29908307579156101</v>
      </c>
      <c r="I3735">
        <v>8.2216040542003002E-2</v>
      </c>
      <c r="J3735">
        <v>6.5314529565148896E-2</v>
      </c>
      <c r="K3735">
        <v>6.1365671874868299E-2</v>
      </c>
      <c r="L3735">
        <v>938.37182870771301</v>
      </c>
      <c r="M3735">
        <v>17.2636248712281</v>
      </c>
      <c r="N3735">
        <v>54.355435371955501</v>
      </c>
      <c r="O3735">
        <v>53.641819517205199</v>
      </c>
      <c r="P3735">
        <v>-8.0462542096304795E-2</v>
      </c>
      <c r="Q3735">
        <v>0</v>
      </c>
      <c r="R3735">
        <v>0.99683488975579204</v>
      </c>
      <c r="S3735" t="s">
        <v>10303</v>
      </c>
      <c r="T3735" t="s">
        <v>13134</v>
      </c>
      <c r="U3735" t="s">
        <v>13134</v>
      </c>
      <c r="V3735" t="s">
        <v>13134</v>
      </c>
      <c r="W3735" t="s">
        <v>16813</v>
      </c>
      <c r="X3735">
        <v>22</v>
      </c>
      <c r="Y3735" t="s">
        <v>23205</v>
      </c>
      <c r="Z3735" t="s">
        <v>29703</v>
      </c>
      <c r="AA3735">
        <v>0.59241754980967964</v>
      </c>
      <c r="AB3735" t="str">
        <f>HYPERLINK("Melting_Curves/meltCurve_Q3LXA3_DAK.pdf", "Melting_Curves/meltCurve_Q3LXA3_DAK.pdf")</f>
        <v>Melting_Curves/meltCurve_Q3LXA3_DAK.pdf</v>
      </c>
    </row>
    <row r="3736" spans="1:28" x14ac:dyDescent="0.25">
      <c r="A3736" t="s">
        <v>3740</v>
      </c>
      <c r="B3736">
        <v>0.99472303558308395</v>
      </c>
      <c r="C3736">
        <v>0.88441389914461299</v>
      </c>
      <c r="D3736">
        <v>0.879256000428701</v>
      </c>
      <c r="E3736">
        <v>0.78069342773845296</v>
      </c>
      <c r="F3736">
        <v>0.56971131211801196</v>
      </c>
      <c r="G3736">
        <v>0.35646195230841599</v>
      </c>
      <c r="H3736">
        <v>0.13030966902359101</v>
      </c>
      <c r="I3736">
        <v>5.7824579185949299E-2</v>
      </c>
      <c r="J3736">
        <v>5.6312943366444899E-2</v>
      </c>
      <c r="K3736">
        <v>5.5876392772132702E-2</v>
      </c>
      <c r="L3736">
        <v>678.08647775455302</v>
      </c>
      <c r="M3736">
        <v>13.3367539142728</v>
      </c>
      <c r="N3736">
        <v>50.843443355642897</v>
      </c>
      <c r="O3736">
        <v>49.741132457519598</v>
      </c>
      <c r="P3736">
        <v>-6.7041523852832505E-2</v>
      </c>
      <c r="Q3736">
        <v>0</v>
      </c>
      <c r="R3736">
        <v>0.98831058366741498</v>
      </c>
      <c r="S3736" t="s">
        <v>10304</v>
      </c>
      <c r="T3736" t="s">
        <v>13134</v>
      </c>
      <c r="U3736" t="s">
        <v>13134</v>
      </c>
      <c r="V3736" t="s">
        <v>13134</v>
      </c>
      <c r="W3736" t="s">
        <v>16814</v>
      </c>
      <c r="X3736">
        <v>5</v>
      </c>
      <c r="Y3736" t="s">
        <v>23206</v>
      </c>
      <c r="Z3736" t="s">
        <v>29704</v>
      </c>
      <c r="AA3736">
        <v>0.48492503488573913</v>
      </c>
      <c r="AB3736" t="str">
        <f>HYPERLINK("Melting_Curves/meltCurve_Q3MHD2_LSM12.pdf", "Melting_Curves/meltCurve_Q3MHD2_LSM12.pdf")</f>
        <v>Melting_Curves/meltCurve_Q3MHD2_LSM12.pdf</v>
      </c>
    </row>
    <row r="3737" spans="1:28" x14ac:dyDescent="0.25">
      <c r="A3737" t="s">
        <v>3741</v>
      </c>
      <c r="B3737">
        <v>0.99472303558308395</v>
      </c>
      <c r="C3737">
        <v>1.02071896337364</v>
      </c>
      <c r="D3737">
        <v>0.95506088002129597</v>
      </c>
      <c r="E3737">
        <v>0.69234646848731696</v>
      </c>
      <c r="F3737">
        <v>0.339754277441501</v>
      </c>
      <c r="G3737">
        <v>0.191713007445939</v>
      </c>
      <c r="H3737">
        <v>0.121932492344548</v>
      </c>
      <c r="I3737">
        <v>0.13522141619406999</v>
      </c>
      <c r="J3737">
        <v>0.12342261196312899</v>
      </c>
      <c r="K3737">
        <v>9.0121592530510594E-2</v>
      </c>
      <c r="L3737">
        <v>1125.5600070965399</v>
      </c>
      <c r="M3737">
        <v>23.486800044102299</v>
      </c>
      <c r="N3737">
        <v>48.455664760901001</v>
      </c>
      <c r="O3737">
        <v>47.5797295622028</v>
      </c>
      <c r="P3737">
        <v>-0.10937106360181401</v>
      </c>
      <c r="Q3737">
        <v>0.11375650438182699</v>
      </c>
      <c r="R3737">
        <v>0.99846069012306504</v>
      </c>
      <c r="S3737" t="s">
        <v>10305</v>
      </c>
      <c r="T3737" t="s">
        <v>13134</v>
      </c>
      <c r="U3737" t="s">
        <v>13134</v>
      </c>
      <c r="V3737" t="s">
        <v>13134</v>
      </c>
      <c r="W3737" t="s">
        <v>16815</v>
      </c>
      <c r="X3737">
        <v>6</v>
      </c>
      <c r="Y3737" t="s">
        <v>23207</v>
      </c>
      <c r="Z3737" t="s">
        <v>29705</v>
      </c>
      <c r="AA3737">
        <v>0.44497296430566408</v>
      </c>
      <c r="AB3737" t="str">
        <f>HYPERLINK("Melting_Curves/meltCurve_Q3MIT2_PUS10.pdf", "Melting_Curves/meltCurve_Q3MIT2_PUS10.pdf")</f>
        <v>Melting_Curves/meltCurve_Q3MIT2_PUS10.pdf</v>
      </c>
    </row>
    <row r="3738" spans="1:28" x14ac:dyDescent="0.25">
      <c r="A3738" t="s">
        <v>3742</v>
      </c>
      <c r="B3738">
        <v>0.99472303558308395</v>
      </c>
      <c r="C3738">
        <v>0.971612971697977</v>
      </c>
      <c r="D3738">
        <v>0.974179186620455</v>
      </c>
      <c r="E3738">
        <v>0.93887066513620998</v>
      </c>
      <c r="F3738">
        <v>0.71456691257260196</v>
      </c>
      <c r="G3738">
        <v>0.61706337225713703</v>
      </c>
      <c r="H3738">
        <v>0.49987657356162601</v>
      </c>
      <c r="I3738">
        <v>0.44022022201777</v>
      </c>
      <c r="J3738">
        <v>0.24593622172513699</v>
      </c>
      <c r="K3738">
        <v>0.17028281965980999</v>
      </c>
      <c r="L3738">
        <v>517.91525945056105</v>
      </c>
      <c r="M3738">
        <v>9.0635771877297202</v>
      </c>
      <c r="N3738">
        <v>57.142468010062501</v>
      </c>
      <c r="O3738">
        <v>54.566680889618503</v>
      </c>
      <c r="P3738">
        <v>-4.15545993434977E-2</v>
      </c>
      <c r="Q3738">
        <v>0</v>
      </c>
      <c r="R3738">
        <v>0.98126143823676704</v>
      </c>
      <c r="S3738" t="s">
        <v>10306</v>
      </c>
      <c r="T3738" t="s">
        <v>13134</v>
      </c>
      <c r="U3738" t="s">
        <v>13134</v>
      </c>
      <c r="V3738" t="s">
        <v>13134</v>
      </c>
      <c r="W3738" t="s">
        <v>16816</v>
      </c>
      <c r="X3738">
        <v>10</v>
      </c>
      <c r="Y3738" t="s">
        <v>23208</v>
      </c>
      <c r="Z3738" t="s">
        <v>29706</v>
      </c>
      <c r="AA3738">
        <v>0.66539588296686425</v>
      </c>
      <c r="AB3738" t="str">
        <f>HYPERLINK("Melting_Curves/meltCurve_Q3SXM5_HSDL1.pdf", "Melting_Curves/meltCurve_Q3SXM5_HSDL1.pdf")</f>
        <v>Melting_Curves/meltCurve_Q3SXM5_HSDL1.pdf</v>
      </c>
    </row>
    <row r="3739" spans="1:28" x14ac:dyDescent="0.25">
      <c r="A3739" t="s">
        <v>3743</v>
      </c>
      <c r="B3739">
        <v>0.99472303558308395</v>
      </c>
      <c r="C3739">
        <v>1.28342204062901</v>
      </c>
      <c r="D3739">
        <v>1.0132909564749699</v>
      </c>
      <c r="E3739">
        <v>0.843488955801033</v>
      </c>
      <c r="F3739">
        <v>0.58371239290293497</v>
      </c>
      <c r="G3739">
        <v>0.496187123325736</v>
      </c>
      <c r="H3739">
        <v>0.37564250741327199</v>
      </c>
      <c r="I3739">
        <v>0.32180478330657902</v>
      </c>
      <c r="J3739">
        <v>0.13001145566529501</v>
      </c>
      <c r="K3739">
        <v>0.249318887098393</v>
      </c>
      <c r="L3739">
        <v>805.47116081644901</v>
      </c>
      <c r="M3739">
        <v>15.777858504547201</v>
      </c>
      <c r="N3739">
        <v>52.900433946145803</v>
      </c>
      <c r="O3739">
        <v>50.2517509862233</v>
      </c>
      <c r="P3739">
        <v>-6.1857548786578502E-2</v>
      </c>
      <c r="Q3739">
        <v>0.21201152343580201</v>
      </c>
      <c r="R3739">
        <v>0.91404453660434304</v>
      </c>
      <c r="S3739" t="s">
        <v>10307</v>
      </c>
      <c r="T3739" t="s">
        <v>13134</v>
      </c>
      <c r="U3739" t="s">
        <v>13134</v>
      </c>
      <c r="V3739" t="s">
        <v>13134</v>
      </c>
      <c r="W3739" t="s">
        <v>16817</v>
      </c>
      <c r="X3739">
        <v>1</v>
      </c>
      <c r="Y3739" t="s">
        <v>23209</v>
      </c>
      <c r="Z3739" t="s">
        <v>29707</v>
      </c>
      <c r="AA3739">
        <v>0.59586586751159343</v>
      </c>
      <c r="AB3739" t="str">
        <f>HYPERLINK("Melting_Curves/meltCurve_Q3SY56_SP6.pdf", "Melting_Curves/meltCurve_Q3SY56_SP6.pdf")</f>
        <v>Melting_Curves/meltCurve_Q3SY56_SP6.pdf</v>
      </c>
    </row>
    <row r="3740" spans="1:28" x14ac:dyDescent="0.25">
      <c r="A3740" t="s">
        <v>3744</v>
      </c>
      <c r="B3740">
        <v>0.99472303558308395</v>
      </c>
      <c r="C3740">
        <v>0.93328043877825895</v>
      </c>
      <c r="D3740">
        <v>0.83487138216774603</v>
      </c>
      <c r="E3740">
        <v>0.48671549171622702</v>
      </c>
      <c r="F3740">
        <v>0.138620976998752</v>
      </c>
      <c r="G3740">
        <v>7.7126460142061204E-2</v>
      </c>
      <c r="H3740">
        <v>4.6006492845621499E-2</v>
      </c>
      <c r="I3740">
        <v>3.16886313556883E-2</v>
      </c>
      <c r="J3740">
        <v>4.2669321631511499E-2</v>
      </c>
      <c r="K3740">
        <v>3.2622407301998099E-2</v>
      </c>
      <c r="L3740">
        <v>1017.97668449737</v>
      </c>
      <c r="M3740">
        <v>22.054291009724</v>
      </c>
      <c r="N3740">
        <v>46.289219002801602</v>
      </c>
      <c r="O3740">
        <v>45.783276313531097</v>
      </c>
      <c r="P3740">
        <v>-0.11677453096948601</v>
      </c>
      <c r="Q3740">
        <v>3.0355779426303998E-2</v>
      </c>
      <c r="R3740">
        <v>0.99796098285341195</v>
      </c>
      <c r="S3740" t="s">
        <v>10308</v>
      </c>
      <c r="T3740" t="s">
        <v>13134</v>
      </c>
      <c r="U3740" t="s">
        <v>13134</v>
      </c>
      <c r="V3740" t="s">
        <v>13134</v>
      </c>
      <c r="W3740" t="s">
        <v>16818</v>
      </c>
      <c r="X3740">
        <v>34</v>
      </c>
      <c r="Y3740" t="s">
        <v>23210</v>
      </c>
      <c r="Z3740" t="s">
        <v>29708</v>
      </c>
      <c r="AA3740">
        <v>0.33674482845705911</v>
      </c>
      <c r="AB3740" t="str">
        <f>HYPERLINK("Melting_Curves/meltCurve_Q3V6T2_2_CCDC88A.pdf", "Melting_Curves/meltCurve_Q3V6T2_2_CCDC88A.pdf")</f>
        <v>Melting_Curves/meltCurve_Q3V6T2_2_CCDC88A.pdf</v>
      </c>
    </row>
    <row r="3741" spans="1:28" x14ac:dyDescent="0.25">
      <c r="A3741" t="s">
        <v>3745</v>
      </c>
      <c r="B3741">
        <v>0.99472303558308395</v>
      </c>
      <c r="C3741">
        <v>1.0720001366985501</v>
      </c>
      <c r="D3741">
        <v>0.71192460126291701</v>
      </c>
      <c r="E3741">
        <v>0.59699523004213895</v>
      </c>
      <c r="F3741">
        <v>0.192950841475097</v>
      </c>
      <c r="G3741">
        <v>0.118530369127981</v>
      </c>
      <c r="H3741">
        <v>7.4636040629265696E-2</v>
      </c>
      <c r="I3741">
        <v>7.6652760432585204E-2</v>
      </c>
      <c r="J3741">
        <v>0.11102160559900601</v>
      </c>
      <c r="K3741">
        <v>2.90427004362383E-2</v>
      </c>
      <c r="L3741">
        <v>865.08038521109995</v>
      </c>
      <c r="M3741">
        <v>18.6252230557646</v>
      </c>
      <c r="N3741">
        <v>46.746853033546401</v>
      </c>
      <c r="O3741">
        <v>45.921217787984801</v>
      </c>
      <c r="P3741">
        <v>-9.5687533886057899E-2</v>
      </c>
      <c r="Q3741">
        <v>5.6355225680047201E-2</v>
      </c>
      <c r="R3741">
        <v>0.97364906393230999</v>
      </c>
      <c r="S3741" t="s">
        <v>10309</v>
      </c>
      <c r="T3741" t="s">
        <v>13134</v>
      </c>
      <c r="U3741" t="s">
        <v>13134</v>
      </c>
      <c r="V3741" t="s">
        <v>13134</v>
      </c>
      <c r="W3741" t="s">
        <v>16819</v>
      </c>
      <c r="X3741">
        <v>33</v>
      </c>
      <c r="Y3741" t="s">
        <v>23210</v>
      </c>
      <c r="Z3741" t="s">
        <v>29709</v>
      </c>
      <c r="AA3741">
        <v>0.36771094708832741</v>
      </c>
      <c r="AB3741" t="str">
        <f>HYPERLINK("Melting_Curves/meltCurve_Q3V6T2_5_CCDC88A.pdf", "Melting_Curves/meltCurve_Q3V6T2_5_CCDC88A.pdf")</f>
        <v>Melting_Curves/meltCurve_Q3V6T2_5_CCDC88A.pdf</v>
      </c>
    </row>
    <row r="3742" spans="1:28" x14ac:dyDescent="0.25">
      <c r="A3742" t="s">
        <v>3746</v>
      </c>
      <c r="B3742">
        <v>0.99472303558308395</v>
      </c>
      <c r="C3742">
        <v>0.99068527252405503</v>
      </c>
      <c r="D3742">
        <v>1.0029251846190199</v>
      </c>
      <c r="E3742">
        <v>0.85687847111009496</v>
      </c>
      <c r="F3742">
        <v>0.735003543459127</v>
      </c>
      <c r="G3742">
        <v>0.58683138766473497</v>
      </c>
      <c r="H3742">
        <v>0.27171983290128798</v>
      </c>
      <c r="I3742">
        <v>6.8041526108791703E-2</v>
      </c>
      <c r="J3742">
        <v>7.4025475444099695E-2</v>
      </c>
      <c r="K3742">
        <v>7.6815883190005305E-2</v>
      </c>
      <c r="L3742">
        <v>839.16097629722901</v>
      </c>
      <c r="M3742">
        <v>15.5557486579089</v>
      </c>
      <c r="N3742">
        <v>53.945393211108303</v>
      </c>
      <c r="O3742">
        <v>53.077493009231397</v>
      </c>
      <c r="P3742">
        <v>-7.3275482767839004E-2</v>
      </c>
      <c r="Q3742">
        <v>0</v>
      </c>
      <c r="R3742">
        <v>0.98811545046960003</v>
      </c>
      <c r="S3742" t="s">
        <v>10310</v>
      </c>
      <c r="T3742" t="s">
        <v>13134</v>
      </c>
      <c r="U3742" t="s">
        <v>13134</v>
      </c>
      <c r="V3742" t="s">
        <v>13134</v>
      </c>
      <c r="W3742" t="s">
        <v>16820</v>
      </c>
      <c r="X3742">
        <v>21</v>
      </c>
      <c r="Y3742" t="s">
        <v>23211</v>
      </c>
      <c r="Z3742" t="s">
        <v>29710</v>
      </c>
      <c r="AA3742">
        <v>0.58069213390699359</v>
      </c>
      <c r="AB3742" t="str">
        <f>HYPERLINK("Melting_Curves/meltCurve_Q3YEC7_RABL6.pdf", "Melting_Curves/meltCurve_Q3YEC7_RABL6.pdf")</f>
        <v>Melting_Curves/meltCurve_Q3YEC7_RABL6.pdf</v>
      </c>
    </row>
    <row r="3743" spans="1:28" x14ac:dyDescent="0.25">
      <c r="A3743" t="s">
        <v>3747</v>
      </c>
      <c r="B3743">
        <v>0.99472303558308395</v>
      </c>
      <c r="C3743">
        <v>1.06102635445806</v>
      </c>
      <c r="D3743">
        <v>0.85895833469128102</v>
      </c>
      <c r="E3743">
        <v>0.74162257583198399</v>
      </c>
      <c r="F3743">
        <v>0.96526881406752196</v>
      </c>
      <c r="G3743">
        <v>0.36921564800649498</v>
      </c>
      <c r="H3743">
        <v>0.28651890594951701</v>
      </c>
      <c r="I3743">
        <v>0.19421240011230601</v>
      </c>
      <c r="J3743">
        <v>0.18486986919814</v>
      </c>
      <c r="K3743">
        <v>0.31605659923504498</v>
      </c>
      <c r="L3743">
        <v>3340.3827915771399</v>
      </c>
      <c r="M3743">
        <v>63.680389754275602</v>
      </c>
      <c r="N3743">
        <v>53.012932751381101</v>
      </c>
      <c r="O3743">
        <v>52.403782263714398</v>
      </c>
      <c r="P3743">
        <v>-0.229651420237974</v>
      </c>
      <c r="Q3743">
        <v>0.24406247050029201</v>
      </c>
      <c r="R3743">
        <v>0.91100911048901601</v>
      </c>
      <c r="S3743" t="s">
        <v>10311</v>
      </c>
      <c r="T3743" t="s">
        <v>13134</v>
      </c>
      <c r="U3743" t="s">
        <v>13134</v>
      </c>
      <c r="V3743" t="s">
        <v>13134</v>
      </c>
      <c r="W3743" t="s">
        <v>16821</v>
      </c>
      <c r="X3743">
        <v>1</v>
      </c>
      <c r="Y3743" t="s">
        <v>23212</v>
      </c>
      <c r="Z3743" t="s">
        <v>29711</v>
      </c>
      <c r="AA3743">
        <v>0.63458330815667996</v>
      </c>
      <c r="AB3743" t="str">
        <f>HYPERLINK("Melting_Curves/meltCurve_Q3ZAQ7_VMA21.pdf", "Melting_Curves/meltCurve_Q3ZAQ7_VMA21.pdf")</f>
        <v>Melting_Curves/meltCurve_Q3ZAQ7_VMA21.pdf</v>
      </c>
    </row>
    <row r="3744" spans="1:28" x14ac:dyDescent="0.25">
      <c r="A3744" t="s">
        <v>3748</v>
      </c>
      <c r="B3744">
        <v>0.99472303558308395</v>
      </c>
      <c r="C3744">
        <v>1.17688196753722</v>
      </c>
      <c r="D3744">
        <v>0.90838920798290002</v>
      </c>
      <c r="E3744">
        <v>0.99888259837113302</v>
      </c>
      <c r="F3744">
        <v>0.832313490321271</v>
      </c>
      <c r="G3744">
        <v>0.62881246387052003</v>
      </c>
      <c r="H3744">
        <v>0.35495160890407701</v>
      </c>
      <c r="I3744">
        <v>0.192271791031178</v>
      </c>
      <c r="J3744">
        <v>8.2926941725113806E-2</v>
      </c>
      <c r="K3744">
        <v>8.3936140841348095E-2</v>
      </c>
      <c r="L3744">
        <v>955.22564553500604</v>
      </c>
      <c r="M3744">
        <v>17.303816857530101</v>
      </c>
      <c r="N3744">
        <v>55.3691932794178</v>
      </c>
      <c r="O3744">
        <v>54.481722720470998</v>
      </c>
      <c r="P3744">
        <v>-7.7399138616272303E-2</v>
      </c>
      <c r="Q3744">
        <v>2.5279703885639899E-2</v>
      </c>
      <c r="R3744">
        <v>0.97317737464430798</v>
      </c>
      <c r="S3744" t="s">
        <v>10312</v>
      </c>
      <c r="T3744" t="s">
        <v>13134</v>
      </c>
      <c r="U3744" t="s">
        <v>13134</v>
      </c>
      <c r="V3744" t="s">
        <v>13134</v>
      </c>
      <c r="W3744" t="s">
        <v>16822</v>
      </c>
      <c r="X3744">
        <v>12</v>
      </c>
      <c r="Y3744" t="s">
        <v>23213</v>
      </c>
      <c r="Z3744" t="s">
        <v>29712</v>
      </c>
      <c r="AA3744">
        <v>0.62905310837093109</v>
      </c>
      <c r="AB3744" t="str">
        <f>HYPERLINK("Melting_Curves/meltCurve_Q3ZCM7_TUBB8.pdf", "Melting_Curves/meltCurve_Q3ZCM7_TUBB8.pdf")</f>
        <v>Melting_Curves/meltCurve_Q3ZCM7_TUBB8.pdf</v>
      </c>
    </row>
    <row r="3745" spans="1:28" x14ac:dyDescent="0.25">
      <c r="A3745" t="s">
        <v>3749</v>
      </c>
      <c r="B3745">
        <v>0.99472303558308395</v>
      </c>
      <c r="C3745">
        <v>0.94188015690037197</v>
      </c>
      <c r="D3745">
        <v>0.76143859171697204</v>
      </c>
      <c r="E3745">
        <v>0.58012226539483702</v>
      </c>
      <c r="F3745">
        <v>0.39925616809980602</v>
      </c>
      <c r="G3745">
        <v>0.252962232873365</v>
      </c>
      <c r="H3745">
        <v>0.16827053469991099</v>
      </c>
      <c r="I3745">
        <v>0.18072290749164199</v>
      </c>
      <c r="J3745">
        <v>0.18622640607094501</v>
      </c>
      <c r="K3745">
        <v>0.123603724476309</v>
      </c>
      <c r="L3745">
        <v>621.21190017623996</v>
      </c>
      <c r="M3745">
        <v>13.2862689384009</v>
      </c>
      <c r="N3745">
        <v>47.843780372401298</v>
      </c>
      <c r="O3745">
        <v>45.734809538212197</v>
      </c>
      <c r="P3745">
        <v>-6.3168852571110504E-2</v>
      </c>
      <c r="Q3745">
        <v>0.130366402621098</v>
      </c>
      <c r="R3745">
        <v>0.99512453404505996</v>
      </c>
      <c r="S3745" t="s">
        <v>10313</v>
      </c>
      <c r="T3745" t="s">
        <v>13134</v>
      </c>
      <c r="U3745" t="s">
        <v>13134</v>
      </c>
      <c r="V3745" t="s">
        <v>13134</v>
      </c>
      <c r="W3745" t="s">
        <v>16823</v>
      </c>
      <c r="X3745">
        <v>13</v>
      </c>
      <c r="Y3745" t="s">
        <v>23214</v>
      </c>
      <c r="Z3745" t="s">
        <v>29713</v>
      </c>
      <c r="AA3745">
        <v>0.43756453326265332</v>
      </c>
      <c r="AB3745" t="str">
        <f>HYPERLINK("Melting_Curves/meltCurve_Q3ZCQ8_TIMM50.pdf", "Melting_Curves/meltCurve_Q3ZCQ8_TIMM50.pdf")</f>
        <v>Melting_Curves/meltCurve_Q3ZCQ8_TIMM50.pdf</v>
      </c>
    </row>
    <row r="3746" spans="1:28" x14ac:dyDescent="0.25">
      <c r="A3746" t="s">
        <v>3750</v>
      </c>
      <c r="B3746">
        <v>0.99472303558308395</v>
      </c>
      <c r="C3746">
        <v>0.98264939376071303</v>
      </c>
      <c r="D3746">
        <v>0.73698057234077496</v>
      </c>
      <c r="E3746">
        <v>0.53083984411178597</v>
      </c>
      <c r="F3746">
        <v>0.50006579157676301</v>
      </c>
      <c r="G3746">
        <v>0.20009062125523699</v>
      </c>
      <c r="H3746">
        <v>0.13435922050305499</v>
      </c>
      <c r="I3746">
        <v>0.10028152388556601</v>
      </c>
      <c r="J3746">
        <v>0.114823551823401</v>
      </c>
      <c r="K3746">
        <v>0.15046260158006999</v>
      </c>
      <c r="L3746">
        <v>586.61377625239504</v>
      </c>
      <c r="M3746">
        <v>12.4089535850707</v>
      </c>
      <c r="N3746">
        <v>47.937425442396503</v>
      </c>
      <c r="O3746">
        <v>46.096054008137003</v>
      </c>
      <c r="P3746">
        <v>-6.1998587499792701E-2</v>
      </c>
      <c r="Q3746">
        <v>7.8960088339986495E-2</v>
      </c>
      <c r="R3746">
        <v>0.97244688781467803</v>
      </c>
      <c r="S3746" t="s">
        <v>10314</v>
      </c>
      <c r="T3746" t="s">
        <v>13134</v>
      </c>
      <c r="U3746" t="s">
        <v>13134</v>
      </c>
      <c r="V3746" t="s">
        <v>13134</v>
      </c>
      <c r="W3746" t="s">
        <v>16824</v>
      </c>
      <c r="X3746">
        <v>3</v>
      </c>
      <c r="Y3746" t="s">
        <v>23215</v>
      </c>
      <c r="Z3746" t="s">
        <v>29714</v>
      </c>
      <c r="AA3746">
        <v>0.42270498421116848</v>
      </c>
      <c r="AB3746" t="str">
        <f>HYPERLINK("Melting_Curves/meltCurve_Q49AN0_CRY2.pdf", "Melting_Curves/meltCurve_Q49AN0_CRY2.pdf")</f>
        <v>Melting_Curves/meltCurve_Q49AN0_CRY2.pdf</v>
      </c>
    </row>
    <row r="3747" spans="1:28" x14ac:dyDescent="0.25">
      <c r="A3747" t="s">
        <v>3751</v>
      </c>
      <c r="B3747">
        <v>0.99472303558308395</v>
      </c>
      <c r="C3747">
        <v>1.01105888877595</v>
      </c>
      <c r="D3747">
        <v>0.95362256215802299</v>
      </c>
      <c r="E3747">
        <v>0.92130908596973904</v>
      </c>
      <c r="F3747">
        <v>0.64854185987495805</v>
      </c>
      <c r="G3747">
        <v>0.33029653578815998</v>
      </c>
      <c r="H3747">
        <v>0.173248042234802</v>
      </c>
      <c r="I3747">
        <v>0.111225646420523</v>
      </c>
      <c r="J3747">
        <v>9.5737125281912999E-2</v>
      </c>
      <c r="K3747">
        <v>8.0336849001653596E-2</v>
      </c>
      <c r="L3747">
        <v>1099.30256768655</v>
      </c>
      <c r="M3747">
        <v>21.402972120389599</v>
      </c>
      <c r="N3747">
        <v>51.785187144061297</v>
      </c>
      <c r="O3747">
        <v>50.920072579944502</v>
      </c>
      <c r="P3747">
        <v>-9.6655526202560293E-2</v>
      </c>
      <c r="Q3747">
        <v>8.0205519077439294E-2</v>
      </c>
      <c r="R3747">
        <v>0.99899958923306398</v>
      </c>
      <c r="S3747" t="s">
        <v>10315</v>
      </c>
      <c r="T3747" t="s">
        <v>13134</v>
      </c>
      <c r="U3747" t="s">
        <v>13134</v>
      </c>
      <c r="V3747" t="s">
        <v>13134</v>
      </c>
      <c r="W3747" t="s">
        <v>16825</v>
      </c>
      <c r="X3747">
        <v>9</v>
      </c>
      <c r="Y3747" t="s">
        <v>23216</v>
      </c>
      <c r="Z3747" t="s">
        <v>29715</v>
      </c>
      <c r="AA3747">
        <v>0.5312591327438565</v>
      </c>
      <c r="AB3747" t="str">
        <f>HYPERLINK("Melting_Curves/meltCurve_Q49AR2_C5orf22.pdf", "Melting_Curves/meltCurve_Q49AR2_C5orf22.pdf")</f>
        <v>Melting_Curves/meltCurve_Q49AR2_C5orf22.pdf</v>
      </c>
    </row>
    <row r="3748" spans="1:28" x14ac:dyDescent="0.25">
      <c r="A3748" t="s">
        <v>3752</v>
      </c>
      <c r="B3748">
        <v>0.99472303558308395</v>
      </c>
      <c r="C3748">
        <v>0.93994514056673195</v>
      </c>
      <c r="D3748">
        <v>0.87745553109553298</v>
      </c>
      <c r="E3748">
        <v>0.79312598384796895</v>
      </c>
      <c r="F3748">
        <v>0.65189012786822897</v>
      </c>
      <c r="G3748">
        <v>0.46655806862254501</v>
      </c>
      <c r="H3748">
        <v>0.33187377408774299</v>
      </c>
      <c r="I3748">
        <v>0.3140958832163</v>
      </c>
      <c r="J3748">
        <v>0.43864792808369502</v>
      </c>
      <c r="K3748">
        <v>0.32120137783744801</v>
      </c>
      <c r="L3748">
        <v>667.96873979301995</v>
      </c>
      <c r="M3748">
        <v>13.584080445528601</v>
      </c>
      <c r="N3748">
        <v>53.008175433934703</v>
      </c>
      <c r="O3748">
        <v>48.143942650474003</v>
      </c>
      <c r="P3748">
        <v>-4.84761073683024E-2</v>
      </c>
      <c r="Q3748">
        <v>0.31287671886878998</v>
      </c>
      <c r="R3748">
        <v>0.968789858583742</v>
      </c>
      <c r="S3748" t="s">
        <v>10316</v>
      </c>
      <c r="T3748" t="s">
        <v>13134</v>
      </c>
      <c r="U3748" t="s">
        <v>13134</v>
      </c>
      <c r="V3748" t="s">
        <v>13134</v>
      </c>
      <c r="W3748" t="s">
        <v>16826</v>
      </c>
      <c r="X3748">
        <v>8</v>
      </c>
      <c r="Y3748" t="s">
        <v>23217</v>
      </c>
      <c r="Z3748" t="s">
        <v>29716</v>
      </c>
      <c r="AA3748">
        <v>0.60875236520138187</v>
      </c>
      <c r="AB3748" t="str">
        <f>HYPERLINK("Melting_Curves/meltCurve_Q49B96_COX19.pdf", "Melting_Curves/meltCurve_Q49B96_COX19.pdf")</f>
        <v>Melting_Curves/meltCurve_Q49B96_COX19.pdf</v>
      </c>
    </row>
    <row r="3749" spans="1:28" x14ac:dyDescent="0.25">
      <c r="A3749" t="s">
        <v>3753</v>
      </c>
      <c r="B3749">
        <v>0.99472303558308395</v>
      </c>
      <c r="C3749">
        <v>1.02906971432676</v>
      </c>
      <c r="D3749">
        <v>0.93941214050035204</v>
      </c>
      <c r="E3749">
        <v>0.88487861256668499</v>
      </c>
      <c r="F3749">
        <v>0.76948402972642505</v>
      </c>
      <c r="G3749">
        <v>0.41166292686886102</v>
      </c>
      <c r="H3749">
        <v>0.18567121627352601</v>
      </c>
      <c r="I3749">
        <v>8.8182257114356802E-2</v>
      </c>
      <c r="J3749">
        <v>8.4803046683489397E-2</v>
      </c>
      <c r="K3749">
        <v>7.4196714370729694E-2</v>
      </c>
      <c r="L3749">
        <v>1062.13546929985</v>
      </c>
      <c r="M3749">
        <v>20.204966662033598</v>
      </c>
      <c r="N3749">
        <v>52.842623080958397</v>
      </c>
      <c r="O3749">
        <v>52.061222344749801</v>
      </c>
      <c r="P3749">
        <v>-9.2192808501368406E-2</v>
      </c>
      <c r="Q3749">
        <v>4.9833512071784998E-2</v>
      </c>
      <c r="R3749">
        <v>0.99504275228377903</v>
      </c>
      <c r="S3749" t="s">
        <v>10317</v>
      </c>
      <c r="T3749" t="s">
        <v>13134</v>
      </c>
      <c r="U3749" t="s">
        <v>13134</v>
      </c>
      <c r="V3749" t="s">
        <v>13134</v>
      </c>
      <c r="W3749" t="s">
        <v>16827</v>
      </c>
      <c r="X3749">
        <v>6</v>
      </c>
      <c r="Y3749" t="s">
        <v>23218</v>
      </c>
      <c r="Z3749" t="s">
        <v>29717</v>
      </c>
      <c r="AA3749">
        <v>0.55484121805034003</v>
      </c>
      <c r="AB3749" t="str">
        <f>HYPERLINK("Melting_Curves/meltCurve_Q4G0F5_VPS26B.pdf", "Melting_Curves/meltCurve_Q4G0F5_VPS26B.pdf")</f>
        <v>Melting_Curves/meltCurve_Q4G0F5_VPS26B.pdf</v>
      </c>
    </row>
    <row r="3750" spans="1:28" x14ac:dyDescent="0.25">
      <c r="A3750" t="s">
        <v>3754</v>
      </c>
      <c r="B3750">
        <v>0.99472303558308395</v>
      </c>
      <c r="C3750">
        <v>1.1197491217267099</v>
      </c>
      <c r="D3750">
        <v>0.88214281225964497</v>
      </c>
      <c r="E3750">
        <v>0.87865730820469801</v>
      </c>
      <c r="F3750">
        <v>0.64026534580193994</v>
      </c>
      <c r="G3750">
        <v>0.50136177165740103</v>
      </c>
      <c r="H3750">
        <v>0.43886235568047499</v>
      </c>
      <c r="I3750">
        <v>0.49706283250593097</v>
      </c>
      <c r="J3750">
        <v>0.66577981005101705</v>
      </c>
      <c r="K3750">
        <v>0.53912946939383299</v>
      </c>
      <c r="L3750">
        <v>1421.2333532108901</v>
      </c>
      <c r="M3750">
        <v>29.598040434843998</v>
      </c>
      <c r="O3750">
        <v>47.800225726547602</v>
      </c>
      <c r="P3750">
        <v>-7.3334232085595794E-2</v>
      </c>
      <c r="Q3750">
        <v>0.52627016854317998</v>
      </c>
      <c r="R3750">
        <v>0.88840182199417705</v>
      </c>
      <c r="S3750" t="s">
        <v>10318</v>
      </c>
      <c r="T3750" t="s">
        <v>13134</v>
      </c>
      <c r="U3750" t="s">
        <v>13134</v>
      </c>
      <c r="V3750" t="s">
        <v>13134</v>
      </c>
      <c r="W3750" t="s">
        <v>16828</v>
      </c>
      <c r="X3750">
        <v>4</v>
      </c>
      <c r="Y3750" t="s">
        <v>23219</v>
      </c>
      <c r="Z3750" t="s">
        <v>29718</v>
      </c>
      <c r="AA3750">
        <v>0.70313613551592269</v>
      </c>
      <c r="AB3750" t="str">
        <f>HYPERLINK("Melting_Curves/meltCurve_Q4G0I0_CCSMST1.pdf", "Melting_Curves/meltCurve_Q4G0I0_CCSMST1.pdf")</f>
        <v>Melting_Curves/meltCurve_Q4G0I0_CCSMST1.pdf</v>
      </c>
    </row>
    <row r="3751" spans="1:28" x14ac:dyDescent="0.25">
      <c r="A3751" t="s">
        <v>3755</v>
      </c>
      <c r="B3751">
        <v>0.99472303558308395</v>
      </c>
      <c r="C3751">
        <v>0.91838161224308101</v>
      </c>
      <c r="D3751">
        <v>0.727094036337816</v>
      </c>
      <c r="E3751">
        <v>0.49840340371611902</v>
      </c>
      <c r="F3751">
        <v>0.239233051362572</v>
      </c>
      <c r="G3751">
        <v>0.164444281469215</v>
      </c>
      <c r="H3751">
        <v>0.109834105715619</v>
      </c>
      <c r="I3751">
        <v>6.25867671282202E-2</v>
      </c>
      <c r="J3751">
        <v>6.6674795005554996E-2</v>
      </c>
      <c r="K3751">
        <v>5.5188574503341803E-2</v>
      </c>
      <c r="L3751">
        <v>679.12472352432303</v>
      </c>
      <c r="M3751">
        <v>14.7744592757329</v>
      </c>
      <c r="N3751">
        <v>46.298946217818198</v>
      </c>
      <c r="O3751">
        <v>45.148668045183797</v>
      </c>
      <c r="P3751">
        <v>-7.7696807495060805E-2</v>
      </c>
      <c r="Q3751">
        <v>5.0379771779274399E-2</v>
      </c>
      <c r="R3751">
        <v>0.99802629344770599</v>
      </c>
      <c r="S3751" t="s">
        <v>10319</v>
      </c>
      <c r="T3751" t="s">
        <v>13134</v>
      </c>
      <c r="U3751" t="s">
        <v>13134</v>
      </c>
      <c r="V3751" t="s">
        <v>13134</v>
      </c>
      <c r="W3751" t="s">
        <v>16829</v>
      </c>
      <c r="X3751">
        <v>20</v>
      </c>
      <c r="Y3751" t="s">
        <v>23220</v>
      </c>
      <c r="Z3751" t="s">
        <v>29719</v>
      </c>
      <c r="AA3751">
        <v>0.35675152128569199</v>
      </c>
      <c r="AB3751" t="str">
        <f>HYPERLINK("Melting_Curves/meltCurve_Q4G0J3_LARP7.pdf", "Melting_Curves/meltCurve_Q4G0J3_LARP7.pdf")</f>
        <v>Melting_Curves/meltCurve_Q4G0J3_LARP7.pdf</v>
      </c>
    </row>
    <row r="3752" spans="1:28" x14ac:dyDescent="0.25">
      <c r="A3752" t="s">
        <v>3756</v>
      </c>
      <c r="B3752">
        <v>0.99472303558308395</v>
      </c>
      <c r="C3752">
        <v>0.98110367421655698</v>
      </c>
      <c r="D3752">
        <v>0.94613966551413398</v>
      </c>
      <c r="E3752">
        <v>0.90046183419714299</v>
      </c>
      <c r="F3752">
        <v>0.68709487131617297</v>
      </c>
      <c r="G3752">
        <v>0.54045036094862398</v>
      </c>
      <c r="H3752">
        <v>0.33243525356662401</v>
      </c>
      <c r="I3752">
        <v>6.2174833487908601E-2</v>
      </c>
      <c r="J3752">
        <v>6.2698776086871896E-2</v>
      </c>
      <c r="K3752">
        <v>6.0010059129750999E-2</v>
      </c>
      <c r="L3752">
        <v>780.95666469507705</v>
      </c>
      <c r="M3752">
        <v>14.5456152877062</v>
      </c>
      <c r="N3752">
        <v>53.6901773797399</v>
      </c>
      <c r="O3752">
        <v>52.705986291693002</v>
      </c>
      <c r="P3752">
        <v>-6.9001995295052895E-2</v>
      </c>
      <c r="Q3752">
        <v>0</v>
      </c>
      <c r="R3752">
        <v>0.98882468224118503</v>
      </c>
      <c r="S3752" t="s">
        <v>10320</v>
      </c>
      <c r="T3752" t="s">
        <v>13134</v>
      </c>
      <c r="U3752" t="s">
        <v>13134</v>
      </c>
      <c r="V3752" t="s">
        <v>13134</v>
      </c>
      <c r="W3752" t="s">
        <v>16830</v>
      </c>
      <c r="X3752">
        <v>13</v>
      </c>
      <c r="Y3752" t="s">
        <v>23221</v>
      </c>
      <c r="Z3752" t="s">
        <v>29720</v>
      </c>
      <c r="AA3752">
        <v>0.57349225466094289</v>
      </c>
      <c r="AB3752" t="str">
        <f>HYPERLINK("Melting_Curves/meltCurve_Q4G0N4_NADKD1.pdf", "Melting_Curves/meltCurve_Q4G0N4_NADKD1.pdf")</f>
        <v>Melting_Curves/meltCurve_Q4G0N4_NADKD1.pdf</v>
      </c>
    </row>
    <row r="3753" spans="1:28" x14ac:dyDescent="0.25">
      <c r="A3753" t="s">
        <v>3757</v>
      </c>
      <c r="B3753">
        <v>0.99472303558308395</v>
      </c>
      <c r="C3753">
        <v>0.93188032443907298</v>
      </c>
      <c r="D3753">
        <v>0.92745808161972998</v>
      </c>
      <c r="E3753">
        <v>0.82721268377280699</v>
      </c>
      <c r="F3753">
        <v>0.48160063905865602</v>
      </c>
      <c r="G3753">
        <v>0.25103391601050101</v>
      </c>
      <c r="H3753">
        <v>0.195159125970782</v>
      </c>
      <c r="I3753">
        <v>8.5067559351490796E-2</v>
      </c>
      <c r="J3753">
        <v>0.17551469071988501</v>
      </c>
      <c r="K3753">
        <v>0.13413686683397</v>
      </c>
      <c r="L3753">
        <v>1033.90487652092</v>
      </c>
      <c r="M3753">
        <v>20.9483697480469</v>
      </c>
      <c r="N3753">
        <v>50.061477655745499</v>
      </c>
      <c r="O3753">
        <v>48.911771509994999</v>
      </c>
      <c r="P3753">
        <v>-9.3371479682565095E-2</v>
      </c>
      <c r="Q3753">
        <v>0.127981983757296</v>
      </c>
      <c r="R3753">
        <v>0.99118269700211004</v>
      </c>
      <c r="S3753" t="s">
        <v>10321</v>
      </c>
      <c r="T3753" t="s">
        <v>13134</v>
      </c>
      <c r="U3753" t="s">
        <v>13134</v>
      </c>
      <c r="V3753" t="s">
        <v>13134</v>
      </c>
      <c r="W3753" t="s">
        <v>16831</v>
      </c>
      <c r="X3753">
        <v>3</v>
      </c>
      <c r="Y3753" t="s">
        <v>23222</v>
      </c>
      <c r="Z3753" t="s">
        <v>29721</v>
      </c>
      <c r="AA3753">
        <v>0.49767050942496022</v>
      </c>
      <c r="AB3753" t="str">
        <f>HYPERLINK("Melting_Curves/meltCurve_Q4G148_2_GXYLT1.pdf", "Melting_Curves/meltCurve_Q4G148_2_GXYLT1.pdf")</f>
        <v>Melting_Curves/meltCurve_Q4G148_2_GXYLT1.pdf</v>
      </c>
    </row>
    <row r="3754" spans="1:28" x14ac:dyDescent="0.25">
      <c r="A3754" t="s">
        <v>3758</v>
      </c>
      <c r="B3754">
        <v>0.99472303558308395</v>
      </c>
      <c r="C3754">
        <v>1.08447281864846</v>
      </c>
      <c r="D3754">
        <v>0.96727761001410495</v>
      </c>
      <c r="E3754">
        <v>0.80676351388799405</v>
      </c>
      <c r="F3754">
        <v>0.57354358175930797</v>
      </c>
      <c r="G3754">
        <v>0.354602895492452</v>
      </c>
      <c r="H3754">
        <v>0.22870702354550701</v>
      </c>
      <c r="I3754">
        <v>0.14987796225561401</v>
      </c>
      <c r="J3754">
        <v>0.18646827412445999</v>
      </c>
      <c r="K3754">
        <v>0.15886558555378999</v>
      </c>
      <c r="L3754">
        <v>902.27972834427305</v>
      </c>
      <c r="M3754">
        <v>17.9906017249615</v>
      </c>
      <c r="N3754">
        <v>51.154176852686902</v>
      </c>
      <c r="O3754">
        <v>49.545492039444802</v>
      </c>
      <c r="P3754">
        <v>-7.7309065019855405E-2</v>
      </c>
      <c r="Q3754">
        <v>0.148416204947832</v>
      </c>
      <c r="R3754">
        <v>0.99179736415099495</v>
      </c>
      <c r="S3754" t="s">
        <v>10322</v>
      </c>
      <c r="T3754" t="s">
        <v>13134</v>
      </c>
      <c r="U3754" t="s">
        <v>13134</v>
      </c>
      <c r="V3754" t="s">
        <v>13134</v>
      </c>
      <c r="W3754" t="s">
        <v>16832</v>
      </c>
      <c r="X3754">
        <v>10</v>
      </c>
      <c r="Y3754" t="s">
        <v>23223</v>
      </c>
      <c r="Z3754" t="s">
        <v>29722</v>
      </c>
      <c r="AA3754">
        <v>0.53517656561633797</v>
      </c>
      <c r="AB3754" t="str">
        <f>HYPERLINK("Melting_Curves/meltCurve_Q4G176_ACSF3.pdf", "Melting_Curves/meltCurve_Q4G176_ACSF3.pdf")</f>
        <v>Melting_Curves/meltCurve_Q4G176_ACSF3.pdf</v>
      </c>
    </row>
    <row r="3755" spans="1:28" x14ac:dyDescent="0.25">
      <c r="A3755" t="s">
        <v>3759</v>
      </c>
      <c r="B3755">
        <v>0.99472303558308395</v>
      </c>
      <c r="C3755">
        <v>1.0068497359619599</v>
      </c>
      <c r="D3755">
        <v>0.92290302017792003</v>
      </c>
      <c r="E3755">
        <v>0.803666540837354</v>
      </c>
      <c r="F3755">
        <v>0.58351002492833903</v>
      </c>
      <c r="G3755">
        <v>0.35789004027360599</v>
      </c>
      <c r="H3755">
        <v>0.134881338732248</v>
      </c>
      <c r="I3755">
        <v>7.9240568890632204E-2</v>
      </c>
      <c r="J3755">
        <v>9.6522969998548494E-2</v>
      </c>
      <c r="K3755">
        <v>6.81868657142395E-2</v>
      </c>
      <c r="L3755">
        <v>784.71917176962199</v>
      </c>
      <c r="M3755">
        <v>15.3940137303962</v>
      </c>
      <c r="N3755">
        <v>51.189705944336303</v>
      </c>
      <c r="O3755">
        <v>50.138615976239201</v>
      </c>
      <c r="P3755">
        <v>-7.4370944030742805E-2</v>
      </c>
      <c r="Q3755">
        <v>3.1177683787825101E-2</v>
      </c>
      <c r="R3755">
        <v>0.99638615841400802</v>
      </c>
      <c r="S3755" t="s">
        <v>10323</v>
      </c>
      <c r="T3755" t="s">
        <v>13134</v>
      </c>
      <c r="U3755" t="s">
        <v>13134</v>
      </c>
      <c r="V3755" t="s">
        <v>13134</v>
      </c>
      <c r="W3755" t="s">
        <v>16833</v>
      </c>
      <c r="X3755">
        <v>15</v>
      </c>
      <c r="Y3755" t="s">
        <v>23224</v>
      </c>
      <c r="Z3755" t="s">
        <v>29723</v>
      </c>
      <c r="AA3755">
        <v>0.50136938839053535</v>
      </c>
      <c r="AB3755" t="str">
        <f>HYPERLINK("Melting_Curves/meltCurve_Q4J6C6_4_PREPL.pdf", "Melting_Curves/meltCurve_Q4J6C6_4_PREPL.pdf")</f>
        <v>Melting_Curves/meltCurve_Q4J6C6_4_PREPL.pdf</v>
      </c>
    </row>
    <row r="3756" spans="1:28" x14ac:dyDescent="0.25">
      <c r="A3756" t="s">
        <v>3760</v>
      </c>
      <c r="B3756">
        <v>0.99472303558308395</v>
      </c>
      <c r="C3756">
        <v>0.85429144618700803</v>
      </c>
      <c r="D3756">
        <v>1.03485619078749</v>
      </c>
      <c r="E3756">
        <v>0.75222501541451203</v>
      </c>
      <c r="F3756">
        <v>0.43356844582960802</v>
      </c>
      <c r="G3756">
        <v>0.193287047952242</v>
      </c>
      <c r="H3756">
        <v>9.3734100759161901E-2</v>
      </c>
      <c r="I3756">
        <v>6.0433928689043903E-2</v>
      </c>
      <c r="J3756">
        <v>7.0631127038596905E-2</v>
      </c>
      <c r="K3756">
        <v>6.6797596496005501E-2</v>
      </c>
      <c r="L3756">
        <v>1040.76313539899</v>
      </c>
      <c r="M3756">
        <v>21.171096734413702</v>
      </c>
      <c r="N3756">
        <v>49.443951424951997</v>
      </c>
      <c r="O3756">
        <v>48.727320475738502</v>
      </c>
      <c r="P3756">
        <v>-0.10239758598747301</v>
      </c>
      <c r="Q3756">
        <v>5.7312757174120002E-2</v>
      </c>
      <c r="R3756">
        <v>0.98280275808445305</v>
      </c>
      <c r="S3756" t="s">
        <v>10324</v>
      </c>
      <c r="T3756" t="s">
        <v>13134</v>
      </c>
      <c r="U3756" t="s">
        <v>13134</v>
      </c>
      <c r="V3756" t="s">
        <v>13134</v>
      </c>
      <c r="W3756" t="s">
        <v>16834</v>
      </c>
      <c r="X3756">
        <v>15</v>
      </c>
      <c r="Y3756" t="s">
        <v>23225</v>
      </c>
      <c r="Z3756" t="s">
        <v>29724</v>
      </c>
      <c r="AA3756">
        <v>0.45059545987098459</v>
      </c>
      <c r="AB3756" t="str">
        <f>HYPERLINK("Melting_Curves/meltCurve_Q4KMP7_TBC1D10B.pdf", "Melting_Curves/meltCurve_Q4KMP7_TBC1D10B.pdf")</f>
        <v>Melting_Curves/meltCurve_Q4KMP7_TBC1D10B.pdf</v>
      </c>
    </row>
    <row r="3757" spans="1:28" x14ac:dyDescent="0.25">
      <c r="A3757" t="s">
        <v>3761</v>
      </c>
      <c r="B3757">
        <v>0.99472303558308395</v>
      </c>
      <c r="C3757">
        <v>1.06592994917203</v>
      </c>
      <c r="D3757">
        <v>0.86073543453574797</v>
      </c>
      <c r="E3757">
        <v>0.78857480685391901</v>
      </c>
      <c r="F3757">
        <v>0.63726187231296905</v>
      </c>
      <c r="G3757">
        <v>0.34900702119638399</v>
      </c>
      <c r="H3757">
        <v>0.112948949791706</v>
      </c>
      <c r="I3757">
        <v>7.6347880800912996E-2</v>
      </c>
      <c r="J3757">
        <v>8.4536956913073502E-2</v>
      </c>
      <c r="K3757">
        <v>8.0800319806210399E-2</v>
      </c>
      <c r="L3757">
        <v>774.99111052600199</v>
      </c>
      <c r="M3757">
        <v>15.148757608606299</v>
      </c>
      <c r="N3757">
        <v>51.3008895427553</v>
      </c>
      <c r="O3757">
        <v>50.292076929480999</v>
      </c>
      <c r="P3757">
        <v>-7.3763151909059604E-2</v>
      </c>
      <c r="Q3757">
        <v>2.0555552550428201E-2</v>
      </c>
      <c r="R3757">
        <v>0.983631656264358</v>
      </c>
      <c r="S3757" t="s">
        <v>10325</v>
      </c>
      <c r="T3757" t="s">
        <v>13134</v>
      </c>
      <c r="U3757" t="s">
        <v>13134</v>
      </c>
      <c r="V3757" t="s">
        <v>13134</v>
      </c>
      <c r="W3757" t="s">
        <v>16835</v>
      </c>
      <c r="X3757">
        <v>8</v>
      </c>
      <c r="Y3757" t="s">
        <v>23226</v>
      </c>
      <c r="Z3757" t="s">
        <v>29725</v>
      </c>
      <c r="AA3757">
        <v>0.50214279385376348</v>
      </c>
      <c r="AB3757" t="str">
        <f>HYPERLINK("Melting_Curves/meltCurve_Q4KMQ2_3_ANO6.pdf", "Melting_Curves/meltCurve_Q4KMQ2_3_ANO6.pdf")</f>
        <v>Melting_Curves/meltCurve_Q4KMQ2_3_ANO6.pdf</v>
      </c>
    </row>
    <row r="3758" spans="1:28" x14ac:dyDescent="0.25">
      <c r="A3758" t="s">
        <v>3762</v>
      </c>
      <c r="B3758">
        <v>0.99472303558308395</v>
      </c>
      <c r="C3758">
        <v>0.76783866659859901</v>
      </c>
      <c r="D3758">
        <v>1.13967421659635</v>
      </c>
      <c r="E3758">
        <v>1.0514158057594301</v>
      </c>
      <c r="F3758">
        <v>0.812212780299151</v>
      </c>
      <c r="G3758">
        <v>0.54570290051939097</v>
      </c>
      <c r="H3758">
        <v>8.8685399635423406E-2</v>
      </c>
      <c r="I3758">
        <v>6.6317418197626501E-2</v>
      </c>
      <c r="J3758">
        <v>5.8062013551736603E-2</v>
      </c>
      <c r="K3758">
        <v>6.6900203731435001E-2</v>
      </c>
      <c r="L3758">
        <v>1591.5628571720699</v>
      </c>
      <c r="M3758">
        <v>29.707231090105299</v>
      </c>
      <c r="N3758">
        <v>53.723932857454301</v>
      </c>
      <c r="O3758">
        <v>53.333923293545297</v>
      </c>
      <c r="P3758">
        <v>-0.13374526206863399</v>
      </c>
      <c r="Q3758">
        <v>3.9545477824242503E-2</v>
      </c>
      <c r="R3758">
        <v>0.95026255559983297</v>
      </c>
      <c r="S3758" t="s">
        <v>10326</v>
      </c>
      <c r="T3758" t="s">
        <v>13134</v>
      </c>
      <c r="U3758" t="s">
        <v>13134</v>
      </c>
      <c r="V3758" t="s">
        <v>13134</v>
      </c>
      <c r="W3758" t="s">
        <v>16836</v>
      </c>
      <c r="X3758">
        <v>2</v>
      </c>
      <c r="Y3758" t="s">
        <v>23227</v>
      </c>
      <c r="Z3758" t="s">
        <v>29726</v>
      </c>
      <c r="AA3758">
        <v>0.5764351426097396</v>
      </c>
      <c r="AB3758" t="str">
        <f>HYPERLINK("Melting_Curves/meltCurve_Q4KWH8_3_PLCH1.pdf", "Melting_Curves/meltCurve_Q4KWH8_3_PLCH1.pdf")</f>
        <v>Melting_Curves/meltCurve_Q4KWH8_3_PLCH1.pdf</v>
      </c>
    </row>
    <row r="3759" spans="1:28" x14ac:dyDescent="0.25">
      <c r="A3759" t="s">
        <v>3763</v>
      </c>
      <c r="B3759">
        <v>0.99472303558308395</v>
      </c>
      <c r="C3759">
        <v>1.05044477244206</v>
      </c>
      <c r="D3759">
        <v>1.03363896560895</v>
      </c>
      <c r="E3759">
        <v>0.96813275073409899</v>
      </c>
      <c r="F3759">
        <v>0.67104868771043502</v>
      </c>
      <c r="G3759">
        <v>0.37474762555399399</v>
      </c>
      <c r="H3759">
        <v>7.7649608479407398E-2</v>
      </c>
      <c r="I3759">
        <v>5.4150705757826198E-2</v>
      </c>
      <c r="J3759">
        <v>4.4699284759172703E-2</v>
      </c>
      <c r="K3759">
        <v>4.9666820020911599E-2</v>
      </c>
      <c r="L3759">
        <v>1233.1472308251</v>
      </c>
      <c r="M3759">
        <v>23.722610947162998</v>
      </c>
      <c r="N3759">
        <v>52.112288477116898</v>
      </c>
      <c r="O3759">
        <v>51.616776495082902</v>
      </c>
      <c r="P3759">
        <v>-0.11158994403280099</v>
      </c>
      <c r="Q3759">
        <v>2.88054140576487E-2</v>
      </c>
      <c r="R3759">
        <v>0.99430051482832005</v>
      </c>
      <c r="S3759" t="s">
        <v>10327</v>
      </c>
      <c r="T3759" t="s">
        <v>13134</v>
      </c>
      <c r="U3759" t="s">
        <v>13134</v>
      </c>
      <c r="V3759" t="s">
        <v>13134</v>
      </c>
      <c r="W3759" t="s">
        <v>16837</v>
      </c>
      <c r="X3759">
        <v>3</v>
      </c>
      <c r="Y3759" t="s">
        <v>23228</v>
      </c>
      <c r="Z3759" t="s">
        <v>29727</v>
      </c>
      <c r="AA3759">
        <v>0.52326159951044338</v>
      </c>
      <c r="AB3759" t="str">
        <f>HYPERLINK("Melting_Curves/meltCurve_Q4LDG9_DNAL1.pdf", "Melting_Curves/meltCurve_Q4LDG9_DNAL1.pdf")</f>
        <v>Melting_Curves/meltCurve_Q4LDG9_DNAL1.pdf</v>
      </c>
    </row>
    <row r="3760" spans="1:28" x14ac:dyDescent="0.25">
      <c r="A3760" t="s">
        <v>3764</v>
      </c>
      <c r="B3760">
        <v>0.99472303558308395</v>
      </c>
      <c r="C3760">
        <v>0.92477632463870596</v>
      </c>
      <c r="D3760">
        <v>0.63543279606872305</v>
      </c>
      <c r="E3760">
        <v>0.278469093993154</v>
      </c>
      <c r="F3760">
        <v>0.131855310885374</v>
      </c>
      <c r="G3760">
        <v>8.6788006274584106E-2</v>
      </c>
      <c r="H3760">
        <v>5.2048196662144101E-2</v>
      </c>
      <c r="I3760">
        <v>5.2252869779766002E-2</v>
      </c>
      <c r="J3760">
        <v>6.0016101915510399E-2</v>
      </c>
      <c r="K3760">
        <v>4.5610786415306102E-2</v>
      </c>
      <c r="L3760">
        <v>942.09833205130406</v>
      </c>
      <c r="M3760">
        <v>21.392068916808899</v>
      </c>
      <c r="N3760">
        <v>44.282160704653698</v>
      </c>
      <c r="O3760">
        <v>43.660180054114399</v>
      </c>
      <c r="P3760">
        <v>-0.11572284473416</v>
      </c>
      <c r="Q3760">
        <v>5.5284620409754598E-2</v>
      </c>
      <c r="R3760">
        <v>0.99914415684927205</v>
      </c>
      <c r="S3760" t="s">
        <v>10328</v>
      </c>
      <c r="T3760" t="s">
        <v>13134</v>
      </c>
      <c r="U3760" t="s">
        <v>13134</v>
      </c>
      <c r="V3760" t="s">
        <v>13134</v>
      </c>
      <c r="W3760" t="s">
        <v>16838</v>
      </c>
      <c r="X3760">
        <v>7</v>
      </c>
      <c r="Y3760" t="s">
        <v>23229</v>
      </c>
      <c r="Z3760" t="s">
        <v>29728</v>
      </c>
      <c r="AA3760">
        <v>0.28786370591730642</v>
      </c>
      <c r="AB3760" t="str">
        <f>HYPERLINK("Melting_Curves/meltCurve_Q4LE39_2_ARID4B.pdf", "Melting_Curves/meltCurve_Q4LE39_2_ARID4B.pdf")</f>
        <v>Melting_Curves/meltCurve_Q4LE39_2_ARID4B.pdf</v>
      </c>
    </row>
    <row r="3761" spans="1:28" x14ac:dyDescent="0.25">
      <c r="A3761" t="s">
        <v>3765</v>
      </c>
      <c r="B3761">
        <v>0.99472303558308395</v>
      </c>
      <c r="C3761">
        <v>0.91900844078398003</v>
      </c>
      <c r="D3761">
        <v>0.66028195542738899</v>
      </c>
      <c r="E3761">
        <v>0.33865897034145798</v>
      </c>
      <c r="F3761">
        <v>0.179475706638376</v>
      </c>
      <c r="G3761">
        <v>9.3902257450692597E-2</v>
      </c>
      <c r="H3761">
        <v>6.6510365760144005E-2</v>
      </c>
      <c r="I3761">
        <v>5.7972971521529297E-2</v>
      </c>
      <c r="J3761">
        <v>7.9073489275438794E-2</v>
      </c>
      <c r="K3761">
        <v>9.5365789898827699E-2</v>
      </c>
      <c r="L3761">
        <v>855.50500266229403</v>
      </c>
      <c r="M3761">
        <v>19.278477349174199</v>
      </c>
      <c r="N3761">
        <v>44.734440191605898</v>
      </c>
      <c r="O3761">
        <v>43.906964471930998</v>
      </c>
      <c r="P3761">
        <v>-0.10192067662917299</v>
      </c>
      <c r="Q3761">
        <v>7.1532667879543502E-2</v>
      </c>
      <c r="R3761">
        <v>0.99823467902923602</v>
      </c>
      <c r="S3761" t="s">
        <v>10329</v>
      </c>
      <c r="T3761" t="s">
        <v>13134</v>
      </c>
      <c r="U3761" t="s">
        <v>13134</v>
      </c>
      <c r="V3761" t="s">
        <v>13134</v>
      </c>
      <c r="W3761" t="s">
        <v>16839</v>
      </c>
      <c r="X3761">
        <v>23</v>
      </c>
      <c r="Y3761" t="s">
        <v>23230</v>
      </c>
      <c r="Z3761" t="s">
        <v>29729</v>
      </c>
      <c r="AA3761">
        <v>0.3131474187222491</v>
      </c>
      <c r="AB3761" t="str">
        <f>HYPERLINK("Melting_Curves/meltCurve_Q4V328_GRIPAP1.pdf", "Melting_Curves/meltCurve_Q4V328_GRIPAP1.pdf")</f>
        <v>Melting_Curves/meltCurve_Q4V328_GRIPAP1.pdf</v>
      </c>
    </row>
    <row r="3762" spans="1:28" x14ac:dyDescent="0.25">
      <c r="A3762" t="s">
        <v>3766</v>
      </c>
      <c r="B3762">
        <v>0.99472303558308395</v>
      </c>
      <c r="C3762">
        <v>1.0428235825515899</v>
      </c>
      <c r="D3762">
        <v>1.1532565036082201</v>
      </c>
      <c r="E3762">
        <v>1.05421194036735</v>
      </c>
      <c r="F3762">
        <v>0.74956468931488596</v>
      </c>
      <c r="G3762">
        <v>0.49573459170956802</v>
      </c>
      <c r="H3762">
        <v>0.21940544990432001</v>
      </c>
      <c r="I3762">
        <v>0.469054256908087</v>
      </c>
      <c r="J3762">
        <v>0.53348490737805998</v>
      </c>
      <c r="K3762">
        <v>0.61159272835994205</v>
      </c>
      <c r="L3762">
        <v>3883.3340138723802</v>
      </c>
      <c r="M3762">
        <v>77.221223214804496</v>
      </c>
      <c r="N3762">
        <v>52.082932453497698</v>
      </c>
      <c r="O3762">
        <v>50.254733627330701</v>
      </c>
      <c r="P3762">
        <v>-0.20550166733838701</v>
      </c>
      <c r="Q3762">
        <v>0.46504706235815602</v>
      </c>
      <c r="R3762">
        <v>0.86983549075751598</v>
      </c>
      <c r="S3762" t="s">
        <v>10330</v>
      </c>
      <c r="T3762" t="s">
        <v>13134</v>
      </c>
      <c r="U3762" t="s">
        <v>13134</v>
      </c>
      <c r="V3762" t="s">
        <v>13134</v>
      </c>
      <c r="W3762" t="s">
        <v>16840</v>
      </c>
      <c r="X3762">
        <v>1</v>
      </c>
      <c r="Y3762" t="s">
        <v>23231</v>
      </c>
      <c r="Z3762" t="s">
        <v>29730</v>
      </c>
      <c r="AA3762">
        <v>0.70249908453274057</v>
      </c>
      <c r="AB3762" t="str">
        <f>HYPERLINK("Melting_Curves/meltCurve_Q4VAR0_CYP11B1.pdf", "Melting_Curves/meltCurve_Q4VAR0_CYP11B1.pdf")</f>
        <v>Melting_Curves/meltCurve_Q4VAR0_CYP11B1.pdf</v>
      </c>
    </row>
    <row r="3763" spans="1:28" x14ac:dyDescent="0.25">
      <c r="A3763" t="s">
        <v>3767</v>
      </c>
      <c r="B3763">
        <v>0.99472303558308395</v>
      </c>
      <c r="C3763">
        <v>0.80330293055517299</v>
      </c>
      <c r="D3763">
        <v>0.54407811108868698</v>
      </c>
      <c r="E3763">
        <v>0.28522375345006401</v>
      </c>
      <c r="F3763">
        <v>0.20391517746905199</v>
      </c>
      <c r="G3763">
        <v>0.156251949234431</v>
      </c>
      <c r="H3763">
        <v>0.170676230480103</v>
      </c>
      <c r="I3763">
        <v>0.26483439459556302</v>
      </c>
      <c r="J3763">
        <v>0.46019281280919699</v>
      </c>
      <c r="K3763">
        <v>0.46440587726959098</v>
      </c>
      <c r="L3763">
        <v>1118.87040357405</v>
      </c>
      <c r="M3763">
        <v>26.82608192651</v>
      </c>
      <c r="N3763">
        <v>43.045638687846001</v>
      </c>
      <c r="O3763">
        <v>41.478601539449699</v>
      </c>
      <c r="P3763">
        <v>-0.115975191072772</v>
      </c>
      <c r="Q3763">
        <v>0.28272197650684899</v>
      </c>
      <c r="R3763">
        <v>0.85201123217375596</v>
      </c>
      <c r="S3763" t="s">
        <v>10331</v>
      </c>
      <c r="T3763" t="s">
        <v>13134</v>
      </c>
      <c r="U3763" t="s">
        <v>13134</v>
      </c>
      <c r="V3763" t="s">
        <v>13134</v>
      </c>
      <c r="W3763" t="s">
        <v>16841</v>
      </c>
      <c r="X3763">
        <v>3</v>
      </c>
      <c r="Y3763" t="s">
        <v>23232</v>
      </c>
      <c r="Z3763" t="s">
        <v>29731</v>
      </c>
      <c r="AA3763">
        <v>0.40083013749800001</v>
      </c>
      <c r="AB3763" t="str">
        <f>HYPERLINK("Melting_Curves/meltCurve_Q4VC05_2_BCL7A.pdf", "Melting_Curves/meltCurve_Q4VC05_2_BCL7A.pdf")</f>
        <v>Melting_Curves/meltCurve_Q4VC05_2_BCL7A.pdf</v>
      </c>
    </row>
    <row r="3764" spans="1:28" x14ac:dyDescent="0.25">
      <c r="A3764" t="s">
        <v>3768</v>
      </c>
      <c r="B3764">
        <v>0.99472303558308395</v>
      </c>
      <c r="C3764">
        <v>0.68546673334805097</v>
      </c>
      <c r="D3764">
        <v>0.86819714088126898</v>
      </c>
      <c r="E3764">
        <v>0.58111471534679504</v>
      </c>
      <c r="F3764">
        <v>0.313272545537219</v>
      </c>
      <c r="G3764">
        <v>0.151030806580813</v>
      </c>
      <c r="H3764">
        <v>4.6070534572024702E-2</v>
      </c>
      <c r="I3764">
        <v>6.7643951750834305E-2</v>
      </c>
      <c r="J3764">
        <v>1.3243415303575701E-2</v>
      </c>
      <c r="K3764">
        <v>2.0166754699401698E-2</v>
      </c>
      <c r="L3764">
        <v>591.30772537761698</v>
      </c>
      <c r="M3764">
        <v>12.533759913363401</v>
      </c>
      <c r="N3764">
        <v>47.177201708866598</v>
      </c>
      <c r="O3764">
        <v>46.024571670599599</v>
      </c>
      <c r="P3764">
        <v>-6.8095756273855307E-2</v>
      </c>
      <c r="Q3764">
        <v>0</v>
      </c>
      <c r="R3764">
        <v>0.94914401765289103</v>
      </c>
      <c r="S3764" t="s">
        <v>10332</v>
      </c>
      <c r="T3764" t="s">
        <v>13134</v>
      </c>
      <c r="U3764" t="s">
        <v>13134</v>
      </c>
      <c r="V3764" t="s">
        <v>13134</v>
      </c>
      <c r="W3764" t="s">
        <v>16842</v>
      </c>
      <c r="X3764">
        <v>3</v>
      </c>
      <c r="Y3764" t="s">
        <v>23233</v>
      </c>
      <c r="Z3764" t="s">
        <v>29732</v>
      </c>
      <c r="AA3764">
        <v>0.36964348115103413</v>
      </c>
      <c r="AB3764" t="str">
        <f>HYPERLINK("Melting_Curves/meltCurve_Q4VXZ8_DECR2.pdf", "Melting_Curves/meltCurve_Q4VXZ8_DECR2.pdf")</f>
        <v>Melting_Curves/meltCurve_Q4VXZ8_DECR2.pdf</v>
      </c>
    </row>
    <row r="3765" spans="1:28" x14ac:dyDescent="0.25">
      <c r="A3765" t="s">
        <v>3769</v>
      </c>
      <c r="B3765">
        <v>0.99472303558308395</v>
      </c>
      <c r="C3765">
        <v>1.0119062128911001</v>
      </c>
      <c r="D3765">
        <v>0.83965226778705704</v>
      </c>
      <c r="E3765">
        <v>0.74071651403500605</v>
      </c>
      <c r="F3765">
        <v>0.51782458868683001</v>
      </c>
      <c r="G3765">
        <v>0.27615899243218101</v>
      </c>
      <c r="H3765">
        <v>0.21238560579603999</v>
      </c>
      <c r="I3765">
        <v>0.12637040058465601</v>
      </c>
      <c r="J3765">
        <v>0.15766013799400599</v>
      </c>
      <c r="K3765">
        <v>0.14220247645868</v>
      </c>
      <c r="L3765">
        <v>712.89412763065798</v>
      </c>
      <c r="M3765">
        <v>14.493735365769901</v>
      </c>
      <c r="N3765">
        <v>50.026200249710499</v>
      </c>
      <c r="O3765">
        <v>48.278464795604798</v>
      </c>
      <c r="P3765">
        <v>-6.6955639521874402E-2</v>
      </c>
      <c r="Q3765">
        <v>0.10798929665783701</v>
      </c>
      <c r="R3765">
        <v>0.99219865577638899</v>
      </c>
      <c r="S3765" t="s">
        <v>10333</v>
      </c>
      <c r="T3765" t="s">
        <v>13134</v>
      </c>
      <c r="U3765" t="s">
        <v>13134</v>
      </c>
      <c r="V3765" t="s">
        <v>13134</v>
      </c>
      <c r="W3765" t="s">
        <v>16843</v>
      </c>
      <c r="X3765">
        <v>4</v>
      </c>
      <c r="Y3765" t="s">
        <v>23234</v>
      </c>
      <c r="Z3765" t="s">
        <v>29733</v>
      </c>
      <c r="AA3765">
        <v>0.49046002078441081</v>
      </c>
      <c r="AB3765" t="str">
        <f>HYPERLINK("Melting_Curves/meltCurve_Q4ZIN3_2_TMEM259.pdf", "Melting_Curves/meltCurve_Q4ZIN3_2_TMEM259.pdf")</f>
        <v>Melting_Curves/meltCurve_Q4ZIN3_2_TMEM259.pdf</v>
      </c>
    </row>
    <row r="3766" spans="1:28" x14ac:dyDescent="0.25">
      <c r="A3766" t="s">
        <v>3770</v>
      </c>
      <c r="B3766">
        <v>0.99472303558308395</v>
      </c>
      <c r="C3766">
        <v>0.90638852135977299</v>
      </c>
      <c r="D3766">
        <v>0.84837664120391698</v>
      </c>
      <c r="E3766">
        <v>0.44242291646620302</v>
      </c>
      <c r="F3766">
        <v>0.24983388061919001</v>
      </c>
      <c r="G3766">
        <v>8.51836722644852E-2</v>
      </c>
      <c r="H3766">
        <v>6.7183873037152494E-2</v>
      </c>
      <c r="I3766">
        <v>6.4193129678411995E-2</v>
      </c>
      <c r="J3766">
        <v>8.1278735450770301E-2</v>
      </c>
      <c r="K3766">
        <v>8.4154185025275496E-2</v>
      </c>
      <c r="L3766">
        <v>916.41662248300599</v>
      </c>
      <c r="M3766">
        <v>19.9326817640328</v>
      </c>
      <c r="N3766">
        <v>46.300377150328998</v>
      </c>
      <c r="O3766">
        <v>45.520344918720397</v>
      </c>
      <c r="P3766">
        <v>-0.10233214517313501</v>
      </c>
      <c r="Q3766">
        <v>6.5245747474083807E-2</v>
      </c>
      <c r="R3766">
        <v>0.99433622332070204</v>
      </c>
      <c r="S3766" t="s">
        <v>10334</v>
      </c>
      <c r="T3766" t="s">
        <v>13134</v>
      </c>
      <c r="U3766" t="s">
        <v>13134</v>
      </c>
      <c r="V3766" t="s">
        <v>13134</v>
      </c>
      <c r="W3766" t="s">
        <v>16844</v>
      </c>
      <c r="X3766">
        <v>3</v>
      </c>
      <c r="Y3766" t="s">
        <v>23235</v>
      </c>
      <c r="Z3766" t="s">
        <v>29734</v>
      </c>
      <c r="AA3766">
        <v>0.35721586110323672</v>
      </c>
      <c r="AB3766" t="str">
        <f>HYPERLINK("Melting_Curves/meltCurve_Q504Q3_2_PAN2.pdf", "Melting_Curves/meltCurve_Q504Q3_2_PAN2.pdf")</f>
        <v>Melting_Curves/meltCurve_Q504Q3_2_PAN2.pdf</v>
      </c>
    </row>
    <row r="3767" spans="1:28" x14ac:dyDescent="0.25">
      <c r="A3767" t="s">
        <v>3771</v>
      </c>
      <c r="B3767">
        <v>0.99472303558308395</v>
      </c>
      <c r="C3767">
        <v>0.86899375510436805</v>
      </c>
      <c r="D3767">
        <v>0.89379120391886302</v>
      </c>
      <c r="E3767">
        <v>0.69971387496680604</v>
      </c>
      <c r="F3767">
        <v>0.43648642292496598</v>
      </c>
      <c r="G3767">
        <v>0.12778371368656199</v>
      </c>
      <c r="H3767">
        <v>8.1384136943745203E-2</v>
      </c>
      <c r="I3767">
        <v>6.00576239616342E-2</v>
      </c>
      <c r="J3767">
        <v>6.5367992979120604E-2</v>
      </c>
      <c r="K3767">
        <v>6.4384785289056307E-2</v>
      </c>
      <c r="L3767">
        <v>821.01962470742205</v>
      </c>
      <c r="M3767">
        <v>16.873968018745</v>
      </c>
      <c r="N3767">
        <v>48.837059428326697</v>
      </c>
      <c r="O3767">
        <v>47.988038190355503</v>
      </c>
      <c r="P3767">
        <v>-8.52470041587578E-2</v>
      </c>
      <c r="Q3767">
        <v>3.0322639788122E-2</v>
      </c>
      <c r="R3767">
        <v>0.98647078756361395</v>
      </c>
      <c r="S3767" t="s">
        <v>10335</v>
      </c>
      <c r="T3767" t="s">
        <v>13134</v>
      </c>
      <c r="U3767" t="s">
        <v>13134</v>
      </c>
      <c r="V3767" t="s">
        <v>13134</v>
      </c>
      <c r="W3767" t="s">
        <v>16845</v>
      </c>
      <c r="X3767">
        <v>12</v>
      </c>
      <c r="Y3767" t="s">
        <v>23236</v>
      </c>
      <c r="Z3767" t="s">
        <v>29735</v>
      </c>
      <c r="AA3767">
        <v>0.42436824705576881</v>
      </c>
      <c r="AB3767" t="str">
        <f>HYPERLINK("Melting_Curves/meltCurve_Q52LJ0_2_FAM98B.pdf", "Melting_Curves/meltCurve_Q52LJ0_2_FAM98B.pdf")</f>
        <v>Melting_Curves/meltCurve_Q52LJ0_2_FAM98B.pdf</v>
      </c>
    </row>
    <row r="3768" spans="1:28" x14ac:dyDescent="0.25">
      <c r="A3768" t="s">
        <v>3772</v>
      </c>
      <c r="B3768">
        <v>0.99472303558308395</v>
      </c>
      <c r="C3768">
        <v>0.84172648758755497</v>
      </c>
      <c r="D3768">
        <v>0.97428622823682098</v>
      </c>
      <c r="E3768">
        <v>0.71578980882610199</v>
      </c>
      <c r="F3768">
        <v>0.281003647102813</v>
      </c>
      <c r="G3768">
        <v>0.111791717295415</v>
      </c>
      <c r="H3768">
        <v>6.7655950360974798E-2</v>
      </c>
      <c r="I3768">
        <v>4.4603055484780697E-2</v>
      </c>
      <c r="J3768">
        <v>3.7398765427914003E-2</v>
      </c>
      <c r="K3768">
        <v>3.9151193658367202E-2</v>
      </c>
      <c r="L3768">
        <v>1213.1967437164201</v>
      </c>
      <c r="M3768">
        <v>25.2059601726192</v>
      </c>
      <c r="N3768">
        <v>48.297616549659303</v>
      </c>
      <c r="O3768">
        <v>47.831459088011997</v>
      </c>
      <c r="P3768">
        <v>-0.12627072645631501</v>
      </c>
      <c r="Q3768">
        <v>4.1554553706203298E-2</v>
      </c>
      <c r="R3768">
        <v>0.98462065805468602</v>
      </c>
      <c r="S3768" t="s">
        <v>10336</v>
      </c>
      <c r="T3768" t="s">
        <v>13134</v>
      </c>
      <c r="U3768" t="s">
        <v>13134</v>
      </c>
      <c r="V3768" t="s">
        <v>13134</v>
      </c>
      <c r="W3768" t="s">
        <v>16846</v>
      </c>
      <c r="X3768">
        <v>10</v>
      </c>
      <c r="Y3768" t="s">
        <v>23237</v>
      </c>
      <c r="Z3768" t="s">
        <v>29736</v>
      </c>
      <c r="AA3768">
        <v>0.40523230828852091</v>
      </c>
      <c r="AB3768" t="str">
        <f>HYPERLINK("Melting_Curves/meltCurve_Q53EL6_2_PDCD4.pdf", "Melting_Curves/meltCurve_Q53EL6_2_PDCD4.pdf")</f>
        <v>Melting_Curves/meltCurve_Q53EL6_2_PDCD4.pdf</v>
      </c>
    </row>
    <row r="3769" spans="1:28" x14ac:dyDescent="0.25">
      <c r="A3769" t="s">
        <v>3773</v>
      </c>
      <c r="B3769">
        <v>0.99472303558308395</v>
      </c>
      <c r="C3769">
        <v>0.75465010424116696</v>
      </c>
      <c r="D3769">
        <v>0.54490671488113496</v>
      </c>
      <c r="E3769">
        <v>0.22507519063526299</v>
      </c>
      <c r="F3769">
        <v>0.12899523838480401</v>
      </c>
      <c r="G3769">
        <v>6.4549149948734202E-2</v>
      </c>
      <c r="H3769">
        <v>3.7857119492535597E-2</v>
      </c>
      <c r="I3769">
        <v>2.8502168231033499E-2</v>
      </c>
      <c r="J3769">
        <v>2.09496524080201E-2</v>
      </c>
      <c r="K3769">
        <v>9.5040475536318208E-3</v>
      </c>
      <c r="L3769">
        <v>705.03981666951097</v>
      </c>
      <c r="M3769">
        <v>16.3379782571498</v>
      </c>
      <c r="N3769">
        <v>43.259995042278298</v>
      </c>
      <c r="O3769">
        <v>42.522467250067599</v>
      </c>
      <c r="P3769">
        <v>-9.4167243796052402E-2</v>
      </c>
      <c r="Q3769">
        <v>1.9723455289765601E-2</v>
      </c>
      <c r="R3769">
        <v>0.99457521334990595</v>
      </c>
      <c r="S3769" t="s">
        <v>10337</v>
      </c>
      <c r="T3769" t="s">
        <v>13134</v>
      </c>
      <c r="U3769" t="s">
        <v>13134</v>
      </c>
      <c r="V3769" t="s">
        <v>13134</v>
      </c>
      <c r="W3769" t="s">
        <v>16847</v>
      </c>
      <c r="X3769">
        <v>2</v>
      </c>
      <c r="Y3769" t="s">
        <v>23238</v>
      </c>
      <c r="Z3769" t="s">
        <v>29737</v>
      </c>
      <c r="AA3769">
        <v>0.2420967852119871</v>
      </c>
      <c r="AB3769" t="str">
        <f>HYPERLINK("Melting_Curves/meltCurve_Q53EP0_2_FNDC3B.pdf", "Melting_Curves/meltCurve_Q53EP0_2_FNDC3B.pdf")</f>
        <v>Melting_Curves/meltCurve_Q53EP0_2_FNDC3B.pdf</v>
      </c>
    </row>
    <row r="3770" spans="1:28" x14ac:dyDescent="0.25">
      <c r="A3770" t="s">
        <v>3774</v>
      </c>
      <c r="B3770">
        <v>0.99472303558308395</v>
      </c>
      <c r="C3770">
        <v>0.980677599177322</v>
      </c>
      <c r="D3770">
        <v>0.8010703163863</v>
      </c>
      <c r="E3770">
        <v>0.68285583704911301</v>
      </c>
      <c r="F3770">
        <v>0.50158998800217003</v>
      </c>
      <c r="G3770">
        <v>0.14612420004101201</v>
      </c>
      <c r="H3770">
        <v>9.4033335306687699E-2</v>
      </c>
      <c r="I3770">
        <v>5.7694319781097202E-2</v>
      </c>
      <c r="J3770">
        <v>5.8903549968881898E-2</v>
      </c>
      <c r="K3770">
        <v>5.90115145461209E-2</v>
      </c>
      <c r="L3770">
        <v>688.91154702839106</v>
      </c>
      <c r="M3770">
        <v>14.0723854997473</v>
      </c>
      <c r="N3770">
        <v>49.003990522204901</v>
      </c>
      <c r="O3770">
        <v>47.998073350438503</v>
      </c>
      <c r="P3770">
        <v>-7.2792540453549895E-2</v>
      </c>
      <c r="Q3770">
        <v>7.0059838307654099E-3</v>
      </c>
      <c r="R3770">
        <v>0.98517094009185402</v>
      </c>
      <c r="S3770" t="s">
        <v>10338</v>
      </c>
      <c r="T3770" t="s">
        <v>13134</v>
      </c>
      <c r="U3770" t="s">
        <v>13134</v>
      </c>
      <c r="V3770" t="s">
        <v>13134</v>
      </c>
      <c r="W3770" t="s">
        <v>16848</v>
      </c>
      <c r="X3770">
        <v>4</v>
      </c>
      <c r="Y3770" t="s">
        <v>23239</v>
      </c>
      <c r="Z3770" t="s">
        <v>29738</v>
      </c>
      <c r="AA3770">
        <v>0.42630600510505112</v>
      </c>
      <c r="AB3770" t="str">
        <f>HYPERLINK("Melting_Curves/meltCurve_Q53EU6_AGPAT9.pdf", "Melting_Curves/meltCurve_Q53EU6_AGPAT9.pdf")</f>
        <v>Melting_Curves/meltCurve_Q53EU6_AGPAT9.pdf</v>
      </c>
    </row>
    <row r="3771" spans="1:28" x14ac:dyDescent="0.25">
      <c r="A3771" t="s">
        <v>3775</v>
      </c>
      <c r="B3771">
        <v>0.99472303558308395</v>
      </c>
      <c r="C3771">
        <v>0.95895543082978496</v>
      </c>
      <c r="D3771">
        <v>0.66273017524543898</v>
      </c>
      <c r="E3771">
        <v>0.32042354727806899</v>
      </c>
      <c r="F3771">
        <v>0.18660429005799301</v>
      </c>
      <c r="G3771">
        <v>0.12071526196679599</v>
      </c>
      <c r="H3771">
        <v>8.0050036373448402E-2</v>
      </c>
      <c r="I3771">
        <v>7.5095093452746703E-2</v>
      </c>
      <c r="J3771">
        <v>0.104167774781308</v>
      </c>
      <c r="K3771">
        <v>6.8805178583271606E-2</v>
      </c>
      <c r="L3771">
        <v>939.81488775822004</v>
      </c>
      <c r="M3771">
        <v>21.219114602371601</v>
      </c>
      <c r="N3771">
        <v>44.695819216399499</v>
      </c>
      <c r="O3771">
        <v>43.903207136131201</v>
      </c>
      <c r="P3771">
        <v>-0.110267885169179</v>
      </c>
      <c r="Q3771">
        <v>8.7428631834069195E-2</v>
      </c>
      <c r="R3771">
        <v>0.99664736876305604</v>
      </c>
      <c r="S3771" t="s">
        <v>10339</v>
      </c>
      <c r="T3771" t="s">
        <v>13134</v>
      </c>
      <c r="U3771" t="s">
        <v>13134</v>
      </c>
      <c r="V3771" t="s">
        <v>13134</v>
      </c>
      <c r="W3771" t="s">
        <v>16849</v>
      </c>
      <c r="X3771">
        <v>3</v>
      </c>
      <c r="Y3771" t="s">
        <v>23240</v>
      </c>
      <c r="Z3771" t="s">
        <v>29739</v>
      </c>
      <c r="AA3771">
        <v>0.31987776071724888</v>
      </c>
      <c r="AB3771" t="str">
        <f>HYPERLINK("Melting_Curves/meltCurve_Q53EZ4_2_CEP55.pdf", "Melting_Curves/meltCurve_Q53EZ4_2_CEP55.pdf")</f>
        <v>Melting_Curves/meltCurve_Q53EZ4_2_CEP55.pdf</v>
      </c>
    </row>
    <row r="3772" spans="1:28" x14ac:dyDescent="0.25">
      <c r="A3772" t="s">
        <v>3776</v>
      </c>
      <c r="B3772">
        <v>0.99472303558308395</v>
      </c>
      <c r="C3772">
        <v>0.89953449816220199</v>
      </c>
      <c r="D3772">
        <v>1.06409614045059</v>
      </c>
      <c r="E3772">
        <v>0.901188718436856</v>
      </c>
      <c r="F3772">
        <v>0.97718991347120798</v>
      </c>
      <c r="G3772">
        <v>0.70031141702800503</v>
      </c>
      <c r="H3772">
        <v>0.66067429418116497</v>
      </c>
      <c r="I3772">
        <v>0.56745808308101897</v>
      </c>
      <c r="J3772">
        <v>0.805231687956805</v>
      </c>
      <c r="K3772">
        <v>0.517005740103058</v>
      </c>
      <c r="L3772">
        <v>3039.74124155248</v>
      </c>
      <c r="M3772">
        <v>58.010825150030797</v>
      </c>
      <c r="O3772">
        <v>52.337391990670099</v>
      </c>
      <c r="P3772">
        <v>-0.100700770945783</v>
      </c>
      <c r="Q3772">
        <v>0.636591051190177</v>
      </c>
      <c r="R3772">
        <v>0.77649599889531595</v>
      </c>
      <c r="S3772" t="s">
        <v>10340</v>
      </c>
      <c r="T3772" t="s">
        <v>13134</v>
      </c>
      <c r="U3772" t="s">
        <v>13134</v>
      </c>
      <c r="V3772" t="s">
        <v>13134</v>
      </c>
      <c r="W3772" t="s">
        <v>16850</v>
      </c>
      <c r="X3772">
        <v>1</v>
      </c>
      <c r="Y3772" t="s">
        <v>23241</v>
      </c>
      <c r="Z3772" t="s">
        <v>29740</v>
      </c>
      <c r="AA3772">
        <v>0.82375859043108013</v>
      </c>
      <c r="AB3772" t="str">
        <f>HYPERLINK("Melting_Curves/meltCurve_Q53FA7_TP53I3.pdf", "Melting_Curves/meltCurve_Q53FA7_TP53I3.pdf")</f>
        <v>Melting_Curves/meltCurve_Q53FA7_TP53I3.pdf</v>
      </c>
    </row>
    <row r="3773" spans="1:28" x14ac:dyDescent="0.25">
      <c r="A3773" t="s">
        <v>3777</v>
      </c>
      <c r="B3773">
        <v>0.99472303558308395</v>
      </c>
      <c r="C3773">
        <v>0.99836628788180604</v>
      </c>
      <c r="D3773">
        <v>1.0892304739623899</v>
      </c>
      <c r="E3773">
        <v>0.97621251534380005</v>
      </c>
      <c r="F3773">
        <v>0.78241607847484795</v>
      </c>
      <c r="G3773">
        <v>0.40623174552048202</v>
      </c>
      <c r="H3773">
        <v>0.134811492953856</v>
      </c>
      <c r="I3773">
        <v>0.101249481543092</v>
      </c>
      <c r="J3773">
        <v>0.146250445278896</v>
      </c>
      <c r="K3773">
        <v>0.133013858124471</v>
      </c>
      <c r="L3773">
        <v>1546.39096719483</v>
      </c>
      <c r="M3773">
        <v>29.581492898392401</v>
      </c>
      <c r="N3773">
        <v>52.735958367631902</v>
      </c>
      <c r="O3773">
        <v>52.0384709782955</v>
      </c>
      <c r="P3773">
        <v>-0.125943786676571</v>
      </c>
      <c r="Q3773">
        <v>0.113786859333376</v>
      </c>
      <c r="R3773">
        <v>0.99250729963866602</v>
      </c>
      <c r="S3773" t="s">
        <v>10341</v>
      </c>
      <c r="T3773" t="s">
        <v>13134</v>
      </c>
      <c r="U3773" t="s">
        <v>13134</v>
      </c>
      <c r="V3773" t="s">
        <v>13134</v>
      </c>
      <c r="W3773" t="s">
        <v>16851</v>
      </c>
      <c r="X3773">
        <v>2</v>
      </c>
      <c r="Y3773" t="s">
        <v>23242</v>
      </c>
      <c r="Z3773" t="s">
        <v>29741</v>
      </c>
      <c r="AA3773">
        <v>0.57079482675275861</v>
      </c>
      <c r="AB3773" t="str">
        <f>HYPERLINK("Melting_Curves/meltCurve_Q53FT3_C11orf73.pdf", "Melting_Curves/meltCurve_Q53FT3_C11orf73.pdf")</f>
        <v>Melting_Curves/meltCurve_Q53FT3_C11orf73.pdf</v>
      </c>
    </row>
    <row r="3774" spans="1:28" x14ac:dyDescent="0.25">
      <c r="A3774" t="s">
        <v>3778</v>
      </c>
      <c r="B3774">
        <v>0.99472303558308395</v>
      </c>
      <c r="C3774">
        <v>0.939996008994194</v>
      </c>
      <c r="D3774">
        <v>0.84797409564675996</v>
      </c>
      <c r="E3774">
        <v>0.65519838109039796</v>
      </c>
      <c r="F3774">
        <v>0.54126868027118502</v>
      </c>
      <c r="G3774">
        <v>0.24523612972474701</v>
      </c>
      <c r="H3774">
        <v>0.14351474170314499</v>
      </c>
      <c r="I3774">
        <v>6.2339188132848798E-2</v>
      </c>
      <c r="J3774">
        <v>7.0907141336684201E-2</v>
      </c>
      <c r="K3774">
        <v>6.9905403669679206E-2</v>
      </c>
      <c r="L3774">
        <v>598.97378888671597</v>
      </c>
      <c r="M3774">
        <v>12.0770822018624</v>
      </c>
      <c r="N3774">
        <v>49.595922073489497</v>
      </c>
      <c r="O3774">
        <v>48.294832732906102</v>
      </c>
      <c r="P3774">
        <v>-6.2532162221876797E-2</v>
      </c>
      <c r="Q3774">
        <v>0</v>
      </c>
      <c r="R3774">
        <v>0.99175005799622695</v>
      </c>
      <c r="S3774" t="s">
        <v>10342</v>
      </c>
      <c r="T3774" t="s">
        <v>13134</v>
      </c>
      <c r="U3774" t="s">
        <v>13134</v>
      </c>
      <c r="V3774" t="s">
        <v>13134</v>
      </c>
      <c r="W3774" t="s">
        <v>16852</v>
      </c>
      <c r="X3774">
        <v>13</v>
      </c>
      <c r="Y3774" t="s">
        <v>23243</v>
      </c>
      <c r="Z3774" t="s">
        <v>29742</v>
      </c>
      <c r="AA3774">
        <v>0.44834993356785741</v>
      </c>
      <c r="AB3774" t="str">
        <f>HYPERLINK("Melting_Curves/meltCurve_Q53FZ2_ACSM3.pdf", "Melting_Curves/meltCurve_Q53FZ2_ACSM3.pdf")</f>
        <v>Melting_Curves/meltCurve_Q53FZ2_ACSM3.pdf</v>
      </c>
    </row>
    <row r="3775" spans="1:28" x14ac:dyDescent="0.25">
      <c r="A3775" t="s">
        <v>3779</v>
      </c>
      <c r="B3775">
        <v>0.99472303558308395</v>
      </c>
      <c r="C3775">
        <v>1.0117183713379101</v>
      </c>
      <c r="D3775">
        <v>0.99842913639906805</v>
      </c>
      <c r="E3775">
        <v>0.940848732818932</v>
      </c>
      <c r="F3775">
        <v>0.65524053272468197</v>
      </c>
      <c r="G3775">
        <v>0.58410592880936796</v>
      </c>
      <c r="H3775">
        <v>0.39966985451586201</v>
      </c>
      <c r="I3775">
        <v>0.14348659996713201</v>
      </c>
      <c r="J3775">
        <v>0.126029146534093</v>
      </c>
      <c r="K3775">
        <v>0.101136962019265</v>
      </c>
      <c r="L3775">
        <v>691.84808807432796</v>
      </c>
      <c r="M3775">
        <v>12.686685203728899</v>
      </c>
      <c r="N3775">
        <v>54.533400741006602</v>
      </c>
      <c r="O3775">
        <v>53.231723174691503</v>
      </c>
      <c r="P3775">
        <v>-5.9593934271420401E-2</v>
      </c>
      <c r="Q3775">
        <v>0</v>
      </c>
      <c r="R3775">
        <v>0.98420289063433297</v>
      </c>
      <c r="S3775" t="s">
        <v>10343</v>
      </c>
      <c r="T3775" t="s">
        <v>13134</v>
      </c>
      <c r="U3775" t="s">
        <v>13134</v>
      </c>
      <c r="V3775" t="s">
        <v>13134</v>
      </c>
      <c r="W3775" t="s">
        <v>16853</v>
      </c>
      <c r="X3775">
        <v>5</v>
      </c>
      <c r="Y3775" t="s">
        <v>23244</v>
      </c>
      <c r="Z3775" t="s">
        <v>29743</v>
      </c>
      <c r="AA3775">
        <v>0.60044888267650243</v>
      </c>
      <c r="AB3775" t="str">
        <f>HYPERLINK("Melting_Curves/meltCurve_Q53GQ0_HSD17B12.pdf", "Melting_Curves/meltCurve_Q53GQ0_HSD17B12.pdf")</f>
        <v>Melting_Curves/meltCurve_Q53GQ0_HSD17B12.pdf</v>
      </c>
    </row>
    <row r="3776" spans="1:28" x14ac:dyDescent="0.25">
      <c r="A3776" t="s">
        <v>3780</v>
      </c>
      <c r="B3776">
        <v>0.99472303558308395</v>
      </c>
      <c r="C3776">
        <v>0.989385935183557</v>
      </c>
      <c r="D3776">
        <v>0.92165161867555601</v>
      </c>
      <c r="E3776">
        <v>0.83482236405202304</v>
      </c>
      <c r="F3776">
        <v>0.47330112022374199</v>
      </c>
      <c r="G3776">
        <v>0.210297027332011</v>
      </c>
      <c r="H3776">
        <v>0.10039046277802501</v>
      </c>
      <c r="I3776">
        <v>7.2363986911450101E-2</v>
      </c>
      <c r="J3776">
        <v>8.0673036421153393E-2</v>
      </c>
      <c r="K3776">
        <v>5.0800718028677201E-2</v>
      </c>
      <c r="L3776">
        <v>1058.7768528142101</v>
      </c>
      <c r="M3776">
        <v>21.304307544119801</v>
      </c>
      <c r="N3776">
        <v>49.974778920902203</v>
      </c>
      <c r="O3776">
        <v>49.266118203542</v>
      </c>
      <c r="P3776">
        <v>-0.102090433759739</v>
      </c>
      <c r="Q3776">
        <v>5.5689149266328897E-2</v>
      </c>
      <c r="R3776">
        <v>0.99814626663127204</v>
      </c>
      <c r="S3776" t="s">
        <v>10344</v>
      </c>
      <c r="T3776" t="s">
        <v>13134</v>
      </c>
      <c r="U3776" t="s">
        <v>13134</v>
      </c>
      <c r="V3776" t="s">
        <v>13134</v>
      </c>
      <c r="W3776" t="s">
        <v>16854</v>
      </c>
      <c r="X3776">
        <v>6</v>
      </c>
      <c r="Y3776" t="s">
        <v>23245</v>
      </c>
      <c r="Z3776" t="s">
        <v>29744</v>
      </c>
      <c r="AA3776">
        <v>0.46648439364847433</v>
      </c>
      <c r="AB3776" t="str">
        <f>HYPERLINK("Melting_Curves/meltCurve_Q53H47_SETMAR.pdf", "Melting_Curves/meltCurve_Q53H47_SETMAR.pdf")</f>
        <v>Melting_Curves/meltCurve_Q53H47_SETMAR.pdf</v>
      </c>
    </row>
    <row r="3777" spans="1:28" x14ac:dyDescent="0.25">
      <c r="A3777" t="s">
        <v>3781</v>
      </c>
      <c r="B3777">
        <v>0.99472303558308395</v>
      </c>
      <c r="C3777">
        <v>1.0505580160088801</v>
      </c>
      <c r="D3777">
        <v>0.92273607329472895</v>
      </c>
      <c r="E3777">
        <v>0.440359351093777</v>
      </c>
      <c r="F3777">
        <v>0.26109651446418403</v>
      </c>
      <c r="G3777">
        <v>0.13599854609235401</v>
      </c>
      <c r="H3777">
        <v>8.3468333066103698E-2</v>
      </c>
      <c r="I3777">
        <v>6.4834278035275403E-2</v>
      </c>
      <c r="J3777">
        <v>8.5367221795327103E-2</v>
      </c>
      <c r="K3777">
        <v>5.2302674674518601E-2</v>
      </c>
      <c r="L3777">
        <v>1176.45870869535</v>
      </c>
      <c r="M3777">
        <v>25.454331766735098</v>
      </c>
      <c r="N3777">
        <v>46.558828575152504</v>
      </c>
      <c r="O3777">
        <v>45.935987157330203</v>
      </c>
      <c r="P3777">
        <v>-0.12677070967193799</v>
      </c>
      <c r="Q3777">
        <v>8.4908043391917404E-2</v>
      </c>
      <c r="R3777">
        <v>0.98969783030712999</v>
      </c>
      <c r="S3777" t="s">
        <v>10345</v>
      </c>
      <c r="T3777" t="s">
        <v>13134</v>
      </c>
      <c r="U3777" t="s">
        <v>13134</v>
      </c>
      <c r="V3777" t="s">
        <v>13134</v>
      </c>
      <c r="W3777" t="s">
        <v>16855</v>
      </c>
      <c r="X3777">
        <v>3</v>
      </c>
      <c r="Y3777" t="s">
        <v>23246</v>
      </c>
      <c r="Z3777" t="s">
        <v>29745</v>
      </c>
      <c r="AA3777">
        <v>0.37342634093523519</v>
      </c>
      <c r="AB3777" t="str">
        <f>HYPERLINK("Melting_Curves/meltCurve_Q53H54_TRMT12.pdf", "Melting_Curves/meltCurve_Q53H54_TRMT12.pdf")</f>
        <v>Melting_Curves/meltCurve_Q53H54_TRMT12.pdf</v>
      </c>
    </row>
    <row r="3778" spans="1:28" x14ac:dyDescent="0.25">
      <c r="A3778" t="s">
        <v>3782</v>
      </c>
      <c r="B3778">
        <v>0.99472303558308395</v>
      </c>
      <c r="C3778">
        <v>1.01003156844229</v>
      </c>
      <c r="D3778">
        <v>1.0776525505961401</v>
      </c>
      <c r="E3778">
        <v>0.88124513971799601</v>
      </c>
      <c r="F3778">
        <v>0.73946907474776102</v>
      </c>
      <c r="G3778">
        <v>0.59140538853056901</v>
      </c>
      <c r="H3778">
        <v>0.32176481109542598</v>
      </c>
      <c r="I3778">
        <v>0.47848867181374299</v>
      </c>
      <c r="J3778">
        <v>0.29236058486016098</v>
      </c>
      <c r="K3778">
        <v>0.22441322213456499</v>
      </c>
      <c r="L3778">
        <v>819.10194534266498</v>
      </c>
      <c r="M3778">
        <v>15.620243561357601</v>
      </c>
      <c r="N3778">
        <v>55.054207562416302</v>
      </c>
      <c r="O3778">
        <v>51.6015858363047</v>
      </c>
      <c r="P3778">
        <v>-5.5857990432610298E-2</v>
      </c>
      <c r="Q3778">
        <v>0.26195453541224301</v>
      </c>
      <c r="R3778">
        <v>0.95207819292915796</v>
      </c>
      <c r="S3778" t="s">
        <v>10346</v>
      </c>
      <c r="T3778" t="s">
        <v>13134</v>
      </c>
      <c r="U3778" t="s">
        <v>13134</v>
      </c>
      <c r="V3778" t="s">
        <v>13134</v>
      </c>
      <c r="W3778" t="s">
        <v>16856</v>
      </c>
      <c r="X3778">
        <v>14</v>
      </c>
      <c r="Y3778" t="s">
        <v>23247</v>
      </c>
      <c r="Z3778" t="s">
        <v>29746</v>
      </c>
      <c r="AA3778">
        <v>0.65489796738801942</v>
      </c>
      <c r="AB3778" t="str">
        <f>HYPERLINK("Melting_Curves/meltCurve_Q53H82_LACTB2.pdf", "Melting_Curves/meltCurve_Q53H82_LACTB2.pdf")</f>
        <v>Melting_Curves/meltCurve_Q53H82_LACTB2.pdf</v>
      </c>
    </row>
    <row r="3779" spans="1:28" x14ac:dyDescent="0.25">
      <c r="A3779" t="s">
        <v>3783</v>
      </c>
      <c r="B3779">
        <v>0.99472303558308395</v>
      </c>
      <c r="C3779">
        <v>1.0166502519529601</v>
      </c>
      <c r="D3779">
        <v>0.83236961886557903</v>
      </c>
      <c r="E3779">
        <v>0.75475745504133696</v>
      </c>
      <c r="F3779">
        <v>0.78998096787096606</v>
      </c>
      <c r="G3779">
        <v>0.48217354366863002</v>
      </c>
      <c r="H3779">
        <v>0.32126734452553801</v>
      </c>
      <c r="I3779">
        <v>0.355519113167579</v>
      </c>
      <c r="J3779">
        <v>0.34899285340178599</v>
      </c>
      <c r="K3779">
        <v>0.29559730413887297</v>
      </c>
      <c r="L3779">
        <v>561.08811292652604</v>
      </c>
      <c r="M3779">
        <v>10.990772077147501</v>
      </c>
      <c r="N3779">
        <v>54.229636491287003</v>
      </c>
      <c r="O3779">
        <v>49.448111280436599</v>
      </c>
      <c r="P3779">
        <v>-4.2385946696484503E-2</v>
      </c>
      <c r="Q3779">
        <v>0.23747092153420299</v>
      </c>
      <c r="R3779">
        <v>0.94548834726491604</v>
      </c>
      <c r="S3779" t="s">
        <v>10347</v>
      </c>
      <c r="T3779" t="s">
        <v>13134</v>
      </c>
      <c r="U3779" t="s">
        <v>13134</v>
      </c>
      <c r="V3779" t="s">
        <v>13134</v>
      </c>
      <c r="W3779" t="s">
        <v>16857</v>
      </c>
      <c r="X3779">
        <v>9</v>
      </c>
      <c r="Y3779" t="s">
        <v>23248</v>
      </c>
      <c r="Z3779" t="s">
        <v>29747</v>
      </c>
      <c r="AA3779">
        <v>0.61604393704081539</v>
      </c>
      <c r="AB3779" t="str">
        <f>HYPERLINK("Melting_Curves/meltCurve_Q53H96_PYCRL.pdf", "Melting_Curves/meltCurve_Q53H96_PYCRL.pdf")</f>
        <v>Melting_Curves/meltCurve_Q53H96_PYCRL.pdf</v>
      </c>
    </row>
    <row r="3780" spans="1:28" x14ac:dyDescent="0.25">
      <c r="A3780" t="s">
        <v>3784</v>
      </c>
      <c r="B3780">
        <v>0.99472303558308395</v>
      </c>
      <c r="C3780">
        <v>0.81433781959386298</v>
      </c>
      <c r="D3780">
        <v>0.77894417570601104</v>
      </c>
      <c r="E3780">
        <v>0.47750759312750601</v>
      </c>
      <c r="F3780">
        <v>0.30185135333542601</v>
      </c>
      <c r="G3780">
        <v>0.124255325503617</v>
      </c>
      <c r="H3780">
        <v>8.43781739197417E-2</v>
      </c>
      <c r="I3780">
        <v>3.2435207622852999E-2</v>
      </c>
      <c r="J3780">
        <v>4.66655634727259E-2</v>
      </c>
      <c r="K3780">
        <v>1.9182344985567E-2</v>
      </c>
      <c r="L3780">
        <v>585.96374791256505</v>
      </c>
      <c r="M3780">
        <v>12.6123030798027</v>
      </c>
      <c r="N3780">
        <v>46.459694390391398</v>
      </c>
      <c r="O3780">
        <v>45.338127715956901</v>
      </c>
      <c r="P3780">
        <v>-6.9559608553524097E-2</v>
      </c>
      <c r="Q3780">
        <v>0</v>
      </c>
      <c r="R3780">
        <v>0.991680440593803</v>
      </c>
      <c r="S3780" t="s">
        <v>10348</v>
      </c>
      <c r="T3780" t="s">
        <v>13134</v>
      </c>
      <c r="U3780" t="s">
        <v>13134</v>
      </c>
      <c r="V3780" t="s">
        <v>13134</v>
      </c>
      <c r="W3780" t="s">
        <v>16858</v>
      </c>
      <c r="X3780">
        <v>4</v>
      </c>
      <c r="Y3780" t="s">
        <v>23249</v>
      </c>
      <c r="Z3780" t="s">
        <v>29748</v>
      </c>
      <c r="AA3780">
        <v>0.34634739575338103</v>
      </c>
      <c r="AB3780" t="str">
        <f>HYPERLINK("Melting_Curves/meltCurve_Q53R41_FASTKD1.pdf", "Melting_Curves/meltCurve_Q53R41_FASTKD1.pdf")</f>
        <v>Melting_Curves/meltCurve_Q53R41_FASTKD1.pdf</v>
      </c>
    </row>
    <row r="3781" spans="1:28" x14ac:dyDescent="0.25">
      <c r="A3781" t="s">
        <v>3785</v>
      </c>
      <c r="B3781">
        <v>0.99472303558308395</v>
      </c>
      <c r="C3781">
        <v>0.87747751627852399</v>
      </c>
      <c r="D3781">
        <v>0.61523546344764601</v>
      </c>
      <c r="E3781">
        <v>0.37396443799495199</v>
      </c>
      <c r="F3781">
        <v>0.28124214789804503</v>
      </c>
      <c r="G3781">
        <v>0.13106348025512499</v>
      </c>
      <c r="H3781">
        <v>9.0762479154188599E-2</v>
      </c>
      <c r="I3781">
        <v>5.46132188796946E-2</v>
      </c>
      <c r="J3781">
        <v>6.0151862115695599E-2</v>
      </c>
      <c r="K3781">
        <v>5.1974852259290501E-2</v>
      </c>
      <c r="L3781">
        <v>615.51642012509603</v>
      </c>
      <c r="M3781">
        <v>13.7553803790885</v>
      </c>
      <c r="N3781">
        <v>45.075525915824997</v>
      </c>
      <c r="O3781">
        <v>43.833375359196502</v>
      </c>
      <c r="P3781">
        <v>-7.4724797638645798E-2</v>
      </c>
      <c r="Q3781">
        <v>4.7652410496305898E-2</v>
      </c>
      <c r="R3781">
        <v>0.992447695405274</v>
      </c>
      <c r="S3781" t="s">
        <v>10349</v>
      </c>
      <c r="T3781" t="s">
        <v>13134</v>
      </c>
      <c r="U3781" t="s">
        <v>13134</v>
      </c>
      <c r="V3781" t="s">
        <v>13134</v>
      </c>
      <c r="W3781" t="s">
        <v>16859</v>
      </c>
      <c r="X3781">
        <v>4</v>
      </c>
      <c r="Y3781" t="s">
        <v>23250</v>
      </c>
      <c r="Z3781" t="s">
        <v>29749</v>
      </c>
      <c r="AA3781">
        <v>0.32074803217551762</v>
      </c>
      <c r="AB3781" t="str">
        <f>HYPERLINK("Melting_Curves/meltCurve_Q53RE8_ANKRD39.pdf", "Melting_Curves/meltCurve_Q53RE8_ANKRD39.pdf")</f>
        <v>Melting_Curves/meltCurve_Q53RE8_ANKRD39.pdf</v>
      </c>
    </row>
    <row r="3782" spans="1:28" x14ac:dyDescent="0.25">
      <c r="A3782" t="s">
        <v>3786</v>
      </c>
      <c r="B3782">
        <v>0.99472303558308395</v>
      </c>
      <c r="C3782">
        <v>1.0175098359735699</v>
      </c>
      <c r="D3782">
        <v>1.0269974954688399</v>
      </c>
      <c r="E3782">
        <v>0.899960710469904</v>
      </c>
      <c r="F3782">
        <v>0.60657279349064597</v>
      </c>
      <c r="G3782">
        <v>0.55912505913028898</v>
      </c>
      <c r="H3782">
        <v>0.38364683527096599</v>
      </c>
      <c r="I3782">
        <v>0.32299977566085197</v>
      </c>
      <c r="J3782">
        <v>0.31103729663921098</v>
      </c>
      <c r="K3782">
        <v>0.19899657451393499</v>
      </c>
      <c r="L3782">
        <v>740.50886002332197</v>
      </c>
      <c r="M3782">
        <v>14.316624919996601</v>
      </c>
      <c r="N3782">
        <v>54.034609383383703</v>
      </c>
      <c r="O3782">
        <v>50.745940665682298</v>
      </c>
      <c r="P3782">
        <v>-5.43899785419691E-2</v>
      </c>
      <c r="Q3782">
        <v>0.22894229489218701</v>
      </c>
      <c r="R3782">
        <v>0.97726791919117695</v>
      </c>
      <c r="S3782" t="s">
        <v>10350</v>
      </c>
      <c r="T3782" t="s">
        <v>13134</v>
      </c>
      <c r="U3782" t="s">
        <v>13134</v>
      </c>
      <c r="V3782" t="s">
        <v>13134</v>
      </c>
      <c r="W3782" t="s">
        <v>16860</v>
      </c>
      <c r="X3782">
        <v>8</v>
      </c>
      <c r="Y3782" t="s">
        <v>23251</v>
      </c>
      <c r="Z3782" t="s">
        <v>29750</v>
      </c>
      <c r="AA3782">
        <v>0.62319115266485747</v>
      </c>
      <c r="AB3782" t="str">
        <f>HYPERLINK("Melting_Curves/meltCurve_Q53S33_BOLA3.pdf", "Melting_Curves/meltCurve_Q53S33_BOLA3.pdf")</f>
        <v>Melting_Curves/meltCurve_Q53S33_BOLA3.pdf</v>
      </c>
    </row>
    <row r="3783" spans="1:28" x14ac:dyDescent="0.25">
      <c r="A3783" t="s">
        <v>3787</v>
      </c>
      <c r="B3783">
        <v>0.99472303558308395</v>
      </c>
      <c r="C3783">
        <v>1.1244303284474999</v>
      </c>
      <c r="D3783">
        <v>0.93714990042363</v>
      </c>
      <c r="E3783">
        <v>0.86779989136779201</v>
      </c>
      <c r="F3783">
        <v>0.50734295972925503</v>
      </c>
      <c r="G3783">
        <v>0.28625802889556301</v>
      </c>
      <c r="H3783">
        <v>0.19930594080018199</v>
      </c>
      <c r="I3783">
        <v>0.14307948834411599</v>
      </c>
      <c r="J3783">
        <v>0.13528821771150901</v>
      </c>
      <c r="K3783">
        <v>8.78992046513032E-2</v>
      </c>
      <c r="L3783">
        <v>1062.6927458483301</v>
      </c>
      <c r="M3783">
        <v>21.291644702509899</v>
      </c>
      <c r="N3783">
        <v>50.566026224362602</v>
      </c>
      <c r="O3783">
        <v>49.4772528859259</v>
      </c>
      <c r="P3783">
        <v>-9.4623940213340904E-2</v>
      </c>
      <c r="Q3783">
        <v>0.120479079649763</v>
      </c>
      <c r="R3783">
        <v>0.98589763037320199</v>
      </c>
      <c r="S3783" t="s">
        <v>10351</v>
      </c>
      <c r="T3783" t="s">
        <v>13134</v>
      </c>
      <c r="U3783" t="s">
        <v>13134</v>
      </c>
      <c r="V3783" t="s">
        <v>13134</v>
      </c>
      <c r="W3783" t="s">
        <v>16861</v>
      </c>
      <c r="X3783">
        <v>2</v>
      </c>
      <c r="Y3783" t="s">
        <v>23252</v>
      </c>
      <c r="Z3783" t="s">
        <v>29751</v>
      </c>
      <c r="AA3783">
        <v>0.50936499176929406</v>
      </c>
      <c r="AB3783" t="str">
        <f>HYPERLINK("Melting_Curves/meltCurve_Q53T59_HS1BP3.pdf", "Melting_Curves/meltCurve_Q53T59_HS1BP3.pdf")</f>
        <v>Melting_Curves/meltCurve_Q53T59_HS1BP3.pdf</v>
      </c>
    </row>
    <row r="3784" spans="1:28" x14ac:dyDescent="0.25">
      <c r="A3784" t="s">
        <v>3788</v>
      </c>
      <c r="B3784">
        <v>0.99472303558308395</v>
      </c>
      <c r="C3784">
        <v>1.1479628253797101</v>
      </c>
      <c r="D3784">
        <v>0.98717568725587101</v>
      </c>
      <c r="E3784">
        <v>0.96875499054353398</v>
      </c>
      <c r="F3784">
        <v>0.75454445237662204</v>
      </c>
      <c r="G3784">
        <v>0.480553056476416</v>
      </c>
      <c r="H3784">
        <v>0.43898049914333998</v>
      </c>
      <c r="I3784">
        <v>0.47653973974714298</v>
      </c>
      <c r="J3784">
        <v>0.58033070989399305</v>
      </c>
      <c r="K3784">
        <v>0.55421318089462202</v>
      </c>
      <c r="L3784">
        <v>12550.6028547029</v>
      </c>
      <c r="M3784">
        <v>250</v>
      </c>
      <c r="O3784">
        <v>50.199199182347499</v>
      </c>
      <c r="P3784">
        <v>-0.61489597907704696</v>
      </c>
      <c r="Q3784">
        <v>0.50612343268324</v>
      </c>
      <c r="R3784">
        <v>0.94161068331067599</v>
      </c>
      <c r="S3784" t="s">
        <v>10352</v>
      </c>
      <c r="T3784" t="s">
        <v>13134</v>
      </c>
      <c r="U3784" t="s">
        <v>13134</v>
      </c>
      <c r="V3784" t="s">
        <v>13134</v>
      </c>
      <c r="W3784" t="s">
        <v>16862</v>
      </c>
      <c r="X3784">
        <v>1</v>
      </c>
      <c r="Y3784" t="s">
        <v>23253</v>
      </c>
      <c r="Z3784" t="s">
        <v>29752</v>
      </c>
      <c r="AA3784">
        <v>0.7235123331344685</v>
      </c>
      <c r="AB3784" t="str">
        <f>HYPERLINK("Melting_Curves/meltCurve_Q53TN4_3_CYBRD1.pdf", "Melting_Curves/meltCurve_Q53TN4_3_CYBRD1.pdf")</f>
        <v>Melting_Curves/meltCurve_Q53TN4_3_CYBRD1.pdf</v>
      </c>
    </row>
    <row r="3785" spans="1:28" x14ac:dyDescent="0.25">
      <c r="A3785" t="s">
        <v>3789</v>
      </c>
      <c r="B3785">
        <v>0.99472303558308395</v>
      </c>
      <c r="C3785">
        <v>0.87296968202883596</v>
      </c>
      <c r="D3785">
        <v>0.59936559321406602</v>
      </c>
      <c r="E3785">
        <v>0.47000456816407399</v>
      </c>
      <c r="F3785">
        <v>0.300011503336994</v>
      </c>
      <c r="G3785">
        <v>0.15387927016099401</v>
      </c>
      <c r="H3785">
        <v>5.9988347744833997E-2</v>
      </c>
      <c r="I3785">
        <v>6.9897697343360099E-2</v>
      </c>
      <c r="J3785">
        <v>6.4121104107844801E-2</v>
      </c>
      <c r="K3785">
        <v>6.5402558183435294E-2</v>
      </c>
      <c r="L3785">
        <v>548.89032049923401</v>
      </c>
      <c r="M3785">
        <v>12.0829049478603</v>
      </c>
      <c r="N3785">
        <v>45.664439039376198</v>
      </c>
      <c r="O3785">
        <v>44.236419587659</v>
      </c>
      <c r="P3785">
        <v>-6.6222556310649203E-2</v>
      </c>
      <c r="Q3785">
        <v>3.04447681391577E-2</v>
      </c>
      <c r="R3785">
        <v>0.98820706897413901</v>
      </c>
      <c r="S3785" t="s">
        <v>10353</v>
      </c>
      <c r="T3785" t="s">
        <v>13134</v>
      </c>
      <c r="U3785" t="s">
        <v>13134</v>
      </c>
      <c r="V3785" t="s">
        <v>13134</v>
      </c>
      <c r="W3785" t="s">
        <v>16863</v>
      </c>
      <c r="X3785">
        <v>2</v>
      </c>
      <c r="Y3785" t="s">
        <v>23254</v>
      </c>
      <c r="Z3785" t="s">
        <v>29753</v>
      </c>
      <c r="AA3785">
        <v>0.33682537117336192</v>
      </c>
      <c r="AB3785" t="str">
        <f>HYPERLINK("Melting_Curves/meltCurve_Q562F6_2_SGOL2.pdf", "Melting_Curves/meltCurve_Q562F6_2_SGOL2.pdf")</f>
        <v>Melting_Curves/meltCurve_Q562F6_2_SGOL2.pdf</v>
      </c>
    </row>
    <row r="3786" spans="1:28" x14ac:dyDescent="0.25">
      <c r="A3786" t="s">
        <v>3790</v>
      </c>
      <c r="B3786">
        <v>0.99472303558308395</v>
      </c>
      <c r="C3786">
        <v>0.88000778703052496</v>
      </c>
      <c r="D3786">
        <v>0.82712518228902898</v>
      </c>
      <c r="E3786">
        <v>0.74928027178480505</v>
      </c>
      <c r="F3786">
        <v>0.66164752552119499</v>
      </c>
      <c r="G3786">
        <v>0.49774694629859201</v>
      </c>
      <c r="H3786">
        <v>0.32729308628703002</v>
      </c>
      <c r="I3786">
        <v>0.32327352498892098</v>
      </c>
      <c r="J3786">
        <v>0.25260282435369202</v>
      </c>
      <c r="K3786">
        <v>0.17689698841655099</v>
      </c>
      <c r="L3786">
        <v>380.66717020577897</v>
      </c>
      <c r="M3786">
        <v>7.1037082490899799</v>
      </c>
      <c r="N3786">
        <v>53.587106458421999</v>
      </c>
      <c r="O3786">
        <v>49.827113075748301</v>
      </c>
      <c r="P3786">
        <v>-3.5704402095960298E-2</v>
      </c>
      <c r="Q3786">
        <v>0</v>
      </c>
      <c r="R3786">
        <v>0.987123906089867</v>
      </c>
      <c r="S3786" t="s">
        <v>10354</v>
      </c>
      <c r="T3786" t="s">
        <v>13134</v>
      </c>
      <c r="U3786" t="s">
        <v>13134</v>
      </c>
      <c r="V3786" t="s">
        <v>13134</v>
      </c>
      <c r="W3786" t="s">
        <v>16864</v>
      </c>
      <c r="X3786">
        <v>4</v>
      </c>
      <c r="Y3786" t="s">
        <v>23255</v>
      </c>
      <c r="Z3786" t="s">
        <v>29754</v>
      </c>
      <c r="AA3786">
        <v>0.5684097630159084</v>
      </c>
      <c r="AB3786" t="str">
        <f>HYPERLINK("Melting_Curves/meltCurve_Q567V2_2_MPV17L2.pdf", "Melting_Curves/meltCurve_Q567V2_2_MPV17L2.pdf")</f>
        <v>Melting_Curves/meltCurve_Q567V2_2_MPV17L2.pdf</v>
      </c>
    </row>
    <row r="3787" spans="1:28" x14ac:dyDescent="0.25">
      <c r="A3787" t="s">
        <v>3791</v>
      </c>
      <c r="B3787">
        <v>0.99472303558308395</v>
      </c>
      <c r="C3787">
        <v>0.97637389982683997</v>
      </c>
      <c r="D3787">
        <v>0.88508161554383902</v>
      </c>
      <c r="E3787">
        <v>0.78725683831666604</v>
      </c>
      <c r="F3787">
        <v>0.50310618502147098</v>
      </c>
      <c r="G3787">
        <v>0.41096309146955101</v>
      </c>
      <c r="H3787">
        <v>0.38724718832779698</v>
      </c>
      <c r="I3787">
        <v>0.37272572108406299</v>
      </c>
      <c r="J3787">
        <v>0.58634059003617101</v>
      </c>
      <c r="K3787">
        <v>0.46217491311078102</v>
      </c>
      <c r="L3787">
        <v>1252.4787752654099</v>
      </c>
      <c r="M3787">
        <v>26.6733993377531</v>
      </c>
      <c r="N3787">
        <v>50.954615321067102</v>
      </c>
      <c r="O3787">
        <v>46.694568756141898</v>
      </c>
      <c r="P3787">
        <v>-8.0209045232419299E-2</v>
      </c>
      <c r="Q3787">
        <v>0.438348835562892</v>
      </c>
      <c r="R3787">
        <v>0.93008645789116595</v>
      </c>
      <c r="S3787" t="s">
        <v>10355</v>
      </c>
      <c r="T3787" t="s">
        <v>13134</v>
      </c>
      <c r="U3787" t="s">
        <v>13134</v>
      </c>
      <c r="V3787" t="s">
        <v>13134</v>
      </c>
      <c r="W3787" t="s">
        <v>16865</v>
      </c>
      <c r="X3787">
        <v>3</v>
      </c>
      <c r="Y3787" t="s">
        <v>23256</v>
      </c>
      <c r="Z3787" t="s">
        <v>29755</v>
      </c>
      <c r="AA3787">
        <v>0.62888053521664289</v>
      </c>
      <c r="AB3787" t="str">
        <f>HYPERLINK("Melting_Curves/meltCurve_Q587I9_SFT2D3.pdf", "Melting_Curves/meltCurve_Q587I9_SFT2D3.pdf")</f>
        <v>Melting_Curves/meltCurve_Q587I9_SFT2D3.pdf</v>
      </c>
    </row>
    <row r="3788" spans="1:28" x14ac:dyDescent="0.25">
      <c r="A3788" t="s">
        <v>3792</v>
      </c>
      <c r="B3788">
        <v>0.99472303558308395</v>
      </c>
      <c r="C3788">
        <v>0.97150026835161796</v>
      </c>
      <c r="D3788">
        <v>0.65552639063937501</v>
      </c>
      <c r="E3788">
        <v>0.59890626948818104</v>
      </c>
      <c r="F3788">
        <v>0.33470734196721602</v>
      </c>
      <c r="G3788">
        <v>0.20060128164659899</v>
      </c>
      <c r="H3788">
        <v>0.166227568844692</v>
      </c>
      <c r="I3788">
        <v>0.108338311236139</v>
      </c>
      <c r="J3788">
        <v>9.5019012989321902E-2</v>
      </c>
      <c r="K3788">
        <v>4.2269142858513603E-2</v>
      </c>
      <c r="L3788">
        <v>558.93238716400003</v>
      </c>
      <c r="M3788">
        <v>11.904954897149301</v>
      </c>
      <c r="N3788">
        <v>47.319000689800198</v>
      </c>
      <c r="O3788">
        <v>45.6836406880265</v>
      </c>
      <c r="P3788">
        <v>-6.2273119079073201E-2</v>
      </c>
      <c r="Q3788">
        <v>4.4379313125286597E-2</v>
      </c>
      <c r="R3788">
        <v>0.98087276544896496</v>
      </c>
      <c r="S3788" t="s">
        <v>10356</v>
      </c>
      <c r="T3788" t="s">
        <v>13134</v>
      </c>
      <c r="U3788" t="s">
        <v>13134</v>
      </c>
      <c r="V3788" t="s">
        <v>13134</v>
      </c>
      <c r="W3788" t="s">
        <v>16866</v>
      </c>
      <c r="X3788">
        <v>3</v>
      </c>
      <c r="Y3788" t="s">
        <v>23257</v>
      </c>
      <c r="Z3788" t="s">
        <v>29756</v>
      </c>
      <c r="AA3788">
        <v>0.39319088659646229</v>
      </c>
      <c r="AB3788" t="str">
        <f>HYPERLINK("Melting_Curves/meltCurve_Q58A45_PAN3.pdf", "Melting_Curves/meltCurve_Q58A45_PAN3.pdf")</f>
        <v>Melting_Curves/meltCurve_Q58A45_PAN3.pdf</v>
      </c>
    </row>
    <row r="3789" spans="1:28" x14ac:dyDescent="0.25">
      <c r="A3789" t="s">
        <v>3793</v>
      </c>
      <c r="B3789">
        <v>0.99472303558308395</v>
      </c>
      <c r="C3789">
        <v>1.00136348307914</v>
      </c>
      <c r="D3789">
        <v>0.81547154627069196</v>
      </c>
      <c r="E3789">
        <v>0.70434617653979104</v>
      </c>
      <c r="F3789">
        <v>0.76854984417151195</v>
      </c>
      <c r="G3789">
        <v>0.119972825044912</v>
      </c>
      <c r="H3789">
        <v>7.8446255611736002E-2</v>
      </c>
      <c r="I3789">
        <v>3.1639533638953603E-2</v>
      </c>
      <c r="J3789">
        <v>4.51494342523691E-2</v>
      </c>
      <c r="K3789">
        <v>5.2434393895728897E-2</v>
      </c>
      <c r="L3789">
        <v>896.75488451075898</v>
      </c>
      <c r="M3789">
        <v>17.678224925531101</v>
      </c>
      <c r="N3789">
        <v>50.726523731298499</v>
      </c>
      <c r="O3789">
        <v>50.0907838608736</v>
      </c>
      <c r="P3789">
        <v>-8.8235601932478896E-2</v>
      </c>
      <c r="Q3789">
        <v>0</v>
      </c>
      <c r="R3789">
        <v>0.93271432295746703</v>
      </c>
      <c r="S3789" t="s">
        <v>10357</v>
      </c>
      <c r="T3789" t="s">
        <v>13134</v>
      </c>
      <c r="U3789" t="s">
        <v>13134</v>
      </c>
      <c r="V3789" t="s">
        <v>13134</v>
      </c>
      <c r="W3789" t="s">
        <v>16867</v>
      </c>
      <c r="X3789">
        <v>32</v>
      </c>
      <c r="Y3789" t="s">
        <v>23258</v>
      </c>
      <c r="Z3789" t="s">
        <v>29757</v>
      </c>
      <c r="AA3789">
        <v>0.47358601847324461</v>
      </c>
      <c r="AB3789" t="str">
        <f>HYPERLINK("Melting_Curves/meltCurve_Q58FF7_HSP90AB3P.pdf", "Melting_Curves/meltCurve_Q58FF7_HSP90AB3P.pdf")</f>
        <v>Melting_Curves/meltCurve_Q58FF7_HSP90AB3P.pdf</v>
      </c>
    </row>
    <row r="3790" spans="1:28" x14ac:dyDescent="0.25">
      <c r="A3790" t="s">
        <v>3794</v>
      </c>
      <c r="B3790">
        <v>0.99472303558308395</v>
      </c>
      <c r="C3790">
        <v>1.0079708152243501</v>
      </c>
      <c r="D3790">
        <v>0.96006155498032897</v>
      </c>
      <c r="E3790">
        <v>0.88507560234472604</v>
      </c>
      <c r="F3790">
        <v>0.47233058263091499</v>
      </c>
      <c r="G3790">
        <v>0.11509945325901</v>
      </c>
      <c r="H3790">
        <v>6.3195858293827997E-2</v>
      </c>
      <c r="I3790">
        <v>4.8591798503464498E-2</v>
      </c>
      <c r="J3790">
        <v>4.6155504227394901E-2</v>
      </c>
      <c r="K3790">
        <v>5.2355230293732499E-2</v>
      </c>
      <c r="L3790">
        <v>1507.8833704346901</v>
      </c>
      <c r="M3790">
        <v>30.290556455652201</v>
      </c>
      <c r="N3790">
        <v>49.932397790276298</v>
      </c>
      <c r="O3790">
        <v>49.565158531205697</v>
      </c>
      <c r="P3790">
        <v>-0.146063817047798</v>
      </c>
      <c r="Q3790">
        <v>4.3974710639016999E-2</v>
      </c>
      <c r="R3790">
        <v>0.99904481323593597</v>
      </c>
      <c r="S3790" t="s">
        <v>10358</v>
      </c>
      <c r="T3790" t="s">
        <v>13134</v>
      </c>
      <c r="U3790" t="s">
        <v>13134</v>
      </c>
      <c r="V3790" t="s">
        <v>13134</v>
      </c>
      <c r="W3790" t="s">
        <v>16868</v>
      </c>
      <c r="X3790">
        <v>18</v>
      </c>
      <c r="Y3790" t="s">
        <v>23259</v>
      </c>
      <c r="Z3790" t="s">
        <v>29758</v>
      </c>
      <c r="AA3790">
        <v>0.45699616344781319</v>
      </c>
      <c r="AB3790" t="str">
        <f>HYPERLINK("Melting_Curves/meltCurve_Q58FF8_HSP90AB2P.pdf", "Melting_Curves/meltCurve_Q58FF8_HSP90AB2P.pdf")</f>
        <v>Melting_Curves/meltCurve_Q58FF8_HSP90AB2P.pdf</v>
      </c>
    </row>
    <row r="3791" spans="1:28" x14ac:dyDescent="0.25">
      <c r="A3791" t="s">
        <v>3795</v>
      </c>
      <c r="B3791">
        <v>0.99472303558308395</v>
      </c>
      <c r="C3791">
        <v>0.76102048901114805</v>
      </c>
      <c r="D3791">
        <v>0.76002179367677603</v>
      </c>
      <c r="E3791">
        <v>0.69772614573550196</v>
      </c>
      <c r="F3791">
        <v>0.82640651702727597</v>
      </c>
      <c r="G3791">
        <v>7.1858395094298894E-2</v>
      </c>
      <c r="H3791">
        <v>5.9768124902305597E-2</v>
      </c>
      <c r="I3791">
        <v>3.8230631037443799E-2</v>
      </c>
      <c r="J3791">
        <v>4.4379307312660599E-2</v>
      </c>
      <c r="K3791">
        <v>4.0100003600285497E-2</v>
      </c>
      <c r="L3791">
        <v>782.15504840490098</v>
      </c>
      <c r="M3791">
        <v>15.5152048852874</v>
      </c>
      <c r="N3791">
        <v>50.412166657544198</v>
      </c>
      <c r="O3791">
        <v>49.596962211053302</v>
      </c>
      <c r="P3791">
        <v>-7.8213347385197196E-2</v>
      </c>
      <c r="Q3791">
        <v>0</v>
      </c>
      <c r="R3791">
        <v>0.84510310718526305</v>
      </c>
      <c r="S3791" t="s">
        <v>10359</v>
      </c>
      <c r="T3791" t="s">
        <v>13134</v>
      </c>
      <c r="U3791" t="s">
        <v>13134</v>
      </c>
      <c r="V3791" t="s">
        <v>13134</v>
      </c>
      <c r="W3791" t="s">
        <v>16869</v>
      </c>
      <c r="X3791">
        <v>5</v>
      </c>
      <c r="Y3791" t="s">
        <v>23260</v>
      </c>
      <c r="Z3791" t="s">
        <v>29759</v>
      </c>
      <c r="AA3791">
        <v>0.46671994418270107</v>
      </c>
      <c r="AB3791" t="str">
        <f>HYPERLINK("Melting_Curves/meltCurve_Q58FG1_HSP90AA4P.pdf", "Melting_Curves/meltCurve_Q58FG1_HSP90AA4P.pdf")</f>
        <v>Melting_Curves/meltCurve_Q58FG1_HSP90AA4P.pdf</v>
      </c>
    </row>
    <row r="3792" spans="1:28" x14ac:dyDescent="0.25">
      <c r="A3792" t="s">
        <v>3796</v>
      </c>
      <c r="B3792">
        <v>0.99472303558308395</v>
      </c>
      <c r="C3792">
        <v>1.03648089101533</v>
      </c>
      <c r="D3792">
        <v>0.79341312060926605</v>
      </c>
      <c r="E3792">
        <v>0.76349242884312496</v>
      </c>
      <c r="F3792">
        <v>0.61343139346014097</v>
      </c>
      <c r="G3792">
        <v>0.38563643883535398</v>
      </c>
      <c r="H3792">
        <v>0.24523696140916801</v>
      </c>
      <c r="I3792">
        <v>0.19000987285929799</v>
      </c>
      <c r="J3792">
        <v>0.12142335024977</v>
      </c>
      <c r="K3792">
        <v>0.115556924184708</v>
      </c>
      <c r="L3792">
        <v>541.03777410879104</v>
      </c>
      <c r="M3792">
        <v>10.528142409252901</v>
      </c>
      <c r="N3792">
        <v>51.634212394070303</v>
      </c>
      <c r="O3792">
        <v>49.639492417364401</v>
      </c>
      <c r="P3792">
        <v>-5.1754181159002398E-2</v>
      </c>
      <c r="Q3792">
        <v>2.43195194320311E-2</v>
      </c>
      <c r="R3792">
        <v>0.98383193273177505</v>
      </c>
      <c r="S3792" t="s">
        <v>10360</v>
      </c>
      <c r="T3792" t="s">
        <v>13134</v>
      </c>
      <c r="U3792" t="s">
        <v>13134</v>
      </c>
      <c r="V3792" t="s">
        <v>13134</v>
      </c>
      <c r="W3792" t="s">
        <v>16870</v>
      </c>
      <c r="X3792">
        <v>10</v>
      </c>
      <c r="Y3792" t="s">
        <v>23261</v>
      </c>
      <c r="Z3792" t="s">
        <v>29760</v>
      </c>
      <c r="AA3792">
        <v>0.51966311389530973</v>
      </c>
      <c r="AB3792" t="str">
        <f>HYPERLINK("Melting_Curves/meltCurve_Q58WW2_DCAF6.pdf", "Melting_Curves/meltCurve_Q58WW2_DCAF6.pdf")</f>
        <v>Melting_Curves/meltCurve_Q58WW2_DCAF6.pdf</v>
      </c>
    </row>
    <row r="3793" spans="1:28" x14ac:dyDescent="0.25">
      <c r="A3793" t="s">
        <v>3797</v>
      </c>
      <c r="B3793">
        <v>0.99472303558308395</v>
      </c>
      <c r="C3793">
        <v>0.82305163161303396</v>
      </c>
      <c r="D3793">
        <v>1.0675166834902301</v>
      </c>
      <c r="E3793">
        <v>0.92336282765478805</v>
      </c>
      <c r="F3793">
        <v>1.03260194128226</v>
      </c>
      <c r="G3793">
        <v>0.55662589567571996</v>
      </c>
      <c r="H3793">
        <v>0.121318651445133</v>
      </c>
      <c r="I3793">
        <v>0.29380000915190402</v>
      </c>
      <c r="J3793">
        <v>0.18907476290004699</v>
      </c>
      <c r="K3793">
        <v>0.19436200754737001</v>
      </c>
      <c r="L3793">
        <v>13438.3407574664</v>
      </c>
      <c r="M3793">
        <v>250</v>
      </c>
      <c r="N3793">
        <v>53.863162265630201</v>
      </c>
      <c r="O3793">
        <v>53.749923206534298</v>
      </c>
      <c r="P3793">
        <v>-0.93065384320548405</v>
      </c>
      <c r="Q3793">
        <v>0.199638839798153</v>
      </c>
      <c r="R3793">
        <v>0.95768873890600803</v>
      </c>
      <c r="S3793" t="s">
        <v>10361</v>
      </c>
      <c r="T3793" t="s">
        <v>13134</v>
      </c>
      <c r="U3793" t="s">
        <v>13134</v>
      </c>
      <c r="V3793" t="s">
        <v>13134</v>
      </c>
      <c r="W3793" t="s">
        <v>16871</v>
      </c>
      <c r="X3793">
        <v>2</v>
      </c>
      <c r="Y3793" t="s">
        <v>23262</v>
      </c>
      <c r="Z3793" t="s">
        <v>29761</v>
      </c>
      <c r="AA3793">
        <v>0.64667237864996541</v>
      </c>
      <c r="AB3793" t="str">
        <f>HYPERLINK("Melting_Curves/meltCurve_Q59GN2_RPL39P5.pdf", "Melting_Curves/meltCurve_Q59GN2_RPL39P5.pdf")</f>
        <v>Melting_Curves/meltCurve_Q59GN2_RPL39P5.pdf</v>
      </c>
    </row>
    <row r="3794" spans="1:28" x14ac:dyDescent="0.25">
      <c r="A3794" t="s">
        <v>3798</v>
      </c>
      <c r="B3794">
        <v>0.99472303558308395</v>
      </c>
      <c r="C3794">
        <v>1.0542973763141299</v>
      </c>
      <c r="D3794">
        <v>0.89552507669793302</v>
      </c>
      <c r="E3794">
        <v>0.83271994980083897</v>
      </c>
      <c r="F3794">
        <v>0.70892408852538602</v>
      </c>
      <c r="G3794">
        <v>0.45875499555605098</v>
      </c>
      <c r="H3794">
        <v>0.337988650374281</v>
      </c>
      <c r="I3794">
        <v>0.32726947397179101</v>
      </c>
      <c r="J3794">
        <v>0.368650436776573</v>
      </c>
      <c r="K3794">
        <v>0.29162131744762299</v>
      </c>
      <c r="L3794">
        <v>817.25386619157496</v>
      </c>
      <c r="M3794">
        <v>16.220847921558999</v>
      </c>
      <c r="N3794">
        <v>53.287856793447403</v>
      </c>
      <c r="O3794">
        <v>49.635845041904801</v>
      </c>
      <c r="P3794">
        <v>-5.77256126835545E-2</v>
      </c>
      <c r="Q3794">
        <v>0.29349027561260699</v>
      </c>
      <c r="R3794">
        <v>0.98001497425432205</v>
      </c>
      <c r="S3794" t="s">
        <v>10362</v>
      </c>
      <c r="T3794" t="s">
        <v>13134</v>
      </c>
      <c r="U3794" t="s">
        <v>13134</v>
      </c>
      <c r="V3794" t="s">
        <v>13134</v>
      </c>
      <c r="W3794" t="s">
        <v>16872</v>
      </c>
      <c r="X3794">
        <v>3</v>
      </c>
      <c r="Y3794" t="s">
        <v>23263</v>
      </c>
      <c r="Z3794" t="s">
        <v>29762</v>
      </c>
      <c r="AA3794">
        <v>0.62168019931379093</v>
      </c>
      <c r="AB3794" t="str">
        <f>HYPERLINK("Melting_Curves/meltCurve_Q5BKU9_OXLD1.pdf", "Melting_Curves/meltCurve_Q5BKU9_OXLD1.pdf")</f>
        <v>Melting_Curves/meltCurve_Q5BKU9_OXLD1.pdf</v>
      </c>
    </row>
    <row r="3795" spans="1:28" x14ac:dyDescent="0.25">
      <c r="A3795" t="s">
        <v>3799</v>
      </c>
      <c r="B3795">
        <v>0.99472303558308395</v>
      </c>
      <c r="C3795">
        <v>1.02846914017603</v>
      </c>
      <c r="D3795">
        <v>1.02346386923771</v>
      </c>
      <c r="E3795">
        <v>0.78392725282667297</v>
      </c>
      <c r="F3795">
        <v>0.36218107005999201</v>
      </c>
      <c r="G3795">
        <v>3.2374240372595703E-2</v>
      </c>
      <c r="H3795">
        <v>4.5210025953758802E-2</v>
      </c>
      <c r="I3795">
        <v>5.6608467040027803E-2</v>
      </c>
      <c r="J3795">
        <v>0.117604664598933</v>
      </c>
      <c r="K3795">
        <v>5.1193595152999503E-2</v>
      </c>
      <c r="L3795">
        <v>1500.02024898015</v>
      </c>
      <c r="M3795">
        <v>30.7882942523045</v>
      </c>
      <c r="N3795">
        <v>48.899923218212997</v>
      </c>
      <c r="O3795">
        <v>48.516311866775098</v>
      </c>
      <c r="P3795">
        <v>-0.15017578095015</v>
      </c>
      <c r="Q3795">
        <v>5.3415165833451697E-2</v>
      </c>
      <c r="R3795">
        <v>0.99247927476756503</v>
      </c>
      <c r="S3795" t="s">
        <v>10363</v>
      </c>
      <c r="T3795" t="s">
        <v>13134</v>
      </c>
      <c r="U3795" t="s">
        <v>13134</v>
      </c>
      <c r="V3795" t="s">
        <v>13134</v>
      </c>
      <c r="W3795" t="s">
        <v>16873</v>
      </c>
      <c r="X3795">
        <v>1</v>
      </c>
      <c r="Y3795" t="s">
        <v>23264</v>
      </c>
      <c r="Z3795" t="s">
        <v>29763</v>
      </c>
      <c r="AA3795">
        <v>0.42862315531522321</v>
      </c>
      <c r="AB3795" t="str">
        <f>HYPERLINK("Melting_Curves/meltCurve_Q5BKX5_3_C19orf54.pdf", "Melting_Curves/meltCurve_Q5BKX5_3_C19orf54.pdf")</f>
        <v>Melting_Curves/meltCurve_Q5BKX5_3_C19orf54.pdf</v>
      </c>
    </row>
    <row r="3796" spans="1:28" x14ac:dyDescent="0.25">
      <c r="A3796" t="s">
        <v>3800</v>
      </c>
      <c r="B3796">
        <v>0.99472303558308395</v>
      </c>
      <c r="C3796">
        <v>0.94789295487068903</v>
      </c>
      <c r="D3796">
        <v>0.66728685071381</v>
      </c>
      <c r="E3796">
        <v>0.58936534350792202</v>
      </c>
      <c r="F3796">
        <v>0.469170440058854</v>
      </c>
      <c r="G3796">
        <v>0.20795726188726399</v>
      </c>
      <c r="H3796">
        <v>0.204167319906089</v>
      </c>
      <c r="I3796">
        <v>0.14938008616766299</v>
      </c>
      <c r="J3796">
        <v>0.21934262857237299</v>
      </c>
      <c r="K3796">
        <v>0.17885176122820101</v>
      </c>
      <c r="L3796">
        <v>560.84960663102902</v>
      </c>
      <c r="M3796">
        <v>12.0815444285463</v>
      </c>
      <c r="N3796">
        <v>47.7547669368359</v>
      </c>
      <c r="O3796">
        <v>45.205050319101503</v>
      </c>
      <c r="P3796">
        <v>-5.7266857619299602E-2</v>
      </c>
      <c r="Q3796">
        <v>0.143108061671402</v>
      </c>
      <c r="R3796">
        <v>0.968755263198394</v>
      </c>
      <c r="S3796" t="s">
        <v>10364</v>
      </c>
      <c r="T3796" t="s">
        <v>13134</v>
      </c>
      <c r="U3796" t="s">
        <v>13134</v>
      </c>
      <c r="V3796" t="s">
        <v>13134</v>
      </c>
      <c r="W3796" t="s">
        <v>16874</v>
      </c>
      <c r="X3796">
        <v>1</v>
      </c>
      <c r="Y3796" t="s">
        <v>23265</v>
      </c>
      <c r="Z3796" t="s">
        <v>29764</v>
      </c>
      <c r="AA3796">
        <v>0.44085754703107077</v>
      </c>
      <c r="AB3796" t="str">
        <f>HYPERLINK("Melting_Curves/meltCurve_Q5BKX6_2_SLC45A4.pdf", "Melting_Curves/meltCurve_Q5BKX6_2_SLC45A4.pdf")</f>
        <v>Melting_Curves/meltCurve_Q5BKX6_2_SLC45A4.pdf</v>
      </c>
    </row>
    <row r="3797" spans="1:28" x14ac:dyDescent="0.25">
      <c r="A3797" t="s">
        <v>3801</v>
      </c>
      <c r="B3797">
        <v>0.99472303558308395</v>
      </c>
      <c r="C3797">
        <v>0.841971478591931</v>
      </c>
      <c r="D3797">
        <v>0.76907016014741103</v>
      </c>
      <c r="E3797">
        <v>0.87041239061795705</v>
      </c>
      <c r="F3797">
        <v>0.71102909371685596</v>
      </c>
      <c r="G3797">
        <v>0.50569311038305798</v>
      </c>
      <c r="H3797">
        <v>0.40327719666297002</v>
      </c>
      <c r="I3797">
        <v>0.35269481491137999</v>
      </c>
      <c r="J3797">
        <v>0.427615514158112</v>
      </c>
      <c r="K3797">
        <v>0.45799021372862703</v>
      </c>
      <c r="L3797">
        <v>424.52201339993599</v>
      </c>
      <c r="M3797">
        <v>8.5427336089366204</v>
      </c>
      <c r="N3797">
        <v>56.123806372560303</v>
      </c>
      <c r="O3797">
        <v>47.195452925233099</v>
      </c>
      <c r="P3797">
        <v>-3.1156240611283699E-2</v>
      </c>
      <c r="Q3797">
        <v>0.31210149231513401</v>
      </c>
      <c r="R3797">
        <v>0.88565272831349295</v>
      </c>
      <c r="S3797" t="s">
        <v>10365</v>
      </c>
      <c r="T3797" t="s">
        <v>13134</v>
      </c>
      <c r="U3797" t="s">
        <v>13134</v>
      </c>
      <c r="V3797" t="s">
        <v>13134</v>
      </c>
      <c r="W3797" t="s">
        <v>16875</v>
      </c>
      <c r="X3797">
        <v>1</v>
      </c>
      <c r="Y3797" t="s">
        <v>23266</v>
      </c>
      <c r="Z3797" t="s">
        <v>29765</v>
      </c>
      <c r="AA3797">
        <v>0.63092311123614886</v>
      </c>
      <c r="AB3797" t="str">
        <f>HYPERLINK("Melting_Curves/meltCurve_Q5DTB0_CD80.pdf", "Melting_Curves/meltCurve_Q5DTB0_CD80.pdf")</f>
        <v>Melting_Curves/meltCurve_Q5DTB0_CD80.pdf</v>
      </c>
    </row>
    <row r="3798" spans="1:28" x14ac:dyDescent="0.25">
      <c r="A3798" t="s">
        <v>3802</v>
      </c>
      <c r="B3798">
        <v>0.99472303558308395</v>
      </c>
      <c r="C3798">
        <v>1.03487136646827</v>
      </c>
      <c r="D3798">
        <v>1.0050603390667101</v>
      </c>
      <c r="E3798">
        <v>0.524790806249812</v>
      </c>
      <c r="F3798">
        <v>0.34098986734761799</v>
      </c>
      <c r="G3798">
        <v>0.21177837901468199</v>
      </c>
      <c r="H3798">
        <v>0.12636382516315001</v>
      </c>
      <c r="I3798">
        <v>8.9614590910494105E-2</v>
      </c>
      <c r="J3798">
        <v>0.100217402965091</v>
      </c>
      <c r="K3798">
        <v>9.6591906664571694E-2</v>
      </c>
      <c r="L3798">
        <v>1068.55745954142</v>
      </c>
      <c r="M3798">
        <v>22.695818174492299</v>
      </c>
      <c r="N3798">
        <v>47.621427595550898</v>
      </c>
      <c r="O3798">
        <v>46.720738981186599</v>
      </c>
      <c r="P3798">
        <v>-0.10767408944177601</v>
      </c>
      <c r="Q3798">
        <v>0.11340251016603201</v>
      </c>
      <c r="R3798">
        <v>0.98297548693074199</v>
      </c>
      <c r="S3798" t="s">
        <v>10366</v>
      </c>
      <c r="T3798" t="s">
        <v>13134</v>
      </c>
      <c r="U3798" t="s">
        <v>13134</v>
      </c>
      <c r="V3798" t="s">
        <v>13134</v>
      </c>
      <c r="W3798" t="s">
        <v>16876</v>
      </c>
      <c r="X3798">
        <v>10</v>
      </c>
      <c r="Y3798" t="s">
        <v>23267</v>
      </c>
      <c r="Z3798" t="s">
        <v>29766</v>
      </c>
      <c r="AA3798">
        <v>0.42039512388064221</v>
      </c>
      <c r="AB3798" t="str">
        <f>HYPERLINK("Melting_Curves/meltCurve_Q5EBL4_RILPL1.pdf", "Melting_Curves/meltCurve_Q5EBL4_RILPL1.pdf")</f>
        <v>Melting_Curves/meltCurve_Q5EBL4_RILPL1.pdf</v>
      </c>
    </row>
    <row r="3799" spans="1:28" x14ac:dyDescent="0.25">
      <c r="A3799" t="s">
        <v>3803</v>
      </c>
      <c r="B3799">
        <v>0.99472303558308395</v>
      </c>
      <c r="C3799">
        <v>1.0942014003246601</v>
      </c>
      <c r="D3799">
        <v>0.81133519032037604</v>
      </c>
      <c r="E3799">
        <v>0.70837706354192598</v>
      </c>
      <c r="F3799">
        <v>0.45647305186089498</v>
      </c>
      <c r="G3799">
        <v>0.31666617483196102</v>
      </c>
      <c r="H3799">
        <v>0.21341641019655699</v>
      </c>
      <c r="I3799">
        <v>0.19796812709171099</v>
      </c>
      <c r="J3799">
        <v>0.19198216512107399</v>
      </c>
      <c r="K3799">
        <v>0.17606553262462701</v>
      </c>
      <c r="L3799">
        <v>750.99571951310497</v>
      </c>
      <c r="M3799">
        <v>15.5873173331304</v>
      </c>
      <c r="N3799">
        <v>49.4763437660392</v>
      </c>
      <c r="O3799">
        <v>47.407820086588103</v>
      </c>
      <c r="P3799">
        <v>-6.8423312332459602E-2</v>
      </c>
      <c r="Q3799">
        <v>0.16765199317603</v>
      </c>
      <c r="R3799">
        <v>0.98013000782252602</v>
      </c>
      <c r="S3799" t="s">
        <v>10367</v>
      </c>
      <c r="T3799" t="s">
        <v>13134</v>
      </c>
      <c r="U3799" t="s">
        <v>13134</v>
      </c>
      <c r="V3799" t="s">
        <v>13134</v>
      </c>
      <c r="W3799" t="s">
        <v>16877</v>
      </c>
      <c r="X3799">
        <v>4</v>
      </c>
      <c r="Y3799" t="s">
        <v>23268</v>
      </c>
      <c r="Z3799" t="s">
        <v>29767</v>
      </c>
      <c r="AA3799">
        <v>0.49495592976459069</v>
      </c>
      <c r="AB3799" t="str">
        <f>HYPERLINK("Melting_Curves/meltCurve_Q5EBL8_PDZD11.pdf", "Melting_Curves/meltCurve_Q5EBL8_PDZD11.pdf")</f>
        <v>Melting_Curves/meltCurve_Q5EBL8_PDZD11.pdf</v>
      </c>
    </row>
    <row r="3800" spans="1:28" x14ac:dyDescent="0.25">
      <c r="A3800" t="s">
        <v>3804</v>
      </c>
      <c r="B3800">
        <v>0.99472303558308395</v>
      </c>
      <c r="C3800">
        <v>0.94314896155772299</v>
      </c>
      <c r="D3800">
        <v>0.97360698894837905</v>
      </c>
      <c r="E3800">
        <v>0.88098936911132797</v>
      </c>
      <c r="F3800">
        <v>0.55363771904204695</v>
      </c>
      <c r="G3800">
        <v>0.175948883572424</v>
      </c>
      <c r="H3800">
        <v>5.8308676441262197E-2</v>
      </c>
      <c r="I3800">
        <v>3.0628553362007899E-2</v>
      </c>
      <c r="J3800">
        <v>4.59078436267982E-2</v>
      </c>
      <c r="K3800">
        <v>4.35924600349335E-2</v>
      </c>
      <c r="L3800">
        <v>1310.25882212393</v>
      </c>
      <c r="M3800">
        <v>26.000449320091899</v>
      </c>
      <c r="N3800">
        <v>50.514039408263898</v>
      </c>
      <c r="O3800">
        <v>50.0984101593817</v>
      </c>
      <c r="P3800">
        <v>-0.12585185137539601</v>
      </c>
      <c r="Q3800">
        <v>3.0030986004368099E-2</v>
      </c>
      <c r="R3800">
        <v>0.99745684268579804</v>
      </c>
      <c r="S3800" t="s">
        <v>10368</v>
      </c>
      <c r="T3800" t="s">
        <v>13134</v>
      </c>
      <c r="U3800" t="s">
        <v>13134</v>
      </c>
      <c r="V3800" t="s">
        <v>13134</v>
      </c>
      <c r="W3800" t="s">
        <v>16878</v>
      </c>
      <c r="X3800">
        <v>12</v>
      </c>
      <c r="Y3800" t="s">
        <v>23269</v>
      </c>
      <c r="Z3800" t="s">
        <v>29768</v>
      </c>
      <c r="AA3800">
        <v>0.47098472685892151</v>
      </c>
      <c r="AB3800" t="str">
        <f>HYPERLINK("Melting_Curves/meltCurve_Q5EBM0_CMPK2.pdf", "Melting_Curves/meltCurve_Q5EBM0_CMPK2.pdf")</f>
        <v>Melting_Curves/meltCurve_Q5EBM0_CMPK2.pdf</v>
      </c>
    </row>
    <row r="3801" spans="1:28" x14ac:dyDescent="0.25">
      <c r="A3801" t="s">
        <v>3805</v>
      </c>
      <c r="B3801">
        <v>0.99472303558308395</v>
      </c>
      <c r="C3801">
        <v>0.94262880276456196</v>
      </c>
      <c r="D3801">
        <v>0.91632821455104796</v>
      </c>
      <c r="E3801">
        <v>0.84439072013287197</v>
      </c>
      <c r="F3801">
        <v>0.26752752833965898</v>
      </c>
      <c r="G3801">
        <v>0.120405845238109</v>
      </c>
      <c r="H3801">
        <v>7.83711144691904E-2</v>
      </c>
      <c r="I3801">
        <v>4.6149133324316E-2</v>
      </c>
      <c r="J3801">
        <v>6.2055324607732297E-2</v>
      </c>
      <c r="K3801">
        <v>4.9897930119861898E-2</v>
      </c>
      <c r="L3801">
        <v>1743.91251529695</v>
      </c>
      <c r="M3801">
        <v>35.928686749810701</v>
      </c>
      <c r="N3801">
        <v>48.721235653408797</v>
      </c>
      <c r="O3801">
        <v>48.388531550932498</v>
      </c>
      <c r="P3801">
        <v>-0.17390556490869999</v>
      </c>
      <c r="Q3801">
        <v>6.3143232242028197E-2</v>
      </c>
      <c r="R3801">
        <v>0.99348532036318404</v>
      </c>
      <c r="S3801" t="s">
        <v>10369</v>
      </c>
      <c r="T3801" t="s">
        <v>13134</v>
      </c>
      <c r="U3801" t="s">
        <v>13134</v>
      </c>
      <c r="V3801" t="s">
        <v>13134</v>
      </c>
      <c r="W3801" t="s">
        <v>16879</v>
      </c>
      <c r="X3801">
        <v>14</v>
      </c>
      <c r="Y3801" t="s">
        <v>23270</v>
      </c>
      <c r="Z3801" t="s">
        <v>29769</v>
      </c>
      <c r="AA3801">
        <v>0.42736487847976112</v>
      </c>
      <c r="AB3801" t="str">
        <f>HYPERLINK("Melting_Curves/meltCurve_Q5F1R6_DNAJC21.pdf", "Melting_Curves/meltCurve_Q5F1R6_DNAJC21.pdf")</f>
        <v>Melting_Curves/meltCurve_Q5F1R6_DNAJC21.pdf</v>
      </c>
    </row>
    <row r="3802" spans="1:28" x14ac:dyDescent="0.25">
      <c r="A3802" t="s">
        <v>3806</v>
      </c>
      <c r="B3802">
        <v>0.99472303558308395</v>
      </c>
      <c r="C3802">
        <v>1.1126288993757401</v>
      </c>
      <c r="D3802">
        <v>0.89403689354694704</v>
      </c>
      <c r="E3802">
        <v>0.83303400211840695</v>
      </c>
      <c r="F3802">
        <v>0.60726055569857995</v>
      </c>
      <c r="G3802">
        <v>0.19950948003511501</v>
      </c>
      <c r="H3802">
        <v>0.109269141935199</v>
      </c>
      <c r="I3802">
        <v>7.4594565923227704E-2</v>
      </c>
      <c r="J3802">
        <v>8.8946509189188297E-2</v>
      </c>
      <c r="K3802">
        <v>7.6280067820509501E-2</v>
      </c>
      <c r="L3802">
        <v>1118.15997189936</v>
      </c>
      <c r="M3802">
        <v>22.179459420970801</v>
      </c>
      <c r="N3802">
        <v>50.707296867936101</v>
      </c>
      <c r="O3802">
        <v>50.009751100036297</v>
      </c>
      <c r="P3802">
        <v>-0.104207708892952</v>
      </c>
      <c r="Q3802">
        <v>6.0159435044142999E-2</v>
      </c>
      <c r="R3802">
        <v>0.98328996456286999</v>
      </c>
      <c r="S3802" t="s">
        <v>10370</v>
      </c>
      <c r="T3802" t="s">
        <v>13134</v>
      </c>
      <c r="U3802" t="s">
        <v>13134</v>
      </c>
      <c r="V3802" t="s">
        <v>13134</v>
      </c>
      <c r="W3802" t="s">
        <v>16880</v>
      </c>
      <c r="X3802">
        <v>10</v>
      </c>
      <c r="Y3802" t="s">
        <v>23271</v>
      </c>
      <c r="Z3802" t="s">
        <v>29770</v>
      </c>
      <c r="AA3802">
        <v>0.49069722068747162</v>
      </c>
      <c r="AB3802" t="str">
        <f>HYPERLINK("Melting_Curves/meltCurve_Q5GLZ8_3_HERC4.pdf", "Melting_Curves/meltCurve_Q5GLZ8_3_HERC4.pdf")</f>
        <v>Melting_Curves/meltCurve_Q5GLZ8_3_HERC4.pdf</v>
      </c>
    </row>
    <row r="3803" spans="1:28" x14ac:dyDescent="0.25">
      <c r="A3803" t="s">
        <v>3807</v>
      </c>
      <c r="B3803">
        <v>0.99472303558308395</v>
      </c>
      <c r="C3803">
        <v>1.0565097599873801</v>
      </c>
      <c r="D3803">
        <v>1.0015167442670001</v>
      </c>
      <c r="E3803">
        <v>0.90252636624230897</v>
      </c>
      <c r="F3803">
        <v>0.72760386548615397</v>
      </c>
      <c r="G3803">
        <v>0.55824140686145696</v>
      </c>
      <c r="H3803">
        <v>0.373558564580316</v>
      </c>
      <c r="I3803">
        <v>0.22127953973109701</v>
      </c>
      <c r="J3803">
        <v>0.12057423693042101</v>
      </c>
      <c r="K3803">
        <v>0.111483346530712</v>
      </c>
      <c r="L3803">
        <v>702.96622764587096</v>
      </c>
      <c r="M3803">
        <v>12.890462226209101</v>
      </c>
      <c r="N3803">
        <v>54.696906157852503</v>
      </c>
      <c r="O3803">
        <v>53.271420330085803</v>
      </c>
      <c r="P3803">
        <v>-5.9364684286997503E-2</v>
      </c>
      <c r="Q3803">
        <v>1.88519879768516E-2</v>
      </c>
      <c r="R3803">
        <v>0.99451962017663098</v>
      </c>
      <c r="S3803" t="s">
        <v>10371</v>
      </c>
      <c r="T3803" t="s">
        <v>13134</v>
      </c>
      <c r="U3803" t="s">
        <v>13134</v>
      </c>
      <c r="V3803" t="s">
        <v>13134</v>
      </c>
      <c r="W3803" t="s">
        <v>16881</v>
      </c>
      <c r="X3803">
        <v>1</v>
      </c>
      <c r="Y3803" t="s">
        <v>23272</v>
      </c>
      <c r="Z3803" t="s">
        <v>29771</v>
      </c>
      <c r="AA3803">
        <v>0.60796557218164926</v>
      </c>
      <c r="AB3803" t="str">
        <f>HYPERLINK("Melting_Curves/meltCurve_Q5H8X8_UTS2.pdf", "Melting_Curves/meltCurve_Q5H8X8_UTS2.pdf")</f>
        <v>Melting_Curves/meltCurve_Q5H8X8_UTS2.pdf</v>
      </c>
    </row>
    <row r="3804" spans="1:28" x14ac:dyDescent="0.25">
      <c r="A3804" t="s">
        <v>3808</v>
      </c>
      <c r="B3804">
        <v>0.99472303558308395</v>
      </c>
      <c r="C3804">
        <v>1.02705912636382</v>
      </c>
      <c r="D3804">
        <v>1.0522170664313599</v>
      </c>
      <c r="E3804">
        <v>0.88898119179341195</v>
      </c>
      <c r="F3804">
        <v>0.77439771052162099</v>
      </c>
      <c r="G3804">
        <v>0.50235258671274297</v>
      </c>
      <c r="H3804">
        <v>0.40746407145597702</v>
      </c>
      <c r="I3804">
        <v>0.43810169889312101</v>
      </c>
      <c r="J3804">
        <v>0.586599065057955</v>
      </c>
      <c r="K3804">
        <v>0.44447421056382502</v>
      </c>
      <c r="L3804">
        <v>1554.82816286354</v>
      </c>
      <c r="M3804">
        <v>30.911342396997998</v>
      </c>
      <c r="N3804">
        <v>54.944642787088597</v>
      </c>
      <c r="O3804">
        <v>50.090491173630802</v>
      </c>
      <c r="P3804">
        <v>-8.2793141687192498E-2</v>
      </c>
      <c r="Q3804">
        <v>0.46335230515105202</v>
      </c>
      <c r="R3804">
        <v>0.95078592250989902</v>
      </c>
      <c r="S3804" t="s">
        <v>10372</v>
      </c>
      <c r="T3804" t="s">
        <v>13134</v>
      </c>
      <c r="U3804" t="s">
        <v>13134</v>
      </c>
      <c r="V3804" t="s">
        <v>13134</v>
      </c>
      <c r="W3804" t="s">
        <v>16882</v>
      </c>
      <c r="X3804">
        <v>1</v>
      </c>
      <c r="Y3804" t="s">
        <v>23273</v>
      </c>
      <c r="Z3804" t="s">
        <v>29772</v>
      </c>
      <c r="AA3804">
        <v>0.704377915899286</v>
      </c>
      <c r="AB3804" t="str">
        <f>HYPERLINK("Melting_Curves/meltCurve_Q5H937_PKIG.pdf", "Melting_Curves/meltCurve_Q5H937_PKIG.pdf")</f>
        <v>Melting_Curves/meltCurve_Q5H937_PKIG.pdf</v>
      </c>
    </row>
    <row r="3805" spans="1:28" x14ac:dyDescent="0.25">
      <c r="A3805" t="s">
        <v>3809</v>
      </c>
      <c r="B3805">
        <v>0.99472303558308395</v>
      </c>
      <c r="C3805">
        <v>0.92549376833925401</v>
      </c>
      <c r="D3805">
        <v>1.11349241954001</v>
      </c>
      <c r="E3805">
        <v>0.93947150951738501</v>
      </c>
      <c r="F3805">
        <v>0.65231529181935299</v>
      </c>
      <c r="G3805">
        <v>0.53818663437690295</v>
      </c>
      <c r="H3805">
        <v>0.36422866525775799</v>
      </c>
      <c r="I3805">
        <v>0.40981968823166798</v>
      </c>
      <c r="J3805">
        <v>0.35569877982606601</v>
      </c>
      <c r="K3805">
        <v>0.17554947379252001</v>
      </c>
      <c r="L3805">
        <v>921.90307639480397</v>
      </c>
      <c r="M3805">
        <v>17.921221425481399</v>
      </c>
      <c r="N3805">
        <v>53.973179315836703</v>
      </c>
      <c r="O3805">
        <v>50.814285174619897</v>
      </c>
      <c r="P3805">
        <v>-6.311154112773E-2</v>
      </c>
      <c r="Q3805">
        <v>0.284243687417159</v>
      </c>
      <c r="R3805">
        <v>0.94338884692146996</v>
      </c>
      <c r="S3805" t="s">
        <v>10373</v>
      </c>
      <c r="T3805" t="s">
        <v>13134</v>
      </c>
      <c r="U3805" t="s">
        <v>13134</v>
      </c>
      <c r="V3805" t="s">
        <v>13134</v>
      </c>
      <c r="W3805" t="s">
        <v>16883</v>
      </c>
      <c r="X3805">
        <v>5</v>
      </c>
      <c r="Y3805" t="s">
        <v>23274</v>
      </c>
      <c r="Z3805" t="s">
        <v>29773</v>
      </c>
      <c r="AA3805">
        <v>0.63987285725893128</v>
      </c>
      <c r="AB3805" t="str">
        <f>HYPERLINK("Melting_Curves/meltCurve_Q5H9A7_TIMP1.pdf", "Melting_Curves/meltCurve_Q5H9A7_TIMP1.pdf")</f>
        <v>Melting_Curves/meltCurve_Q5H9A7_TIMP1.pdf</v>
      </c>
    </row>
    <row r="3806" spans="1:28" x14ac:dyDescent="0.25">
      <c r="A3806" t="s">
        <v>3810</v>
      </c>
      <c r="B3806">
        <v>0.99472303558308395</v>
      </c>
      <c r="C3806">
        <v>0.99620127260240399</v>
      </c>
      <c r="D3806">
        <v>0.89714144272228602</v>
      </c>
      <c r="E3806">
        <v>0.85047886887643898</v>
      </c>
      <c r="F3806">
        <v>0.55641896079110498</v>
      </c>
      <c r="G3806">
        <v>0.37326437064898099</v>
      </c>
      <c r="H3806">
        <v>0.145192766152061</v>
      </c>
      <c r="I3806">
        <v>0.18987860773179099</v>
      </c>
      <c r="J3806">
        <v>0.110721816333992</v>
      </c>
      <c r="K3806">
        <v>0.198408993949306</v>
      </c>
      <c r="L3806">
        <v>900.75241680666397</v>
      </c>
      <c r="M3806">
        <v>17.942070772299601</v>
      </c>
      <c r="N3806">
        <v>51.085356746111501</v>
      </c>
      <c r="O3806">
        <v>49.592186627676902</v>
      </c>
      <c r="P3806">
        <v>-7.8405093517394497E-2</v>
      </c>
      <c r="Q3806">
        <v>0.13319134258539</v>
      </c>
      <c r="R3806">
        <v>0.98694698248453305</v>
      </c>
      <c r="S3806" t="s">
        <v>10374</v>
      </c>
      <c r="T3806" t="s">
        <v>13134</v>
      </c>
      <c r="U3806" t="s">
        <v>13134</v>
      </c>
      <c r="V3806" t="s">
        <v>13134</v>
      </c>
      <c r="W3806" t="s">
        <v>16884</v>
      </c>
      <c r="X3806">
        <v>1</v>
      </c>
      <c r="Y3806" t="s">
        <v>23275</v>
      </c>
      <c r="Z3806" t="s">
        <v>29774</v>
      </c>
      <c r="AA3806">
        <v>0.52837736722397544</v>
      </c>
      <c r="AB3806" t="str">
        <f>HYPERLINK("Melting_Curves/meltCurve_Q5HY40_DNASE1L1.pdf", "Melting_Curves/meltCurve_Q5HY40_DNASE1L1.pdf")</f>
        <v>Melting_Curves/meltCurve_Q5HY40_DNASE1L1.pdf</v>
      </c>
    </row>
    <row r="3807" spans="1:28" x14ac:dyDescent="0.25">
      <c r="A3807" t="s">
        <v>3811</v>
      </c>
      <c r="B3807">
        <v>0.99472303558308395</v>
      </c>
      <c r="C3807">
        <v>0.82386813279549997</v>
      </c>
      <c r="D3807">
        <v>0.75694916539434198</v>
      </c>
      <c r="E3807">
        <v>0.56289800612402197</v>
      </c>
      <c r="F3807">
        <v>0.32109023300214301</v>
      </c>
      <c r="G3807">
        <v>0.16602081208358399</v>
      </c>
      <c r="H3807">
        <v>8.1718325904074393E-2</v>
      </c>
      <c r="I3807">
        <v>7.6547107092354405E-2</v>
      </c>
      <c r="J3807">
        <v>7.1790933913999905E-2</v>
      </c>
      <c r="K3807">
        <v>5.7295766081924798E-2</v>
      </c>
      <c r="L3807">
        <v>560.74981184305</v>
      </c>
      <c r="M3807">
        <v>11.962364056824001</v>
      </c>
      <c r="N3807">
        <v>46.9994296814642</v>
      </c>
      <c r="O3807">
        <v>45.623807177143597</v>
      </c>
      <c r="P3807">
        <v>-6.4552434180303306E-2</v>
      </c>
      <c r="Q3807">
        <v>1.54426069421709E-2</v>
      </c>
      <c r="R3807">
        <v>0.992028986958432</v>
      </c>
      <c r="S3807" t="s">
        <v>10375</v>
      </c>
      <c r="T3807" t="s">
        <v>13134</v>
      </c>
      <c r="U3807" t="s">
        <v>13134</v>
      </c>
      <c r="V3807" t="s">
        <v>13134</v>
      </c>
      <c r="W3807" t="s">
        <v>16885</v>
      </c>
      <c r="X3807">
        <v>4</v>
      </c>
      <c r="Y3807" t="s">
        <v>23276</v>
      </c>
      <c r="Z3807" t="s">
        <v>29775</v>
      </c>
      <c r="AA3807">
        <v>0.37227321181487649</v>
      </c>
      <c r="AB3807" t="str">
        <f>HYPERLINK("Melting_Curves/meltCurve_Q5HYI8_RABL3.pdf", "Melting_Curves/meltCurve_Q5HYI8_RABL3.pdf")</f>
        <v>Melting_Curves/meltCurve_Q5HYI8_RABL3.pdf</v>
      </c>
    </row>
    <row r="3808" spans="1:28" x14ac:dyDescent="0.25">
      <c r="A3808" t="s">
        <v>3812</v>
      </c>
      <c r="B3808">
        <v>0.99472303558308395</v>
      </c>
      <c r="C3808">
        <v>0.92011504364028596</v>
      </c>
      <c r="D3808">
        <v>0.66021892945327798</v>
      </c>
      <c r="E3808">
        <v>0.60694094260649301</v>
      </c>
      <c r="F3808">
        <v>1.24436600109961</v>
      </c>
      <c r="G3808">
        <v>0.63847604199580799</v>
      </c>
      <c r="H3808">
        <v>1.1231995153333101</v>
      </c>
      <c r="I3808">
        <v>0.292018121003846</v>
      </c>
      <c r="J3808">
        <v>8.1334856574338005E-2</v>
      </c>
      <c r="K3808">
        <v>0.49888025215418502</v>
      </c>
      <c r="L3808">
        <v>14927.553113701</v>
      </c>
      <c r="M3808">
        <v>250</v>
      </c>
      <c r="N3808">
        <v>59.917619702757797</v>
      </c>
      <c r="O3808">
        <v>59.706399949442002</v>
      </c>
      <c r="P3808">
        <v>-0.74368577301382</v>
      </c>
      <c r="Q3808">
        <v>0.28955529916342598</v>
      </c>
      <c r="R3808">
        <v>0.53121527005124602</v>
      </c>
      <c r="S3808" t="s">
        <v>10376</v>
      </c>
      <c r="T3808" t="s">
        <v>13134</v>
      </c>
      <c r="U3808" t="s">
        <v>13134</v>
      </c>
      <c r="V3808" t="s">
        <v>13134</v>
      </c>
      <c r="W3808" t="s">
        <v>16886</v>
      </c>
      <c r="X3808">
        <v>2</v>
      </c>
      <c r="Y3808" t="s">
        <v>23277</v>
      </c>
      <c r="Z3808" t="s">
        <v>29776</v>
      </c>
      <c r="AA3808">
        <v>0.82744141679388761</v>
      </c>
      <c r="AB3808" t="str">
        <f>HYPERLINK("Melting_Curves/meltCurve_Q5HYZ1_WDR46.pdf", "Melting_Curves/meltCurve_Q5HYZ1_WDR46.pdf")</f>
        <v>Melting_Curves/meltCurve_Q5HYZ1_WDR46.pdf</v>
      </c>
    </row>
    <row r="3809" spans="1:28" x14ac:dyDescent="0.25">
      <c r="A3809" t="s">
        <v>3813</v>
      </c>
      <c r="B3809">
        <v>0.99472303558308395</v>
      </c>
      <c r="C3809">
        <v>0.98021678412646596</v>
      </c>
      <c r="D3809">
        <v>0.75019773663711697</v>
      </c>
      <c r="E3809">
        <v>0.63542827563386595</v>
      </c>
      <c r="F3809">
        <v>1.0958591802471001</v>
      </c>
      <c r="G3809">
        <v>0.74146243467742301</v>
      </c>
      <c r="H3809">
        <v>1.05525883014537</v>
      </c>
      <c r="I3809">
        <v>0.37610167125252197</v>
      </c>
      <c r="J3809">
        <v>0.341718897589048</v>
      </c>
      <c r="K3809">
        <v>0.37036036154537499</v>
      </c>
      <c r="L3809">
        <v>15000</v>
      </c>
      <c r="M3809">
        <v>249.337948968153</v>
      </c>
      <c r="N3809">
        <v>60.461220299575899</v>
      </c>
      <c r="O3809">
        <v>60.1554358543154</v>
      </c>
      <c r="P3809">
        <v>-0.66729245995304198</v>
      </c>
      <c r="Q3809">
        <v>0.35603426186168002</v>
      </c>
      <c r="R3809">
        <v>0.65027896027567</v>
      </c>
      <c r="S3809" t="s">
        <v>10377</v>
      </c>
      <c r="T3809" t="s">
        <v>13134</v>
      </c>
      <c r="U3809" t="s">
        <v>13134</v>
      </c>
      <c r="V3809" t="s">
        <v>13134</v>
      </c>
      <c r="W3809" t="s">
        <v>16887</v>
      </c>
      <c r="X3809">
        <v>1</v>
      </c>
      <c r="Y3809" t="s">
        <v>23278</v>
      </c>
      <c r="Z3809" t="s">
        <v>29777</v>
      </c>
      <c r="AA3809">
        <v>0.85322944009928281</v>
      </c>
      <c r="AB3809" t="str">
        <f>HYPERLINK("Melting_Curves/meltCurve_Q5J1K9_ART3.pdf", "Melting_Curves/meltCurve_Q5J1K9_ART3.pdf")</f>
        <v>Melting_Curves/meltCurve_Q5J1K9_ART3.pdf</v>
      </c>
    </row>
    <row r="3810" spans="1:28" x14ac:dyDescent="0.25">
      <c r="A3810" t="s">
        <v>3814</v>
      </c>
      <c r="B3810">
        <v>0.99472303558308395</v>
      </c>
      <c r="C3810">
        <v>0.74993554300653198</v>
      </c>
      <c r="D3810">
        <v>0.75517973141107297</v>
      </c>
      <c r="E3810">
        <v>0.55200214854879603</v>
      </c>
      <c r="F3810">
        <v>0.81022695640506104</v>
      </c>
      <c r="G3810">
        <v>0.42985054123117</v>
      </c>
      <c r="H3810">
        <v>0.32355216946305598</v>
      </c>
      <c r="I3810">
        <v>0.109157068570451</v>
      </c>
      <c r="J3810">
        <v>8.4997271639270205E-2</v>
      </c>
      <c r="K3810">
        <v>5.6762479343152497E-2</v>
      </c>
      <c r="L3810">
        <v>401.77900250082098</v>
      </c>
      <c r="M3810">
        <v>7.8866858515339802</v>
      </c>
      <c r="N3810">
        <v>50.9439589414784</v>
      </c>
      <c r="O3810">
        <v>47.980626806666898</v>
      </c>
      <c r="P3810">
        <v>-4.1142086892236099E-2</v>
      </c>
      <c r="Q3810">
        <v>0</v>
      </c>
      <c r="R3810">
        <v>0.85723101650254496</v>
      </c>
      <c r="S3810" t="s">
        <v>10378</v>
      </c>
      <c r="T3810" t="s">
        <v>13134</v>
      </c>
      <c r="U3810" t="s">
        <v>13134</v>
      </c>
      <c r="V3810" t="s">
        <v>13134</v>
      </c>
      <c r="W3810" t="s">
        <v>16888</v>
      </c>
      <c r="X3810">
        <v>10</v>
      </c>
      <c r="Y3810" t="s">
        <v>20166</v>
      </c>
      <c r="Z3810" t="s">
        <v>29778</v>
      </c>
      <c r="AA3810">
        <v>0.50020410838313822</v>
      </c>
      <c r="AB3810" t="str">
        <f>HYPERLINK("Melting_Curves/meltCurve_Q5JP01_RBBP7.pdf", "Melting_Curves/meltCurve_Q5JP01_RBBP7.pdf")</f>
        <v>Melting_Curves/meltCurve_Q5JP01_RBBP7.pdf</v>
      </c>
    </row>
    <row r="3811" spans="1:28" x14ac:dyDescent="0.25">
      <c r="A3811" t="s">
        <v>3815</v>
      </c>
      <c r="B3811">
        <v>0.99472303558308395</v>
      </c>
      <c r="C3811">
        <v>0.89578217411473804</v>
      </c>
      <c r="D3811">
        <v>0.86236887098806903</v>
      </c>
      <c r="E3811">
        <v>0.84518740231204503</v>
      </c>
      <c r="F3811">
        <v>0.71285864134621002</v>
      </c>
      <c r="G3811">
        <v>0.52114136887416596</v>
      </c>
      <c r="H3811">
        <v>0.36448140536087498</v>
      </c>
      <c r="I3811">
        <v>0.154209078396218</v>
      </c>
      <c r="J3811">
        <v>6.3052808005003902E-2</v>
      </c>
      <c r="K3811">
        <v>7.5344916477670207E-2</v>
      </c>
      <c r="L3811">
        <v>632.49484258728796</v>
      </c>
      <c r="M3811">
        <v>11.786134735244101</v>
      </c>
      <c r="N3811">
        <v>53.664314244974399</v>
      </c>
      <c r="O3811">
        <v>52.189329277483701</v>
      </c>
      <c r="P3811">
        <v>-5.6473128611254197E-2</v>
      </c>
      <c r="Q3811">
        <v>0</v>
      </c>
      <c r="R3811">
        <v>0.97907290226169297</v>
      </c>
      <c r="S3811" t="s">
        <v>10379</v>
      </c>
      <c r="T3811" t="s">
        <v>13134</v>
      </c>
      <c r="U3811" t="s">
        <v>13134</v>
      </c>
      <c r="V3811" t="s">
        <v>13134</v>
      </c>
      <c r="W3811" t="s">
        <v>16889</v>
      </c>
      <c r="X3811">
        <v>32</v>
      </c>
      <c r="Y3811" t="s">
        <v>23279</v>
      </c>
      <c r="Z3811" t="s">
        <v>29779</v>
      </c>
      <c r="AA3811">
        <v>0.57460976162259059</v>
      </c>
      <c r="AB3811" t="str">
        <f>HYPERLINK("Melting_Curves/meltCurve_Q5JP53_TUBB.pdf", "Melting_Curves/meltCurve_Q5JP53_TUBB.pdf")</f>
        <v>Melting_Curves/meltCurve_Q5JP53_TUBB.pdf</v>
      </c>
    </row>
    <row r="3812" spans="1:28" x14ac:dyDescent="0.25">
      <c r="A3812" t="s">
        <v>3816</v>
      </c>
      <c r="B3812">
        <v>0.99472303558308395</v>
      </c>
      <c r="C3812">
        <v>0.90257724921295202</v>
      </c>
      <c r="D3812">
        <v>0.93582669850508504</v>
      </c>
      <c r="E3812">
        <v>0.78772937971562196</v>
      </c>
      <c r="F3812">
        <v>0.54357437607370696</v>
      </c>
      <c r="G3812">
        <v>0.16326914855756</v>
      </c>
      <c r="H3812">
        <v>7.9115182615237201E-2</v>
      </c>
      <c r="I3812">
        <v>5.2717099460812197E-2</v>
      </c>
      <c r="J3812">
        <v>5.9536781028196199E-2</v>
      </c>
      <c r="K3812">
        <v>4.8944685882376902E-2</v>
      </c>
      <c r="L3812">
        <v>993.85189845472701</v>
      </c>
      <c r="M3812">
        <v>19.907451973556</v>
      </c>
      <c r="N3812">
        <v>50.068471984163402</v>
      </c>
      <c r="O3812">
        <v>49.428042226520901</v>
      </c>
      <c r="P3812">
        <v>-9.7874534050735998E-2</v>
      </c>
      <c r="Q3812">
        <v>2.7984929601261099E-2</v>
      </c>
      <c r="R3812">
        <v>0.98953389115016999</v>
      </c>
      <c r="S3812" t="s">
        <v>10380</v>
      </c>
      <c r="T3812" t="s">
        <v>13134</v>
      </c>
      <c r="U3812" t="s">
        <v>13134</v>
      </c>
      <c r="V3812" t="s">
        <v>13134</v>
      </c>
      <c r="W3812" t="s">
        <v>16890</v>
      </c>
      <c r="X3812">
        <v>31</v>
      </c>
      <c r="Y3812" t="s">
        <v>23280</v>
      </c>
      <c r="Z3812" t="s">
        <v>29780</v>
      </c>
      <c r="AA3812">
        <v>0.45962398842468871</v>
      </c>
      <c r="AB3812" t="str">
        <f>HYPERLINK("Melting_Curves/meltCurve_Q5JPE7_2_NOMO2.pdf", "Melting_Curves/meltCurve_Q5JPE7_2_NOMO2.pdf")</f>
        <v>Melting_Curves/meltCurve_Q5JPE7_2_NOMO2.pdf</v>
      </c>
    </row>
    <row r="3813" spans="1:28" x14ac:dyDescent="0.25">
      <c r="A3813" t="s">
        <v>3817</v>
      </c>
      <c r="B3813">
        <v>0.99472303558308395</v>
      </c>
      <c r="C3813">
        <v>0.820160851235332</v>
      </c>
      <c r="D3813">
        <v>0.96523334467107502</v>
      </c>
      <c r="E3813">
        <v>0.57618800286523397</v>
      </c>
      <c r="F3813">
        <v>0.21669904591876701</v>
      </c>
      <c r="G3813">
        <v>0.13012239853400501</v>
      </c>
      <c r="H3813">
        <v>0.10163515954319299</v>
      </c>
      <c r="I3813">
        <v>7.0697880586582607E-2</v>
      </c>
      <c r="J3813">
        <v>7.5849887628087406E-2</v>
      </c>
      <c r="K3813">
        <v>6.3573770505006594E-2</v>
      </c>
      <c r="L3813">
        <v>1184.5285565157301</v>
      </c>
      <c r="M3813">
        <v>25.2307427653279</v>
      </c>
      <c r="N3813">
        <v>47.2591824274243</v>
      </c>
      <c r="O3813">
        <v>46.655894531311603</v>
      </c>
      <c r="P3813">
        <v>-0.12484536850919099</v>
      </c>
      <c r="Q3813">
        <v>7.6571685625051497E-2</v>
      </c>
      <c r="R3813">
        <v>0.97722562214406405</v>
      </c>
      <c r="S3813" t="s">
        <v>10381</v>
      </c>
      <c r="T3813" t="s">
        <v>13134</v>
      </c>
      <c r="U3813" t="s">
        <v>13134</v>
      </c>
      <c r="V3813" t="s">
        <v>13134</v>
      </c>
      <c r="W3813" t="s">
        <v>16891</v>
      </c>
      <c r="X3813">
        <v>8</v>
      </c>
      <c r="Y3813" t="s">
        <v>23281</v>
      </c>
      <c r="Z3813" t="s">
        <v>29781</v>
      </c>
      <c r="AA3813">
        <v>0.3903824618880648</v>
      </c>
      <c r="AB3813" t="str">
        <f>HYPERLINK("Melting_Curves/meltCurve_Q5JPH6_EARS2.pdf", "Melting_Curves/meltCurve_Q5JPH6_EARS2.pdf")</f>
        <v>Melting_Curves/meltCurve_Q5JPH6_EARS2.pdf</v>
      </c>
    </row>
    <row r="3814" spans="1:28" x14ac:dyDescent="0.25">
      <c r="A3814" t="s">
        <v>3818</v>
      </c>
      <c r="B3814">
        <v>0.99472303558308395</v>
      </c>
      <c r="C3814">
        <v>0.934644723609388</v>
      </c>
      <c r="D3814">
        <v>0.97209866802063405</v>
      </c>
      <c r="E3814">
        <v>0.88769165769830705</v>
      </c>
      <c r="F3814">
        <v>0.71980275824955398</v>
      </c>
      <c r="G3814">
        <v>0.53834664196674797</v>
      </c>
      <c r="H3814">
        <v>0.39125955286724801</v>
      </c>
      <c r="I3814">
        <v>0.32552690758251202</v>
      </c>
      <c r="J3814">
        <v>0.33141256702725702</v>
      </c>
      <c r="K3814">
        <v>0.21966953735522099</v>
      </c>
      <c r="L3814">
        <v>701.58096682350595</v>
      </c>
      <c r="M3814">
        <v>13.391606757116699</v>
      </c>
      <c r="N3814">
        <v>54.754501586225899</v>
      </c>
      <c r="O3814">
        <v>51.262735715566997</v>
      </c>
      <c r="P3814">
        <v>-5.09748347581995E-2</v>
      </c>
      <c r="Q3814">
        <v>0.219601274413711</v>
      </c>
      <c r="R3814">
        <v>0.99107755283577004</v>
      </c>
      <c r="S3814" t="s">
        <v>10382</v>
      </c>
      <c r="T3814" t="s">
        <v>13134</v>
      </c>
      <c r="U3814" t="s">
        <v>13134</v>
      </c>
      <c r="V3814" t="s">
        <v>13134</v>
      </c>
      <c r="W3814" t="s">
        <v>16892</v>
      </c>
      <c r="X3814">
        <v>10</v>
      </c>
      <c r="Y3814" t="s">
        <v>23282</v>
      </c>
      <c r="Z3814" t="s">
        <v>29782</v>
      </c>
      <c r="AA3814">
        <v>0.63622905183834744</v>
      </c>
      <c r="AB3814" t="str">
        <f>HYPERLINK("Melting_Curves/meltCurve_Q5JR08_RHOC.pdf", "Melting_Curves/meltCurve_Q5JR08_RHOC.pdf")</f>
        <v>Melting_Curves/meltCurve_Q5JR08_RHOC.pdf</v>
      </c>
    </row>
    <row r="3815" spans="1:28" x14ac:dyDescent="0.25">
      <c r="A3815" t="s">
        <v>3819</v>
      </c>
      <c r="B3815">
        <v>0.99472303558308395</v>
      </c>
      <c r="C3815">
        <v>1.04304760251608</v>
      </c>
      <c r="D3815">
        <v>0.99245192370740498</v>
      </c>
      <c r="E3815">
        <v>0.80288746285978596</v>
      </c>
      <c r="F3815">
        <v>0.42288123073721601</v>
      </c>
      <c r="G3815">
        <v>0.21635328751110799</v>
      </c>
      <c r="H3815">
        <v>0.11586847475060399</v>
      </c>
      <c r="I3815">
        <v>9.1954774306225007E-2</v>
      </c>
      <c r="J3815">
        <v>0.117000996091251</v>
      </c>
      <c r="K3815">
        <v>0.11285924025121501</v>
      </c>
      <c r="L3815">
        <v>1211.8052372852001</v>
      </c>
      <c r="M3815">
        <v>24.7062234968921</v>
      </c>
      <c r="N3815">
        <v>49.518667567148</v>
      </c>
      <c r="O3815">
        <v>48.730628814137702</v>
      </c>
      <c r="P3815">
        <v>-0.11350121498179901</v>
      </c>
      <c r="Q3815">
        <v>0.10453208453310101</v>
      </c>
      <c r="R3815">
        <v>0.99763137143403002</v>
      </c>
      <c r="S3815" t="s">
        <v>10383</v>
      </c>
      <c r="T3815" t="s">
        <v>13134</v>
      </c>
      <c r="U3815" t="s">
        <v>13134</v>
      </c>
      <c r="V3815" t="s">
        <v>13134</v>
      </c>
      <c r="W3815" t="s">
        <v>16893</v>
      </c>
      <c r="X3815">
        <v>46</v>
      </c>
      <c r="Y3815" t="s">
        <v>23283</v>
      </c>
      <c r="Z3815" t="s">
        <v>29783</v>
      </c>
      <c r="AA3815">
        <v>0.47209188128072621</v>
      </c>
      <c r="AB3815" t="str">
        <f>HYPERLINK("Melting_Curves/meltCurve_Q5JRA6_MIA3.pdf", "Melting_Curves/meltCurve_Q5JRA6_MIA3.pdf")</f>
        <v>Melting_Curves/meltCurve_Q5JRA6_MIA3.pdf</v>
      </c>
    </row>
    <row r="3816" spans="1:28" x14ac:dyDescent="0.25">
      <c r="A3816" t="s">
        <v>3820</v>
      </c>
      <c r="B3816">
        <v>0.99472303558308395</v>
      </c>
      <c r="C3816">
        <v>1.04355051458052</v>
      </c>
      <c r="D3816">
        <v>0.94542867192479396</v>
      </c>
      <c r="E3816">
        <v>0.71809772280967099</v>
      </c>
      <c r="F3816">
        <v>0.65841408723397898</v>
      </c>
      <c r="G3816">
        <v>0.47475839432449202</v>
      </c>
      <c r="H3816">
        <v>0.274104515352318</v>
      </c>
      <c r="I3816">
        <v>0.217696061205711</v>
      </c>
      <c r="J3816">
        <v>0.24974584493683699</v>
      </c>
      <c r="K3816">
        <v>0.198596537881566</v>
      </c>
      <c r="L3816">
        <v>645.38955161781803</v>
      </c>
      <c r="M3816">
        <v>12.6836007603351</v>
      </c>
      <c r="N3816">
        <v>52.444777473668097</v>
      </c>
      <c r="O3816">
        <v>49.668622659362597</v>
      </c>
      <c r="P3816">
        <v>-5.3814396987302997E-2</v>
      </c>
      <c r="Q3816">
        <v>0.157220886216102</v>
      </c>
      <c r="R3816">
        <v>0.98153126998217299</v>
      </c>
      <c r="S3816" t="s">
        <v>10384</v>
      </c>
      <c r="T3816" t="s">
        <v>13134</v>
      </c>
      <c r="U3816" t="s">
        <v>13134</v>
      </c>
      <c r="V3816" t="s">
        <v>13134</v>
      </c>
      <c r="W3816" t="s">
        <v>16894</v>
      </c>
      <c r="X3816">
        <v>5</v>
      </c>
      <c r="Y3816" t="s">
        <v>23284</v>
      </c>
      <c r="Z3816" t="s">
        <v>29784</v>
      </c>
      <c r="AA3816">
        <v>0.56814148730998804</v>
      </c>
      <c r="AB3816" t="str">
        <f>HYPERLINK("Melting_Curves/meltCurve_Q5JRG1_NUPL1.pdf", "Melting_Curves/meltCurve_Q5JRG1_NUPL1.pdf")</f>
        <v>Melting_Curves/meltCurve_Q5JRG1_NUPL1.pdf</v>
      </c>
    </row>
    <row r="3817" spans="1:28" x14ac:dyDescent="0.25">
      <c r="A3817" t="s">
        <v>3821</v>
      </c>
      <c r="B3817">
        <v>0.99472303558308395</v>
      </c>
      <c r="C3817">
        <v>1.10142423055212</v>
      </c>
      <c r="D3817">
        <v>0.86534861965888699</v>
      </c>
      <c r="E3817">
        <v>0.69516484133314804</v>
      </c>
      <c r="F3817">
        <v>0.49494571033353602</v>
      </c>
      <c r="G3817">
        <v>0.23340959749287599</v>
      </c>
      <c r="H3817">
        <v>0.12363505391331001</v>
      </c>
      <c r="I3817">
        <v>0.153227367206101</v>
      </c>
      <c r="J3817">
        <v>0.28031596562223698</v>
      </c>
      <c r="K3817">
        <v>0.42945845109067099</v>
      </c>
      <c r="L3817">
        <v>1042.2199874297601</v>
      </c>
      <c r="M3817">
        <v>21.909583483122301</v>
      </c>
      <c r="N3817">
        <v>49.018554921397602</v>
      </c>
      <c r="O3817">
        <v>47.178171117425798</v>
      </c>
      <c r="P3817">
        <v>-8.8422543356737895E-2</v>
      </c>
      <c r="Q3817">
        <v>0.23841195471756499</v>
      </c>
      <c r="R3817">
        <v>0.92207146905451098</v>
      </c>
      <c r="S3817" t="s">
        <v>10385</v>
      </c>
      <c r="T3817" t="s">
        <v>13134</v>
      </c>
      <c r="U3817" t="s">
        <v>13134</v>
      </c>
      <c r="V3817" t="s">
        <v>13134</v>
      </c>
      <c r="W3817" t="s">
        <v>16895</v>
      </c>
      <c r="X3817">
        <v>3</v>
      </c>
      <c r="Y3817" t="s">
        <v>23285</v>
      </c>
      <c r="Z3817" t="s">
        <v>29785</v>
      </c>
      <c r="AA3817">
        <v>0.51509376531534024</v>
      </c>
      <c r="AB3817" t="str">
        <f>HYPERLINK("Melting_Curves/meltCurve_Q5JRI1_SRSF10.pdf", "Melting_Curves/meltCurve_Q5JRI1_SRSF10.pdf")</f>
        <v>Melting_Curves/meltCurve_Q5JRI1_SRSF10.pdf</v>
      </c>
    </row>
    <row r="3818" spans="1:28" x14ac:dyDescent="0.25">
      <c r="A3818" t="s">
        <v>3822</v>
      </c>
      <c r="B3818">
        <v>0.99472303558308395</v>
      </c>
      <c r="C3818">
        <v>1.1147682166376101</v>
      </c>
      <c r="D3818">
        <v>0.98643471424973606</v>
      </c>
      <c r="E3818">
        <v>0.86391517990552102</v>
      </c>
      <c r="F3818">
        <v>0.86501257711821899</v>
      </c>
      <c r="G3818">
        <v>0.64692352633227601</v>
      </c>
      <c r="H3818">
        <v>0.552125991195066</v>
      </c>
      <c r="I3818">
        <v>0.455309331194446</v>
      </c>
      <c r="J3818">
        <v>0.59809906938539303</v>
      </c>
      <c r="K3818">
        <v>0.49190964940355097</v>
      </c>
      <c r="L3818">
        <v>964.45267710269195</v>
      </c>
      <c r="M3818">
        <v>18.703402864896699</v>
      </c>
      <c r="O3818">
        <v>50.986992590045297</v>
      </c>
      <c r="P3818">
        <v>-4.5979758621860302E-2</v>
      </c>
      <c r="Q3818">
        <v>0.49864306676480302</v>
      </c>
      <c r="R3818">
        <v>0.92992955388652798</v>
      </c>
      <c r="S3818" t="s">
        <v>10386</v>
      </c>
      <c r="T3818" t="s">
        <v>13134</v>
      </c>
      <c r="U3818" t="s">
        <v>13134</v>
      </c>
      <c r="V3818" t="s">
        <v>13134</v>
      </c>
      <c r="W3818" t="s">
        <v>16896</v>
      </c>
      <c r="X3818">
        <v>2</v>
      </c>
      <c r="Y3818" t="s">
        <v>23286</v>
      </c>
      <c r="Z3818" t="s">
        <v>29786</v>
      </c>
      <c r="AA3818">
        <v>0.7493074904075786</v>
      </c>
      <c r="AB3818" t="str">
        <f>HYPERLINK("Melting_Curves/meltCurve_Q5JRL0_PAGE2B.pdf", "Melting_Curves/meltCurve_Q5JRL0_PAGE2B.pdf")</f>
        <v>Melting_Curves/meltCurve_Q5JRL0_PAGE2B.pdf</v>
      </c>
    </row>
    <row r="3819" spans="1:28" x14ac:dyDescent="0.25">
      <c r="A3819" t="s">
        <v>3823</v>
      </c>
      <c r="B3819">
        <v>0.99472303558308395</v>
      </c>
      <c r="C3819">
        <v>1.04903211687399</v>
      </c>
      <c r="D3819">
        <v>0.89988843665509599</v>
      </c>
      <c r="E3819">
        <v>0.76940203596029599</v>
      </c>
      <c r="F3819">
        <v>0.45381190976412</v>
      </c>
      <c r="G3819">
        <v>0.22737463186512499</v>
      </c>
      <c r="H3819">
        <v>0.10490055308136501</v>
      </c>
      <c r="I3819">
        <v>8.6788817159224596E-2</v>
      </c>
      <c r="J3819">
        <v>7.9096041122625804E-2</v>
      </c>
      <c r="K3819">
        <v>6.0951579062058898E-2</v>
      </c>
      <c r="L3819">
        <v>905.56899415168903</v>
      </c>
      <c r="M3819">
        <v>18.357835824924098</v>
      </c>
      <c r="N3819">
        <v>49.646486399186301</v>
      </c>
      <c r="O3819">
        <v>48.754582068268299</v>
      </c>
      <c r="P3819">
        <v>-8.8920489490309104E-2</v>
      </c>
      <c r="Q3819">
        <v>5.5426047894363201E-2</v>
      </c>
      <c r="R3819">
        <v>0.99615867022488302</v>
      </c>
      <c r="S3819" t="s">
        <v>10387</v>
      </c>
      <c r="T3819" t="s">
        <v>13134</v>
      </c>
      <c r="U3819" t="s">
        <v>13134</v>
      </c>
      <c r="V3819" t="s">
        <v>13134</v>
      </c>
      <c r="W3819" t="s">
        <v>16897</v>
      </c>
      <c r="X3819">
        <v>33</v>
      </c>
      <c r="Y3819" t="s">
        <v>23287</v>
      </c>
      <c r="Z3819" t="s">
        <v>29787</v>
      </c>
      <c r="AA3819">
        <v>0.45808843424214513</v>
      </c>
      <c r="AB3819" t="str">
        <f>HYPERLINK("Melting_Curves/meltCurve_Q5JRX3_PITRM1.pdf", "Melting_Curves/meltCurve_Q5JRX3_PITRM1.pdf")</f>
        <v>Melting_Curves/meltCurve_Q5JRX3_PITRM1.pdf</v>
      </c>
    </row>
    <row r="3820" spans="1:28" x14ac:dyDescent="0.25">
      <c r="A3820" t="s">
        <v>3824</v>
      </c>
      <c r="B3820">
        <v>0.99472303558308395</v>
      </c>
      <c r="C3820">
        <v>0.931459250655848</v>
      </c>
      <c r="D3820">
        <v>0.92006430343411105</v>
      </c>
      <c r="E3820">
        <v>0.86714925104667095</v>
      </c>
      <c r="F3820">
        <v>0.819535976151051</v>
      </c>
      <c r="G3820">
        <v>0.61083827016412695</v>
      </c>
      <c r="H3820">
        <v>0.79101677216489197</v>
      </c>
      <c r="I3820">
        <v>0.93313180864168199</v>
      </c>
      <c r="J3820">
        <v>1.30070395510881</v>
      </c>
      <c r="K3820">
        <v>0.94280616291902797</v>
      </c>
      <c r="L3820">
        <v>1417.9344823659701</v>
      </c>
      <c r="M3820">
        <v>36.051342803431901</v>
      </c>
      <c r="O3820">
        <v>39.210547055076901</v>
      </c>
      <c r="P3820">
        <v>-2.36345462547672E-2</v>
      </c>
      <c r="Q3820">
        <v>0.89717769199016195</v>
      </c>
      <c r="R3820">
        <v>3.2133368149266602E-2</v>
      </c>
      <c r="S3820" t="s">
        <v>10388</v>
      </c>
      <c r="T3820" t="s">
        <v>13134</v>
      </c>
      <c r="U3820" t="s">
        <v>13134</v>
      </c>
      <c r="V3820" t="s">
        <v>13134</v>
      </c>
      <c r="W3820" t="s">
        <v>16898</v>
      </c>
      <c r="X3820">
        <v>3</v>
      </c>
      <c r="Y3820" t="s">
        <v>23288</v>
      </c>
      <c r="Z3820" t="s">
        <v>29788</v>
      </c>
      <c r="AA3820">
        <v>0.90582067406985267</v>
      </c>
      <c r="AB3820" t="str">
        <f>HYPERLINK("Melting_Curves/meltCurve_Q5JS54_PSMG4.pdf", "Melting_Curves/meltCurve_Q5JS54_PSMG4.pdf")</f>
        <v>Melting_Curves/meltCurve_Q5JS54_PSMG4.pdf</v>
      </c>
    </row>
    <row r="3821" spans="1:28" x14ac:dyDescent="0.25">
      <c r="A3821" t="s">
        <v>3825</v>
      </c>
      <c r="B3821">
        <v>0.99472303558308395</v>
      </c>
      <c r="C3821">
        <v>1.0191026298363599</v>
      </c>
      <c r="D3821">
        <v>0.96936417276888298</v>
      </c>
      <c r="E3821">
        <v>0.92813587244561202</v>
      </c>
      <c r="F3821">
        <v>0.78919438976796197</v>
      </c>
      <c r="G3821">
        <v>0.58653724320492096</v>
      </c>
      <c r="H3821">
        <v>0.32472517052036398</v>
      </c>
      <c r="I3821">
        <v>0.111625797244436</v>
      </c>
      <c r="J3821">
        <v>9.9728623321890197E-2</v>
      </c>
      <c r="K3821">
        <v>9.7977091238164796E-2</v>
      </c>
      <c r="L3821">
        <v>906.27803931610003</v>
      </c>
      <c r="M3821">
        <v>16.656621869903098</v>
      </c>
      <c r="N3821">
        <v>54.5871728046911</v>
      </c>
      <c r="O3821">
        <v>53.643375077801501</v>
      </c>
      <c r="P3821">
        <v>-7.5583200152540803E-2</v>
      </c>
      <c r="Q3821">
        <v>2.6389265440300399E-2</v>
      </c>
      <c r="R3821">
        <v>0.99578387792507705</v>
      </c>
      <c r="S3821" t="s">
        <v>10389</v>
      </c>
      <c r="T3821" t="s">
        <v>13134</v>
      </c>
      <c r="U3821" t="s">
        <v>13134</v>
      </c>
      <c r="V3821" t="s">
        <v>13134</v>
      </c>
      <c r="W3821" t="s">
        <v>16899</v>
      </c>
      <c r="X3821">
        <v>38</v>
      </c>
      <c r="Y3821" t="s">
        <v>23289</v>
      </c>
      <c r="Z3821" t="s">
        <v>29789</v>
      </c>
      <c r="AA3821">
        <v>0.60529105388128501</v>
      </c>
      <c r="AB3821" t="str">
        <f>HYPERLINK("Melting_Curves/meltCurve_Q5JSH3_2_WDR44.pdf", "Melting_Curves/meltCurve_Q5JSH3_2_WDR44.pdf")</f>
        <v>Melting_Curves/meltCurve_Q5JSH3_2_WDR44.pdf</v>
      </c>
    </row>
    <row r="3822" spans="1:28" x14ac:dyDescent="0.25">
      <c r="A3822" t="s">
        <v>3826</v>
      </c>
      <c r="B3822">
        <v>0.99472303558308395</v>
      </c>
      <c r="C3822">
        <v>1.11479290878654</v>
      </c>
      <c r="D3822">
        <v>0.90997338768890601</v>
      </c>
      <c r="E3822">
        <v>0.98663521942362198</v>
      </c>
      <c r="F3822">
        <v>0.83824829297186698</v>
      </c>
      <c r="G3822">
        <v>0.59084487666785601</v>
      </c>
      <c r="H3822">
        <v>0.46053492723878198</v>
      </c>
      <c r="I3822">
        <v>0.47724121798621499</v>
      </c>
      <c r="J3822">
        <v>0.69219190021532195</v>
      </c>
      <c r="K3822">
        <v>0.55084244785556502</v>
      </c>
      <c r="L3822">
        <v>2353.2217199872398</v>
      </c>
      <c r="M3822">
        <v>46.283127710438997</v>
      </c>
      <c r="O3822">
        <v>50.749404606506801</v>
      </c>
      <c r="P3822">
        <v>-0.10326232201220099</v>
      </c>
      <c r="Q3822">
        <v>0.54709238143067196</v>
      </c>
      <c r="R3822">
        <v>0.89101238188405896</v>
      </c>
      <c r="S3822" t="s">
        <v>10390</v>
      </c>
      <c r="T3822" t="s">
        <v>13134</v>
      </c>
      <c r="U3822" t="s">
        <v>13134</v>
      </c>
      <c r="V3822" t="s">
        <v>13134</v>
      </c>
      <c r="W3822" t="s">
        <v>16900</v>
      </c>
      <c r="X3822">
        <v>3</v>
      </c>
      <c r="Y3822" t="s">
        <v>23290</v>
      </c>
      <c r="Z3822" t="s">
        <v>29790</v>
      </c>
      <c r="AA3822">
        <v>0.75728106626694403</v>
      </c>
      <c r="AB3822" t="str">
        <f>HYPERLINK("Melting_Curves/meltCurve_Q5JSK7_HMGN5.pdf", "Melting_Curves/meltCurve_Q5JSK7_HMGN5.pdf")</f>
        <v>Melting_Curves/meltCurve_Q5JSK7_HMGN5.pdf</v>
      </c>
    </row>
    <row r="3823" spans="1:28" x14ac:dyDescent="0.25">
      <c r="A3823" t="s">
        <v>3827</v>
      </c>
      <c r="B3823">
        <v>0.99472303558308395</v>
      </c>
      <c r="C3823">
        <v>0.93065686768363498</v>
      </c>
      <c r="D3823">
        <v>0.84990719632108802</v>
      </c>
      <c r="E3823">
        <v>0.69315805809638298</v>
      </c>
      <c r="F3823">
        <v>0.723051356440092</v>
      </c>
      <c r="G3823">
        <v>0.53613624238789703</v>
      </c>
      <c r="H3823">
        <v>0.415921672583282</v>
      </c>
      <c r="I3823">
        <v>0.46371841349464099</v>
      </c>
      <c r="J3823">
        <v>0.537726991681169</v>
      </c>
      <c r="K3823">
        <v>0.488613894771807</v>
      </c>
      <c r="L3823">
        <v>546.80352268230502</v>
      </c>
      <c r="M3823">
        <v>11.685446212335499</v>
      </c>
      <c r="N3823">
        <v>58.909642133467599</v>
      </c>
      <c r="O3823">
        <v>45.486177268608699</v>
      </c>
      <c r="P3823">
        <v>-3.50253648402283E-2</v>
      </c>
      <c r="Q3823">
        <v>0.45479375217599</v>
      </c>
      <c r="R3823">
        <v>0.93300482825064501</v>
      </c>
      <c r="S3823" t="s">
        <v>10391</v>
      </c>
      <c r="T3823" t="s">
        <v>13134</v>
      </c>
      <c r="U3823" t="s">
        <v>13134</v>
      </c>
      <c r="V3823" t="s">
        <v>13134</v>
      </c>
      <c r="W3823" t="s">
        <v>16901</v>
      </c>
      <c r="X3823">
        <v>19</v>
      </c>
      <c r="Y3823" t="s">
        <v>23291</v>
      </c>
      <c r="Z3823" t="s">
        <v>29791</v>
      </c>
      <c r="AA3823">
        <v>0.65165659195255821</v>
      </c>
      <c r="AB3823" t="str">
        <f>HYPERLINK("Melting_Curves/meltCurve_Q5JSZ5_PRRC2B.pdf", "Melting_Curves/meltCurve_Q5JSZ5_PRRC2B.pdf")</f>
        <v>Melting_Curves/meltCurve_Q5JSZ5_PRRC2B.pdf</v>
      </c>
    </row>
    <row r="3824" spans="1:28" x14ac:dyDescent="0.25">
      <c r="A3824" t="s">
        <v>3828</v>
      </c>
      <c r="B3824">
        <v>0.99472303558308395</v>
      </c>
      <c r="C3824">
        <v>0.93487829476624895</v>
      </c>
      <c r="D3824">
        <v>0.95669161551111803</v>
      </c>
      <c r="E3824">
        <v>0.87361045256126302</v>
      </c>
      <c r="F3824">
        <v>0.73185187298214505</v>
      </c>
      <c r="G3824">
        <v>0.35291121946806903</v>
      </c>
      <c r="H3824">
        <v>0.27007909384711098</v>
      </c>
      <c r="I3824">
        <v>0.44687344534227302</v>
      </c>
      <c r="J3824">
        <v>0.344028410404843</v>
      </c>
      <c r="K3824">
        <v>0.13089038209310799</v>
      </c>
      <c r="L3824">
        <v>1284.66926387085</v>
      </c>
      <c r="M3824">
        <v>25.384479956830301</v>
      </c>
      <c r="N3824">
        <v>52.289736682454297</v>
      </c>
      <c r="O3824">
        <v>50.297527022525699</v>
      </c>
      <c r="P3824">
        <v>-9.0977991099694094E-2</v>
      </c>
      <c r="Q3824">
        <v>0.27894392836906401</v>
      </c>
      <c r="R3824">
        <v>0.92995293909968602</v>
      </c>
      <c r="S3824" t="s">
        <v>10392</v>
      </c>
      <c r="T3824" t="s">
        <v>13134</v>
      </c>
      <c r="U3824" t="s">
        <v>13134</v>
      </c>
      <c r="V3824" t="s">
        <v>13134</v>
      </c>
      <c r="W3824" t="s">
        <v>16902</v>
      </c>
      <c r="X3824">
        <v>1</v>
      </c>
      <c r="Y3824" t="s">
        <v>23292</v>
      </c>
      <c r="Z3824" t="s">
        <v>29792</v>
      </c>
      <c r="AA3824">
        <v>0.61218891783572738</v>
      </c>
      <c r="AB3824" t="str">
        <f>HYPERLINK("Melting_Curves/meltCurve_Q5JTC4_LAMC3.pdf", "Melting_Curves/meltCurve_Q5JTC4_LAMC3.pdf")</f>
        <v>Melting_Curves/meltCurve_Q5JTC4_LAMC3.pdf</v>
      </c>
    </row>
    <row r="3825" spans="1:28" x14ac:dyDescent="0.25">
      <c r="A3825" t="s">
        <v>3829</v>
      </c>
      <c r="B3825">
        <v>0.99472303558308395</v>
      </c>
      <c r="C3825">
        <v>0.92348575405912503</v>
      </c>
      <c r="D3825">
        <v>0.92105314946473604</v>
      </c>
      <c r="E3825">
        <v>0.72187296259227596</v>
      </c>
      <c r="F3825">
        <v>0.37844163804208503</v>
      </c>
      <c r="G3825">
        <v>0.235496561181266</v>
      </c>
      <c r="H3825">
        <v>0.13955530459041399</v>
      </c>
      <c r="I3825">
        <v>0.129832202617225</v>
      </c>
      <c r="J3825">
        <v>0.18357150658346399</v>
      </c>
      <c r="K3825">
        <v>0.153206147204035</v>
      </c>
      <c r="L3825">
        <v>1003.88401308777</v>
      </c>
      <c r="M3825">
        <v>20.900988942516999</v>
      </c>
      <c r="N3825">
        <v>48.812506438419803</v>
      </c>
      <c r="O3825">
        <v>47.597250593956602</v>
      </c>
      <c r="P3825">
        <v>-9.4162740314025703E-2</v>
      </c>
      <c r="Q3825">
        <v>0.142286291919654</v>
      </c>
      <c r="R3825">
        <v>0.99369334152840805</v>
      </c>
      <c r="S3825" t="s">
        <v>10393</v>
      </c>
      <c r="T3825" t="s">
        <v>13134</v>
      </c>
      <c r="U3825" t="s">
        <v>13134</v>
      </c>
      <c r="V3825" t="s">
        <v>13134</v>
      </c>
      <c r="W3825" t="s">
        <v>16903</v>
      </c>
      <c r="X3825">
        <v>6</v>
      </c>
      <c r="Y3825" t="s">
        <v>23293</v>
      </c>
      <c r="Z3825" t="s">
        <v>29793</v>
      </c>
      <c r="AA3825">
        <v>0.46801681572660508</v>
      </c>
      <c r="AB3825" t="str">
        <f>HYPERLINK("Melting_Curves/meltCurve_Q5JTD0_2_TJAP1.pdf", "Melting_Curves/meltCurve_Q5JTD0_2_TJAP1.pdf")</f>
        <v>Melting_Curves/meltCurve_Q5JTD0_2_TJAP1.pdf</v>
      </c>
    </row>
    <row r="3826" spans="1:28" x14ac:dyDescent="0.25">
      <c r="A3826" t="s">
        <v>3830</v>
      </c>
      <c r="B3826">
        <v>0.99472303558308395</v>
      </c>
      <c r="C3826">
        <v>0.987983289294456</v>
      </c>
      <c r="D3826">
        <v>0.79804464216346804</v>
      </c>
      <c r="E3826">
        <v>0.22528541154878701</v>
      </c>
      <c r="F3826">
        <v>8.5413081004958702E-2</v>
      </c>
      <c r="G3826">
        <v>4.8911016739513202E-2</v>
      </c>
      <c r="H3826">
        <v>3.3182621496973701E-2</v>
      </c>
      <c r="I3826">
        <v>3.38443277100215E-2</v>
      </c>
      <c r="J3826">
        <v>3.0726478097641001E-2</v>
      </c>
      <c r="K3826">
        <v>2.9445095859346002E-2</v>
      </c>
      <c r="L3826">
        <v>1497.62809781287</v>
      </c>
      <c r="M3826">
        <v>33.516666238321399</v>
      </c>
      <c r="N3826">
        <v>44.789076301044801</v>
      </c>
      <c r="O3826">
        <v>44.524920183742701</v>
      </c>
      <c r="P3826">
        <v>-0.181016435243472</v>
      </c>
      <c r="Q3826">
        <v>3.8125271875367697E-2</v>
      </c>
      <c r="R3826">
        <v>0.99944469680219805</v>
      </c>
      <c r="S3826" t="s">
        <v>10394</v>
      </c>
      <c r="T3826" t="s">
        <v>13134</v>
      </c>
      <c r="U3826" t="s">
        <v>13134</v>
      </c>
      <c r="V3826" t="s">
        <v>13134</v>
      </c>
      <c r="W3826" t="s">
        <v>16904</v>
      </c>
      <c r="X3826">
        <v>6</v>
      </c>
      <c r="Y3826" t="s">
        <v>23294</v>
      </c>
      <c r="Z3826" t="s">
        <v>29794</v>
      </c>
      <c r="AA3826">
        <v>0.28873793878866821</v>
      </c>
      <c r="AB3826" t="str">
        <f>HYPERLINK("Melting_Curves/meltCurve_Q5JTH9_2_RRP12.pdf", "Melting_Curves/meltCurve_Q5JTH9_2_RRP12.pdf")</f>
        <v>Melting_Curves/meltCurve_Q5JTH9_2_RRP12.pdf</v>
      </c>
    </row>
    <row r="3827" spans="1:28" x14ac:dyDescent="0.25">
      <c r="A3827" t="s">
        <v>3831</v>
      </c>
      <c r="B3827">
        <v>0.99472303558308395</v>
      </c>
      <c r="C3827">
        <v>1.0346269908144401</v>
      </c>
      <c r="D3827">
        <v>0.98218639628306703</v>
      </c>
      <c r="E3827">
        <v>0.98320620630572297</v>
      </c>
      <c r="F3827">
        <v>0.72638776495218604</v>
      </c>
      <c r="G3827">
        <v>0.66115990460041296</v>
      </c>
      <c r="H3827">
        <v>0.606178667036533</v>
      </c>
      <c r="I3827">
        <v>0.76691110579521304</v>
      </c>
      <c r="J3827">
        <v>1.0502136660789001</v>
      </c>
      <c r="K3827">
        <v>0.70763298040776401</v>
      </c>
      <c r="L3827">
        <v>11771.980668174299</v>
      </c>
      <c r="M3827">
        <v>250</v>
      </c>
      <c r="O3827">
        <v>47.084907182640102</v>
      </c>
      <c r="P3827">
        <v>-0.32775804419181098</v>
      </c>
      <c r="Q3827">
        <v>0.75308067544723001</v>
      </c>
      <c r="R3827">
        <v>0.54146714485677006</v>
      </c>
      <c r="S3827" t="s">
        <v>10395</v>
      </c>
      <c r="T3827" t="s">
        <v>13134</v>
      </c>
      <c r="U3827" t="s">
        <v>13134</v>
      </c>
      <c r="V3827" t="s">
        <v>13134</v>
      </c>
      <c r="W3827" t="s">
        <v>16905</v>
      </c>
      <c r="X3827">
        <v>9</v>
      </c>
      <c r="Y3827" t="s">
        <v>23295</v>
      </c>
      <c r="Z3827" t="s">
        <v>29795</v>
      </c>
      <c r="AA3827">
        <v>0.83613118225690441</v>
      </c>
      <c r="AB3827" t="str">
        <f>HYPERLINK("Melting_Curves/meltCurve_Q5JTJ3_3_COA6.pdf", "Melting_Curves/meltCurve_Q5JTJ3_3_COA6.pdf")</f>
        <v>Melting_Curves/meltCurve_Q5JTJ3_3_COA6.pdf</v>
      </c>
    </row>
    <row r="3828" spans="1:28" x14ac:dyDescent="0.25">
      <c r="A3828" t="s">
        <v>3832</v>
      </c>
      <c r="B3828">
        <v>0.99472303558308395</v>
      </c>
      <c r="C3828">
        <v>0.82317411800293705</v>
      </c>
      <c r="D3828">
        <v>0.86085921745822602</v>
      </c>
      <c r="E3828">
        <v>0.65656429735765898</v>
      </c>
      <c r="F3828">
        <v>0.48323574506918898</v>
      </c>
      <c r="G3828">
        <v>0.244983004353585</v>
      </c>
      <c r="H3828">
        <v>0.189114584254718</v>
      </c>
      <c r="I3828">
        <v>0.12993876673854199</v>
      </c>
      <c r="J3828">
        <v>0.170481733262072</v>
      </c>
      <c r="K3828">
        <v>0.16971019971273199</v>
      </c>
      <c r="L3828">
        <v>590.45021661495298</v>
      </c>
      <c r="M3828">
        <v>12.2685084824424</v>
      </c>
      <c r="N3828">
        <v>49.053844631069403</v>
      </c>
      <c r="O3828">
        <v>46.902195005685599</v>
      </c>
      <c r="P3828">
        <v>-5.8643980691234797E-2</v>
      </c>
      <c r="Q3828">
        <v>0.103420164446066</v>
      </c>
      <c r="R3828">
        <v>0.97811707266676995</v>
      </c>
      <c r="S3828" t="s">
        <v>10396</v>
      </c>
      <c r="T3828" t="s">
        <v>13134</v>
      </c>
      <c r="U3828" t="s">
        <v>13134</v>
      </c>
      <c r="V3828" t="s">
        <v>13134</v>
      </c>
      <c r="W3828" t="s">
        <v>16906</v>
      </c>
      <c r="X3828">
        <v>2</v>
      </c>
      <c r="Y3828" t="s">
        <v>23296</v>
      </c>
      <c r="Z3828" t="s">
        <v>29796</v>
      </c>
      <c r="AA3828">
        <v>0.46297727848848519</v>
      </c>
      <c r="AB3828" t="str">
        <f>HYPERLINK("Melting_Curves/meltCurve_Q5JTP4_LAMA5.pdf", "Melting_Curves/meltCurve_Q5JTP4_LAMA5.pdf")</f>
        <v>Melting_Curves/meltCurve_Q5JTP4_LAMA5.pdf</v>
      </c>
    </row>
    <row r="3829" spans="1:28" x14ac:dyDescent="0.25">
      <c r="A3829" t="s">
        <v>3833</v>
      </c>
      <c r="B3829">
        <v>0.99472303558308395</v>
      </c>
      <c r="C3829">
        <v>0.99911020838258102</v>
      </c>
      <c r="D3829">
        <v>0.832560375477014</v>
      </c>
      <c r="E3829">
        <v>0.57556853279888398</v>
      </c>
      <c r="F3829">
        <v>0.30527992940812398</v>
      </c>
      <c r="G3829">
        <v>0.18981175504272299</v>
      </c>
      <c r="H3829">
        <v>0.14106798177115101</v>
      </c>
      <c r="I3829">
        <v>9.2068877617039496E-2</v>
      </c>
      <c r="J3829">
        <v>0.133911720791447</v>
      </c>
      <c r="K3829">
        <v>0.11154290760692499</v>
      </c>
      <c r="L3829">
        <v>857.25135520319998</v>
      </c>
      <c r="M3829">
        <v>18.322453112713699</v>
      </c>
      <c r="N3829">
        <v>47.4177237692004</v>
      </c>
      <c r="O3829">
        <v>46.240280846917599</v>
      </c>
      <c r="P3829">
        <v>-8.8351270921280006E-2</v>
      </c>
      <c r="Q3829">
        <v>0.108154261797998</v>
      </c>
      <c r="R3829">
        <v>0.99774512054525799</v>
      </c>
      <c r="S3829" t="s">
        <v>10397</v>
      </c>
      <c r="T3829" t="s">
        <v>13134</v>
      </c>
      <c r="U3829" t="s">
        <v>13134</v>
      </c>
      <c r="V3829" t="s">
        <v>13134</v>
      </c>
      <c r="W3829" t="s">
        <v>16907</v>
      </c>
      <c r="X3829">
        <v>5</v>
      </c>
      <c r="Y3829" t="s">
        <v>23297</v>
      </c>
      <c r="Z3829" t="s">
        <v>29797</v>
      </c>
      <c r="AA3829">
        <v>0.41295134488140461</v>
      </c>
      <c r="AB3829" t="str">
        <f>HYPERLINK("Melting_Curves/meltCurve_Q5JTV1_GMEB2.pdf", "Melting_Curves/meltCurve_Q5JTV1_GMEB2.pdf")</f>
        <v>Melting_Curves/meltCurve_Q5JTV1_GMEB2.pdf</v>
      </c>
    </row>
    <row r="3830" spans="1:28" x14ac:dyDescent="0.25">
      <c r="A3830" t="s">
        <v>3834</v>
      </c>
      <c r="B3830">
        <v>0.99472303558308395</v>
      </c>
      <c r="C3830">
        <v>1.0288703773705199</v>
      </c>
      <c r="D3830">
        <v>0.99772364616387899</v>
      </c>
      <c r="E3830">
        <v>0.87309629699305402</v>
      </c>
      <c r="F3830">
        <v>0.66610043335965896</v>
      </c>
      <c r="G3830">
        <v>0.474325663907878</v>
      </c>
      <c r="H3830">
        <v>0.22101962099122899</v>
      </c>
      <c r="I3830">
        <v>0.110919226278699</v>
      </c>
      <c r="J3830">
        <v>8.3019029077099404E-2</v>
      </c>
      <c r="K3830">
        <v>8.9136843595686105E-2</v>
      </c>
      <c r="L3830">
        <v>826.12087905184706</v>
      </c>
      <c r="M3830">
        <v>15.7082592631516</v>
      </c>
      <c r="N3830">
        <v>52.8282258250509</v>
      </c>
      <c r="O3830">
        <v>51.761288768269203</v>
      </c>
      <c r="P3830">
        <v>-7.3296536496034501E-2</v>
      </c>
      <c r="Q3830">
        <v>3.3985041748040103E-2</v>
      </c>
      <c r="R3830">
        <v>0.99609001844951395</v>
      </c>
      <c r="S3830" t="s">
        <v>10398</v>
      </c>
      <c r="T3830" t="s">
        <v>13134</v>
      </c>
      <c r="U3830" t="s">
        <v>13134</v>
      </c>
      <c r="V3830" t="s">
        <v>13134</v>
      </c>
      <c r="W3830" t="s">
        <v>16908</v>
      </c>
      <c r="X3830">
        <v>19</v>
      </c>
      <c r="Y3830" t="s">
        <v>23298</v>
      </c>
      <c r="Z3830" t="s">
        <v>29798</v>
      </c>
      <c r="AA3830">
        <v>0.55295957369314519</v>
      </c>
      <c r="AB3830" t="str">
        <f>HYPERLINK("Melting_Curves/meltCurve_Q5JTV8_TOR1AIP1.pdf", "Melting_Curves/meltCurve_Q5JTV8_TOR1AIP1.pdf")</f>
        <v>Melting_Curves/meltCurve_Q5JTV8_TOR1AIP1.pdf</v>
      </c>
    </row>
    <row r="3831" spans="1:28" x14ac:dyDescent="0.25">
      <c r="A3831" t="s">
        <v>3835</v>
      </c>
      <c r="B3831">
        <v>0.99472303558308395</v>
      </c>
      <c r="C3831">
        <v>0.91895683363282599</v>
      </c>
      <c r="D3831">
        <v>0.87921033697588502</v>
      </c>
      <c r="E3831">
        <v>0.65088320780416098</v>
      </c>
      <c r="F3831">
        <v>0.292559448024868</v>
      </c>
      <c r="G3831">
        <v>0.106385684053146</v>
      </c>
      <c r="H3831">
        <v>7.2502179113879101E-2</v>
      </c>
      <c r="I3831">
        <v>4.4605233314951802E-2</v>
      </c>
      <c r="J3831">
        <v>6.6002829207102001E-2</v>
      </c>
      <c r="K3831">
        <v>6.11601301480756E-2</v>
      </c>
      <c r="L3831">
        <v>942.78144567097195</v>
      </c>
      <c r="M3831">
        <v>19.794179949031399</v>
      </c>
      <c r="N3831">
        <v>47.845221438161097</v>
      </c>
      <c r="O3831">
        <v>47.151090714261301</v>
      </c>
      <c r="P3831">
        <v>-0.10046839361898</v>
      </c>
      <c r="Q3831">
        <v>4.27421139303217E-2</v>
      </c>
      <c r="R3831">
        <v>0.99584269415968996</v>
      </c>
      <c r="S3831" t="s">
        <v>10399</v>
      </c>
      <c r="T3831" t="s">
        <v>13134</v>
      </c>
      <c r="U3831" t="s">
        <v>13134</v>
      </c>
      <c r="V3831" t="s">
        <v>13134</v>
      </c>
      <c r="W3831" t="s">
        <v>16909</v>
      </c>
      <c r="X3831">
        <v>29</v>
      </c>
      <c r="Y3831" t="s">
        <v>23299</v>
      </c>
      <c r="Z3831" t="s">
        <v>29799</v>
      </c>
      <c r="AA3831">
        <v>0.39471661900522192</v>
      </c>
      <c r="AB3831" t="str">
        <f>HYPERLINK("Melting_Curves/meltCurve_Q5JTZ9_AARS2.pdf", "Melting_Curves/meltCurve_Q5JTZ9_AARS2.pdf")</f>
        <v>Melting_Curves/meltCurve_Q5JTZ9_AARS2.pdf</v>
      </c>
    </row>
    <row r="3832" spans="1:28" x14ac:dyDescent="0.25">
      <c r="A3832" t="s">
        <v>3836</v>
      </c>
      <c r="B3832">
        <v>0.99472303558308395</v>
      </c>
      <c r="C3832">
        <v>1.3614054120163099</v>
      </c>
      <c r="D3832">
        <v>1.0001444836344999</v>
      </c>
      <c r="E3832">
        <v>0.87409472658971299</v>
      </c>
      <c r="F3832">
        <v>0.87567614210151401</v>
      </c>
      <c r="G3832">
        <v>0.48406118455038999</v>
      </c>
      <c r="H3832">
        <v>0.27360009938413399</v>
      </c>
      <c r="I3832">
        <v>0.199724962277296</v>
      </c>
      <c r="J3832">
        <v>0.21289382901109799</v>
      </c>
      <c r="K3832">
        <v>0.156565006801901</v>
      </c>
      <c r="L3832">
        <v>1369.8131253312899</v>
      </c>
      <c r="M3832">
        <v>25.894168270329999</v>
      </c>
      <c r="N3832">
        <v>53.801819717437098</v>
      </c>
      <c r="O3832">
        <v>52.587991778556301</v>
      </c>
      <c r="P3832">
        <v>-0.10143683420539901</v>
      </c>
      <c r="Q3832">
        <v>0.17598519768725701</v>
      </c>
      <c r="R3832">
        <v>0.91280538090834595</v>
      </c>
      <c r="S3832" t="s">
        <v>10400</v>
      </c>
      <c r="T3832" t="s">
        <v>13134</v>
      </c>
      <c r="U3832" t="s">
        <v>13134</v>
      </c>
      <c r="V3832" t="s">
        <v>13134</v>
      </c>
      <c r="W3832" t="s">
        <v>16910</v>
      </c>
      <c r="X3832">
        <v>3</v>
      </c>
      <c r="Y3832" t="s">
        <v>23300</v>
      </c>
      <c r="Z3832" t="s">
        <v>29800</v>
      </c>
      <c r="AA3832">
        <v>0.61957845202806316</v>
      </c>
      <c r="AB3832" t="str">
        <f>HYPERLINK("Melting_Curves/meltCurve_Q5JU69_TOR2A.pdf", "Melting_Curves/meltCurve_Q5JU69_TOR2A.pdf")</f>
        <v>Melting_Curves/meltCurve_Q5JU69_TOR2A.pdf</v>
      </c>
    </row>
    <row r="3833" spans="1:28" x14ac:dyDescent="0.25">
      <c r="A3833" t="s">
        <v>3837</v>
      </c>
      <c r="B3833">
        <v>0.99472303558308395</v>
      </c>
      <c r="C3833">
        <v>0.94259421857989101</v>
      </c>
      <c r="D3833">
        <v>0.78392305495818804</v>
      </c>
      <c r="E3833">
        <v>0.32937002360355</v>
      </c>
      <c r="F3833">
        <v>0.12676148071531701</v>
      </c>
      <c r="G3833">
        <v>6.9863229115287903E-2</v>
      </c>
      <c r="H3833">
        <v>5.0769346341148401E-2</v>
      </c>
      <c r="I3833">
        <v>3.7053964384786697E-2</v>
      </c>
      <c r="J3833">
        <v>5.1608613548491299E-2</v>
      </c>
      <c r="K3833">
        <v>3.8785122281245803E-2</v>
      </c>
      <c r="L3833">
        <v>1095.8571294830699</v>
      </c>
      <c r="M3833">
        <v>24.324423299204899</v>
      </c>
      <c r="N3833">
        <v>45.227502744987802</v>
      </c>
      <c r="O3833">
        <v>44.750548795012001</v>
      </c>
      <c r="P3833">
        <v>-0.12976178050824899</v>
      </c>
      <c r="Q3833">
        <v>4.5104168418421103E-2</v>
      </c>
      <c r="R3833">
        <v>0.99941343004893402</v>
      </c>
      <c r="S3833" t="s">
        <v>10401</v>
      </c>
      <c r="T3833" t="s">
        <v>13134</v>
      </c>
      <c r="U3833" t="s">
        <v>13134</v>
      </c>
      <c r="V3833" t="s">
        <v>13134</v>
      </c>
      <c r="W3833" t="s">
        <v>16911</v>
      </c>
      <c r="X3833">
        <v>8</v>
      </c>
      <c r="Y3833" t="s">
        <v>23301</v>
      </c>
      <c r="Z3833" t="s">
        <v>29801</v>
      </c>
      <c r="AA3833">
        <v>0.3096948038554227</v>
      </c>
      <c r="AB3833" t="str">
        <f>HYPERLINK("Melting_Curves/meltCurve_Q5JU85_3_IQSEC2.pdf", "Melting_Curves/meltCurve_Q5JU85_3_IQSEC2.pdf")</f>
        <v>Melting_Curves/meltCurve_Q5JU85_3_IQSEC2.pdf</v>
      </c>
    </row>
    <row r="3834" spans="1:28" x14ac:dyDescent="0.25">
      <c r="A3834" t="s">
        <v>3838</v>
      </c>
      <c r="B3834">
        <v>0.99472303558308395</v>
      </c>
      <c r="C3834">
        <v>1.0439868174459399</v>
      </c>
      <c r="D3834">
        <v>0.88776236973397704</v>
      </c>
      <c r="E3834">
        <v>0.57645115756805798</v>
      </c>
      <c r="F3834">
        <v>0.22722789156992901</v>
      </c>
      <c r="G3834">
        <v>0.15658656873295601</v>
      </c>
      <c r="H3834">
        <v>0.10096852010404</v>
      </c>
      <c r="I3834">
        <v>8.9534011308067804E-2</v>
      </c>
      <c r="J3834">
        <v>6.9212073697806797E-2</v>
      </c>
      <c r="K3834">
        <v>6.3353501979531004E-2</v>
      </c>
      <c r="L3834">
        <v>1097.7129072693599</v>
      </c>
      <c r="M3834">
        <v>23.4156550859656</v>
      </c>
      <c r="N3834">
        <v>47.2360277240643</v>
      </c>
      <c r="O3834">
        <v>46.541543188045502</v>
      </c>
      <c r="P3834">
        <v>-0.115590935756027</v>
      </c>
      <c r="Q3834">
        <v>8.1010261997399705E-2</v>
      </c>
      <c r="R3834">
        <v>0.99636887044174505</v>
      </c>
      <c r="S3834" t="s">
        <v>10402</v>
      </c>
      <c r="T3834" t="s">
        <v>13134</v>
      </c>
      <c r="U3834" t="s">
        <v>13134</v>
      </c>
      <c r="V3834" t="s">
        <v>13134</v>
      </c>
      <c r="W3834" t="s">
        <v>16912</v>
      </c>
      <c r="X3834">
        <v>5</v>
      </c>
      <c r="Y3834" t="s">
        <v>23302</v>
      </c>
      <c r="Z3834" t="s">
        <v>29802</v>
      </c>
      <c r="AA3834">
        <v>0.39243642236092058</v>
      </c>
      <c r="AB3834" t="str">
        <f>HYPERLINK("Melting_Curves/meltCurve_Q5JUE6_RAPGEF1.pdf", "Melting_Curves/meltCurve_Q5JUE6_RAPGEF1.pdf")</f>
        <v>Melting_Curves/meltCurve_Q5JUE6_RAPGEF1.pdf</v>
      </c>
    </row>
    <row r="3835" spans="1:28" x14ac:dyDescent="0.25">
      <c r="A3835" t="s">
        <v>3839</v>
      </c>
      <c r="B3835">
        <v>0.99472303558308395</v>
      </c>
      <c r="C3835">
        <v>0.96168005153468405</v>
      </c>
      <c r="D3835">
        <v>0.86303417469057397</v>
      </c>
      <c r="E3835">
        <v>0.67879891106880896</v>
      </c>
      <c r="F3835">
        <v>0.480566412155569</v>
      </c>
      <c r="G3835">
        <v>0.235743171151162</v>
      </c>
      <c r="H3835">
        <v>0.15003655537004701</v>
      </c>
      <c r="I3835">
        <v>9.49861363023837E-2</v>
      </c>
      <c r="J3835">
        <v>0.12748121854983199</v>
      </c>
      <c r="K3835">
        <v>0.13118582147785901</v>
      </c>
      <c r="L3835">
        <v>718.44602683375797</v>
      </c>
      <c r="M3835">
        <v>14.772924845321</v>
      </c>
      <c r="N3835">
        <v>49.243096408849702</v>
      </c>
      <c r="O3835">
        <v>47.767561393520602</v>
      </c>
      <c r="P3835">
        <v>-7.0854833657616495E-2</v>
      </c>
      <c r="Q3835">
        <v>8.36751152768722E-2</v>
      </c>
      <c r="R3835">
        <v>0.99530298680478901</v>
      </c>
      <c r="S3835" t="s">
        <v>10403</v>
      </c>
      <c r="T3835" t="s">
        <v>13134</v>
      </c>
      <c r="U3835" t="s">
        <v>13134</v>
      </c>
      <c r="V3835" t="s">
        <v>13134</v>
      </c>
      <c r="W3835" t="s">
        <v>16913</v>
      </c>
      <c r="X3835">
        <v>6</v>
      </c>
      <c r="Y3835" t="s">
        <v>23303</v>
      </c>
      <c r="Z3835" t="s">
        <v>29803</v>
      </c>
      <c r="AA3835">
        <v>0.4593682956660739</v>
      </c>
      <c r="AB3835" t="str">
        <f>HYPERLINK("Melting_Curves/meltCurve_Q5JUQ0_FAM78A.pdf", "Melting_Curves/meltCurve_Q5JUQ0_FAM78A.pdf")</f>
        <v>Melting_Curves/meltCurve_Q5JUQ0_FAM78A.pdf</v>
      </c>
    </row>
    <row r="3836" spans="1:28" x14ac:dyDescent="0.25">
      <c r="A3836" t="s">
        <v>3840</v>
      </c>
      <c r="B3836">
        <v>0.99472303558308395</v>
      </c>
      <c r="C3836">
        <v>0.95184482700061002</v>
      </c>
      <c r="D3836">
        <v>0.94431079161436005</v>
      </c>
      <c r="E3836">
        <v>0.64987706484698504</v>
      </c>
      <c r="F3836">
        <v>0.186305463961881</v>
      </c>
      <c r="G3836">
        <v>9.1416329930158302E-2</v>
      </c>
      <c r="H3836">
        <v>6.8463474540193497E-2</v>
      </c>
      <c r="I3836">
        <v>3.3723963532887903E-2</v>
      </c>
      <c r="J3836">
        <v>6.5560857384784094E-2</v>
      </c>
      <c r="K3836">
        <v>3.6803400590837497E-2</v>
      </c>
      <c r="L3836">
        <v>1411.90679812342</v>
      </c>
      <c r="M3836">
        <v>29.801510996869499</v>
      </c>
      <c r="N3836">
        <v>47.547357211451001</v>
      </c>
      <c r="O3836">
        <v>47.165230657605797</v>
      </c>
      <c r="P3836">
        <v>-0.149966756718282</v>
      </c>
      <c r="Q3836">
        <v>5.0629449830570099E-2</v>
      </c>
      <c r="R3836">
        <v>0.99784752514265895</v>
      </c>
      <c r="S3836" t="s">
        <v>10404</v>
      </c>
      <c r="T3836" t="s">
        <v>13134</v>
      </c>
      <c r="U3836" t="s">
        <v>13134</v>
      </c>
      <c r="V3836" t="s">
        <v>13134</v>
      </c>
      <c r="W3836" t="s">
        <v>16914</v>
      </c>
      <c r="X3836">
        <v>3</v>
      </c>
      <c r="Y3836" t="s">
        <v>23304</v>
      </c>
      <c r="Z3836" t="s">
        <v>29804</v>
      </c>
      <c r="AA3836">
        <v>0.38464948269119759</v>
      </c>
      <c r="AB3836" t="str">
        <f>HYPERLINK("Melting_Curves/meltCurve_Q5JUR7_TEX30.pdf", "Melting_Curves/meltCurve_Q5JUR7_TEX30.pdf")</f>
        <v>Melting_Curves/meltCurve_Q5JUR7_TEX30.pdf</v>
      </c>
    </row>
    <row r="3837" spans="1:28" x14ac:dyDescent="0.25">
      <c r="A3837" t="s">
        <v>3841</v>
      </c>
      <c r="B3837">
        <v>0.99472303558308395</v>
      </c>
      <c r="C3837">
        <v>1.0654686992112301</v>
      </c>
      <c r="D3837">
        <v>0.93021020295411705</v>
      </c>
      <c r="E3837">
        <v>0.77942267126767695</v>
      </c>
      <c r="F3837">
        <v>0.69624003057198403</v>
      </c>
      <c r="G3837">
        <v>0.31681252542342397</v>
      </c>
      <c r="H3837">
        <v>0.101009864487006</v>
      </c>
      <c r="I3837">
        <v>5.9745035796457201E-2</v>
      </c>
      <c r="J3837">
        <v>6.6973290922531806E-2</v>
      </c>
      <c r="K3837">
        <v>0.11298301303448401</v>
      </c>
      <c r="L3837">
        <v>943.77647353253599</v>
      </c>
      <c r="M3837">
        <v>18.4036717810346</v>
      </c>
      <c r="N3837">
        <v>51.514372401711803</v>
      </c>
      <c r="O3837">
        <v>50.687979512725803</v>
      </c>
      <c r="P3837">
        <v>-8.7157369258610506E-2</v>
      </c>
      <c r="Q3837">
        <v>3.9836946452544E-2</v>
      </c>
      <c r="R3837">
        <v>0.98140308714842195</v>
      </c>
      <c r="S3837" t="s">
        <v>10405</v>
      </c>
      <c r="T3837" t="s">
        <v>13134</v>
      </c>
      <c r="U3837" t="s">
        <v>13134</v>
      </c>
      <c r="V3837" t="s">
        <v>13134</v>
      </c>
      <c r="W3837" t="s">
        <v>16915</v>
      </c>
      <c r="X3837">
        <v>2</v>
      </c>
      <c r="Y3837" t="s">
        <v>23305</v>
      </c>
      <c r="Z3837" t="s">
        <v>29805</v>
      </c>
      <c r="AA3837">
        <v>0.51124596914610254</v>
      </c>
      <c r="AB3837" t="str">
        <f>HYPERLINK("Melting_Curves/meltCurve_Q5JUW8_DLG3.pdf", "Melting_Curves/meltCurve_Q5JUW8_DLG3.pdf")</f>
        <v>Melting_Curves/meltCurve_Q5JUW8_DLG3.pdf</v>
      </c>
    </row>
    <row r="3838" spans="1:28" x14ac:dyDescent="0.25">
      <c r="A3838" t="s">
        <v>3842</v>
      </c>
      <c r="B3838">
        <v>0.99472303558308395</v>
      </c>
      <c r="C3838">
        <v>1.0309766299552401</v>
      </c>
      <c r="D3838">
        <v>0.90391298224243</v>
      </c>
      <c r="E3838">
        <v>0.58506410121663999</v>
      </c>
      <c r="F3838">
        <v>0.18497816115315499</v>
      </c>
      <c r="G3838">
        <v>0.104134915705262</v>
      </c>
      <c r="H3838">
        <v>7.2870428384608998E-2</v>
      </c>
      <c r="I3838">
        <v>5.8827012524469403E-2</v>
      </c>
      <c r="J3838">
        <v>6.5477102667809206E-2</v>
      </c>
      <c r="K3838">
        <v>5.5152981489147497E-2</v>
      </c>
      <c r="L3838">
        <v>1261.4124683524101</v>
      </c>
      <c r="M3838">
        <v>26.8833010365917</v>
      </c>
      <c r="N3838">
        <v>47.152290899531302</v>
      </c>
      <c r="O3838">
        <v>46.664457057989502</v>
      </c>
      <c r="P3838">
        <v>-0.13515755607489799</v>
      </c>
      <c r="Q3838">
        <v>6.1575007769829201E-2</v>
      </c>
      <c r="R3838">
        <v>0.99837921520808803</v>
      </c>
      <c r="S3838" t="s">
        <v>10406</v>
      </c>
      <c r="T3838" t="s">
        <v>13134</v>
      </c>
      <c r="U3838" t="s">
        <v>13134</v>
      </c>
      <c r="V3838" t="s">
        <v>13134</v>
      </c>
      <c r="W3838" t="s">
        <v>16916</v>
      </c>
      <c r="X3838">
        <v>6</v>
      </c>
      <c r="Y3838" t="s">
        <v>23306</v>
      </c>
      <c r="Z3838" t="s">
        <v>29806</v>
      </c>
      <c r="AA3838">
        <v>0.37873577537315217</v>
      </c>
      <c r="AB3838" t="str">
        <f>HYPERLINK("Melting_Curves/meltCurve_Q5JVF3_3_PCID2.pdf", "Melting_Curves/meltCurve_Q5JVF3_3_PCID2.pdf")</f>
        <v>Melting_Curves/meltCurve_Q5JVF3_3_PCID2.pdf</v>
      </c>
    </row>
    <row r="3839" spans="1:28" x14ac:dyDescent="0.25">
      <c r="A3839" t="s">
        <v>3843</v>
      </c>
      <c r="B3839">
        <v>0.99472303558308395</v>
      </c>
      <c r="C3839">
        <v>0.82326989189882305</v>
      </c>
      <c r="D3839">
        <v>0.88941365460481503</v>
      </c>
      <c r="E3839">
        <v>0.54510812484961002</v>
      </c>
      <c r="F3839">
        <v>0.21699402119744499</v>
      </c>
      <c r="G3839">
        <v>8.5396476050356399E-2</v>
      </c>
      <c r="H3839">
        <v>5.7825597510818401E-2</v>
      </c>
      <c r="I3839">
        <v>7.35854734589521E-3</v>
      </c>
      <c r="J3839">
        <v>1.8865411579243801E-2</v>
      </c>
      <c r="K3839">
        <v>1.92174384988812E-2</v>
      </c>
      <c r="L3839">
        <v>847.35345743318805</v>
      </c>
      <c r="M3839">
        <v>18.058693734045399</v>
      </c>
      <c r="N3839">
        <v>46.950536217990397</v>
      </c>
      <c r="O3839">
        <v>46.358163557101598</v>
      </c>
      <c r="P3839">
        <v>-9.6863333841835694E-2</v>
      </c>
      <c r="Q3839">
        <v>5.4237403721153297E-3</v>
      </c>
      <c r="R3839">
        <v>0.98470288108702198</v>
      </c>
      <c r="S3839" t="s">
        <v>10407</v>
      </c>
      <c r="T3839" t="s">
        <v>13134</v>
      </c>
      <c r="U3839" t="s">
        <v>13134</v>
      </c>
      <c r="V3839" t="s">
        <v>13134</v>
      </c>
      <c r="W3839" t="s">
        <v>16917</v>
      </c>
      <c r="X3839">
        <v>5</v>
      </c>
      <c r="Y3839" t="s">
        <v>23307</v>
      </c>
      <c r="Z3839" t="s">
        <v>29807</v>
      </c>
      <c r="AA3839">
        <v>0.35024248674999647</v>
      </c>
      <c r="AB3839" t="str">
        <f>HYPERLINK("Melting_Curves/meltCurve_Q5JVZ5_ELMO2.pdf", "Melting_Curves/meltCurve_Q5JVZ5_ELMO2.pdf")</f>
        <v>Melting_Curves/meltCurve_Q5JVZ5_ELMO2.pdf</v>
      </c>
    </row>
    <row r="3840" spans="1:28" x14ac:dyDescent="0.25">
      <c r="A3840" t="s">
        <v>3844</v>
      </c>
      <c r="B3840">
        <v>0.99472303558308395</v>
      </c>
      <c r="C3840">
        <v>0.83480023670147496</v>
      </c>
      <c r="D3840">
        <v>0.830422543109536</v>
      </c>
      <c r="E3840">
        <v>0.72887791245776801</v>
      </c>
      <c r="F3840">
        <v>0.54566369662874503</v>
      </c>
      <c r="G3840">
        <v>0.29483773623985499</v>
      </c>
      <c r="H3840">
        <v>0.201014368416879</v>
      </c>
      <c r="I3840">
        <v>0.15582956241097701</v>
      </c>
      <c r="J3840">
        <v>0.15491822402000099</v>
      </c>
      <c r="K3840">
        <v>0.16053244813919501</v>
      </c>
      <c r="L3840">
        <v>531.63422740770102</v>
      </c>
      <c r="M3840">
        <v>10.7532308155554</v>
      </c>
      <c r="N3840">
        <v>50.125848058757299</v>
      </c>
      <c r="O3840">
        <v>47.821738642584201</v>
      </c>
      <c r="P3840">
        <v>-5.2386134665574499E-2</v>
      </c>
      <c r="Q3840">
        <v>6.8457065673015599E-2</v>
      </c>
      <c r="R3840">
        <v>0.97906390565494295</v>
      </c>
      <c r="S3840" t="s">
        <v>10408</v>
      </c>
      <c r="T3840" t="s">
        <v>13134</v>
      </c>
      <c r="U3840" t="s">
        <v>13134</v>
      </c>
      <c r="V3840" t="s">
        <v>13134</v>
      </c>
      <c r="W3840" t="s">
        <v>16918</v>
      </c>
      <c r="X3840">
        <v>3</v>
      </c>
      <c r="Y3840" t="s">
        <v>23308</v>
      </c>
      <c r="Z3840" t="s">
        <v>29808</v>
      </c>
      <c r="AA3840">
        <v>0.48549678941244601</v>
      </c>
      <c r="AB3840" t="str">
        <f>HYPERLINK("Melting_Curves/meltCurve_Q5JW30_STAU1.pdf", "Melting_Curves/meltCurve_Q5JW30_STAU1.pdf")</f>
        <v>Melting_Curves/meltCurve_Q5JW30_STAU1.pdf</v>
      </c>
    </row>
    <row r="3841" spans="1:28" x14ac:dyDescent="0.25">
      <c r="A3841" t="s">
        <v>3845</v>
      </c>
      <c r="B3841">
        <v>0.99472303558308395</v>
      </c>
      <c r="C3841">
        <v>1.0623989637550599</v>
      </c>
      <c r="D3841">
        <v>1.0174051944667</v>
      </c>
      <c r="E3841">
        <v>0.93352232328287099</v>
      </c>
      <c r="F3841">
        <v>0.73085688830796203</v>
      </c>
      <c r="G3841">
        <v>0.56643197118046895</v>
      </c>
      <c r="H3841">
        <v>0.47621674934306901</v>
      </c>
      <c r="I3841">
        <v>0.53639622674421505</v>
      </c>
      <c r="J3841">
        <v>0.56924580403737501</v>
      </c>
      <c r="K3841">
        <v>0.63518503783760605</v>
      </c>
      <c r="L3841">
        <v>1724.64839479287</v>
      </c>
      <c r="M3841">
        <v>34.881660548284202</v>
      </c>
      <c r="O3841">
        <v>49.281160606334403</v>
      </c>
      <c r="P3841">
        <v>-7.9233412745313397E-2</v>
      </c>
      <c r="Q3841">
        <v>0.552234352539275</v>
      </c>
      <c r="R3841">
        <v>0.95960870752883998</v>
      </c>
      <c r="S3841" t="s">
        <v>10409</v>
      </c>
      <c r="T3841" t="s">
        <v>13134</v>
      </c>
      <c r="U3841" t="s">
        <v>13134</v>
      </c>
      <c r="V3841" t="s">
        <v>13134</v>
      </c>
      <c r="W3841" t="s">
        <v>16919</v>
      </c>
      <c r="X3841">
        <v>2</v>
      </c>
      <c r="Y3841" t="s">
        <v>23309</v>
      </c>
      <c r="Z3841" t="s">
        <v>29809</v>
      </c>
      <c r="AA3841">
        <v>0.73996441265773827</v>
      </c>
      <c r="AB3841" t="str">
        <f>HYPERLINK("Melting_Curves/meltCurve_Q5JWB9_TMEM230.pdf", "Melting_Curves/meltCurve_Q5JWB9_TMEM230.pdf")</f>
        <v>Melting_Curves/meltCurve_Q5JWB9_TMEM230.pdf</v>
      </c>
    </row>
    <row r="3842" spans="1:28" x14ac:dyDescent="0.25">
      <c r="A3842" t="s">
        <v>3846</v>
      </c>
      <c r="B3842">
        <v>0.99472303558308395</v>
      </c>
      <c r="C3842">
        <v>0.94694364431440503</v>
      </c>
      <c r="D3842">
        <v>1.01391734971007</v>
      </c>
      <c r="E3842">
        <v>0.77014011553981698</v>
      </c>
      <c r="F3842">
        <v>0.50249333780012695</v>
      </c>
      <c r="G3842">
        <v>0.33261300203897498</v>
      </c>
      <c r="H3842">
        <v>0.338902842173253</v>
      </c>
      <c r="I3842">
        <v>0.232111481745818</v>
      </c>
      <c r="J3842">
        <v>0.44302162171261</v>
      </c>
      <c r="K3842">
        <v>0.25855894674829999</v>
      </c>
      <c r="L3842">
        <v>1252.49245457401</v>
      </c>
      <c r="M3842">
        <v>26.056957610810901</v>
      </c>
      <c r="N3842">
        <v>49.946954669492001</v>
      </c>
      <c r="O3842">
        <v>47.787055153443603</v>
      </c>
      <c r="P3842">
        <v>-9.3727949121040197E-2</v>
      </c>
      <c r="Q3842">
        <v>0.31243982960356198</v>
      </c>
      <c r="R3842">
        <v>0.96381049094479798</v>
      </c>
      <c r="S3842" t="s">
        <v>10410</v>
      </c>
      <c r="T3842" t="s">
        <v>13134</v>
      </c>
      <c r="U3842" t="s">
        <v>13134</v>
      </c>
      <c r="V3842" t="s">
        <v>13134</v>
      </c>
      <c r="W3842" t="s">
        <v>16920</v>
      </c>
      <c r="X3842">
        <v>1</v>
      </c>
      <c r="Y3842" t="s">
        <v>23310</v>
      </c>
      <c r="Z3842" t="s">
        <v>29810</v>
      </c>
      <c r="AA3842">
        <v>0.57149489351570393</v>
      </c>
      <c r="AB3842" t="str">
        <f>HYPERLINK("Melting_Curves/meltCurve_Q5JWM4_TASP1.pdf", "Melting_Curves/meltCurve_Q5JWM4_TASP1.pdf")</f>
        <v>Melting_Curves/meltCurve_Q5JWM4_TASP1.pdf</v>
      </c>
    </row>
    <row r="3843" spans="1:28" x14ac:dyDescent="0.25">
      <c r="A3843" t="s">
        <v>3847</v>
      </c>
      <c r="B3843">
        <v>0.99472303558308395</v>
      </c>
      <c r="C3843">
        <v>0.918986388182921</v>
      </c>
      <c r="D3843">
        <v>0.66922442322610498</v>
      </c>
      <c r="E3843">
        <v>0.51810916972793797</v>
      </c>
      <c r="F3843">
        <v>0.34796011583374697</v>
      </c>
      <c r="G3843">
        <v>0.16774552925782901</v>
      </c>
      <c r="H3843">
        <v>8.0292974030668304E-2</v>
      </c>
      <c r="I3843">
        <v>7.1604672035571595E-2</v>
      </c>
      <c r="J3843">
        <v>5.63786014742889E-2</v>
      </c>
      <c r="K3843">
        <v>5.4939724148603097E-2</v>
      </c>
      <c r="L3843">
        <v>556.30372062963295</v>
      </c>
      <c r="M3843">
        <v>11.947390424975399</v>
      </c>
      <c r="N3843">
        <v>46.6977485344296</v>
      </c>
      <c r="O3843">
        <v>45.315795107902296</v>
      </c>
      <c r="P3843">
        <v>-6.4809159161206706E-2</v>
      </c>
      <c r="Q3843">
        <v>1.69707345936616E-2</v>
      </c>
      <c r="R3843">
        <v>0.99183411522018206</v>
      </c>
      <c r="S3843" t="s">
        <v>10411</v>
      </c>
      <c r="T3843" t="s">
        <v>13134</v>
      </c>
      <c r="U3843" t="s">
        <v>13134</v>
      </c>
      <c r="V3843" t="s">
        <v>13134</v>
      </c>
      <c r="W3843" t="s">
        <v>16921</v>
      </c>
      <c r="X3843">
        <v>3</v>
      </c>
      <c r="Y3843" t="s">
        <v>23311</v>
      </c>
      <c r="Z3843" t="s">
        <v>29811</v>
      </c>
      <c r="AA3843">
        <v>0.36354640330003257</v>
      </c>
      <c r="AB3843" t="str">
        <f>HYPERLINK("Melting_Curves/meltCurve_Q5JWT2_MED23.pdf", "Melting_Curves/meltCurve_Q5JWT2_MED23.pdf")</f>
        <v>Melting_Curves/meltCurve_Q5JWT2_MED23.pdf</v>
      </c>
    </row>
    <row r="3844" spans="1:28" x14ac:dyDescent="0.25">
      <c r="A3844" t="s">
        <v>3848</v>
      </c>
      <c r="B3844">
        <v>0.99472303558308395</v>
      </c>
      <c r="C3844">
        <v>0.97154855285809505</v>
      </c>
      <c r="D3844">
        <v>0.76149832471762802</v>
      </c>
      <c r="E3844">
        <v>0.69209709438046196</v>
      </c>
      <c r="F3844">
        <v>0.49721699536344399</v>
      </c>
      <c r="G3844">
        <v>8.3161706116207407E-2</v>
      </c>
      <c r="H3844">
        <v>0.110795129147972</v>
      </c>
      <c r="I3844">
        <v>0.103797696364914</v>
      </c>
      <c r="J3844">
        <v>0.16561481971553799</v>
      </c>
      <c r="K3844">
        <v>0</v>
      </c>
      <c r="L3844">
        <v>685.78049424850406</v>
      </c>
      <c r="M3844">
        <v>14.149416450294099</v>
      </c>
      <c r="N3844">
        <v>48.702572713231099</v>
      </c>
      <c r="O3844">
        <v>47.529764456143802</v>
      </c>
      <c r="P3844">
        <v>-7.1972034761200704E-2</v>
      </c>
      <c r="Q3844">
        <v>3.3068359006900999E-2</v>
      </c>
      <c r="R3844">
        <v>0.95973966217806905</v>
      </c>
      <c r="S3844" t="s">
        <v>10412</v>
      </c>
      <c r="T3844" t="s">
        <v>13134</v>
      </c>
      <c r="U3844" t="s">
        <v>13134</v>
      </c>
      <c r="V3844" t="s">
        <v>13134</v>
      </c>
      <c r="W3844" t="s">
        <v>16922</v>
      </c>
      <c r="X3844">
        <v>2</v>
      </c>
      <c r="Y3844" t="s">
        <v>23312</v>
      </c>
      <c r="Z3844" t="s">
        <v>29812</v>
      </c>
      <c r="AA3844">
        <v>0.42580194897953749</v>
      </c>
      <c r="AB3844" t="str">
        <f>HYPERLINK("Melting_Curves/meltCurve_Q5JXC2_MIIP.pdf", "Melting_Curves/meltCurve_Q5JXC2_MIIP.pdf")</f>
        <v>Melting_Curves/meltCurve_Q5JXC2_MIIP.pdf</v>
      </c>
    </row>
    <row r="3845" spans="1:28" x14ac:dyDescent="0.25">
      <c r="A3845" t="s">
        <v>3849</v>
      </c>
      <c r="B3845">
        <v>0.99472303558308395</v>
      </c>
      <c r="C3845">
        <v>0.99300035393903596</v>
      </c>
      <c r="D3845">
        <v>0.91822165887042095</v>
      </c>
      <c r="E3845">
        <v>0.76506266570067105</v>
      </c>
      <c r="F3845">
        <v>0.53392106069158496</v>
      </c>
      <c r="G3845">
        <v>0.245715182696157</v>
      </c>
      <c r="H3845">
        <v>0.119023005928123</v>
      </c>
      <c r="I3845">
        <v>8.4379356406321798E-2</v>
      </c>
      <c r="J3845">
        <v>8.9552958726307794E-2</v>
      </c>
      <c r="K3845">
        <v>8.2099076316886399E-2</v>
      </c>
      <c r="L3845">
        <v>854.32677587145201</v>
      </c>
      <c r="M3845">
        <v>17.1407208139088</v>
      </c>
      <c r="N3845">
        <v>50.177904056643399</v>
      </c>
      <c r="O3845">
        <v>49.178372407409697</v>
      </c>
      <c r="P3845">
        <v>-8.2416831792569395E-2</v>
      </c>
      <c r="Q3845">
        <v>5.4209395166024202E-2</v>
      </c>
      <c r="R3845">
        <v>0.99753804156734804</v>
      </c>
      <c r="S3845" t="s">
        <v>10413</v>
      </c>
      <c r="T3845" t="s">
        <v>13134</v>
      </c>
      <c r="U3845" t="s">
        <v>13134</v>
      </c>
      <c r="V3845" t="s">
        <v>13134</v>
      </c>
      <c r="W3845" t="s">
        <v>16923</v>
      </c>
      <c r="X3845">
        <v>7</v>
      </c>
      <c r="Y3845" t="s">
        <v>23313</v>
      </c>
      <c r="Z3845" t="s">
        <v>29813</v>
      </c>
      <c r="AA3845">
        <v>0.47524366176432931</v>
      </c>
      <c r="AB3845" t="str">
        <f>HYPERLINK("Melting_Curves/meltCurve_Q5JXX2_MORF4L2.pdf", "Melting_Curves/meltCurve_Q5JXX2_MORF4L2.pdf")</f>
        <v>Melting_Curves/meltCurve_Q5JXX2_MORF4L2.pdf</v>
      </c>
    </row>
    <row r="3846" spans="1:28" x14ac:dyDescent="0.25">
      <c r="A3846" t="s">
        <v>3850</v>
      </c>
      <c r="B3846">
        <v>0.99472303558308395</v>
      </c>
      <c r="C3846">
        <v>0.82735476685028098</v>
      </c>
      <c r="D3846">
        <v>0.52079012603005304</v>
      </c>
      <c r="E3846">
        <v>0.23413227798590899</v>
      </c>
      <c r="F3846">
        <v>0.15852380148800299</v>
      </c>
      <c r="G3846">
        <v>9.7232957285235802E-2</v>
      </c>
      <c r="H3846">
        <v>5.6342647355201197E-2</v>
      </c>
      <c r="I3846">
        <v>6.3498978186702595E-2</v>
      </c>
      <c r="J3846">
        <v>6.9700810731981297E-2</v>
      </c>
      <c r="K3846">
        <v>4.8435881002329699E-2</v>
      </c>
      <c r="L3846">
        <v>820.93252784004903</v>
      </c>
      <c r="M3846">
        <v>19.093049317533499</v>
      </c>
      <c r="N3846">
        <v>43.314830007939399</v>
      </c>
      <c r="O3846">
        <v>42.533074866988599</v>
      </c>
      <c r="P3846">
        <v>-0.104880799224555</v>
      </c>
      <c r="Q3846">
        <v>6.5475937113700103E-2</v>
      </c>
      <c r="R3846">
        <v>0.99682705723660703</v>
      </c>
      <c r="S3846" t="s">
        <v>10414</v>
      </c>
      <c r="T3846" t="s">
        <v>13134</v>
      </c>
      <c r="U3846" t="s">
        <v>13134</v>
      </c>
      <c r="V3846" t="s">
        <v>13134</v>
      </c>
      <c r="W3846" t="s">
        <v>16924</v>
      </c>
      <c r="X3846">
        <v>8</v>
      </c>
      <c r="Y3846" t="s">
        <v>23314</v>
      </c>
      <c r="Z3846" t="s">
        <v>29814</v>
      </c>
      <c r="AA3846">
        <v>0.26675475890105799</v>
      </c>
      <c r="AB3846" t="str">
        <f>HYPERLINK("Melting_Curves/meltCurve_Q5JY65_CRNKL1.pdf", "Melting_Curves/meltCurve_Q5JY65_CRNKL1.pdf")</f>
        <v>Melting_Curves/meltCurve_Q5JY65_CRNKL1.pdf</v>
      </c>
    </row>
    <row r="3847" spans="1:28" x14ac:dyDescent="0.25">
      <c r="A3847" t="s">
        <v>3851</v>
      </c>
      <c r="B3847">
        <v>0.99472303558308395</v>
      </c>
      <c r="C3847">
        <v>0.92821968261221399</v>
      </c>
      <c r="D3847">
        <v>0.81574293924178198</v>
      </c>
      <c r="E3847">
        <v>0.53506419988421605</v>
      </c>
      <c r="F3847">
        <v>0.17248420551199001</v>
      </c>
      <c r="G3847">
        <v>8.9233912347269198E-2</v>
      </c>
      <c r="H3847">
        <v>5.5867481230871298E-2</v>
      </c>
      <c r="I3847">
        <v>4.1570311703852898E-2</v>
      </c>
      <c r="J3847">
        <v>4.9408365882113003E-2</v>
      </c>
      <c r="K3847">
        <v>4.0414576468885299E-2</v>
      </c>
      <c r="L3847">
        <v>916.116612299547</v>
      </c>
      <c r="M3847">
        <v>19.740403434675699</v>
      </c>
      <c r="N3847">
        <v>46.568738456514097</v>
      </c>
      <c r="O3847">
        <v>45.939814531113498</v>
      </c>
      <c r="P3847">
        <v>-0.103895263835953</v>
      </c>
      <c r="Q3847">
        <v>3.2893790885745802E-2</v>
      </c>
      <c r="R3847">
        <v>0.99685549571579601</v>
      </c>
      <c r="S3847" t="s">
        <v>10415</v>
      </c>
      <c r="T3847" t="s">
        <v>13134</v>
      </c>
      <c r="U3847" t="s">
        <v>13134</v>
      </c>
      <c r="V3847" t="s">
        <v>13134</v>
      </c>
      <c r="W3847" t="s">
        <v>16925</v>
      </c>
      <c r="X3847">
        <v>20</v>
      </c>
      <c r="Y3847" t="s">
        <v>23315</v>
      </c>
      <c r="Z3847" t="s">
        <v>29815</v>
      </c>
      <c r="AA3847">
        <v>0.34916330188456007</v>
      </c>
      <c r="AB3847" t="str">
        <f>HYPERLINK("Melting_Curves/meltCurve_Q5LJA5_UCHL5.pdf", "Melting_Curves/meltCurve_Q5LJA5_UCHL5.pdf")</f>
        <v>Melting_Curves/meltCurve_Q5LJA5_UCHL5.pdf</v>
      </c>
    </row>
    <row r="3848" spans="1:28" x14ac:dyDescent="0.25">
      <c r="A3848" t="s">
        <v>3852</v>
      </c>
      <c r="B3848">
        <v>0.99472303558308395</v>
      </c>
      <c r="C3848">
        <v>0.97631627054489201</v>
      </c>
      <c r="D3848">
        <v>0.90477628475592897</v>
      </c>
      <c r="E3848">
        <v>0.64917226893263402</v>
      </c>
      <c r="F3848">
        <v>0.389380924523759</v>
      </c>
      <c r="G3848">
        <v>0.24318081611075201</v>
      </c>
      <c r="H3848">
        <v>0.20262478071373999</v>
      </c>
      <c r="I3848">
        <v>0.17050226386682199</v>
      </c>
      <c r="J3848">
        <v>0.246641040777837</v>
      </c>
      <c r="K3848">
        <v>0.23095506648778699</v>
      </c>
      <c r="L3848">
        <v>1000.927249269</v>
      </c>
      <c r="M3848">
        <v>21.236092533467001</v>
      </c>
      <c r="N3848">
        <v>48.332317048066898</v>
      </c>
      <c r="O3848">
        <v>46.721322132551599</v>
      </c>
      <c r="P3848">
        <v>-9.0366863448362797E-2</v>
      </c>
      <c r="Q3848">
        <v>0.20475935319158201</v>
      </c>
      <c r="R3848">
        <v>0.99564588676949495</v>
      </c>
      <c r="S3848" t="s">
        <v>10416</v>
      </c>
      <c r="T3848" t="s">
        <v>13134</v>
      </c>
      <c r="U3848" t="s">
        <v>13134</v>
      </c>
      <c r="V3848" t="s">
        <v>13134</v>
      </c>
      <c r="W3848" t="s">
        <v>16926</v>
      </c>
      <c r="X3848">
        <v>16</v>
      </c>
      <c r="Y3848" t="s">
        <v>23316</v>
      </c>
      <c r="Z3848" t="s">
        <v>29816</v>
      </c>
      <c r="AA3848">
        <v>0.48263366731648571</v>
      </c>
      <c r="AB3848" t="str">
        <f>HYPERLINK("Melting_Curves/meltCurve_Q5M775_SPECC1.pdf", "Melting_Curves/meltCurve_Q5M775_SPECC1.pdf")</f>
        <v>Melting_Curves/meltCurve_Q5M775_SPECC1.pdf</v>
      </c>
    </row>
    <row r="3849" spans="1:28" x14ac:dyDescent="0.25">
      <c r="A3849" t="s">
        <v>3853</v>
      </c>
      <c r="B3849">
        <v>0.99472303558308395</v>
      </c>
      <c r="C3849">
        <v>0.96309984310368701</v>
      </c>
      <c r="D3849">
        <v>0.89351985488595398</v>
      </c>
      <c r="E3849">
        <v>0.49312414927839199</v>
      </c>
      <c r="F3849">
        <v>0.103426460484928</v>
      </c>
      <c r="G3849">
        <v>4.3848209453911699E-2</v>
      </c>
      <c r="H3849">
        <v>2.73146316134882E-2</v>
      </c>
      <c r="I3849">
        <v>2.52850694152363E-2</v>
      </c>
      <c r="J3849">
        <v>3.1884176562155198E-2</v>
      </c>
      <c r="K3849">
        <v>3.8699178077285998E-2</v>
      </c>
      <c r="L3849">
        <v>1328.0459552770701</v>
      </c>
      <c r="M3849">
        <v>28.636481008553002</v>
      </c>
      <c r="N3849">
        <v>46.462493497934297</v>
      </c>
      <c r="O3849">
        <v>46.151628550580803</v>
      </c>
      <c r="P3849">
        <v>-0.15109731145739</v>
      </c>
      <c r="Q3849">
        <v>2.5951221244823401E-2</v>
      </c>
      <c r="R3849">
        <v>0.99891682653262204</v>
      </c>
      <c r="S3849" t="s">
        <v>10417</v>
      </c>
      <c r="T3849" t="s">
        <v>13134</v>
      </c>
      <c r="U3849" t="s">
        <v>13134</v>
      </c>
      <c r="V3849" t="s">
        <v>13134</v>
      </c>
      <c r="W3849" t="s">
        <v>16927</v>
      </c>
      <c r="X3849">
        <v>9</v>
      </c>
      <c r="Y3849" t="s">
        <v>23317</v>
      </c>
      <c r="Z3849" t="s">
        <v>29817</v>
      </c>
      <c r="AA3849">
        <v>0.33652537095361967</v>
      </c>
      <c r="AB3849" t="str">
        <f>HYPERLINK("Melting_Curves/meltCurve_Q5MIZ7_3_SMEK2.pdf", "Melting_Curves/meltCurve_Q5MIZ7_3_SMEK2.pdf")</f>
        <v>Melting_Curves/meltCurve_Q5MIZ7_3_SMEK2.pdf</v>
      </c>
    </row>
    <row r="3850" spans="1:28" x14ac:dyDescent="0.25">
      <c r="A3850" t="s">
        <v>3854</v>
      </c>
      <c r="B3850">
        <v>0.99472303558308395</v>
      </c>
      <c r="C3850">
        <v>0.94477082485414898</v>
      </c>
      <c r="D3850">
        <v>1.0392703486841901</v>
      </c>
      <c r="E3850">
        <v>0.86596521138445404</v>
      </c>
      <c r="F3850">
        <v>0.61973728617947799</v>
      </c>
      <c r="G3850">
        <v>0.52272331663995197</v>
      </c>
      <c r="H3850">
        <v>0.374562030177787</v>
      </c>
      <c r="I3850">
        <v>0.49985016475205601</v>
      </c>
      <c r="J3850">
        <v>0.51776815725356895</v>
      </c>
      <c r="K3850">
        <v>0.357272433563459</v>
      </c>
      <c r="L3850">
        <v>1285.08056418809</v>
      </c>
      <c r="M3850">
        <v>26.315179145187901</v>
      </c>
      <c r="N3850">
        <v>53.155017146073298</v>
      </c>
      <c r="O3850">
        <v>48.554788321021903</v>
      </c>
      <c r="P3850">
        <v>-7.5724842587300598E-2</v>
      </c>
      <c r="Q3850">
        <v>0.44111886594017202</v>
      </c>
      <c r="R3850">
        <v>0.95257197966451301</v>
      </c>
      <c r="S3850" t="s">
        <v>10418</v>
      </c>
      <c r="T3850" t="s">
        <v>13134</v>
      </c>
      <c r="U3850" t="s">
        <v>13134</v>
      </c>
      <c r="V3850" t="s">
        <v>13134</v>
      </c>
      <c r="W3850" t="s">
        <v>16928</v>
      </c>
      <c r="X3850">
        <v>2</v>
      </c>
      <c r="Y3850" t="s">
        <v>23318</v>
      </c>
      <c r="Z3850" t="s">
        <v>29818</v>
      </c>
      <c r="AA3850">
        <v>0.66594081235291214</v>
      </c>
      <c r="AB3850" t="str">
        <f>HYPERLINK("Melting_Curves/meltCurve_Q5MNZ6_WDR45B.pdf", "Melting_Curves/meltCurve_Q5MNZ6_WDR45B.pdf")</f>
        <v>Melting_Curves/meltCurve_Q5MNZ6_WDR45B.pdf</v>
      </c>
    </row>
    <row r="3851" spans="1:28" x14ac:dyDescent="0.25">
      <c r="A3851" t="s">
        <v>3855</v>
      </c>
      <c r="B3851">
        <v>0.99472303558308395</v>
      </c>
      <c r="C3851">
        <v>0.98849127780417001</v>
      </c>
      <c r="D3851">
        <v>1.00072483068309</v>
      </c>
      <c r="E3851">
        <v>0.80727872243117904</v>
      </c>
      <c r="F3851">
        <v>0.48779627897782601</v>
      </c>
      <c r="G3851">
        <v>0.15692833875843001</v>
      </c>
      <c r="H3851">
        <v>7.6438290292009103E-2</v>
      </c>
      <c r="I3851">
        <v>4.6698029232220599E-2</v>
      </c>
      <c r="J3851">
        <v>5.2262978059929202E-2</v>
      </c>
      <c r="K3851">
        <v>4.50318944171769E-2</v>
      </c>
      <c r="L3851">
        <v>1157.5636427511499</v>
      </c>
      <c r="M3851">
        <v>23.284457681826002</v>
      </c>
      <c r="N3851">
        <v>49.881667462647002</v>
      </c>
      <c r="O3851">
        <v>49.351674560075303</v>
      </c>
      <c r="P3851">
        <v>-0.11351406165019</v>
      </c>
      <c r="Q3851">
        <v>3.7639809007303598E-2</v>
      </c>
      <c r="R3851">
        <v>0.99856925883208503</v>
      </c>
      <c r="S3851" t="s">
        <v>10419</v>
      </c>
      <c r="T3851" t="s">
        <v>13134</v>
      </c>
      <c r="U3851" t="s">
        <v>13134</v>
      </c>
      <c r="V3851" t="s">
        <v>13134</v>
      </c>
      <c r="W3851" t="s">
        <v>16929</v>
      </c>
      <c r="X3851">
        <v>7</v>
      </c>
      <c r="Y3851" t="s">
        <v>23319</v>
      </c>
      <c r="Z3851" t="s">
        <v>29819</v>
      </c>
      <c r="AA3851">
        <v>0.45509047602874148</v>
      </c>
      <c r="AB3851" t="str">
        <f>HYPERLINK("Melting_Curves/meltCurve_Q5NDL2_EOGT.pdf", "Melting_Curves/meltCurve_Q5NDL2_EOGT.pdf")</f>
        <v>Melting_Curves/meltCurve_Q5NDL2_EOGT.pdf</v>
      </c>
    </row>
    <row r="3852" spans="1:28" x14ac:dyDescent="0.25">
      <c r="A3852" t="s">
        <v>3856</v>
      </c>
      <c r="B3852">
        <v>0.99472303558308395</v>
      </c>
      <c r="C3852">
        <v>0.99247806713015796</v>
      </c>
      <c r="D3852">
        <v>0.95760417134735099</v>
      </c>
      <c r="E3852">
        <v>0.79837225587455196</v>
      </c>
      <c r="F3852">
        <v>0.46401129584196799</v>
      </c>
      <c r="G3852">
        <v>0.23429263419972399</v>
      </c>
      <c r="H3852">
        <v>0.16300908766736599</v>
      </c>
      <c r="I3852">
        <v>0.13772598093365401</v>
      </c>
      <c r="J3852">
        <v>0.14962041622056699</v>
      </c>
      <c r="K3852">
        <v>0.16693054394072299</v>
      </c>
      <c r="L3852">
        <v>1130.7360166513799</v>
      </c>
      <c r="M3852">
        <v>23.074511630621899</v>
      </c>
      <c r="N3852">
        <v>49.7315212360188</v>
      </c>
      <c r="O3852">
        <v>48.640090828913102</v>
      </c>
      <c r="P3852">
        <v>-0.10160536390689499</v>
      </c>
      <c r="Q3852">
        <v>0.14329691067731801</v>
      </c>
      <c r="R3852">
        <v>0.99925766778786096</v>
      </c>
      <c r="S3852" t="s">
        <v>10420</v>
      </c>
      <c r="T3852" t="s">
        <v>13134</v>
      </c>
      <c r="U3852" t="s">
        <v>13134</v>
      </c>
      <c r="V3852" t="s">
        <v>13134</v>
      </c>
      <c r="W3852" t="s">
        <v>16930</v>
      </c>
      <c r="X3852">
        <v>8</v>
      </c>
      <c r="Y3852" t="s">
        <v>23320</v>
      </c>
      <c r="Z3852" t="s">
        <v>29820</v>
      </c>
      <c r="AA3852">
        <v>0.49472328391970682</v>
      </c>
      <c r="AB3852" t="str">
        <f>HYPERLINK("Melting_Curves/meltCurve_Q5QJE6_DNTTIP2.pdf", "Melting_Curves/meltCurve_Q5QJE6_DNTTIP2.pdf")</f>
        <v>Melting_Curves/meltCurve_Q5QJE6_DNTTIP2.pdf</v>
      </c>
    </row>
    <row r="3853" spans="1:28" x14ac:dyDescent="0.25">
      <c r="A3853" t="s">
        <v>3857</v>
      </c>
      <c r="B3853">
        <v>0.99472303558308395</v>
      </c>
      <c r="C3853">
        <v>1.0163254001831501</v>
      </c>
      <c r="D3853">
        <v>0.93744283186823296</v>
      </c>
      <c r="E3853">
        <v>0.89419357470290095</v>
      </c>
      <c r="F3853">
        <v>0.65146403231559002</v>
      </c>
      <c r="G3853">
        <v>0.50868008246830698</v>
      </c>
      <c r="H3853">
        <v>0.35786357994492202</v>
      </c>
      <c r="I3853">
        <v>0.29880615343588401</v>
      </c>
      <c r="J3853">
        <v>0.37113485399931501</v>
      </c>
      <c r="K3853">
        <v>0.33284629737489102</v>
      </c>
      <c r="L3853">
        <v>940.36742355805302</v>
      </c>
      <c r="M3853">
        <v>18.676068086519301</v>
      </c>
      <c r="N3853">
        <v>53.245737168565299</v>
      </c>
      <c r="O3853">
        <v>49.784846788017703</v>
      </c>
      <c r="P3853">
        <v>-6.38855293854238E-2</v>
      </c>
      <c r="Q3853">
        <v>0.31882990486030199</v>
      </c>
      <c r="R3853">
        <v>0.99043246927775896</v>
      </c>
      <c r="S3853" t="s">
        <v>10421</v>
      </c>
      <c r="T3853" t="s">
        <v>13134</v>
      </c>
      <c r="U3853" t="s">
        <v>13134</v>
      </c>
      <c r="V3853" t="s">
        <v>13134</v>
      </c>
      <c r="W3853" t="s">
        <v>16931</v>
      </c>
      <c r="X3853">
        <v>16</v>
      </c>
      <c r="Y3853" t="s">
        <v>23321</v>
      </c>
      <c r="Z3853" t="s">
        <v>29821</v>
      </c>
      <c r="AA3853">
        <v>0.63204097751201371</v>
      </c>
      <c r="AB3853" t="str">
        <f>HYPERLINK("Melting_Curves/meltCurve_Q5QNY5_PEX19.pdf", "Melting_Curves/meltCurve_Q5QNY5_PEX19.pdf")</f>
        <v>Melting_Curves/meltCurve_Q5QNY5_PEX19.pdf</v>
      </c>
    </row>
    <row r="3854" spans="1:28" x14ac:dyDescent="0.25">
      <c r="A3854" t="s">
        <v>3858</v>
      </c>
      <c r="B3854">
        <v>0.99472303558308395</v>
      </c>
      <c r="C3854">
        <v>0.92406489370725697</v>
      </c>
      <c r="D3854">
        <v>0.71179305425489803</v>
      </c>
      <c r="E3854">
        <v>0.57071270496307103</v>
      </c>
      <c r="F3854">
        <v>0.44122911755722499</v>
      </c>
      <c r="G3854">
        <v>0.246973042268961</v>
      </c>
      <c r="H3854">
        <v>0.169640463218872</v>
      </c>
      <c r="I3854">
        <v>0.132530581018239</v>
      </c>
      <c r="J3854">
        <v>0.16846490109104301</v>
      </c>
      <c r="K3854">
        <v>0.12726623447207799</v>
      </c>
      <c r="L3854">
        <v>536.99247153041699</v>
      </c>
      <c r="M3854">
        <v>11.427280009865701</v>
      </c>
      <c r="N3854">
        <v>47.871622479218601</v>
      </c>
      <c r="O3854">
        <v>45.622135131887802</v>
      </c>
      <c r="P3854">
        <v>-5.6706809855130998E-2</v>
      </c>
      <c r="Q3854">
        <v>9.4681781330888296E-2</v>
      </c>
      <c r="R3854">
        <v>0.98953420675409598</v>
      </c>
      <c r="S3854" t="s">
        <v>10422</v>
      </c>
      <c r="T3854" t="s">
        <v>13134</v>
      </c>
      <c r="U3854" t="s">
        <v>13134</v>
      </c>
      <c r="V3854" t="s">
        <v>13134</v>
      </c>
      <c r="W3854" t="s">
        <v>16932</v>
      </c>
      <c r="X3854">
        <v>11</v>
      </c>
      <c r="Y3854" t="s">
        <v>23322</v>
      </c>
      <c r="Z3854" t="s">
        <v>29822</v>
      </c>
      <c r="AA3854">
        <v>0.42834564753676868</v>
      </c>
      <c r="AB3854" t="str">
        <f>HYPERLINK("Melting_Curves/meltCurve_Q5QNZ2_ATP5F1.pdf", "Melting_Curves/meltCurve_Q5QNZ2_ATP5F1.pdf")</f>
        <v>Melting_Curves/meltCurve_Q5QNZ2_ATP5F1.pdf</v>
      </c>
    </row>
    <row r="3855" spans="1:28" x14ac:dyDescent="0.25">
      <c r="A3855" t="s">
        <v>3859</v>
      </c>
      <c r="B3855">
        <v>0.99472303558308395</v>
      </c>
      <c r="C3855">
        <v>0.897112715541168</v>
      </c>
      <c r="D3855">
        <v>1.01600580826977</v>
      </c>
      <c r="E3855">
        <v>0.82131360397847497</v>
      </c>
      <c r="F3855">
        <v>0.61023992938957505</v>
      </c>
      <c r="G3855">
        <v>0.43838244917442798</v>
      </c>
      <c r="H3855">
        <v>0.32849326785004501</v>
      </c>
      <c r="I3855">
        <v>0.360306726480358</v>
      </c>
      <c r="J3855">
        <v>0.44120523191002498</v>
      </c>
      <c r="K3855">
        <v>0.362342476889849</v>
      </c>
      <c r="L3855">
        <v>1123.18299420259</v>
      </c>
      <c r="M3855">
        <v>22.989599954760401</v>
      </c>
      <c r="N3855">
        <v>51.870003660715</v>
      </c>
      <c r="O3855">
        <v>48.490968938955398</v>
      </c>
      <c r="P3855">
        <v>-7.4847029526161998E-2</v>
      </c>
      <c r="Q3855">
        <v>0.36852535004993198</v>
      </c>
      <c r="R3855">
        <v>0.96937773017918305</v>
      </c>
      <c r="S3855" t="s">
        <v>10423</v>
      </c>
      <c r="T3855" t="s">
        <v>13134</v>
      </c>
      <c r="U3855" t="s">
        <v>13134</v>
      </c>
      <c r="V3855" t="s">
        <v>13134</v>
      </c>
      <c r="W3855" t="s">
        <v>16933</v>
      </c>
      <c r="X3855">
        <v>4</v>
      </c>
      <c r="Y3855" t="s">
        <v>23323</v>
      </c>
      <c r="Z3855" t="s">
        <v>29823</v>
      </c>
      <c r="AA3855">
        <v>0.62449116974975061</v>
      </c>
      <c r="AB3855" t="str">
        <f>HYPERLINK("Melting_Curves/meltCurve_Q5QP56_BCL2L1.pdf", "Melting_Curves/meltCurve_Q5QP56_BCL2L1.pdf")</f>
        <v>Melting_Curves/meltCurve_Q5QP56_BCL2L1.pdf</v>
      </c>
    </row>
    <row r="3856" spans="1:28" x14ac:dyDescent="0.25">
      <c r="A3856" t="s">
        <v>3860</v>
      </c>
      <c r="B3856">
        <v>0.99472303558308395</v>
      </c>
      <c r="C3856">
        <v>0.83852343655553996</v>
      </c>
      <c r="D3856">
        <v>0.84835367374038595</v>
      </c>
      <c r="E3856">
        <v>0.73627141893907999</v>
      </c>
      <c r="F3856">
        <v>0.64300089448213704</v>
      </c>
      <c r="G3856">
        <v>0.42958446298888597</v>
      </c>
      <c r="H3856">
        <v>0.33143048850824602</v>
      </c>
      <c r="I3856">
        <v>0.16698732718551099</v>
      </c>
      <c r="J3856">
        <v>0.100231702955494</v>
      </c>
      <c r="K3856">
        <v>8.9828642145628607E-2</v>
      </c>
      <c r="L3856">
        <v>480.38815619123</v>
      </c>
      <c r="M3856">
        <v>9.23870867721004</v>
      </c>
      <c r="N3856">
        <v>51.997326972140598</v>
      </c>
      <c r="O3856">
        <v>49.7352362649195</v>
      </c>
      <c r="P3856">
        <v>-4.6469992865493803E-2</v>
      </c>
      <c r="Q3856">
        <v>0</v>
      </c>
      <c r="R3856">
        <v>0.97938355731905702</v>
      </c>
      <c r="S3856" t="s">
        <v>10424</v>
      </c>
      <c r="T3856" t="s">
        <v>13134</v>
      </c>
      <c r="U3856" t="s">
        <v>13134</v>
      </c>
      <c r="V3856" t="s">
        <v>13134</v>
      </c>
      <c r="W3856" t="s">
        <v>16934</v>
      </c>
      <c r="X3856">
        <v>9</v>
      </c>
      <c r="Y3856" t="s">
        <v>23324</v>
      </c>
      <c r="Z3856" t="s">
        <v>29824</v>
      </c>
      <c r="AA3856">
        <v>0.5274847500582156</v>
      </c>
      <c r="AB3856" t="str">
        <f>HYPERLINK("Melting_Curves/meltCurve_Q5QP82_2_DCAF10.pdf", "Melting_Curves/meltCurve_Q5QP82_2_DCAF10.pdf")</f>
        <v>Melting_Curves/meltCurve_Q5QP82_2_DCAF10.pdf</v>
      </c>
    </row>
    <row r="3857" spans="1:28" x14ac:dyDescent="0.25">
      <c r="A3857" t="s">
        <v>3861</v>
      </c>
      <c r="B3857">
        <v>0.99472303558308395</v>
      </c>
      <c r="C3857">
        <v>0.941165674376231</v>
      </c>
      <c r="D3857">
        <v>0.85737751438259702</v>
      </c>
      <c r="E3857">
        <v>0.84765566007179904</v>
      </c>
      <c r="F3857">
        <v>1.12105326315126</v>
      </c>
      <c r="G3857">
        <v>1.3034322123212401</v>
      </c>
      <c r="H3857">
        <v>0.852136367001744</v>
      </c>
      <c r="I3857">
        <v>0.57296001407723396</v>
      </c>
      <c r="J3857">
        <v>0.23930339456486399</v>
      </c>
      <c r="K3857">
        <v>0.34177274743616598</v>
      </c>
      <c r="L3857">
        <v>2624.6577592169901</v>
      </c>
      <c r="M3857">
        <v>43.625310544497303</v>
      </c>
      <c r="N3857">
        <v>61.2891208780337</v>
      </c>
      <c r="O3857">
        <v>60.0376386038823</v>
      </c>
      <c r="P3857">
        <v>-0.13159625122195401</v>
      </c>
      <c r="Q3857">
        <v>0.27558415664740199</v>
      </c>
      <c r="R3857">
        <v>0.82676473467081901</v>
      </c>
      <c r="S3857" t="s">
        <v>10425</v>
      </c>
      <c r="T3857" t="s">
        <v>13134</v>
      </c>
      <c r="U3857" t="s">
        <v>13134</v>
      </c>
      <c r="V3857" t="s">
        <v>13134</v>
      </c>
      <c r="W3857" t="s">
        <v>16935</v>
      </c>
      <c r="X3857">
        <v>1</v>
      </c>
      <c r="Y3857" t="s">
        <v>23325</v>
      </c>
      <c r="Z3857" t="s">
        <v>29825</v>
      </c>
      <c r="AA3857">
        <v>0.83694558185906054</v>
      </c>
      <c r="AB3857" t="str">
        <f>HYPERLINK("Melting_Curves/meltCurve_Q5QPA5_MRPS18A.pdf", "Melting_Curves/meltCurve_Q5QPA5_MRPS18A.pdf")</f>
        <v>Melting_Curves/meltCurve_Q5QPA5_MRPS18A.pdf</v>
      </c>
    </row>
    <row r="3858" spans="1:28" x14ac:dyDescent="0.25">
      <c r="A3858" t="s">
        <v>3862</v>
      </c>
      <c r="B3858">
        <v>0.99472303558308395</v>
      </c>
      <c r="C3858">
        <v>0.77018486717621104</v>
      </c>
      <c r="D3858">
        <v>0.90443745103656703</v>
      </c>
      <c r="E3858">
        <v>0.571783115679658</v>
      </c>
      <c r="F3858">
        <v>0.463763098732485</v>
      </c>
      <c r="G3858">
        <v>0.19650371715807499</v>
      </c>
      <c r="H3858">
        <v>0.18476964567450699</v>
      </c>
      <c r="I3858">
        <v>6.3467977289797001E-2</v>
      </c>
      <c r="J3858">
        <v>0.16257296949792499</v>
      </c>
      <c r="K3858">
        <v>5.6366487936073302E-2</v>
      </c>
      <c r="L3858">
        <v>539.81982957206003</v>
      </c>
      <c r="M3858">
        <v>11.201159987836199</v>
      </c>
      <c r="N3858">
        <v>48.474779510384799</v>
      </c>
      <c r="O3858">
        <v>46.733705484430601</v>
      </c>
      <c r="P3858">
        <v>-5.8051159356448903E-2</v>
      </c>
      <c r="Q3858">
        <v>3.1495926006229198E-2</v>
      </c>
      <c r="R3858">
        <v>0.956810745674464</v>
      </c>
      <c r="S3858" t="s">
        <v>10426</v>
      </c>
      <c r="T3858" t="s">
        <v>13134</v>
      </c>
      <c r="U3858" t="s">
        <v>13134</v>
      </c>
      <c r="V3858" t="s">
        <v>13134</v>
      </c>
      <c r="W3858" t="s">
        <v>16936</v>
      </c>
      <c r="X3858">
        <v>1</v>
      </c>
      <c r="Y3858" t="s">
        <v>23326</v>
      </c>
      <c r="Z3858" t="s">
        <v>29826</v>
      </c>
      <c r="AA3858">
        <v>0.42592377388671721</v>
      </c>
      <c r="AB3858" t="str">
        <f>HYPERLINK("Melting_Curves/meltCurve_Q5QPC2_TTPAL.pdf", "Melting_Curves/meltCurve_Q5QPC2_TTPAL.pdf")</f>
        <v>Melting_Curves/meltCurve_Q5QPC2_TTPAL.pdf</v>
      </c>
    </row>
    <row r="3859" spans="1:28" x14ac:dyDescent="0.25">
      <c r="A3859" t="s">
        <v>3863</v>
      </c>
      <c r="B3859">
        <v>0.99472303558308395</v>
      </c>
      <c r="C3859">
        <v>0.74582463027839496</v>
      </c>
      <c r="D3859">
        <v>0.68924981775757399</v>
      </c>
      <c r="E3859">
        <v>0.54825019222038995</v>
      </c>
      <c r="F3859">
        <v>0.47130596346293502</v>
      </c>
      <c r="G3859">
        <v>0.60369497543848005</v>
      </c>
      <c r="H3859">
        <v>0.43135865830668502</v>
      </c>
      <c r="I3859">
        <v>0.161140244292066</v>
      </c>
      <c r="J3859">
        <v>6.4226659587315105E-2</v>
      </c>
      <c r="K3859">
        <v>8.1308206353340004E-2</v>
      </c>
      <c r="L3859">
        <v>318.89555037321202</v>
      </c>
      <c r="M3859">
        <v>6.3905817456453304</v>
      </c>
      <c r="N3859">
        <v>49.900863442273</v>
      </c>
      <c r="O3859">
        <v>45.686130912308101</v>
      </c>
      <c r="P3859">
        <v>-3.5060338963227203E-2</v>
      </c>
      <c r="Q3859">
        <v>0</v>
      </c>
      <c r="R3859">
        <v>0.86083583566336697</v>
      </c>
      <c r="S3859" t="s">
        <v>10427</v>
      </c>
      <c r="T3859" t="s">
        <v>13134</v>
      </c>
      <c r="U3859" t="s">
        <v>13134</v>
      </c>
      <c r="V3859" t="s">
        <v>13134</v>
      </c>
      <c r="W3859" t="s">
        <v>16937</v>
      </c>
      <c r="X3859">
        <v>10</v>
      </c>
      <c r="Y3859" t="s">
        <v>23327</v>
      </c>
      <c r="Z3859" t="s">
        <v>29827</v>
      </c>
      <c r="AA3859">
        <v>0.47749479558275609</v>
      </c>
      <c r="AB3859" t="str">
        <f>HYPERLINK("Melting_Curves/meltCurve_Q5QPK2_DPM1.pdf", "Melting_Curves/meltCurve_Q5QPK2_DPM1.pdf")</f>
        <v>Melting_Curves/meltCurve_Q5QPK2_DPM1.pdf</v>
      </c>
    </row>
    <row r="3860" spans="1:28" x14ac:dyDescent="0.25">
      <c r="A3860" t="s">
        <v>3864</v>
      </c>
      <c r="B3860">
        <v>0.99472303558308395</v>
      </c>
      <c r="C3860">
        <v>0.98411838116938399</v>
      </c>
      <c r="D3860">
        <v>0.88084405993786496</v>
      </c>
      <c r="E3860">
        <v>0.76595390076711101</v>
      </c>
      <c r="F3860">
        <v>0.44604619982451499</v>
      </c>
      <c r="G3860">
        <v>0.15711464244814299</v>
      </c>
      <c r="H3860">
        <v>0.110107278327437</v>
      </c>
      <c r="I3860">
        <v>6.2104564558857302E-2</v>
      </c>
      <c r="J3860">
        <v>0.10379025673902401</v>
      </c>
      <c r="K3860">
        <v>9.1690617789514997E-2</v>
      </c>
      <c r="L3860">
        <v>976.54811527748598</v>
      </c>
      <c r="M3860">
        <v>19.950537012061499</v>
      </c>
      <c r="N3860">
        <v>49.307491546730603</v>
      </c>
      <c r="O3860">
        <v>48.464614490483797</v>
      </c>
      <c r="P3860">
        <v>-9.5958654943648705E-2</v>
      </c>
      <c r="Q3860">
        <v>6.7604452067290099E-2</v>
      </c>
      <c r="R3860">
        <v>0.99414715980067303</v>
      </c>
      <c r="S3860" t="s">
        <v>10428</v>
      </c>
      <c r="T3860" t="s">
        <v>13134</v>
      </c>
      <c r="U3860" t="s">
        <v>13134</v>
      </c>
      <c r="V3860" t="s">
        <v>13134</v>
      </c>
      <c r="W3860" t="s">
        <v>16938</v>
      </c>
      <c r="X3860">
        <v>8</v>
      </c>
      <c r="Y3860" t="s">
        <v>23328</v>
      </c>
      <c r="Z3860" t="s">
        <v>29828</v>
      </c>
      <c r="AA3860">
        <v>0.45129953046399801</v>
      </c>
      <c r="AB3860" t="str">
        <f>HYPERLINK("Melting_Curves/meltCurve_Q5R372_4_RABGAP1L.pdf", "Melting_Curves/meltCurve_Q5R372_4_RABGAP1L.pdf")</f>
        <v>Melting_Curves/meltCurve_Q5R372_4_RABGAP1L.pdf</v>
      </c>
    </row>
    <row r="3861" spans="1:28" x14ac:dyDescent="0.25">
      <c r="A3861" t="s">
        <v>3865</v>
      </c>
      <c r="B3861">
        <v>0.99472303558308395</v>
      </c>
      <c r="C3861">
        <v>0.89913847417724002</v>
      </c>
      <c r="D3861">
        <v>1.0399047101314001</v>
      </c>
      <c r="E3861">
        <v>0.80211195683109604</v>
      </c>
      <c r="F3861">
        <v>0.58621840280478898</v>
      </c>
      <c r="G3861">
        <v>0.60723355316597605</v>
      </c>
      <c r="H3861">
        <v>0.288598100498827</v>
      </c>
      <c r="I3861">
        <v>0.57468327818456999</v>
      </c>
      <c r="J3861">
        <v>0.57279237822360396</v>
      </c>
      <c r="K3861">
        <v>0.39705092526511898</v>
      </c>
      <c r="L3861">
        <v>1224.5151021563699</v>
      </c>
      <c r="M3861">
        <v>25.624179939610801</v>
      </c>
      <c r="N3861">
        <v>54.377954815212</v>
      </c>
      <c r="O3861">
        <v>47.499267924691203</v>
      </c>
      <c r="P3861">
        <v>-7.0454812624503996E-2</v>
      </c>
      <c r="Q3861">
        <v>0.47760085758063903</v>
      </c>
      <c r="R3861">
        <v>0.84340239840180697</v>
      </c>
      <c r="S3861" t="s">
        <v>10429</v>
      </c>
      <c r="T3861" t="s">
        <v>13134</v>
      </c>
      <c r="U3861" t="s">
        <v>13134</v>
      </c>
      <c r="V3861" t="s">
        <v>13134</v>
      </c>
      <c r="W3861" t="s">
        <v>16939</v>
      </c>
      <c r="X3861">
        <v>2</v>
      </c>
      <c r="Y3861" t="s">
        <v>23329</v>
      </c>
      <c r="Z3861" t="s">
        <v>29829</v>
      </c>
      <c r="AA3861">
        <v>0.66967225641095074</v>
      </c>
      <c r="AB3861" t="str">
        <f>HYPERLINK("Melting_Curves/meltCurve_Q5R3B4_MPC2.pdf", "Melting_Curves/meltCurve_Q5R3B4_MPC2.pdf")</f>
        <v>Melting_Curves/meltCurve_Q5R3B4_MPC2.pdf</v>
      </c>
    </row>
    <row r="3862" spans="1:28" x14ac:dyDescent="0.25">
      <c r="A3862" t="s">
        <v>3866</v>
      </c>
      <c r="B3862">
        <v>0.99472303558308395</v>
      </c>
      <c r="C3862">
        <v>0.94221794820014204</v>
      </c>
      <c r="D3862">
        <v>0.955623238912372</v>
      </c>
      <c r="E3862">
        <v>0.85652482177467903</v>
      </c>
      <c r="F3862">
        <v>0.66386679690860495</v>
      </c>
      <c r="G3862">
        <v>0.39758610495828001</v>
      </c>
      <c r="H3862">
        <v>0.109878491543719</v>
      </c>
      <c r="I3862">
        <v>7.2788769508924406E-2</v>
      </c>
      <c r="J3862">
        <v>7.6957152697779405E-2</v>
      </c>
      <c r="K3862">
        <v>7.8973266374408199E-2</v>
      </c>
      <c r="L3862">
        <v>934.92095111380195</v>
      </c>
      <c r="M3862">
        <v>18.0538888661819</v>
      </c>
      <c r="N3862">
        <v>51.976852857414499</v>
      </c>
      <c r="O3862">
        <v>51.162206838332899</v>
      </c>
      <c r="P3862">
        <v>-8.5379675686366494E-2</v>
      </c>
      <c r="Q3862">
        <v>3.22307474072994E-2</v>
      </c>
      <c r="R3862">
        <v>0.99236797334253501</v>
      </c>
      <c r="S3862" t="s">
        <v>10430</v>
      </c>
      <c r="T3862" t="s">
        <v>13134</v>
      </c>
      <c r="U3862" t="s">
        <v>13134</v>
      </c>
      <c r="V3862" t="s">
        <v>13134</v>
      </c>
      <c r="W3862" t="s">
        <v>16940</v>
      </c>
      <c r="X3862">
        <v>12</v>
      </c>
      <c r="Y3862" t="s">
        <v>23330</v>
      </c>
      <c r="Z3862" t="s">
        <v>29830</v>
      </c>
      <c r="AA3862">
        <v>0.52384427497133323</v>
      </c>
      <c r="AB3862" t="str">
        <f>HYPERLINK("Melting_Curves/meltCurve_Q5R3I4_TTC38.pdf", "Melting_Curves/meltCurve_Q5R3I4_TTC38.pdf")</f>
        <v>Melting_Curves/meltCurve_Q5R3I4_TTC38.pdf</v>
      </c>
    </row>
    <row r="3863" spans="1:28" x14ac:dyDescent="0.25">
      <c r="A3863" t="s">
        <v>3867</v>
      </c>
      <c r="B3863">
        <v>0.99472303558308395</v>
      </c>
      <c r="C3863">
        <v>0.99125123165073004</v>
      </c>
      <c r="D3863">
        <v>0.85342381591993999</v>
      </c>
      <c r="E3863">
        <v>0.78816400070975001</v>
      </c>
      <c r="F3863">
        <v>0.61800424678403199</v>
      </c>
      <c r="G3863">
        <v>0.45592990786925902</v>
      </c>
      <c r="H3863">
        <v>0.34666186887989298</v>
      </c>
      <c r="I3863">
        <v>0.37558900818540703</v>
      </c>
      <c r="J3863">
        <v>0.40638074441595401</v>
      </c>
      <c r="K3863">
        <v>0.51039886772800402</v>
      </c>
      <c r="L3863">
        <v>804.06332459141504</v>
      </c>
      <c r="M3863">
        <v>16.8365000501095</v>
      </c>
      <c r="N3863">
        <v>52.731379914326702</v>
      </c>
      <c r="O3863">
        <v>47.098686558622603</v>
      </c>
      <c r="P3863">
        <v>-5.3816139662630103E-2</v>
      </c>
      <c r="Q3863">
        <v>0.39785423703801298</v>
      </c>
      <c r="R3863">
        <v>0.95304134072422597</v>
      </c>
      <c r="S3863" t="s">
        <v>10431</v>
      </c>
      <c r="T3863" t="s">
        <v>13134</v>
      </c>
      <c r="U3863" t="s">
        <v>13134</v>
      </c>
      <c r="V3863" t="s">
        <v>13134</v>
      </c>
      <c r="W3863" t="s">
        <v>16941</v>
      </c>
      <c r="X3863">
        <v>7</v>
      </c>
      <c r="Y3863" t="s">
        <v>23331</v>
      </c>
      <c r="Z3863" t="s">
        <v>29831</v>
      </c>
      <c r="AA3863">
        <v>0.62465087754515691</v>
      </c>
      <c r="AB3863" t="str">
        <f>HYPERLINK("Melting_Curves/meltCurve_Q5RI15_COX20.pdf", "Melting_Curves/meltCurve_Q5RI15_COX20.pdf")</f>
        <v>Melting_Curves/meltCurve_Q5RI15_COX20.pdf</v>
      </c>
    </row>
    <row r="3864" spans="1:28" x14ac:dyDescent="0.25">
      <c r="A3864" t="s">
        <v>3868</v>
      </c>
      <c r="B3864">
        <v>0.99472303558308395</v>
      </c>
      <c r="C3864">
        <v>0.99516058138630403</v>
      </c>
      <c r="D3864">
        <v>1.0212855726642101</v>
      </c>
      <c r="E3864">
        <v>1.08173053635565</v>
      </c>
      <c r="F3864">
        <v>1.2799662766622699</v>
      </c>
      <c r="G3864">
        <v>0.93766421637668995</v>
      </c>
      <c r="H3864">
        <v>0.42940003897325502</v>
      </c>
      <c r="I3864">
        <v>0.51853870105412003</v>
      </c>
      <c r="J3864">
        <v>0.36296563826120298</v>
      </c>
      <c r="K3864">
        <v>0.19999290616154</v>
      </c>
      <c r="L3864">
        <v>3613.52706714844</v>
      </c>
      <c r="M3864">
        <v>64.925049617296196</v>
      </c>
      <c r="N3864">
        <v>56.755070430815799</v>
      </c>
      <c r="O3864">
        <v>55.604169875943199</v>
      </c>
      <c r="P3864">
        <v>-0.18750950759604201</v>
      </c>
      <c r="Q3864">
        <v>0.35764039008628701</v>
      </c>
      <c r="R3864">
        <v>0.88834665333299501</v>
      </c>
      <c r="S3864" t="s">
        <v>10432</v>
      </c>
      <c r="T3864" t="s">
        <v>13134</v>
      </c>
      <c r="U3864" t="s">
        <v>13134</v>
      </c>
      <c r="V3864" t="s">
        <v>13134</v>
      </c>
      <c r="W3864" t="s">
        <v>16942</v>
      </c>
      <c r="X3864">
        <v>13</v>
      </c>
      <c r="Y3864" t="s">
        <v>23332</v>
      </c>
      <c r="Z3864" t="s">
        <v>29832</v>
      </c>
      <c r="AA3864">
        <v>0.75805442115883059</v>
      </c>
      <c r="AB3864" t="str">
        <f>HYPERLINK("Melting_Curves/meltCurve_Q5RKV6_EXOSC6.pdf", "Melting_Curves/meltCurve_Q5RKV6_EXOSC6.pdf")</f>
        <v>Melting_Curves/meltCurve_Q5RKV6_EXOSC6.pdf</v>
      </c>
    </row>
    <row r="3865" spans="1:28" x14ac:dyDescent="0.25">
      <c r="A3865" t="s">
        <v>3869</v>
      </c>
      <c r="B3865">
        <v>0.99472303558308395</v>
      </c>
      <c r="C3865">
        <v>0.99051402286169699</v>
      </c>
      <c r="D3865">
        <v>0.88162966762482498</v>
      </c>
      <c r="E3865">
        <v>0.72230910015603</v>
      </c>
      <c r="F3865">
        <v>0.57394348122182803</v>
      </c>
      <c r="G3865">
        <v>0.25409628623603697</v>
      </c>
      <c r="H3865">
        <v>8.5397751674813394E-2</v>
      </c>
      <c r="I3865">
        <v>5.6700887975498097E-2</v>
      </c>
      <c r="J3865">
        <v>6.0214308775501102E-2</v>
      </c>
      <c r="K3865">
        <v>7.0986239993542893E-2</v>
      </c>
      <c r="L3865">
        <v>741.96683885876905</v>
      </c>
      <c r="M3865">
        <v>14.800874778429799</v>
      </c>
      <c r="N3865">
        <v>50.187441291966103</v>
      </c>
      <c r="O3865">
        <v>49.241490268384801</v>
      </c>
      <c r="P3865">
        <v>-7.4520476186489201E-2</v>
      </c>
      <c r="Q3865">
        <v>8.4072885589119607E-3</v>
      </c>
      <c r="R3865">
        <v>0.99059970153882504</v>
      </c>
      <c r="S3865" t="s">
        <v>10433</v>
      </c>
      <c r="T3865" t="s">
        <v>13134</v>
      </c>
      <c r="U3865" t="s">
        <v>13134</v>
      </c>
      <c r="V3865" t="s">
        <v>13134</v>
      </c>
      <c r="W3865" t="s">
        <v>16943</v>
      </c>
      <c r="X3865">
        <v>15</v>
      </c>
      <c r="Y3865" t="s">
        <v>23333</v>
      </c>
      <c r="Z3865" t="s">
        <v>29833</v>
      </c>
      <c r="AA3865">
        <v>0.46342604614040461</v>
      </c>
      <c r="AB3865" t="str">
        <f>HYPERLINK("Melting_Curves/meltCurve_Q5SNW6_MTHFR.pdf", "Melting_Curves/meltCurve_Q5SNW6_MTHFR.pdf")</f>
        <v>Melting_Curves/meltCurve_Q5SNW6_MTHFR.pdf</v>
      </c>
    </row>
    <row r="3866" spans="1:28" x14ac:dyDescent="0.25">
      <c r="A3866" t="s">
        <v>3870</v>
      </c>
      <c r="B3866">
        <v>0.99472303558308395</v>
      </c>
      <c r="C3866">
        <v>1.0664419119388</v>
      </c>
      <c r="D3866">
        <v>0.93296320329015503</v>
      </c>
      <c r="E3866">
        <v>0.84222107660024303</v>
      </c>
      <c r="F3866">
        <v>0.68832568371427905</v>
      </c>
      <c r="G3866">
        <v>0.55233092938128003</v>
      </c>
      <c r="H3866">
        <v>0.37507686986151001</v>
      </c>
      <c r="I3866">
        <v>0.33531635573665403</v>
      </c>
      <c r="J3866">
        <v>0.24898492712840101</v>
      </c>
      <c r="K3866">
        <v>0.204074038397523</v>
      </c>
      <c r="L3866">
        <v>609.48277094879995</v>
      </c>
      <c r="M3866">
        <v>11.521331801814901</v>
      </c>
      <c r="N3866">
        <v>54.604351154277197</v>
      </c>
      <c r="O3866">
        <v>51.381979645903002</v>
      </c>
      <c r="P3866">
        <v>-4.7606097593997802E-2</v>
      </c>
      <c r="Q3866">
        <v>0.15099901950970701</v>
      </c>
      <c r="R3866">
        <v>0.98953717127005003</v>
      </c>
      <c r="S3866" t="s">
        <v>10434</v>
      </c>
      <c r="T3866" t="s">
        <v>13134</v>
      </c>
      <c r="U3866" t="s">
        <v>13134</v>
      </c>
      <c r="V3866" t="s">
        <v>13134</v>
      </c>
      <c r="W3866" t="s">
        <v>16944</v>
      </c>
      <c r="X3866">
        <v>4</v>
      </c>
      <c r="Y3866" t="s">
        <v>23334</v>
      </c>
      <c r="Z3866" t="s">
        <v>29834</v>
      </c>
      <c r="AA3866">
        <v>0.61950075963767193</v>
      </c>
      <c r="AB3866" t="str">
        <f>HYPERLINK("Melting_Curves/meltCurve_Q5SR50_PIK3CD.pdf", "Melting_Curves/meltCurve_Q5SR50_PIK3CD.pdf")</f>
        <v>Melting_Curves/meltCurve_Q5SR50_PIK3CD.pdf</v>
      </c>
    </row>
    <row r="3867" spans="1:28" x14ac:dyDescent="0.25">
      <c r="A3867" t="s">
        <v>3871</v>
      </c>
      <c r="B3867">
        <v>0.99472303558308395</v>
      </c>
      <c r="C3867">
        <v>0.97212133119780797</v>
      </c>
      <c r="D3867">
        <v>0.90985300831396998</v>
      </c>
      <c r="E3867">
        <v>0.69657797296908197</v>
      </c>
      <c r="F3867">
        <v>0.47533860070459499</v>
      </c>
      <c r="G3867">
        <v>0.17326142690899399</v>
      </c>
      <c r="H3867">
        <v>0.10382948134632999</v>
      </c>
      <c r="I3867">
        <v>0.10474251894483499</v>
      </c>
      <c r="J3867">
        <v>0.13064282565847499</v>
      </c>
      <c r="K3867">
        <v>9.9000904450826197E-2</v>
      </c>
      <c r="L3867">
        <v>879.21333635776602</v>
      </c>
      <c r="M3867">
        <v>18.0619642437659</v>
      </c>
      <c r="N3867">
        <v>49.168549677710899</v>
      </c>
      <c r="O3867">
        <v>48.092689117562102</v>
      </c>
      <c r="P3867">
        <v>-8.6148895071408396E-2</v>
      </c>
      <c r="Q3867">
        <v>8.2507235207586196E-2</v>
      </c>
      <c r="R3867">
        <v>0.99358849086379097</v>
      </c>
      <c r="S3867" t="s">
        <v>10435</v>
      </c>
      <c r="T3867" t="s">
        <v>13134</v>
      </c>
      <c r="U3867" t="s">
        <v>13134</v>
      </c>
      <c r="V3867" t="s">
        <v>13134</v>
      </c>
      <c r="W3867" t="s">
        <v>16945</v>
      </c>
      <c r="X3867">
        <v>1</v>
      </c>
      <c r="Y3867" t="s">
        <v>23335</v>
      </c>
      <c r="Z3867" t="s">
        <v>29835</v>
      </c>
      <c r="AA3867">
        <v>0.4541726918788675</v>
      </c>
      <c r="AB3867" t="str">
        <f>HYPERLINK("Melting_Curves/meltCurve_Q5SR54_CLSTN1.pdf", "Melting_Curves/meltCurve_Q5SR54_CLSTN1.pdf")</f>
        <v>Melting_Curves/meltCurve_Q5SR54_CLSTN1.pdf</v>
      </c>
    </row>
    <row r="3868" spans="1:28" x14ac:dyDescent="0.25">
      <c r="A3868" t="s">
        <v>3872</v>
      </c>
      <c r="B3868">
        <v>0.99472303558308395</v>
      </c>
      <c r="C3868">
        <v>1.0443056081951001</v>
      </c>
      <c r="D3868">
        <v>0.917225058499473</v>
      </c>
      <c r="E3868">
        <v>0.84798511007389199</v>
      </c>
      <c r="F3868">
        <v>0.58097576612542801</v>
      </c>
      <c r="G3868">
        <v>0.50072240972507498</v>
      </c>
      <c r="H3868">
        <v>0.37786988681484601</v>
      </c>
      <c r="I3868">
        <v>0.35638298221570602</v>
      </c>
      <c r="J3868">
        <v>0.448919995807817</v>
      </c>
      <c r="K3868">
        <v>0.36232520003927599</v>
      </c>
      <c r="L3868">
        <v>969.56696022582798</v>
      </c>
      <c r="M3868">
        <v>19.877405640522699</v>
      </c>
      <c r="N3868">
        <v>52.546306640791997</v>
      </c>
      <c r="O3868">
        <v>48.291704021874502</v>
      </c>
      <c r="P3868">
        <v>-6.3818816263974898E-2</v>
      </c>
      <c r="Q3868">
        <v>0.37983524477034297</v>
      </c>
      <c r="R3868">
        <v>0.98028648010008601</v>
      </c>
      <c r="S3868" t="s">
        <v>10436</v>
      </c>
      <c r="T3868" t="s">
        <v>13134</v>
      </c>
      <c r="U3868" t="s">
        <v>13134</v>
      </c>
      <c r="V3868" t="s">
        <v>13134</v>
      </c>
      <c r="W3868" t="s">
        <v>16946</v>
      </c>
      <c r="X3868">
        <v>2</v>
      </c>
      <c r="Y3868" t="s">
        <v>23336</v>
      </c>
      <c r="Z3868" t="s">
        <v>29836</v>
      </c>
      <c r="AA3868">
        <v>0.63155810460178841</v>
      </c>
      <c r="AB3868" t="str">
        <f>HYPERLINK("Melting_Curves/meltCurve_Q5SR56_HIATL1.pdf", "Melting_Curves/meltCurve_Q5SR56_HIATL1.pdf")</f>
        <v>Melting_Curves/meltCurve_Q5SR56_HIATL1.pdf</v>
      </c>
    </row>
    <row r="3869" spans="1:28" x14ac:dyDescent="0.25">
      <c r="A3869" t="s">
        <v>3873</v>
      </c>
      <c r="B3869">
        <v>0.99472303558308395</v>
      </c>
      <c r="C3869">
        <v>0.90984582922522295</v>
      </c>
      <c r="D3869">
        <v>0.69647919563114202</v>
      </c>
      <c r="E3869">
        <v>0.49037001868430502</v>
      </c>
      <c r="F3869">
        <v>0.25756204491637502</v>
      </c>
      <c r="G3869">
        <v>0.11069086878036501</v>
      </c>
      <c r="H3869">
        <v>6.74541045407962E-2</v>
      </c>
      <c r="I3869">
        <v>6.11039514954205E-2</v>
      </c>
      <c r="J3869">
        <v>6.8210008860238397E-2</v>
      </c>
      <c r="K3869">
        <v>4.0369832829739098E-2</v>
      </c>
      <c r="L3869">
        <v>658.96973682363398</v>
      </c>
      <c r="M3869">
        <v>14.3600659506747</v>
      </c>
      <c r="N3869">
        <v>46.094201195564999</v>
      </c>
      <c r="O3869">
        <v>45.0266577640134</v>
      </c>
      <c r="P3869">
        <v>-7.7271954039330695E-2</v>
      </c>
      <c r="Q3869">
        <v>3.0956829297342101E-2</v>
      </c>
      <c r="R3869">
        <v>0.99672578517363697</v>
      </c>
      <c r="S3869" t="s">
        <v>10437</v>
      </c>
      <c r="T3869" t="s">
        <v>13134</v>
      </c>
      <c r="U3869" t="s">
        <v>13134</v>
      </c>
      <c r="V3869" t="s">
        <v>13134</v>
      </c>
      <c r="W3869" t="s">
        <v>16947</v>
      </c>
      <c r="X3869">
        <v>14</v>
      </c>
      <c r="Y3869" t="s">
        <v>23337</v>
      </c>
      <c r="Z3869" t="s">
        <v>29837</v>
      </c>
      <c r="AA3869">
        <v>0.34242707261587302</v>
      </c>
      <c r="AB3869" t="str">
        <f>HYPERLINK("Melting_Curves/meltCurve_Q5SRE5_NUP188.pdf", "Melting_Curves/meltCurve_Q5SRE5_NUP188.pdf")</f>
        <v>Melting_Curves/meltCurve_Q5SRE5_NUP188.pdf</v>
      </c>
    </row>
    <row r="3870" spans="1:28" x14ac:dyDescent="0.25">
      <c r="A3870" t="s">
        <v>3874</v>
      </c>
      <c r="B3870">
        <v>0.99472303558308395</v>
      </c>
      <c r="C3870">
        <v>0.89910351671826305</v>
      </c>
      <c r="D3870">
        <v>0.86098829050878201</v>
      </c>
      <c r="E3870">
        <v>0.70411012513349203</v>
      </c>
      <c r="F3870">
        <v>0.64214963211716503</v>
      </c>
      <c r="G3870">
        <v>0.55232277597132395</v>
      </c>
      <c r="H3870">
        <v>0.16076459586136799</v>
      </c>
      <c r="I3870">
        <v>0.174131758998436</v>
      </c>
      <c r="J3870">
        <v>0.208328187336904</v>
      </c>
      <c r="K3870">
        <v>0.18642725782216399</v>
      </c>
      <c r="L3870">
        <v>480.14420389266098</v>
      </c>
      <c r="M3870">
        <v>9.2718398107281192</v>
      </c>
      <c r="N3870">
        <v>52.188730202907301</v>
      </c>
      <c r="O3870">
        <v>49.547289829787999</v>
      </c>
      <c r="P3870">
        <v>-4.5193877749673102E-2</v>
      </c>
      <c r="Q3870">
        <v>3.4589709701423901E-2</v>
      </c>
      <c r="R3870">
        <v>0.94936917669663901</v>
      </c>
      <c r="S3870" t="s">
        <v>10438</v>
      </c>
      <c r="T3870" t="s">
        <v>13134</v>
      </c>
      <c r="U3870" t="s">
        <v>13134</v>
      </c>
      <c r="V3870" t="s">
        <v>13134</v>
      </c>
      <c r="W3870" t="s">
        <v>16948</v>
      </c>
      <c r="X3870">
        <v>4</v>
      </c>
      <c r="Y3870" t="s">
        <v>23338</v>
      </c>
      <c r="Z3870" t="s">
        <v>29838</v>
      </c>
      <c r="AA3870">
        <v>0.53794135204446392</v>
      </c>
      <c r="AB3870" t="str">
        <f>HYPERLINK("Melting_Curves/meltCurve_Q5SRN1_CDC40.pdf", "Melting_Curves/meltCurve_Q5SRN1_CDC40.pdf")</f>
        <v>Melting_Curves/meltCurve_Q5SRN1_CDC40.pdf</v>
      </c>
    </row>
    <row r="3871" spans="1:28" x14ac:dyDescent="0.25">
      <c r="A3871" t="s">
        <v>3875</v>
      </c>
      <c r="B3871">
        <v>0.99472303558308395</v>
      </c>
      <c r="C3871">
        <v>0.903040218365465</v>
      </c>
      <c r="D3871">
        <v>0.87035626737093297</v>
      </c>
      <c r="E3871">
        <v>0.77024981085182298</v>
      </c>
      <c r="F3871">
        <v>0.65999784719760501</v>
      </c>
      <c r="G3871">
        <v>0.36133478770070498</v>
      </c>
      <c r="H3871">
        <v>0.151455953758828</v>
      </c>
      <c r="I3871">
        <v>7.0460981007784598E-2</v>
      </c>
      <c r="J3871">
        <v>6.2413747311844903E-2</v>
      </c>
      <c r="K3871">
        <v>4.9482954473332202E-2</v>
      </c>
      <c r="L3871">
        <v>690.59039472193103</v>
      </c>
      <c r="M3871">
        <v>13.433799370648</v>
      </c>
      <c r="N3871">
        <v>51.406930938088799</v>
      </c>
      <c r="O3871">
        <v>50.307905480728301</v>
      </c>
      <c r="P3871">
        <v>-6.6768295176980103E-2</v>
      </c>
      <c r="Q3871">
        <v>0</v>
      </c>
      <c r="R3871">
        <v>0.984851831500418</v>
      </c>
      <c r="S3871" t="s">
        <v>10439</v>
      </c>
      <c r="T3871" t="s">
        <v>13134</v>
      </c>
      <c r="U3871" t="s">
        <v>13134</v>
      </c>
      <c r="V3871" t="s">
        <v>13134</v>
      </c>
      <c r="W3871" t="s">
        <v>16949</v>
      </c>
      <c r="X3871">
        <v>5</v>
      </c>
      <c r="Y3871" t="s">
        <v>23339</v>
      </c>
      <c r="Z3871" t="s">
        <v>29839</v>
      </c>
      <c r="AA3871">
        <v>0.50270043777199136</v>
      </c>
      <c r="AB3871" t="str">
        <f>HYPERLINK("Melting_Curves/meltCurve_Q5SRQ6_CSNK2B.pdf", "Melting_Curves/meltCurve_Q5SRQ6_CSNK2B.pdf")</f>
        <v>Melting_Curves/meltCurve_Q5SRQ6_CSNK2B.pdf</v>
      </c>
    </row>
    <row r="3872" spans="1:28" x14ac:dyDescent="0.25">
      <c r="A3872" t="s">
        <v>3876</v>
      </c>
      <c r="B3872">
        <v>0.99472303558308395</v>
      </c>
      <c r="C3872">
        <v>0.970560873683187</v>
      </c>
      <c r="D3872">
        <v>0.90957282982863796</v>
      </c>
      <c r="E3872">
        <v>0.74588974422374399</v>
      </c>
      <c r="F3872">
        <v>0.58136060579836002</v>
      </c>
      <c r="G3872">
        <v>0.4230105176135</v>
      </c>
      <c r="H3872">
        <v>0.43385200127854501</v>
      </c>
      <c r="I3872">
        <v>0.45237139877595001</v>
      </c>
      <c r="J3872">
        <v>0.56696196393611797</v>
      </c>
      <c r="K3872">
        <v>0.453103394859799</v>
      </c>
      <c r="L3872">
        <v>1025.6490062872799</v>
      </c>
      <c r="M3872">
        <v>21.983337289226199</v>
      </c>
      <c r="N3872">
        <v>52.919940859212304</v>
      </c>
      <c r="O3872">
        <v>46.274821080059702</v>
      </c>
      <c r="P3872">
        <v>-6.3784877596512496E-2</v>
      </c>
      <c r="Q3872">
        <v>0.46294456526586902</v>
      </c>
      <c r="R3872">
        <v>0.96259561977752495</v>
      </c>
      <c r="S3872" t="s">
        <v>10440</v>
      </c>
      <c r="T3872" t="s">
        <v>13134</v>
      </c>
      <c r="U3872" t="s">
        <v>13134</v>
      </c>
      <c r="V3872" t="s">
        <v>13134</v>
      </c>
      <c r="W3872" t="s">
        <v>16950</v>
      </c>
      <c r="X3872">
        <v>2</v>
      </c>
      <c r="Y3872" t="s">
        <v>23340</v>
      </c>
      <c r="Z3872" t="s">
        <v>29840</v>
      </c>
      <c r="AA3872">
        <v>0.64161733357249418</v>
      </c>
      <c r="AB3872" t="str">
        <f>HYPERLINK("Melting_Curves/meltCurve_Q5SSJ5_HP1BP3.pdf", "Melting_Curves/meltCurve_Q5SSJ5_HP1BP3.pdf")</f>
        <v>Melting_Curves/meltCurve_Q5SSJ5_HP1BP3.pdf</v>
      </c>
    </row>
    <row r="3873" spans="1:28" x14ac:dyDescent="0.25">
      <c r="A3873" t="s">
        <v>3877</v>
      </c>
      <c r="B3873">
        <v>0.99472303558308395</v>
      </c>
      <c r="C3873">
        <v>0.94320080438930398</v>
      </c>
      <c r="D3873">
        <v>0.90693339650223304</v>
      </c>
      <c r="E3873">
        <v>0.73609673143273902</v>
      </c>
      <c r="F3873">
        <v>0.43254649629798703</v>
      </c>
      <c r="G3873">
        <v>0.128734440655141</v>
      </c>
      <c r="H3873">
        <v>5.0461438377394703E-2</v>
      </c>
      <c r="I3873">
        <v>3.9778569035591502E-2</v>
      </c>
      <c r="J3873">
        <v>4.6096842224303498E-2</v>
      </c>
      <c r="K3873">
        <v>4.1821064488161301E-2</v>
      </c>
      <c r="L3873">
        <v>942.80517934018803</v>
      </c>
      <c r="M3873">
        <v>19.238076868741899</v>
      </c>
      <c r="N3873">
        <v>49.099844635163997</v>
      </c>
      <c r="O3873">
        <v>48.486933998890102</v>
      </c>
      <c r="P3873">
        <v>-9.7429032677440797E-2</v>
      </c>
      <c r="Q3873">
        <v>1.7811221241554698E-2</v>
      </c>
      <c r="R3873">
        <v>0.99571291900799097</v>
      </c>
      <c r="S3873" t="s">
        <v>10441</v>
      </c>
      <c r="T3873" t="s">
        <v>13134</v>
      </c>
      <c r="U3873" t="s">
        <v>13134</v>
      </c>
      <c r="V3873" t="s">
        <v>13134</v>
      </c>
      <c r="W3873" t="s">
        <v>16951</v>
      </c>
      <c r="X3873">
        <v>8</v>
      </c>
      <c r="Y3873" t="s">
        <v>23341</v>
      </c>
      <c r="Z3873" t="s">
        <v>29841</v>
      </c>
      <c r="AA3873">
        <v>0.42480612417609631</v>
      </c>
      <c r="AB3873" t="str">
        <f>HYPERLINK("Melting_Curves/meltCurve_Q5ST30_VARS2.pdf", "Melting_Curves/meltCurve_Q5ST30_VARS2.pdf")</f>
        <v>Melting_Curves/meltCurve_Q5ST30_VARS2.pdf</v>
      </c>
    </row>
    <row r="3874" spans="1:28" x14ac:dyDescent="0.25">
      <c r="A3874" t="s">
        <v>3878</v>
      </c>
      <c r="B3874">
        <v>0.99472303558308395</v>
      </c>
      <c r="C3874">
        <v>0.83642384866075503</v>
      </c>
      <c r="D3874">
        <v>0.80136666307971205</v>
      </c>
      <c r="E3874">
        <v>0.36077218345221801</v>
      </c>
      <c r="F3874">
        <v>0.38662157669207098</v>
      </c>
      <c r="G3874">
        <v>0.170778074877634</v>
      </c>
      <c r="H3874">
        <v>0.141425383121314</v>
      </c>
      <c r="I3874">
        <v>5.4384806153395901E-2</v>
      </c>
      <c r="J3874">
        <v>1.40771364009831E-2</v>
      </c>
      <c r="K3874">
        <v>1.8570428504283101E-2</v>
      </c>
      <c r="L3874">
        <v>531.40278189842695</v>
      </c>
      <c r="M3874">
        <v>11.4207682935926</v>
      </c>
      <c r="N3874">
        <v>46.529512564134301</v>
      </c>
      <c r="O3874">
        <v>45.171493806208403</v>
      </c>
      <c r="P3874">
        <v>-6.3226286357207395E-2</v>
      </c>
      <c r="Q3874">
        <v>0</v>
      </c>
      <c r="R3874">
        <v>0.969495171143408</v>
      </c>
      <c r="S3874" t="s">
        <v>10442</v>
      </c>
      <c r="T3874" t="s">
        <v>13134</v>
      </c>
      <c r="U3874" t="s">
        <v>13134</v>
      </c>
      <c r="V3874" t="s">
        <v>13134</v>
      </c>
      <c r="W3874" t="s">
        <v>16952</v>
      </c>
      <c r="X3874">
        <v>2</v>
      </c>
      <c r="Y3874" t="s">
        <v>23342</v>
      </c>
      <c r="Z3874" t="s">
        <v>29842</v>
      </c>
      <c r="AA3874">
        <v>0.35406596498557968</v>
      </c>
      <c r="AB3874" t="str">
        <f>HYPERLINK("Melting_Curves/meltCurve_Q5SVK8_DNMBP.pdf", "Melting_Curves/meltCurve_Q5SVK8_DNMBP.pdf")</f>
        <v>Melting_Curves/meltCurve_Q5SVK8_DNMBP.pdf</v>
      </c>
    </row>
    <row r="3875" spans="1:28" x14ac:dyDescent="0.25">
      <c r="A3875" t="s">
        <v>3879</v>
      </c>
      <c r="B3875">
        <v>0.99472303558308395</v>
      </c>
      <c r="C3875">
        <v>0.94029142792085396</v>
      </c>
      <c r="D3875">
        <v>0.75413977981424396</v>
      </c>
      <c r="E3875">
        <v>0.61010186503349095</v>
      </c>
      <c r="F3875">
        <v>0.42448153346525502</v>
      </c>
      <c r="G3875">
        <v>0.20016394838385601</v>
      </c>
      <c r="H3875">
        <v>0.11383463223794101</v>
      </c>
      <c r="I3875">
        <v>8.2214785935400395E-2</v>
      </c>
      <c r="J3875">
        <v>8.9035542739059101E-2</v>
      </c>
      <c r="K3875">
        <v>9.2914625042115201E-2</v>
      </c>
      <c r="L3875">
        <v>590.93058189400699</v>
      </c>
      <c r="M3875">
        <v>12.364841138922699</v>
      </c>
      <c r="N3875">
        <v>48.089419103987098</v>
      </c>
      <c r="O3875">
        <v>46.592769450498601</v>
      </c>
      <c r="P3875">
        <v>-6.3910423032780495E-2</v>
      </c>
      <c r="Q3875">
        <v>3.6906413305051303E-2</v>
      </c>
      <c r="R3875">
        <v>0.99278169438880004</v>
      </c>
      <c r="S3875" t="s">
        <v>10443</v>
      </c>
      <c r="T3875" t="s">
        <v>13134</v>
      </c>
      <c r="U3875" t="s">
        <v>13134</v>
      </c>
      <c r="V3875" t="s">
        <v>13134</v>
      </c>
      <c r="W3875" t="s">
        <v>16953</v>
      </c>
      <c r="X3875">
        <v>23</v>
      </c>
      <c r="Y3875" t="s">
        <v>23343</v>
      </c>
      <c r="Z3875" t="s">
        <v>29843</v>
      </c>
      <c r="AA3875">
        <v>0.41245707274591048</v>
      </c>
      <c r="AB3875" t="str">
        <f>HYPERLINK("Melting_Curves/meltCurve_Q5SW79_CEP170.pdf", "Melting_Curves/meltCurve_Q5SW79_CEP170.pdf")</f>
        <v>Melting_Curves/meltCurve_Q5SW79_CEP170.pdf</v>
      </c>
    </row>
    <row r="3876" spans="1:28" x14ac:dyDescent="0.25">
      <c r="A3876" t="s">
        <v>3880</v>
      </c>
      <c r="B3876">
        <v>0.99472303558308395</v>
      </c>
      <c r="C3876">
        <v>1.0170467056391901</v>
      </c>
      <c r="D3876">
        <v>0.97041782667620602</v>
      </c>
      <c r="E3876">
        <v>0.79609785447648096</v>
      </c>
      <c r="F3876">
        <v>0.32521434619650202</v>
      </c>
      <c r="G3876">
        <v>0.22964750480437199</v>
      </c>
      <c r="H3876">
        <v>8.0923889123824505E-2</v>
      </c>
      <c r="I3876">
        <v>6.1377533679744502E-2</v>
      </c>
      <c r="J3876">
        <v>7.1510875147539704E-2</v>
      </c>
      <c r="K3876">
        <v>3.86462945596453E-2</v>
      </c>
      <c r="L3876">
        <v>1194.5155670229501</v>
      </c>
      <c r="M3876">
        <v>24.502446390957498</v>
      </c>
      <c r="N3876">
        <v>49.034151705903398</v>
      </c>
      <c r="O3876">
        <v>48.429636933565902</v>
      </c>
      <c r="P3876">
        <v>-0.11813922223284801</v>
      </c>
      <c r="Q3876">
        <v>6.5994499232748305E-2</v>
      </c>
      <c r="R3876">
        <v>0.99362533052054303</v>
      </c>
      <c r="S3876" t="s">
        <v>10444</v>
      </c>
      <c r="T3876" t="s">
        <v>13134</v>
      </c>
      <c r="U3876" t="s">
        <v>13134</v>
      </c>
      <c r="V3876" t="s">
        <v>13134</v>
      </c>
      <c r="W3876" t="s">
        <v>16954</v>
      </c>
      <c r="X3876">
        <v>7</v>
      </c>
      <c r="Y3876" t="s">
        <v>23344</v>
      </c>
      <c r="Z3876" t="s">
        <v>29844</v>
      </c>
      <c r="AA3876">
        <v>0.44020598088022728</v>
      </c>
      <c r="AB3876" t="str">
        <f>HYPERLINK("Melting_Curves/meltCurve_Q5SWX8_2_ODR4.pdf", "Melting_Curves/meltCurve_Q5SWX8_2_ODR4.pdf")</f>
        <v>Melting_Curves/meltCurve_Q5SWX8_2_ODR4.pdf</v>
      </c>
    </row>
    <row r="3877" spans="1:28" x14ac:dyDescent="0.25">
      <c r="A3877" t="s">
        <v>3881</v>
      </c>
      <c r="B3877">
        <v>0.99472303558308395</v>
      </c>
      <c r="C3877">
        <v>0.91135408210728597</v>
      </c>
      <c r="D3877">
        <v>0.82160313089577797</v>
      </c>
      <c r="E3877">
        <v>0.75936253588552505</v>
      </c>
      <c r="F3877">
        <v>1.0909466060714901</v>
      </c>
      <c r="G3877">
        <v>0.51977627256523795</v>
      </c>
      <c r="H3877">
        <v>0.23817185988812301</v>
      </c>
      <c r="I3877">
        <v>4.8064711253953299E-2</v>
      </c>
      <c r="J3877">
        <v>4.9001878729688003E-2</v>
      </c>
      <c r="K3877">
        <v>4.9838015266630703E-2</v>
      </c>
      <c r="L3877">
        <v>2028.79835957981</v>
      </c>
      <c r="M3877">
        <v>37.527145469885497</v>
      </c>
      <c r="N3877">
        <v>54.253763057393797</v>
      </c>
      <c r="O3877">
        <v>53.909304626880299</v>
      </c>
      <c r="P3877">
        <v>-0.16322886796632399</v>
      </c>
      <c r="Q3877">
        <v>6.2061953893294802E-2</v>
      </c>
      <c r="R3877">
        <v>0.92021070251158399</v>
      </c>
      <c r="S3877" t="s">
        <v>10445</v>
      </c>
      <c r="T3877" t="s">
        <v>13134</v>
      </c>
      <c r="U3877" t="s">
        <v>13134</v>
      </c>
      <c r="V3877" t="s">
        <v>13134</v>
      </c>
      <c r="W3877" t="s">
        <v>16955</v>
      </c>
      <c r="X3877">
        <v>14</v>
      </c>
      <c r="Y3877" t="s">
        <v>20128</v>
      </c>
      <c r="Z3877" t="s">
        <v>29845</v>
      </c>
      <c r="AA3877">
        <v>0.59943867796318695</v>
      </c>
      <c r="AB3877" t="str">
        <f>HYPERLINK("Melting_Curves/meltCurve_Q5SX86_GDI2.pdf", "Melting_Curves/meltCurve_Q5SX86_GDI2.pdf")</f>
        <v>Melting_Curves/meltCurve_Q5SX86_GDI2.pdf</v>
      </c>
    </row>
    <row r="3878" spans="1:28" x14ac:dyDescent="0.25">
      <c r="A3878" t="s">
        <v>3882</v>
      </c>
      <c r="B3878">
        <v>0.99472303558308395</v>
      </c>
      <c r="C3878">
        <v>1.0872673954760801</v>
      </c>
      <c r="D3878">
        <v>0.97660600511663698</v>
      </c>
      <c r="E3878">
        <v>0.91567103546068096</v>
      </c>
      <c r="F3878">
        <v>0.589269545946561</v>
      </c>
      <c r="G3878">
        <v>0.45503629855883998</v>
      </c>
      <c r="H3878">
        <v>0.33061430040527301</v>
      </c>
      <c r="I3878">
        <v>0.387951345634241</v>
      </c>
      <c r="J3878">
        <v>0.45051117310369299</v>
      </c>
      <c r="K3878">
        <v>0.35913249063401098</v>
      </c>
      <c r="L3878">
        <v>1558.6922581844501</v>
      </c>
      <c r="M3878">
        <v>31.6947661753372</v>
      </c>
      <c r="N3878">
        <v>51.588152937773899</v>
      </c>
      <c r="O3878">
        <v>48.983691739747499</v>
      </c>
      <c r="P3878">
        <v>-9.92816627875754E-2</v>
      </c>
      <c r="Q3878">
        <v>0.38625110788955802</v>
      </c>
      <c r="R3878">
        <v>0.97845993288232103</v>
      </c>
      <c r="S3878" t="s">
        <v>10446</v>
      </c>
      <c r="T3878" t="s">
        <v>13134</v>
      </c>
      <c r="U3878" t="s">
        <v>13134</v>
      </c>
      <c r="V3878" t="s">
        <v>13134</v>
      </c>
      <c r="W3878" t="s">
        <v>16956</v>
      </c>
      <c r="X3878">
        <v>4</v>
      </c>
      <c r="Y3878" t="s">
        <v>23345</v>
      </c>
      <c r="Z3878" t="s">
        <v>29846</v>
      </c>
      <c r="AA3878">
        <v>0.63872491377371921</v>
      </c>
      <c r="AB3878" t="str">
        <f>HYPERLINK("Melting_Curves/meltCurve_Q5SXM8_DNLZ.pdf", "Melting_Curves/meltCurve_Q5SXM8_DNLZ.pdf")</f>
        <v>Melting_Curves/meltCurve_Q5SXM8_DNLZ.pdf</v>
      </c>
    </row>
    <row r="3879" spans="1:28" x14ac:dyDescent="0.25">
      <c r="A3879" t="s">
        <v>3883</v>
      </c>
      <c r="B3879">
        <v>0.99472303558308395</v>
      </c>
      <c r="C3879">
        <v>0.64406246443459403</v>
      </c>
      <c r="D3879">
        <v>0.30536884128526798</v>
      </c>
      <c r="E3879">
        <v>0.26455843362125198</v>
      </c>
      <c r="F3879">
        <v>0.166365545458426</v>
      </c>
      <c r="G3879">
        <v>9.4692377443558004E-2</v>
      </c>
      <c r="H3879">
        <v>5.1410991812823201E-2</v>
      </c>
      <c r="I3879">
        <v>4.8967390259589003E-2</v>
      </c>
      <c r="J3879">
        <v>3.4780106810656998E-2</v>
      </c>
      <c r="K3879">
        <v>3.9716870871478398E-2</v>
      </c>
      <c r="L3879">
        <v>757.88451221975902</v>
      </c>
      <c r="M3879">
        <v>18.377576198694801</v>
      </c>
      <c r="N3879">
        <v>41.580386805817703</v>
      </c>
      <c r="O3879">
        <v>40.760655121076297</v>
      </c>
      <c r="P3879">
        <v>-0.104842124741512</v>
      </c>
      <c r="Q3879">
        <v>6.9901861620375802E-2</v>
      </c>
      <c r="R3879">
        <v>0.96673981365939798</v>
      </c>
      <c r="S3879" t="s">
        <v>10447</v>
      </c>
      <c r="T3879" t="s">
        <v>13134</v>
      </c>
      <c r="U3879" t="s">
        <v>13134</v>
      </c>
      <c r="V3879" t="s">
        <v>13134</v>
      </c>
      <c r="W3879" t="s">
        <v>16957</v>
      </c>
      <c r="X3879">
        <v>1</v>
      </c>
      <c r="Y3879" t="s">
        <v>23346</v>
      </c>
      <c r="Z3879" t="s">
        <v>29847</v>
      </c>
      <c r="AA3879">
        <v>0.2200383445473908</v>
      </c>
      <c r="AB3879" t="str">
        <f>HYPERLINK("Melting_Curves/meltCurve_Q5SY16_NOL9.pdf", "Melting_Curves/meltCurve_Q5SY16_NOL9.pdf")</f>
        <v>Melting_Curves/meltCurve_Q5SY16_NOL9.pdf</v>
      </c>
    </row>
    <row r="3880" spans="1:28" x14ac:dyDescent="0.25">
      <c r="A3880" t="s">
        <v>3884</v>
      </c>
      <c r="B3880">
        <v>0.99472303558308395</v>
      </c>
      <c r="C3880">
        <v>0.89043021834974101</v>
      </c>
      <c r="D3880">
        <v>0.73317509593755303</v>
      </c>
      <c r="E3880">
        <v>0.70428298683802903</v>
      </c>
      <c r="F3880">
        <v>0.69801224685956198</v>
      </c>
      <c r="G3880">
        <v>0.34016015609544997</v>
      </c>
      <c r="H3880">
        <v>0.14443496602438999</v>
      </c>
      <c r="I3880">
        <v>9.2321799601172705E-2</v>
      </c>
      <c r="J3880">
        <v>0.105200498058817</v>
      </c>
      <c r="K3880">
        <v>0.101635969988797</v>
      </c>
      <c r="L3880">
        <v>513.79139172007001</v>
      </c>
      <c r="M3880">
        <v>10.143306040155</v>
      </c>
      <c r="N3880">
        <v>50.653246688947497</v>
      </c>
      <c r="O3880">
        <v>48.8027433694648</v>
      </c>
      <c r="P3880">
        <v>-5.1984670959088798E-2</v>
      </c>
      <c r="Q3880">
        <v>0</v>
      </c>
      <c r="R3880">
        <v>0.94720259860709999</v>
      </c>
      <c r="S3880" t="s">
        <v>10448</v>
      </c>
      <c r="T3880" t="s">
        <v>13134</v>
      </c>
      <c r="U3880" t="s">
        <v>13134</v>
      </c>
      <c r="V3880" t="s">
        <v>13134</v>
      </c>
      <c r="W3880" t="s">
        <v>16958</v>
      </c>
      <c r="X3880">
        <v>2</v>
      </c>
      <c r="Y3880" t="s">
        <v>23347</v>
      </c>
      <c r="Z3880" t="s">
        <v>29848</v>
      </c>
      <c r="AA3880">
        <v>0.48645229594525768</v>
      </c>
      <c r="AB3880" t="str">
        <f>HYPERLINK("Melting_Curves/meltCurve_Q5SZ64_SF3B4.pdf", "Melting_Curves/meltCurve_Q5SZ64_SF3B4.pdf")</f>
        <v>Melting_Curves/meltCurve_Q5SZ64_SF3B4.pdf</v>
      </c>
    </row>
    <row r="3881" spans="1:28" x14ac:dyDescent="0.25">
      <c r="A3881" t="s">
        <v>3885</v>
      </c>
      <c r="B3881">
        <v>0.99472303558308395</v>
      </c>
      <c r="C3881">
        <v>0.782173710003085</v>
      </c>
      <c r="D3881">
        <v>0.66768008396036105</v>
      </c>
      <c r="E3881">
        <v>0.55686721337286005</v>
      </c>
      <c r="F3881">
        <v>0.58385745870449801</v>
      </c>
      <c r="G3881">
        <v>0.15665290741782201</v>
      </c>
      <c r="H3881">
        <v>9.3534694378343095E-2</v>
      </c>
      <c r="I3881">
        <v>5.8134960597300403E-2</v>
      </c>
      <c r="J3881">
        <v>6.4897681329780202E-2</v>
      </c>
      <c r="K3881">
        <v>6.2255049313393998E-2</v>
      </c>
      <c r="L3881">
        <v>455.13529602574403</v>
      </c>
      <c r="M3881">
        <v>9.5725607933974803</v>
      </c>
      <c r="N3881">
        <v>47.545824554090899</v>
      </c>
      <c r="O3881">
        <v>45.609736686823503</v>
      </c>
      <c r="P3881">
        <v>-5.2500091857163297E-2</v>
      </c>
      <c r="Q3881">
        <v>0</v>
      </c>
      <c r="R3881">
        <v>0.93544961429020801</v>
      </c>
      <c r="S3881" t="s">
        <v>10449</v>
      </c>
      <c r="T3881" t="s">
        <v>13134</v>
      </c>
      <c r="U3881" t="s">
        <v>13134</v>
      </c>
      <c r="V3881" t="s">
        <v>13134</v>
      </c>
      <c r="W3881" t="s">
        <v>16959</v>
      </c>
      <c r="X3881">
        <v>1</v>
      </c>
      <c r="Y3881" t="s">
        <v>23348</v>
      </c>
      <c r="Z3881" t="s">
        <v>29849</v>
      </c>
      <c r="AA3881">
        <v>0.39548321864246772</v>
      </c>
      <c r="AB3881" t="str">
        <f>HYPERLINK("Melting_Curves/meltCurve_Q5SZE3_CERS2.pdf", "Melting_Curves/meltCurve_Q5SZE3_CERS2.pdf")</f>
        <v>Melting_Curves/meltCurve_Q5SZE3_CERS2.pdf</v>
      </c>
    </row>
    <row r="3882" spans="1:28" x14ac:dyDescent="0.25">
      <c r="A3882" t="s">
        <v>3886</v>
      </c>
      <c r="B3882">
        <v>0.99472303558308395</v>
      </c>
      <c r="C3882">
        <v>1.0169320518065801</v>
      </c>
      <c r="D3882">
        <v>0.82062088078281803</v>
      </c>
      <c r="E3882">
        <v>0.64388670407119897</v>
      </c>
      <c r="F3882">
        <v>0.23472530750646201</v>
      </c>
      <c r="G3882">
        <v>6.0518341146700898E-2</v>
      </c>
      <c r="H3882">
        <v>3.5224859785129202E-2</v>
      </c>
      <c r="I3882">
        <v>2.3338655481387499E-2</v>
      </c>
      <c r="J3882">
        <v>2.3716618543253201E-2</v>
      </c>
      <c r="K3882">
        <v>2.6491890122524401E-2</v>
      </c>
      <c r="L3882">
        <v>979.23822629809695</v>
      </c>
      <c r="M3882">
        <v>20.638305418792001</v>
      </c>
      <c r="N3882">
        <v>47.4918838215089</v>
      </c>
      <c r="O3882">
        <v>47.008880228231703</v>
      </c>
      <c r="P3882">
        <v>-0.10871480499059601</v>
      </c>
      <c r="Q3882">
        <v>9.5283491377369904E-3</v>
      </c>
      <c r="R3882">
        <v>0.993677140766828</v>
      </c>
      <c r="S3882" t="s">
        <v>10450</v>
      </c>
      <c r="T3882" t="s">
        <v>13134</v>
      </c>
      <c r="U3882" t="s">
        <v>13134</v>
      </c>
      <c r="V3882" t="s">
        <v>13134</v>
      </c>
      <c r="W3882" t="s">
        <v>16960</v>
      </c>
      <c r="X3882">
        <v>6</v>
      </c>
      <c r="Y3882" t="s">
        <v>23349</v>
      </c>
      <c r="Z3882" t="s">
        <v>29850</v>
      </c>
      <c r="AA3882">
        <v>0.36668462128841628</v>
      </c>
      <c r="AB3882" t="str">
        <f>HYPERLINK("Melting_Curves/meltCurve_Q5SZR4_TDRKH.pdf", "Melting_Curves/meltCurve_Q5SZR4_TDRKH.pdf")</f>
        <v>Melting_Curves/meltCurve_Q5SZR4_TDRKH.pdf</v>
      </c>
    </row>
    <row r="3883" spans="1:28" x14ac:dyDescent="0.25">
      <c r="A3883" t="s">
        <v>3887</v>
      </c>
      <c r="B3883">
        <v>0.99472303558308395</v>
      </c>
      <c r="C3883">
        <v>0.92070686953696401</v>
      </c>
      <c r="D3883">
        <v>0.71366539698911202</v>
      </c>
      <c r="E3883">
        <v>0.57163580154487403</v>
      </c>
      <c r="F3883">
        <v>0.14638318959739399</v>
      </c>
      <c r="G3883">
        <v>0.124670361226591</v>
      </c>
      <c r="H3883">
        <v>3.8881318785547403E-2</v>
      </c>
      <c r="I3883">
        <v>4.8056008694611803E-2</v>
      </c>
      <c r="J3883">
        <v>4.5917121513878098E-2</v>
      </c>
      <c r="K3883">
        <v>0</v>
      </c>
      <c r="L3883">
        <v>728.76243969290203</v>
      </c>
      <c r="M3883">
        <v>15.748926514270201</v>
      </c>
      <c r="N3883">
        <v>46.322727360707802</v>
      </c>
      <c r="O3883">
        <v>45.546981354627803</v>
      </c>
      <c r="P3883">
        <v>-8.5737191447551001E-2</v>
      </c>
      <c r="Q3883">
        <v>8.2513804580619E-3</v>
      </c>
      <c r="R3883">
        <v>0.984813687389824</v>
      </c>
      <c r="S3883" t="s">
        <v>10451</v>
      </c>
      <c r="T3883" t="s">
        <v>13134</v>
      </c>
      <c r="U3883" t="s">
        <v>13134</v>
      </c>
      <c r="V3883" t="s">
        <v>13134</v>
      </c>
      <c r="W3883" t="s">
        <v>16961</v>
      </c>
      <c r="X3883">
        <v>1</v>
      </c>
      <c r="Y3883" t="s">
        <v>23350</v>
      </c>
      <c r="Z3883" t="s">
        <v>29851</v>
      </c>
      <c r="AA3883">
        <v>0.33554544161063471</v>
      </c>
      <c r="AB3883" t="str">
        <f>HYPERLINK("Melting_Curves/meltCurve_Q5T0D9_2_TPRG1L.pdf", "Melting_Curves/meltCurve_Q5T0D9_2_TPRG1L.pdf")</f>
        <v>Melting_Curves/meltCurve_Q5T0D9_2_TPRG1L.pdf</v>
      </c>
    </row>
    <row r="3884" spans="1:28" x14ac:dyDescent="0.25">
      <c r="A3884" t="s">
        <v>3888</v>
      </c>
      <c r="B3884">
        <v>0.99472303558308395</v>
      </c>
      <c r="C3884">
        <v>0.98076462375882101</v>
      </c>
      <c r="D3884">
        <v>1.0666911103849599</v>
      </c>
      <c r="E3884">
        <v>0.92919324869337805</v>
      </c>
      <c r="F3884">
        <v>0.57435429240522795</v>
      </c>
      <c r="G3884">
        <v>0.69741773049952305</v>
      </c>
      <c r="H3884">
        <v>0.60238706917128304</v>
      </c>
      <c r="I3884">
        <v>0.61821736337953903</v>
      </c>
      <c r="J3884">
        <v>0.91548070492539402</v>
      </c>
      <c r="K3884">
        <v>0.63851886492740495</v>
      </c>
      <c r="L3884">
        <v>11709.6721524768</v>
      </c>
      <c r="M3884">
        <v>250</v>
      </c>
      <c r="O3884">
        <v>46.835691351394097</v>
      </c>
      <c r="P3884">
        <v>-0.43450312308023897</v>
      </c>
      <c r="Q3884">
        <v>0.67439593450384505</v>
      </c>
      <c r="R3884">
        <v>0.74908428154302498</v>
      </c>
      <c r="S3884" t="s">
        <v>10452</v>
      </c>
      <c r="T3884" t="s">
        <v>13134</v>
      </c>
      <c r="U3884" t="s">
        <v>13134</v>
      </c>
      <c r="V3884" t="s">
        <v>13134</v>
      </c>
      <c r="W3884" t="s">
        <v>16962</v>
      </c>
      <c r="X3884">
        <v>2</v>
      </c>
      <c r="Y3884" t="s">
        <v>23351</v>
      </c>
      <c r="Z3884" t="s">
        <v>29852</v>
      </c>
      <c r="AA3884">
        <v>0.78120659989005214</v>
      </c>
      <c r="AB3884" t="str">
        <f>HYPERLINK("Melting_Curves/meltCurve_Q5T0Z6_PKIB.pdf", "Melting_Curves/meltCurve_Q5T0Z6_PKIB.pdf")</f>
        <v>Melting_Curves/meltCurve_Q5T0Z6_PKIB.pdf</v>
      </c>
    </row>
    <row r="3885" spans="1:28" x14ac:dyDescent="0.25">
      <c r="A3885" t="s">
        <v>3889</v>
      </c>
      <c r="B3885">
        <v>0.99472303558308395</v>
      </c>
      <c r="C3885">
        <v>0.83448017659843499</v>
      </c>
      <c r="D3885">
        <v>0.65852491860989404</v>
      </c>
      <c r="E3885">
        <v>0.494531594803787</v>
      </c>
      <c r="F3885">
        <v>0.526990189909324</v>
      </c>
      <c r="G3885">
        <v>0.23015704456693301</v>
      </c>
      <c r="H3885">
        <v>0.17456263870761199</v>
      </c>
      <c r="I3885">
        <v>7.1808094734049296E-2</v>
      </c>
      <c r="J3885">
        <v>4.3146813138835199E-2</v>
      </c>
      <c r="K3885">
        <v>4.9495404589033697E-2</v>
      </c>
      <c r="L3885">
        <v>433.58919137110001</v>
      </c>
      <c r="M3885">
        <v>9.1347469413665596</v>
      </c>
      <c r="N3885">
        <v>47.465934114260698</v>
      </c>
      <c r="O3885">
        <v>45.357120500715503</v>
      </c>
      <c r="P3885">
        <v>-5.0383588172529997E-2</v>
      </c>
      <c r="Q3885">
        <v>0</v>
      </c>
      <c r="R3885">
        <v>0.96508753684846305</v>
      </c>
      <c r="S3885" t="s">
        <v>10453</v>
      </c>
      <c r="T3885" t="s">
        <v>13134</v>
      </c>
      <c r="U3885" t="s">
        <v>13134</v>
      </c>
      <c r="V3885" t="s">
        <v>13134</v>
      </c>
      <c r="W3885" t="s">
        <v>16963</v>
      </c>
      <c r="X3885">
        <v>2</v>
      </c>
      <c r="Y3885" t="s">
        <v>23352</v>
      </c>
      <c r="Z3885" t="s">
        <v>29853</v>
      </c>
      <c r="AA3885">
        <v>0.39579529056262519</v>
      </c>
      <c r="AB3885" t="str">
        <f>HYPERLINK("Melting_Curves/meltCurve_Q5T114_C9orf156.pdf", "Melting_Curves/meltCurve_Q5T114_C9orf156.pdf")</f>
        <v>Melting_Curves/meltCurve_Q5T114_C9orf156.pdf</v>
      </c>
    </row>
    <row r="3886" spans="1:28" x14ac:dyDescent="0.25">
      <c r="A3886" t="s">
        <v>3890</v>
      </c>
      <c r="B3886">
        <v>0.99472303558308395</v>
      </c>
      <c r="C3886">
        <v>1.0013887325901201</v>
      </c>
      <c r="D3886">
        <v>0.943759616490914</v>
      </c>
      <c r="E3886">
        <v>0.83385732098189702</v>
      </c>
      <c r="F3886">
        <v>0.66850498781406498</v>
      </c>
      <c r="G3886">
        <v>0.43686099392636901</v>
      </c>
      <c r="H3886">
        <v>0.241034392458126</v>
      </c>
      <c r="I3886">
        <v>0.15580087438640899</v>
      </c>
      <c r="J3886">
        <v>0.175704175672102</v>
      </c>
      <c r="K3886">
        <v>0.17526984867850801</v>
      </c>
      <c r="L3886">
        <v>811.72192091526097</v>
      </c>
      <c r="M3886">
        <v>15.773129882311901</v>
      </c>
      <c r="N3886">
        <v>52.415765617452998</v>
      </c>
      <c r="O3886">
        <v>50.656435225966703</v>
      </c>
      <c r="P3886">
        <v>-6.8141319067865205E-2</v>
      </c>
      <c r="Q3886">
        <v>0.124711435527943</v>
      </c>
      <c r="R3886">
        <v>0.99583501754995296</v>
      </c>
      <c r="S3886" t="s">
        <v>10454</v>
      </c>
      <c r="T3886" t="s">
        <v>13134</v>
      </c>
      <c r="U3886" t="s">
        <v>13134</v>
      </c>
      <c r="V3886" t="s">
        <v>13134</v>
      </c>
      <c r="W3886" t="s">
        <v>16964</v>
      </c>
      <c r="X3886">
        <v>6</v>
      </c>
      <c r="Y3886" t="s">
        <v>23353</v>
      </c>
      <c r="Z3886" t="s">
        <v>29854</v>
      </c>
      <c r="AA3886">
        <v>0.56284263232716092</v>
      </c>
      <c r="AB3886" t="str">
        <f>HYPERLINK("Melting_Curves/meltCurve_Q5T123_SH3BGRL3.pdf", "Melting_Curves/meltCurve_Q5T123_SH3BGRL3.pdf")</f>
        <v>Melting_Curves/meltCurve_Q5T123_SH3BGRL3.pdf</v>
      </c>
    </row>
    <row r="3887" spans="1:28" x14ac:dyDescent="0.25">
      <c r="A3887" t="s">
        <v>3891</v>
      </c>
      <c r="B3887">
        <v>0.99472303558308395</v>
      </c>
      <c r="C3887">
        <v>0.95760918078216395</v>
      </c>
      <c r="D3887">
        <v>0.99002378286570603</v>
      </c>
      <c r="E3887">
        <v>0.81095252133751905</v>
      </c>
      <c r="F3887">
        <v>0.47920597711910801</v>
      </c>
      <c r="G3887">
        <v>0.113384675887997</v>
      </c>
      <c r="H3887">
        <v>5.8215042528537701E-2</v>
      </c>
      <c r="I3887">
        <v>4.1673817055245498E-2</v>
      </c>
      <c r="J3887">
        <v>4.2130135250301702E-2</v>
      </c>
      <c r="K3887">
        <v>3.8118621932229299E-2</v>
      </c>
      <c r="L3887">
        <v>1231.10964159228</v>
      </c>
      <c r="M3887">
        <v>24.804773163621601</v>
      </c>
      <c r="N3887">
        <v>49.7486864311131</v>
      </c>
      <c r="O3887">
        <v>49.312748289627201</v>
      </c>
      <c r="P3887">
        <v>-0.1221992329621</v>
      </c>
      <c r="Q3887">
        <v>2.8268132829749101E-2</v>
      </c>
      <c r="R3887">
        <v>0.99696104165694299</v>
      </c>
      <c r="S3887" t="s">
        <v>10455</v>
      </c>
      <c r="T3887" t="s">
        <v>13134</v>
      </c>
      <c r="U3887" t="s">
        <v>13134</v>
      </c>
      <c r="V3887" t="s">
        <v>13134</v>
      </c>
      <c r="W3887" t="s">
        <v>16965</v>
      </c>
      <c r="X3887">
        <v>11</v>
      </c>
      <c r="Y3887" t="s">
        <v>23354</v>
      </c>
      <c r="Z3887" t="s">
        <v>29855</v>
      </c>
      <c r="AA3887">
        <v>0.44602248703003028</v>
      </c>
      <c r="AB3887" t="str">
        <f>HYPERLINK("Melting_Curves/meltCurve_Q5T160_RARS2.pdf", "Melting_Curves/meltCurve_Q5T160_RARS2.pdf")</f>
        <v>Melting_Curves/meltCurve_Q5T160_RARS2.pdf</v>
      </c>
    </row>
    <row r="3888" spans="1:28" x14ac:dyDescent="0.25">
      <c r="A3888" t="s">
        <v>3892</v>
      </c>
      <c r="B3888">
        <v>0.99472303558308395</v>
      </c>
      <c r="C3888">
        <v>1.1898230192233299</v>
      </c>
      <c r="D3888">
        <v>1.0296644667331301</v>
      </c>
      <c r="E3888">
        <v>0.84784952130187097</v>
      </c>
      <c r="F3888">
        <v>0.52961019750951199</v>
      </c>
      <c r="G3888">
        <v>0.40545898752086101</v>
      </c>
      <c r="H3888">
        <v>0.21563197549535201</v>
      </c>
      <c r="I3888">
        <v>0.125170900439011</v>
      </c>
      <c r="J3888">
        <v>0.21097151842978301</v>
      </c>
      <c r="K3888">
        <v>0.20242234088843999</v>
      </c>
      <c r="L3888">
        <v>1050.80031343372</v>
      </c>
      <c r="M3888">
        <v>21.011809400501001</v>
      </c>
      <c r="N3888">
        <v>51.084302048190899</v>
      </c>
      <c r="O3888">
        <v>49.563628569650596</v>
      </c>
      <c r="P3888">
        <v>-8.7058925482763796E-2</v>
      </c>
      <c r="Q3888">
        <v>0.17858770722745701</v>
      </c>
      <c r="R3888">
        <v>0.96290692206219997</v>
      </c>
      <c r="S3888" t="s">
        <v>10456</v>
      </c>
      <c r="T3888" t="s">
        <v>13134</v>
      </c>
      <c r="U3888" t="s">
        <v>13134</v>
      </c>
      <c r="V3888" t="s">
        <v>13134</v>
      </c>
      <c r="W3888" t="s">
        <v>16966</v>
      </c>
      <c r="X3888">
        <v>2</v>
      </c>
      <c r="Y3888" t="s">
        <v>23355</v>
      </c>
      <c r="Z3888" t="s">
        <v>29856</v>
      </c>
      <c r="AA3888">
        <v>0.54471842355093669</v>
      </c>
      <c r="AB3888" t="str">
        <f>HYPERLINK("Melting_Curves/meltCurve_Q5T171_PYGO2.pdf", "Melting_Curves/meltCurve_Q5T171_PYGO2.pdf")</f>
        <v>Melting_Curves/meltCurve_Q5T171_PYGO2.pdf</v>
      </c>
    </row>
    <row r="3889" spans="1:28" x14ac:dyDescent="0.25">
      <c r="A3889" t="s">
        <v>3893</v>
      </c>
      <c r="B3889">
        <v>0.99472303558308395</v>
      </c>
      <c r="C3889">
        <v>0.86495982255019799</v>
      </c>
      <c r="D3889">
        <v>0.87891732158884595</v>
      </c>
      <c r="E3889">
        <v>0.83338270827673999</v>
      </c>
      <c r="F3889">
        <v>0.51995614537130397</v>
      </c>
      <c r="G3889">
        <v>0.34455733131343602</v>
      </c>
      <c r="H3889">
        <v>0.29775694471692599</v>
      </c>
      <c r="I3889">
        <v>0.324759736910191</v>
      </c>
      <c r="J3889">
        <v>0.45185822819108001</v>
      </c>
      <c r="K3889">
        <v>0.40093547542567998</v>
      </c>
      <c r="L3889">
        <v>1249.4028204641299</v>
      </c>
      <c r="M3889">
        <v>26.015690800922702</v>
      </c>
      <c r="N3889">
        <v>50.448371414093103</v>
      </c>
      <c r="O3889">
        <v>47.743907562737597</v>
      </c>
      <c r="P3889">
        <v>-8.7633591643094505E-2</v>
      </c>
      <c r="Q3889">
        <v>0.35670790372407502</v>
      </c>
      <c r="R3889">
        <v>0.930059485828716</v>
      </c>
      <c r="S3889" t="s">
        <v>10457</v>
      </c>
      <c r="T3889" t="s">
        <v>13134</v>
      </c>
      <c r="U3889" t="s">
        <v>13134</v>
      </c>
      <c r="V3889" t="s">
        <v>13134</v>
      </c>
      <c r="W3889" t="s">
        <v>16967</v>
      </c>
      <c r="X3889">
        <v>3</v>
      </c>
      <c r="Y3889" t="s">
        <v>23356</v>
      </c>
      <c r="Z3889" t="s">
        <v>29857</v>
      </c>
      <c r="AA3889">
        <v>0.59818480608135061</v>
      </c>
      <c r="AB3889" t="str">
        <f>HYPERLINK("Melting_Curves/meltCurve_Q5T179_CKS1B.pdf", "Melting_Curves/meltCurve_Q5T179_CKS1B.pdf")</f>
        <v>Melting_Curves/meltCurve_Q5T179_CKS1B.pdf</v>
      </c>
    </row>
    <row r="3890" spans="1:28" x14ac:dyDescent="0.25">
      <c r="A3890" t="s">
        <v>3894</v>
      </c>
      <c r="B3890">
        <v>0.99472303558308395</v>
      </c>
      <c r="C3890">
        <v>0.99826415799437296</v>
      </c>
      <c r="D3890">
        <v>0.996375027380628</v>
      </c>
      <c r="E3890">
        <v>0.92560377016743201</v>
      </c>
      <c r="F3890">
        <v>0.68326626968322401</v>
      </c>
      <c r="G3890">
        <v>0.53721446497469305</v>
      </c>
      <c r="H3890">
        <v>0.27143189983886201</v>
      </c>
      <c r="I3890">
        <v>9.9053196574882305E-2</v>
      </c>
      <c r="J3890">
        <v>9.46968868259426E-2</v>
      </c>
      <c r="K3890">
        <v>8.5176850176446398E-2</v>
      </c>
      <c r="L3890">
        <v>822.53182382068599</v>
      </c>
      <c r="M3890">
        <v>15.384342715787101</v>
      </c>
      <c r="N3890">
        <v>53.600816462811402</v>
      </c>
      <c r="O3890">
        <v>52.586577281928299</v>
      </c>
      <c r="P3890">
        <v>-7.1751851428557306E-2</v>
      </c>
      <c r="Q3890">
        <v>1.9044566296918398E-2</v>
      </c>
      <c r="R3890">
        <v>0.99381948728790803</v>
      </c>
      <c r="S3890" t="s">
        <v>10458</v>
      </c>
      <c r="T3890" t="s">
        <v>13134</v>
      </c>
      <c r="U3890" t="s">
        <v>13134</v>
      </c>
      <c r="V3890" t="s">
        <v>13134</v>
      </c>
      <c r="W3890" t="s">
        <v>16968</v>
      </c>
      <c r="X3890">
        <v>9</v>
      </c>
      <c r="Y3890" t="s">
        <v>23357</v>
      </c>
      <c r="Z3890" t="s">
        <v>29858</v>
      </c>
      <c r="AA3890">
        <v>0.57387513597327267</v>
      </c>
      <c r="AB3890" t="str">
        <f>HYPERLINK("Melting_Curves/meltCurve_Q5T1C6_THEM4.pdf", "Melting_Curves/meltCurve_Q5T1C6_THEM4.pdf")</f>
        <v>Melting_Curves/meltCurve_Q5T1C6_THEM4.pdf</v>
      </c>
    </row>
    <row r="3891" spans="1:28" x14ac:dyDescent="0.25">
      <c r="A3891" t="s">
        <v>3895</v>
      </c>
      <c r="B3891">
        <v>0.99472303558308395</v>
      </c>
      <c r="C3891">
        <v>1.00682188465155</v>
      </c>
      <c r="D3891">
        <v>0.86743088994455797</v>
      </c>
      <c r="E3891">
        <v>0.60581409056406399</v>
      </c>
      <c r="F3891">
        <v>0.14517733183144699</v>
      </c>
      <c r="G3891">
        <v>6.9306372833823598E-2</v>
      </c>
      <c r="H3891">
        <v>3.3437910625555102E-2</v>
      </c>
      <c r="I3891">
        <v>2.9928054157429499E-2</v>
      </c>
      <c r="J3891">
        <v>3.7235003455212599E-2</v>
      </c>
      <c r="K3891">
        <v>2.3986464098660201E-2</v>
      </c>
      <c r="L3891">
        <v>1228.9308689663801</v>
      </c>
      <c r="M3891">
        <v>26.130982436442199</v>
      </c>
      <c r="N3891">
        <v>47.1229803261269</v>
      </c>
      <c r="O3891">
        <v>46.756806003657502</v>
      </c>
      <c r="P3891">
        <v>-0.13619544698927899</v>
      </c>
      <c r="Q3891">
        <v>2.5219589583605099E-2</v>
      </c>
      <c r="R3891">
        <v>0.99640927946535596</v>
      </c>
      <c r="S3891" t="s">
        <v>10459</v>
      </c>
      <c r="T3891" t="s">
        <v>13134</v>
      </c>
      <c r="U3891" t="s">
        <v>13134</v>
      </c>
      <c r="V3891" t="s">
        <v>13134</v>
      </c>
      <c r="W3891" t="s">
        <v>16969</v>
      </c>
      <c r="X3891">
        <v>15</v>
      </c>
      <c r="Y3891" t="s">
        <v>23358</v>
      </c>
      <c r="Z3891" t="s">
        <v>29859</v>
      </c>
      <c r="AA3891">
        <v>0.35860161819308589</v>
      </c>
      <c r="AB3891" t="str">
        <f>HYPERLINK("Melting_Curves/meltCurve_Q5T1M5_FKBP15.pdf", "Melting_Curves/meltCurve_Q5T1M5_FKBP15.pdf")</f>
        <v>Melting_Curves/meltCurve_Q5T1M5_FKBP15.pdf</v>
      </c>
    </row>
    <row r="3892" spans="1:28" x14ac:dyDescent="0.25">
      <c r="A3892" t="s">
        <v>3896</v>
      </c>
      <c r="B3892">
        <v>0.99472303558308395</v>
      </c>
      <c r="C3892">
        <v>0.92151854018776302</v>
      </c>
      <c r="D3892">
        <v>0.83614766524369499</v>
      </c>
      <c r="E3892">
        <v>0.84746863278540896</v>
      </c>
      <c r="F3892">
        <v>0.56863646908125498</v>
      </c>
      <c r="G3892">
        <v>0.15944063291395899</v>
      </c>
      <c r="H3892">
        <v>8.8911438842726398E-2</v>
      </c>
      <c r="I3892">
        <v>6.9332940124705103E-2</v>
      </c>
      <c r="J3892">
        <v>6.1153611115671802E-2</v>
      </c>
      <c r="K3892">
        <v>5.5452492507620597E-2</v>
      </c>
      <c r="L3892">
        <v>1067.0912619180101</v>
      </c>
      <c r="M3892">
        <v>21.270780401120302</v>
      </c>
      <c r="N3892">
        <v>50.352151321618798</v>
      </c>
      <c r="O3892">
        <v>49.729909310881901</v>
      </c>
      <c r="P3892">
        <v>-0.102911687838649</v>
      </c>
      <c r="Q3892">
        <v>3.7617195033566003E-2</v>
      </c>
      <c r="R3892">
        <v>0.97893335985016905</v>
      </c>
      <c r="S3892" t="s">
        <v>10460</v>
      </c>
      <c r="T3892" t="s">
        <v>13134</v>
      </c>
      <c r="U3892" t="s">
        <v>13134</v>
      </c>
      <c r="V3892" t="s">
        <v>13134</v>
      </c>
      <c r="W3892" t="s">
        <v>16970</v>
      </c>
      <c r="X3892">
        <v>7</v>
      </c>
      <c r="Y3892" t="s">
        <v>23359</v>
      </c>
      <c r="Z3892" t="s">
        <v>29860</v>
      </c>
      <c r="AA3892">
        <v>0.47136979634567328</v>
      </c>
      <c r="AB3892" t="str">
        <f>HYPERLINK("Melting_Curves/meltCurve_Q5T1V6_DDX59.pdf", "Melting_Curves/meltCurve_Q5T1V6_DDX59.pdf")</f>
        <v>Melting_Curves/meltCurve_Q5T1V6_DDX59.pdf</v>
      </c>
    </row>
    <row r="3893" spans="1:28" x14ac:dyDescent="0.25">
      <c r="A3893" t="s">
        <v>3897</v>
      </c>
      <c r="B3893">
        <v>0.99472303558308395</v>
      </c>
      <c r="C3893">
        <v>1.0367316725662401</v>
      </c>
      <c r="D3893">
        <v>1.1966048993162699</v>
      </c>
      <c r="E3893">
        <v>0.88742371991041002</v>
      </c>
      <c r="F3893">
        <v>0.79202765780748297</v>
      </c>
      <c r="G3893">
        <v>0.53701603119095698</v>
      </c>
      <c r="H3893">
        <v>0.38658382320011497</v>
      </c>
      <c r="I3893">
        <v>0.25469042933344099</v>
      </c>
      <c r="J3893">
        <v>0.27889240854012298</v>
      </c>
      <c r="K3893">
        <v>0.16244121231372499</v>
      </c>
      <c r="L3893">
        <v>946.285847269344</v>
      </c>
      <c r="M3893">
        <v>17.801194863310698</v>
      </c>
      <c r="N3893">
        <v>54.640551989568898</v>
      </c>
      <c r="O3893">
        <v>52.501322197757098</v>
      </c>
      <c r="P3893">
        <v>-6.8538133385646599E-2</v>
      </c>
      <c r="Q3893">
        <v>0.191479632170756</v>
      </c>
      <c r="R3893">
        <v>0.95740074101779604</v>
      </c>
      <c r="S3893" t="s">
        <v>10461</v>
      </c>
      <c r="T3893" t="s">
        <v>13134</v>
      </c>
      <c r="U3893" t="s">
        <v>13134</v>
      </c>
      <c r="V3893" t="s">
        <v>13134</v>
      </c>
      <c r="W3893" t="s">
        <v>16971</v>
      </c>
      <c r="X3893">
        <v>2</v>
      </c>
      <c r="Y3893" t="s">
        <v>23360</v>
      </c>
      <c r="Z3893" t="s">
        <v>29861</v>
      </c>
      <c r="AA3893">
        <v>0.63879142590781901</v>
      </c>
      <c r="AB3893" t="str">
        <f>HYPERLINK("Melting_Curves/meltCurve_Q5T1Z0_LHPP.pdf", "Melting_Curves/meltCurve_Q5T1Z0_LHPP.pdf")</f>
        <v>Melting_Curves/meltCurve_Q5T1Z0_LHPP.pdf</v>
      </c>
    </row>
    <row r="3894" spans="1:28" x14ac:dyDescent="0.25">
      <c r="A3894" t="s">
        <v>3898</v>
      </c>
      <c r="B3894">
        <v>0.99472303558308395</v>
      </c>
      <c r="C3894">
        <v>0.91144644933682295</v>
      </c>
      <c r="D3894">
        <v>1.0193485394219199</v>
      </c>
      <c r="E3894">
        <v>0.71557846391583901</v>
      </c>
      <c r="F3894">
        <v>0.32553570241424301</v>
      </c>
      <c r="G3894">
        <v>7.59335217404008E-2</v>
      </c>
      <c r="H3894">
        <v>3.6020856323945603E-2</v>
      </c>
      <c r="I3894">
        <v>0</v>
      </c>
      <c r="J3894">
        <v>0</v>
      </c>
      <c r="K3894">
        <v>0</v>
      </c>
      <c r="L3894">
        <v>1180.43007929347</v>
      </c>
      <c r="M3894">
        <v>24.301641579823499</v>
      </c>
      <c r="N3894">
        <v>48.574096768700102</v>
      </c>
      <c r="O3894">
        <v>48.248758053330803</v>
      </c>
      <c r="P3894">
        <v>-0.12592038184557</v>
      </c>
      <c r="Q3894">
        <v>0</v>
      </c>
      <c r="R3894">
        <v>0.99363616074036099</v>
      </c>
      <c r="S3894" t="s">
        <v>10462</v>
      </c>
      <c r="T3894" t="s">
        <v>13134</v>
      </c>
      <c r="U3894" t="s">
        <v>13134</v>
      </c>
      <c r="V3894" t="s">
        <v>13134</v>
      </c>
      <c r="W3894" t="s">
        <v>16590</v>
      </c>
      <c r="X3894">
        <v>20</v>
      </c>
      <c r="Y3894" t="s">
        <v>22995</v>
      </c>
      <c r="Z3894" t="s">
        <v>29862</v>
      </c>
      <c r="AA3894">
        <v>0.39488362942484978</v>
      </c>
      <c r="AB3894" t="str">
        <f>HYPERLINK("Melting_Curves/meltCurve_Q5T1Z4_PUM1.pdf", "Melting_Curves/meltCurve_Q5T1Z4_PUM1.pdf")</f>
        <v>Melting_Curves/meltCurve_Q5T1Z4_PUM1.pdf</v>
      </c>
    </row>
    <row r="3895" spans="1:28" x14ac:dyDescent="0.25">
      <c r="A3895" t="s">
        <v>3899</v>
      </c>
      <c r="B3895">
        <v>0.99472303558308395</v>
      </c>
      <c r="C3895">
        <v>0.91732541821760305</v>
      </c>
      <c r="D3895">
        <v>0.79113415668783604</v>
      </c>
      <c r="E3895">
        <v>0.55885502100625695</v>
      </c>
      <c r="F3895">
        <v>0.18793230030169999</v>
      </c>
      <c r="G3895">
        <v>0.11468930365161201</v>
      </c>
      <c r="H3895">
        <v>8.0680375032422702E-2</v>
      </c>
      <c r="I3895">
        <v>6.6673059924984096E-2</v>
      </c>
      <c r="J3895">
        <v>8.5251442254870594E-2</v>
      </c>
      <c r="K3895">
        <v>7.6103330747540499E-2</v>
      </c>
      <c r="L3895">
        <v>861.71259158177099</v>
      </c>
      <c r="M3895">
        <v>18.6125576815435</v>
      </c>
      <c r="N3895">
        <v>46.614655903489002</v>
      </c>
      <c r="O3895">
        <v>45.772867976364601</v>
      </c>
      <c r="P3895">
        <v>-9.56132511732916E-2</v>
      </c>
      <c r="Q3895">
        <v>5.9494369563474502E-2</v>
      </c>
      <c r="R3895">
        <v>0.99348576880492001</v>
      </c>
      <c r="S3895" t="s">
        <v>10463</v>
      </c>
      <c r="T3895" t="s">
        <v>13134</v>
      </c>
      <c r="U3895" t="s">
        <v>13134</v>
      </c>
      <c r="V3895" t="s">
        <v>13134</v>
      </c>
      <c r="W3895" t="s">
        <v>16972</v>
      </c>
      <c r="X3895">
        <v>17</v>
      </c>
      <c r="Y3895" t="s">
        <v>23361</v>
      </c>
      <c r="Z3895" t="s">
        <v>29863</v>
      </c>
      <c r="AA3895">
        <v>0.36516101079949342</v>
      </c>
      <c r="AB3895" t="str">
        <f>HYPERLINK("Melting_Curves/meltCurve_Q5T200_ZC3H13.pdf", "Melting_Curves/meltCurve_Q5T200_ZC3H13.pdf")</f>
        <v>Melting_Curves/meltCurve_Q5T200_ZC3H13.pdf</v>
      </c>
    </row>
    <row r="3896" spans="1:28" x14ac:dyDescent="0.25">
      <c r="A3896" t="s">
        <v>3900</v>
      </c>
      <c r="B3896">
        <v>0.99472303558308395</v>
      </c>
      <c r="C3896">
        <v>1.04068495084195</v>
      </c>
      <c r="D3896">
        <v>0.941675740922431</v>
      </c>
      <c r="E3896">
        <v>0.71663062744661199</v>
      </c>
      <c r="F3896">
        <v>0.38664002755677901</v>
      </c>
      <c r="G3896">
        <v>0.16596139036017901</v>
      </c>
      <c r="H3896">
        <v>8.3383453380916295E-2</v>
      </c>
      <c r="I3896">
        <v>7.0816836932752703E-2</v>
      </c>
      <c r="J3896">
        <v>0.102721179745318</v>
      </c>
      <c r="K3896">
        <v>2.7090452250317799E-2</v>
      </c>
      <c r="L3896">
        <v>1013.73987715354</v>
      </c>
      <c r="M3896">
        <v>20.856009650338699</v>
      </c>
      <c r="N3896">
        <v>48.888295909079098</v>
      </c>
      <c r="O3896">
        <v>48.1663557219251</v>
      </c>
      <c r="P3896">
        <v>-0.102124218847937</v>
      </c>
      <c r="Q3896">
        <v>5.6614227269311299E-2</v>
      </c>
      <c r="R3896">
        <v>0.99658563452816795</v>
      </c>
      <c r="S3896" t="s">
        <v>10464</v>
      </c>
      <c r="T3896" t="s">
        <v>13134</v>
      </c>
      <c r="U3896" t="s">
        <v>13134</v>
      </c>
      <c r="V3896" t="s">
        <v>13134</v>
      </c>
      <c r="W3896" t="s">
        <v>16973</v>
      </c>
      <c r="X3896">
        <v>2</v>
      </c>
      <c r="Y3896" t="s">
        <v>23362</v>
      </c>
      <c r="Z3896" t="s">
        <v>29864</v>
      </c>
      <c r="AA3896">
        <v>0.43308329724600347</v>
      </c>
      <c r="AB3896" t="str">
        <f>HYPERLINK("Melting_Curves/meltCurve_Q5T280_C9orf114.pdf", "Melting_Curves/meltCurve_Q5T280_C9orf114.pdf")</f>
        <v>Melting_Curves/meltCurve_Q5T280_C9orf114.pdf</v>
      </c>
    </row>
    <row r="3897" spans="1:28" x14ac:dyDescent="0.25">
      <c r="A3897" t="s">
        <v>3901</v>
      </c>
      <c r="B3897">
        <v>0.99472303558308395</v>
      </c>
      <c r="C3897">
        <v>0.94369108530160595</v>
      </c>
      <c r="D3897">
        <v>0.82133925742602598</v>
      </c>
      <c r="E3897">
        <v>0.405460207343256</v>
      </c>
      <c r="F3897">
        <v>0.25077707252807302</v>
      </c>
      <c r="G3897">
        <v>0.12035863257501001</v>
      </c>
      <c r="H3897">
        <v>7.4199276707106701E-2</v>
      </c>
      <c r="I3897">
        <v>7.2174373728687805E-2</v>
      </c>
      <c r="J3897">
        <v>5.6618320002408302E-2</v>
      </c>
      <c r="K3897">
        <v>5.3026330549836402E-2</v>
      </c>
      <c r="L3897">
        <v>882.48333550335803</v>
      </c>
      <c r="M3897">
        <v>19.279728428508701</v>
      </c>
      <c r="N3897">
        <v>46.090202661058299</v>
      </c>
      <c r="O3897">
        <v>45.288701132915598</v>
      </c>
      <c r="P3897">
        <v>-9.9810480328074699E-2</v>
      </c>
      <c r="Q3897">
        <v>6.2203375110992103E-2</v>
      </c>
      <c r="R3897">
        <v>0.99607754628951195</v>
      </c>
      <c r="S3897" t="s">
        <v>10465</v>
      </c>
      <c r="T3897" t="s">
        <v>13134</v>
      </c>
      <c r="U3897" t="s">
        <v>13134</v>
      </c>
      <c r="V3897" t="s">
        <v>13134</v>
      </c>
      <c r="W3897" t="s">
        <v>16974</v>
      </c>
      <c r="X3897">
        <v>3</v>
      </c>
      <c r="Y3897" t="s">
        <v>23363</v>
      </c>
      <c r="Z3897" t="s">
        <v>29865</v>
      </c>
      <c r="AA3897">
        <v>0.34965250255623731</v>
      </c>
      <c r="AB3897" t="str">
        <f>HYPERLINK("Melting_Curves/meltCurve_Q5T2D3_OTUD3.pdf", "Melting_Curves/meltCurve_Q5T2D3_OTUD3.pdf")</f>
        <v>Melting_Curves/meltCurve_Q5T2D3_OTUD3.pdf</v>
      </c>
    </row>
    <row r="3898" spans="1:28" x14ac:dyDescent="0.25">
      <c r="A3898" t="s">
        <v>3902</v>
      </c>
      <c r="B3898">
        <v>0.99472303558308395</v>
      </c>
      <c r="C3898">
        <v>0.91850219051923099</v>
      </c>
      <c r="D3898">
        <v>0.81406219717563699</v>
      </c>
      <c r="E3898">
        <v>0.65047366221029501</v>
      </c>
      <c r="F3898">
        <v>0.60358131599093701</v>
      </c>
      <c r="G3898">
        <v>0.214399498256202</v>
      </c>
      <c r="H3898">
        <v>7.0247953397488003E-2</v>
      </c>
      <c r="I3898">
        <v>6.03298158578911E-2</v>
      </c>
      <c r="J3898">
        <v>5.9880670248926002E-2</v>
      </c>
      <c r="K3898">
        <v>4.8094745418209399E-2</v>
      </c>
      <c r="L3898">
        <v>627.31272801746798</v>
      </c>
      <c r="M3898">
        <v>12.675015734258199</v>
      </c>
      <c r="N3898">
        <v>49.492091952680099</v>
      </c>
      <c r="O3898">
        <v>48.308619493593099</v>
      </c>
      <c r="P3898">
        <v>-6.5606744214621301E-2</v>
      </c>
      <c r="Q3898">
        <v>0</v>
      </c>
      <c r="R3898">
        <v>0.97275867865077603</v>
      </c>
      <c r="S3898" t="s">
        <v>10466</v>
      </c>
      <c r="T3898" t="s">
        <v>13134</v>
      </c>
      <c r="U3898" t="s">
        <v>13134</v>
      </c>
      <c r="V3898" t="s">
        <v>13134</v>
      </c>
      <c r="W3898" t="s">
        <v>16975</v>
      </c>
      <c r="X3898">
        <v>1</v>
      </c>
      <c r="Y3898" t="s">
        <v>23364</v>
      </c>
      <c r="Z3898" t="s">
        <v>29866</v>
      </c>
      <c r="AA3898">
        <v>0.44333685064062028</v>
      </c>
      <c r="AB3898" t="str">
        <f>HYPERLINK("Melting_Curves/meltCurve_Q5T2J3_BCKDHB.pdf", "Melting_Curves/meltCurve_Q5T2J3_BCKDHB.pdf")</f>
        <v>Melting_Curves/meltCurve_Q5T2J3_BCKDHB.pdf</v>
      </c>
    </row>
    <row r="3899" spans="1:28" x14ac:dyDescent="0.25">
      <c r="A3899" t="s">
        <v>3903</v>
      </c>
      <c r="B3899">
        <v>0.99472303558308395</v>
      </c>
      <c r="C3899">
        <v>1.1798997208498501</v>
      </c>
      <c r="D3899">
        <v>0.85030872084509501</v>
      </c>
      <c r="E3899">
        <v>0.85731428917105701</v>
      </c>
      <c r="F3899">
        <v>0.68702508802945506</v>
      </c>
      <c r="G3899">
        <v>0.41773552135105901</v>
      </c>
      <c r="H3899">
        <v>0.23755496148170199</v>
      </c>
      <c r="I3899">
        <v>0.179762384720247</v>
      </c>
      <c r="J3899">
        <v>0.28609560163506298</v>
      </c>
      <c r="K3899">
        <v>0.26025619870671501</v>
      </c>
      <c r="L3899">
        <v>980.98427500340597</v>
      </c>
      <c r="M3899">
        <v>19.3402633197718</v>
      </c>
      <c r="N3899">
        <v>52.246377136025103</v>
      </c>
      <c r="O3899">
        <v>50.189438985688803</v>
      </c>
      <c r="P3899">
        <v>-7.5571308433563397E-2</v>
      </c>
      <c r="Q3899">
        <v>0.215576218911227</v>
      </c>
      <c r="R3899">
        <v>0.94626982985754204</v>
      </c>
      <c r="S3899" t="s">
        <v>10467</v>
      </c>
      <c r="T3899" t="s">
        <v>13134</v>
      </c>
      <c r="U3899" t="s">
        <v>13134</v>
      </c>
      <c r="V3899" t="s">
        <v>13134</v>
      </c>
      <c r="W3899" t="s">
        <v>16976</v>
      </c>
      <c r="X3899">
        <v>4</v>
      </c>
      <c r="Y3899" t="s">
        <v>23365</v>
      </c>
      <c r="Z3899" t="s">
        <v>29867</v>
      </c>
      <c r="AA3899">
        <v>0.58526981090210239</v>
      </c>
      <c r="AB3899" t="str">
        <f>HYPERLINK("Melting_Curves/meltCurve_Q5T2R2_3_PDSS1.pdf", "Melting_Curves/meltCurve_Q5T2R2_3_PDSS1.pdf")</f>
        <v>Melting_Curves/meltCurve_Q5T2R2_3_PDSS1.pdf</v>
      </c>
    </row>
    <row r="3900" spans="1:28" x14ac:dyDescent="0.25">
      <c r="A3900" t="s">
        <v>3904</v>
      </c>
      <c r="B3900">
        <v>0.99472303558308395</v>
      </c>
      <c r="C3900">
        <v>0.98507553852461904</v>
      </c>
      <c r="D3900">
        <v>0.87489483415424796</v>
      </c>
      <c r="E3900">
        <v>0.81997805082325204</v>
      </c>
      <c r="F3900">
        <v>0.72211732840365805</v>
      </c>
      <c r="G3900">
        <v>0.48867475217858702</v>
      </c>
      <c r="H3900">
        <v>0.37250229343468599</v>
      </c>
      <c r="I3900">
        <v>0.37428717928699201</v>
      </c>
      <c r="J3900">
        <v>0.452328383284133</v>
      </c>
      <c r="K3900">
        <v>0.36685346438330602</v>
      </c>
      <c r="L3900">
        <v>714.52508952298399</v>
      </c>
      <c r="M3900">
        <v>14.3721653794986</v>
      </c>
      <c r="N3900">
        <v>54.379419188558202</v>
      </c>
      <c r="O3900">
        <v>48.783114212466003</v>
      </c>
      <c r="P3900">
        <v>-4.7569214810771601E-2</v>
      </c>
      <c r="Q3900">
        <v>0.35422471469249001</v>
      </c>
      <c r="R3900">
        <v>0.96853500771873802</v>
      </c>
      <c r="S3900" t="s">
        <v>10468</v>
      </c>
      <c r="T3900" t="s">
        <v>13134</v>
      </c>
      <c r="U3900" t="s">
        <v>13134</v>
      </c>
      <c r="V3900" t="s">
        <v>13134</v>
      </c>
      <c r="W3900" t="s">
        <v>16977</v>
      </c>
      <c r="X3900">
        <v>4</v>
      </c>
      <c r="Y3900" t="s">
        <v>23366</v>
      </c>
      <c r="Z3900" t="s">
        <v>29868</v>
      </c>
      <c r="AA3900">
        <v>0.6424400732584481</v>
      </c>
      <c r="AB3900" t="str">
        <f>HYPERLINK("Melting_Curves/meltCurve_Q5T3J3_2_LRIF1.pdf", "Melting_Curves/meltCurve_Q5T3J3_2_LRIF1.pdf")</f>
        <v>Melting_Curves/meltCurve_Q5T3J3_2_LRIF1.pdf</v>
      </c>
    </row>
    <row r="3901" spans="1:28" x14ac:dyDescent="0.25">
      <c r="A3901" t="s">
        <v>3905</v>
      </c>
      <c r="B3901">
        <v>0.99472303558308395</v>
      </c>
      <c r="C3901">
        <v>0.97309290033458995</v>
      </c>
      <c r="D3901">
        <v>0.68827210487641399</v>
      </c>
      <c r="E3901">
        <v>0.66046966705003896</v>
      </c>
      <c r="F3901">
        <v>0.61748962558385201</v>
      </c>
      <c r="G3901">
        <v>0.138669919170884</v>
      </c>
      <c r="H3901">
        <v>0.100124298731259</v>
      </c>
      <c r="I3901">
        <v>0.122739596600484</v>
      </c>
      <c r="J3901">
        <v>0.17396882326464999</v>
      </c>
      <c r="K3901">
        <v>8.8856209487101004E-2</v>
      </c>
      <c r="L3901">
        <v>557.62706252023099</v>
      </c>
      <c r="M3901">
        <v>11.457580879538501</v>
      </c>
      <c r="N3901">
        <v>49.010720947084202</v>
      </c>
      <c r="O3901">
        <v>47.257047752404397</v>
      </c>
      <c r="P3901">
        <v>-5.83018744260973E-2</v>
      </c>
      <c r="Q3901">
        <v>3.8407708303174401E-2</v>
      </c>
      <c r="R3901">
        <v>0.92890647053938502</v>
      </c>
      <c r="S3901" t="s">
        <v>10469</v>
      </c>
      <c r="T3901" t="s">
        <v>13134</v>
      </c>
      <c r="U3901" t="s">
        <v>13134</v>
      </c>
      <c r="V3901" t="s">
        <v>13134</v>
      </c>
      <c r="W3901" t="s">
        <v>16978</v>
      </c>
      <c r="X3901">
        <v>18</v>
      </c>
      <c r="Y3901" t="s">
        <v>21589</v>
      </c>
      <c r="Z3901" t="s">
        <v>29869</v>
      </c>
      <c r="AA3901">
        <v>0.44339281202942638</v>
      </c>
      <c r="AB3901" t="str">
        <f>HYPERLINK("Melting_Curves/meltCurve_Q5T3N1_ANXA1.pdf", "Melting_Curves/meltCurve_Q5T3N1_ANXA1.pdf")</f>
        <v>Melting_Curves/meltCurve_Q5T3N1_ANXA1.pdf</v>
      </c>
    </row>
    <row r="3902" spans="1:28" x14ac:dyDescent="0.25">
      <c r="A3902" t="s">
        <v>3906</v>
      </c>
      <c r="B3902">
        <v>0.99472303558308395</v>
      </c>
      <c r="C3902">
        <v>0.927791082878342</v>
      </c>
      <c r="D3902">
        <v>0.83081863371322395</v>
      </c>
      <c r="E3902">
        <v>0.47621830210140897</v>
      </c>
      <c r="F3902">
        <v>0.15364242980281101</v>
      </c>
      <c r="G3902">
        <v>9.0261812553054599E-2</v>
      </c>
      <c r="H3902">
        <v>6.0943299678096002E-2</v>
      </c>
      <c r="I3902">
        <v>4.37248405083136E-2</v>
      </c>
      <c r="J3902">
        <v>5.0459312932865499E-2</v>
      </c>
      <c r="K3902">
        <v>4.7855072379784702E-2</v>
      </c>
      <c r="L3902">
        <v>991.55642801375905</v>
      </c>
      <c r="M3902">
        <v>21.536970577790701</v>
      </c>
      <c r="N3902">
        <v>46.233308680481201</v>
      </c>
      <c r="O3902">
        <v>45.648318134775998</v>
      </c>
      <c r="P3902">
        <v>-0.1128680278049</v>
      </c>
      <c r="Q3902">
        <v>4.3113222801145198E-2</v>
      </c>
      <c r="R3902">
        <v>0.99821295935764598</v>
      </c>
      <c r="S3902" t="s">
        <v>10470</v>
      </c>
      <c r="T3902" t="s">
        <v>13134</v>
      </c>
      <c r="U3902" t="s">
        <v>13134</v>
      </c>
      <c r="V3902" t="s">
        <v>13134</v>
      </c>
      <c r="W3902" t="s">
        <v>16979</v>
      </c>
      <c r="X3902">
        <v>15</v>
      </c>
      <c r="Y3902" t="s">
        <v>23367</v>
      </c>
      <c r="Z3902" t="s">
        <v>29870</v>
      </c>
      <c r="AA3902">
        <v>0.34220809747445141</v>
      </c>
      <c r="AB3902" t="str">
        <f>HYPERLINK("Melting_Curves/meltCurve_Q5T3Q7_HEATR1.pdf", "Melting_Curves/meltCurve_Q5T3Q7_HEATR1.pdf")</f>
        <v>Melting_Curves/meltCurve_Q5T3Q7_HEATR1.pdf</v>
      </c>
    </row>
    <row r="3903" spans="1:28" x14ac:dyDescent="0.25">
      <c r="A3903" t="s">
        <v>3907</v>
      </c>
      <c r="B3903">
        <v>0.99472303558308395</v>
      </c>
      <c r="C3903">
        <v>0.96697972254782405</v>
      </c>
      <c r="D3903">
        <v>0.90236707914067704</v>
      </c>
      <c r="E3903">
        <v>0.70921837423966105</v>
      </c>
      <c r="F3903">
        <v>0.62755457222331201</v>
      </c>
      <c r="G3903">
        <v>0.43091494827092403</v>
      </c>
      <c r="H3903">
        <v>0.27590749872535097</v>
      </c>
      <c r="I3903">
        <v>0.22245595196641599</v>
      </c>
      <c r="J3903">
        <v>0.21747598036924301</v>
      </c>
      <c r="K3903">
        <v>0.21232221307144</v>
      </c>
      <c r="L3903">
        <v>582.37062955822</v>
      </c>
      <c r="M3903">
        <v>11.570485579606901</v>
      </c>
      <c r="N3903">
        <v>51.860304976210102</v>
      </c>
      <c r="O3903">
        <v>48.899416589245703</v>
      </c>
      <c r="P3903">
        <v>-5.0624955343078898E-2</v>
      </c>
      <c r="Q3903">
        <v>0.144428717920768</v>
      </c>
      <c r="R3903">
        <v>0.99241184870982602</v>
      </c>
      <c r="S3903" t="s">
        <v>10471</v>
      </c>
      <c r="T3903" t="s">
        <v>13134</v>
      </c>
      <c r="U3903" t="s">
        <v>13134</v>
      </c>
      <c r="V3903" t="s">
        <v>13134</v>
      </c>
      <c r="W3903" t="s">
        <v>16980</v>
      </c>
      <c r="X3903">
        <v>2</v>
      </c>
      <c r="Y3903" t="s">
        <v>23368</v>
      </c>
      <c r="Z3903" t="s">
        <v>29871</v>
      </c>
      <c r="AA3903">
        <v>0.54902334270877773</v>
      </c>
      <c r="AB3903" t="str">
        <f>HYPERLINK("Melting_Curves/meltCurve_Q5T3U5_2_ABCC10.pdf", "Melting_Curves/meltCurve_Q5T3U5_2_ABCC10.pdf")</f>
        <v>Melting_Curves/meltCurve_Q5T3U5_2_ABCC10.pdf</v>
      </c>
    </row>
    <row r="3904" spans="1:28" x14ac:dyDescent="0.25">
      <c r="A3904" t="s">
        <v>3908</v>
      </c>
      <c r="B3904">
        <v>0.99472303558308395</v>
      </c>
      <c r="C3904">
        <v>0.95104429632580301</v>
      </c>
      <c r="D3904">
        <v>0.71491697890296102</v>
      </c>
      <c r="E3904">
        <v>0.50985681701035701</v>
      </c>
      <c r="F3904">
        <v>0.314192736706291</v>
      </c>
      <c r="G3904">
        <v>0.17796142140804899</v>
      </c>
      <c r="H3904">
        <v>0.15440227217761901</v>
      </c>
      <c r="I3904">
        <v>0.120929509574756</v>
      </c>
      <c r="J3904">
        <v>8.1567651852283707E-2</v>
      </c>
      <c r="K3904">
        <v>0.130892838920699</v>
      </c>
      <c r="L3904">
        <v>675.34797689526101</v>
      </c>
      <c r="M3904">
        <v>14.712621802139999</v>
      </c>
      <c r="N3904">
        <v>46.601049835343403</v>
      </c>
      <c r="O3904">
        <v>45.079598104426999</v>
      </c>
      <c r="P3904">
        <v>-7.3527508211159401E-2</v>
      </c>
      <c r="Q3904">
        <v>9.8942120891226601E-2</v>
      </c>
      <c r="R3904">
        <v>0.99481364651286996</v>
      </c>
      <c r="S3904" t="s">
        <v>10472</v>
      </c>
      <c r="T3904" t="s">
        <v>13134</v>
      </c>
      <c r="U3904" t="s">
        <v>13134</v>
      </c>
      <c r="V3904" t="s">
        <v>13134</v>
      </c>
      <c r="W3904" t="s">
        <v>16981</v>
      </c>
      <c r="X3904">
        <v>1</v>
      </c>
      <c r="Y3904" t="s">
        <v>23369</v>
      </c>
      <c r="Z3904" t="s">
        <v>29872</v>
      </c>
      <c r="AA3904">
        <v>0.38794897246245891</v>
      </c>
      <c r="AB3904" t="str">
        <f>HYPERLINK("Melting_Curves/meltCurve_Q5T418_MUTYH.pdf", "Melting_Curves/meltCurve_Q5T418_MUTYH.pdf")</f>
        <v>Melting_Curves/meltCurve_Q5T418_MUTYH.pdf</v>
      </c>
    </row>
    <row r="3905" spans="1:28" x14ac:dyDescent="0.25">
      <c r="A3905" t="s">
        <v>3909</v>
      </c>
      <c r="B3905">
        <v>0.99472303558308395</v>
      </c>
      <c r="C3905">
        <v>0.97505039186234299</v>
      </c>
      <c r="D3905">
        <v>0.99685977186248997</v>
      </c>
      <c r="E3905">
        <v>0.88960784406730598</v>
      </c>
      <c r="F3905">
        <v>0.69585133024552803</v>
      </c>
      <c r="G3905">
        <v>0.39889509738176798</v>
      </c>
      <c r="H3905">
        <v>9.5921989456052598E-2</v>
      </c>
      <c r="I3905">
        <v>7.6709490667956806E-2</v>
      </c>
      <c r="J3905">
        <v>9.9376092969367294E-2</v>
      </c>
      <c r="K3905">
        <v>0.138082108196873</v>
      </c>
      <c r="L3905">
        <v>1169.5903274657401</v>
      </c>
      <c r="M3905">
        <v>22.591707690794301</v>
      </c>
      <c r="N3905">
        <v>52.159068518342401</v>
      </c>
      <c r="O3905">
        <v>51.3702418822323</v>
      </c>
      <c r="P3905">
        <v>-0.101437867883681</v>
      </c>
      <c r="Q3905">
        <v>7.7398619410658995E-2</v>
      </c>
      <c r="R3905">
        <v>0.99112352058358399</v>
      </c>
      <c r="S3905" t="s">
        <v>10473</v>
      </c>
      <c r="T3905" t="s">
        <v>13134</v>
      </c>
      <c r="U3905" t="s">
        <v>13134</v>
      </c>
      <c r="V3905" t="s">
        <v>13134</v>
      </c>
      <c r="W3905" t="s">
        <v>16982</v>
      </c>
      <c r="X3905">
        <v>9</v>
      </c>
      <c r="Y3905" t="s">
        <v>23370</v>
      </c>
      <c r="Z3905" t="s">
        <v>29873</v>
      </c>
      <c r="AA3905">
        <v>0.5414234362568735</v>
      </c>
      <c r="AB3905" t="str">
        <f>HYPERLINK("Melting_Curves/meltCurve_Q5T440_IBA57.pdf", "Melting_Curves/meltCurve_Q5T440_IBA57.pdf")</f>
        <v>Melting_Curves/meltCurve_Q5T440_IBA57.pdf</v>
      </c>
    </row>
    <row r="3906" spans="1:28" x14ac:dyDescent="0.25">
      <c r="A3906" t="s">
        <v>3910</v>
      </c>
      <c r="B3906">
        <v>0.99472303558308395</v>
      </c>
      <c r="C3906">
        <v>0.83945805885157099</v>
      </c>
      <c r="D3906">
        <v>0.47955569192402198</v>
      </c>
      <c r="E3906">
        <v>0.33083921041312297</v>
      </c>
      <c r="F3906">
        <v>0.19066056172885101</v>
      </c>
      <c r="G3906">
        <v>8.8670841564694403E-2</v>
      </c>
      <c r="H3906">
        <v>5.6706303649113297E-2</v>
      </c>
      <c r="I3906">
        <v>4.4006596025437099E-2</v>
      </c>
      <c r="J3906">
        <v>4.88256467894254E-2</v>
      </c>
      <c r="K3906">
        <v>4.7604555151835398E-2</v>
      </c>
      <c r="L3906">
        <v>673.85965209706205</v>
      </c>
      <c r="M3906">
        <v>15.5274336025421</v>
      </c>
      <c r="N3906">
        <v>43.6794097730332</v>
      </c>
      <c r="O3906">
        <v>42.6973045129347</v>
      </c>
      <c r="P3906">
        <v>-8.6596067384656195E-2</v>
      </c>
      <c r="Q3906">
        <v>4.7597288699394801E-2</v>
      </c>
      <c r="R3906">
        <v>0.98752093885258596</v>
      </c>
      <c r="S3906" t="s">
        <v>10474</v>
      </c>
      <c r="T3906" t="s">
        <v>13134</v>
      </c>
      <c r="U3906" t="s">
        <v>13134</v>
      </c>
      <c r="V3906" t="s">
        <v>13134</v>
      </c>
      <c r="W3906" t="s">
        <v>16983</v>
      </c>
      <c r="X3906">
        <v>10</v>
      </c>
      <c r="Y3906" t="s">
        <v>23371</v>
      </c>
      <c r="Z3906" t="s">
        <v>29874</v>
      </c>
      <c r="AA3906">
        <v>0.27346582361975791</v>
      </c>
      <c r="AB3906" t="str">
        <f>HYPERLINK("Melting_Curves/meltCurve_Q5T447_HECTD3.pdf", "Melting_Curves/meltCurve_Q5T447_HECTD3.pdf")</f>
        <v>Melting_Curves/meltCurve_Q5T447_HECTD3.pdf</v>
      </c>
    </row>
    <row r="3907" spans="1:28" x14ac:dyDescent="0.25">
      <c r="A3907" t="s">
        <v>3911</v>
      </c>
      <c r="B3907">
        <v>0.99472303558308395</v>
      </c>
      <c r="C3907">
        <v>0.85218685264387595</v>
      </c>
      <c r="D3907">
        <v>0.74618851939933495</v>
      </c>
      <c r="E3907">
        <v>0.52173114781323005</v>
      </c>
      <c r="F3907">
        <v>0.32904714841035898</v>
      </c>
      <c r="G3907">
        <v>0.26207559726332902</v>
      </c>
      <c r="H3907">
        <v>0.11108544953310601</v>
      </c>
      <c r="I3907">
        <v>8.5233032218305596E-2</v>
      </c>
      <c r="J3907">
        <v>7.0146735885359801E-2</v>
      </c>
      <c r="K3907">
        <v>0.110516916860041</v>
      </c>
      <c r="L3907">
        <v>539.42450818460202</v>
      </c>
      <c r="M3907">
        <v>11.5685765950707</v>
      </c>
      <c r="N3907">
        <v>47.0329063013263</v>
      </c>
      <c r="O3907">
        <v>45.3004366145299</v>
      </c>
      <c r="P3907">
        <v>-6.0837491669685002E-2</v>
      </c>
      <c r="Q3907">
        <v>4.7350174146600602E-2</v>
      </c>
      <c r="R3907">
        <v>0.99280121194013404</v>
      </c>
      <c r="S3907" t="s">
        <v>10475</v>
      </c>
      <c r="T3907" t="s">
        <v>13134</v>
      </c>
      <c r="U3907" t="s">
        <v>13134</v>
      </c>
      <c r="V3907" t="s">
        <v>13134</v>
      </c>
      <c r="W3907" t="s">
        <v>16984</v>
      </c>
      <c r="X3907">
        <v>2</v>
      </c>
      <c r="Y3907" t="s">
        <v>23372</v>
      </c>
      <c r="Z3907" t="s">
        <v>29875</v>
      </c>
      <c r="AA3907">
        <v>0.38690898624884301</v>
      </c>
      <c r="AB3907" t="str">
        <f>HYPERLINK("Melting_Curves/meltCurve_Q5T4B9_COQ4.pdf", "Melting_Curves/meltCurve_Q5T4B9_COQ4.pdf")</f>
        <v>Melting_Curves/meltCurve_Q5T4B9_COQ4.pdf</v>
      </c>
    </row>
    <row r="3908" spans="1:28" x14ac:dyDescent="0.25">
      <c r="A3908" t="s">
        <v>3912</v>
      </c>
      <c r="B3908">
        <v>0.99472303558308395</v>
      </c>
      <c r="C3908">
        <v>0.96652880479673897</v>
      </c>
      <c r="D3908">
        <v>0.84608441918983801</v>
      </c>
      <c r="E3908">
        <v>0.81488216556688897</v>
      </c>
      <c r="F3908">
        <v>0.71580973956966798</v>
      </c>
      <c r="G3908">
        <v>0.38805618011755999</v>
      </c>
      <c r="H3908">
        <v>0.102123315670791</v>
      </c>
      <c r="I3908">
        <v>4.7709674923402799E-2</v>
      </c>
      <c r="J3908">
        <v>6.7719936457795102E-2</v>
      </c>
      <c r="K3908">
        <v>6.8661210340787995E-2</v>
      </c>
      <c r="L3908">
        <v>836.16979331255402</v>
      </c>
      <c r="M3908">
        <v>16.083853415506301</v>
      </c>
      <c r="N3908">
        <v>51.988143413254498</v>
      </c>
      <c r="O3908">
        <v>51.2044038916452</v>
      </c>
      <c r="P3908">
        <v>-7.8533720056809003E-2</v>
      </c>
      <c r="Q3908">
        <v>0</v>
      </c>
      <c r="R3908">
        <v>0.97718422522117299</v>
      </c>
      <c r="S3908" t="s">
        <v>10476</v>
      </c>
      <c r="T3908" t="s">
        <v>13134</v>
      </c>
      <c r="U3908" t="s">
        <v>13134</v>
      </c>
      <c r="V3908" t="s">
        <v>13134</v>
      </c>
      <c r="W3908" t="s">
        <v>16985</v>
      </c>
      <c r="X3908">
        <v>1</v>
      </c>
      <c r="Y3908" t="s">
        <v>23373</v>
      </c>
      <c r="Z3908" t="s">
        <v>29876</v>
      </c>
      <c r="AA3908">
        <v>0.51720587043358501</v>
      </c>
      <c r="AB3908" t="str">
        <f>HYPERLINK("Melting_Curves/meltCurve_Q5T4D3_2_TMTC4.pdf", "Melting_Curves/meltCurve_Q5T4D3_2_TMTC4.pdf")</f>
        <v>Melting_Curves/meltCurve_Q5T4D3_2_TMTC4.pdf</v>
      </c>
    </row>
    <row r="3909" spans="1:28" x14ac:dyDescent="0.25">
      <c r="A3909" t="s">
        <v>3913</v>
      </c>
      <c r="B3909">
        <v>0.99472303558308395</v>
      </c>
      <c r="C3909">
        <v>0.85661770680201799</v>
      </c>
      <c r="D3909">
        <v>0.57883740496696501</v>
      </c>
      <c r="E3909">
        <v>0.397702933418844</v>
      </c>
      <c r="F3909">
        <v>0.135717362762799</v>
      </c>
      <c r="G3909">
        <v>6.6021585404723707E-2</v>
      </c>
      <c r="H3909">
        <v>4.2443531344416599E-2</v>
      </c>
      <c r="I3909">
        <v>3.2591877491362997E-2</v>
      </c>
      <c r="J3909">
        <v>3.8732241653415198E-2</v>
      </c>
      <c r="K3909">
        <v>3.3173102414959403E-2</v>
      </c>
      <c r="L3909">
        <v>676.722910640691</v>
      </c>
      <c r="M3909">
        <v>15.2486625182969</v>
      </c>
      <c r="N3909">
        <v>44.489923363422498</v>
      </c>
      <c r="O3909">
        <v>43.636892314179903</v>
      </c>
      <c r="P3909">
        <v>-8.5742351570667202E-2</v>
      </c>
      <c r="Q3909">
        <v>1.8621533285406999E-2</v>
      </c>
      <c r="R3909">
        <v>0.99303521655431803</v>
      </c>
      <c r="S3909" t="s">
        <v>10477</v>
      </c>
      <c r="T3909" t="s">
        <v>13134</v>
      </c>
      <c r="U3909" t="s">
        <v>13134</v>
      </c>
      <c r="V3909" t="s">
        <v>13134</v>
      </c>
      <c r="W3909" t="s">
        <v>16986</v>
      </c>
      <c r="X3909">
        <v>68</v>
      </c>
      <c r="Y3909" t="s">
        <v>23374</v>
      </c>
      <c r="Z3909" t="s">
        <v>29877</v>
      </c>
      <c r="AA3909">
        <v>0.28315419338320252</v>
      </c>
      <c r="AB3909" t="str">
        <f>HYPERLINK("Melting_Curves/meltCurve_Q5T4S7_3_UBR4.pdf", "Melting_Curves/meltCurve_Q5T4S7_3_UBR4.pdf")</f>
        <v>Melting_Curves/meltCurve_Q5T4S7_3_UBR4.pdf</v>
      </c>
    </row>
    <row r="3910" spans="1:28" x14ac:dyDescent="0.25">
      <c r="A3910" t="s">
        <v>3914</v>
      </c>
      <c r="B3910">
        <v>0.99472303558308395</v>
      </c>
      <c r="C3910">
        <v>0.97380188224057695</v>
      </c>
      <c r="D3910">
        <v>0.87389938626997199</v>
      </c>
      <c r="E3910">
        <v>0.80674436019884999</v>
      </c>
      <c r="F3910">
        <v>0.67963254316621402</v>
      </c>
      <c r="G3910">
        <v>0.457308865659101</v>
      </c>
      <c r="H3910">
        <v>0.22008370499829399</v>
      </c>
      <c r="I3910">
        <v>7.7815419315668904E-2</v>
      </c>
      <c r="J3910">
        <v>7.2517842865155405E-2</v>
      </c>
      <c r="K3910">
        <v>6.9926549590224193E-2</v>
      </c>
      <c r="L3910">
        <v>690.68555411157899</v>
      </c>
      <c r="M3910">
        <v>13.1766854036204</v>
      </c>
      <c r="N3910">
        <v>52.4172434472855</v>
      </c>
      <c r="O3910">
        <v>51.254059827129304</v>
      </c>
      <c r="P3910">
        <v>-6.4282197755259396E-2</v>
      </c>
      <c r="Q3910">
        <v>0</v>
      </c>
      <c r="R3910">
        <v>0.98985260048996804</v>
      </c>
      <c r="S3910" t="s">
        <v>10478</v>
      </c>
      <c r="T3910" t="s">
        <v>13134</v>
      </c>
      <c r="U3910" t="s">
        <v>13134</v>
      </c>
      <c r="V3910" t="s">
        <v>13134</v>
      </c>
      <c r="W3910" t="s">
        <v>16987</v>
      </c>
      <c r="X3910">
        <v>22</v>
      </c>
      <c r="Y3910" t="s">
        <v>23375</v>
      </c>
      <c r="Z3910" t="s">
        <v>29878</v>
      </c>
      <c r="AA3910">
        <v>0.53502848732323804</v>
      </c>
      <c r="AB3910" t="str">
        <f>HYPERLINK("Melting_Curves/meltCurve_Q5T4U5_ACADM.pdf", "Melting_Curves/meltCurve_Q5T4U5_ACADM.pdf")</f>
        <v>Melting_Curves/meltCurve_Q5T4U5_ACADM.pdf</v>
      </c>
    </row>
    <row r="3911" spans="1:28" x14ac:dyDescent="0.25">
      <c r="A3911" t="s">
        <v>3915</v>
      </c>
      <c r="B3911">
        <v>0.99472303558308395</v>
      </c>
      <c r="C3911">
        <v>0.94793668798197395</v>
      </c>
      <c r="D3911">
        <v>0.91222663071688004</v>
      </c>
      <c r="E3911">
        <v>0.76885294279379301</v>
      </c>
      <c r="F3911">
        <v>0.42472917886186401</v>
      </c>
      <c r="G3911">
        <v>0.17510791145037399</v>
      </c>
      <c r="H3911">
        <v>0.105975597738369</v>
      </c>
      <c r="I3911">
        <v>7.2155667006159399E-2</v>
      </c>
      <c r="J3911">
        <v>0.10809564131914499</v>
      </c>
      <c r="K3911">
        <v>8.1550613307522904E-2</v>
      </c>
      <c r="L3911">
        <v>1007.61546288234</v>
      </c>
      <c r="M3911">
        <v>20.604671408782298</v>
      </c>
      <c r="N3911">
        <v>49.276794997529599</v>
      </c>
      <c r="O3911">
        <v>48.448665354786002</v>
      </c>
      <c r="P3911">
        <v>-9.8619292778428694E-2</v>
      </c>
      <c r="Q3911">
        <v>7.24757544598989E-2</v>
      </c>
      <c r="R3911">
        <v>0.996489088848037</v>
      </c>
      <c r="S3911" t="s">
        <v>10479</v>
      </c>
      <c r="T3911" t="s">
        <v>13134</v>
      </c>
      <c r="U3911" t="s">
        <v>13134</v>
      </c>
      <c r="V3911" t="s">
        <v>13134</v>
      </c>
      <c r="W3911" t="s">
        <v>16988</v>
      </c>
      <c r="X3911">
        <v>5</v>
      </c>
      <c r="Y3911" t="s">
        <v>23376</v>
      </c>
      <c r="Z3911" t="s">
        <v>29879</v>
      </c>
      <c r="AA3911">
        <v>0.45203030154969981</v>
      </c>
      <c r="AB3911" t="str">
        <f>HYPERLINK("Melting_Curves/meltCurve_Q5T4U8_RABGGTB.pdf", "Melting_Curves/meltCurve_Q5T4U8_RABGGTB.pdf")</f>
        <v>Melting_Curves/meltCurve_Q5T4U8_RABGGTB.pdf</v>
      </c>
    </row>
    <row r="3912" spans="1:28" x14ac:dyDescent="0.25">
      <c r="A3912" t="s">
        <v>3916</v>
      </c>
      <c r="B3912">
        <v>0.99472303558308395</v>
      </c>
      <c r="C3912">
        <v>1.00439360511667</v>
      </c>
      <c r="D3912">
        <v>0.92922919277225902</v>
      </c>
      <c r="E3912">
        <v>0.79918495822576696</v>
      </c>
      <c r="F3912">
        <v>0.58662811311336904</v>
      </c>
      <c r="G3912">
        <v>0.29639848368914701</v>
      </c>
      <c r="H3912">
        <v>0.105849007894741</v>
      </c>
      <c r="I3912">
        <v>6.9250934279180207E-2</v>
      </c>
      <c r="J3912">
        <v>7.9412088233088804E-2</v>
      </c>
      <c r="K3912">
        <v>7.0441760185735905E-2</v>
      </c>
      <c r="L3912">
        <v>871.52978388243002</v>
      </c>
      <c r="M3912">
        <v>17.210271670543001</v>
      </c>
      <c r="N3912">
        <v>50.856279191438198</v>
      </c>
      <c r="O3912">
        <v>49.971206683360599</v>
      </c>
      <c r="P3912">
        <v>-8.3068832249014499E-2</v>
      </c>
      <c r="Q3912">
        <v>3.5272288737506603E-2</v>
      </c>
      <c r="R3912">
        <v>0.996479281281902</v>
      </c>
      <c r="S3912" t="s">
        <v>10480</v>
      </c>
      <c r="T3912" t="s">
        <v>13134</v>
      </c>
      <c r="U3912" t="s">
        <v>13134</v>
      </c>
      <c r="V3912" t="s">
        <v>13134</v>
      </c>
      <c r="W3912" t="s">
        <v>16989</v>
      </c>
      <c r="X3912">
        <v>16</v>
      </c>
      <c r="Y3912" t="s">
        <v>23377</v>
      </c>
      <c r="Z3912" t="s">
        <v>29880</v>
      </c>
      <c r="AA3912">
        <v>0.49005755887834562</v>
      </c>
      <c r="AB3912" t="str">
        <f>HYPERLINK("Melting_Curves/meltCurve_Q5T5C0_3_STXBP5.pdf", "Melting_Curves/meltCurve_Q5T5C0_3_STXBP5.pdf")</f>
        <v>Melting_Curves/meltCurve_Q5T5C0_3_STXBP5.pdf</v>
      </c>
    </row>
    <row r="3913" spans="1:28" x14ac:dyDescent="0.25">
      <c r="A3913" t="s">
        <v>3917</v>
      </c>
      <c r="B3913">
        <v>0.99472303558308395</v>
      </c>
      <c r="C3913">
        <v>0.92773567089662901</v>
      </c>
      <c r="D3913">
        <v>0.96964459232786104</v>
      </c>
      <c r="E3913">
        <v>0.90997417805397895</v>
      </c>
      <c r="F3913">
        <v>0.76636070902420395</v>
      </c>
      <c r="G3913">
        <v>0.52132363350859601</v>
      </c>
      <c r="H3913">
        <v>0.122240740036968</v>
      </c>
      <c r="I3913">
        <v>5.2211178284334803E-2</v>
      </c>
      <c r="J3913">
        <v>5.0588510044720703E-2</v>
      </c>
      <c r="K3913">
        <v>4.58469200703117E-2</v>
      </c>
      <c r="L3913">
        <v>1117.36988101219</v>
      </c>
      <c r="M3913">
        <v>20.9538438954566</v>
      </c>
      <c r="N3913">
        <v>53.350843680136002</v>
      </c>
      <c r="O3913">
        <v>52.846733948016499</v>
      </c>
      <c r="P3913">
        <v>-9.8633336119045206E-2</v>
      </c>
      <c r="Q3913">
        <v>4.9923800476808604E-3</v>
      </c>
      <c r="R3913">
        <v>0.98890670739908204</v>
      </c>
      <c r="S3913" t="s">
        <v>10481</v>
      </c>
      <c r="T3913" t="s">
        <v>13134</v>
      </c>
      <c r="U3913" t="s">
        <v>13134</v>
      </c>
      <c r="V3913" t="s">
        <v>13134</v>
      </c>
      <c r="W3913" t="s">
        <v>16990</v>
      </c>
      <c r="X3913">
        <v>32</v>
      </c>
      <c r="Y3913" t="s">
        <v>23378</v>
      </c>
      <c r="Z3913" t="s">
        <v>29881</v>
      </c>
      <c r="AA3913">
        <v>0.55804644160590045</v>
      </c>
      <c r="AB3913" t="str">
        <f>HYPERLINK("Melting_Curves/meltCurve_Q5T5C7_SARS.pdf", "Melting_Curves/meltCurve_Q5T5C7_SARS.pdf")</f>
        <v>Melting_Curves/meltCurve_Q5T5C7_SARS.pdf</v>
      </c>
    </row>
    <row r="3914" spans="1:28" x14ac:dyDescent="0.25">
      <c r="A3914" t="s">
        <v>3918</v>
      </c>
      <c r="B3914">
        <v>0.99472303558308395</v>
      </c>
      <c r="C3914">
        <v>0.946847055124589</v>
      </c>
      <c r="D3914">
        <v>0.87647661015041201</v>
      </c>
      <c r="E3914">
        <v>0.69033515582221205</v>
      </c>
      <c r="F3914">
        <v>0.51267699863707905</v>
      </c>
      <c r="G3914">
        <v>0.35695997745193497</v>
      </c>
      <c r="H3914">
        <v>0.335436326418735</v>
      </c>
      <c r="I3914">
        <v>0.277402227825224</v>
      </c>
      <c r="J3914">
        <v>0.39254485908614301</v>
      </c>
      <c r="K3914">
        <v>0.234539182465963</v>
      </c>
      <c r="L3914">
        <v>723.71492426774705</v>
      </c>
      <c r="M3914">
        <v>15.2670155954634</v>
      </c>
      <c r="N3914">
        <v>50.157791263350298</v>
      </c>
      <c r="O3914">
        <v>46.612836104969098</v>
      </c>
      <c r="P3914">
        <v>-5.8652144543147197E-2</v>
      </c>
      <c r="Q3914">
        <v>0.28376697827555802</v>
      </c>
      <c r="R3914">
        <v>0.98100247955029396</v>
      </c>
      <c r="S3914" t="s">
        <v>10482</v>
      </c>
      <c r="T3914" t="s">
        <v>13134</v>
      </c>
      <c r="U3914" t="s">
        <v>13134</v>
      </c>
      <c r="V3914" t="s">
        <v>13134</v>
      </c>
      <c r="W3914" t="s">
        <v>16991</v>
      </c>
      <c r="X3914">
        <v>15</v>
      </c>
      <c r="Y3914" t="s">
        <v>23379</v>
      </c>
      <c r="Z3914" t="s">
        <v>29882</v>
      </c>
      <c r="AA3914">
        <v>0.54764649222254591</v>
      </c>
      <c r="AB3914" t="str">
        <f>HYPERLINK("Melting_Curves/meltCurve_Q5T5U3_ARHGAP21.pdf", "Melting_Curves/meltCurve_Q5T5U3_ARHGAP21.pdf")</f>
        <v>Melting_Curves/meltCurve_Q5T5U3_ARHGAP21.pdf</v>
      </c>
    </row>
    <row r="3915" spans="1:28" x14ac:dyDescent="0.25">
      <c r="A3915" t="s">
        <v>3919</v>
      </c>
      <c r="B3915">
        <v>0.99472303558308395</v>
      </c>
      <c r="C3915">
        <v>0.39588891961688</v>
      </c>
      <c r="D3915">
        <v>0.16938499669047699</v>
      </c>
      <c r="E3915">
        <v>0.22905482266297</v>
      </c>
      <c r="F3915">
        <v>0.18905966947318101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1777.8634986264301</v>
      </c>
      <c r="M3915">
        <v>45.096068344183301</v>
      </c>
      <c r="N3915">
        <v>39.554870602022604</v>
      </c>
      <c r="O3915">
        <v>39.3466238132809</v>
      </c>
      <c r="P3915">
        <v>-0.26666076230277302</v>
      </c>
      <c r="Q3915">
        <v>6.9347939451715995E-2</v>
      </c>
      <c r="R3915">
        <v>0.91774404334773896</v>
      </c>
      <c r="S3915" t="s">
        <v>10483</v>
      </c>
      <c r="T3915" t="s">
        <v>13134</v>
      </c>
      <c r="U3915" t="s">
        <v>13134</v>
      </c>
      <c r="V3915" t="s">
        <v>13134</v>
      </c>
      <c r="W3915" t="s">
        <v>16992</v>
      </c>
      <c r="X3915">
        <v>3</v>
      </c>
      <c r="Y3915" t="s">
        <v>23380</v>
      </c>
      <c r="Z3915" t="s">
        <v>29883</v>
      </c>
      <c r="AA3915">
        <v>0.14769942111481069</v>
      </c>
      <c r="AB3915" t="str">
        <f>HYPERLINK("Melting_Curves/meltCurve_Q5T5X7_BEND3.pdf", "Melting_Curves/meltCurve_Q5T5X7_BEND3.pdf")</f>
        <v>Melting_Curves/meltCurve_Q5T5X7_BEND3.pdf</v>
      </c>
    </row>
    <row r="3916" spans="1:28" x14ac:dyDescent="0.25">
      <c r="A3916" t="s">
        <v>3920</v>
      </c>
      <c r="B3916">
        <v>0.99472303558308395</v>
      </c>
      <c r="C3916">
        <v>0.97753854416466102</v>
      </c>
      <c r="D3916">
        <v>0.89764047219504595</v>
      </c>
      <c r="E3916">
        <v>0.72744039241738401</v>
      </c>
      <c r="F3916">
        <v>0.3423273069053</v>
      </c>
      <c r="G3916">
        <v>0.118564463280557</v>
      </c>
      <c r="H3916">
        <v>8.11127598755218E-2</v>
      </c>
      <c r="I3916">
        <v>4.9120298189044599E-2</v>
      </c>
      <c r="J3916">
        <v>8.9410963286580297E-2</v>
      </c>
      <c r="K3916">
        <v>4.9930062734474701E-2</v>
      </c>
      <c r="L3916">
        <v>1063.2062036489899</v>
      </c>
      <c r="M3916">
        <v>22.0088003955041</v>
      </c>
      <c r="N3916">
        <v>48.551134153819802</v>
      </c>
      <c r="O3916">
        <v>47.914695490425402</v>
      </c>
      <c r="P3916">
        <v>-0.108849299757814</v>
      </c>
      <c r="Q3916">
        <v>5.2130671105367801E-2</v>
      </c>
      <c r="R3916">
        <v>0.99719997066773203</v>
      </c>
      <c r="S3916" t="s">
        <v>10484</v>
      </c>
      <c r="T3916" t="s">
        <v>13134</v>
      </c>
      <c r="U3916" t="s">
        <v>13134</v>
      </c>
      <c r="V3916" t="s">
        <v>13134</v>
      </c>
      <c r="W3916" t="s">
        <v>16993</v>
      </c>
      <c r="X3916">
        <v>14</v>
      </c>
      <c r="Y3916" t="s">
        <v>23381</v>
      </c>
      <c r="Z3916" t="s">
        <v>29884</v>
      </c>
      <c r="AA3916">
        <v>0.41981842730885921</v>
      </c>
      <c r="AB3916" t="str">
        <f>HYPERLINK("Melting_Curves/meltCurve_Q5T5Y3_CAMSAP1.pdf", "Melting_Curves/meltCurve_Q5T5Y3_CAMSAP1.pdf")</f>
        <v>Melting_Curves/meltCurve_Q5T5Y3_CAMSAP1.pdf</v>
      </c>
    </row>
    <row r="3917" spans="1:28" x14ac:dyDescent="0.25">
      <c r="A3917" t="s">
        <v>3921</v>
      </c>
      <c r="B3917">
        <v>0.99472303558308395</v>
      </c>
      <c r="C3917">
        <v>0.97376441442217099</v>
      </c>
      <c r="D3917">
        <v>0.80099463733701504</v>
      </c>
      <c r="E3917">
        <v>0.69661101704244499</v>
      </c>
      <c r="F3917">
        <v>0.63107125919079099</v>
      </c>
      <c r="G3917">
        <v>0.24428526189403901</v>
      </c>
      <c r="H3917">
        <v>0.127704014399868</v>
      </c>
      <c r="I3917">
        <v>8.1099690393266005E-2</v>
      </c>
      <c r="J3917">
        <v>6.01967191223923E-2</v>
      </c>
      <c r="K3917">
        <v>8.1480512593357105E-2</v>
      </c>
      <c r="L3917">
        <v>619.88756056278896</v>
      </c>
      <c r="M3917">
        <v>12.3506267825782</v>
      </c>
      <c r="N3917">
        <v>50.190783534071898</v>
      </c>
      <c r="O3917">
        <v>48.929399870660703</v>
      </c>
      <c r="P3917">
        <v>-6.3117929153899702E-2</v>
      </c>
      <c r="Q3917">
        <v>0</v>
      </c>
      <c r="R3917">
        <v>0.975398312976413</v>
      </c>
      <c r="S3917" t="s">
        <v>10485</v>
      </c>
      <c r="T3917" t="s">
        <v>13134</v>
      </c>
      <c r="U3917" t="s">
        <v>13134</v>
      </c>
      <c r="V3917" t="s">
        <v>13134</v>
      </c>
      <c r="W3917" t="s">
        <v>16994</v>
      </c>
      <c r="X3917">
        <v>1</v>
      </c>
      <c r="Y3917" t="s">
        <v>23382</v>
      </c>
      <c r="Z3917" t="s">
        <v>29885</v>
      </c>
      <c r="AA3917">
        <v>0.46642665328200711</v>
      </c>
      <c r="AB3917" t="str">
        <f>HYPERLINK("Melting_Curves/meltCurve_Q5T6F0_DCAF12.pdf", "Melting_Curves/meltCurve_Q5T6F0_DCAF12.pdf")</f>
        <v>Melting_Curves/meltCurve_Q5T6F0_DCAF12.pdf</v>
      </c>
    </row>
    <row r="3918" spans="1:28" x14ac:dyDescent="0.25">
      <c r="A3918" t="s">
        <v>3922</v>
      </c>
      <c r="B3918">
        <v>0.99472303558308395</v>
      </c>
      <c r="C3918">
        <v>0.89678182634246095</v>
      </c>
      <c r="D3918">
        <v>0.97234888228681204</v>
      </c>
      <c r="E3918">
        <v>0.84880688569446805</v>
      </c>
      <c r="F3918">
        <v>0.58066212667128803</v>
      </c>
      <c r="G3918">
        <v>0.47349175138057698</v>
      </c>
      <c r="H3918">
        <v>0.44874008062658399</v>
      </c>
      <c r="I3918">
        <v>0.52469699036163098</v>
      </c>
      <c r="J3918">
        <v>0.82067064730564099</v>
      </c>
      <c r="K3918">
        <v>0.64047253545934402</v>
      </c>
      <c r="L3918">
        <v>3791.6732786748398</v>
      </c>
      <c r="M3918">
        <v>80.796580983508903</v>
      </c>
      <c r="O3918">
        <v>46.899910010771997</v>
      </c>
      <c r="P3918">
        <v>-0.18041309029486499</v>
      </c>
      <c r="Q3918">
        <v>0.58110323584412704</v>
      </c>
      <c r="R3918">
        <v>0.73532828191757604</v>
      </c>
      <c r="S3918" t="s">
        <v>10486</v>
      </c>
      <c r="T3918" t="s">
        <v>13134</v>
      </c>
      <c r="U3918" t="s">
        <v>13134</v>
      </c>
      <c r="V3918" t="s">
        <v>13134</v>
      </c>
      <c r="W3918" t="s">
        <v>16995</v>
      </c>
      <c r="X3918">
        <v>20</v>
      </c>
      <c r="Y3918" t="s">
        <v>23383</v>
      </c>
      <c r="Z3918" t="s">
        <v>29886</v>
      </c>
      <c r="AA3918">
        <v>0.72006994060679175</v>
      </c>
      <c r="AB3918" t="str">
        <f>HYPERLINK("Melting_Curves/meltCurve_Q5T6F2_UBAP2.pdf", "Melting_Curves/meltCurve_Q5T6F2_UBAP2.pdf")</f>
        <v>Melting_Curves/meltCurve_Q5T6F2_UBAP2.pdf</v>
      </c>
    </row>
    <row r="3919" spans="1:28" x14ac:dyDescent="0.25">
      <c r="A3919" t="s">
        <v>3923</v>
      </c>
      <c r="B3919">
        <v>0.99472303558308395</v>
      </c>
      <c r="C3919">
        <v>0.83030460068092204</v>
      </c>
      <c r="D3919">
        <v>0.63267545955049198</v>
      </c>
      <c r="E3919">
        <v>0.48038120144154001</v>
      </c>
      <c r="F3919">
        <v>0.295219537731572</v>
      </c>
      <c r="G3919">
        <v>0.15091002133614101</v>
      </c>
      <c r="H3919">
        <v>9.3139497402748697E-2</v>
      </c>
      <c r="I3919">
        <v>6.3587532088881196E-2</v>
      </c>
      <c r="J3919">
        <v>6.6569772592908902E-2</v>
      </c>
      <c r="K3919">
        <v>5.0919624666197802E-2</v>
      </c>
      <c r="L3919">
        <v>523.102708458557</v>
      </c>
      <c r="M3919">
        <v>11.4625108505632</v>
      </c>
      <c r="N3919">
        <v>45.804365037889099</v>
      </c>
      <c r="O3919">
        <v>44.313240639546997</v>
      </c>
      <c r="P3919">
        <v>-6.3351438148882999E-2</v>
      </c>
      <c r="Q3919">
        <v>2.0633514305795301E-2</v>
      </c>
      <c r="R3919">
        <v>0.99353156922468799</v>
      </c>
      <c r="S3919" t="s">
        <v>10487</v>
      </c>
      <c r="T3919" t="s">
        <v>13134</v>
      </c>
      <c r="U3919" t="s">
        <v>13134</v>
      </c>
      <c r="V3919" t="s">
        <v>13134</v>
      </c>
      <c r="W3919" t="s">
        <v>16996</v>
      </c>
      <c r="X3919">
        <v>5</v>
      </c>
      <c r="Y3919" t="s">
        <v>23384</v>
      </c>
      <c r="Z3919" t="s">
        <v>29887</v>
      </c>
      <c r="AA3919">
        <v>0.33979367369246483</v>
      </c>
      <c r="AB3919" t="str">
        <f>HYPERLINK("Melting_Curves/meltCurve_Q5T6S3_PHF19.pdf", "Melting_Curves/meltCurve_Q5T6S3_PHF19.pdf")</f>
        <v>Melting_Curves/meltCurve_Q5T6S3_PHF19.pdf</v>
      </c>
    </row>
    <row r="3920" spans="1:28" x14ac:dyDescent="0.25">
      <c r="A3920" t="s">
        <v>3924</v>
      </c>
      <c r="B3920">
        <v>0.99472303558308395</v>
      </c>
      <c r="C3920">
        <v>0.93825282801309895</v>
      </c>
      <c r="D3920">
        <v>0.66251379740859495</v>
      </c>
      <c r="E3920">
        <v>0.67650166218366303</v>
      </c>
      <c r="F3920">
        <v>0.29238554093193703</v>
      </c>
      <c r="G3920">
        <v>0.12595049651739401</v>
      </c>
      <c r="H3920">
        <v>2.8342734905560499E-2</v>
      </c>
      <c r="I3920">
        <v>3.3689108966260699E-2</v>
      </c>
      <c r="J3920">
        <v>0</v>
      </c>
      <c r="K3920">
        <v>0</v>
      </c>
      <c r="L3920">
        <v>660.06188738993899</v>
      </c>
      <c r="M3920">
        <v>13.9730664659736</v>
      </c>
      <c r="N3920">
        <v>47.238153194514901</v>
      </c>
      <c r="O3920">
        <v>46.3021857821144</v>
      </c>
      <c r="P3920">
        <v>-7.5455016368029301E-2</v>
      </c>
      <c r="Q3920">
        <v>0</v>
      </c>
      <c r="R3920">
        <v>0.97283310027675596</v>
      </c>
      <c r="S3920" t="s">
        <v>10488</v>
      </c>
      <c r="T3920" t="s">
        <v>13134</v>
      </c>
      <c r="U3920" t="s">
        <v>13134</v>
      </c>
      <c r="V3920" t="s">
        <v>13134</v>
      </c>
      <c r="W3920" t="s">
        <v>16997</v>
      </c>
      <c r="X3920">
        <v>5</v>
      </c>
      <c r="Y3920" t="s">
        <v>23384</v>
      </c>
      <c r="Z3920" t="s">
        <v>29888</v>
      </c>
      <c r="AA3920">
        <v>0.36660048149419838</v>
      </c>
      <c r="AB3920" t="str">
        <f>HYPERLINK("Melting_Curves/meltCurve_Q5T6S3_2_PHF19.pdf", "Melting_Curves/meltCurve_Q5T6S3_2_PHF19.pdf")</f>
        <v>Melting_Curves/meltCurve_Q5T6S3_2_PHF19.pdf</v>
      </c>
    </row>
    <row r="3921" spans="1:28" x14ac:dyDescent="0.25">
      <c r="A3921" t="s">
        <v>3925</v>
      </c>
      <c r="B3921">
        <v>0.99472303558308395</v>
      </c>
      <c r="C3921">
        <v>0.95153590003444</v>
      </c>
      <c r="D3921">
        <v>1.0027146356025101</v>
      </c>
      <c r="E3921">
        <v>0.52397089680912001</v>
      </c>
      <c r="F3921">
        <v>0.13481109245103201</v>
      </c>
      <c r="G3921">
        <v>7.4612320119778697E-2</v>
      </c>
      <c r="H3921">
        <v>6.1380250854490698E-2</v>
      </c>
      <c r="I3921">
        <v>2.99213296827745E-2</v>
      </c>
      <c r="J3921">
        <v>4.6721373689583102E-2</v>
      </c>
      <c r="K3921">
        <v>3.0976102832398399E-2</v>
      </c>
      <c r="L3921">
        <v>1753.7095056943199</v>
      </c>
      <c r="M3921">
        <v>37.589555658962098</v>
      </c>
      <c r="N3921">
        <v>46.786651067210101</v>
      </c>
      <c r="O3921">
        <v>46.5227275101958</v>
      </c>
      <c r="P3921">
        <v>-0.191799364345691</v>
      </c>
      <c r="Q3921">
        <v>5.0480540861836003E-2</v>
      </c>
      <c r="R3921">
        <v>0.99670006834959601</v>
      </c>
      <c r="S3921" t="s">
        <v>10489</v>
      </c>
      <c r="T3921" t="s">
        <v>13134</v>
      </c>
      <c r="U3921" t="s">
        <v>13134</v>
      </c>
      <c r="V3921" t="s">
        <v>13134</v>
      </c>
      <c r="W3921" t="s">
        <v>16998</v>
      </c>
      <c r="X3921">
        <v>12</v>
      </c>
      <c r="Y3921" t="s">
        <v>23385</v>
      </c>
      <c r="Z3921" t="s">
        <v>29889</v>
      </c>
      <c r="AA3921">
        <v>0.35951409052408367</v>
      </c>
      <c r="AB3921" t="str">
        <f>HYPERLINK("Melting_Curves/meltCurve_Q5T6V5_C9orf64.pdf", "Melting_Curves/meltCurve_Q5T6V5_C9orf64.pdf")</f>
        <v>Melting_Curves/meltCurve_Q5T6V5_C9orf64.pdf</v>
      </c>
    </row>
    <row r="3922" spans="1:28" x14ac:dyDescent="0.25">
      <c r="A3922" t="s">
        <v>3926</v>
      </c>
      <c r="B3922">
        <v>0.99472303558308395</v>
      </c>
      <c r="C3922">
        <v>0.90742682128800101</v>
      </c>
      <c r="D3922">
        <v>0.87113072149085702</v>
      </c>
      <c r="E3922">
        <v>0.72777355858206005</v>
      </c>
      <c r="F3922">
        <v>0.55017667086994504</v>
      </c>
      <c r="G3922">
        <v>0.32398520954028698</v>
      </c>
      <c r="H3922">
        <v>0.166553056984755</v>
      </c>
      <c r="I3922">
        <v>0.22612340442450901</v>
      </c>
      <c r="J3922">
        <v>0.26492449999828199</v>
      </c>
      <c r="K3922">
        <v>0.23290507973827701</v>
      </c>
      <c r="L3922">
        <v>722.20432847869597</v>
      </c>
      <c r="M3922">
        <v>14.879982126823901</v>
      </c>
      <c r="N3922">
        <v>50.165198367861699</v>
      </c>
      <c r="O3922">
        <v>47.683996913203799</v>
      </c>
      <c r="P3922">
        <v>-6.3066668093125694E-2</v>
      </c>
      <c r="Q3922">
        <v>0.19167731831475401</v>
      </c>
      <c r="R3922">
        <v>0.97769573993331205</v>
      </c>
      <c r="S3922" t="s">
        <v>10490</v>
      </c>
      <c r="T3922" t="s">
        <v>13134</v>
      </c>
      <c r="U3922" t="s">
        <v>13134</v>
      </c>
      <c r="V3922" t="s">
        <v>13134</v>
      </c>
      <c r="W3922" t="s">
        <v>16999</v>
      </c>
      <c r="X3922">
        <v>2</v>
      </c>
      <c r="Y3922" t="s">
        <v>23386</v>
      </c>
      <c r="Z3922" t="s">
        <v>29890</v>
      </c>
      <c r="AA3922">
        <v>0.52030336690158052</v>
      </c>
      <c r="AB3922" t="str">
        <f>HYPERLINK("Melting_Curves/meltCurve_Q5T6Z8_TMEM59.pdf", "Melting_Curves/meltCurve_Q5T6Z8_TMEM59.pdf")</f>
        <v>Melting_Curves/meltCurve_Q5T6Z8_TMEM59.pdf</v>
      </c>
    </row>
    <row r="3923" spans="1:28" x14ac:dyDescent="0.25">
      <c r="A3923" t="s">
        <v>3927</v>
      </c>
      <c r="B3923">
        <v>0.99472303558308395</v>
      </c>
      <c r="C3923">
        <v>0.97576611939146196</v>
      </c>
      <c r="D3923">
        <v>0.93731948225316297</v>
      </c>
      <c r="E3923">
        <v>0.83435736364411095</v>
      </c>
      <c r="F3923">
        <v>0.57236835160099198</v>
      </c>
      <c r="G3923">
        <v>0.284692126697564</v>
      </c>
      <c r="H3923">
        <v>0.19888225797339501</v>
      </c>
      <c r="I3923">
        <v>0.183550068858088</v>
      </c>
      <c r="J3923">
        <v>0.17440185322158799</v>
      </c>
      <c r="K3923">
        <v>0.131804911686386</v>
      </c>
      <c r="L3923">
        <v>993.77030720897903</v>
      </c>
      <c r="M3923">
        <v>19.894398841902198</v>
      </c>
      <c r="N3923">
        <v>50.824411856340298</v>
      </c>
      <c r="O3923">
        <v>49.4557786778132</v>
      </c>
      <c r="P3923">
        <v>-8.6026420859210195E-2</v>
      </c>
      <c r="Q3923">
        <v>0.144611231544507</v>
      </c>
      <c r="R3923">
        <v>0.99730149346762897</v>
      </c>
      <c r="S3923" t="s">
        <v>10491</v>
      </c>
      <c r="T3923" t="s">
        <v>13134</v>
      </c>
      <c r="U3923" t="s">
        <v>13134</v>
      </c>
      <c r="V3923" t="s">
        <v>13134</v>
      </c>
      <c r="W3923" t="s">
        <v>17000</v>
      </c>
      <c r="X3923">
        <v>8</v>
      </c>
      <c r="Y3923" t="s">
        <v>23387</v>
      </c>
      <c r="Z3923" t="s">
        <v>29891</v>
      </c>
      <c r="AA3923">
        <v>0.52528965845239406</v>
      </c>
      <c r="AB3923" t="str">
        <f>HYPERLINK("Melting_Curves/meltCurve_Q5T7A4_ADCK3.pdf", "Melting_Curves/meltCurve_Q5T7A4_ADCK3.pdf")</f>
        <v>Melting_Curves/meltCurve_Q5T7A4_ADCK3.pdf</v>
      </c>
    </row>
    <row r="3924" spans="1:28" x14ac:dyDescent="0.25">
      <c r="A3924" t="s">
        <v>3928</v>
      </c>
      <c r="B3924">
        <v>0.99472303558308395</v>
      </c>
      <c r="C3924">
        <v>0.927278494595842</v>
      </c>
      <c r="D3924">
        <v>0.94935334773173097</v>
      </c>
      <c r="E3924">
        <v>0.73700139298620004</v>
      </c>
      <c r="F3924">
        <v>0.34886512049373197</v>
      </c>
      <c r="G3924">
        <v>0.20482784364223899</v>
      </c>
      <c r="H3924">
        <v>0.13378746850056</v>
      </c>
      <c r="I3924">
        <v>7.1091418469112003E-2</v>
      </c>
      <c r="J3924">
        <v>0.10120059914129</v>
      </c>
      <c r="K3924">
        <v>8.4599100756233295E-2</v>
      </c>
      <c r="L3924">
        <v>1041.5361492536899</v>
      </c>
      <c r="M3924">
        <v>21.528940256532501</v>
      </c>
      <c r="N3924">
        <v>48.816418195791897</v>
      </c>
      <c r="O3924">
        <v>47.966834398033903</v>
      </c>
      <c r="P3924">
        <v>-0.102355123803977</v>
      </c>
      <c r="Q3924">
        <v>8.7826843287795997E-2</v>
      </c>
      <c r="R3924">
        <v>0.995343073988597</v>
      </c>
      <c r="S3924" t="s">
        <v>10492</v>
      </c>
      <c r="T3924" t="s">
        <v>13134</v>
      </c>
      <c r="U3924" t="s">
        <v>13134</v>
      </c>
      <c r="V3924" t="s">
        <v>13134</v>
      </c>
      <c r="W3924" t="s">
        <v>17001</v>
      </c>
      <c r="X3924">
        <v>1</v>
      </c>
      <c r="Y3924" t="s">
        <v>23388</v>
      </c>
      <c r="Z3924" t="s">
        <v>29892</v>
      </c>
      <c r="AA3924">
        <v>0.44423907230478787</v>
      </c>
      <c r="AB3924" t="str">
        <f>HYPERLINK("Melting_Curves/meltCurve_Q5T7V8_GORAB.pdf", "Melting_Curves/meltCurve_Q5T7V8_GORAB.pdf")</f>
        <v>Melting_Curves/meltCurve_Q5T7V8_GORAB.pdf</v>
      </c>
    </row>
    <row r="3925" spans="1:28" x14ac:dyDescent="0.25">
      <c r="A3925" t="s">
        <v>3929</v>
      </c>
      <c r="B3925">
        <v>0.99472303558308395</v>
      </c>
      <c r="C3925">
        <v>1.0467022073018</v>
      </c>
      <c r="D3925">
        <v>0.78086524910702704</v>
      </c>
      <c r="E3925">
        <v>0.54562598871788204</v>
      </c>
      <c r="F3925">
        <v>0.21933977841947</v>
      </c>
      <c r="G3925">
        <v>0.122810254821933</v>
      </c>
      <c r="H3925">
        <v>6.9940432825706902E-2</v>
      </c>
      <c r="I3925">
        <v>4.9226263141166703E-2</v>
      </c>
      <c r="J3925">
        <v>4.9369950724764702E-2</v>
      </c>
      <c r="K3925">
        <v>4.7821523019719397E-2</v>
      </c>
      <c r="L3925">
        <v>886.85910734905895</v>
      </c>
      <c r="M3925">
        <v>19.045029054448602</v>
      </c>
      <c r="N3925">
        <v>46.792416255058797</v>
      </c>
      <c r="O3925">
        <v>46.062127161903</v>
      </c>
      <c r="P3925">
        <v>-9.8828280710945807E-2</v>
      </c>
      <c r="Q3925">
        <v>4.3936832604996798E-2</v>
      </c>
      <c r="R3925">
        <v>0.99249389042333802</v>
      </c>
      <c r="S3925" t="s">
        <v>10493</v>
      </c>
      <c r="T3925" t="s">
        <v>13134</v>
      </c>
      <c r="U3925" t="s">
        <v>13134</v>
      </c>
      <c r="V3925" t="s">
        <v>13134</v>
      </c>
      <c r="W3925" t="s">
        <v>17002</v>
      </c>
      <c r="X3925">
        <v>7</v>
      </c>
      <c r="Y3925" t="s">
        <v>23389</v>
      </c>
      <c r="Z3925" t="s">
        <v>29893</v>
      </c>
      <c r="AA3925">
        <v>0.36258178275179342</v>
      </c>
      <c r="AB3925" t="str">
        <f>HYPERLINK("Melting_Curves/meltCurve_Q5T8D3_4_ACBD5.pdf", "Melting_Curves/meltCurve_Q5T8D3_4_ACBD5.pdf")</f>
        <v>Melting_Curves/meltCurve_Q5T8D3_4_ACBD5.pdf</v>
      </c>
    </row>
    <row r="3926" spans="1:28" x14ac:dyDescent="0.25">
      <c r="A3926" t="s">
        <v>3930</v>
      </c>
      <c r="B3926">
        <v>0.99472303558308395</v>
      </c>
      <c r="C3926">
        <v>1.0798159623444299</v>
      </c>
      <c r="D3926">
        <v>0.787011600210198</v>
      </c>
      <c r="E3926">
        <v>0.80353724161375994</v>
      </c>
      <c r="F3926">
        <v>0.71026931964359996</v>
      </c>
      <c r="G3926">
        <v>0.44623768798465502</v>
      </c>
      <c r="H3926">
        <v>0.31244102068260499</v>
      </c>
      <c r="I3926">
        <v>0.17658003425565999</v>
      </c>
      <c r="J3926">
        <v>0.15156944472010001</v>
      </c>
      <c r="K3926">
        <v>0.137457372882967</v>
      </c>
      <c r="L3926">
        <v>551.218712742398</v>
      </c>
      <c r="M3926">
        <v>10.4117853180085</v>
      </c>
      <c r="N3926">
        <v>53.063921779758303</v>
      </c>
      <c r="O3926">
        <v>51.1005491711527</v>
      </c>
      <c r="P3926">
        <v>-5.0355709465854999E-2</v>
      </c>
      <c r="Q3926">
        <v>1.18380591963113E-2</v>
      </c>
      <c r="R3926">
        <v>0.96847415251749902</v>
      </c>
      <c r="S3926" t="s">
        <v>10494</v>
      </c>
      <c r="T3926" t="s">
        <v>13134</v>
      </c>
      <c r="U3926" t="s">
        <v>13134</v>
      </c>
      <c r="V3926" t="s">
        <v>13134</v>
      </c>
      <c r="W3926" t="s">
        <v>17003</v>
      </c>
      <c r="X3926">
        <v>2</v>
      </c>
      <c r="Y3926" t="s">
        <v>23390</v>
      </c>
      <c r="Z3926" t="s">
        <v>29894</v>
      </c>
      <c r="AA3926">
        <v>0.55914450590906284</v>
      </c>
      <c r="AB3926" t="str">
        <f>HYPERLINK("Melting_Curves/meltCurve_Q5T8I0_COX6A1P2.pdf", "Melting_Curves/meltCurve_Q5T8I0_COX6A1P2.pdf")</f>
        <v>Melting_Curves/meltCurve_Q5T8I0_COX6A1P2.pdf</v>
      </c>
    </row>
    <row r="3927" spans="1:28" x14ac:dyDescent="0.25">
      <c r="A3927" t="s">
        <v>3931</v>
      </c>
      <c r="B3927">
        <v>0.99472303558308395</v>
      </c>
      <c r="C3927">
        <v>0.89246649078746898</v>
      </c>
      <c r="D3927">
        <v>0.82314616607874602</v>
      </c>
      <c r="E3927">
        <v>0.70923607305373404</v>
      </c>
      <c r="F3927">
        <v>0.34520331183604103</v>
      </c>
      <c r="G3927">
        <v>0.124994705773897</v>
      </c>
      <c r="H3927">
        <v>7.9598398816785904E-2</v>
      </c>
      <c r="I3927">
        <v>5.0433271605379797E-2</v>
      </c>
      <c r="J3927">
        <v>6.3491297645519904E-2</v>
      </c>
      <c r="K3927">
        <v>4.2926043814190802E-2</v>
      </c>
      <c r="L3927">
        <v>780.35417969880598</v>
      </c>
      <c r="M3927">
        <v>16.207356500212899</v>
      </c>
      <c r="N3927">
        <v>48.273849314765499</v>
      </c>
      <c r="O3927">
        <v>47.433040142355097</v>
      </c>
      <c r="P3927">
        <v>-8.3663504915584497E-2</v>
      </c>
      <c r="Q3927">
        <v>2.06623885048836E-2</v>
      </c>
      <c r="R3927">
        <v>0.98834124400849399</v>
      </c>
      <c r="S3927" t="s">
        <v>10495</v>
      </c>
      <c r="T3927" t="s">
        <v>13134</v>
      </c>
      <c r="U3927" t="s">
        <v>13134</v>
      </c>
      <c r="V3927" t="s">
        <v>13134</v>
      </c>
      <c r="W3927" t="s">
        <v>17004</v>
      </c>
      <c r="X3927">
        <v>3</v>
      </c>
      <c r="Y3927" t="s">
        <v>23391</v>
      </c>
      <c r="Z3927" t="s">
        <v>29895</v>
      </c>
      <c r="AA3927">
        <v>0.40343545852356871</v>
      </c>
      <c r="AB3927" t="str">
        <f>HYPERLINK("Melting_Curves/meltCurve_Q5T8I3_2_FAM102B.pdf", "Melting_Curves/meltCurve_Q5T8I3_2_FAM102B.pdf")</f>
        <v>Melting_Curves/meltCurve_Q5T8I3_2_FAM102B.pdf</v>
      </c>
    </row>
    <row r="3928" spans="1:28" x14ac:dyDescent="0.25">
      <c r="A3928" t="s">
        <v>3932</v>
      </c>
      <c r="B3928">
        <v>0.99472303558308395</v>
      </c>
      <c r="C3928">
        <v>0.92495268397110197</v>
      </c>
      <c r="D3928">
        <v>0.92737924264995197</v>
      </c>
      <c r="E3928">
        <v>0.535393782272923</v>
      </c>
      <c r="F3928">
        <v>0.181812873064403</v>
      </c>
      <c r="G3928">
        <v>9.4346019384120794E-2</v>
      </c>
      <c r="H3928">
        <v>6.09778043613593E-2</v>
      </c>
      <c r="I3928">
        <v>4.5523558812535399E-2</v>
      </c>
      <c r="J3928">
        <v>5.33984615253211E-2</v>
      </c>
      <c r="K3928">
        <v>4.3775688995037802E-2</v>
      </c>
      <c r="L3928">
        <v>1203.44593211557</v>
      </c>
      <c r="M3928">
        <v>25.765758735295002</v>
      </c>
      <c r="N3928">
        <v>46.900129780439002</v>
      </c>
      <c r="O3928">
        <v>46.4285520738527</v>
      </c>
      <c r="P3928">
        <v>-0.13176339805037901</v>
      </c>
      <c r="Q3928">
        <v>5.0288273578336699E-2</v>
      </c>
      <c r="R3928">
        <v>0.996922442385626</v>
      </c>
      <c r="S3928" t="s">
        <v>10496</v>
      </c>
      <c r="T3928" t="s">
        <v>13134</v>
      </c>
      <c r="U3928" t="s">
        <v>13134</v>
      </c>
      <c r="V3928" t="s">
        <v>13134</v>
      </c>
      <c r="W3928" t="s">
        <v>17005</v>
      </c>
      <c r="X3928">
        <v>26</v>
      </c>
      <c r="Y3928" t="s">
        <v>23392</v>
      </c>
      <c r="Z3928" t="s">
        <v>29896</v>
      </c>
      <c r="AA3928">
        <v>0.36506141413806842</v>
      </c>
      <c r="AB3928" t="str">
        <f>HYPERLINK("Melting_Curves/meltCurve_Q5T8P6_2_RBM26.pdf", "Melting_Curves/meltCurve_Q5T8P6_2_RBM26.pdf")</f>
        <v>Melting_Curves/meltCurve_Q5T8P6_2_RBM26.pdf</v>
      </c>
    </row>
    <row r="3929" spans="1:28" x14ac:dyDescent="0.25">
      <c r="A3929" t="s">
        <v>3933</v>
      </c>
      <c r="B3929">
        <v>0.99472303558308395</v>
      </c>
      <c r="C3929">
        <v>0.74907192705435899</v>
      </c>
      <c r="D3929">
        <v>0.78632250650570001</v>
      </c>
      <c r="E3929">
        <v>0.63579638795067905</v>
      </c>
      <c r="F3929">
        <v>0.70090137355612203</v>
      </c>
      <c r="G3929">
        <v>0.382188566673969</v>
      </c>
      <c r="H3929">
        <v>0.44546324476193599</v>
      </c>
      <c r="I3929">
        <v>0.28917742710806299</v>
      </c>
      <c r="J3929">
        <v>0.30170409759368599</v>
      </c>
      <c r="K3929">
        <v>0.291281328375875</v>
      </c>
      <c r="L3929">
        <v>294.39042578125998</v>
      </c>
      <c r="M3929">
        <v>5.7165392299421098</v>
      </c>
      <c r="N3929">
        <v>52.924224509605402</v>
      </c>
      <c r="O3929">
        <v>46.238494922454102</v>
      </c>
      <c r="P3929">
        <v>-2.88118937797604E-2</v>
      </c>
      <c r="Q3929">
        <v>7.1385451762683003E-2</v>
      </c>
      <c r="R3929">
        <v>0.90909645199498801</v>
      </c>
      <c r="S3929" t="s">
        <v>10497</v>
      </c>
      <c r="T3929" t="s">
        <v>13134</v>
      </c>
      <c r="U3929" t="s">
        <v>13134</v>
      </c>
      <c r="V3929" t="s">
        <v>13134</v>
      </c>
      <c r="W3929" t="s">
        <v>17006</v>
      </c>
      <c r="X3929">
        <v>3</v>
      </c>
      <c r="Y3929" t="s">
        <v>23393</v>
      </c>
      <c r="Z3929" t="s">
        <v>29897</v>
      </c>
      <c r="AA3929">
        <v>0.55097754790305919</v>
      </c>
      <c r="AB3929" t="str">
        <f>HYPERLINK("Melting_Curves/meltCurve_Q5T8U5_SURF4.pdf", "Melting_Curves/meltCurve_Q5T8U5_SURF4.pdf")</f>
        <v>Melting_Curves/meltCurve_Q5T8U5_SURF4.pdf</v>
      </c>
    </row>
    <row r="3930" spans="1:28" x14ac:dyDescent="0.25">
      <c r="A3930" t="s">
        <v>3934</v>
      </c>
      <c r="B3930">
        <v>0.99472303558308395</v>
      </c>
      <c r="C3930">
        <v>0.94716719142237005</v>
      </c>
      <c r="D3930">
        <v>0.70140411921443502</v>
      </c>
      <c r="E3930">
        <v>0.58359045503846196</v>
      </c>
      <c r="F3930">
        <v>0.34422741742264901</v>
      </c>
      <c r="G3930">
        <v>0.12837432076723501</v>
      </c>
      <c r="H3930">
        <v>9.7710770263436997E-2</v>
      </c>
      <c r="I3930">
        <v>6.8556384389918706E-2</v>
      </c>
      <c r="J3930">
        <v>7.0319937645406602E-2</v>
      </c>
      <c r="K3930">
        <v>4.88016401929715E-2</v>
      </c>
      <c r="L3930">
        <v>613.95564414919897</v>
      </c>
      <c r="M3930">
        <v>13.063782252166201</v>
      </c>
      <c r="N3930">
        <v>47.162358701197803</v>
      </c>
      <c r="O3930">
        <v>45.936442561701</v>
      </c>
      <c r="P3930">
        <v>-6.9515461293384706E-2</v>
      </c>
      <c r="Q3930">
        <v>2.24149390799727E-2</v>
      </c>
      <c r="R3930">
        <v>0.98983243391324105</v>
      </c>
      <c r="S3930" t="s">
        <v>10498</v>
      </c>
      <c r="T3930" t="s">
        <v>13134</v>
      </c>
      <c r="U3930" t="s">
        <v>13134</v>
      </c>
      <c r="V3930" t="s">
        <v>13134</v>
      </c>
      <c r="W3930" t="s">
        <v>17007</v>
      </c>
      <c r="X3930">
        <v>35</v>
      </c>
      <c r="Y3930" t="s">
        <v>23394</v>
      </c>
      <c r="Z3930" t="s">
        <v>29898</v>
      </c>
      <c r="AA3930">
        <v>0.37614073487981231</v>
      </c>
      <c r="AB3930" t="str">
        <f>HYPERLINK("Melting_Curves/meltCurve_Q5T9A4_ATAD3B.pdf", "Melting_Curves/meltCurve_Q5T9A4_ATAD3B.pdf")</f>
        <v>Melting_Curves/meltCurve_Q5T9A4_ATAD3B.pdf</v>
      </c>
    </row>
    <row r="3931" spans="1:28" x14ac:dyDescent="0.25">
      <c r="A3931" t="s">
        <v>3935</v>
      </c>
      <c r="B3931">
        <v>0.99472303558308395</v>
      </c>
      <c r="C3931">
        <v>0.93290672034165101</v>
      </c>
      <c r="D3931">
        <v>1.0369383894406099</v>
      </c>
      <c r="E3931">
        <v>0.91657539521419795</v>
      </c>
      <c r="F3931">
        <v>0.54519339431894598</v>
      </c>
      <c r="G3931">
        <v>0.24471051096407201</v>
      </c>
      <c r="H3931">
        <v>0.12525020282045601</v>
      </c>
      <c r="I3931">
        <v>0.10062178829068601</v>
      </c>
      <c r="J3931">
        <v>0.118027439716881</v>
      </c>
      <c r="K3931">
        <v>9.6765954670629997E-2</v>
      </c>
      <c r="L3931">
        <v>1396.7156291665499</v>
      </c>
      <c r="M3931">
        <v>27.798839739848301</v>
      </c>
      <c r="N3931">
        <v>50.667284017305398</v>
      </c>
      <c r="O3931">
        <v>49.985819269082199</v>
      </c>
      <c r="P3931">
        <v>-0.12461847098852</v>
      </c>
      <c r="Q3931">
        <v>0.103689006135818</v>
      </c>
      <c r="R3931">
        <v>0.99531674994399799</v>
      </c>
      <c r="S3931" t="s">
        <v>10499</v>
      </c>
      <c r="T3931" t="s">
        <v>13134</v>
      </c>
      <c r="U3931" t="s">
        <v>13134</v>
      </c>
      <c r="V3931" t="s">
        <v>13134</v>
      </c>
      <c r="W3931" t="s">
        <v>17008</v>
      </c>
      <c r="X3931">
        <v>18</v>
      </c>
      <c r="Y3931" t="s">
        <v>23395</v>
      </c>
      <c r="Z3931" t="s">
        <v>29899</v>
      </c>
      <c r="AA3931">
        <v>0.50577949927305776</v>
      </c>
      <c r="AB3931" t="str">
        <f>HYPERLINK("Melting_Curves/meltCurve_Q5T9B7_AK1.pdf", "Melting_Curves/meltCurve_Q5T9B7_AK1.pdf")</f>
        <v>Melting_Curves/meltCurve_Q5T9B7_AK1.pdf</v>
      </c>
    </row>
    <row r="3932" spans="1:28" x14ac:dyDescent="0.25">
      <c r="A3932" t="s">
        <v>3936</v>
      </c>
      <c r="B3932">
        <v>0.99472303558308395</v>
      </c>
      <c r="C3932">
        <v>1.0480148478809099</v>
      </c>
      <c r="D3932">
        <v>1.03612556212282</v>
      </c>
      <c r="E3932">
        <v>0.72517485286309602</v>
      </c>
      <c r="F3932">
        <v>0.76309008189095295</v>
      </c>
      <c r="G3932">
        <v>0.38874615102683402</v>
      </c>
      <c r="H3932">
        <v>0.12838725028042</v>
      </c>
      <c r="I3932">
        <v>0.15253076928888601</v>
      </c>
      <c r="J3932">
        <v>0.12853862686025799</v>
      </c>
      <c r="K3932">
        <v>0.10905839969266599</v>
      </c>
      <c r="L3932">
        <v>902.96302289908203</v>
      </c>
      <c r="M3932">
        <v>17.455552875494501</v>
      </c>
      <c r="N3932">
        <v>52.219894682330001</v>
      </c>
      <c r="O3932">
        <v>51.064689660633903</v>
      </c>
      <c r="P3932">
        <v>-7.89993738126155E-2</v>
      </c>
      <c r="Q3932">
        <v>7.5628832098708507E-2</v>
      </c>
      <c r="R3932">
        <v>0.965845117300282</v>
      </c>
      <c r="S3932" t="s">
        <v>10500</v>
      </c>
      <c r="T3932" t="s">
        <v>13134</v>
      </c>
      <c r="U3932" t="s">
        <v>13134</v>
      </c>
      <c r="V3932" t="s">
        <v>13134</v>
      </c>
      <c r="W3932" t="s">
        <v>17009</v>
      </c>
      <c r="X3932">
        <v>2</v>
      </c>
      <c r="Y3932" t="s">
        <v>23396</v>
      </c>
      <c r="Z3932" t="s">
        <v>29900</v>
      </c>
      <c r="AA3932">
        <v>0.54419942675712119</v>
      </c>
      <c r="AB3932" t="str">
        <f>HYPERLINK("Melting_Curves/meltCurve_Q5T9U4_MEF2D.pdf", "Melting_Curves/meltCurve_Q5T9U4_MEF2D.pdf")</f>
        <v>Melting_Curves/meltCurve_Q5T9U4_MEF2D.pdf</v>
      </c>
    </row>
    <row r="3933" spans="1:28" x14ac:dyDescent="0.25">
      <c r="A3933" t="s">
        <v>3937</v>
      </c>
      <c r="B3933">
        <v>0.99472303558308395</v>
      </c>
      <c r="C3933">
        <v>1.06460219112182</v>
      </c>
      <c r="D3933">
        <v>0.795423967320814</v>
      </c>
      <c r="E3933">
        <v>0.75402886600686003</v>
      </c>
      <c r="F3933">
        <v>0.90719570021441498</v>
      </c>
      <c r="G3933">
        <v>0.32279671927926001</v>
      </c>
      <c r="H3933">
        <v>0.17705922298121701</v>
      </c>
      <c r="I3933">
        <v>0.135392907986469</v>
      </c>
      <c r="J3933">
        <v>0.120016432259268</v>
      </c>
      <c r="K3933">
        <v>0.10843568733752899</v>
      </c>
      <c r="L3933">
        <v>2231.3686647496702</v>
      </c>
      <c r="M3933">
        <v>42.620557165978397</v>
      </c>
      <c r="N3933">
        <v>52.717386465843902</v>
      </c>
      <c r="O3933">
        <v>52.239438293897599</v>
      </c>
      <c r="P3933">
        <v>-0.17802456122017099</v>
      </c>
      <c r="Q3933">
        <v>0.12719259248526699</v>
      </c>
      <c r="R3933">
        <v>0.92556519001051096</v>
      </c>
      <c r="S3933" t="s">
        <v>10501</v>
      </c>
      <c r="T3933" t="s">
        <v>13134</v>
      </c>
      <c r="U3933" t="s">
        <v>13134</v>
      </c>
      <c r="V3933" t="s">
        <v>13134</v>
      </c>
      <c r="W3933" t="s">
        <v>17010</v>
      </c>
      <c r="X3933">
        <v>14</v>
      </c>
      <c r="Y3933" t="s">
        <v>21655</v>
      </c>
      <c r="Z3933" t="s">
        <v>29901</v>
      </c>
      <c r="AA3933">
        <v>0.57667797572720647</v>
      </c>
      <c r="AB3933" t="str">
        <f>HYPERLINK("Melting_Curves/meltCurve_Q5T9W8_HSP90AB1.pdf", "Melting_Curves/meltCurve_Q5T9W8_HSP90AB1.pdf")</f>
        <v>Melting_Curves/meltCurve_Q5T9W8_HSP90AB1.pdf</v>
      </c>
    </row>
    <row r="3934" spans="1:28" x14ac:dyDescent="0.25">
      <c r="A3934" t="s">
        <v>3938</v>
      </c>
      <c r="B3934">
        <v>0.99472303558308395</v>
      </c>
      <c r="C3934">
        <v>0.83156516915285905</v>
      </c>
      <c r="D3934">
        <v>0.965830561205687</v>
      </c>
      <c r="E3934">
        <v>0.83972196230199703</v>
      </c>
      <c r="F3934">
        <v>0.99429288318550801</v>
      </c>
      <c r="G3934">
        <v>0.70453922308962902</v>
      </c>
      <c r="H3934">
        <v>0.22983622008808699</v>
      </c>
      <c r="I3934">
        <v>0.37194845831295897</v>
      </c>
      <c r="J3934">
        <v>0.47735640446792299</v>
      </c>
      <c r="K3934">
        <v>0.58385808578489296</v>
      </c>
      <c r="L3934">
        <v>13448.771261510999</v>
      </c>
      <c r="M3934">
        <v>250</v>
      </c>
      <c r="N3934">
        <v>54.181035059827401</v>
      </c>
      <c r="O3934">
        <v>53.791620843175401</v>
      </c>
      <c r="P3934">
        <v>-0.67883478517640905</v>
      </c>
      <c r="Q3934">
        <v>0.41574978971957399</v>
      </c>
      <c r="R3934">
        <v>0.81593166287964503</v>
      </c>
      <c r="S3934" t="s">
        <v>10502</v>
      </c>
      <c r="T3934" t="s">
        <v>13134</v>
      </c>
      <c r="U3934" t="s">
        <v>13134</v>
      </c>
      <c r="V3934" t="s">
        <v>13134</v>
      </c>
      <c r="W3934" t="s">
        <v>17011</v>
      </c>
      <c r="X3934">
        <v>18</v>
      </c>
      <c r="Y3934" t="s">
        <v>22622</v>
      </c>
      <c r="Z3934" t="s">
        <v>29902</v>
      </c>
      <c r="AA3934">
        <v>0.74288934750572466</v>
      </c>
      <c r="AB3934" t="str">
        <f>HYPERLINK("Melting_Curves/meltCurve_Q5TA02_GSTO1.pdf", "Melting_Curves/meltCurve_Q5TA02_GSTO1.pdf")</f>
        <v>Melting_Curves/meltCurve_Q5TA02_GSTO1.pdf</v>
      </c>
    </row>
    <row r="3935" spans="1:28" x14ac:dyDescent="0.25">
      <c r="A3935" t="s">
        <v>3939</v>
      </c>
      <c r="B3935">
        <v>0.99472303558308395</v>
      </c>
      <c r="C3935">
        <v>0.90448109484866501</v>
      </c>
      <c r="D3935">
        <v>0.93234928544283002</v>
      </c>
      <c r="E3935">
        <v>0.56938491535273805</v>
      </c>
      <c r="F3935">
        <v>0.496482030496669</v>
      </c>
      <c r="G3935">
        <v>0.27412366760339002</v>
      </c>
      <c r="H3935">
        <v>0.18891237041575101</v>
      </c>
      <c r="I3935">
        <v>8.4465156124447896E-2</v>
      </c>
      <c r="J3935">
        <v>0.337042136139381</v>
      </c>
      <c r="K3935">
        <v>0.11568330920856899</v>
      </c>
      <c r="L3935">
        <v>713.01500825293704</v>
      </c>
      <c r="M3935">
        <v>14.969065978686601</v>
      </c>
      <c r="N3935">
        <v>48.857051978129299</v>
      </c>
      <c r="O3935">
        <v>46.806727948049399</v>
      </c>
      <c r="P3935">
        <v>-6.7453091534012397E-2</v>
      </c>
      <c r="Q3935">
        <v>0.15641053404928801</v>
      </c>
      <c r="R3935">
        <v>0.94515789543436002</v>
      </c>
      <c r="S3935" t="s">
        <v>10503</v>
      </c>
      <c r="T3935" t="s">
        <v>13134</v>
      </c>
      <c r="U3935" t="s">
        <v>13134</v>
      </c>
      <c r="V3935" t="s">
        <v>13134</v>
      </c>
      <c r="W3935" t="s">
        <v>17012</v>
      </c>
      <c r="X3935">
        <v>5</v>
      </c>
      <c r="Y3935" t="s">
        <v>23397</v>
      </c>
      <c r="Z3935" t="s">
        <v>29903</v>
      </c>
      <c r="AA3935">
        <v>0.47419105976484482</v>
      </c>
      <c r="AB3935" t="str">
        <f>HYPERLINK("Melting_Curves/meltCurve_Q5TA31_RNF187.pdf", "Melting_Curves/meltCurve_Q5TA31_RNF187.pdf")</f>
        <v>Melting_Curves/meltCurve_Q5TA31_RNF187.pdf</v>
      </c>
    </row>
    <row r="3936" spans="1:28" x14ac:dyDescent="0.25">
      <c r="A3936" t="s">
        <v>3940</v>
      </c>
      <c r="B3936">
        <v>0.99472303558308395</v>
      </c>
      <c r="C3936">
        <v>0.94930925050000503</v>
      </c>
      <c r="D3936">
        <v>0.77774747148268197</v>
      </c>
      <c r="E3936">
        <v>0.60413200277816503</v>
      </c>
      <c r="F3936">
        <v>0.501815711544641</v>
      </c>
      <c r="G3936">
        <v>0.31895022773391102</v>
      </c>
      <c r="H3936">
        <v>0.19102739143030301</v>
      </c>
      <c r="I3936">
        <v>0.111074308699411</v>
      </c>
      <c r="J3936">
        <v>0.225186201493455</v>
      </c>
      <c r="K3936">
        <v>0.215564834762941</v>
      </c>
      <c r="L3936">
        <v>578.11927617197398</v>
      </c>
      <c r="M3936">
        <v>12.157555402245601</v>
      </c>
      <c r="N3936">
        <v>48.913167030625303</v>
      </c>
      <c r="O3936">
        <v>46.320568900388203</v>
      </c>
      <c r="P3936">
        <v>-5.6213720348877803E-2</v>
      </c>
      <c r="Q3936">
        <v>0.143493992369611</v>
      </c>
      <c r="R3936">
        <v>0.97822962762459797</v>
      </c>
      <c r="S3936" t="s">
        <v>10504</v>
      </c>
      <c r="T3936" t="s">
        <v>13134</v>
      </c>
      <c r="U3936" t="s">
        <v>13134</v>
      </c>
      <c r="V3936" t="s">
        <v>13134</v>
      </c>
      <c r="W3936" t="s">
        <v>17013</v>
      </c>
      <c r="X3936">
        <v>8</v>
      </c>
      <c r="Y3936" t="s">
        <v>23398</v>
      </c>
      <c r="Z3936" t="s">
        <v>29904</v>
      </c>
      <c r="AA3936">
        <v>0.47163042722286408</v>
      </c>
      <c r="AB3936" t="str">
        <f>HYPERLINK("Melting_Curves/meltCurve_Q5TA45_2_CPSF3L.pdf", "Melting_Curves/meltCurve_Q5TA45_2_CPSF3L.pdf")</f>
        <v>Melting_Curves/meltCurve_Q5TA45_2_CPSF3L.pdf</v>
      </c>
    </row>
    <row r="3937" spans="1:28" x14ac:dyDescent="0.25">
      <c r="A3937" t="s">
        <v>3941</v>
      </c>
      <c r="B3937">
        <v>0.99472303558308395</v>
      </c>
      <c r="C3937">
        <v>0.91497433298013198</v>
      </c>
      <c r="D3937">
        <v>1.07721455298104</v>
      </c>
      <c r="E3937">
        <v>0.44530427189735</v>
      </c>
      <c r="F3937">
        <v>0.168041400420648</v>
      </c>
      <c r="G3937">
        <v>7.3944399185331605E-2</v>
      </c>
      <c r="H3937">
        <v>2.6975761072980501E-2</v>
      </c>
      <c r="I3937">
        <v>0</v>
      </c>
      <c r="J3937">
        <v>2.54869133635818E-2</v>
      </c>
      <c r="K3937">
        <v>0</v>
      </c>
      <c r="L3937">
        <v>2199.6435327413101</v>
      </c>
      <c r="M3937">
        <v>47.439216982826601</v>
      </c>
      <c r="N3937">
        <v>46.455211803014798</v>
      </c>
      <c r="O3937">
        <v>46.2854486156766</v>
      </c>
      <c r="P3937">
        <v>-0.24526992122358701</v>
      </c>
      <c r="Q3937">
        <v>4.2782144848235698E-2</v>
      </c>
      <c r="R3937">
        <v>0.98212828358288395</v>
      </c>
      <c r="S3937" t="s">
        <v>10505</v>
      </c>
      <c r="T3937" t="s">
        <v>13134</v>
      </c>
      <c r="U3937" t="s">
        <v>13134</v>
      </c>
      <c r="V3937" t="s">
        <v>13134</v>
      </c>
      <c r="W3937" t="s">
        <v>17014</v>
      </c>
      <c r="X3937">
        <v>3</v>
      </c>
      <c r="Y3937" t="s">
        <v>23399</v>
      </c>
      <c r="Z3937" t="s">
        <v>29905</v>
      </c>
      <c r="AA3937">
        <v>0.34385352372790912</v>
      </c>
      <c r="AB3937" t="str">
        <f>HYPERLINK("Melting_Curves/meltCurve_Q5TA50_GLTPD1.pdf", "Melting_Curves/meltCurve_Q5TA50_GLTPD1.pdf")</f>
        <v>Melting_Curves/meltCurve_Q5TA50_GLTPD1.pdf</v>
      </c>
    </row>
    <row r="3938" spans="1:28" x14ac:dyDescent="0.25">
      <c r="A3938" t="s">
        <v>3942</v>
      </c>
      <c r="B3938">
        <v>0.99472303558308395</v>
      </c>
      <c r="C3938">
        <v>0.97921322569962699</v>
      </c>
      <c r="D3938">
        <v>0.72011965044189197</v>
      </c>
      <c r="E3938">
        <v>0.61349913907514797</v>
      </c>
      <c r="F3938">
        <v>0.42729631704870702</v>
      </c>
      <c r="G3938">
        <v>0.27562479051475902</v>
      </c>
      <c r="H3938">
        <v>0.16172761616886</v>
      </c>
      <c r="I3938">
        <v>0.22442423059275801</v>
      </c>
      <c r="J3938">
        <v>0.25863625845609001</v>
      </c>
      <c r="K3938">
        <v>0.18739492876722</v>
      </c>
      <c r="L3938">
        <v>645.90197038894996</v>
      </c>
      <c r="M3938">
        <v>13.916289070921501</v>
      </c>
      <c r="N3938">
        <v>48.006349676819703</v>
      </c>
      <c r="O3938">
        <v>45.486478471197699</v>
      </c>
      <c r="P3938">
        <v>-6.2350669542328999E-2</v>
      </c>
      <c r="Q3938">
        <v>0.18491824147441799</v>
      </c>
      <c r="R3938">
        <v>0.97780080787203405</v>
      </c>
      <c r="S3938" t="s">
        <v>10506</v>
      </c>
      <c r="T3938" t="s">
        <v>13134</v>
      </c>
      <c r="U3938" t="s">
        <v>13134</v>
      </c>
      <c r="V3938" t="s">
        <v>13134</v>
      </c>
      <c r="W3938" t="s">
        <v>17015</v>
      </c>
      <c r="X3938">
        <v>8</v>
      </c>
      <c r="Y3938" t="s">
        <v>23400</v>
      </c>
      <c r="Z3938" t="s">
        <v>29906</v>
      </c>
      <c r="AA3938">
        <v>0.46200129598343759</v>
      </c>
      <c r="AB3938" t="str">
        <f>HYPERLINK("Melting_Curves/meltCurve_Q5TA58_AGO1.pdf", "Melting_Curves/meltCurve_Q5TA58_AGO1.pdf")</f>
        <v>Melting_Curves/meltCurve_Q5TA58_AGO1.pdf</v>
      </c>
    </row>
    <row r="3939" spans="1:28" x14ac:dyDescent="0.25">
      <c r="A3939" t="s">
        <v>3943</v>
      </c>
      <c r="B3939">
        <v>0.99472303558308395</v>
      </c>
      <c r="C3939">
        <v>1.1994419900636</v>
      </c>
      <c r="D3939">
        <v>0.95426370148263795</v>
      </c>
      <c r="E3939">
        <v>0.93282879368944904</v>
      </c>
      <c r="F3939">
        <v>0.825465144408422</v>
      </c>
      <c r="G3939">
        <v>0.39304610667458301</v>
      </c>
      <c r="H3939">
        <v>0.34776805701498897</v>
      </c>
      <c r="I3939">
        <v>8.2017702139619106E-2</v>
      </c>
      <c r="J3939">
        <v>0.169687199559064</v>
      </c>
      <c r="K3939">
        <v>0.16569950834752101</v>
      </c>
      <c r="L3939">
        <v>1248.90860443559</v>
      </c>
      <c r="M3939">
        <v>23.785901407927199</v>
      </c>
      <c r="N3939">
        <v>53.273887307635299</v>
      </c>
      <c r="O3939">
        <v>52.139350300940897</v>
      </c>
      <c r="P3939">
        <v>-9.7503983148278198E-2</v>
      </c>
      <c r="Q3939">
        <v>0.14508835162459799</v>
      </c>
      <c r="R3939">
        <v>0.95648949467976596</v>
      </c>
      <c r="S3939" t="s">
        <v>10507</v>
      </c>
      <c r="T3939" t="s">
        <v>13134</v>
      </c>
      <c r="U3939" t="s">
        <v>13134</v>
      </c>
      <c r="V3939" t="s">
        <v>13134</v>
      </c>
      <c r="W3939" t="s">
        <v>17016</v>
      </c>
      <c r="X3939">
        <v>3</v>
      </c>
      <c r="Y3939" t="s">
        <v>23401</v>
      </c>
      <c r="Z3939" t="s">
        <v>29907</v>
      </c>
      <c r="AA3939">
        <v>0.59522625784993477</v>
      </c>
      <c r="AB3939" t="str">
        <f>HYPERLINK("Melting_Curves/meltCurve_Q5TAA8_HPS1.pdf", "Melting_Curves/meltCurve_Q5TAA8_HPS1.pdf")</f>
        <v>Melting_Curves/meltCurve_Q5TAA8_HPS1.pdf</v>
      </c>
    </row>
    <row r="3940" spans="1:28" x14ac:dyDescent="0.25">
      <c r="A3940" t="s">
        <v>3944</v>
      </c>
      <c r="B3940">
        <v>0.99472303558308395</v>
      </c>
      <c r="C3940">
        <v>0.97243706376136996</v>
      </c>
      <c r="D3940">
        <v>0.87987579555508399</v>
      </c>
      <c r="E3940">
        <v>0.810151061023615</v>
      </c>
      <c r="F3940">
        <v>0.60688107224092003</v>
      </c>
      <c r="G3940">
        <v>0.27593059189244901</v>
      </c>
      <c r="H3940">
        <v>7.2712869167669697E-2</v>
      </c>
      <c r="I3940">
        <v>5.13879077352416E-2</v>
      </c>
      <c r="J3940">
        <v>6.6606904264514502E-2</v>
      </c>
      <c r="K3940">
        <v>6.8192933463289002E-2</v>
      </c>
      <c r="L3940">
        <v>884.70908209170602</v>
      </c>
      <c r="M3940">
        <v>17.4424013124376</v>
      </c>
      <c r="N3940">
        <v>50.834216831439001</v>
      </c>
      <c r="O3940">
        <v>50.069130138455002</v>
      </c>
      <c r="P3940">
        <v>-8.5447949313465693E-2</v>
      </c>
      <c r="Q3940">
        <v>1.89273745695436E-2</v>
      </c>
      <c r="R3940">
        <v>0.98985969509828997</v>
      </c>
      <c r="S3940" t="s">
        <v>10508</v>
      </c>
      <c r="T3940" t="s">
        <v>13134</v>
      </c>
      <c r="U3940" t="s">
        <v>13134</v>
      </c>
      <c r="V3940" t="s">
        <v>13134</v>
      </c>
      <c r="W3940" t="s">
        <v>17017</v>
      </c>
      <c r="X3940">
        <v>5</v>
      </c>
      <c r="Y3940" t="s">
        <v>23402</v>
      </c>
      <c r="Z3940" t="s">
        <v>29908</v>
      </c>
      <c r="AA3940">
        <v>0.48372547512212272</v>
      </c>
      <c r="AB3940" t="str">
        <f>HYPERLINK("Melting_Curves/meltCurve_Q5TAW7_CAB39L.pdf", "Melting_Curves/meltCurve_Q5TAW7_CAB39L.pdf")</f>
        <v>Melting_Curves/meltCurve_Q5TAW7_CAB39L.pdf</v>
      </c>
    </row>
    <row r="3941" spans="1:28" x14ac:dyDescent="0.25">
      <c r="A3941" t="s">
        <v>3945</v>
      </c>
      <c r="B3941">
        <v>0.99472303558308395</v>
      </c>
      <c r="C3941">
        <v>0.86783293904363401</v>
      </c>
      <c r="D3941">
        <v>0.77395523769800101</v>
      </c>
      <c r="E3941">
        <v>0.47395076528961</v>
      </c>
      <c r="F3941">
        <v>0.167733330405786</v>
      </c>
      <c r="G3941">
        <v>8.4017820289902997E-2</v>
      </c>
      <c r="H3941">
        <v>5.5372337170839898E-2</v>
      </c>
      <c r="I3941">
        <v>3.1128695031360499E-2</v>
      </c>
      <c r="J3941">
        <v>4.1309485225324002E-2</v>
      </c>
      <c r="K3941">
        <v>3.47658131034317E-2</v>
      </c>
      <c r="L3941">
        <v>779.52086463413798</v>
      </c>
      <c r="M3941">
        <v>17.000402569916002</v>
      </c>
      <c r="N3941">
        <v>45.967072247819203</v>
      </c>
      <c r="O3941">
        <v>45.232725318510198</v>
      </c>
      <c r="P3941">
        <v>-9.2027008304705005E-2</v>
      </c>
      <c r="Q3941">
        <v>2.0640730536078102E-2</v>
      </c>
      <c r="R3941">
        <v>0.99523663345840496</v>
      </c>
      <c r="S3941" t="s">
        <v>10509</v>
      </c>
      <c r="T3941" t="s">
        <v>13134</v>
      </c>
      <c r="U3941" t="s">
        <v>13134</v>
      </c>
      <c r="V3941" t="s">
        <v>13134</v>
      </c>
      <c r="W3941" t="s">
        <v>17018</v>
      </c>
      <c r="X3941">
        <v>14</v>
      </c>
      <c r="Y3941" t="s">
        <v>23403</v>
      </c>
      <c r="Z3941" t="s">
        <v>29909</v>
      </c>
      <c r="AA3941">
        <v>0.32741947723423098</v>
      </c>
      <c r="AB3941" t="str">
        <f>HYPERLINK("Melting_Curves/meltCurve_Q5TAX3_ZCCHC11.pdf", "Melting_Curves/meltCurve_Q5TAX3_ZCCHC11.pdf")</f>
        <v>Melting_Curves/meltCurve_Q5TAX3_ZCCHC11.pdf</v>
      </c>
    </row>
    <row r="3942" spans="1:28" x14ac:dyDescent="0.25">
      <c r="A3942" t="s">
        <v>3946</v>
      </c>
      <c r="B3942">
        <v>0.99472303558308395</v>
      </c>
      <c r="C3942">
        <v>1.0358340680023901</v>
      </c>
      <c r="D3942">
        <v>0.94654185248937694</v>
      </c>
      <c r="E3942">
        <v>0.75946336551687699</v>
      </c>
      <c r="F3942">
        <v>0.23294137785312399</v>
      </c>
      <c r="G3942">
        <v>0.12082141882627299</v>
      </c>
      <c r="H3942">
        <v>6.7570744888509796E-2</v>
      </c>
      <c r="I3942">
        <v>4.8907647655660497E-2</v>
      </c>
      <c r="J3942">
        <v>4.8306055878373999E-2</v>
      </c>
      <c r="K3942">
        <v>3.6666034310343702E-2</v>
      </c>
      <c r="L3942">
        <v>1526.6804850431499</v>
      </c>
      <c r="M3942">
        <v>31.752442152332801</v>
      </c>
      <c r="N3942">
        <v>48.255414861586502</v>
      </c>
      <c r="O3942">
        <v>47.891226669950797</v>
      </c>
      <c r="P3942">
        <v>-0.156754516933933</v>
      </c>
      <c r="Q3942">
        <v>5.4293026333040402E-2</v>
      </c>
      <c r="R3942">
        <v>0.99741676387481204</v>
      </c>
      <c r="S3942" t="s">
        <v>10510</v>
      </c>
      <c r="T3942" t="s">
        <v>13134</v>
      </c>
      <c r="U3942" t="s">
        <v>13134</v>
      </c>
      <c r="V3942" t="s">
        <v>13134</v>
      </c>
      <c r="W3942" t="s">
        <v>17019</v>
      </c>
      <c r="X3942">
        <v>11</v>
      </c>
      <c r="Y3942" t="s">
        <v>23404</v>
      </c>
      <c r="Z3942" t="s">
        <v>29910</v>
      </c>
      <c r="AA3942">
        <v>0.408601739880257</v>
      </c>
      <c r="AB3942" t="str">
        <f>HYPERLINK("Melting_Curves/meltCurve_Q5TBB1_RNASEH2B.pdf", "Melting_Curves/meltCurve_Q5TBB1_RNASEH2B.pdf")</f>
        <v>Melting_Curves/meltCurve_Q5TBB1_RNASEH2B.pdf</v>
      </c>
    </row>
    <row r="3943" spans="1:28" x14ac:dyDescent="0.25">
      <c r="A3943" t="s">
        <v>3947</v>
      </c>
      <c r="B3943">
        <v>0.99472303558308395</v>
      </c>
      <c r="C3943">
        <v>0.91576264633611304</v>
      </c>
      <c r="D3943">
        <v>0.75701810520261603</v>
      </c>
      <c r="E3943">
        <v>0.70501155973041696</v>
      </c>
      <c r="F3943">
        <v>0.34123930149780102</v>
      </c>
      <c r="G3943">
        <v>0.188790334715707</v>
      </c>
      <c r="H3943">
        <v>0.10698386873421099</v>
      </c>
      <c r="I3943">
        <v>9.0305853326900595E-2</v>
      </c>
      <c r="J3943">
        <v>0.12662311935533099</v>
      </c>
      <c r="K3943">
        <v>7.6281720573552703E-2</v>
      </c>
      <c r="L3943">
        <v>667.78768597260296</v>
      </c>
      <c r="M3943">
        <v>13.993861870817399</v>
      </c>
      <c r="N3943">
        <v>48.1195644959353</v>
      </c>
      <c r="O3943">
        <v>46.777243998171798</v>
      </c>
      <c r="P3943">
        <v>-7.0697383021967805E-2</v>
      </c>
      <c r="Q3943">
        <v>5.484549005435E-2</v>
      </c>
      <c r="R3943">
        <v>0.98308000645540305</v>
      </c>
      <c r="S3943" t="s">
        <v>10511</v>
      </c>
      <c r="T3943" t="s">
        <v>13134</v>
      </c>
      <c r="U3943" t="s">
        <v>13134</v>
      </c>
      <c r="V3943" t="s">
        <v>13134</v>
      </c>
      <c r="W3943" t="s">
        <v>17020</v>
      </c>
      <c r="X3943">
        <v>10</v>
      </c>
      <c r="Y3943" t="s">
        <v>23405</v>
      </c>
      <c r="Z3943" t="s">
        <v>29911</v>
      </c>
      <c r="AA3943">
        <v>0.41612325845270448</v>
      </c>
      <c r="AB3943" t="str">
        <f>HYPERLINK("Melting_Curves/meltCurve_Q5TBP5_TAF4.pdf", "Melting_Curves/meltCurve_Q5TBP5_TAF4.pdf")</f>
        <v>Melting_Curves/meltCurve_Q5TBP5_TAF4.pdf</v>
      </c>
    </row>
    <row r="3944" spans="1:28" x14ac:dyDescent="0.25">
      <c r="A3944" t="s">
        <v>3948</v>
      </c>
      <c r="B3944">
        <v>0.99472303558308395</v>
      </c>
      <c r="C3944">
        <v>0.89213001103374401</v>
      </c>
      <c r="D3944">
        <v>0.87677709679313298</v>
      </c>
      <c r="E3944">
        <v>0.64208494991782505</v>
      </c>
      <c r="F3944">
        <v>0.33297711121356199</v>
      </c>
      <c r="G3944">
        <v>0.163294914004187</v>
      </c>
      <c r="H3944">
        <v>0.12379874062318499</v>
      </c>
      <c r="I3944">
        <v>9.3469731842378098E-2</v>
      </c>
      <c r="J3944">
        <v>0.115108609048125</v>
      </c>
      <c r="K3944">
        <v>0.15669905405732501</v>
      </c>
      <c r="L3944">
        <v>879.10070251072602</v>
      </c>
      <c r="M3944">
        <v>18.570224394316298</v>
      </c>
      <c r="N3944">
        <v>47.937635474644303</v>
      </c>
      <c r="O3944">
        <v>46.800550397739698</v>
      </c>
      <c r="P3944">
        <v>-8.8940809309916297E-2</v>
      </c>
      <c r="Q3944">
        <v>0.10344707395091</v>
      </c>
      <c r="R3944">
        <v>0.99105734266162604</v>
      </c>
      <c r="S3944" t="s">
        <v>10512</v>
      </c>
      <c r="T3944" t="s">
        <v>13134</v>
      </c>
      <c r="U3944" t="s">
        <v>13134</v>
      </c>
      <c r="V3944" t="s">
        <v>13134</v>
      </c>
      <c r="W3944" t="s">
        <v>17021</v>
      </c>
      <c r="X3944">
        <v>4</v>
      </c>
      <c r="Y3944" t="s">
        <v>23406</v>
      </c>
      <c r="Z3944" t="s">
        <v>29912</v>
      </c>
      <c r="AA3944">
        <v>0.42598413126014739</v>
      </c>
      <c r="AB3944" t="str">
        <f>HYPERLINK("Melting_Curves/meltCurve_Q5TBP9_LSM14B.pdf", "Melting_Curves/meltCurve_Q5TBP9_LSM14B.pdf")</f>
        <v>Melting_Curves/meltCurve_Q5TBP9_LSM14B.pdf</v>
      </c>
    </row>
    <row r="3945" spans="1:28" x14ac:dyDescent="0.25">
      <c r="A3945" t="s">
        <v>3949</v>
      </c>
      <c r="B3945">
        <v>0.99472303558308395</v>
      </c>
      <c r="C3945">
        <v>0.93637000649833202</v>
      </c>
      <c r="D3945">
        <v>0.773924075501501</v>
      </c>
      <c r="E3945">
        <v>0.66037793782472398</v>
      </c>
      <c r="F3945">
        <v>0.42086371461481098</v>
      </c>
      <c r="G3945">
        <v>0.15869647845010501</v>
      </c>
      <c r="H3945">
        <v>8.9435449860305494E-2</v>
      </c>
      <c r="I3945">
        <v>6.5635327683054606E-2</v>
      </c>
      <c r="J3945">
        <v>9.0840581853166402E-2</v>
      </c>
      <c r="K3945">
        <v>7.1341747927849697E-2</v>
      </c>
      <c r="L3945">
        <v>651.41373465136496</v>
      </c>
      <c r="M3945">
        <v>13.541656564610699</v>
      </c>
      <c r="N3945">
        <v>48.296079070118701</v>
      </c>
      <c r="O3945">
        <v>47.091748555272503</v>
      </c>
      <c r="P3945">
        <v>-7.0019790549639402E-2</v>
      </c>
      <c r="Q3945">
        <v>2.61582697514855E-2</v>
      </c>
      <c r="R3945">
        <v>0.98948611198168002</v>
      </c>
      <c r="S3945" t="s">
        <v>10513</v>
      </c>
      <c r="T3945" t="s">
        <v>13134</v>
      </c>
      <c r="U3945" t="s">
        <v>13134</v>
      </c>
      <c r="V3945" t="s">
        <v>13134</v>
      </c>
      <c r="W3945" t="s">
        <v>17022</v>
      </c>
      <c r="X3945">
        <v>4</v>
      </c>
      <c r="Y3945" t="s">
        <v>23407</v>
      </c>
      <c r="Z3945" t="s">
        <v>29913</v>
      </c>
      <c r="AA3945">
        <v>0.41188741897797049</v>
      </c>
      <c r="AB3945" t="str">
        <f>HYPERLINK("Melting_Curves/meltCurve_Q5TC82_2_RC3H1.pdf", "Melting_Curves/meltCurve_Q5TC82_2_RC3H1.pdf")</f>
        <v>Melting_Curves/meltCurve_Q5TC82_2_RC3H1.pdf</v>
      </c>
    </row>
    <row r="3946" spans="1:28" x14ac:dyDescent="0.25">
      <c r="A3946" t="s">
        <v>3950</v>
      </c>
      <c r="B3946">
        <v>0.99472303558308395</v>
      </c>
      <c r="C3946">
        <v>1.0497737586253599</v>
      </c>
      <c r="D3946">
        <v>0.94142647964170201</v>
      </c>
      <c r="E3946">
        <v>0.90153723715651202</v>
      </c>
      <c r="F3946">
        <v>0.72925147998903606</v>
      </c>
      <c r="G3946">
        <v>0.56801260092289396</v>
      </c>
      <c r="H3946">
        <v>0.48649533436393499</v>
      </c>
      <c r="I3946">
        <v>0.58608582378226404</v>
      </c>
      <c r="J3946">
        <v>0.768593258978992</v>
      </c>
      <c r="K3946">
        <v>0.56105726059494199</v>
      </c>
      <c r="L3946">
        <v>1462.9752352128801</v>
      </c>
      <c r="M3946">
        <v>30.147322405325301</v>
      </c>
      <c r="O3946">
        <v>48.315513111706998</v>
      </c>
      <c r="P3946">
        <v>-6.3476395996116694E-2</v>
      </c>
      <c r="Q3946">
        <v>0.59308160041439395</v>
      </c>
      <c r="R3946">
        <v>0.86135044489827794</v>
      </c>
      <c r="S3946" t="s">
        <v>10514</v>
      </c>
      <c r="T3946" t="s">
        <v>13134</v>
      </c>
      <c r="U3946" t="s">
        <v>13134</v>
      </c>
      <c r="V3946" t="s">
        <v>13134</v>
      </c>
      <c r="W3946" t="s">
        <v>17023</v>
      </c>
      <c r="X3946">
        <v>12</v>
      </c>
      <c r="Y3946" t="s">
        <v>23408</v>
      </c>
      <c r="Z3946" t="s">
        <v>29914</v>
      </c>
      <c r="AA3946">
        <v>0.75185033559558601</v>
      </c>
      <c r="AB3946" t="str">
        <f>HYPERLINK("Melting_Curves/meltCurve_Q5TD07_NQO2.pdf", "Melting_Curves/meltCurve_Q5TD07_NQO2.pdf")</f>
        <v>Melting_Curves/meltCurve_Q5TD07_NQO2.pdf</v>
      </c>
    </row>
    <row r="3947" spans="1:28" x14ac:dyDescent="0.25">
      <c r="A3947" t="s">
        <v>3951</v>
      </c>
      <c r="B3947">
        <v>0.99472303558308395</v>
      </c>
      <c r="C3947">
        <v>0.65819320104626</v>
      </c>
      <c r="D3947">
        <v>0.49025120091630803</v>
      </c>
      <c r="E3947">
        <v>0.51127376491754195</v>
      </c>
      <c r="F3947">
        <v>0.23526690936587</v>
      </c>
      <c r="G3947">
        <v>3.8369590201883998E-2</v>
      </c>
      <c r="H3947">
        <v>2.6107662125333601E-2</v>
      </c>
      <c r="I3947">
        <v>3.8639436685584998E-2</v>
      </c>
      <c r="J3947">
        <v>3.8161634273120401E-2</v>
      </c>
      <c r="K3947">
        <v>0</v>
      </c>
      <c r="L3947">
        <v>476.40424283837302</v>
      </c>
      <c r="M3947">
        <v>10.811213899734099</v>
      </c>
      <c r="N3947">
        <v>44.065754362664997</v>
      </c>
      <c r="O3947">
        <v>42.638438622294899</v>
      </c>
      <c r="P3947">
        <v>-6.3411745556197704E-2</v>
      </c>
      <c r="Q3947">
        <v>0</v>
      </c>
      <c r="R3947">
        <v>0.94222408246074596</v>
      </c>
      <c r="S3947" t="s">
        <v>10515</v>
      </c>
      <c r="T3947" t="s">
        <v>13134</v>
      </c>
      <c r="U3947" t="s">
        <v>13134</v>
      </c>
      <c r="V3947" t="s">
        <v>13134</v>
      </c>
      <c r="W3947" t="s">
        <v>17024</v>
      </c>
      <c r="X3947">
        <v>3</v>
      </c>
      <c r="Y3947" t="s">
        <v>23409</v>
      </c>
      <c r="Z3947" t="s">
        <v>29915</v>
      </c>
      <c r="AA3947">
        <v>0.28200480869818739</v>
      </c>
      <c r="AB3947" t="str">
        <f>HYPERLINK("Melting_Curves/meltCurve_Q5TDG9_DNAJC16.pdf", "Melting_Curves/meltCurve_Q5TDG9_DNAJC16.pdf")</f>
        <v>Melting_Curves/meltCurve_Q5TDG9_DNAJC16.pdf</v>
      </c>
    </row>
    <row r="3948" spans="1:28" x14ac:dyDescent="0.25">
      <c r="A3948" t="s">
        <v>3952</v>
      </c>
      <c r="B3948">
        <v>0.99472303558308395</v>
      </c>
      <c r="C3948">
        <v>1.03848115874647</v>
      </c>
      <c r="D3948">
        <v>0.98538000298385298</v>
      </c>
      <c r="E3948">
        <v>0.826854909942078</v>
      </c>
      <c r="F3948">
        <v>0.43592728744246301</v>
      </c>
      <c r="G3948">
        <v>0.171330585021917</v>
      </c>
      <c r="H3948">
        <v>8.6008004545840094E-2</v>
      </c>
      <c r="I3948">
        <v>5.2945404722213998E-2</v>
      </c>
      <c r="J3948">
        <v>5.5016883497377399E-2</v>
      </c>
      <c r="K3948">
        <v>4.8035899235295797E-2</v>
      </c>
      <c r="L3948">
        <v>1214.7237867767799</v>
      </c>
      <c r="M3948">
        <v>24.560286118656201</v>
      </c>
      <c r="N3948">
        <v>49.672409809238403</v>
      </c>
      <c r="O3948">
        <v>49.1344675114563</v>
      </c>
      <c r="P3948">
        <v>-0.118705468733599</v>
      </c>
      <c r="Q3948">
        <v>5.0101304850964402E-2</v>
      </c>
      <c r="R3948">
        <v>0.99890319389618698</v>
      </c>
      <c r="S3948" t="s">
        <v>10516</v>
      </c>
      <c r="T3948" t="s">
        <v>13134</v>
      </c>
      <c r="U3948" t="s">
        <v>13134</v>
      </c>
      <c r="V3948" t="s">
        <v>13134</v>
      </c>
      <c r="W3948" t="s">
        <v>17025</v>
      </c>
      <c r="X3948">
        <v>24</v>
      </c>
      <c r="Y3948" t="s">
        <v>23410</v>
      </c>
      <c r="Z3948" t="s">
        <v>29916</v>
      </c>
      <c r="AA3948">
        <v>0.45313259663710009</v>
      </c>
      <c r="AB3948" t="str">
        <f>HYPERLINK("Melting_Curves/meltCurve_Q5TDH0_DDI2.pdf", "Melting_Curves/meltCurve_Q5TDH0_DDI2.pdf")</f>
        <v>Melting_Curves/meltCurve_Q5TDH0_DDI2.pdf</v>
      </c>
    </row>
    <row r="3949" spans="1:28" x14ac:dyDescent="0.25">
      <c r="A3949" t="s">
        <v>3953</v>
      </c>
      <c r="B3949">
        <v>0.99472303558308395</v>
      </c>
      <c r="C3949">
        <v>0.985708258060218</v>
      </c>
      <c r="D3949">
        <v>0.81870596418089503</v>
      </c>
      <c r="E3949">
        <v>0.81096983826629199</v>
      </c>
      <c r="F3949">
        <v>0.64106847304491599</v>
      </c>
      <c r="G3949">
        <v>0.49527365394200001</v>
      </c>
      <c r="H3949">
        <v>0.18923139735598599</v>
      </c>
      <c r="I3949">
        <v>6.5162840437113498E-2</v>
      </c>
      <c r="J3949">
        <v>6.3692971721298605E-2</v>
      </c>
      <c r="K3949">
        <v>5.1327113054159802E-2</v>
      </c>
      <c r="L3949">
        <v>674.88955397041798</v>
      </c>
      <c r="M3949">
        <v>12.9380095861053</v>
      </c>
      <c r="N3949">
        <v>52.163306913455401</v>
      </c>
      <c r="O3949">
        <v>50.964299567393802</v>
      </c>
      <c r="P3949">
        <v>-6.34774652037218E-2</v>
      </c>
      <c r="Q3949">
        <v>0</v>
      </c>
      <c r="R3949">
        <v>0.97754108944145801</v>
      </c>
      <c r="S3949" t="s">
        <v>10517</v>
      </c>
      <c r="T3949" t="s">
        <v>13134</v>
      </c>
      <c r="U3949" t="s">
        <v>13134</v>
      </c>
      <c r="V3949" t="s">
        <v>13134</v>
      </c>
      <c r="W3949" t="s">
        <v>17026</v>
      </c>
      <c r="X3949">
        <v>4</v>
      </c>
      <c r="Y3949" t="s">
        <v>23411</v>
      </c>
      <c r="Z3949" t="s">
        <v>29917</v>
      </c>
      <c r="AA3949">
        <v>0.5274105543023343</v>
      </c>
      <c r="AB3949" t="str">
        <f>HYPERLINK("Melting_Curves/meltCurve_Q5TEU4_NDUFAF5.pdf", "Melting_Curves/meltCurve_Q5TEU4_NDUFAF5.pdf")</f>
        <v>Melting_Curves/meltCurve_Q5TEU4_NDUFAF5.pdf</v>
      </c>
    </row>
    <row r="3950" spans="1:28" x14ac:dyDescent="0.25">
      <c r="A3950" t="s">
        <v>3954</v>
      </c>
      <c r="B3950">
        <v>0.99472303558308395</v>
      </c>
      <c r="C3950">
        <v>0.97560197161599305</v>
      </c>
      <c r="D3950">
        <v>0.86663642341417302</v>
      </c>
      <c r="E3950">
        <v>0.75917193259734495</v>
      </c>
      <c r="F3950">
        <v>0.559359681764795</v>
      </c>
      <c r="G3950">
        <v>0.14260004832379899</v>
      </c>
      <c r="H3950">
        <v>9.5272220175014105E-2</v>
      </c>
      <c r="I3950">
        <v>9.8856610362219294E-2</v>
      </c>
      <c r="J3950">
        <v>2.94909328185161E-2</v>
      </c>
      <c r="K3950">
        <v>2.7369782900043799E-2</v>
      </c>
      <c r="L3950">
        <v>842.44097655118298</v>
      </c>
      <c r="M3950">
        <v>16.8990366112779</v>
      </c>
      <c r="N3950">
        <v>49.914831724742001</v>
      </c>
      <c r="O3950">
        <v>49.169040270235399</v>
      </c>
      <c r="P3950">
        <v>-8.5016065878152997E-2</v>
      </c>
      <c r="Q3950">
        <v>1.0619594668295901E-2</v>
      </c>
      <c r="R3950">
        <v>0.98559530941973506</v>
      </c>
      <c r="S3950" t="s">
        <v>10518</v>
      </c>
      <c r="T3950" t="s">
        <v>13134</v>
      </c>
      <c r="U3950" t="s">
        <v>13134</v>
      </c>
      <c r="V3950" t="s">
        <v>13134</v>
      </c>
      <c r="W3950" t="s">
        <v>17027</v>
      </c>
      <c r="X3950">
        <v>2</v>
      </c>
      <c r="Y3950" t="s">
        <v>23412</v>
      </c>
      <c r="Z3950" t="s">
        <v>29918</v>
      </c>
      <c r="AA3950">
        <v>0.45175914431568492</v>
      </c>
      <c r="AB3950" t="str">
        <f>HYPERLINK("Melting_Curves/meltCurve_Q5TFA5_GINM1.pdf", "Melting_Curves/meltCurve_Q5TFA5_GINM1.pdf")</f>
        <v>Melting_Curves/meltCurve_Q5TFA5_GINM1.pdf</v>
      </c>
    </row>
    <row r="3951" spans="1:28" x14ac:dyDescent="0.25">
      <c r="A3951" t="s">
        <v>3955</v>
      </c>
      <c r="B3951">
        <v>0.99472303558308395</v>
      </c>
      <c r="C3951">
        <v>1.0224002267663099</v>
      </c>
      <c r="D3951">
        <v>0.97441830909220395</v>
      </c>
      <c r="E3951">
        <v>0.91614204051798198</v>
      </c>
      <c r="F3951">
        <v>0.68105541014531801</v>
      </c>
      <c r="G3951">
        <v>0.53173552744223995</v>
      </c>
      <c r="H3951">
        <v>0.32099449052257001</v>
      </c>
      <c r="I3951">
        <v>0.13207985022810201</v>
      </c>
      <c r="J3951">
        <v>0.113529430525367</v>
      </c>
      <c r="K3951">
        <v>0.114802071723499</v>
      </c>
      <c r="L3951">
        <v>762.02350210817701</v>
      </c>
      <c r="M3951">
        <v>14.2476037652758</v>
      </c>
      <c r="N3951">
        <v>53.774342604253299</v>
      </c>
      <c r="O3951">
        <v>52.463777353163998</v>
      </c>
      <c r="P3951">
        <v>-6.53899061567558E-2</v>
      </c>
      <c r="Q3951">
        <v>3.6981281481559998E-2</v>
      </c>
      <c r="R3951">
        <v>0.99409393234353605</v>
      </c>
      <c r="S3951" t="s">
        <v>10519</v>
      </c>
      <c r="T3951" t="s">
        <v>13134</v>
      </c>
      <c r="U3951" t="s">
        <v>13134</v>
      </c>
      <c r="V3951" t="s">
        <v>13134</v>
      </c>
      <c r="W3951" t="s">
        <v>17028</v>
      </c>
      <c r="X3951">
        <v>14</v>
      </c>
      <c r="Y3951" t="s">
        <v>23413</v>
      </c>
      <c r="Z3951" t="s">
        <v>29919</v>
      </c>
      <c r="AA3951">
        <v>0.58329617191001193</v>
      </c>
      <c r="AB3951" t="str">
        <f>HYPERLINK("Melting_Curves/meltCurve_Q5TFE4_NT5DC1.pdf", "Melting_Curves/meltCurve_Q5TFE4_NT5DC1.pdf")</f>
        <v>Melting_Curves/meltCurve_Q5TFE4_NT5DC1.pdf</v>
      </c>
    </row>
    <row r="3952" spans="1:28" x14ac:dyDescent="0.25">
      <c r="A3952" t="s">
        <v>3956</v>
      </c>
      <c r="B3952">
        <v>0.99472303558308395</v>
      </c>
      <c r="C3952">
        <v>1.1599244309246299</v>
      </c>
      <c r="D3952">
        <v>0.90440013006074504</v>
      </c>
      <c r="E3952">
        <v>0.87846437480056705</v>
      </c>
      <c r="F3952">
        <v>0.83939127323713303</v>
      </c>
      <c r="G3952">
        <v>0.63073138676005303</v>
      </c>
      <c r="H3952">
        <v>0.47390466714842999</v>
      </c>
      <c r="I3952">
        <v>0.54422916089947204</v>
      </c>
      <c r="J3952">
        <v>0.55719033140487895</v>
      </c>
      <c r="K3952">
        <v>0.49082501239969301</v>
      </c>
      <c r="L3952">
        <v>959.72830650552805</v>
      </c>
      <c r="M3952">
        <v>18.842923193827101</v>
      </c>
      <c r="O3952">
        <v>50.369832526157502</v>
      </c>
      <c r="P3952">
        <v>-4.6863786407078799E-2</v>
      </c>
      <c r="Q3952">
        <v>0.49892618669692301</v>
      </c>
      <c r="R3952">
        <v>0.90734010126621001</v>
      </c>
      <c r="S3952" t="s">
        <v>10520</v>
      </c>
      <c r="T3952" t="s">
        <v>13134</v>
      </c>
      <c r="U3952" t="s">
        <v>13134</v>
      </c>
      <c r="V3952" t="s">
        <v>13134</v>
      </c>
      <c r="W3952" t="s">
        <v>17029</v>
      </c>
      <c r="X3952">
        <v>2</v>
      </c>
      <c r="Y3952" t="s">
        <v>20483</v>
      </c>
      <c r="Z3952" t="s">
        <v>29920</v>
      </c>
      <c r="AA3952">
        <v>0.73888139945442532</v>
      </c>
      <c r="AB3952" t="str">
        <f>HYPERLINK("Melting_Curves/meltCurve_Q5TGE1_TMEM189.pdf", "Melting_Curves/meltCurve_Q5TGE1_TMEM189.pdf")</f>
        <v>Melting_Curves/meltCurve_Q5TGE1_TMEM189.pdf</v>
      </c>
    </row>
    <row r="3953" spans="1:28" x14ac:dyDescent="0.25">
      <c r="A3953" t="s">
        <v>3957</v>
      </c>
      <c r="B3953">
        <v>0.99472303558308395</v>
      </c>
      <c r="C3953">
        <v>1.0523998529980401</v>
      </c>
      <c r="D3953">
        <v>1.0625443080363699</v>
      </c>
      <c r="E3953">
        <v>0.99826606576590204</v>
      </c>
      <c r="F3953">
        <v>0.56072565503382199</v>
      </c>
      <c r="G3953">
        <v>0.17962610896390799</v>
      </c>
      <c r="H3953">
        <v>7.8121461046989304E-2</v>
      </c>
      <c r="I3953">
        <v>5.3696396159202998E-2</v>
      </c>
      <c r="J3953">
        <v>5.6315054919006798E-2</v>
      </c>
      <c r="K3953">
        <v>4.5645123658368598E-2</v>
      </c>
      <c r="L3953">
        <v>1815.94785080049</v>
      </c>
      <c r="M3953">
        <v>35.963445445707499</v>
      </c>
      <c r="N3953">
        <v>50.672323320374602</v>
      </c>
      <c r="O3953">
        <v>50.338912116280099</v>
      </c>
      <c r="P3953">
        <v>-0.16800528698518799</v>
      </c>
      <c r="Q3953">
        <v>5.9358717749522498E-2</v>
      </c>
      <c r="R3953">
        <v>0.99494163954689296</v>
      </c>
      <c r="S3953" t="s">
        <v>10521</v>
      </c>
      <c r="T3953" t="s">
        <v>13134</v>
      </c>
      <c r="U3953" t="s">
        <v>13134</v>
      </c>
      <c r="V3953" t="s">
        <v>13134</v>
      </c>
      <c r="W3953" t="s">
        <v>17030</v>
      </c>
      <c r="X3953">
        <v>10</v>
      </c>
      <c r="Y3953" t="s">
        <v>23414</v>
      </c>
      <c r="Z3953" t="s">
        <v>29921</v>
      </c>
      <c r="AA3953">
        <v>0.48652697915136872</v>
      </c>
      <c r="AB3953" t="str">
        <f>HYPERLINK("Melting_Curves/meltCurve_Q5TH30_NDRG3.pdf", "Melting_Curves/meltCurve_Q5TH30_NDRG3.pdf")</f>
        <v>Melting_Curves/meltCurve_Q5TH30_NDRG3.pdf</v>
      </c>
    </row>
    <row r="3954" spans="1:28" x14ac:dyDescent="0.25">
      <c r="A3954" t="s">
        <v>3958</v>
      </c>
      <c r="B3954">
        <v>0.99472303558308395</v>
      </c>
      <c r="C3954">
        <v>0.86408695942569502</v>
      </c>
      <c r="D3954">
        <v>0.62215115987590297</v>
      </c>
      <c r="E3954">
        <v>0.40068372596142199</v>
      </c>
      <c r="F3954">
        <v>0.16093995329226901</v>
      </c>
      <c r="G3954">
        <v>7.7914590014335303E-2</v>
      </c>
      <c r="H3954">
        <v>5.1676921752320602E-2</v>
      </c>
      <c r="I3954">
        <v>4.0249420338225303E-2</v>
      </c>
      <c r="J3954">
        <v>4.4828136838117698E-2</v>
      </c>
      <c r="K3954">
        <v>2.42550476212317E-2</v>
      </c>
      <c r="L3954">
        <v>679.42192134921504</v>
      </c>
      <c r="M3954">
        <v>15.2026840057421</v>
      </c>
      <c r="N3954">
        <v>44.820095299547802</v>
      </c>
      <c r="O3954">
        <v>43.939054045055201</v>
      </c>
      <c r="P3954">
        <v>-8.4652854746116196E-2</v>
      </c>
      <c r="Q3954">
        <v>2.1433402471313302E-2</v>
      </c>
      <c r="R3954">
        <v>0.99665624065700897</v>
      </c>
      <c r="S3954" t="s">
        <v>10522</v>
      </c>
      <c r="T3954" t="s">
        <v>13134</v>
      </c>
      <c r="U3954" t="s">
        <v>13134</v>
      </c>
      <c r="V3954" t="s">
        <v>13134</v>
      </c>
      <c r="W3954" t="s">
        <v>17031</v>
      </c>
      <c r="X3954">
        <v>8</v>
      </c>
      <c r="Y3954" t="s">
        <v>23415</v>
      </c>
      <c r="Z3954" t="s">
        <v>29922</v>
      </c>
      <c r="AA3954">
        <v>0.29522366278753132</v>
      </c>
      <c r="AB3954" t="str">
        <f>HYPERLINK("Melting_Curves/meltCurve_Q5THJ4_2_VPS13D.pdf", "Melting_Curves/meltCurve_Q5THJ4_2_VPS13D.pdf")</f>
        <v>Melting_Curves/meltCurve_Q5THJ4_2_VPS13D.pdf</v>
      </c>
    </row>
    <row r="3955" spans="1:28" x14ac:dyDescent="0.25">
      <c r="A3955" t="s">
        <v>3959</v>
      </c>
      <c r="B3955">
        <v>0.99472303558308395</v>
      </c>
      <c r="C3955">
        <v>0.78823715400801497</v>
      </c>
      <c r="D3955">
        <v>0.57766872007644399</v>
      </c>
      <c r="E3955">
        <v>0.411849014670427</v>
      </c>
      <c r="F3955">
        <v>0.32990308875663799</v>
      </c>
      <c r="G3955">
        <v>0.16641415481101701</v>
      </c>
      <c r="H3955">
        <v>0.12189289611811201</v>
      </c>
      <c r="I3955">
        <v>9.8249025677909205E-2</v>
      </c>
      <c r="J3955">
        <v>0.174232073754467</v>
      </c>
      <c r="K3955">
        <v>0.136853398573972</v>
      </c>
      <c r="L3955">
        <v>559.90908002209096</v>
      </c>
      <c r="M3955">
        <v>12.753665924741201</v>
      </c>
      <c r="N3955">
        <v>44.8270039916314</v>
      </c>
      <c r="O3955">
        <v>42.864474950897602</v>
      </c>
      <c r="P3955">
        <v>-6.5788900604745501E-2</v>
      </c>
      <c r="Q3955">
        <v>0.115715091128547</v>
      </c>
      <c r="R3955">
        <v>0.98088614250245698</v>
      </c>
      <c r="S3955" t="s">
        <v>10523</v>
      </c>
      <c r="T3955" t="s">
        <v>13134</v>
      </c>
      <c r="U3955" t="s">
        <v>13134</v>
      </c>
      <c r="V3955" t="s">
        <v>13134</v>
      </c>
      <c r="W3955" t="s">
        <v>17032</v>
      </c>
      <c r="X3955">
        <v>2</v>
      </c>
      <c r="Y3955" t="s">
        <v>23416</v>
      </c>
      <c r="Z3955" t="s">
        <v>29923</v>
      </c>
      <c r="AA3955">
        <v>0.34977672645374991</v>
      </c>
      <c r="AB3955" t="str">
        <f>HYPERLINK("Melting_Curves/meltCurve_Q5THK1_3_PRR14L.pdf", "Melting_Curves/meltCurve_Q5THK1_3_PRR14L.pdf")</f>
        <v>Melting_Curves/meltCurve_Q5THK1_3_PRR14L.pdf</v>
      </c>
    </row>
    <row r="3956" spans="1:28" x14ac:dyDescent="0.25">
      <c r="A3956" t="s">
        <v>3960</v>
      </c>
      <c r="B3956">
        <v>0.99472303558308395</v>
      </c>
      <c r="C3956">
        <v>1.0103758846244999</v>
      </c>
      <c r="D3956">
        <v>0.80070961895541504</v>
      </c>
      <c r="E3956">
        <v>0.53134328984319701</v>
      </c>
      <c r="F3956">
        <v>0.39329388175554603</v>
      </c>
      <c r="G3956">
        <v>0.163888554625087</v>
      </c>
      <c r="H3956">
        <v>0.110515774245526</v>
      </c>
      <c r="I3956">
        <v>8.1175482990237705E-2</v>
      </c>
      <c r="J3956">
        <v>0.14765898065436001</v>
      </c>
      <c r="K3956">
        <v>7.7673642670702897E-2</v>
      </c>
      <c r="L3956">
        <v>733.96618177182097</v>
      </c>
      <c r="M3956">
        <v>15.6328113334422</v>
      </c>
      <c r="N3956">
        <v>47.493613699317102</v>
      </c>
      <c r="O3956">
        <v>46.2022236129284</v>
      </c>
      <c r="P3956">
        <v>-7.7670500385650598E-2</v>
      </c>
      <c r="Q3956">
        <v>8.1869163622863006E-2</v>
      </c>
      <c r="R3956">
        <v>0.98821905941768495</v>
      </c>
      <c r="S3956" t="s">
        <v>10524</v>
      </c>
      <c r="T3956" t="s">
        <v>13134</v>
      </c>
      <c r="U3956" t="s">
        <v>13134</v>
      </c>
      <c r="V3956" t="s">
        <v>13134</v>
      </c>
      <c r="W3956" t="s">
        <v>17033</v>
      </c>
      <c r="X3956">
        <v>3</v>
      </c>
      <c r="Y3956" t="s">
        <v>23417</v>
      </c>
      <c r="Z3956" t="s">
        <v>29924</v>
      </c>
      <c r="AA3956">
        <v>0.40559300285674488</v>
      </c>
      <c r="AB3956" t="str">
        <f>HYPERLINK("Melting_Curves/meltCurve_Q5TI78_METTL18.pdf", "Melting_Curves/meltCurve_Q5TI78_METTL18.pdf")</f>
        <v>Melting_Curves/meltCurve_Q5TI78_METTL18.pdf</v>
      </c>
    </row>
    <row r="3957" spans="1:28" x14ac:dyDescent="0.25">
      <c r="A3957" t="s">
        <v>3961</v>
      </c>
      <c r="B3957">
        <v>0.99472303558308395</v>
      </c>
      <c r="C3957">
        <v>0.91212263571833496</v>
      </c>
      <c r="D3957">
        <v>0.64198664708105702</v>
      </c>
      <c r="E3957">
        <v>0.68323427918877999</v>
      </c>
      <c r="F3957">
        <v>0.50535020146884801</v>
      </c>
      <c r="G3957">
        <v>0.47128128011725801</v>
      </c>
      <c r="H3957">
        <v>0.35541553704508799</v>
      </c>
      <c r="I3957">
        <v>0.27887669849320601</v>
      </c>
      <c r="J3957">
        <v>0.313757578364526</v>
      </c>
      <c r="K3957">
        <v>0.303479810229837</v>
      </c>
      <c r="L3957">
        <v>417.73987293038198</v>
      </c>
      <c r="M3957">
        <v>8.91319695185401</v>
      </c>
      <c r="N3957">
        <v>50.623327234498198</v>
      </c>
      <c r="O3957">
        <v>44.688485914445998</v>
      </c>
      <c r="P3957">
        <v>-3.7829461138395297E-2</v>
      </c>
      <c r="Q3957">
        <v>0.241902213984522</v>
      </c>
      <c r="R3957">
        <v>0.95209141753333004</v>
      </c>
      <c r="S3957" t="s">
        <v>10525</v>
      </c>
      <c r="T3957" t="s">
        <v>13134</v>
      </c>
      <c r="U3957" t="s">
        <v>13134</v>
      </c>
      <c r="V3957" t="s">
        <v>13134</v>
      </c>
      <c r="W3957" t="s">
        <v>17034</v>
      </c>
      <c r="X3957">
        <v>1</v>
      </c>
      <c r="Y3957" t="s">
        <v>23418</v>
      </c>
      <c r="Z3957" t="s">
        <v>29925</v>
      </c>
      <c r="AA3957">
        <v>0.52982236419659756</v>
      </c>
      <c r="AB3957" t="str">
        <f>HYPERLINK("Melting_Curves/meltCurve_Q5TIE1_SLC19A2.pdf", "Melting_Curves/meltCurve_Q5TIE1_SLC19A2.pdf")</f>
        <v>Melting_Curves/meltCurve_Q5TIE1_SLC19A2.pdf</v>
      </c>
    </row>
    <row r="3958" spans="1:28" x14ac:dyDescent="0.25">
      <c r="A3958" t="s">
        <v>3962</v>
      </c>
      <c r="B3958">
        <v>0.99472303558308395</v>
      </c>
      <c r="C3958">
        <v>0.76578609156056698</v>
      </c>
      <c r="D3958">
        <v>1.0663088454032399</v>
      </c>
      <c r="E3958">
        <v>0.722494741531993</v>
      </c>
      <c r="F3958">
        <v>0.38661891700588902</v>
      </c>
      <c r="G3958">
        <v>0.36550261853775501</v>
      </c>
      <c r="H3958">
        <v>0.40504313798174901</v>
      </c>
      <c r="I3958">
        <v>0.56178183216597999</v>
      </c>
      <c r="J3958">
        <v>0.60945497974089902</v>
      </c>
      <c r="K3958">
        <v>0.63287946991448996</v>
      </c>
      <c r="L3958">
        <v>11641.0367049617</v>
      </c>
      <c r="M3958">
        <v>250</v>
      </c>
      <c r="N3958">
        <v>47.388694131969601</v>
      </c>
      <c r="O3958">
        <v>46.561188772866103</v>
      </c>
      <c r="P3958">
        <v>-0.67982237904154796</v>
      </c>
      <c r="Q3958">
        <v>0.493546825480427</v>
      </c>
      <c r="R3958">
        <v>0.75049051388586197</v>
      </c>
      <c r="S3958" t="s">
        <v>10526</v>
      </c>
      <c r="T3958" t="s">
        <v>13134</v>
      </c>
      <c r="U3958" t="s">
        <v>13134</v>
      </c>
      <c r="V3958" t="s">
        <v>13134</v>
      </c>
      <c r="W3958" t="s">
        <v>17035</v>
      </c>
      <c r="X3958">
        <v>1</v>
      </c>
      <c r="Y3958" t="s">
        <v>23419</v>
      </c>
      <c r="Z3958" t="s">
        <v>29926</v>
      </c>
      <c r="AA3958">
        <v>0.65504796312224833</v>
      </c>
      <c r="AB3958" t="str">
        <f>HYPERLINK("Melting_Curves/meltCurve_Q5TIH2_SFT2D2.pdf", "Melting_Curves/meltCurve_Q5TIH2_SFT2D2.pdf")</f>
        <v>Melting_Curves/meltCurve_Q5TIH2_SFT2D2.pdf</v>
      </c>
    </row>
    <row r="3959" spans="1:28" x14ac:dyDescent="0.25">
      <c r="A3959" t="s">
        <v>3963</v>
      </c>
      <c r="B3959">
        <v>0.99472303558308395</v>
      </c>
      <c r="C3959">
        <v>0.90927753369872399</v>
      </c>
      <c r="D3959">
        <v>1.0575751670951199</v>
      </c>
      <c r="E3959">
        <v>0.84333536233307604</v>
      </c>
      <c r="F3959">
        <v>0.51502620506830699</v>
      </c>
      <c r="G3959">
        <v>0.437017688615846</v>
      </c>
      <c r="H3959">
        <v>0.16643825467284901</v>
      </c>
      <c r="I3959">
        <v>6.9283671424505894E-2</v>
      </c>
      <c r="J3959">
        <v>6.42157806128799E-2</v>
      </c>
      <c r="K3959">
        <v>6.0540503588389097E-2</v>
      </c>
      <c r="L3959">
        <v>786.14525108297198</v>
      </c>
      <c r="M3959">
        <v>15.289251528375299</v>
      </c>
      <c r="N3959">
        <v>51.547568516589799</v>
      </c>
      <c r="O3959">
        <v>50.562636296685099</v>
      </c>
      <c r="P3959">
        <v>-7.4179321917145796E-2</v>
      </c>
      <c r="Q3959">
        <v>1.8827242759822699E-2</v>
      </c>
      <c r="R3959">
        <v>0.97797943276827504</v>
      </c>
      <c r="S3959" t="s">
        <v>10527</v>
      </c>
      <c r="T3959" t="s">
        <v>13134</v>
      </c>
      <c r="U3959" t="s">
        <v>13134</v>
      </c>
      <c r="V3959" t="s">
        <v>13134</v>
      </c>
      <c r="W3959" t="s">
        <v>17036</v>
      </c>
      <c r="X3959">
        <v>9</v>
      </c>
      <c r="Y3959" t="s">
        <v>23420</v>
      </c>
      <c r="Z3959" t="s">
        <v>29927</v>
      </c>
      <c r="AA3959">
        <v>0.50929782893847919</v>
      </c>
      <c r="AB3959" t="str">
        <f>HYPERLINK("Melting_Curves/meltCurve_Q5U5X0_LYRM7.pdf", "Melting_Curves/meltCurve_Q5U5X0_LYRM7.pdf")</f>
        <v>Melting_Curves/meltCurve_Q5U5X0_LYRM7.pdf</v>
      </c>
    </row>
    <row r="3960" spans="1:28" x14ac:dyDescent="0.25">
      <c r="A3960" t="s">
        <v>3964</v>
      </c>
      <c r="B3960">
        <v>0.99472303558308395</v>
      </c>
      <c r="C3960">
        <v>0.90342399318559496</v>
      </c>
      <c r="D3960">
        <v>0.61966836254763302</v>
      </c>
      <c r="E3960">
        <v>0.27141279140712499</v>
      </c>
      <c r="F3960">
        <v>0.15745408033210501</v>
      </c>
      <c r="G3960">
        <v>8.7370103107848998E-2</v>
      </c>
      <c r="H3960">
        <v>6.2208867823893899E-2</v>
      </c>
      <c r="I3960">
        <v>4.9905808233440901E-2</v>
      </c>
      <c r="J3960">
        <v>5.54230790833736E-2</v>
      </c>
      <c r="K3960">
        <v>4.71194027320571E-2</v>
      </c>
      <c r="L3960">
        <v>883.46854282941604</v>
      </c>
      <c r="M3960">
        <v>20.116660732413202</v>
      </c>
      <c r="N3960">
        <v>44.181488969511904</v>
      </c>
      <c r="O3960">
        <v>43.4901804482055</v>
      </c>
      <c r="P3960">
        <v>-0.109088453898305</v>
      </c>
      <c r="Q3960">
        <v>5.6677303298277297E-2</v>
      </c>
      <c r="R3960">
        <v>0.99853190438260797</v>
      </c>
      <c r="S3960" t="s">
        <v>10528</v>
      </c>
      <c r="T3960" t="s">
        <v>13134</v>
      </c>
      <c r="U3960" t="s">
        <v>13134</v>
      </c>
      <c r="V3960" t="s">
        <v>13134</v>
      </c>
      <c r="W3960" t="s">
        <v>17037</v>
      </c>
      <c r="X3960">
        <v>54</v>
      </c>
      <c r="Y3960" t="s">
        <v>23421</v>
      </c>
      <c r="Z3960" t="s">
        <v>29928</v>
      </c>
      <c r="AA3960">
        <v>0.28667732418762121</v>
      </c>
      <c r="AB3960" t="str">
        <f>HYPERLINK("Melting_Curves/meltCurve_Q5UIP0_RIF1.pdf", "Melting_Curves/meltCurve_Q5UIP0_RIF1.pdf")</f>
        <v>Melting_Curves/meltCurve_Q5UIP0_RIF1.pdf</v>
      </c>
    </row>
    <row r="3961" spans="1:28" x14ac:dyDescent="0.25">
      <c r="A3961" t="s">
        <v>3965</v>
      </c>
      <c r="B3961">
        <v>0.99472303558308395</v>
      </c>
      <c r="C3961">
        <v>0.97411469552637997</v>
      </c>
      <c r="D3961">
        <v>0.83995602923586099</v>
      </c>
      <c r="E3961">
        <v>0.64385400088242695</v>
      </c>
      <c r="F3961">
        <v>0.211355221140788</v>
      </c>
      <c r="G3961">
        <v>6.3019387377572705E-2</v>
      </c>
      <c r="H3961">
        <v>3.3574432110639499E-2</v>
      </c>
      <c r="I3961">
        <v>2.57265022773145E-2</v>
      </c>
      <c r="J3961">
        <v>2.7212026004875101E-2</v>
      </c>
      <c r="K3961">
        <v>2.4951782857682899E-2</v>
      </c>
      <c r="L3961">
        <v>1026.2272121282799</v>
      </c>
      <c r="M3961">
        <v>21.6574294980738</v>
      </c>
      <c r="N3961">
        <v>47.441137947053797</v>
      </c>
      <c r="O3961">
        <v>46.986092083599701</v>
      </c>
      <c r="P3961">
        <v>-0.113766151298759</v>
      </c>
      <c r="Q3961">
        <v>1.2754534304449399E-2</v>
      </c>
      <c r="R3961">
        <v>0.99529806989240999</v>
      </c>
      <c r="S3961" t="s">
        <v>10529</v>
      </c>
      <c r="T3961" t="s">
        <v>13134</v>
      </c>
      <c r="U3961" t="s">
        <v>13134</v>
      </c>
      <c r="V3961" t="s">
        <v>13134</v>
      </c>
      <c r="W3961" t="s">
        <v>17038</v>
      </c>
      <c r="X3961">
        <v>12</v>
      </c>
      <c r="Y3961" t="s">
        <v>23422</v>
      </c>
      <c r="Z3961" t="s">
        <v>29929</v>
      </c>
      <c r="AA3961">
        <v>0.36557284957626551</v>
      </c>
      <c r="AB3961" t="str">
        <f>HYPERLINK("Melting_Curves/meltCurve_Q5VIR6_4_VPS53.pdf", "Melting_Curves/meltCurve_Q5VIR6_4_VPS53.pdf")</f>
        <v>Melting_Curves/meltCurve_Q5VIR6_4_VPS53.pdf</v>
      </c>
    </row>
    <row r="3962" spans="1:28" x14ac:dyDescent="0.25">
      <c r="A3962" t="s">
        <v>3966</v>
      </c>
      <c r="B3962">
        <v>0.99472303558308395</v>
      </c>
      <c r="C3962">
        <v>0.95349690496790496</v>
      </c>
      <c r="D3962">
        <v>0.78955139957149001</v>
      </c>
      <c r="E3962">
        <v>0.53263667961474304</v>
      </c>
      <c r="F3962">
        <v>0.40249350510534898</v>
      </c>
      <c r="G3962">
        <v>0.17539128912808799</v>
      </c>
      <c r="H3962">
        <v>9.4477720014513794E-2</v>
      </c>
      <c r="I3962">
        <v>6.2656381074934597E-2</v>
      </c>
      <c r="J3962">
        <v>6.0595151252953498E-2</v>
      </c>
      <c r="K3962">
        <v>5.8592094446582497E-2</v>
      </c>
      <c r="L3962">
        <v>624.89144658075702</v>
      </c>
      <c r="M3962">
        <v>13.1698375647657</v>
      </c>
      <c r="N3962">
        <v>47.625001650120602</v>
      </c>
      <c r="O3962">
        <v>46.394696558644902</v>
      </c>
      <c r="P3962">
        <v>-6.92893432687266E-2</v>
      </c>
      <c r="Q3962">
        <v>2.3794098393620601E-2</v>
      </c>
      <c r="R3962">
        <v>0.99447506415208997</v>
      </c>
      <c r="S3962" t="s">
        <v>10530</v>
      </c>
      <c r="T3962" t="s">
        <v>13134</v>
      </c>
      <c r="U3962" t="s">
        <v>13134</v>
      </c>
      <c r="V3962" t="s">
        <v>13134</v>
      </c>
      <c r="W3962" t="s">
        <v>17039</v>
      </c>
      <c r="X3962">
        <v>8</v>
      </c>
      <c r="Y3962" t="s">
        <v>23423</v>
      </c>
      <c r="Z3962" t="s">
        <v>29930</v>
      </c>
      <c r="AA3962">
        <v>0.3908968832774285</v>
      </c>
      <c r="AB3962" t="str">
        <f>HYPERLINK("Melting_Curves/meltCurve_Q5VSL9_STRIP1.pdf", "Melting_Curves/meltCurve_Q5VSL9_STRIP1.pdf")</f>
        <v>Melting_Curves/meltCurve_Q5VSL9_STRIP1.pdf</v>
      </c>
    </row>
    <row r="3963" spans="1:28" x14ac:dyDescent="0.25">
      <c r="A3963" t="s">
        <v>3967</v>
      </c>
      <c r="B3963">
        <v>0.99472303558308395</v>
      </c>
      <c r="C3963">
        <v>1.00025883309749</v>
      </c>
      <c r="D3963">
        <v>0.85498771588690703</v>
      </c>
      <c r="E3963">
        <v>0.46947397751513997</v>
      </c>
      <c r="F3963">
        <v>0.14235056335386001</v>
      </c>
      <c r="G3963">
        <v>7.7509160882340097E-2</v>
      </c>
      <c r="H3963">
        <v>4.9039448048879303E-2</v>
      </c>
      <c r="I3963">
        <v>3.8523586819018199E-2</v>
      </c>
      <c r="J3963">
        <v>5.4602137269739601E-2</v>
      </c>
      <c r="K3963">
        <v>3.8746341022244002E-2</v>
      </c>
      <c r="L3963">
        <v>1155.0884200568601</v>
      </c>
      <c r="M3963">
        <v>25.040569861607398</v>
      </c>
      <c r="N3963">
        <v>46.294756783497</v>
      </c>
      <c r="O3963">
        <v>45.837502926116699</v>
      </c>
      <c r="P3963">
        <v>-0.13070755881186699</v>
      </c>
      <c r="Q3963">
        <v>4.2956601155101401E-2</v>
      </c>
      <c r="R3963">
        <v>0.99939145050884304</v>
      </c>
      <c r="S3963" t="s">
        <v>10531</v>
      </c>
      <c r="T3963" t="s">
        <v>13134</v>
      </c>
      <c r="U3963" t="s">
        <v>13134</v>
      </c>
      <c r="V3963" t="s">
        <v>13134</v>
      </c>
      <c r="W3963" t="s">
        <v>17040</v>
      </c>
      <c r="X3963">
        <v>9</v>
      </c>
      <c r="Y3963" t="s">
        <v>23424</v>
      </c>
      <c r="Z3963" t="s">
        <v>29931</v>
      </c>
      <c r="AA3963">
        <v>0.34209089682884952</v>
      </c>
      <c r="AB3963" t="str">
        <f>HYPERLINK("Melting_Curves/meltCurve_Q5VT52_RPRD2.pdf", "Melting_Curves/meltCurve_Q5VT52_RPRD2.pdf")</f>
        <v>Melting_Curves/meltCurve_Q5VT52_RPRD2.pdf</v>
      </c>
    </row>
    <row r="3964" spans="1:28" x14ac:dyDescent="0.25">
      <c r="A3964" t="s">
        <v>3968</v>
      </c>
      <c r="B3964">
        <v>0.99472303558308395</v>
      </c>
      <c r="C3964">
        <v>1.1005494781526599</v>
      </c>
      <c r="D3964">
        <v>0.74870677558340504</v>
      </c>
      <c r="E3964">
        <v>0.66892267566135999</v>
      </c>
      <c r="F3964">
        <v>0.56821702584025702</v>
      </c>
      <c r="G3964">
        <v>0.27585007336799799</v>
      </c>
      <c r="H3964">
        <v>0.21487206240364101</v>
      </c>
      <c r="I3964">
        <v>0.21235132655408601</v>
      </c>
      <c r="J3964">
        <v>0.30504719388697799</v>
      </c>
      <c r="K3964">
        <v>0.225992336661165</v>
      </c>
      <c r="L3964">
        <v>692.80200010440296</v>
      </c>
      <c r="M3964">
        <v>14.5171686370751</v>
      </c>
      <c r="N3964">
        <v>49.575357963493602</v>
      </c>
      <c r="O3964">
        <v>46.844808819515102</v>
      </c>
      <c r="P3964">
        <v>-6.1263493192656303E-2</v>
      </c>
      <c r="Q3964">
        <v>0.20933698119121699</v>
      </c>
      <c r="R3964">
        <v>0.94257386147183997</v>
      </c>
      <c r="S3964" t="s">
        <v>10532</v>
      </c>
      <c r="T3964" t="s">
        <v>13134</v>
      </c>
      <c r="U3964" t="s">
        <v>13134</v>
      </c>
      <c r="V3964" t="s">
        <v>13134</v>
      </c>
      <c r="W3964" t="s">
        <v>17041</v>
      </c>
      <c r="X3964">
        <v>4</v>
      </c>
      <c r="Y3964" t="s">
        <v>23425</v>
      </c>
      <c r="Z3964" t="s">
        <v>29932</v>
      </c>
      <c r="AA3964">
        <v>0.51046657804956574</v>
      </c>
      <c r="AB3964" t="str">
        <f>HYPERLINK("Melting_Curves/meltCurve_Q5VT94_GHITM.pdf", "Melting_Curves/meltCurve_Q5VT94_GHITM.pdf")</f>
        <v>Melting_Curves/meltCurve_Q5VT94_GHITM.pdf</v>
      </c>
    </row>
    <row r="3965" spans="1:28" x14ac:dyDescent="0.25">
      <c r="A3965" t="s">
        <v>3969</v>
      </c>
      <c r="B3965">
        <v>0.99472303558308395</v>
      </c>
      <c r="C3965">
        <v>1.03262519005953</v>
      </c>
      <c r="D3965">
        <v>0.73339583170031097</v>
      </c>
      <c r="E3965">
        <v>0.60329926121554001</v>
      </c>
      <c r="F3965">
        <v>0.435870035760278</v>
      </c>
      <c r="G3965">
        <v>0.25771114281030399</v>
      </c>
      <c r="H3965">
        <v>0.16170138403186801</v>
      </c>
      <c r="I3965">
        <v>0.116426515812635</v>
      </c>
      <c r="J3965">
        <v>7.9225755674562595E-2</v>
      </c>
      <c r="K3965">
        <v>0.12910684027740699</v>
      </c>
      <c r="L3965">
        <v>599.08058122411899</v>
      </c>
      <c r="M3965">
        <v>12.533518706742401</v>
      </c>
      <c r="N3965">
        <v>48.3858895170453</v>
      </c>
      <c r="O3965">
        <v>46.630419870839702</v>
      </c>
      <c r="P3965">
        <v>-6.2464943920991299E-2</v>
      </c>
      <c r="Q3965">
        <v>7.0596499943745394E-2</v>
      </c>
      <c r="R3965">
        <v>0.98221599519554503</v>
      </c>
      <c r="S3965" t="s">
        <v>10533</v>
      </c>
      <c r="T3965" t="s">
        <v>13134</v>
      </c>
      <c r="U3965" t="s">
        <v>13134</v>
      </c>
      <c r="V3965" t="s">
        <v>13134</v>
      </c>
      <c r="W3965" t="s">
        <v>17042</v>
      </c>
      <c r="X3965">
        <v>1</v>
      </c>
      <c r="Y3965" t="s">
        <v>23426</v>
      </c>
      <c r="Z3965" t="s">
        <v>29933</v>
      </c>
      <c r="AA3965">
        <v>0.43264473912682661</v>
      </c>
      <c r="AB3965" t="str">
        <f>HYPERLINK("Melting_Curves/meltCurve_Q5VTD9_2_GFI1B.pdf", "Melting_Curves/meltCurve_Q5VTD9_2_GFI1B.pdf")</f>
        <v>Melting_Curves/meltCurve_Q5VTD9_2_GFI1B.pdf</v>
      </c>
    </row>
    <row r="3966" spans="1:28" x14ac:dyDescent="0.25">
      <c r="A3966" t="s">
        <v>3970</v>
      </c>
      <c r="B3966">
        <v>0.99472303558308395</v>
      </c>
      <c r="C3966">
        <v>0.77119705978062103</v>
      </c>
      <c r="D3966">
        <v>1.1123398445124499</v>
      </c>
      <c r="E3966">
        <v>0.83972328220502601</v>
      </c>
      <c r="F3966">
        <v>0.44244793578407099</v>
      </c>
      <c r="G3966">
        <v>0.24722385144589501</v>
      </c>
      <c r="H3966">
        <v>7.2753869667762996E-2</v>
      </c>
      <c r="I3966">
        <v>4.9625777611160903E-2</v>
      </c>
      <c r="J3966">
        <v>5.9211194204826498E-2</v>
      </c>
      <c r="K3966">
        <v>4.7693827824264699E-2</v>
      </c>
      <c r="L3966">
        <v>1167.78874205743</v>
      </c>
      <c r="M3966">
        <v>23.463416331014301</v>
      </c>
      <c r="N3966">
        <v>49.997542070800101</v>
      </c>
      <c r="O3966">
        <v>49.413302300428498</v>
      </c>
      <c r="P3966">
        <v>-0.112715951682532</v>
      </c>
      <c r="Q3966">
        <v>5.0509463855195801E-2</v>
      </c>
      <c r="R3966">
        <v>0.95479909717955502</v>
      </c>
      <c r="S3966" t="s">
        <v>10534</v>
      </c>
      <c r="T3966" t="s">
        <v>13134</v>
      </c>
      <c r="U3966" t="s">
        <v>13134</v>
      </c>
      <c r="V3966" t="s">
        <v>13134</v>
      </c>
      <c r="W3966" t="s">
        <v>17043</v>
      </c>
      <c r="X3966">
        <v>13</v>
      </c>
      <c r="Y3966" t="s">
        <v>23427</v>
      </c>
      <c r="Z3966" t="s">
        <v>29934</v>
      </c>
      <c r="AA3966">
        <v>0.46403835254114217</v>
      </c>
      <c r="AB3966" t="str">
        <f>HYPERLINK("Melting_Curves/meltCurve_Q5VTL8_PRPF38B.pdf", "Melting_Curves/meltCurve_Q5VTL8_PRPF38B.pdf")</f>
        <v>Melting_Curves/meltCurve_Q5VTL8_PRPF38B.pdf</v>
      </c>
    </row>
    <row r="3967" spans="1:28" x14ac:dyDescent="0.25">
      <c r="A3967" t="s">
        <v>3971</v>
      </c>
      <c r="B3967">
        <v>0.99472303558308395</v>
      </c>
      <c r="C3967">
        <v>0.92128850989797195</v>
      </c>
      <c r="D3967">
        <v>0.79538547025370798</v>
      </c>
      <c r="E3967">
        <v>0.32778658571184399</v>
      </c>
      <c r="F3967">
        <v>0.13487902541475</v>
      </c>
      <c r="G3967">
        <v>7.0824761827516E-2</v>
      </c>
      <c r="H3967">
        <v>4.5452281444474399E-2</v>
      </c>
      <c r="I3967">
        <v>3.3138181018548603E-2</v>
      </c>
      <c r="J3967">
        <v>4.2202356124032302E-2</v>
      </c>
      <c r="K3967">
        <v>3.2976988996733701E-2</v>
      </c>
      <c r="L3967">
        <v>1067.69077419777</v>
      </c>
      <c r="M3967">
        <v>23.6667576204587</v>
      </c>
      <c r="N3967">
        <v>45.272498966337501</v>
      </c>
      <c r="O3967">
        <v>44.795138945835397</v>
      </c>
      <c r="P3967">
        <v>-0.12681883898729401</v>
      </c>
      <c r="Q3967">
        <v>3.9873283767471998E-2</v>
      </c>
      <c r="R3967">
        <v>0.99808985799165595</v>
      </c>
      <c r="S3967" t="s">
        <v>10535</v>
      </c>
      <c r="T3967" t="s">
        <v>13134</v>
      </c>
      <c r="U3967" t="s">
        <v>13134</v>
      </c>
      <c r="V3967" t="s">
        <v>13134</v>
      </c>
      <c r="W3967" t="s">
        <v>17044</v>
      </c>
      <c r="X3967">
        <v>35</v>
      </c>
      <c r="Y3967" t="s">
        <v>23428</v>
      </c>
      <c r="Z3967" t="s">
        <v>29935</v>
      </c>
      <c r="AA3967">
        <v>0.30838820377382642</v>
      </c>
      <c r="AB3967" t="str">
        <f>HYPERLINK("Melting_Curves/meltCurve_Q5VTR2_RNF20.pdf", "Melting_Curves/meltCurve_Q5VTR2_RNF20.pdf")</f>
        <v>Melting_Curves/meltCurve_Q5VTR2_RNF20.pdf</v>
      </c>
    </row>
    <row r="3968" spans="1:28" x14ac:dyDescent="0.25">
      <c r="A3968" t="s">
        <v>3972</v>
      </c>
      <c r="B3968">
        <v>0.99472303558308395</v>
      </c>
      <c r="C3968">
        <v>1.01453848080358</v>
      </c>
      <c r="D3968">
        <v>0.70094495444611604</v>
      </c>
      <c r="E3968">
        <v>0.61930715978514495</v>
      </c>
      <c r="F3968">
        <v>0.505532215044591</v>
      </c>
      <c r="G3968">
        <v>0.21868020165211399</v>
      </c>
      <c r="H3968">
        <v>0.10459167599347401</v>
      </c>
      <c r="I3968">
        <v>6.6281853187118905E-2</v>
      </c>
      <c r="J3968">
        <v>0.11447861806565</v>
      </c>
      <c r="K3968">
        <v>6.9372860974526704E-2</v>
      </c>
      <c r="L3968">
        <v>555.71387484600803</v>
      </c>
      <c r="M3968">
        <v>11.458207601647601</v>
      </c>
      <c r="N3968">
        <v>48.608790894210998</v>
      </c>
      <c r="O3968">
        <v>47.092482001135402</v>
      </c>
      <c r="P3968">
        <v>-6.0069885597731701E-2</v>
      </c>
      <c r="Q3968">
        <v>1.27514008047216E-2</v>
      </c>
      <c r="R3968">
        <v>0.970637757471566</v>
      </c>
      <c r="S3968" t="s">
        <v>10536</v>
      </c>
      <c r="T3968" t="s">
        <v>13134</v>
      </c>
      <c r="U3968" t="s">
        <v>13134</v>
      </c>
      <c r="V3968" t="s">
        <v>13134</v>
      </c>
      <c r="W3968" t="s">
        <v>17045</v>
      </c>
      <c r="X3968">
        <v>1</v>
      </c>
      <c r="Y3968" t="s">
        <v>23429</v>
      </c>
      <c r="Z3968" t="s">
        <v>29936</v>
      </c>
      <c r="AA3968">
        <v>0.4232767593813076</v>
      </c>
      <c r="AB3968" t="str">
        <f>HYPERLINK("Melting_Curves/meltCurve_Q5VTU3_DYNLT1.pdf", "Melting_Curves/meltCurve_Q5VTU3_DYNLT1.pdf")</f>
        <v>Melting_Curves/meltCurve_Q5VTU3_DYNLT1.pdf</v>
      </c>
    </row>
    <row r="3969" spans="1:28" x14ac:dyDescent="0.25">
      <c r="A3969" t="s">
        <v>3973</v>
      </c>
      <c r="B3969">
        <v>0.99472303558308395</v>
      </c>
      <c r="C3969">
        <v>0.99278315819015905</v>
      </c>
      <c r="D3969">
        <v>1.02767716257699</v>
      </c>
      <c r="E3969">
        <v>0.96300788094912004</v>
      </c>
      <c r="F3969">
        <v>0.82526877898242401</v>
      </c>
      <c r="G3969">
        <v>0.75328548073582002</v>
      </c>
      <c r="H3969">
        <v>0.69522237372531104</v>
      </c>
      <c r="I3969">
        <v>0.65165632300906595</v>
      </c>
      <c r="J3969">
        <v>0.75485683451399899</v>
      </c>
      <c r="K3969">
        <v>0.77476388206263003</v>
      </c>
      <c r="L3969">
        <v>1631.91043568588</v>
      </c>
      <c r="M3969">
        <v>33.012892170609597</v>
      </c>
      <c r="O3969">
        <v>49.252192669940698</v>
      </c>
      <c r="P3969">
        <v>-4.6686235176143703E-2</v>
      </c>
      <c r="Q3969">
        <v>0.72139499695596099</v>
      </c>
      <c r="R3969">
        <v>0.93705102016043695</v>
      </c>
      <c r="S3969" t="s">
        <v>10537</v>
      </c>
      <c r="T3969" t="s">
        <v>13134</v>
      </c>
      <c r="U3969" t="s">
        <v>13134</v>
      </c>
      <c r="V3969" t="s">
        <v>13134</v>
      </c>
      <c r="W3969" t="s">
        <v>17046</v>
      </c>
      <c r="X3969">
        <v>46</v>
      </c>
      <c r="Y3969" t="s">
        <v>21630</v>
      </c>
      <c r="Z3969" t="s">
        <v>29937</v>
      </c>
      <c r="AA3969">
        <v>0.83825285513299563</v>
      </c>
      <c r="AB3969" t="str">
        <f>HYPERLINK("Melting_Curves/meltCurve_Q5VU58_TPM3.pdf", "Melting_Curves/meltCurve_Q5VU58_TPM3.pdf")</f>
        <v>Melting_Curves/meltCurve_Q5VU58_TPM3.pdf</v>
      </c>
    </row>
    <row r="3970" spans="1:28" x14ac:dyDescent="0.25">
      <c r="A3970" t="s">
        <v>3974</v>
      </c>
      <c r="B3970">
        <v>0.99472303558308395</v>
      </c>
      <c r="C3970">
        <v>0.68055674826652701</v>
      </c>
      <c r="D3970">
        <v>0.57926126927753996</v>
      </c>
      <c r="E3970">
        <v>0.19935302436410701</v>
      </c>
      <c r="F3970">
        <v>0.15068971633143399</v>
      </c>
      <c r="G3970">
        <v>0.115004762308242</v>
      </c>
      <c r="H3970">
        <v>5.19809755835531E-2</v>
      </c>
      <c r="I3970">
        <v>6.21647249832947E-2</v>
      </c>
      <c r="J3970">
        <v>5.4136338699763698E-2</v>
      </c>
      <c r="K3970">
        <v>5.9029635074265001E-2</v>
      </c>
      <c r="L3970">
        <v>675.64234531268005</v>
      </c>
      <c r="M3970">
        <v>15.8061876249355</v>
      </c>
      <c r="N3970">
        <v>43.052425601527901</v>
      </c>
      <c r="O3970">
        <v>42.0787591216301</v>
      </c>
      <c r="P3970">
        <v>-8.8910820641598901E-2</v>
      </c>
      <c r="Q3970">
        <v>5.3294640039817501E-2</v>
      </c>
      <c r="R3970">
        <v>0.97771361192664297</v>
      </c>
      <c r="S3970" t="s">
        <v>10538</v>
      </c>
      <c r="T3970" t="s">
        <v>13134</v>
      </c>
      <c r="U3970" t="s">
        <v>13134</v>
      </c>
      <c r="V3970" t="s">
        <v>13134</v>
      </c>
      <c r="W3970" t="s">
        <v>17047</v>
      </c>
      <c r="X3970">
        <v>8</v>
      </c>
      <c r="Y3970" t="s">
        <v>23430</v>
      </c>
      <c r="Z3970" t="s">
        <v>29938</v>
      </c>
      <c r="AA3970">
        <v>0.25738079388717378</v>
      </c>
      <c r="AB3970" t="str">
        <f>HYPERLINK("Melting_Curves/meltCurve_Q5VUA4_ZNF318.pdf", "Melting_Curves/meltCurve_Q5VUA4_ZNF318.pdf")</f>
        <v>Melting_Curves/meltCurve_Q5VUA4_ZNF318.pdf</v>
      </c>
    </row>
    <row r="3971" spans="1:28" x14ac:dyDescent="0.25">
      <c r="A3971" t="s">
        <v>3975</v>
      </c>
      <c r="B3971">
        <v>0.99472303558308395</v>
      </c>
      <c r="C3971">
        <v>0.98942497367859294</v>
      </c>
      <c r="D3971">
        <v>0.85488513383086595</v>
      </c>
      <c r="E3971">
        <v>0.69885053907078298</v>
      </c>
      <c r="F3971">
        <v>0.44198609052390098</v>
      </c>
      <c r="G3971">
        <v>0.216632072289554</v>
      </c>
      <c r="H3971">
        <v>9.3847175525250903E-2</v>
      </c>
      <c r="I3971">
        <v>5.7505476633485597E-2</v>
      </c>
      <c r="J3971">
        <v>5.3210391749247202E-2</v>
      </c>
      <c r="K3971">
        <v>4.7560237960440198E-2</v>
      </c>
      <c r="L3971">
        <v>728.19863090793297</v>
      </c>
      <c r="M3971">
        <v>14.845131757706399</v>
      </c>
      <c r="N3971">
        <v>49.1498407294429</v>
      </c>
      <c r="O3971">
        <v>48.188710972463397</v>
      </c>
      <c r="P3971">
        <v>-7.5913862644163499E-2</v>
      </c>
      <c r="Q3971">
        <v>1.4409202427839799E-2</v>
      </c>
      <c r="R3971">
        <v>0.99788219957320901</v>
      </c>
      <c r="S3971" t="s">
        <v>10539</v>
      </c>
      <c r="T3971" t="s">
        <v>13134</v>
      </c>
      <c r="U3971" t="s">
        <v>13134</v>
      </c>
      <c r="V3971" t="s">
        <v>13134</v>
      </c>
      <c r="W3971" t="s">
        <v>17048</v>
      </c>
      <c r="X3971">
        <v>17</v>
      </c>
      <c r="Y3971" t="s">
        <v>23431</v>
      </c>
      <c r="Z3971" t="s">
        <v>29939</v>
      </c>
      <c r="AA3971">
        <v>0.4319060609896791</v>
      </c>
      <c r="AB3971" t="str">
        <f>HYPERLINK("Melting_Curves/meltCurve_Q5VV42_CDKAL1.pdf", "Melting_Curves/meltCurve_Q5VV42_CDKAL1.pdf")</f>
        <v>Melting_Curves/meltCurve_Q5VV42_CDKAL1.pdf</v>
      </c>
    </row>
    <row r="3972" spans="1:28" x14ac:dyDescent="0.25">
      <c r="A3972" t="s">
        <v>3976</v>
      </c>
      <c r="B3972">
        <v>0.99472303558308395</v>
      </c>
      <c r="C3972">
        <v>1.0662002025838</v>
      </c>
      <c r="D3972">
        <v>0.93566656523513503</v>
      </c>
      <c r="E3972">
        <v>0.95404012492782297</v>
      </c>
      <c r="F3972">
        <v>0.73913974803914795</v>
      </c>
      <c r="G3972">
        <v>0.59998684800036695</v>
      </c>
      <c r="H3972">
        <v>0.53274694304798598</v>
      </c>
      <c r="I3972">
        <v>0.61870168190935804</v>
      </c>
      <c r="J3972">
        <v>0.73650487743916404</v>
      </c>
      <c r="K3972">
        <v>0.58174563841277704</v>
      </c>
      <c r="L3972">
        <v>1954.1853045944899</v>
      </c>
      <c r="M3972">
        <v>39.752371696840697</v>
      </c>
      <c r="O3972">
        <v>49.0350489874385</v>
      </c>
      <c r="P3972">
        <v>-7.8551602020463906E-2</v>
      </c>
      <c r="Q3972">
        <v>0.61242326634265198</v>
      </c>
      <c r="R3972">
        <v>0.90709648085070604</v>
      </c>
      <c r="S3972" t="s">
        <v>10540</v>
      </c>
      <c r="T3972" t="s">
        <v>13134</v>
      </c>
      <c r="U3972" t="s">
        <v>13134</v>
      </c>
      <c r="V3972" t="s">
        <v>13134</v>
      </c>
      <c r="W3972" t="s">
        <v>17049</v>
      </c>
      <c r="X3972">
        <v>6</v>
      </c>
      <c r="Y3972" t="s">
        <v>23432</v>
      </c>
      <c r="Z3972" t="s">
        <v>29940</v>
      </c>
      <c r="AA3972">
        <v>0.77084080899072072</v>
      </c>
      <c r="AB3972" t="str">
        <f>HYPERLINK("Melting_Curves/meltCurve_Q5VV50_ZNF691.pdf", "Melting_Curves/meltCurve_Q5VV50_ZNF691.pdf")</f>
        <v>Melting_Curves/meltCurve_Q5VV50_ZNF691.pdf</v>
      </c>
    </row>
    <row r="3973" spans="1:28" x14ac:dyDescent="0.25">
      <c r="A3973" t="s">
        <v>3977</v>
      </c>
      <c r="B3973">
        <v>0.99472303558308395</v>
      </c>
      <c r="C3973">
        <v>1.0154213054488199</v>
      </c>
      <c r="D3973">
        <v>0.71293841472155295</v>
      </c>
      <c r="E3973">
        <v>0.72247020662532302</v>
      </c>
      <c r="F3973">
        <v>0.62221182327685598</v>
      </c>
      <c r="G3973">
        <v>0.354142449433902</v>
      </c>
      <c r="H3973">
        <v>0.24459032891267199</v>
      </c>
      <c r="I3973">
        <v>0.16327660019610199</v>
      </c>
      <c r="J3973">
        <v>0.182604634947267</v>
      </c>
      <c r="K3973">
        <v>0.20951696692437299</v>
      </c>
      <c r="L3973">
        <v>511.91776363057198</v>
      </c>
      <c r="M3973">
        <v>10.2722051061066</v>
      </c>
      <c r="N3973">
        <v>50.872090380881097</v>
      </c>
      <c r="O3973">
        <v>48.057370015328502</v>
      </c>
      <c r="P3973">
        <v>-4.8411293545358003E-2</v>
      </c>
      <c r="Q3973">
        <v>9.4449994276970303E-2</v>
      </c>
      <c r="R3973">
        <v>0.95723101269854205</v>
      </c>
      <c r="S3973" t="s">
        <v>10541</v>
      </c>
      <c r="T3973" t="s">
        <v>13134</v>
      </c>
      <c r="U3973" t="s">
        <v>13134</v>
      </c>
      <c r="V3973" t="s">
        <v>13134</v>
      </c>
      <c r="W3973" t="s">
        <v>17050</v>
      </c>
      <c r="X3973">
        <v>1</v>
      </c>
      <c r="Y3973" t="s">
        <v>23433</v>
      </c>
      <c r="Z3973" t="s">
        <v>29941</v>
      </c>
      <c r="AA3973">
        <v>0.51228250390809649</v>
      </c>
      <c r="AB3973" t="str">
        <f>HYPERLINK("Melting_Curves/meltCurve_Q5VV87_MGST3.pdf", "Melting_Curves/meltCurve_Q5VV87_MGST3.pdf")</f>
        <v>Melting_Curves/meltCurve_Q5VV87_MGST3.pdf</v>
      </c>
    </row>
    <row r="3974" spans="1:28" x14ac:dyDescent="0.25">
      <c r="A3974" t="s">
        <v>3978</v>
      </c>
      <c r="B3974">
        <v>0.99472303558308395</v>
      </c>
      <c r="C3974">
        <v>0.57173516889533704</v>
      </c>
      <c r="D3974">
        <v>1.2527222604594599</v>
      </c>
      <c r="E3974">
        <v>0.72518622333587002</v>
      </c>
      <c r="F3974">
        <v>0.19660905719625299</v>
      </c>
      <c r="G3974">
        <v>9.6059275105116901E-2</v>
      </c>
      <c r="H3974">
        <v>5.3959597678716498E-2</v>
      </c>
      <c r="I3974">
        <v>2.9946709022046099E-2</v>
      </c>
      <c r="J3974">
        <v>4.9650636227138403E-2</v>
      </c>
      <c r="K3974">
        <v>1.8128632308455201E-2</v>
      </c>
      <c r="L3974">
        <v>1897.1810049713299</v>
      </c>
      <c r="M3974">
        <v>39.659055128540601</v>
      </c>
      <c r="N3974">
        <v>47.962995220730399</v>
      </c>
      <c r="O3974">
        <v>47.7161287431693</v>
      </c>
      <c r="P3974">
        <v>-0.19752906389493399</v>
      </c>
      <c r="Q3974">
        <v>4.9366997233580498E-2</v>
      </c>
      <c r="R3974">
        <v>0.86323490250846302</v>
      </c>
      <c r="S3974" t="s">
        <v>10542</v>
      </c>
      <c r="T3974" t="s">
        <v>13134</v>
      </c>
      <c r="U3974" t="s">
        <v>13134</v>
      </c>
      <c r="V3974" t="s">
        <v>13134</v>
      </c>
      <c r="W3974" t="s">
        <v>17051</v>
      </c>
      <c r="X3974">
        <v>3</v>
      </c>
      <c r="Y3974" t="s">
        <v>23434</v>
      </c>
      <c r="Z3974" t="s">
        <v>29942</v>
      </c>
      <c r="AA3974">
        <v>0.39597428609364882</v>
      </c>
      <c r="AB3974" t="str">
        <f>HYPERLINK("Melting_Curves/meltCurve_Q5VVD7_PLEKHM2.pdf", "Melting_Curves/meltCurve_Q5VVD7_PLEKHM2.pdf")</f>
        <v>Melting_Curves/meltCurve_Q5VVD7_PLEKHM2.pdf</v>
      </c>
    </row>
    <row r="3975" spans="1:28" x14ac:dyDescent="0.25">
      <c r="A3975" t="s">
        <v>3979</v>
      </c>
      <c r="B3975">
        <v>0.99472303558308395</v>
      </c>
      <c r="C3975">
        <v>1.0228288548564599</v>
      </c>
      <c r="D3975">
        <v>0.87103221289118704</v>
      </c>
      <c r="E3975">
        <v>0.43012349035029102</v>
      </c>
      <c r="F3975">
        <v>0.22426961771322601</v>
      </c>
      <c r="G3975">
        <v>0.14455832481696701</v>
      </c>
      <c r="H3975">
        <v>0.12594973662039</v>
      </c>
      <c r="I3975">
        <v>9.3476059781688006E-2</v>
      </c>
      <c r="J3975">
        <v>9.8320737765146604E-2</v>
      </c>
      <c r="K3975">
        <v>5.9709637309938397E-2</v>
      </c>
      <c r="L3975">
        <v>1172.20165810713</v>
      </c>
      <c r="M3975">
        <v>25.585746716427899</v>
      </c>
      <c r="N3975">
        <v>46.229636443960601</v>
      </c>
      <c r="O3975">
        <v>45.537511300274303</v>
      </c>
      <c r="P3975">
        <v>-0.12605403396304901</v>
      </c>
      <c r="Q3975">
        <v>0.10260714192704901</v>
      </c>
      <c r="R3975">
        <v>0.995328849507222</v>
      </c>
      <c r="S3975" t="s">
        <v>10543</v>
      </c>
      <c r="T3975" t="s">
        <v>13134</v>
      </c>
      <c r="U3975" t="s">
        <v>13134</v>
      </c>
      <c r="V3975" t="s">
        <v>13134</v>
      </c>
      <c r="W3975" t="s">
        <v>17052</v>
      </c>
      <c r="X3975">
        <v>2</v>
      </c>
      <c r="Y3975" t="s">
        <v>23435</v>
      </c>
      <c r="Z3975" t="s">
        <v>29943</v>
      </c>
      <c r="AA3975">
        <v>0.37335450555296879</v>
      </c>
      <c r="AB3975" t="str">
        <f>HYPERLINK("Melting_Curves/meltCurve_Q5VVJ2_2_MYSM1.pdf", "Melting_Curves/meltCurve_Q5VVJ2_2_MYSM1.pdf")</f>
        <v>Melting_Curves/meltCurve_Q5VVJ2_2_MYSM1.pdf</v>
      </c>
    </row>
    <row r="3976" spans="1:28" x14ac:dyDescent="0.25">
      <c r="A3976" t="s">
        <v>3980</v>
      </c>
      <c r="B3976">
        <v>0.99472303558308395</v>
      </c>
      <c r="C3976">
        <v>0.97195937903637397</v>
      </c>
      <c r="D3976">
        <v>0.92277085608756104</v>
      </c>
      <c r="E3976">
        <v>0.65411912730692401</v>
      </c>
      <c r="F3976">
        <v>0.20347274922823</v>
      </c>
      <c r="G3976">
        <v>0.116935406820443</v>
      </c>
      <c r="H3976">
        <v>7.0063686266777905E-2</v>
      </c>
      <c r="I3976">
        <v>4.9144746730760497E-2</v>
      </c>
      <c r="J3976">
        <v>5.1319363229579203E-2</v>
      </c>
      <c r="K3976">
        <v>4.6933820408086802E-2</v>
      </c>
      <c r="L3976">
        <v>1277.6885935622699</v>
      </c>
      <c r="M3976">
        <v>26.942305946254599</v>
      </c>
      <c r="N3976">
        <v>47.624343991102798</v>
      </c>
      <c r="O3976">
        <v>47.164184583498901</v>
      </c>
      <c r="P3976">
        <v>-0.13513013445143399</v>
      </c>
      <c r="Q3976">
        <v>5.3794589801735897E-2</v>
      </c>
      <c r="R3976">
        <v>0.99833666133915999</v>
      </c>
      <c r="S3976" t="s">
        <v>10544</v>
      </c>
      <c r="T3976" t="s">
        <v>13134</v>
      </c>
      <c r="U3976" t="s">
        <v>13134</v>
      </c>
      <c r="V3976" t="s">
        <v>13134</v>
      </c>
      <c r="W3976" t="s">
        <v>17053</v>
      </c>
      <c r="X3976">
        <v>21</v>
      </c>
      <c r="Y3976" t="s">
        <v>23436</v>
      </c>
      <c r="Z3976" t="s">
        <v>29944</v>
      </c>
      <c r="AA3976">
        <v>0.38942479052607643</v>
      </c>
      <c r="AB3976" t="str">
        <f>HYPERLINK("Melting_Curves/meltCurve_Q5VVQ6_YOD1.pdf", "Melting_Curves/meltCurve_Q5VVQ6_YOD1.pdf")</f>
        <v>Melting_Curves/meltCurve_Q5VVQ6_YOD1.pdf</v>
      </c>
    </row>
    <row r="3977" spans="1:28" x14ac:dyDescent="0.25">
      <c r="A3977" t="s">
        <v>3981</v>
      </c>
      <c r="B3977">
        <v>0.99472303558308395</v>
      </c>
      <c r="C3977">
        <v>0.98164226978722202</v>
      </c>
      <c r="D3977">
        <v>1.0005110285544101</v>
      </c>
      <c r="E3977">
        <v>0.89382697292819602</v>
      </c>
      <c r="F3977">
        <v>0.214348942798671</v>
      </c>
      <c r="G3977">
        <v>9.32624762028397E-2</v>
      </c>
      <c r="H3977">
        <v>5.0109414885271202E-2</v>
      </c>
      <c r="I3977">
        <v>3.1852262848411701E-2</v>
      </c>
      <c r="J3977">
        <v>4.07542117923071E-2</v>
      </c>
      <c r="K3977">
        <v>3.2090096659042902E-2</v>
      </c>
      <c r="L3977">
        <v>2311.4684026234499</v>
      </c>
      <c r="M3977">
        <v>47.557523872055903</v>
      </c>
      <c r="N3977">
        <v>48.7042941006059</v>
      </c>
      <c r="O3977">
        <v>48.517930906509797</v>
      </c>
      <c r="P3977">
        <v>-0.233582417768921</v>
      </c>
      <c r="Q3977">
        <v>4.6802963979263798E-2</v>
      </c>
      <c r="R3977">
        <v>0.99883892928655404</v>
      </c>
      <c r="S3977" t="s">
        <v>10545</v>
      </c>
      <c r="T3977" t="s">
        <v>13134</v>
      </c>
      <c r="U3977" t="s">
        <v>13134</v>
      </c>
      <c r="V3977" t="s">
        <v>13134</v>
      </c>
      <c r="W3977" t="s">
        <v>17054</v>
      </c>
      <c r="X3977">
        <v>11</v>
      </c>
      <c r="Y3977" t="s">
        <v>23437</v>
      </c>
      <c r="Z3977" t="s">
        <v>29945</v>
      </c>
      <c r="AA3977">
        <v>0.41774799028875598</v>
      </c>
      <c r="AB3977" t="str">
        <f>HYPERLINK("Melting_Curves/meltCurve_Q5VW32_BROX.pdf", "Melting_Curves/meltCurve_Q5VW32_BROX.pdf")</f>
        <v>Melting_Curves/meltCurve_Q5VW32_BROX.pdf</v>
      </c>
    </row>
    <row r="3978" spans="1:28" x14ac:dyDescent="0.25">
      <c r="A3978" t="s">
        <v>3982</v>
      </c>
      <c r="B3978">
        <v>0.99472303558308395</v>
      </c>
      <c r="C3978">
        <v>0.93968617408209598</v>
      </c>
      <c r="D3978">
        <v>1.2182281978917699</v>
      </c>
      <c r="E3978">
        <v>0.32129035633370301</v>
      </c>
      <c r="F3978">
        <v>0.79892441560815297</v>
      </c>
      <c r="G3978">
        <v>0.190789759899817</v>
      </c>
      <c r="H3978">
        <v>0</v>
      </c>
      <c r="I3978">
        <v>0</v>
      </c>
      <c r="J3978">
        <v>0</v>
      </c>
      <c r="K3978">
        <v>0</v>
      </c>
      <c r="L3978">
        <v>771.83292866907505</v>
      </c>
      <c r="M3978">
        <v>15.512882892510801</v>
      </c>
      <c r="N3978">
        <v>49.754326825201296</v>
      </c>
      <c r="O3978">
        <v>48.949499337666602</v>
      </c>
      <c r="P3978">
        <v>-7.9235996410746704E-2</v>
      </c>
      <c r="Q3978">
        <v>0</v>
      </c>
      <c r="R3978">
        <v>0.81477224241617097</v>
      </c>
      <c r="S3978" t="s">
        <v>10546</v>
      </c>
      <c r="T3978" t="s">
        <v>13134</v>
      </c>
      <c r="U3978" t="s">
        <v>13134</v>
      </c>
      <c r="V3978" t="s">
        <v>13134</v>
      </c>
      <c r="W3978" t="s">
        <v>17055</v>
      </c>
      <c r="X3978">
        <v>2</v>
      </c>
      <c r="Y3978" t="s">
        <v>23438</v>
      </c>
      <c r="Z3978" t="s">
        <v>29946</v>
      </c>
      <c r="AA3978">
        <v>0.4451753706198191</v>
      </c>
      <c r="AB3978" t="str">
        <f>HYPERLINK("Melting_Curves/meltCurve_Q5VW52_GPAM.pdf", "Melting_Curves/meltCurve_Q5VW52_GPAM.pdf")</f>
        <v>Melting_Curves/meltCurve_Q5VW52_GPAM.pdf</v>
      </c>
    </row>
    <row r="3979" spans="1:28" x14ac:dyDescent="0.25">
      <c r="A3979" t="s">
        <v>3983</v>
      </c>
      <c r="B3979">
        <v>0.99472303558308395</v>
      </c>
      <c r="C3979">
        <v>1.0507399999101099</v>
      </c>
      <c r="D3979">
        <v>0.84518291298739701</v>
      </c>
      <c r="E3979">
        <v>0.64824115168450402</v>
      </c>
      <c r="F3979">
        <v>0.72507742478832904</v>
      </c>
      <c r="G3979">
        <v>0.28966092223517298</v>
      </c>
      <c r="H3979">
        <v>0.22227752918991101</v>
      </c>
      <c r="I3979">
        <v>0.14960706281893599</v>
      </c>
      <c r="J3979">
        <v>0.14222106106837401</v>
      </c>
      <c r="K3979">
        <v>9.0629645785150606E-2</v>
      </c>
      <c r="L3979">
        <v>578.11419182901705</v>
      </c>
      <c r="M3979">
        <v>11.3391833809128</v>
      </c>
      <c r="N3979">
        <v>51.2400623400477</v>
      </c>
      <c r="O3979">
        <v>49.475287580852402</v>
      </c>
      <c r="P3979">
        <v>-5.5734231321202303E-2</v>
      </c>
      <c r="Q3979">
        <v>2.75702407036926E-2</v>
      </c>
      <c r="R3979">
        <v>0.95468367359619499</v>
      </c>
      <c r="S3979" t="s">
        <v>10547</v>
      </c>
      <c r="T3979" t="s">
        <v>13134</v>
      </c>
      <c r="U3979" t="s">
        <v>13134</v>
      </c>
      <c r="V3979" t="s">
        <v>13134</v>
      </c>
      <c r="W3979" t="s">
        <v>15998</v>
      </c>
      <c r="X3979">
        <v>15</v>
      </c>
      <c r="Y3979" t="s">
        <v>22431</v>
      </c>
      <c r="Z3979" t="s">
        <v>29947</v>
      </c>
      <c r="AA3979">
        <v>0.50760294639901837</v>
      </c>
      <c r="AB3979" t="str">
        <f>HYPERLINK("Melting_Curves/meltCurve_Q5VWC4_PSMD4.pdf", "Melting_Curves/meltCurve_Q5VWC4_PSMD4.pdf")</f>
        <v>Melting_Curves/meltCurve_Q5VWC4_PSMD4.pdf</v>
      </c>
    </row>
    <row r="3980" spans="1:28" x14ac:dyDescent="0.25">
      <c r="A3980" t="s">
        <v>3984</v>
      </c>
      <c r="B3980">
        <v>0.99472303558308395</v>
      </c>
      <c r="C3980">
        <v>1.02906185579251</v>
      </c>
      <c r="D3980">
        <v>0.86525158827838</v>
      </c>
      <c r="E3980">
        <v>0.62407802620544295</v>
      </c>
      <c r="F3980">
        <v>0.41138093262834202</v>
      </c>
      <c r="G3980">
        <v>0.19558362620940201</v>
      </c>
      <c r="H3980">
        <v>0.136154003180115</v>
      </c>
      <c r="I3980">
        <v>0.10329692072385099</v>
      </c>
      <c r="J3980">
        <v>0.126120904861039</v>
      </c>
      <c r="K3980">
        <v>0.11347086849837699</v>
      </c>
      <c r="L3980">
        <v>813.65285435746296</v>
      </c>
      <c r="M3980">
        <v>17.025536488928701</v>
      </c>
      <c r="N3980">
        <v>48.407627562495399</v>
      </c>
      <c r="O3980">
        <v>47.145442940048</v>
      </c>
      <c r="P3980">
        <v>-8.1474946966220096E-2</v>
      </c>
      <c r="Q3980">
        <v>9.7605656454224393E-2</v>
      </c>
      <c r="R3980">
        <v>0.99494612487200196</v>
      </c>
      <c r="S3980" t="s">
        <v>10548</v>
      </c>
      <c r="T3980" t="s">
        <v>13134</v>
      </c>
      <c r="U3980" t="s">
        <v>13134</v>
      </c>
      <c r="V3980" t="s">
        <v>13134</v>
      </c>
      <c r="W3980" t="s">
        <v>17056</v>
      </c>
      <c r="X3980">
        <v>2</v>
      </c>
      <c r="Y3980" t="s">
        <v>23439</v>
      </c>
      <c r="Z3980" t="s">
        <v>29948</v>
      </c>
      <c r="AA3980">
        <v>0.43815216815330132</v>
      </c>
      <c r="AB3980" t="str">
        <f>HYPERLINK("Melting_Curves/meltCurve_Q5VWJ9_SNX30.pdf", "Melting_Curves/meltCurve_Q5VWJ9_SNX30.pdf")</f>
        <v>Melting_Curves/meltCurve_Q5VWJ9_SNX30.pdf</v>
      </c>
    </row>
    <row r="3981" spans="1:28" x14ac:dyDescent="0.25">
      <c r="A3981" t="s">
        <v>3985</v>
      </c>
      <c r="B3981">
        <v>0.99472303558308395</v>
      </c>
      <c r="C3981">
        <v>0.82175077793659701</v>
      </c>
      <c r="D3981">
        <v>0.76355231271611901</v>
      </c>
      <c r="E3981">
        <v>0.695789953679811</v>
      </c>
      <c r="F3981">
        <v>0.72945985618312104</v>
      </c>
      <c r="G3981">
        <v>0.44708923859841299</v>
      </c>
      <c r="H3981">
        <v>0.25377395226295402</v>
      </c>
      <c r="I3981">
        <v>0.336987867985999</v>
      </c>
      <c r="J3981">
        <v>0.388801414193641</v>
      </c>
      <c r="K3981">
        <v>0.21688373029833199</v>
      </c>
      <c r="L3981">
        <v>342.41805511528599</v>
      </c>
      <c r="M3981">
        <v>6.6575742368606399</v>
      </c>
      <c r="N3981">
        <v>53.0626223573815</v>
      </c>
      <c r="O3981">
        <v>47.387225667260701</v>
      </c>
      <c r="P3981">
        <v>-3.1946558918200502E-2</v>
      </c>
      <c r="Q3981">
        <v>9.2464863665640801E-2</v>
      </c>
      <c r="R3981">
        <v>0.90180361876562398</v>
      </c>
      <c r="S3981" t="s">
        <v>10549</v>
      </c>
      <c r="T3981" t="s">
        <v>13134</v>
      </c>
      <c r="U3981" t="s">
        <v>13134</v>
      </c>
      <c r="V3981" t="s">
        <v>13134</v>
      </c>
      <c r="W3981" t="s">
        <v>17057</v>
      </c>
      <c r="X3981">
        <v>2</v>
      </c>
      <c r="Y3981" t="s">
        <v>23440</v>
      </c>
      <c r="Z3981" t="s">
        <v>29949</v>
      </c>
      <c r="AA3981">
        <v>0.55953600479541088</v>
      </c>
      <c r="AB3981" t="str">
        <f>HYPERLINK("Melting_Curves/meltCurve_Q5VWP2_FAM46C.pdf", "Melting_Curves/meltCurve_Q5VWP2_FAM46C.pdf")</f>
        <v>Melting_Curves/meltCurve_Q5VWP2_FAM46C.pdf</v>
      </c>
    </row>
    <row r="3982" spans="1:28" x14ac:dyDescent="0.25">
      <c r="A3982" t="s">
        <v>3986</v>
      </c>
      <c r="B3982">
        <v>0.99472303558308395</v>
      </c>
      <c r="C3982">
        <v>0.90084094703477702</v>
      </c>
      <c r="D3982">
        <v>0.65559640086289805</v>
      </c>
      <c r="E3982">
        <v>0.50294863366360598</v>
      </c>
      <c r="F3982">
        <v>0.37309220007525601</v>
      </c>
      <c r="G3982">
        <v>0.19460722535657499</v>
      </c>
      <c r="H3982">
        <v>7.1171372367395999E-2</v>
      </c>
      <c r="I3982">
        <v>4.2421301240200798E-2</v>
      </c>
      <c r="J3982">
        <v>4.51558194343889E-2</v>
      </c>
      <c r="K3982">
        <v>3.3644703030708899E-2</v>
      </c>
      <c r="L3982">
        <v>522.61809251943703</v>
      </c>
      <c r="M3982">
        <v>11.1923127947798</v>
      </c>
      <c r="N3982">
        <v>46.694378722313097</v>
      </c>
      <c r="O3982">
        <v>45.2781427806229</v>
      </c>
      <c r="P3982">
        <v>-6.1817055791110999E-2</v>
      </c>
      <c r="Q3982">
        <v>0</v>
      </c>
      <c r="R3982">
        <v>0.98904718010684201</v>
      </c>
      <c r="S3982" t="s">
        <v>10550</v>
      </c>
      <c r="T3982" t="s">
        <v>13134</v>
      </c>
      <c r="U3982" t="s">
        <v>13134</v>
      </c>
      <c r="V3982" t="s">
        <v>13134</v>
      </c>
      <c r="W3982" t="s">
        <v>17058</v>
      </c>
      <c r="X3982">
        <v>5</v>
      </c>
      <c r="Y3982" t="s">
        <v>23441</v>
      </c>
      <c r="Z3982" t="s">
        <v>29950</v>
      </c>
      <c r="AA3982">
        <v>0.36039870733633911</v>
      </c>
      <c r="AB3982" t="str">
        <f>HYPERLINK("Melting_Curves/meltCurve_Q5VWQ0_RSBN1.pdf", "Melting_Curves/meltCurve_Q5VWQ0_RSBN1.pdf")</f>
        <v>Melting_Curves/meltCurve_Q5VWQ0_RSBN1.pdf</v>
      </c>
    </row>
    <row r="3983" spans="1:28" x14ac:dyDescent="0.25">
      <c r="A3983" t="s">
        <v>3987</v>
      </c>
      <c r="B3983">
        <v>0.99472303558308395</v>
      </c>
      <c r="C3983">
        <v>0.87858077582683403</v>
      </c>
      <c r="D3983">
        <v>0.74159012161328697</v>
      </c>
      <c r="E3983">
        <v>0.42472495276727001</v>
      </c>
      <c r="F3983">
        <v>0.221854578037191</v>
      </c>
      <c r="G3983">
        <v>0.13475070884058801</v>
      </c>
      <c r="H3983">
        <v>0.10199898597377401</v>
      </c>
      <c r="I3983">
        <v>2.6565267033365099E-2</v>
      </c>
      <c r="J3983">
        <v>3.3984233933184699E-2</v>
      </c>
      <c r="K3983">
        <v>4.2907886666813E-2</v>
      </c>
      <c r="L3983">
        <v>686.46991817847095</v>
      </c>
      <c r="M3983">
        <v>15.050615927242999</v>
      </c>
      <c r="N3983">
        <v>45.808613378571103</v>
      </c>
      <c r="O3983">
        <v>44.828288983911897</v>
      </c>
      <c r="P3983">
        <v>-8.13015242948745E-2</v>
      </c>
      <c r="Q3983">
        <v>3.1470029791129901E-2</v>
      </c>
      <c r="R3983">
        <v>0.99737311510978499</v>
      </c>
      <c r="S3983" t="s">
        <v>10551</v>
      </c>
      <c r="T3983" t="s">
        <v>13134</v>
      </c>
      <c r="U3983" t="s">
        <v>13134</v>
      </c>
      <c r="V3983" t="s">
        <v>13134</v>
      </c>
      <c r="W3983" t="s">
        <v>17059</v>
      </c>
      <c r="X3983">
        <v>7</v>
      </c>
      <c r="Y3983" t="s">
        <v>23442</v>
      </c>
      <c r="Z3983" t="s">
        <v>29951</v>
      </c>
      <c r="AA3983">
        <v>0.33189785040008568</v>
      </c>
      <c r="AB3983" t="str">
        <f>HYPERLINK("Melting_Curves/meltCurve_Q5VWV2_PARD3.pdf", "Melting_Curves/meltCurve_Q5VWV2_PARD3.pdf")</f>
        <v>Melting_Curves/meltCurve_Q5VWV2_PARD3.pdf</v>
      </c>
    </row>
    <row r="3984" spans="1:28" x14ac:dyDescent="0.25">
      <c r="A3984" t="s">
        <v>3988</v>
      </c>
      <c r="B3984">
        <v>0.99472303558308395</v>
      </c>
      <c r="C3984">
        <v>0.87714967907214703</v>
      </c>
      <c r="D3984">
        <v>1.0728361401545501</v>
      </c>
      <c r="E3984">
        <v>0.83590947653818704</v>
      </c>
      <c r="F3984">
        <v>0.50960367948747698</v>
      </c>
      <c r="G3984">
        <v>0.27274983462636898</v>
      </c>
      <c r="H3984">
        <v>8.2088557703749093E-2</v>
      </c>
      <c r="I3984">
        <v>6.4766931729641E-2</v>
      </c>
      <c r="J3984">
        <v>7.3097486434838196E-2</v>
      </c>
      <c r="K3984">
        <v>4.9772061126239199E-2</v>
      </c>
      <c r="L3984">
        <v>1070.71678453606</v>
      </c>
      <c r="M3984">
        <v>21.313892433438699</v>
      </c>
      <c r="N3984">
        <v>50.478827405374602</v>
      </c>
      <c r="O3984">
        <v>49.799688623805899</v>
      </c>
      <c r="P3984">
        <v>-0.10177970944956199</v>
      </c>
      <c r="Q3984">
        <v>4.8795253551485701E-2</v>
      </c>
      <c r="R3984">
        <v>0.98345269608265895</v>
      </c>
      <c r="S3984" t="s">
        <v>10552</v>
      </c>
      <c r="T3984" t="s">
        <v>13134</v>
      </c>
      <c r="U3984" t="s">
        <v>13134</v>
      </c>
      <c r="V3984" t="s">
        <v>13134</v>
      </c>
      <c r="W3984" t="s">
        <v>17060</v>
      </c>
      <c r="X3984">
        <v>7</v>
      </c>
      <c r="Y3984" t="s">
        <v>23443</v>
      </c>
      <c r="Z3984" t="s">
        <v>29952</v>
      </c>
      <c r="AA3984">
        <v>0.47964584357403189</v>
      </c>
      <c r="AB3984" t="str">
        <f>HYPERLINK("Melting_Curves/meltCurve_Q5VWZ2_LYPLAL1.pdf", "Melting_Curves/meltCurve_Q5VWZ2_LYPLAL1.pdf")</f>
        <v>Melting_Curves/meltCurve_Q5VWZ2_LYPLAL1.pdf</v>
      </c>
    </row>
    <row r="3985" spans="1:28" x14ac:dyDescent="0.25">
      <c r="A3985" t="s">
        <v>3989</v>
      </c>
      <c r="B3985">
        <v>0.99472303558308395</v>
      </c>
      <c r="C3985">
        <v>0.88373839159976697</v>
      </c>
      <c r="D3985">
        <v>0.74337004624004899</v>
      </c>
      <c r="E3985">
        <v>0.29408778552697601</v>
      </c>
      <c r="F3985">
        <v>0.12074089245085699</v>
      </c>
      <c r="G3985">
        <v>7.0986792452650896E-2</v>
      </c>
      <c r="H3985">
        <v>4.7649124668820202E-2</v>
      </c>
      <c r="I3985">
        <v>3.5688272637920099E-2</v>
      </c>
      <c r="J3985">
        <v>4.5090316288145998E-2</v>
      </c>
      <c r="K3985">
        <v>3.5918918298655698E-2</v>
      </c>
      <c r="L3985">
        <v>978.07582831381796</v>
      </c>
      <c r="M3985">
        <v>21.902482449371401</v>
      </c>
      <c r="N3985">
        <v>44.8224623479204</v>
      </c>
      <c r="O3985">
        <v>44.288674747271301</v>
      </c>
      <c r="P3985">
        <v>-0.11880641679056</v>
      </c>
      <c r="Q3985">
        <v>3.9075231748328103E-2</v>
      </c>
      <c r="R3985">
        <v>0.996926602053262</v>
      </c>
      <c r="S3985" t="s">
        <v>10553</v>
      </c>
      <c r="T3985" t="s">
        <v>13134</v>
      </c>
      <c r="U3985" t="s">
        <v>13134</v>
      </c>
      <c r="V3985" t="s">
        <v>13134</v>
      </c>
      <c r="W3985" t="s">
        <v>17061</v>
      </c>
      <c r="X3985">
        <v>39</v>
      </c>
      <c r="Y3985" t="s">
        <v>23444</v>
      </c>
      <c r="Z3985" t="s">
        <v>29953</v>
      </c>
      <c r="AA3985">
        <v>0.29474473424587377</v>
      </c>
      <c r="AB3985" t="str">
        <f>HYPERLINK("Melting_Curves/meltCurve_Q5VY93_ARHGEF2.pdf", "Melting_Curves/meltCurve_Q5VY93_ARHGEF2.pdf")</f>
        <v>Melting_Curves/meltCurve_Q5VY93_ARHGEF2.pdf</v>
      </c>
    </row>
    <row r="3986" spans="1:28" x14ac:dyDescent="0.25">
      <c r="A3986" t="s">
        <v>3990</v>
      </c>
      <c r="B3986">
        <v>0.99472303558308395</v>
      </c>
      <c r="C3986">
        <v>1.0514254019532201</v>
      </c>
      <c r="D3986">
        <v>1.06644419206237</v>
      </c>
      <c r="E3986">
        <v>0.94304398142439605</v>
      </c>
      <c r="F3986">
        <v>0.78394862019259703</v>
      </c>
      <c r="G3986">
        <v>0.65602459498320398</v>
      </c>
      <c r="H3986">
        <v>0.46323057628889902</v>
      </c>
      <c r="I3986">
        <v>0.37511718206602501</v>
      </c>
      <c r="J3986">
        <v>0.619237848521073</v>
      </c>
      <c r="K3986">
        <v>0.451012897583975</v>
      </c>
      <c r="L3986">
        <v>1218.8150802297801</v>
      </c>
      <c r="M3986">
        <v>23.743164625204699</v>
      </c>
      <c r="N3986">
        <v>58.365118590473301</v>
      </c>
      <c r="O3986">
        <v>50.973322140596402</v>
      </c>
      <c r="P3986">
        <v>-6.1558045684145198E-2</v>
      </c>
      <c r="Q3986">
        <v>0.47138199818441701</v>
      </c>
      <c r="R3986">
        <v>0.92629431905497694</v>
      </c>
      <c r="S3986" t="s">
        <v>10554</v>
      </c>
      <c r="T3986" t="s">
        <v>13134</v>
      </c>
      <c r="U3986" t="s">
        <v>13134</v>
      </c>
      <c r="V3986" t="s">
        <v>13134</v>
      </c>
      <c r="W3986" t="s">
        <v>17062</v>
      </c>
      <c r="X3986">
        <v>1</v>
      </c>
      <c r="Y3986" t="s">
        <v>23445</v>
      </c>
      <c r="Z3986" t="s">
        <v>29954</v>
      </c>
      <c r="AA3986">
        <v>0.72907637054503238</v>
      </c>
      <c r="AB3986" t="str">
        <f>HYPERLINK("Melting_Curves/meltCurve_Q5VZ66_2_JAKMIP3.pdf", "Melting_Curves/meltCurve_Q5VZ66_2_JAKMIP3.pdf")</f>
        <v>Melting_Curves/meltCurve_Q5VZ66_2_JAKMIP3.pdf</v>
      </c>
    </row>
    <row r="3987" spans="1:28" x14ac:dyDescent="0.25">
      <c r="A3987" t="s">
        <v>3991</v>
      </c>
      <c r="B3987">
        <v>0.99472303558308395</v>
      </c>
      <c r="C3987">
        <v>0.99190748491403402</v>
      </c>
      <c r="D3987">
        <v>0.85672177604667299</v>
      </c>
      <c r="E3987">
        <v>0.77951056677999597</v>
      </c>
      <c r="F3987">
        <v>0.49647389552698601</v>
      </c>
      <c r="G3987">
        <v>0.156742333892324</v>
      </c>
      <c r="H3987">
        <v>8.5645719555263206E-2</v>
      </c>
      <c r="I3987">
        <v>6.9249888333635101E-2</v>
      </c>
      <c r="J3987">
        <v>7.5494238015197904E-2</v>
      </c>
      <c r="K3987">
        <v>6.4149979033656795E-2</v>
      </c>
      <c r="L3987">
        <v>926.03439916903699</v>
      </c>
      <c r="M3987">
        <v>18.739594868477202</v>
      </c>
      <c r="N3987">
        <v>49.640201920700598</v>
      </c>
      <c r="O3987">
        <v>48.863513338486499</v>
      </c>
      <c r="P3987">
        <v>-9.1988968430902499E-2</v>
      </c>
      <c r="Q3987">
        <v>4.0595057091686898E-2</v>
      </c>
      <c r="R3987">
        <v>0.99059366983341801</v>
      </c>
      <c r="S3987" t="s">
        <v>10555</v>
      </c>
      <c r="T3987" t="s">
        <v>13134</v>
      </c>
      <c r="U3987" t="s">
        <v>13134</v>
      </c>
      <c r="V3987" t="s">
        <v>13134</v>
      </c>
      <c r="W3987" t="s">
        <v>17063</v>
      </c>
      <c r="X3987">
        <v>14</v>
      </c>
      <c r="Y3987" t="s">
        <v>23446</v>
      </c>
      <c r="Z3987" t="s">
        <v>29955</v>
      </c>
      <c r="AA3987">
        <v>0.45184449391541393</v>
      </c>
      <c r="AB3987" t="str">
        <f>HYPERLINK("Melting_Curves/meltCurve_Q5VZE5_NAA35.pdf", "Melting_Curves/meltCurve_Q5VZE5_NAA35.pdf")</f>
        <v>Melting_Curves/meltCurve_Q5VZE5_NAA35.pdf</v>
      </c>
    </row>
    <row r="3988" spans="1:28" x14ac:dyDescent="0.25">
      <c r="A3988" t="s">
        <v>3992</v>
      </c>
      <c r="B3988">
        <v>0.99472303558308395</v>
      </c>
      <c r="C3988">
        <v>1.1890185041979899</v>
      </c>
      <c r="D3988">
        <v>0.923384022825533</v>
      </c>
      <c r="E3988">
        <v>0.66463454717117298</v>
      </c>
      <c r="F3988">
        <v>0.567060291177645</v>
      </c>
      <c r="G3988">
        <v>0.26670871507983401</v>
      </c>
      <c r="H3988">
        <v>0.25911952385069897</v>
      </c>
      <c r="I3988">
        <v>0.23072800382828501</v>
      </c>
      <c r="J3988">
        <v>0.30177404471783198</v>
      </c>
      <c r="K3988">
        <v>0.23210997229910901</v>
      </c>
      <c r="L3988">
        <v>935.42038931514298</v>
      </c>
      <c r="M3988">
        <v>19.442517320399698</v>
      </c>
      <c r="N3988">
        <v>49.788626822161497</v>
      </c>
      <c r="O3988">
        <v>47.611792699965697</v>
      </c>
      <c r="P3988">
        <v>-7.7570193321124706E-2</v>
      </c>
      <c r="Q3988">
        <v>0.24019679214194201</v>
      </c>
      <c r="R3988">
        <v>0.94752877507631506</v>
      </c>
      <c r="S3988" t="s">
        <v>10556</v>
      </c>
      <c r="T3988" t="s">
        <v>13134</v>
      </c>
      <c r="U3988" t="s">
        <v>13134</v>
      </c>
      <c r="V3988" t="s">
        <v>13134</v>
      </c>
      <c r="W3988" t="s">
        <v>17064</v>
      </c>
      <c r="X3988">
        <v>1</v>
      </c>
      <c r="Y3988" t="s">
        <v>23447</v>
      </c>
      <c r="Z3988" t="s">
        <v>29956</v>
      </c>
      <c r="AA3988">
        <v>0.53216105223270693</v>
      </c>
      <c r="AB3988" t="str">
        <f>HYPERLINK("Melting_Curves/meltCurve_Q5VZI3_2_C9orf91.pdf", "Melting_Curves/meltCurve_Q5VZI3_2_C9orf91.pdf")</f>
        <v>Melting_Curves/meltCurve_Q5VZI3_2_C9orf91.pdf</v>
      </c>
    </row>
    <row r="3989" spans="1:28" x14ac:dyDescent="0.25">
      <c r="A3989" t="s">
        <v>3993</v>
      </c>
      <c r="B3989">
        <v>0.99472303558308395</v>
      </c>
      <c r="C3989">
        <v>0.89774023988834195</v>
      </c>
      <c r="D3989">
        <v>0.468111879881353</v>
      </c>
      <c r="E3989">
        <v>0.27629456119382101</v>
      </c>
      <c r="F3989">
        <v>0.19096274395137</v>
      </c>
      <c r="G3989">
        <v>0.11637551689811799</v>
      </c>
      <c r="H3989">
        <v>7.9959687481299294E-2</v>
      </c>
      <c r="I3989">
        <v>6.8078694054148001E-2</v>
      </c>
      <c r="J3989">
        <v>0.103216809934996</v>
      </c>
      <c r="K3989">
        <v>6.87577775003059E-2</v>
      </c>
      <c r="L3989">
        <v>910.29175658704401</v>
      </c>
      <c r="M3989">
        <v>21.242010490556002</v>
      </c>
      <c r="N3989">
        <v>43.290624575290799</v>
      </c>
      <c r="O3989">
        <v>42.478996265828002</v>
      </c>
      <c r="P3989">
        <v>-0.11294760178019</v>
      </c>
      <c r="Q3989">
        <v>9.6549073735337096E-2</v>
      </c>
      <c r="R3989">
        <v>0.98679967742319497</v>
      </c>
      <c r="S3989" t="s">
        <v>10557</v>
      </c>
      <c r="T3989" t="s">
        <v>13134</v>
      </c>
      <c r="U3989" t="s">
        <v>13134</v>
      </c>
      <c r="V3989" t="s">
        <v>13134</v>
      </c>
      <c r="W3989" t="s">
        <v>17065</v>
      </c>
      <c r="X3989">
        <v>7</v>
      </c>
      <c r="Y3989" t="s">
        <v>23448</v>
      </c>
      <c r="Z3989" t="s">
        <v>29957</v>
      </c>
      <c r="AA3989">
        <v>0.28389244682307341</v>
      </c>
      <c r="AB3989" t="str">
        <f>HYPERLINK("Melting_Curves/meltCurve_Q5VZL5_4_ZMYM4.pdf", "Melting_Curves/meltCurve_Q5VZL5_4_ZMYM4.pdf")</f>
        <v>Melting_Curves/meltCurve_Q5VZL5_4_ZMYM4.pdf</v>
      </c>
    </row>
    <row r="3990" spans="1:28" x14ac:dyDescent="0.25">
      <c r="A3990" t="s">
        <v>3994</v>
      </c>
      <c r="B3990">
        <v>0.99472303558308395</v>
      </c>
      <c r="C3990">
        <v>1.04688033676382</v>
      </c>
      <c r="D3990">
        <v>1.0671973560211701</v>
      </c>
      <c r="E3990">
        <v>0.88809244051240599</v>
      </c>
      <c r="F3990">
        <v>0.45822195411177602</v>
      </c>
      <c r="G3990">
        <v>0.22299257341654</v>
      </c>
      <c r="H3990">
        <v>0.11551990356997099</v>
      </c>
      <c r="I3990">
        <v>8.1388807020440504E-2</v>
      </c>
      <c r="J3990">
        <v>9.0701470124212896E-2</v>
      </c>
      <c r="K3990">
        <v>8.4440092924542395E-2</v>
      </c>
      <c r="L3990">
        <v>1418.0267285135001</v>
      </c>
      <c r="M3990">
        <v>28.542642105931002</v>
      </c>
      <c r="N3990">
        <v>50.040302395192398</v>
      </c>
      <c r="O3990">
        <v>49.4390396465541</v>
      </c>
      <c r="P3990">
        <v>-0.130960379213722</v>
      </c>
      <c r="Q3990">
        <v>9.2655270309788706E-2</v>
      </c>
      <c r="R3990">
        <v>0.99389556958030401</v>
      </c>
      <c r="S3990" t="s">
        <v>10558</v>
      </c>
      <c r="T3990" t="s">
        <v>13134</v>
      </c>
      <c r="U3990" t="s">
        <v>13134</v>
      </c>
      <c r="V3990" t="s">
        <v>13134</v>
      </c>
      <c r="W3990" t="s">
        <v>17066</v>
      </c>
      <c r="X3990">
        <v>3</v>
      </c>
      <c r="Y3990" t="s">
        <v>23449</v>
      </c>
      <c r="Z3990" t="s">
        <v>29958</v>
      </c>
      <c r="AA3990">
        <v>0.48229967571841648</v>
      </c>
      <c r="AB3990" t="str">
        <f>HYPERLINK("Melting_Curves/meltCurve_Q5VZR0_GLIPR2.pdf", "Melting_Curves/meltCurve_Q5VZR0_GLIPR2.pdf")</f>
        <v>Melting_Curves/meltCurve_Q5VZR0_GLIPR2.pdf</v>
      </c>
    </row>
    <row r="3991" spans="1:28" x14ac:dyDescent="0.25">
      <c r="A3991" t="s">
        <v>3995</v>
      </c>
      <c r="B3991">
        <v>0.99472303558308395</v>
      </c>
      <c r="C3991">
        <v>0.94101431915726996</v>
      </c>
      <c r="D3991">
        <v>0.82229953263367905</v>
      </c>
      <c r="E3991">
        <v>0.65445066974918897</v>
      </c>
      <c r="F3991">
        <v>0.62962428580761498</v>
      </c>
      <c r="G3991">
        <v>0.582760300367825</v>
      </c>
      <c r="H3991">
        <v>0.55857583345825002</v>
      </c>
      <c r="I3991">
        <v>7.1705251369966305E-2</v>
      </c>
      <c r="J3991">
        <v>8.1740364922570904E-2</v>
      </c>
      <c r="K3991">
        <v>9.2314776501232806E-2</v>
      </c>
      <c r="L3991">
        <v>457.47170380575102</v>
      </c>
      <c r="M3991">
        <v>8.6263193280704709</v>
      </c>
      <c r="N3991">
        <v>53.032085457463197</v>
      </c>
      <c r="O3991">
        <v>50.413053251716903</v>
      </c>
      <c r="P3991">
        <v>-4.2814666088259297E-2</v>
      </c>
      <c r="Q3991">
        <v>0</v>
      </c>
      <c r="R3991">
        <v>0.89136738963547701</v>
      </c>
      <c r="S3991" t="s">
        <v>10559</v>
      </c>
      <c r="T3991" t="s">
        <v>13134</v>
      </c>
      <c r="U3991" t="s">
        <v>13134</v>
      </c>
      <c r="V3991" t="s">
        <v>13134</v>
      </c>
      <c r="W3991" t="s">
        <v>17067</v>
      </c>
      <c r="X3991">
        <v>21</v>
      </c>
      <c r="Y3991" t="s">
        <v>23450</v>
      </c>
      <c r="Z3991" t="s">
        <v>29959</v>
      </c>
      <c r="AA3991">
        <v>0.55651248303776935</v>
      </c>
      <c r="AB3991" t="str">
        <f>HYPERLINK("Melting_Curves/meltCurve_Q5VZU9_TPP2.pdf", "Melting_Curves/meltCurve_Q5VZU9_TPP2.pdf")</f>
        <v>Melting_Curves/meltCurve_Q5VZU9_TPP2.pdf</v>
      </c>
    </row>
    <row r="3992" spans="1:28" x14ac:dyDescent="0.25">
      <c r="A3992" t="s">
        <v>3996</v>
      </c>
      <c r="B3992">
        <v>0.99472303558308395</v>
      </c>
      <c r="C3992">
        <v>0.89454228165887395</v>
      </c>
      <c r="D3992">
        <v>0.94850683643743505</v>
      </c>
      <c r="E3992">
        <v>0.73993116628744904</v>
      </c>
      <c r="F3992">
        <v>0.39694142175953601</v>
      </c>
      <c r="G3992">
        <v>0.14815995837652199</v>
      </c>
      <c r="H3992">
        <v>8.6619123110553198E-2</v>
      </c>
      <c r="I3992">
        <v>4.8706341921826199E-2</v>
      </c>
      <c r="J3992">
        <v>6.06904789749656E-2</v>
      </c>
      <c r="K3992">
        <v>5.5297220754979101E-2</v>
      </c>
      <c r="L3992">
        <v>998.61175937798305</v>
      </c>
      <c r="M3992">
        <v>20.4646686089933</v>
      </c>
      <c r="N3992">
        <v>49.011877955552201</v>
      </c>
      <c r="O3992">
        <v>48.338084984899403</v>
      </c>
      <c r="P3992">
        <v>-0.101300360710405</v>
      </c>
      <c r="Q3992">
        <v>4.2931814095861803E-2</v>
      </c>
      <c r="R3992">
        <v>0.99347228887818495</v>
      </c>
      <c r="S3992" t="s">
        <v>10560</v>
      </c>
      <c r="T3992" t="s">
        <v>13134</v>
      </c>
      <c r="U3992" t="s">
        <v>13134</v>
      </c>
      <c r="V3992" t="s">
        <v>13134</v>
      </c>
      <c r="W3992" t="s">
        <v>17068</v>
      </c>
      <c r="X3992">
        <v>10</v>
      </c>
      <c r="Y3992" t="s">
        <v>23451</v>
      </c>
      <c r="Z3992" t="s">
        <v>29960</v>
      </c>
      <c r="AA3992">
        <v>0.43136003812250812</v>
      </c>
      <c r="AB3992" t="str">
        <f>HYPERLINK("Melting_Curves/meltCurve_Q5VZZ6_CELF2.pdf", "Melting_Curves/meltCurve_Q5VZZ6_CELF2.pdf")</f>
        <v>Melting_Curves/meltCurve_Q5VZZ6_CELF2.pdf</v>
      </c>
    </row>
    <row r="3993" spans="1:28" x14ac:dyDescent="0.25">
      <c r="A3993" t="s">
        <v>3997</v>
      </c>
      <c r="B3993">
        <v>0.99472303558308395</v>
      </c>
      <c r="C3993">
        <v>0.94190517656957096</v>
      </c>
      <c r="D3993">
        <v>1.0064301214642899</v>
      </c>
      <c r="E3993">
        <v>0.85045313894036501</v>
      </c>
      <c r="F3993">
        <v>0.68007074060407702</v>
      </c>
      <c r="G3993">
        <v>0.55367688460391395</v>
      </c>
      <c r="H3993">
        <v>0.169154441034579</v>
      </c>
      <c r="I3993">
        <v>0.25921761043478603</v>
      </c>
      <c r="J3993">
        <v>0.45754085266341599</v>
      </c>
      <c r="K3993">
        <v>0.42926867719873202</v>
      </c>
      <c r="L3993">
        <v>1120.0785150597201</v>
      </c>
      <c r="M3993">
        <v>22.317626720787299</v>
      </c>
      <c r="N3993">
        <v>52.837861782812702</v>
      </c>
      <c r="O3993">
        <v>49.790314494001997</v>
      </c>
      <c r="P3993">
        <v>-7.4326011109457801E-2</v>
      </c>
      <c r="Q3993">
        <v>0.33673268501745401</v>
      </c>
      <c r="R3993">
        <v>0.897321762778726</v>
      </c>
      <c r="S3993" t="s">
        <v>10561</v>
      </c>
      <c r="T3993" t="s">
        <v>13134</v>
      </c>
      <c r="U3993" t="s">
        <v>13134</v>
      </c>
      <c r="V3993" t="s">
        <v>13134</v>
      </c>
      <c r="W3993" t="s">
        <v>17069</v>
      </c>
      <c r="X3993">
        <v>1</v>
      </c>
      <c r="Y3993" t="s">
        <v>23452</v>
      </c>
      <c r="Z3993" t="s">
        <v>29961</v>
      </c>
      <c r="AA3993">
        <v>0.63548658329629815</v>
      </c>
      <c r="AB3993" t="str">
        <f>HYPERLINK("Melting_Curves/meltCurve_Q5W0A2_ITM2B.pdf", "Melting_Curves/meltCurve_Q5W0A2_ITM2B.pdf")</f>
        <v>Melting_Curves/meltCurve_Q5W0A2_ITM2B.pdf</v>
      </c>
    </row>
    <row r="3994" spans="1:28" x14ac:dyDescent="0.25">
      <c r="A3994" t="s">
        <v>3998</v>
      </c>
      <c r="B3994">
        <v>0.99472303558308395</v>
      </c>
      <c r="C3994">
        <v>0.952140890047807</v>
      </c>
      <c r="D3994">
        <v>0.83358054265044501</v>
      </c>
      <c r="E3994">
        <v>0.81671877396687498</v>
      </c>
      <c r="F3994">
        <v>0.55080200303861404</v>
      </c>
      <c r="G3994">
        <v>0.20624134737028499</v>
      </c>
      <c r="H3994">
        <v>0.11219050144996801</v>
      </c>
      <c r="I3994">
        <v>6.4057520730534195E-2</v>
      </c>
      <c r="J3994">
        <v>5.4243013620721599E-2</v>
      </c>
      <c r="K3994">
        <v>2.9775468589267998E-2</v>
      </c>
      <c r="L3994">
        <v>810.21873647209804</v>
      </c>
      <c r="M3994">
        <v>16.126048126443099</v>
      </c>
      <c r="N3994">
        <v>50.2811766529259</v>
      </c>
      <c r="O3994">
        <v>49.4892820930055</v>
      </c>
      <c r="P3994">
        <v>-8.0971033669276202E-2</v>
      </c>
      <c r="Q3994">
        <v>6.1065001326712498E-3</v>
      </c>
      <c r="R3994">
        <v>0.98740548559820596</v>
      </c>
      <c r="S3994" t="s">
        <v>10562</v>
      </c>
      <c r="T3994" t="s">
        <v>13134</v>
      </c>
      <c r="U3994" t="s">
        <v>13134</v>
      </c>
      <c r="V3994" t="s">
        <v>13134</v>
      </c>
      <c r="W3994" t="s">
        <v>17070</v>
      </c>
      <c r="X3994">
        <v>4</v>
      </c>
      <c r="Y3994" t="s">
        <v>23453</v>
      </c>
      <c r="Z3994" t="s">
        <v>29962</v>
      </c>
      <c r="AA3994">
        <v>0.46338080868419751</v>
      </c>
      <c r="AB3994" t="str">
        <f>HYPERLINK("Melting_Curves/meltCurve_Q5W0V3_FAM160B1.pdf", "Melting_Curves/meltCurve_Q5W0V3_FAM160B1.pdf")</f>
        <v>Melting_Curves/meltCurve_Q5W0V3_FAM160B1.pdf</v>
      </c>
    </row>
    <row r="3995" spans="1:28" x14ac:dyDescent="0.25">
      <c r="A3995" t="s">
        <v>3999</v>
      </c>
      <c r="B3995">
        <v>0.99472303558308395</v>
      </c>
      <c r="C3995">
        <v>0.79793536607329196</v>
      </c>
      <c r="D3995">
        <v>1.0777926818157</v>
      </c>
      <c r="E3995">
        <v>0.82090263634935701</v>
      </c>
      <c r="F3995">
        <v>0.45186620370679098</v>
      </c>
      <c r="G3995">
        <v>0.30409244151613302</v>
      </c>
      <c r="H3995">
        <v>0.10295168650836301</v>
      </c>
      <c r="I3995">
        <v>4.7453968107820502E-2</v>
      </c>
      <c r="J3995">
        <v>1.2542646111482701E-2</v>
      </c>
      <c r="K3995">
        <v>3.5199453338026002E-2</v>
      </c>
      <c r="L3995">
        <v>914.80060081949296</v>
      </c>
      <c r="M3995">
        <v>18.204640523656</v>
      </c>
      <c r="N3995">
        <v>50.338137113217101</v>
      </c>
      <c r="O3995">
        <v>49.6563684086506</v>
      </c>
      <c r="P3995">
        <v>-9.0235054228403902E-2</v>
      </c>
      <c r="Q3995">
        <v>1.55183447328798E-2</v>
      </c>
      <c r="R3995">
        <v>0.96265757815613096</v>
      </c>
      <c r="S3995" t="s">
        <v>10563</v>
      </c>
      <c r="T3995" t="s">
        <v>13134</v>
      </c>
      <c r="U3995" t="s">
        <v>13134</v>
      </c>
      <c r="V3995" t="s">
        <v>13134</v>
      </c>
      <c r="W3995" t="s">
        <v>17071</v>
      </c>
      <c r="X3995">
        <v>3</v>
      </c>
      <c r="Y3995" t="s">
        <v>23454</v>
      </c>
      <c r="Z3995" t="s">
        <v>29963</v>
      </c>
      <c r="AA3995">
        <v>0.46554028156628441</v>
      </c>
      <c r="AB3995" t="str">
        <f>HYPERLINK("Melting_Curves/meltCurve_Q5W111_2_SPRYD7.pdf", "Melting_Curves/meltCurve_Q5W111_2_SPRYD7.pdf")</f>
        <v>Melting_Curves/meltCurve_Q5W111_2_SPRYD7.pdf</v>
      </c>
    </row>
    <row r="3996" spans="1:28" x14ac:dyDescent="0.25">
      <c r="A3996" t="s">
        <v>4000</v>
      </c>
      <c r="B3996">
        <v>0.99472303558308395</v>
      </c>
      <c r="C3996">
        <v>0.83848048554660803</v>
      </c>
      <c r="D3996">
        <v>0.66838489009203395</v>
      </c>
      <c r="E3996">
        <v>0.62484847276358801</v>
      </c>
      <c r="F3996">
        <v>0.56610246189708402</v>
      </c>
      <c r="G3996">
        <v>0.31628922278649502</v>
      </c>
      <c r="H3996">
        <v>0.32210493978416599</v>
      </c>
      <c r="I3996">
        <v>0.39611852448972901</v>
      </c>
      <c r="J3996">
        <v>0.49667831382937999</v>
      </c>
      <c r="K3996">
        <v>0.448157363993477</v>
      </c>
      <c r="L3996">
        <v>587.82113980366501</v>
      </c>
      <c r="M3996">
        <v>13.5572008151715</v>
      </c>
      <c r="N3996">
        <v>49.166642082843801</v>
      </c>
      <c r="O3996">
        <v>42.447834210429001</v>
      </c>
      <c r="P3996">
        <v>-4.7978484750220401E-2</v>
      </c>
      <c r="Q3996">
        <v>0.399204214598678</v>
      </c>
      <c r="R3996">
        <v>0.88529472174172796</v>
      </c>
      <c r="S3996" t="s">
        <v>10564</v>
      </c>
      <c r="T3996" t="s">
        <v>13134</v>
      </c>
      <c r="U3996" t="s">
        <v>13134</v>
      </c>
      <c r="V3996" t="s">
        <v>13134</v>
      </c>
      <c r="W3996" t="s">
        <v>17072</v>
      </c>
      <c r="X3996">
        <v>5</v>
      </c>
      <c r="Y3996" t="s">
        <v>23455</v>
      </c>
      <c r="Z3996" t="s">
        <v>29964</v>
      </c>
      <c r="AA3996">
        <v>0.54564944273448357</v>
      </c>
      <c r="AB3996" t="str">
        <f>HYPERLINK("Melting_Curves/meltCurve_Q5W145_NDUFB8.pdf", "Melting_Curves/meltCurve_Q5W145_NDUFB8.pdf")</f>
        <v>Melting_Curves/meltCurve_Q5W145_NDUFB8.pdf</v>
      </c>
    </row>
    <row r="3997" spans="1:28" x14ac:dyDescent="0.25">
      <c r="A3997" t="s">
        <v>4001</v>
      </c>
      <c r="B3997">
        <v>0.99472303558308395</v>
      </c>
      <c r="C3997">
        <v>0.80211298982146895</v>
      </c>
      <c r="D3997">
        <v>0.77922601006303205</v>
      </c>
      <c r="E3997">
        <v>0.58064060690816699</v>
      </c>
      <c r="F3997">
        <v>0.362472796411279</v>
      </c>
      <c r="G3997">
        <v>0.25834343395162301</v>
      </c>
      <c r="H3997">
        <v>0.248830725241796</v>
      </c>
      <c r="I3997">
        <v>0.22548751639794501</v>
      </c>
      <c r="J3997">
        <v>0.25954151166127698</v>
      </c>
      <c r="K3997">
        <v>0.171803696419812</v>
      </c>
      <c r="L3997">
        <v>565.47566541073195</v>
      </c>
      <c r="M3997">
        <v>12.364958405061399</v>
      </c>
      <c r="N3997">
        <v>47.503042179805099</v>
      </c>
      <c r="O3997">
        <v>44.585340856239696</v>
      </c>
      <c r="P3997">
        <v>-5.6541892952031297E-2</v>
      </c>
      <c r="Q3997">
        <v>0.18466409869501499</v>
      </c>
      <c r="R3997">
        <v>0.97953358656303902</v>
      </c>
      <c r="S3997" t="s">
        <v>10565</v>
      </c>
      <c r="T3997" t="s">
        <v>13134</v>
      </c>
      <c r="U3997" t="s">
        <v>13134</v>
      </c>
      <c r="V3997" t="s">
        <v>13134</v>
      </c>
      <c r="W3997" t="s">
        <v>17073</v>
      </c>
      <c r="X3997">
        <v>3</v>
      </c>
      <c r="Y3997" t="s">
        <v>23456</v>
      </c>
      <c r="Z3997" t="s">
        <v>29965</v>
      </c>
      <c r="AA3997">
        <v>0.44904265236133278</v>
      </c>
      <c r="AB3997" t="str">
        <f>HYPERLINK("Melting_Curves/meltCurve_Q5XKP0_QIL1.pdf", "Melting_Curves/meltCurve_Q5XKP0_QIL1.pdf")</f>
        <v>Melting_Curves/meltCurve_Q5XKP0_QIL1.pdf</v>
      </c>
    </row>
    <row r="3998" spans="1:28" x14ac:dyDescent="0.25">
      <c r="A3998" t="s">
        <v>4002</v>
      </c>
      <c r="B3998">
        <v>0.99472303558308395</v>
      </c>
      <c r="C3998">
        <v>0.93176499861485096</v>
      </c>
      <c r="D3998">
        <v>0.82589482658626101</v>
      </c>
      <c r="E3998">
        <v>0.69424806107367298</v>
      </c>
      <c r="F3998">
        <v>0.23025860114591001</v>
      </c>
      <c r="G3998">
        <v>0.126635911205358</v>
      </c>
      <c r="H3998">
        <v>8.9460872975857905E-2</v>
      </c>
      <c r="I3998">
        <v>7.1474630391923505E-2</v>
      </c>
      <c r="J3998">
        <v>6.6461138019184504E-2</v>
      </c>
      <c r="K3998">
        <v>5.3421021740892499E-2</v>
      </c>
      <c r="L3998">
        <v>967.40999117759202</v>
      </c>
      <c r="M3998">
        <v>20.3753044978242</v>
      </c>
      <c r="N3998">
        <v>47.739589331401199</v>
      </c>
      <c r="O3998">
        <v>47.029284187726503</v>
      </c>
      <c r="P3998">
        <v>-0.102626030912504</v>
      </c>
      <c r="Q3998">
        <v>5.25230829444275E-2</v>
      </c>
      <c r="R3998">
        <v>0.98791142656931497</v>
      </c>
      <c r="S3998" t="s">
        <v>10566</v>
      </c>
      <c r="T3998" t="s">
        <v>13134</v>
      </c>
      <c r="U3998" t="s">
        <v>13134</v>
      </c>
      <c r="V3998" t="s">
        <v>13134</v>
      </c>
      <c r="W3998" t="s">
        <v>17074</v>
      </c>
      <c r="X3998">
        <v>9</v>
      </c>
      <c r="Y3998" t="s">
        <v>23457</v>
      </c>
      <c r="Z3998" t="s">
        <v>29966</v>
      </c>
      <c r="AA3998">
        <v>0.39548033218219208</v>
      </c>
      <c r="AB3998" t="str">
        <f>HYPERLINK("Melting_Curves/meltCurve_Q5XPI4_RNF123.pdf", "Melting_Curves/meltCurve_Q5XPI4_RNF123.pdf")</f>
        <v>Melting_Curves/meltCurve_Q5XPI4_RNF123.pdf</v>
      </c>
    </row>
    <row r="3999" spans="1:28" x14ac:dyDescent="0.25">
      <c r="A3999" t="s">
        <v>4003</v>
      </c>
      <c r="B3999">
        <v>0.99472303558308395</v>
      </c>
      <c r="C3999">
        <v>1.12981109092487</v>
      </c>
      <c r="D3999">
        <v>1.0273481499603201</v>
      </c>
      <c r="E3999">
        <v>0.91584431284259504</v>
      </c>
      <c r="F3999">
        <v>0.81406900887042899</v>
      </c>
      <c r="G3999">
        <v>0.63521491257616003</v>
      </c>
      <c r="H3999">
        <v>0.26502380330986802</v>
      </c>
      <c r="I3999">
        <v>0.124677097257671</v>
      </c>
      <c r="J3999">
        <v>4.4937008493078898E-2</v>
      </c>
      <c r="K3999">
        <v>5.4167853476823798E-2</v>
      </c>
      <c r="L3999">
        <v>1027.63452139999</v>
      </c>
      <c r="M3999">
        <v>18.766278788742099</v>
      </c>
      <c r="N3999">
        <v>54.759635207084898</v>
      </c>
      <c r="O3999">
        <v>54.149193403877597</v>
      </c>
      <c r="P3999">
        <v>-8.6645171760256406E-2</v>
      </c>
      <c r="Q3999">
        <v>0</v>
      </c>
      <c r="R3999">
        <v>0.98474753232422296</v>
      </c>
      <c r="S3999" t="s">
        <v>10567</v>
      </c>
      <c r="T3999" t="s">
        <v>13134</v>
      </c>
      <c r="U3999" t="s">
        <v>13134</v>
      </c>
      <c r="V3999" t="s">
        <v>13134</v>
      </c>
      <c r="W3999" t="s">
        <v>17075</v>
      </c>
      <c r="X3999">
        <v>4</v>
      </c>
      <c r="Y3999" t="s">
        <v>23458</v>
      </c>
      <c r="Z3999" t="s">
        <v>29967</v>
      </c>
      <c r="AA3999">
        <v>0.60435720386797331</v>
      </c>
      <c r="AB3999" t="str">
        <f>HYPERLINK("Melting_Curves/meltCurve_Q5XUX1_3_FBXW9.pdf", "Melting_Curves/meltCurve_Q5XUX1_3_FBXW9.pdf")</f>
        <v>Melting_Curves/meltCurve_Q5XUX1_3_FBXW9.pdf</v>
      </c>
    </row>
    <row r="4000" spans="1:28" x14ac:dyDescent="0.25">
      <c r="A4000" t="s">
        <v>4004</v>
      </c>
      <c r="B4000">
        <v>0.99472303558308395</v>
      </c>
      <c r="C4000">
        <v>0.89286887098071999</v>
      </c>
      <c r="D4000">
        <v>0.73468341366872303</v>
      </c>
      <c r="E4000">
        <v>0.43401861614906601</v>
      </c>
      <c r="F4000">
        <v>0.19874093972898399</v>
      </c>
      <c r="G4000">
        <v>0.124831643059349</v>
      </c>
      <c r="H4000">
        <v>7.7810740034531298E-2</v>
      </c>
      <c r="I4000">
        <v>6.4484910487714306E-2</v>
      </c>
      <c r="J4000">
        <v>4.6309147544557699E-2</v>
      </c>
      <c r="K4000">
        <v>4.7214298992345201E-2</v>
      </c>
      <c r="L4000">
        <v>738.70580534849898</v>
      </c>
      <c r="M4000">
        <v>16.249794159367301</v>
      </c>
      <c r="N4000">
        <v>45.718818769146601</v>
      </c>
      <c r="O4000">
        <v>44.787657130298598</v>
      </c>
      <c r="P4000">
        <v>-8.6716252888685397E-2</v>
      </c>
      <c r="Q4000">
        <v>4.40417518471833E-2</v>
      </c>
      <c r="R4000">
        <v>0.99918013487618595</v>
      </c>
      <c r="S4000" t="s">
        <v>10568</v>
      </c>
      <c r="T4000" t="s">
        <v>13134</v>
      </c>
      <c r="U4000" t="s">
        <v>13134</v>
      </c>
      <c r="V4000" t="s">
        <v>13134</v>
      </c>
      <c r="W4000" t="s">
        <v>17076</v>
      </c>
      <c r="X4000">
        <v>11</v>
      </c>
      <c r="Y4000" t="s">
        <v>23459</v>
      </c>
      <c r="Z4000" t="s">
        <v>29968</v>
      </c>
      <c r="AA4000">
        <v>0.33272209876499842</v>
      </c>
      <c r="AB4000" t="str">
        <f>HYPERLINK("Melting_Curves/meltCurve_Q63HN8_RNF213.pdf", "Melting_Curves/meltCurve_Q63HN8_RNF213.pdf")</f>
        <v>Melting_Curves/meltCurve_Q63HN8_RNF213.pdf</v>
      </c>
    </row>
    <row r="4001" spans="1:28" x14ac:dyDescent="0.25">
      <c r="A4001" t="s">
        <v>4005</v>
      </c>
      <c r="B4001">
        <v>0.99472303558308395</v>
      </c>
      <c r="C4001">
        <v>0.90831610227011494</v>
      </c>
      <c r="D4001">
        <v>0.91513822931797795</v>
      </c>
      <c r="E4001">
        <v>0.506243324443158</v>
      </c>
      <c r="F4001">
        <v>0.219071593790194</v>
      </c>
      <c r="G4001">
        <v>0.14774647794763901</v>
      </c>
      <c r="H4001">
        <v>9.1768181578723101E-2</v>
      </c>
      <c r="I4001">
        <v>3.8637172058980797E-2</v>
      </c>
      <c r="J4001">
        <v>2.9149648487986499E-2</v>
      </c>
      <c r="K4001">
        <v>3.0135655979855899E-2</v>
      </c>
      <c r="L4001">
        <v>959.10028533859702</v>
      </c>
      <c r="M4001">
        <v>20.543568813954501</v>
      </c>
      <c r="N4001">
        <v>46.904348880045603</v>
      </c>
      <c r="O4001">
        <v>46.2505394248399</v>
      </c>
      <c r="P4001">
        <v>-0.105987749118637</v>
      </c>
      <c r="Q4001">
        <v>4.5570493610156297E-2</v>
      </c>
      <c r="R4001">
        <v>0.99241010126089002</v>
      </c>
      <c r="S4001" t="s">
        <v>10569</v>
      </c>
      <c r="T4001" t="s">
        <v>13134</v>
      </c>
      <c r="U4001" t="s">
        <v>13134</v>
      </c>
      <c r="V4001" t="s">
        <v>13134</v>
      </c>
      <c r="W4001" t="s">
        <v>17077</v>
      </c>
      <c r="X4001">
        <v>1</v>
      </c>
      <c r="Y4001" t="s">
        <v>23460</v>
      </c>
      <c r="Z4001" t="s">
        <v>29969</v>
      </c>
      <c r="AA4001">
        <v>0.36556684543401718</v>
      </c>
      <c r="AB4001" t="str">
        <f>HYPERLINK("Melting_Curves/meltCurve_Q643R3_LPCAT4.pdf", "Melting_Curves/meltCurve_Q643R3_LPCAT4.pdf")</f>
        <v>Melting_Curves/meltCurve_Q643R3_LPCAT4.pdf</v>
      </c>
    </row>
    <row r="4002" spans="1:28" x14ac:dyDescent="0.25">
      <c r="A4002" t="s">
        <v>4006</v>
      </c>
      <c r="B4002">
        <v>0.99472303558308395</v>
      </c>
      <c r="C4002">
        <v>0.95562803970111998</v>
      </c>
      <c r="D4002">
        <v>0.89967823745382702</v>
      </c>
      <c r="E4002">
        <v>0.71762204740921698</v>
      </c>
      <c r="F4002">
        <v>0.56160456577389395</v>
      </c>
      <c r="G4002">
        <v>0.28278058323960698</v>
      </c>
      <c r="H4002">
        <v>0.122421843316996</v>
      </c>
      <c r="I4002">
        <v>8.0100007480712193E-2</v>
      </c>
      <c r="J4002">
        <v>0.10746533072623</v>
      </c>
      <c r="K4002">
        <v>0.115735055980644</v>
      </c>
      <c r="L4002">
        <v>728.33043221996604</v>
      </c>
      <c r="M4002">
        <v>14.6185034404317</v>
      </c>
      <c r="N4002">
        <v>50.2032041745329</v>
      </c>
      <c r="O4002">
        <v>48.918022925811499</v>
      </c>
      <c r="P4002">
        <v>-7.0797425797284694E-2</v>
      </c>
      <c r="Q4002">
        <v>5.2465774791982403E-2</v>
      </c>
      <c r="R4002">
        <v>0.99163486929519395</v>
      </c>
      <c r="S4002" t="s">
        <v>10570</v>
      </c>
      <c r="T4002" t="s">
        <v>13134</v>
      </c>
      <c r="U4002" t="s">
        <v>13134</v>
      </c>
      <c r="V4002" t="s">
        <v>13134</v>
      </c>
      <c r="W4002" t="s">
        <v>17078</v>
      </c>
      <c r="X4002">
        <v>4</v>
      </c>
      <c r="Y4002" t="s">
        <v>23461</v>
      </c>
      <c r="Z4002" t="s">
        <v>29970</v>
      </c>
      <c r="AA4002">
        <v>0.47813611032108772</v>
      </c>
      <c r="AB4002" t="str">
        <f>HYPERLINK("Melting_Curves/meltCurve_Q658P3_3_STEAP3.pdf", "Melting_Curves/meltCurve_Q658P3_3_STEAP3.pdf")</f>
        <v>Melting_Curves/meltCurve_Q658P3_3_STEAP3.pdf</v>
      </c>
    </row>
    <row r="4003" spans="1:28" x14ac:dyDescent="0.25">
      <c r="A4003" t="s">
        <v>4007</v>
      </c>
      <c r="B4003">
        <v>0.99472303558308395</v>
      </c>
      <c r="C4003">
        <v>1.02260874032881</v>
      </c>
      <c r="D4003">
        <v>0.87480885909617001</v>
      </c>
      <c r="E4003">
        <v>0.57829947985864505</v>
      </c>
      <c r="F4003">
        <v>0.24381344112382999</v>
      </c>
      <c r="G4003">
        <v>0.138189466863231</v>
      </c>
      <c r="H4003">
        <v>8.8158767408282407E-2</v>
      </c>
      <c r="I4003">
        <v>6.6099307694331394E-2</v>
      </c>
      <c r="J4003">
        <v>7.7540023362511798E-2</v>
      </c>
      <c r="K4003">
        <v>6.9295372113022197E-2</v>
      </c>
      <c r="L4003">
        <v>1028.7960791895</v>
      </c>
      <c r="M4003">
        <v>21.914234811649401</v>
      </c>
      <c r="N4003">
        <v>47.275147306930002</v>
      </c>
      <c r="O4003">
        <v>46.5607885896761</v>
      </c>
      <c r="P4003">
        <v>-0.109353183677939</v>
      </c>
      <c r="Q4003">
        <v>7.0657954406934106E-2</v>
      </c>
      <c r="R4003">
        <v>0.99841760775840105</v>
      </c>
      <c r="S4003" t="s">
        <v>10571</v>
      </c>
      <c r="T4003" t="s">
        <v>13134</v>
      </c>
      <c r="U4003" t="s">
        <v>13134</v>
      </c>
      <c r="V4003" t="s">
        <v>13134</v>
      </c>
      <c r="W4003" t="s">
        <v>17079</v>
      </c>
      <c r="X4003">
        <v>9</v>
      </c>
      <c r="Y4003" t="s">
        <v>23462</v>
      </c>
      <c r="Z4003" t="s">
        <v>29971</v>
      </c>
      <c r="AA4003">
        <v>0.38893458206531151</v>
      </c>
      <c r="AB4003" t="str">
        <f>HYPERLINK("Melting_Curves/meltCurve_Q66GS9_CEP135.pdf", "Melting_Curves/meltCurve_Q66GS9_CEP135.pdf")</f>
        <v>Melting_Curves/meltCurve_Q66GS9_CEP135.pdf</v>
      </c>
    </row>
    <row r="4004" spans="1:28" x14ac:dyDescent="0.25">
      <c r="A4004" t="s">
        <v>4008</v>
      </c>
      <c r="B4004">
        <v>0.99472303558308395</v>
      </c>
      <c r="C4004">
        <v>0.89637440604534802</v>
      </c>
      <c r="D4004">
        <v>0.94828434224069902</v>
      </c>
      <c r="E4004">
        <v>0.81986679428908604</v>
      </c>
      <c r="F4004">
        <v>0.33598809590406098</v>
      </c>
      <c r="G4004">
        <v>0.161021234860551</v>
      </c>
      <c r="H4004">
        <v>8.6795743255961094E-2</v>
      </c>
      <c r="I4004">
        <v>5.9619078119741403E-2</v>
      </c>
      <c r="J4004">
        <v>5.5251441590615201E-2</v>
      </c>
      <c r="K4004">
        <v>3.4848621440917799E-2</v>
      </c>
      <c r="L4004">
        <v>1299.7845547622101</v>
      </c>
      <c r="M4004">
        <v>26.622095882621799</v>
      </c>
      <c r="N4004">
        <v>49.044804920325198</v>
      </c>
      <c r="O4004">
        <v>48.550529536194396</v>
      </c>
      <c r="P4004">
        <v>-0.12932834997393799</v>
      </c>
      <c r="Q4004">
        <v>5.6588934778218102E-2</v>
      </c>
      <c r="R4004">
        <v>0.99116188473572597</v>
      </c>
      <c r="S4004" t="s">
        <v>10572</v>
      </c>
      <c r="T4004" t="s">
        <v>13134</v>
      </c>
      <c r="U4004" t="s">
        <v>13134</v>
      </c>
      <c r="V4004" t="s">
        <v>13134</v>
      </c>
      <c r="W4004" t="s">
        <v>17080</v>
      </c>
      <c r="X4004">
        <v>6</v>
      </c>
      <c r="Y4004" t="s">
        <v>23463</v>
      </c>
      <c r="Z4004" t="s">
        <v>29972</v>
      </c>
      <c r="AA4004">
        <v>0.43559357784124242</v>
      </c>
      <c r="AB4004" t="str">
        <f>HYPERLINK("Melting_Curves/meltCurve_Q66K14_2_TBC1D9B.pdf", "Melting_Curves/meltCurve_Q66K14_2_TBC1D9B.pdf")</f>
        <v>Melting_Curves/meltCurve_Q66K14_2_TBC1D9B.pdf</v>
      </c>
    </row>
    <row r="4005" spans="1:28" x14ac:dyDescent="0.25">
      <c r="A4005" t="s">
        <v>4009</v>
      </c>
      <c r="B4005">
        <v>0.99472303558308395</v>
      </c>
      <c r="C4005">
        <v>1.0718242624015399</v>
      </c>
      <c r="D4005">
        <v>0.81150046702962497</v>
      </c>
      <c r="E4005">
        <v>0.71186682015483405</v>
      </c>
      <c r="F4005">
        <v>0.598317027276835</v>
      </c>
      <c r="G4005">
        <v>0.234726236710045</v>
      </c>
      <c r="H4005">
        <v>8.8219839608217804E-2</v>
      </c>
      <c r="I4005">
        <v>9.7307536053111404E-2</v>
      </c>
      <c r="J4005">
        <v>8.5204893819964198E-2</v>
      </c>
      <c r="K4005">
        <v>9.56313062757288E-2</v>
      </c>
      <c r="L4005">
        <v>724.48619535298201</v>
      </c>
      <c r="M4005">
        <v>14.538023765488701</v>
      </c>
      <c r="N4005">
        <v>50.075015548651002</v>
      </c>
      <c r="O4005">
        <v>48.919457858687998</v>
      </c>
      <c r="P4005">
        <v>-7.1792242411218093E-2</v>
      </c>
      <c r="Q4005">
        <v>3.3806354015338803E-2</v>
      </c>
      <c r="R4005">
        <v>0.97207229875566104</v>
      </c>
      <c r="S4005" t="s">
        <v>10573</v>
      </c>
      <c r="T4005" t="s">
        <v>13134</v>
      </c>
      <c r="U4005" t="s">
        <v>13134</v>
      </c>
      <c r="V4005" t="s">
        <v>13134</v>
      </c>
      <c r="W4005" t="s">
        <v>17081</v>
      </c>
      <c r="X4005">
        <v>4</v>
      </c>
      <c r="Y4005" t="s">
        <v>23464</v>
      </c>
      <c r="Z4005" t="s">
        <v>29973</v>
      </c>
      <c r="AA4005">
        <v>0.46838504734830422</v>
      </c>
      <c r="AB4005" t="str">
        <f>HYPERLINK("Melting_Curves/meltCurve_Q66K64_DCAF15.pdf", "Melting_Curves/meltCurve_Q66K64_DCAF15.pdf")</f>
        <v>Melting_Curves/meltCurve_Q66K64_DCAF15.pdf</v>
      </c>
    </row>
    <row r="4006" spans="1:28" x14ac:dyDescent="0.25">
      <c r="A4006" t="s">
        <v>4010</v>
      </c>
      <c r="B4006">
        <v>0.99472303558308395</v>
      </c>
      <c r="C4006">
        <v>0.97981103229968503</v>
      </c>
      <c r="D4006">
        <v>0.81761862847633504</v>
      </c>
      <c r="E4006">
        <v>0.82255941825672496</v>
      </c>
      <c r="F4006">
        <v>0.83894774179102305</v>
      </c>
      <c r="G4006">
        <v>0.38858634313356999</v>
      </c>
      <c r="H4006">
        <v>0.137286572381838</v>
      </c>
      <c r="I4006">
        <v>6.7200347609621E-2</v>
      </c>
      <c r="J4006">
        <v>9.7567497634557201E-2</v>
      </c>
      <c r="K4006">
        <v>6.5420453704578593E-2</v>
      </c>
      <c r="L4006">
        <v>1241.48146194075</v>
      </c>
      <c r="M4006">
        <v>23.6056507970263</v>
      </c>
      <c r="N4006">
        <v>52.831739156030402</v>
      </c>
      <c r="O4006">
        <v>52.219467494839897</v>
      </c>
      <c r="P4006">
        <v>-0.10728623393079401</v>
      </c>
      <c r="Q4006">
        <v>5.0678729523418703E-2</v>
      </c>
      <c r="R4006">
        <v>0.960913328183714</v>
      </c>
      <c r="S4006" t="s">
        <v>10574</v>
      </c>
      <c r="T4006" t="s">
        <v>13134</v>
      </c>
      <c r="U4006" t="s">
        <v>13134</v>
      </c>
      <c r="V4006" t="s">
        <v>13134</v>
      </c>
      <c r="W4006" t="s">
        <v>17082</v>
      </c>
      <c r="X4006">
        <v>7</v>
      </c>
      <c r="Y4006" t="s">
        <v>23465</v>
      </c>
      <c r="Z4006" t="s">
        <v>29974</v>
      </c>
      <c r="AA4006">
        <v>0.55337085821543552</v>
      </c>
      <c r="AB4006" t="str">
        <f>HYPERLINK("Melting_Curves/meltCurve_Q66LE6_PPP2R2D.pdf", "Melting_Curves/meltCurve_Q66LE6_PPP2R2D.pdf")</f>
        <v>Melting_Curves/meltCurve_Q66LE6_PPP2R2D.pdf</v>
      </c>
    </row>
    <row r="4007" spans="1:28" x14ac:dyDescent="0.25">
      <c r="A4007" t="s">
        <v>4011</v>
      </c>
      <c r="B4007">
        <v>0.99472303558308395</v>
      </c>
      <c r="C4007">
        <v>0.89547644353839295</v>
      </c>
      <c r="D4007">
        <v>0.97688479665127503</v>
      </c>
      <c r="E4007">
        <v>0.84672376755419898</v>
      </c>
      <c r="F4007">
        <v>0.759594223562436</v>
      </c>
      <c r="G4007">
        <v>0.52234876508733397</v>
      </c>
      <c r="H4007">
        <v>0.294767381538245</v>
      </c>
      <c r="I4007">
        <v>0.43858840311291702</v>
      </c>
      <c r="J4007">
        <v>0.50095460050177998</v>
      </c>
      <c r="K4007">
        <v>0.45939464368710797</v>
      </c>
      <c r="L4007">
        <v>1132.8071365533101</v>
      </c>
      <c r="M4007">
        <v>22.638801524465499</v>
      </c>
      <c r="N4007">
        <v>54.438929378634</v>
      </c>
      <c r="O4007">
        <v>49.652773835119099</v>
      </c>
      <c r="P4007">
        <v>-6.6136234554299095E-2</v>
      </c>
      <c r="Q4007">
        <v>0.41979578188237698</v>
      </c>
      <c r="R4007">
        <v>0.91428998657728999</v>
      </c>
      <c r="S4007" t="s">
        <v>10575</v>
      </c>
      <c r="T4007" t="s">
        <v>13134</v>
      </c>
      <c r="U4007" t="s">
        <v>13134</v>
      </c>
      <c r="V4007" t="s">
        <v>13134</v>
      </c>
      <c r="W4007" t="s">
        <v>13277</v>
      </c>
      <c r="X4007">
        <v>10</v>
      </c>
      <c r="Y4007" t="s">
        <v>19768</v>
      </c>
      <c r="Z4007" t="s">
        <v>29975</v>
      </c>
      <c r="AA4007">
        <v>0.67807241256779516</v>
      </c>
      <c r="AB4007" t="str">
        <f>HYPERLINK("Melting_Curves/meltCurve_Q66PJ3_ARL6IP4.pdf", "Melting_Curves/meltCurve_Q66PJ3_ARL6IP4.pdf")</f>
        <v>Melting_Curves/meltCurve_Q66PJ3_ARL6IP4.pdf</v>
      </c>
    </row>
    <row r="4008" spans="1:28" x14ac:dyDescent="0.25">
      <c r="A4008" t="s">
        <v>4012</v>
      </c>
      <c r="B4008">
        <v>0.99472303558308395</v>
      </c>
      <c r="C4008">
        <v>1.04195193526527</v>
      </c>
      <c r="D4008">
        <v>1.00463108038111</v>
      </c>
      <c r="E4008">
        <v>0.87149616188861601</v>
      </c>
      <c r="F4008">
        <v>0.66166957523036396</v>
      </c>
      <c r="G4008">
        <v>0.226898142640925</v>
      </c>
      <c r="H4008">
        <v>9.4699285488740903E-2</v>
      </c>
      <c r="I4008">
        <v>7.14900091763358E-2</v>
      </c>
      <c r="J4008">
        <v>6.8471740547810106E-2</v>
      </c>
      <c r="K4008">
        <v>5.8042975521794E-2</v>
      </c>
      <c r="L4008">
        <v>1332.5118704010299</v>
      </c>
      <c r="M4008">
        <v>26.107956336145701</v>
      </c>
      <c r="N4008">
        <v>51.261137107574001</v>
      </c>
      <c r="O4008">
        <v>50.741921936812503</v>
      </c>
      <c r="P4008">
        <v>-0.121738943597429</v>
      </c>
      <c r="Q4008">
        <v>5.35914826790133E-2</v>
      </c>
      <c r="R4008">
        <v>0.99605450932930595</v>
      </c>
      <c r="S4008" t="s">
        <v>10576</v>
      </c>
      <c r="T4008" t="s">
        <v>13134</v>
      </c>
      <c r="U4008" t="s">
        <v>13134</v>
      </c>
      <c r="V4008" t="s">
        <v>13134</v>
      </c>
      <c r="W4008" t="s">
        <v>17083</v>
      </c>
      <c r="X4008">
        <v>7</v>
      </c>
      <c r="Y4008" t="s">
        <v>23466</v>
      </c>
      <c r="Z4008" t="s">
        <v>29976</v>
      </c>
      <c r="AA4008">
        <v>0.50416606383973261</v>
      </c>
      <c r="AB4008" t="str">
        <f>HYPERLINK("Melting_Curves/meltCurve_Q66S35_PFKFB4.pdf", "Melting_Curves/meltCurve_Q66S35_PFKFB4.pdf")</f>
        <v>Melting_Curves/meltCurve_Q66S35_PFKFB4.pdf</v>
      </c>
    </row>
    <row r="4009" spans="1:28" x14ac:dyDescent="0.25">
      <c r="A4009" t="s">
        <v>4013</v>
      </c>
      <c r="B4009">
        <v>0.99472303558308395</v>
      </c>
      <c r="C4009">
        <v>0.90414119037354501</v>
      </c>
      <c r="D4009">
        <v>0.88833348950291502</v>
      </c>
      <c r="E4009">
        <v>0.63107469541666505</v>
      </c>
      <c r="F4009">
        <v>0.49973616291533302</v>
      </c>
      <c r="G4009">
        <v>0.47100582268181801</v>
      </c>
      <c r="H4009">
        <v>0.31396866834114501</v>
      </c>
      <c r="I4009">
        <v>0.41761793067373998</v>
      </c>
      <c r="J4009">
        <v>0.52859691393597696</v>
      </c>
      <c r="K4009">
        <v>0.36938177002827899</v>
      </c>
      <c r="L4009">
        <v>860.49672997337905</v>
      </c>
      <c r="M4009">
        <v>18.890264945317501</v>
      </c>
      <c r="N4009">
        <v>50.091796507978003</v>
      </c>
      <c r="O4009">
        <v>45.051107341890599</v>
      </c>
      <c r="P4009">
        <v>-6.1878040222678801E-2</v>
      </c>
      <c r="Q4009">
        <v>0.40973599065664801</v>
      </c>
      <c r="R4009">
        <v>0.93916703438925198</v>
      </c>
      <c r="S4009" t="s">
        <v>10577</v>
      </c>
      <c r="T4009" t="s">
        <v>13134</v>
      </c>
      <c r="U4009" t="s">
        <v>13134</v>
      </c>
      <c r="V4009" t="s">
        <v>13134</v>
      </c>
      <c r="W4009" t="s">
        <v>17084</v>
      </c>
      <c r="X4009">
        <v>8</v>
      </c>
      <c r="Y4009" t="s">
        <v>23467</v>
      </c>
      <c r="Z4009" t="s">
        <v>29977</v>
      </c>
      <c r="AA4009">
        <v>0.58669613640293838</v>
      </c>
      <c r="AB4009" t="str">
        <f>HYPERLINK("Melting_Curves/meltCurve_Q674X7_3_KAZN.pdf", "Melting_Curves/meltCurve_Q674X7_3_KAZN.pdf")</f>
        <v>Melting_Curves/meltCurve_Q674X7_3_KAZN.pdf</v>
      </c>
    </row>
    <row r="4010" spans="1:28" x14ac:dyDescent="0.25">
      <c r="A4010" t="s">
        <v>4014</v>
      </c>
      <c r="B4010">
        <v>0.99472303558308395</v>
      </c>
      <c r="C4010">
        <v>0.92395539687711803</v>
      </c>
      <c r="D4010">
        <v>1.0466054976235699</v>
      </c>
      <c r="E4010">
        <v>0.47601479911608402</v>
      </c>
      <c r="F4010">
        <v>0.18136203786187999</v>
      </c>
      <c r="G4010">
        <v>9.4831168232402493E-2</v>
      </c>
      <c r="H4010">
        <v>5.8863110019737E-2</v>
      </c>
      <c r="I4010">
        <v>4.3680615888898697E-2</v>
      </c>
      <c r="J4010">
        <v>4.70294615392143E-2</v>
      </c>
      <c r="K4010">
        <v>3.8368182977711399E-2</v>
      </c>
      <c r="L4010">
        <v>1873.93407302328</v>
      </c>
      <c r="M4010">
        <v>40.354383933516097</v>
      </c>
      <c r="N4010">
        <v>46.603610248264602</v>
      </c>
      <c r="O4010">
        <v>46.323338630746903</v>
      </c>
      <c r="P4010">
        <v>-0.203152635429768</v>
      </c>
      <c r="Q4010">
        <v>6.7195262951908502E-2</v>
      </c>
      <c r="R4010">
        <v>0.98788900510041</v>
      </c>
      <c r="S4010" t="s">
        <v>10578</v>
      </c>
      <c r="T4010" t="s">
        <v>13134</v>
      </c>
      <c r="U4010" t="s">
        <v>13134</v>
      </c>
      <c r="V4010" t="s">
        <v>13134</v>
      </c>
      <c r="W4010" t="s">
        <v>17085</v>
      </c>
      <c r="X4010">
        <v>12</v>
      </c>
      <c r="Y4010" t="s">
        <v>23468</v>
      </c>
      <c r="Z4010" t="s">
        <v>29978</v>
      </c>
      <c r="AA4010">
        <v>0.36356525343312329</v>
      </c>
      <c r="AB4010" t="str">
        <f>HYPERLINK("Melting_Curves/meltCurve_Q68CQ4_DIEXF.pdf", "Melting_Curves/meltCurve_Q68CQ4_DIEXF.pdf")</f>
        <v>Melting_Curves/meltCurve_Q68CQ4_DIEXF.pdf</v>
      </c>
    </row>
    <row r="4011" spans="1:28" x14ac:dyDescent="0.25">
      <c r="A4011" t="s">
        <v>4015</v>
      </c>
      <c r="B4011">
        <v>0.99472303558308395</v>
      </c>
      <c r="C4011">
        <v>0.90445120019967795</v>
      </c>
      <c r="D4011">
        <v>0.86319798067119802</v>
      </c>
      <c r="E4011">
        <v>0.53860900916605903</v>
      </c>
      <c r="F4011">
        <v>0.351385010439621</v>
      </c>
      <c r="G4011">
        <v>0.17488364432050901</v>
      </c>
      <c r="H4011">
        <v>5.8158549497691399E-2</v>
      </c>
      <c r="I4011">
        <v>4.3060176945783603E-2</v>
      </c>
      <c r="J4011">
        <v>7.0880884566945704E-2</v>
      </c>
      <c r="K4011">
        <v>5.5558563358292803E-2</v>
      </c>
      <c r="L4011">
        <v>707.19909645997302</v>
      </c>
      <c r="M4011">
        <v>14.9327345691114</v>
      </c>
      <c r="N4011">
        <v>47.549260505418196</v>
      </c>
      <c r="O4011">
        <v>46.533996893161003</v>
      </c>
      <c r="P4011">
        <v>-7.79060995302263E-2</v>
      </c>
      <c r="Q4011">
        <v>2.9003178105203E-2</v>
      </c>
      <c r="R4011">
        <v>0.99430929764951903</v>
      </c>
      <c r="S4011" t="s">
        <v>10579</v>
      </c>
      <c r="T4011" t="s">
        <v>13134</v>
      </c>
      <c r="U4011" t="s">
        <v>13134</v>
      </c>
      <c r="V4011" t="s">
        <v>13134</v>
      </c>
      <c r="W4011" t="s">
        <v>17086</v>
      </c>
      <c r="X4011">
        <v>2</v>
      </c>
      <c r="Y4011" t="s">
        <v>23469</v>
      </c>
      <c r="Z4011" t="s">
        <v>29979</v>
      </c>
      <c r="AA4011">
        <v>0.38614633258218772</v>
      </c>
      <c r="AB4011" t="str">
        <f>HYPERLINK("Melting_Curves/meltCurve_Q68D10_2_SPTY2D1.pdf", "Melting_Curves/meltCurve_Q68D10_2_SPTY2D1.pdf")</f>
        <v>Melting_Curves/meltCurve_Q68D10_2_SPTY2D1.pdf</v>
      </c>
    </row>
    <row r="4012" spans="1:28" x14ac:dyDescent="0.25">
      <c r="A4012" t="s">
        <v>4016</v>
      </c>
      <c r="B4012">
        <v>0.99472303558308395</v>
      </c>
      <c r="C4012">
        <v>1.03739620059773</v>
      </c>
      <c r="D4012">
        <v>1.00841325171969</v>
      </c>
      <c r="E4012">
        <v>0.90428509330869</v>
      </c>
      <c r="F4012">
        <v>0.60152662224791698</v>
      </c>
      <c r="G4012">
        <v>0.36268837914924801</v>
      </c>
      <c r="H4012">
        <v>0.19672308350283799</v>
      </c>
      <c r="I4012">
        <v>0.16090803858570699</v>
      </c>
      <c r="J4012">
        <v>0.15165052889043601</v>
      </c>
      <c r="K4012">
        <v>0.101192017988209</v>
      </c>
      <c r="L4012">
        <v>1053.9979703485101</v>
      </c>
      <c r="M4012">
        <v>20.6939765607627</v>
      </c>
      <c r="N4012">
        <v>51.640492204716999</v>
      </c>
      <c r="O4012">
        <v>50.464131571518998</v>
      </c>
      <c r="P4012">
        <v>-8.9860359172581894E-2</v>
      </c>
      <c r="Q4012">
        <v>0.123494455719402</v>
      </c>
      <c r="R4012">
        <v>0.99660061391025001</v>
      </c>
      <c r="S4012" t="s">
        <v>10580</v>
      </c>
      <c r="T4012" t="s">
        <v>13134</v>
      </c>
      <c r="U4012" t="s">
        <v>13134</v>
      </c>
      <c r="V4012" t="s">
        <v>13134</v>
      </c>
      <c r="W4012" t="s">
        <v>17087</v>
      </c>
      <c r="X4012">
        <v>4</v>
      </c>
      <c r="Y4012" t="s">
        <v>23470</v>
      </c>
      <c r="Z4012" t="s">
        <v>29980</v>
      </c>
      <c r="AA4012">
        <v>0.54140091474752228</v>
      </c>
      <c r="AB4012" t="str">
        <f>HYPERLINK("Melting_Curves/meltCurve_Q68D85_NCR3LG1.pdf", "Melting_Curves/meltCurve_Q68D85_NCR3LG1.pdf")</f>
        <v>Melting_Curves/meltCurve_Q68D85_NCR3LG1.pdf</v>
      </c>
    </row>
    <row r="4013" spans="1:28" x14ac:dyDescent="0.25">
      <c r="A4013" t="s">
        <v>4017</v>
      </c>
      <c r="B4013">
        <v>0.99472303558308395</v>
      </c>
      <c r="C4013">
        <v>1.0234639878452501</v>
      </c>
      <c r="D4013">
        <v>1.0358592365553301</v>
      </c>
      <c r="E4013">
        <v>0.83000593968359504</v>
      </c>
      <c r="F4013">
        <v>0.66794228555069002</v>
      </c>
      <c r="G4013">
        <v>0.47528787844815701</v>
      </c>
      <c r="H4013">
        <v>0.40815342589707898</v>
      </c>
      <c r="I4013">
        <v>0.32792101226775899</v>
      </c>
      <c r="J4013">
        <v>0.35596865323475901</v>
      </c>
      <c r="K4013">
        <v>0.276733752996421</v>
      </c>
      <c r="L4013">
        <v>872.27835434100803</v>
      </c>
      <c r="M4013">
        <v>17.305833751318499</v>
      </c>
      <c r="N4013">
        <v>53.330738741649498</v>
      </c>
      <c r="O4013">
        <v>49.7451611477073</v>
      </c>
      <c r="P4013">
        <v>-6.0310681006966502E-2</v>
      </c>
      <c r="Q4013">
        <v>0.30659443289136401</v>
      </c>
      <c r="R4013">
        <v>0.98785181945790301</v>
      </c>
      <c r="S4013" t="s">
        <v>10581</v>
      </c>
      <c r="T4013" t="s">
        <v>13134</v>
      </c>
      <c r="U4013" t="s">
        <v>13134</v>
      </c>
      <c r="V4013" t="s">
        <v>13134</v>
      </c>
      <c r="W4013" t="s">
        <v>17088</v>
      </c>
      <c r="X4013">
        <v>6</v>
      </c>
      <c r="Y4013" t="s">
        <v>23471</v>
      </c>
      <c r="Z4013" t="s">
        <v>29981</v>
      </c>
      <c r="AA4013">
        <v>0.62796747373245687</v>
      </c>
      <c r="AB4013" t="str">
        <f>HYPERLINK("Melting_Curves/meltCurve_Q68D91_MBLAC2.pdf", "Melting_Curves/meltCurve_Q68D91_MBLAC2.pdf")</f>
        <v>Melting_Curves/meltCurve_Q68D91_MBLAC2.pdf</v>
      </c>
    </row>
    <row r="4014" spans="1:28" x14ac:dyDescent="0.25">
      <c r="A4014" t="s">
        <v>4018</v>
      </c>
      <c r="B4014">
        <v>0.99472303558308395</v>
      </c>
      <c r="C4014">
        <v>1.04040294925332</v>
      </c>
      <c r="D4014">
        <v>0.85811841981467196</v>
      </c>
      <c r="E4014">
        <v>0.67416366381520698</v>
      </c>
      <c r="F4014">
        <v>0.64129779009556198</v>
      </c>
      <c r="G4014">
        <v>0.35801450753179198</v>
      </c>
      <c r="H4014">
        <v>0.216484203426521</v>
      </c>
      <c r="I4014">
        <v>0.118475563954953</v>
      </c>
      <c r="J4014">
        <v>0.12926770382592601</v>
      </c>
      <c r="K4014">
        <v>0.110513919340581</v>
      </c>
      <c r="L4014">
        <v>580.31709746542504</v>
      </c>
      <c r="M4014">
        <v>11.406308434700399</v>
      </c>
      <c r="N4014">
        <v>51.1490688572121</v>
      </c>
      <c r="O4014">
        <v>49.388363128942203</v>
      </c>
      <c r="P4014">
        <v>-5.6053930634647697E-2</v>
      </c>
      <c r="Q4014">
        <v>2.9449353006928799E-2</v>
      </c>
      <c r="R4014">
        <v>0.98078868462818503</v>
      </c>
      <c r="S4014" t="s">
        <v>10582</v>
      </c>
      <c r="T4014" t="s">
        <v>13134</v>
      </c>
      <c r="U4014" t="s">
        <v>13134</v>
      </c>
      <c r="V4014" t="s">
        <v>13134</v>
      </c>
      <c r="W4014" t="s">
        <v>17089</v>
      </c>
      <c r="X4014">
        <v>5</v>
      </c>
      <c r="Y4014" t="s">
        <v>23472</v>
      </c>
      <c r="Z4014" t="s">
        <v>29982</v>
      </c>
      <c r="AA4014">
        <v>0.50520616600395218</v>
      </c>
      <c r="AB4014" t="str">
        <f>HYPERLINK("Melting_Curves/meltCurve_Q68DH5_LMBRD2.pdf", "Melting_Curves/meltCurve_Q68DH5_LMBRD2.pdf")</f>
        <v>Melting_Curves/meltCurve_Q68DH5_LMBRD2.pdf</v>
      </c>
    </row>
    <row r="4015" spans="1:28" x14ac:dyDescent="0.25">
      <c r="A4015" t="s">
        <v>4019</v>
      </c>
      <c r="B4015">
        <v>0.99472303558308395</v>
      </c>
      <c r="C4015">
        <v>0.96252031087976497</v>
      </c>
      <c r="D4015">
        <v>0.93464195961757701</v>
      </c>
      <c r="E4015">
        <v>0.58443954497721096</v>
      </c>
      <c r="F4015">
        <v>0.26527251765986798</v>
      </c>
      <c r="G4015">
        <v>0.14694385899394599</v>
      </c>
      <c r="H4015">
        <v>7.7584702564206007E-2</v>
      </c>
      <c r="I4015">
        <v>5.5024988044508401E-2</v>
      </c>
      <c r="J4015">
        <v>9.4830205751848903E-2</v>
      </c>
      <c r="K4015">
        <v>7.1721250406309806E-2</v>
      </c>
      <c r="L4015">
        <v>1070.42184889534</v>
      </c>
      <c r="M4015">
        <v>22.6978031189484</v>
      </c>
      <c r="N4015">
        <v>47.492145375054903</v>
      </c>
      <c r="O4015">
        <v>46.798224881993001</v>
      </c>
      <c r="P4015">
        <v>-0.112349680562823</v>
      </c>
      <c r="Q4015">
        <v>7.3450051487788701E-2</v>
      </c>
      <c r="R4015">
        <v>0.99797180687903497</v>
      </c>
      <c r="S4015" t="s">
        <v>10583</v>
      </c>
      <c r="T4015" t="s">
        <v>13134</v>
      </c>
      <c r="U4015" t="s">
        <v>13134</v>
      </c>
      <c r="V4015" t="s">
        <v>13134</v>
      </c>
      <c r="W4015" t="s">
        <v>17090</v>
      </c>
      <c r="X4015">
        <v>12</v>
      </c>
      <c r="Y4015" t="s">
        <v>23473</v>
      </c>
      <c r="Z4015" t="s">
        <v>29983</v>
      </c>
      <c r="AA4015">
        <v>0.39669243488123912</v>
      </c>
      <c r="AB4015" t="str">
        <f>HYPERLINK("Melting_Curves/meltCurve_Q68E01_2_INTS3.pdf", "Melting_Curves/meltCurve_Q68E01_2_INTS3.pdf")</f>
        <v>Melting_Curves/meltCurve_Q68E01_2_INTS3.pdf</v>
      </c>
    </row>
    <row r="4016" spans="1:28" x14ac:dyDescent="0.25">
      <c r="A4016" t="s">
        <v>4020</v>
      </c>
      <c r="B4016">
        <v>0.99472303558308395</v>
      </c>
      <c r="C4016">
        <v>1.10398645639911</v>
      </c>
      <c r="D4016">
        <v>0.83021184512859703</v>
      </c>
      <c r="E4016">
        <v>0.56459246918070605</v>
      </c>
      <c r="F4016">
        <v>0.221793160467298</v>
      </c>
      <c r="G4016">
        <v>0.113467160189028</v>
      </c>
      <c r="H4016">
        <v>7.0905401731217205E-2</v>
      </c>
      <c r="I4016">
        <v>4.7238410754098799E-2</v>
      </c>
      <c r="J4016">
        <v>4.6965843124118702E-2</v>
      </c>
      <c r="K4016">
        <v>3.8728020320260299E-2</v>
      </c>
      <c r="L4016">
        <v>1009.26960584222</v>
      </c>
      <c r="M4016">
        <v>21.535790624974101</v>
      </c>
      <c r="N4016">
        <v>47.073678942494801</v>
      </c>
      <c r="O4016">
        <v>46.466284063657596</v>
      </c>
      <c r="P4016">
        <v>-0.11058961184664901</v>
      </c>
      <c r="Q4016">
        <v>4.5577002796071603E-2</v>
      </c>
      <c r="R4016">
        <v>0.98871659414464697</v>
      </c>
      <c r="S4016" t="s">
        <v>10584</v>
      </c>
      <c r="T4016" t="s">
        <v>13134</v>
      </c>
      <c r="U4016" t="s">
        <v>13134</v>
      </c>
      <c r="V4016" t="s">
        <v>13134</v>
      </c>
      <c r="W4016" t="s">
        <v>17091</v>
      </c>
      <c r="X4016">
        <v>5</v>
      </c>
      <c r="Y4016" t="s">
        <v>23474</v>
      </c>
      <c r="Z4016" t="s">
        <v>29984</v>
      </c>
      <c r="AA4016">
        <v>0.37020426232321713</v>
      </c>
      <c r="AB4016" t="str">
        <f>HYPERLINK("Melting_Curves/meltCurve_Q68EM7_6_ARHGAP17.pdf", "Melting_Curves/meltCurve_Q68EM7_6_ARHGAP17.pdf")</f>
        <v>Melting_Curves/meltCurve_Q68EM7_6_ARHGAP17.pdf</v>
      </c>
    </row>
    <row r="4017" spans="1:28" x14ac:dyDescent="0.25">
      <c r="A4017" t="s">
        <v>4021</v>
      </c>
      <c r="B4017">
        <v>0.99472303558308395</v>
      </c>
      <c r="C4017">
        <v>0.92900251959425395</v>
      </c>
      <c r="D4017">
        <v>0.64633810130853198</v>
      </c>
      <c r="E4017">
        <v>0.40118653362444101</v>
      </c>
      <c r="F4017">
        <v>0.29470843006004399</v>
      </c>
      <c r="G4017">
        <v>0.14878188496720399</v>
      </c>
      <c r="H4017">
        <v>9.5531366390898098E-2</v>
      </c>
      <c r="I4017">
        <v>6.4261794894087898E-2</v>
      </c>
      <c r="J4017">
        <v>9.8834595781778403E-2</v>
      </c>
      <c r="K4017">
        <v>7.4030390112391001E-2</v>
      </c>
      <c r="L4017">
        <v>667.021584120169</v>
      </c>
      <c r="M4017">
        <v>14.8208702917849</v>
      </c>
      <c r="N4017">
        <v>45.485156277078502</v>
      </c>
      <c r="O4017">
        <v>44.210038640822802</v>
      </c>
      <c r="P4017">
        <v>-7.7755007472600099E-2</v>
      </c>
      <c r="Q4017">
        <v>7.2338410889131094E-2</v>
      </c>
      <c r="R4017">
        <v>0.99117211277664397</v>
      </c>
      <c r="S4017" t="s">
        <v>10585</v>
      </c>
      <c r="T4017" t="s">
        <v>13134</v>
      </c>
      <c r="U4017" t="s">
        <v>13134</v>
      </c>
      <c r="V4017" t="s">
        <v>13134</v>
      </c>
      <c r="W4017" t="s">
        <v>17092</v>
      </c>
      <c r="X4017">
        <v>10</v>
      </c>
      <c r="Y4017" t="s">
        <v>23475</v>
      </c>
      <c r="Z4017" t="s">
        <v>29985</v>
      </c>
      <c r="AA4017">
        <v>0.34248159993437338</v>
      </c>
      <c r="AB4017" t="str">
        <f>HYPERLINK("Melting_Curves/meltCurve_Q69YH5_CDCA2.pdf", "Melting_Curves/meltCurve_Q69YH5_CDCA2.pdf")</f>
        <v>Melting_Curves/meltCurve_Q69YH5_CDCA2.pdf</v>
      </c>
    </row>
    <row r="4018" spans="1:28" x14ac:dyDescent="0.25">
      <c r="A4018" t="s">
        <v>4022</v>
      </c>
      <c r="B4018">
        <v>0.99472303558308395</v>
      </c>
      <c r="C4018">
        <v>1.0072070999499201</v>
      </c>
      <c r="D4018">
        <v>1.0344531300336</v>
      </c>
      <c r="E4018">
        <v>0.75333769902967895</v>
      </c>
      <c r="F4018">
        <v>0.45228104288189203</v>
      </c>
      <c r="G4018">
        <v>0.28456123711398201</v>
      </c>
      <c r="H4018">
        <v>0.17841902830845399</v>
      </c>
      <c r="I4018">
        <v>0.207062167921054</v>
      </c>
      <c r="J4018">
        <v>0.22419463400143999</v>
      </c>
      <c r="K4018">
        <v>0.175484475599513</v>
      </c>
      <c r="L4018">
        <v>1175.9334634740401</v>
      </c>
      <c r="M4018">
        <v>24.2359748643937</v>
      </c>
      <c r="N4018">
        <v>49.529777408443401</v>
      </c>
      <c r="O4018">
        <v>48.1934565475268</v>
      </c>
      <c r="P4018">
        <v>-0.101218192087024</v>
      </c>
      <c r="Q4018">
        <v>0.19491918406310199</v>
      </c>
      <c r="R4018">
        <v>0.99306394217371197</v>
      </c>
      <c r="S4018" t="s">
        <v>10586</v>
      </c>
      <c r="T4018" t="s">
        <v>13134</v>
      </c>
      <c r="U4018" t="s">
        <v>13134</v>
      </c>
      <c r="V4018" t="s">
        <v>13134</v>
      </c>
      <c r="W4018" t="s">
        <v>17093</v>
      </c>
      <c r="X4018">
        <v>5</v>
      </c>
      <c r="Z4018" t="s">
        <v>29986</v>
      </c>
      <c r="AA4018">
        <v>0.51141887946315145</v>
      </c>
      <c r="AB4018" t="str">
        <f>HYPERLINK("Melting_Curves/meltCurve_Q69YL0_.pdf", "Melting_Curves/meltCurve_Q69YL0_.pdf")</f>
        <v>Melting_Curves/meltCurve_Q69YL0_.pdf</v>
      </c>
    </row>
    <row r="4019" spans="1:28" x14ac:dyDescent="0.25">
      <c r="A4019" t="s">
        <v>4023</v>
      </c>
      <c r="B4019">
        <v>0.99472303558308395</v>
      </c>
      <c r="C4019">
        <v>0.97319982226913304</v>
      </c>
      <c r="D4019">
        <v>0.83571838390886999</v>
      </c>
      <c r="E4019">
        <v>0.86462335160968795</v>
      </c>
      <c r="F4019">
        <v>0.44425866583843399</v>
      </c>
      <c r="G4019">
        <v>0.52143226198922199</v>
      </c>
      <c r="H4019">
        <v>0.34266222502124699</v>
      </c>
      <c r="I4019">
        <v>0.33174720953143899</v>
      </c>
      <c r="J4019">
        <v>0.608338496286982</v>
      </c>
      <c r="K4019">
        <v>0.45331920323303698</v>
      </c>
      <c r="L4019">
        <v>11702.1268855538</v>
      </c>
      <c r="M4019">
        <v>250</v>
      </c>
      <c r="N4019">
        <v>47.244751055889999</v>
      </c>
      <c r="O4019">
        <v>46.805511997698297</v>
      </c>
      <c r="P4019">
        <v>-0.73403079324452403</v>
      </c>
      <c r="Q4019">
        <v>0.450293005748229</v>
      </c>
      <c r="R4019">
        <v>0.86024776765966404</v>
      </c>
      <c r="S4019" t="s">
        <v>10587</v>
      </c>
      <c r="T4019" t="s">
        <v>13134</v>
      </c>
      <c r="U4019" t="s">
        <v>13134</v>
      </c>
      <c r="V4019" t="s">
        <v>13134</v>
      </c>
      <c r="W4019" t="s">
        <v>17094</v>
      </c>
      <c r="X4019">
        <v>1</v>
      </c>
      <c r="Y4019" t="s">
        <v>23476</v>
      </c>
      <c r="Z4019" t="s">
        <v>29987</v>
      </c>
      <c r="AA4019">
        <v>0.6300650031604611</v>
      </c>
      <c r="AB4019" t="str">
        <f>HYPERLINK("Melting_Curves/meltCurve_Q69YM1_DKFZp762C0813.pdf", "Melting_Curves/meltCurve_Q69YM1_DKFZp762C0813.pdf")</f>
        <v>Melting_Curves/meltCurve_Q69YM1_DKFZp762C0813.pdf</v>
      </c>
    </row>
    <row r="4020" spans="1:28" x14ac:dyDescent="0.25">
      <c r="A4020" t="s">
        <v>4024</v>
      </c>
      <c r="B4020">
        <v>0.99472303558308395</v>
      </c>
      <c r="C4020">
        <v>0.97757682181558403</v>
      </c>
      <c r="D4020">
        <v>1.02943713410654</v>
      </c>
      <c r="E4020">
        <v>0.93835756309047802</v>
      </c>
      <c r="F4020">
        <v>0.48696426886025801</v>
      </c>
      <c r="G4020">
        <v>0.138713330925298</v>
      </c>
      <c r="H4020">
        <v>7.4455736288950497E-2</v>
      </c>
      <c r="I4020">
        <v>4.95629868414698E-2</v>
      </c>
      <c r="J4020">
        <v>6.4599937220492107E-2</v>
      </c>
      <c r="K4020">
        <v>5.4882191979043898E-2</v>
      </c>
      <c r="L4020">
        <v>1770.32448023454</v>
      </c>
      <c r="M4020">
        <v>35.428287724714899</v>
      </c>
      <c r="N4020">
        <v>50.148961012157997</v>
      </c>
      <c r="O4020">
        <v>49.810836323047198</v>
      </c>
      <c r="P4020">
        <v>-0.167213287910256</v>
      </c>
      <c r="Q4020">
        <v>5.9620913615859299E-2</v>
      </c>
      <c r="R4020">
        <v>0.99895576721171797</v>
      </c>
      <c r="S4020" t="s">
        <v>10588</v>
      </c>
      <c r="T4020" t="s">
        <v>13134</v>
      </c>
      <c r="U4020" t="s">
        <v>13134</v>
      </c>
      <c r="V4020" t="s">
        <v>13134</v>
      </c>
      <c r="W4020" t="s">
        <v>17095</v>
      </c>
      <c r="X4020">
        <v>15</v>
      </c>
      <c r="Y4020" t="s">
        <v>23477</v>
      </c>
      <c r="Z4020" t="s">
        <v>29988</v>
      </c>
      <c r="AA4020">
        <v>0.47029554188622041</v>
      </c>
      <c r="AB4020" t="str">
        <f>HYPERLINK("Melting_Curves/meltCurve_Q69YN2_CWF19L1.pdf", "Melting_Curves/meltCurve_Q69YN2_CWF19L1.pdf")</f>
        <v>Melting_Curves/meltCurve_Q69YN2_CWF19L1.pdf</v>
      </c>
    </row>
    <row r="4021" spans="1:28" x14ac:dyDescent="0.25">
      <c r="A4021" t="s">
        <v>4025</v>
      </c>
      <c r="B4021">
        <v>0.99472303558308395</v>
      </c>
      <c r="C4021">
        <v>0.84876764133099503</v>
      </c>
      <c r="D4021">
        <v>0.71205894600180197</v>
      </c>
      <c r="E4021">
        <v>0.51925780062883997</v>
      </c>
      <c r="F4021">
        <v>0.17563054890211199</v>
      </c>
      <c r="G4021">
        <v>8.5123757985643894E-2</v>
      </c>
      <c r="H4021">
        <v>5.85573332473351E-2</v>
      </c>
      <c r="I4021">
        <v>4.1437347263010703E-2</v>
      </c>
      <c r="J4021">
        <v>5.4718749423574402E-2</v>
      </c>
      <c r="K4021">
        <v>3.9215653236740602E-2</v>
      </c>
      <c r="L4021">
        <v>676.88151691191501</v>
      </c>
      <c r="M4021">
        <v>14.782102448763499</v>
      </c>
      <c r="N4021">
        <v>45.893495164104898</v>
      </c>
      <c r="O4021">
        <v>44.977088119746497</v>
      </c>
      <c r="P4021">
        <v>-8.0834186420222304E-2</v>
      </c>
      <c r="Q4021">
        <v>1.6297606060921802E-2</v>
      </c>
      <c r="R4021">
        <v>0.98974303440632205</v>
      </c>
      <c r="S4021" t="s">
        <v>10589</v>
      </c>
      <c r="T4021" t="s">
        <v>13134</v>
      </c>
      <c r="U4021" t="s">
        <v>13134</v>
      </c>
      <c r="V4021" t="s">
        <v>13134</v>
      </c>
      <c r="W4021" t="s">
        <v>17096</v>
      </c>
      <c r="X4021">
        <v>11</v>
      </c>
      <c r="Y4021" t="s">
        <v>23478</v>
      </c>
      <c r="Z4021" t="s">
        <v>29989</v>
      </c>
      <c r="AA4021">
        <v>0.3280063445846057</v>
      </c>
      <c r="AB4021" t="str">
        <f>HYPERLINK("Melting_Curves/meltCurve_Q69YN4_3_KIAA1429.pdf", "Melting_Curves/meltCurve_Q69YN4_3_KIAA1429.pdf")</f>
        <v>Melting_Curves/meltCurve_Q69YN4_3_KIAA1429.pdf</v>
      </c>
    </row>
    <row r="4022" spans="1:28" x14ac:dyDescent="0.25">
      <c r="A4022" t="s">
        <v>4026</v>
      </c>
      <c r="B4022">
        <v>0.99472303558308395</v>
      </c>
      <c r="C4022">
        <v>0.91589830680768602</v>
      </c>
      <c r="D4022">
        <v>0.76274401351048904</v>
      </c>
      <c r="E4022">
        <v>0.64606072396509495</v>
      </c>
      <c r="F4022">
        <v>0.135579587466443</v>
      </c>
      <c r="G4022">
        <v>0.10134387052445</v>
      </c>
      <c r="H4022">
        <v>2.5253906135498199E-2</v>
      </c>
      <c r="I4022">
        <v>6.6991334026908697E-2</v>
      </c>
      <c r="J4022">
        <v>6.3300643977603793E-2</v>
      </c>
      <c r="K4022">
        <v>4.0117178026022902E-2</v>
      </c>
      <c r="L4022">
        <v>892.60593600196705</v>
      </c>
      <c r="M4022">
        <v>19.097433633079799</v>
      </c>
      <c r="N4022">
        <v>46.8834068221447</v>
      </c>
      <c r="O4022">
        <v>46.2361348090934</v>
      </c>
      <c r="P4022">
        <v>-0.10032623848125299</v>
      </c>
      <c r="Q4022">
        <v>2.8452463635755001E-2</v>
      </c>
      <c r="R4022">
        <v>0.97580614681070998</v>
      </c>
      <c r="S4022" t="s">
        <v>10590</v>
      </c>
      <c r="T4022" t="s">
        <v>13134</v>
      </c>
      <c r="U4022" t="s">
        <v>13134</v>
      </c>
      <c r="V4022" t="s">
        <v>13134</v>
      </c>
      <c r="W4022" t="s">
        <v>17097</v>
      </c>
      <c r="X4022">
        <v>4</v>
      </c>
      <c r="Y4022" t="s">
        <v>23479</v>
      </c>
      <c r="Z4022" t="s">
        <v>29990</v>
      </c>
      <c r="AA4022">
        <v>0.35778673895493229</v>
      </c>
      <c r="AB4022" t="str">
        <f>HYPERLINK("Melting_Curves/meltCurve_Q69YQ0_2_SPECC1L.pdf", "Melting_Curves/meltCurve_Q69YQ0_2_SPECC1L.pdf")</f>
        <v>Melting_Curves/meltCurve_Q69YQ0_2_SPECC1L.pdf</v>
      </c>
    </row>
    <row r="4023" spans="1:28" x14ac:dyDescent="0.25">
      <c r="A4023" t="s">
        <v>4027</v>
      </c>
      <c r="B4023">
        <v>0.99472303558308395</v>
      </c>
      <c r="C4023">
        <v>0.99601516610699903</v>
      </c>
      <c r="D4023">
        <v>0.94345241580568096</v>
      </c>
      <c r="E4023">
        <v>0.79738877770222805</v>
      </c>
      <c r="F4023">
        <v>0.59353998919270101</v>
      </c>
      <c r="G4023">
        <v>0.48235254278782802</v>
      </c>
      <c r="H4023">
        <v>0.39968298524496498</v>
      </c>
      <c r="I4023">
        <v>0.515166604561488</v>
      </c>
      <c r="J4023">
        <v>0.605324528435503</v>
      </c>
      <c r="K4023">
        <v>0.451544301293895</v>
      </c>
      <c r="L4023">
        <v>1239.09323285753</v>
      </c>
      <c r="M4023">
        <v>26.203462971354199</v>
      </c>
      <c r="N4023">
        <v>55.123018419244097</v>
      </c>
      <c r="O4023">
        <v>47.014560800148899</v>
      </c>
      <c r="P4023">
        <v>-7.1349595822718201E-2</v>
      </c>
      <c r="Q4023">
        <v>0.48794068855258999</v>
      </c>
      <c r="R4023">
        <v>0.94768235712180104</v>
      </c>
      <c r="S4023" t="s">
        <v>10591</v>
      </c>
      <c r="T4023" t="s">
        <v>13134</v>
      </c>
      <c r="U4023" t="s">
        <v>13134</v>
      </c>
      <c r="V4023" t="s">
        <v>13134</v>
      </c>
      <c r="W4023" t="s">
        <v>17098</v>
      </c>
      <c r="X4023">
        <v>5</v>
      </c>
      <c r="Y4023" t="s">
        <v>23480</v>
      </c>
      <c r="Z4023" t="s">
        <v>29991</v>
      </c>
      <c r="AA4023">
        <v>0.66746221997003585</v>
      </c>
      <c r="AB4023" t="str">
        <f>HYPERLINK("Melting_Curves/meltCurve_Q69YU5_C12orf73.pdf", "Melting_Curves/meltCurve_Q69YU5_C12orf73.pdf")</f>
        <v>Melting_Curves/meltCurve_Q69YU5_C12orf73.pdf</v>
      </c>
    </row>
    <row r="4024" spans="1:28" x14ac:dyDescent="0.25">
      <c r="A4024" t="s">
        <v>4028</v>
      </c>
      <c r="B4024">
        <v>0.99472303558308395</v>
      </c>
      <c r="C4024">
        <v>1.0475449903851199</v>
      </c>
      <c r="D4024">
        <v>0.88350489662091303</v>
      </c>
      <c r="E4024">
        <v>0.66734755689899194</v>
      </c>
      <c r="F4024">
        <v>0.35257394779333801</v>
      </c>
      <c r="G4024">
        <v>0.15247632514407</v>
      </c>
      <c r="H4024">
        <v>9.2901216787074206E-2</v>
      </c>
      <c r="I4024">
        <v>6.4845267059439202E-2</v>
      </c>
      <c r="J4024">
        <v>9.1765984964871997E-2</v>
      </c>
      <c r="K4024">
        <v>6.69919334540406E-2</v>
      </c>
      <c r="L4024">
        <v>944.00797929575697</v>
      </c>
      <c r="M4024">
        <v>19.668307360973898</v>
      </c>
      <c r="N4024">
        <v>48.329709695481</v>
      </c>
      <c r="O4024">
        <v>47.508498661561198</v>
      </c>
      <c r="P4024">
        <v>-9.6938047628815194E-2</v>
      </c>
      <c r="Q4024">
        <v>6.3423014910214598E-2</v>
      </c>
      <c r="R4024">
        <v>0.99609887403809305</v>
      </c>
      <c r="S4024" t="s">
        <v>10592</v>
      </c>
      <c r="T4024" t="s">
        <v>13134</v>
      </c>
      <c r="U4024" t="s">
        <v>13134</v>
      </c>
      <c r="V4024" t="s">
        <v>13134</v>
      </c>
      <c r="W4024" t="s">
        <v>17099</v>
      </c>
      <c r="X4024">
        <v>6</v>
      </c>
      <c r="Y4024" t="s">
        <v>23481</v>
      </c>
      <c r="Z4024" t="s">
        <v>29992</v>
      </c>
      <c r="AA4024">
        <v>0.41942184947155919</v>
      </c>
      <c r="AB4024" t="str">
        <f>HYPERLINK("Melting_Curves/meltCurve_Q6AI08_HEATR6.pdf", "Melting_Curves/meltCurve_Q6AI08_HEATR6.pdf")</f>
        <v>Melting_Curves/meltCurve_Q6AI08_HEATR6.pdf</v>
      </c>
    </row>
    <row r="4025" spans="1:28" x14ac:dyDescent="0.25">
      <c r="A4025" t="s">
        <v>4029</v>
      </c>
      <c r="B4025">
        <v>0.99472303558308395</v>
      </c>
      <c r="C4025">
        <v>1.2544163103841699</v>
      </c>
      <c r="D4025">
        <v>0.64580525473628603</v>
      </c>
      <c r="E4025">
        <v>0.44147636914805599</v>
      </c>
      <c r="F4025">
        <v>0.116702252316626</v>
      </c>
      <c r="G4025">
        <v>6.6069329897678303E-2</v>
      </c>
      <c r="H4025">
        <v>4.8790213489913199E-2</v>
      </c>
      <c r="I4025">
        <v>1.50174058502065E-2</v>
      </c>
      <c r="J4025">
        <v>2.9584068718539702E-2</v>
      </c>
      <c r="K4025">
        <v>0</v>
      </c>
      <c r="L4025">
        <v>1015.69614138875</v>
      </c>
      <c r="M4025">
        <v>22.3304542051998</v>
      </c>
      <c r="N4025">
        <v>45.584427758263899</v>
      </c>
      <c r="O4025">
        <v>45.124746794476899</v>
      </c>
      <c r="P4025">
        <v>-0.120771110815836</v>
      </c>
      <c r="Q4025">
        <v>2.3817483165884001E-2</v>
      </c>
      <c r="R4025">
        <v>0.94051311110181701</v>
      </c>
      <c r="S4025" t="s">
        <v>10593</v>
      </c>
      <c r="T4025" t="s">
        <v>13134</v>
      </c>
      <c r="U4025" t="s">
        <v>13134</v>
      </c>
      <c r="V4025" t="s">
        <v>13134</v>
      </c>
      <c r="W4025" t="s">
        <v>17100</v>
      </c>
      <c r="X4025">
        <v>1</v>
      </c>
      <c r="Y4025" t="s">
        <v>23482</v>
      </c>
      <c r="Z4025" t="s">
        <v>29993</v>
      </c>
      <c r="AA4025">
        <v>0.3100771274269018</v>
      </c>
      <c r="AB4025" t="str">
        <f>HYPERLINK("Melting_Curves/meltCurve_Q6AI12_ANKRD40.pdf", "Melting_Curves/meltCurve_Q6AI12_ANKRD40.pdf")</f>
        <v>Melting_Curves/meltCurve_Q6AI12_ANKRD40.pdf</v>
      </c>
    </row>
    <row r="4026" spans="1:28" x14ac:dyDescent="0.25">
      <c r="A4026" t="s">
        <v>4030</v>
      </c>
      <c r="B4026">
        <v>0.99472303558308395</v>
      </c>
      <c r="C4026">
        <v>1.0313819789296299</v>
      </c>
      <c r="D4026">
        <v>1.0246226530321401</v>
      </c>
      <c r="E4026">
        <v>0.89001388215337296</v>
      </c>
      <c r="F4026">
        <v>0.67596364903121497</v>
      </c>
      <c r="G4026">
        <v>0.53825193924815495</v>
      </c>
      <c r="H4026">
        <v>0.37761904446522798</v>
      </c>
      <c r="I4026">
        <v>0.48017569835240398</v>
      </c>
      <c r="J4026">
        <v>0.51557393554839903</v>
      </c>
      <c r="K4026">
        <v>0.23668995151627401</v>
      </c>
      <c r="L4026">
        <v>1021.15637938389</v>
      </c>
      <c r="M4026">
        <v>20.355757154372899</v>
      </c>
      <c r="N4026">
        <v>54.1624814957665</v>
      </c>
      <c r="O4026">
        <v>49.6888592344202</v>
      </c>
      <c r="P4026">
        <v>-6.2611145222589495E-2</v>
      </c>
      <c r="Q4026">
        <v>0.38867772675717799</v>
      </c>
      <c r="R4026">
        <v>0.93239564486802196</v>
      </c>
      <c r="S4026" t="s">
        <v>10594</v>
      </c>
      <c r="T4026" t="s">
        <v>13134</v>
      </c>
      <c r="U4026" t="s">
        <v>13134</v>
      </c>
      <c r="V4026" t="s">
        <v>13134</v>
      </c>
      <c r="W4026" t="s">
        <v>17101</v>
      </c>
      <c r="X4026">
        <v>5</v>
      </c>
      <c r="Y4026" t="s">
        <v>23483</v>
      </c>
      <c r="Z4026" t="s">
        <v>29994</v>
      </c>
      <c r="AA4026">
        <v>0.66475863577212901</v>
      </c>
      <c r="AB4026" t="str">
        <f>HYPERLINK("Melting_Curves/meltCurve_Q6BCY4_2_CYB5R2.pdf", "Melting_Curves/meltCurve_Q6BCY4_2_CYB5R2.pdf")</f>
        <v>Melting_Curves/meltCurve_Q6BCY4_2_CYB5R2.pdf</v>
      </c>
    </row>
    <row r="4027" spans="1:28" x14ac:dyDescent="0.25">
      <c r="A4027" t="s">
        <v>4031</v>
      </c>
      <c r="B4027">
        <v>0.99472303558308395</v>
      </c>
      <c r="C4027">
        <v>0.91947969342107005</v>
      </c>
      <c r="D4027">
        <v>0.83667298553138103</v>
      </c>
      <c r="E4027">
        <v>0.754783763403298</v>
      </c>
      <c r="F4027">
        <v>0.74598447752851804</v>
      </c>
      <c r="G4027">
        <v>0.40976708574869197</v>
      </c>
      <c r="H4027">
        <v>0.18337458386226799</v>
      </c>
      <c r="I4027">
        <v>5.3743909241642199E-2</v>
      </c>
      <c r="J4027">
        <v>5.4162547165856598E-2</v>
      </c>
      <c r="K4027">
        <v>5.3162878426335901E-2</v>
      </c>
      <c r="L4027">
        <v>708.36443877106103</v>
      </c>
      <c r="M4027">
        <v>13.597769742579001</v>
      </c>
      <c r="N4027">
        <v>52.094149240635303</v>
      </c>
      <c r="O4027">
        <v>51.006207878791599</v>
      </c>
      <c r="P4027">
        <v>-6.6657504369147594E-2</v>
      </c>
      <c r="Q4027">
        <v>0</v>
      </c>
      <c r="R4027">
        <v>0.96817060762742801</v>
      </c>
      <c r="S4027" t="s">
        <v>10595</v>
      </c>
      <c r="T4027" t="s">
        <v>13134</v>
      </c>
      <c r="U4027" t="s">
        <v>13134</v>
      </c>
      <c r="V4027" t="s">
        <v>13134</v>
      </c>
      <c r="W4027" t="s">
        <v>17102</v>
      </c>
      <c r="X4027">
        <v>6</v>
      </c>
      <c r="Y4027" t="s">
        <v>23484</v>
      </c>
      <c r="Z4027" t="s">
        <v>29995</v>
      </c>
      <c r="AA4027">
        <v>0.52424192922810497</v>
      </c>
      <c r="AB4027" t="str">
        <f>HYPERLINK("Melting_Curves/meltCurve_Q6BDS2_UHRF1BP1.pdf", "Melting_Curves/meltCurve_Q6BDS2_UHRF1BP1.pdf")</f>
        <v>Melting_Curves/meltCurve_Q6BDS2_UHRF1BP1.pdf</v>
      </c>
    </row>
    <row r="4028" spans="1:28" x14ac:dyDescent="0.25">
      <c r="A4028" t="s">
        <v>4032</v>
      </c>
      <c r="B4028">
        <v>0.99472303558308395</v>
      </c>
      <c r="C4028">
        <v>0.76378247967688395</v>
      </c>
      <c r="D4028">
        <v>0.721430550921493</v>
      </c>
      <c r="E4028">
        <v>0.275250711039489</v>
      </c>
      <c r="F4028">
        <v>0.24366392158258801</v>
      </c>
      <c r="G4028">
        <v>0.119457995357955</v>
      </c>
      <c r="H4028">
        <v>6.1082642181066502E-2</v>
      </c>
      <c r="I4028">
        <v>4.7811910349943101E-2</v>
      </c>
      <c r="J4028">
        <v>1.87515125989496E-2</v>
      </c>
      <c r="K4028">
        <v>5.5068956564393597E-2</v>
      </c>
      <c r="L4028">
        <v>636.47797657182502</v>
      </c>
      <c r="M4028">
        <v>14.308818999980801</v>
      </c>
      <c r="N4028">
        <v>44.687385595250497</v>
      </c>
      <c r="O4028">
        <v>43.639784716588899</v>
      </c>
      <c r="P4028">
        <v>-7.9366028131008307E-2</v>
      </c>
      <c r="Q4028">
        <v>3.1899339313635998E-2</v>
      </c>
      <c r="R4028">
        <v>0.97592820646533396</v>
      </c>
      <c r="S4028" t="s">
        <v>10596</v>
      </c>
      <c r="T4028" t="s">
        <v>13134</v>
      </c>
      <c r="U4028" t="s">
        <v>13134</v>
      </c>
      <c r="V4028" t="s">
        <v>13134</v>
      </c>
      <c r="W4028" t="s">
        <v>17103</v>
      </c>
      <c r="X4028">
        <v>5</v>
      </c>
      <c r="Y4028" t="s">
        <v>23485</v>
      </c>
      <c r="Z4028" t="s">
        <v>29996</v>
      </c>
      <c r="AA4028">
        <v>0.29918500199986769</v>
      </c>
      <c r="AB4028" t="str">
        <f>HYPERLINK("Melting_Curves/meltCurve_Q6DCA0_AMMECR1L.pdf", "Melting_Curves/meltCurve_Q6DCA0_AMMECR1L.pdf")</f>
        <v>Melting_Curves/meltCurve_Q6DCA0_AMMECR1L.pdf</v>
      </c>
    </row>
    <row r="4029" spans="1:28" x14ac:dyDescent="0.25">
      <c r="A4029" t="s">
        <v>4033</v>
      </c>
      <c r="B4029">
        <v>0.99472303558308395</v>
      </c>
      <c r="C4029">
        <v>0.95985830536883898</v>
      </c>
      <c r="D4029">
        <v>0.97189922990178301</v>
      </c>
      <c r="E4029">
        <v>0.78587004049905096</v>
      </c>
      <c r="F4029">
        <v>0.53790186376117</v>
      </c>
      <c r="G4029">
        <v>0.41738029481053901</v>
      </c>
      <c r="H4029">
        <v>0.27612189521352498</v>
      </c>
      <c r="I4029">
        <v>0.22685873736216</v>
      </c>
      <c r="J4029">
        <v>0.366631724854728</v>
      </c>
      <c r="K4029">
        <v>0.22656428317905999</v>
      </c>
      <c r="L4029">
        <v>899.05013881822902</v>
      </c>
      <c r="M4029">
        <v>18.352193006779</v>
      </c>
      <c r="N4029">
        <v>51.031822410183899</v>
      </c>
      <c r="O4029">
        <v>48.418156111334703</v>
      </c>
      <c r="P4029">
        <v>-7.01071511512424E-2</v>
      </c>
      <c r="Q4029">
        <v>0.260185691680203</v>
      </c>
      <c r="R4029">
        <v>0.980950551223011</v>
      </c>
      <c r="S4029" t="s">
        <v>10597</v>
      </c>
      <c r="T4029" t="s">
        <v>13134</v>
      </c>
      <c r="U4029" t="s">
        <v>13134</v>
      </c>
      <c r="V4029" t="s">
        <v>13134</v>
      </c>
      <c r="W4029" t="s">
        <v>17104</v>
      </c>
      <c r="X4029">
        <v>4</v>
      </c>
      <c r="Y4029" t="s">
        <v>23486</v>
      </c>
      <c r="Z4029" t="s">
        <v>29997</v>
      </c>
      <c r="AA4029">
        <v>0.56720373035282357</v>
      </c>
      <c r="AB4029" t="str">
        <f>HYPERLINK("Melting_Curves/meltCurve_Q6DD87_ZNF787.pdf", "Melting_Curves/meltCurve_Q6DD87_ZNF787.pdf")</f>
        <v>Melting_Curves/meltCurve_Q6DD87_ZNF787.pdf</v>
      </c>
    </row>
    <row r="4030" spans="1:28" x14ac:dyDescent="0.25">
      <c r="A4030" t="s">
        <v>4034</v>
      </c>
      <c r="B4030">
        <v>0.99472303558308395</v>
      </c>
      <c r="C4030">
        <v>1.0215363429790101</v>
      </c>
      <c r="D4030">
        <v>0.95012485457988505</v>
      </c>
      <c r="E4030">
        <v>0.87599200566063495</v>
      </c>
      <c r="F4030">
        <v>0.61148562919514704</v>
      </c>
      <c r="G4030">
        <v>0.20158212726517499</v>
      </c>
      <c r="H4030">
        <v>0.12513703950126101</v>
      </c>
      <c r="I4030">
        <v>9.9863320285276003E-2</v>
      </c>
      <c r="J4030">
        <v>0.109154897158755</v>
      </c>
      <c r="K4030">
        <v>9.1226398391999905E-2</v>
      </c>
      <c r="L4030">
        <v>1349.3099563764199</v>
      </c>
      <c r="M4030">
        <v>26.729179529083201</v>
      </c>
      <c r="N4030">
        <v>50.857276846824497</v>
      </c>
      <c r="O4030">
        <v>50.200742544957997</v>
      </c>
      <c r="P4030">
        <v>-0.121164132089793</v>
      </c>
      <c r="Q4030">
        <v>8.9763373720087802E-2</v>
      </c>
      <c r="R4030">
        <v>0.99619033192469597</v>
      </c>
      <c r="S4030" t="s">
        <v>10598</v>
      </c>
      <c r="T4030" t="s">
        <v>13134</v>
      </c>
      <c r="U4030" t="s">
        <v>13134</v>
      </c>
      <c r="V4030" t="s">
        <v>13134</v>
      </c>
      <c r="W4030" t="s">
        <v>17105</v>
      </c>
      <c r="X4030">
        <v>17</v>
      </c>
      <c r="Y4030" t="s">
        <v>23487</v>
      </c>
      <c r="Z4030" t="s">
        <v>29998</v>
      </c>
      <c r="AA4030">
        <v>0.50582940441870994</v>
      </c>
      <c r="AB4030" t="str">
        <f>HYPERLINK("Melting_Curves/meltCurve_Q6DD88_ATL3.pdf", "Melting_Curves/meltCurve_Q6DD88_ATL3.pdf")</f>
        <v>Melting_Curves/meltCurve_Q6DD88_ATL3.pdf</v>
      </c>
    </row>
    <row r="4031" spans="1:28" x14ac:dyDescent="0.25">
      <c r="A4031" t="s">
        <v>4035</v>
      </c>
      <c r="B4031">
        <v>0.99472303558308395</v>
      </c>
      <c r="C4031">
        <v>0.974853193280665</v>
      </c>
      <c r="D4031">
        <v>0.99529007655491397</v>
      </c>
      <c r="E4031">
        <v>0.89768840174520104</v>
      </c>
      <c r="F4031">
        <v>0.70584130443813098</v>
      </c>
      <c r="G4031">
        <v>0.57235379468286995</v>
      </c>
      <c r="H4031">
        <v>0.53487575239106</v>
      </c>
      <c r="I4031">
        <v>0.51305521344796601</v>
      </c>
      <c r="J4031">
        <v>0.63194103468843899</v>
      </c>
      <c r="K4031">
        <v>0.29974896344908503</v>
      </c>
      <c r="L4031">
        <v>871.28658230718099</v>
      </c>
      <c r="M4031">
        <v>17.429200087027599</v>
      </c>
      <c r="N4031">
        <v>59.254719828921999</v>
      </c>
      <c r="O4031">
        <v>49.345894347608898</v>
      </c>
      <c r="P4031">
        <v>-4.7046796732024797E-2</v>
      </c>
      <c r="Q4031">
        <v>0.46723058790197902</v>
      </c>
      <c r="R4031">
        <v>0.89378502715618002</v>
      </c>
      <c r="S4031" t="s">
        <v>10599</v>
      </c>
      <c r="T4031" t="s">
        <v>13134</v>
      </c>
      <c r="U4031" t="s">
        <v>13134</v>
      </c>
      <c r="V4031" t="s">
        <v>13134</v>
      </c>
      <c r="W4031" t="s">
        <v>17106</v>
      </c>
      <c r="X4031">
        <v>12</v>
      </c>
      <c r="Y4031" t="s">
        <v>23488</v>
      </c>
      <c r="Z4031" t="s">
        <v>29999</v>
      </c>
      <c r="AA4031">
        <v>0.70676916806758838</v>
      </c>
      <c r="AB4031" t="str">
        <f>HYPERLINK("Melting_Curves/meltCurve_Q6DHV7_ADAL.pdf", "Melting_Curves/meltCurve_Q6DHV7_ADAL.pdf")</f>
        <v>Melting_Curves/meltCurve_Q6DHV7_ADAL.pdf</v>
      </c>
    </row>
    <row r="4032" spans="1:28" x14ac:dyDescent="0.25">
      <c r="A4032" t="s">
        <v>4036</v>
      </c>
      <c r="B4032">
        <v>0.99472303558308395</v>
      </c>
      <c r="C4032">
        <v>0.88283791764296704</v>
      </c>
      <c r="D4032">
        <v>0.74351175505631695</v>
      </c>
      <c r="E4032">
        <v>0.44349014952195798</v>
      </c>
      <c r="F4032">
        <v>0.24055786070333501</v>
      </c>
      <c r="G4032">
        <v>0.10774372399884399</v>
      </c>
      <c r="H4032">
        <v>7.4782922258919096E-2</v>
      </c>
      <c r="I4032">
        <v>5.6436120321504003E-2</v>
      </c>
      <c r="J4032">
        <v>6.6223128322855401E-2</v>
      </c>
      <c r="K4032">
        <v>4.3060485538252001E-2</v>
      </c>
      <c r="L4032">
        <v>704.36231743597</v>
      </c>
      <c r="M4032">
        <v>15.4221857447824</v>
      </c>
      <c r="N4032">
        <v>45.913380870998402</v>
      </c>
      <c r="O4032">
        <v>44.9247728197087</v>
      </c>
      <c r="P4032">
        <v>-8.2488078194980094E-2</v>
      </c>
      <c r="Q4032">
        <v>3.8937159402314202E-2</v>
      </c>
      <c r="R4032">
        <v>0.99863545541856702</v>
      </c>
      <c r="S4032" t="s">
        <v>10600</v>
      </c>
      <c r="T4032" t="s">
        <v>13134</v>
      </c>
      <c r="U4032" t="s">
        <v>13134</v>
      </c>
      <c r="V4032" t="s">
        <v>13134</v>
      </c>
      <c r="W4032" t="s">
        <v>17107</v>
      </c>
      <c r="X4032">
        <v>2</v>
      </c>
      <c r="Y4032" t="s">
        <v>23489</v>
      </c>
      <c r="Z4032" t="s">
        <v>30000</v>
      </c>
      <c r="AA4032">
        <v>0.33794557926535113</v>
      </c>
      <c r="AB4032" t="str">
        <f>HYPERLINK("Melting_Curves/meltCurve_Q6DT37_CDC42BPG.pdf", "Melting_Curves/meltCurve_Q6DT37_CDC42BPG.pdf")</f>
        <v>Melting_Curves/meltCurve_Q6DT37_CDC42BPG.pdf</v>
      </c>
    </row>
    <row r="4033" spans="1:28" x14ac:dyDescent="0.25">
      <c r="A4033" t="s">
        <v>4037</v>
      </c>
      <c r="B4033">
        <v>0.99472303558308395</v>
      </c>
      <c r="C4033">
        <v>0.98484741956954003</v>
      </c>
      <c r="D4033">
        <v>0.897760291134997</v>
      </c>
      <c r="E4033">
        <v>0.887088015792869</v>
      </c>
      <c r="F4033">
        <v>0.78328941922467199</v>
      </c>
      <c r="G4033">
        <v>0.58159375186802897</v>
      </c>
      <c r="H4033">
        <v>0.49919286930045098</v>
      </c>
      <c r="I4033">
        <v>0.54997427802252796</v>
      </c>
      <c r="J4033">
        <v>0.73663023264142602</v>
      </c>
      <c r="K4033">
        <v>0.63542230740810601</v>
      </c>
      <c r="L4033">
        <v>1088.45826949296</v>
      </c>
      <c r="M4033">
        <v>22.4206385882426</v>
      </c>
      <c r="O4033">
        <v>48.165900745811399</v>
      </c>
      <c r="P4033">
        <v>-4.68824150449502E-2</v>
      </c>
      <c r="Q4033">
        <v>0.59714136141213003</v>
      </c>
      <c r="R4033">
        <v>0.84000770090140497</v>
      </c>
      <c r="S4033" t="s">
        <v>10601</v>
      </c>
      <c r="T4033" t="s">
        <v>13134</v>
      </c>
      <c r="U4033" t="s">
        <v>13134</v>
      </c>
      <c r="V4033" t="s">
        <v>13134</v>
      </c>
      <c r="W4033" t="s">
        <v>17108</v>
      </c>
      <c r="X4033">
        <v>4</v>
      </c>
      <c r="Y4033" t="s">
        <v>23490</v>
      </c>
      <c r="Z4033" t="s">
        <v>30001</v>
      </c>
      <c r="AA4033">
        <v>0.75647749207795623</v>
      </c>
      <c r="AB4033" t="str">
        <f>HYPERLINK("Melting_Curves/meltCurve_Q6EEV4_2_POLR2M.pdf", "Melting_Curves/meltCurve_Q6EEV4_2_POLR2M.pdf")</f>
        <v>Melting_Curves/meltCurve_Q6EEV4_2_POLR2M.pdf</v>
      </c>
    </row>
    <row r="4034" spans="1:28" x14ac:dyDescent="0.25">
      <c r="A4034" t="s">
        <v>4038</v>
      </c>
      <c r="B4034">
        <v>0.99472303558308395</v>
      </c>
      <c r="C4034">
        <v>1.68505752588452</v>
      </c>
      <c r="D4034">
        <v>1.02407815125317</v>
      </c>
      <c r="E4034">
        <v>1.0070738324914399</v>
      </c>
      <c r="F4034">
        <v>0.90859235795156701</v>
      </c>
      <c r="G4034">
        <v>0.49791776649429798</v>
      </c>
      <c r="H4034">
        <v>0.43964449770775998</v>
      </c>
      <c r="I4034">
        <v>0.230162760895498</v>
      </c>
      <c r="J4034">
        <v>0.32905614303597502</v>
      </c>
      <c r="K4034">
        <v>0.23588280291535699</v>
      </c>
      <c r="L4034">
        <v>1610.62041121928</v>
      </c>
      <c r="M4034">
        <v>30.484805699043399</v>
      </c>
      <c r="N4034">
        <v>54.312969273466898</v>
      </c>
      <c r="O4034">
        <v>52.6077672541537</v>
      </c>
      <c r="P4034">
        <v>-0.104008010623086</v>
      </c>
      <c r="Q4034">
        <v>0.28205612986017797</v>
      </c>
      <c r="R4034">
        <v>0.75050507499543995</v>
      </c>
      <c r="S4034" t="s">
        <v>10602</v>
      </c>
      <c r="T4034" t="s">
        <v>13134</v>
      </c>
      <c r="U4034" t="s">
        <v>13134</v>
      </c>
      <c r="V4034" t="s">
        <v>13134</v>
      </c>
      <c r="W4034" t="s">
        <v>17109</v>
      </c>
      <c r="X4034">
        <v>1</v>
      </c>
      <c r="Y4034" t="s">
        <v>23491</v>
      </c>
      <c r="Z4034" t="s">
        <v>30002</v>
      </c>
      <c r="AA4034">
        <v>0.6654051160934924</v>
      </c>
      <c r="AB4034" t="str">
        <f>HYPERLINK("Melting_Curves/meltCurve_Q6EMK4_VASN.pdf", "Melting_Curves/meltCurve_Q6EMK4_VASN.pdf")</f>
        <v>Melting_Curves/meltCurve_Q6EMK4_VASN.pdf</v>
      </c>
    </row>
    <row r="4035" spans="1:28" x14ac:dyDescent="0.25">
      <c r="A4035" t="s">
        <v>4039</v>
      </c>
      <c r="B4035">
        <v>0.99472303558308395</v>
      </c>
      <c r="C4035">
        <v>1.0573783464253601</v>
      </c>
      <c r="D4035">
        <v>0.99122027511389699</v>
      </c>
      <c r="E4035">
        <v>0.89579663260817199</v>
      </c>
      <c r="F4035">
        <v>0.56837611596262705</v>
      </c>
      <c r="G4035">
        <v>0.22916819861278201</v>
      </c>
      <c r="H4035">
        <v>0.101841394690608</v>
      </c>
      <c r="I4035">
        <v>8.5910596374466103E-2</v>
      </c>
      <c r="J4035">
        <v>9.8453136434717495E-2</v>
      </c>
      <c r="K4035">
        <v>8.2391488262760396E-2</v>
      </c>
      <c r="L4035">
        <v>1327.84391656456</v>
      </c>
      <c r="M4035">
        <v>26.345090429648401</v>
      </c>
      <c r="N4035">
        <v>50.740464569796799</v>
      </c>
      <c r="O4035">
        <v>50.114213294469799</v>
      </c>
      <c r="P4035">
        <v>-0.120834824566581</v>
      </c>
      <c r="Q4035">
        <v>8.0590953459940107E-2</v>
      </c>
      <c r="R4035">
        <v>0.99767374803652698</v>
      </c>
      <c r="S4035" t="s">
        <v>10603</v>
      </c>
      <c r="T4035" t="s">
        <v>13134</v>
      </c>
      <c r="U4035" t="s">
        <v>13134</v>
      </c>
      <c r="V4035" t="s">
        <v>13134</v>
      </c>
      <c r="W4035" t="s">
        <v>17110</v>
      </c>
      <c r="X4035">
        <v>18</v>
      </c>
      <c r="Y4035" t="s">
        <v>23492</v>
      </c>
      <c r="Z4035" t="s">
        <v>30003</v>
      </c>
      <c r="AA4035">
        <v>0.49862705553648312</v>
      </c>
      <c r="AB4035" t="str">
        <f>HYPERLINK("Melting_Curves/meltCurve_Q6FI81_CIAPIN1.pdf", "Melting_Curves/meltCurve_Q6FI81_CIAPIN1.pdf")</f>
        <v>Melting_Curves/meltCurve_Q6FI81_CIAPIN1.pdf</v>
      </c>
    </row>
    <row r="4036" spans="1:28" x14ac:dyDescent="0.25">
      <c r="A4036" t="s">
        <v>4040</v>
      </c>
      <c r="B4036">
        <v>0.99472303558308395</v>
      </c>
      <c r="C4036">
        <v>1.0204494198204801</v>
      </c>
      <c r="D4036">
        <v>0.98675991419797904</v>
      </c>
      <c r="E4036">
        <v>0.87220592244394801</v>
      </c>
      <c r="F4036">
        <v>0.62403481896890201</v>
      </c>
      <c r="G4036">
        <v>0.57958439929055705</v>
      </c>
      <c r="H4036">
        <v>0.48797858043417403</v>
      </c>
      <c r="I4036">
        <v>0.59594765007964001</v>
      </c>
      <c r="J4036">
        <v>0.81834351466782995</v>
      </c>
      <c r="K4036">
        <v>0.50995591177113297</v>
      </c>
      <c r="L4036">
        <v>2281.7471155063399</v>
      </c>
      <c r="M4036">
        <v>48.2063152623804</v>
      </c>
      <c r="O4036">
        <v>47.251710799841199</v>
      </c>
      <c r="P4036">
        <v>-0.102424549395389</v>
      </c>
      <c r="Q4036">
        <v>0.59841524595759799</v>
      </c>
      <c r="R4036">
        <v>0.82812244323026096</v>
      </c>
      <c r="S4036" t="s">
        <v>10604</v>
      </c>
      <c r="T4036" t="s">
        <v>13134</v>
      </c>
      <c r="U4036" t="s">
        <v>13134</v>
      </c>
      <c r="V4036" t="s">
        <v>13134</v>
      </c>
      <c r="W4036" t="s">
        <v>17111</v>
      </c>
      <c r="X4036">
        <v>10</v>
      </c>
      <c r="Y4036" t="s">
        <v>23493</v>
      </c>
      <c r="Z4036" t="s">
        <v>30004</v>
      </c>
      <c r="AA4036">
        <v>0.73763614686201384</v>
      </c>
      <c r="AB4036" t="str">
        <f>HYPERLINK("Melting_Curves/meltCurve_Q6FIF0_2_ZFAND6.pdf", "Melting_Curves/meltCurve_Q6FIF0_2_ZFAND6.pdf")</f>
        <v>Melting_Curves/meltCurve_Q6FIF0_2_ZFAND6.pdf</v>
      </c>
    </row>
    <row r="4037" spans="1:28" x14ac:dyDescent="0.25">
      <c r="A4037" t="s">
        <v>4041</v>
      </c>
      <c r="B4037">
        <v>0.99472303558308395</v>
      </c>
      <c r="C4037">
        <v>0.92158222152282199</v>
      </c>
      <c r="D4037">
        <v>1.0777111254452301</v>
      </c>
      <c r="E4037">
        <v>0.93458938242752698</v>
      </c>
      <c r="F4037">
        <v>0.675536354155166</v>
      </c>
      <c r="G4037">
        <v>0.53961160432926203</v>
      </c>
      <c r="H4037">
        <v>9.6556226839728004E-2</v>
      </c>
      <c r="I4037">
        <v>7.1628216090632094E-2</v>
      </c>
      <c r="J4037">
        <v>6.1398108511978897E-2</v>
      </c>
      <c r="K4037">
        <v>5.0020633931720897E-2</v>
      </c>
      <c r="L4037">
        <v>1028.2718430385801</v>
      </c>
      <c r="M4037">
        <v>19.413254388478599</v>
      </c>
      <c r="N4037">
        <v>53.022288520490299</v>
      </c>
      <c r="O4037">
        <v>52.415084232563402</v>
      </c>
      <c r="P4037">
        <v>-9.16779791716473E-2</v>
      </c>
      <c r="Q4037">
        <v>9.9273453512581603E-3</v>
      </c>
      <c r="R4037">
        <v>0.97618937862967703</v>
      </c>
      <c r="S4037" t="s">
        <v>10605</v>
      </c>
      <c r="T4037" t="s">
        <v>13134</v>
      </c>
      <c r="U4037" t="s">
        <v>13134</v>
      </c>
      <c r="V4037" t="s">
        <v>13134</v>
      </c>
      <c r="W4037" t="s">
        <v>17112</v>
      </c>
      <c r="X4037">
        <v>10</v>
      </c>
      <c r="Y4037" t="s">
        <v>23494</v>
      </c>
      <c r="Z4037" t="s">
        <v>30005</v>
      </c>
      <c r="AA4037">
        <v>0.54991935622778665</v>
      </c>
      <c r="AB4037" t="str">
        <f>HYPERLINK("Melting_Curves/meltCurve_Q6GMV2_SMYD5.pdf", "Melting_Curves/meltCurve_Q6GMV2_SMYD5.pdf")</f>
        <v>Melting_Curves/meltCurve_Q6GMV2_SMYD5.pdf</v>
      </c>
    </row>
    <row r="4038" spans="1:28" x14ac:dyDescent="0.25">
      <c r="A4038" t="s">
        <v>4042</v>
      </c>
      <c r="B4038">
        <v>0.99472303558308395</v>
      </c>
      <c r="C4038">
        <v>1.03518129744097</v>
      </c>
      <c r="D4038">
        <v>1.0372795858149</v>
      </c>
      <c r="E4038">
        <v>0.95569076609510994</v>
      </c>
      <c r="F4038">
        <v>0.61432911171329097</v>
      </c>
      <c r="G4038">
        <v>0.59178828868580502</v>
      </c>
      <c r="H4038">
        <v>0.50994965629286104</v>
      </c>
      <c r="I4038">
        <v>0.49072377828910502</v>
      </c>
      <c r="J4038">
        <v>0.60669676340808498</v>
      </c>
      <c r="K4038">
        <v>0.28507609747149298</v>
      </c>
      <c r="L4038">
        <v>1821.45078371011</v>
      </c>
      <c r="M4038">
        <v>37.1482729325419</v>
      </c>
      <c r="N4038">
        <v>54.630808796178798</v>
      </c>
      <c r="O4038">
        <v>48.890487981778101</v>
      </c>
      <c r="P4038">
        <v>-9.7088104348988596E-2</v>
      </c>
      <c r="Q4038">
        <v>0.488894684116984</v>
      </c>
      <c r="R4038">
        <v>0.89816585624954304</v>
      </c>
      <c r="S4038" t="s">
        <v>10606</v>
      </c>
      <c r="T4038" t="s">
        <v>13134</v>
      </c>
      <c r="U4038" t="s">
        <v>13134</v>
      </c>
      <c r="V4038" t="s">
        <v>13134</v>
      </c>
      <c r="W4038" t="s">
        <v>17113</v>
      </c>
      <c r="X4038">
        <v>5</v>
      </c>
      <c r="Y4038" t="s">
        <v>23495</v>
      </c>
      <c r="Z4038" t="s">
        <v>30006</v>
      </c>
      <c r="AA4038">
        <v>0.69589024591658977</v>
      </c>
      <c r="AB4038" t="str">
        <f>HYPERLINK("Melting_Curves/meltCurve_Q6GMV3_PTRHD1.pdf", "Melting_Curves/meltCurve_Q6GMV3_PTRHD1.pdf")</f>
        <v>Melting_Curves/meltCurve_Q6GMV3_PTRHD1.pdf</v>
      </c>
    </row>
    <row r="4039" spans="1:28" x14ac:dyDescent="0.25">
      <c r="A4039" t="s">
        <v>4043</v>
      </c>
      <c r="B4039">
        <v>0.99472303558308395</v>
      </c>
      <c r="C4039">
        <v>0.95535212299601402</v>
      </c>
      <c r="D4039">
        <v>0.89611457149745699</v>
      </c>
      <c r="E4039">
        <v>0.69393113160036302</v>
      </c>
      <c r="F4039">
        <v>0.24954543696279699</v>
      </c>
      <c r="G4039">
        <v>0.13789718376222701</v>
      </c>
      <c r="H4039">
        <v>7.3630407188622696E-2</v>
      </c>
      <c r="I4039">
        <v>6.06562484101879E-2</v>
      </c>
      <c r="J4039">
        <v>6.4989474706706005E-2</v>
      </c>
      <c r="K4039">
        <v>5.0804911642352103E-2</v>
      </c>
      <c r="L4039">
        <v>1127.6670976590899</v>
      </c>
      <c r="M4039">
        <v>23.6206317242086</v>
      </c>
      <c r="N4039">
        <v>47.9845941561925</v>
      </c>
      <c r="O4039">
        <v>47.402536635439603</v>
      </c>
      <c r="P4039">
        <v>-0.11753194769943801</v>
      </c>
      <c r="Q4039">
        <v>5.6550495584332602E-2</v>
      </c>
      <c r="R4039">
        <v>0.99647145951162097</v>
      </c>
      <c r="S4039" t="s">
        <v>10607</v>
      </c>
      <c r="T4039" t="s">
        <v>13134</v>
      </c>
      <c r="U4039" t="s">
        <v>13134</v>
      </c>
      <c r="V4039" t="s">
        <v>13134</v>
      </c>
      <c r="W4039" t="s">
        <v>17114</v>
      </c>
      <c r="X4039">
        <v>13</v>
      </c>
      <c r="Y4039" t="s">
        <v>23496</v>
      </c>
      <c r="Z4039" t="s">
        <v>30007</v>
      </c>
      <c r="AA4039">
        <v>0.40329161639665562</v>
      </c>
      <c r="AB4039" t="str">
        <f>HYPERLINK("Melting_Curves/meltCurve_Q6GQQ9_OTUD7B.pdf", "Melting_Curves/meltCurve_Q6GQQ9_OTUD7B.pdf")</f>
        <v>Melting_Curves/meltCurve_Q6GQQ9_OTUD7B.pdf</v>
      </c>
    </row>
    <row r="4040" spans="1:28" x14ac:dyDescent="0.25">
      <c r="A4040" t="s">
        <v>4044</v>
      </c>
      <c r="B4040">
        <v>0.99472303558308395</v>
      </c>
      <c r="C4040">
        <v>0.76959932403189302</v>
      </c>
      <c r="D4040">
        <v>0.69461423032035197</v>
      </c>
      <c r="E4040">
        <v>0.67191149979849796</v>
      </c>
      <c r="F4040">
        <v>0.39699966919801499</v>
      </c>
      <c r="G4040">
        <v>0.162894567664889</v>
      </c>
      <c r="H4040">
        <v>0.12596833931520299</v>
      </c>
      <c r="I4040">
        <v>8.9390896507602902E-2</v>
      </c>
      <c r="J4040">
        <v>0.13158486511672801</v>
      </c>
      <c r="K4040">
        <v>9.0667230533590798E-2</v>
      </c>
      <c r="L4040">
        <v>464.88758736626397</v>
      </c>
      <c r="M4040">
        <v>9.7906667256159903</v>
      </c>
      <c r="N4040">
        <v>47.581450881035302</v>
      </c>
      <c r="O4040">
        <v>45.628966077160499</v>
      </c>
      <c r="P4040">
        <v>-5.3131495193392497E-2</v>
      </c>
      <c r="Q4040">
        <v>1.0054176334636599E-2</v>
      </c>
      <c r="R4040">
        <v>0.96028748730353297</v>
      </c>
      <c r="S4040" t="s">
        <v>10608</v>
      </c>
      <c r="T4040" t="s">
        <v>13134</v>
      </c>
      <c r="U4040" t="s">
        <v>13134</v>
      </c>
      <c r="V4040" t="s">
        <v>13134</v>
      </c>
      <c r="W4040" t="s">
        <v>17115</v>
      </c>
      <c r="X4040">
        <v>10</v>
      </c>
      <c r="Y4040" t="s">
        <v>23497</v>
      </c>
      <c r="Z4040" t="s">
        <v>30008</v>
      </c>
      <c r="AA4040">
        <v>0.39842793381416258</v>
      </c>
      <c r="AB4040" t="str">
        <f>HYPERLINK("Melting_Curves/meltCurve_Q6I9Y2_THOC7.pdf", "Melting_Curves/meltCurve_Q6I9Y2_THOC7.pdf")</f>
        <v>Melting_Curves/meltCurve_Q6I9Y2_THOC7.pdf</v>
      </c>
    </row>
    <row r="4041" spans="1:28" x14ac:dyDescent="0.25">
      <c r="A4041" t="s">
        <v>4045</v>
      </c>
      <c r="B4041">
        <v>0.99472303558308395</v>
      </c>
      <c r="C4041">
        <v>0.93750531885634802</v>
      </c>
      <c r="D4041">
        <v>0.66209816627115203</v>
      </c>
      <c r="E4041">
        <v>0.53853199908987703</v>
      </c>
      <c r="F4041">
        <v>0.78186699026061801</v>
      </c>
      <c r="G4041">
        <v>0.34089763562351799</v>
      </c>
      <c r="H4041">
        <v>0.32255592143603301</v>
      </c>
      <c r="I4041">
        <v>0.184286126658009</v>
      </c>
      <c r="J4041">
        <v>0.19651125466712699</v>
      </c>
      <c r="K4041">
        <v>0.14171201479026699</v>
      </c>
      <c r="L4041">
        <v>361.72160601141798</v>
      </c>
      <c r="M4041">
        <v>7.0933537881630304</v>
      </c>
      <c r="N4041">
        <v>50.994440059714002</v>
      </c>
      <c r="O4041">
        <v>47.407077354311198</v>
      </c>
      <c r="P4041">
        <v>-3.7472680718401902E-2</v>
      </c>
      <c r="Q4041">
        <v>0</v>
      </c>
      <c r="R4041">
        <v>0.87990667565863001</v>
      </c>
      <c r="S4041" t="s">
        <v>10609</v>
      </c>
      <c r="T4041" t="s">
        <v>13134</v>
      </c>
      <c r="U4041" t="s">
        <v>13134</v>
      </c>
      <c r="V4041" t="s">
        <v>13134</v>
      </c>
      <c r="W4041" t="s">
        <v>17116</v>
      </c>
      <c r="X4041">
        <v>2</v>
      </c>
      <c r="Y4041" t="s">
        <v>23498</v>
      </c>
      <c r="Z4041" t="s">
        <v>30009</v>
      </c>
      <c r="AA4041">
        <v>0.50306905421964843</v>
      </c>
      <c r="AB4041" t="str">
        <f>HYPERLINK("Melting_Curves/meltCurve_Q6IA69_NADSYN1.pdf", "Melting_Curves/meltCurve_Q6IA69_NADSYN1.pdf")</f>
        <v>Melting_Curves/meltCurve_Q6IA69_NADSYN1.pdf</v>
      </c>
    </row>
    <row r="4042" spans="1:28" x14ac:dyDescent="0.25">
      <c r="A4042" t="s">
        <v>4046</v>
      </c>
      <c r="B4042">
        <v>0.99472303558308395</v>
      </c>
      <c r="C4042">
        <v>0.96472449379423397</v>
      </c>
      <c r="D4042">
        <v>0.81057318711201498</v>
      </c>
      <c r="E4042">
        <v>0.69332009536022998</v>
      </c>
      <c r="F4042">
        <v>0.71204317377702897</v>
      </c>
      <c r="G4042">
        <v>0.30712336891770597</v>
      </c>
      <c r="H4042">
        <v>0.17419046179789399</v>
      </c>
      <c r="I4042">
        <v>0.115918993253307</v>
      </c>
      <c r="J4042">
        <v>0.108491676214153</v>
      </c>
      <c r="K4042">
        <v>9.0645248943931403E-2</v>
      </c>
      <c r="L4042">
        <v>569.04094117253896</v>
      </c>
      <c r="M4042">
        <v>11.135791205289401</v>
      </c>
      <c r="N4042">
        <v>51.100180236435598</v>
      </c>
      <c r="O4042">
        <v>49.535332173646999</v>
      </c>
      <c r="P4042">
        <v>-5.6219340193769202E-2</v>
      </c>
      <c r="Q4042">
        <v>0</v>
      </c>
      <c r="R4042">
        <v>0.965566287978886</v>
      </c>
      <c r="S4042" t="s">
        <v>10610</v>
      </c>
      <c r="T4042" t="s">
        <v>13134</v>
      </c>
      <c r="U4042" t="s">
        <v>13134</v>
      </c>
      <c r="V4042" t="s">
        <v>13134</v>
      </c>
      <c r="W4042" t="s">
        <v>17117</v>
      </c>
      <c r="X4042">
        <v>15</v>
      </c>
      <c r="Y4042" t="s">
        <v>23499</v>
      </c>
      <c r="Z4042" t="s">
        <v>30010</v>
      </c>
      <c r="AA4042">
        <v>0.49766426710692552</v>
      </c>
      <c r="AB4042" t="str">
        <f>HYPERLINK("Melting_Curves/meltCurve_Q6IA86_3_ELP2.pdf", "Melting_Curves/meltCurve_Q6IA86_3_ELP2.pdf")</f>
        <v>Melting_Curves/meltCurve_Q6IA86_3_ELP2.pdf</v>
      </c>
    </row>
    <row r="4043" spans="1:28" x14ac:dyDescent="0.25">
      <c r="A4043" t="s">
        <v>4047</v>
      </c>
      <c r="B4043">
        <v>0.99472303558308395</v>
      </c>
      <c r="C4043">
        <v>1.0570575594398199</v>
      </c>
      <c r="D4043">
        <v>0.93401645611956896</v>
      </c>
      <c r="E4043">
        <v>0.93810599265999695</v>
      </c>
      <c r="F4043">
        <v>0.80060761650516499</v>
      </c>
      <c r="G4043">
        <v>0.55937761415958398</v>
      </c>
      <c r="H4043">
        <v>0.41091588873767199</v>
      </c>
      <c r="I4043">
        <v>0.313328634629227</v>
      </c>
      <c r="J4043">
        <v>0.237477874756547</v>
      </c>
      <c r="K4043">
        <v>0.18581684789841499</v>
      </c>
      <c r="L4043">
        <v>775.93131986906303</v>
      </c>
      <c r="M4043">
        <v>14.3772500386617</v>
      </c>
      <c r="N4043">
        <v>55.399214592132402</v>
      </c>
      <c r="O4043">
        <v>52.957488917020498</v>
      </c>
      <c r="P4043">
        <v>-5.7358168244022498E-2</v>
      </c>
      <c r="Q4043">
        <v>0.15500326143663301</v>
      </c>
      <c r="R4043">
        <v>0.99219434809213303</v>
      </c>
      <c r="S4043" t="s">
        <v>10611</v>
      </c>
      <c r="T4043" t="s">
        <v>13134</v>
      </c>
      <c r="U4043" t="s">
        <v>13134</v>
      </c>
      <c r="V4043" t="s">
        <v>13134</v>
      </c>
      <c r="W4043" t="s">
        <v>17118</v>
      </c>
      <c r="X4043">
        <v>6</v>
      </c>
      <c r="Y4043" t="s">
        <v>23500</v>
      </c>
      <c r="Z4043" t="s">
        <v>30011</v>
      </c>
      <c r="AA4043">
        <v>0.64710842196100604</v>
      </c>
      <c r="AB4043" t="str">
        <f>HYPERLINK("Melting_Curves/meltCurve_Q6IAA8_LAMTOR1.pdf", "Melting_Curves/meltCurve_Q6IAA8_LAMTOR1.pdf")</f>
        <v>Melting_Curves/meltCurve_Q6IAA8_LAMTOR1.pdf</v>
      </c>
    </row>
    <row r="4044" spans="1:28" x14ac:dyDescent="0.25">
      <c r="A4044" t="s">
        <v>4048</v>
      </c>
      <c r="B4044">
        <v>0.99472303558308395</v>
      </c>
      <c r="C4044">
        <v>0.83969081321098604</v>
      </c>
      <c r="D4044">
        <v>0.77671160663601102</v>
      </c>
      <c r="E4044">
        <v>0.65045780907245199</v>
      </c>
      <c r="F4044">
        <v>0.44896822811847198</v>
      </c>
      <c r="G4044">
        <v>0.109818052311349</v>
      </c>
      <c r="H4044">
        <v>5.17933909487698E-2</v>
      </c>
      <c r="I4044">
        <v>4.10968839359271E-2</v>
      </c>
      <c r="J4044">
        <v>6.8994785927876098E-2</v>
      </c>
      <c r="K4044">
        <v>5.1109062216741899E-2</v>
      </c>
      <c r="L4044">
        <v>618.51188647658103</v>
      </c>
      <c r="M4044">
        <v>12.871468432375501</v>
      </c>
      <c r="N4044">
        <v>48.052939015168903</v>
      </c>
      <c r="O4044">
        <v>46.937386037719598</v>
      </c>
      <c r="P4044">
        <v>-6.8569178604738407E-2</v>
      </c>
      <c r="Q4044">
        <v>0</v>
      </c>
      <c r="R4044">
        <v>0.97416200654796903</v>
      </c>
      <c r="S4044" t="s">
        <v>10612</v>
      </c>
      <c r="T4044" t="s">
        <v>13134</v>
      </c>
      <c r="U4044" t="s">
        <v>13134</v>
      </c>
      <c r="V4044" t="s">
        <v>13134</v>
      </c>
      <c r="W4044" t="s">
        <v>17119</v>
      </c>
      <c r="X4044">
        <v>3</v>
      </c>
      <c r="Y4044" t="s">
        <v>23501</v>
      </c>
      <c r="Z4044" t="s">
        <v>30012</v>
      </c>
      <c r="AA4044">
        <v>0.39655352859883419</v>
      </c>
      <c r="AB4044" t="str">
        <f>HYPERLINK("Melting_Curves/meltCurve_Q6IAN0_DHRS7B.pdf", "Melting_Curves/meltCurve_Q6IAN0_DHRS7B.pdf")</f>
        <v>Melting_Curves/meltCurve_Q6IAN0_DHRS7B.pdf</v>
      </c>
    </row>
    <row r="4045" spans="1:28" x14ac:dyDescent="0.25">
      <c r="A4045" t="s">
        <v>4049</v>
      </c>
      <c r="B4045">
        <v>0.99472303558308395</v>
      </c>
      <c r="C4045">
        <v>0.95512796379823395</v>
      </c>
      <c r="D4045">
        <v>0.81920079239313703</v>
      </c>
      <c r="E4045">
        <v>0.69983275369972697</v>
      </c>
      <c r="F4045">
        <v>0.52509988444705702</v>
      </c>
      <c r="G4045">
        <v>0.17720983149562899</v>
      </c>
      <c r="H4045">
        <v>8.0380832648446796E-2</v>
      </c>
      <c r="I4045">
        <v>5.5821713908339697E-2</v>
      </c>
      <c r="J4045">
        <v>8.3277342326034301E-2</v>
      </c>
      <c r="K4045">
        <v>5.17828300545079E-2</v>
      </c>
      <c r="L4045">
        <v>688.29560661748098</v>
      </c>
      <c r="M4045">
        <v>13.963920193622</v>
      </c>
      <c r="N4045">
        <v>49.329434368221698</v>
      </c>
      <c r="O4045">
        <v>48.313121329772002</v>
      </c>
      <c r="P4045">
        <v>-7.1875910391596798E-2</v>
      </c>
      <c r="Q4045">
        <v>5.4124027207860101E-3</v>
      </c>
      <c r="R4045">
        <v>0.98567032546336497</v>
      </c>
      <c r="S4045" t="s">
        <v>10613</v>
      </c>
      <c r="T4045" t="s">
        <v>13134</v>
      </c>
      <c r="U4045" t="s">
        <v>13134</v>
      </c>
      <c r="V4045" t="s">
        <v>13134</v>
      </c>
      <c r="W4045" t="s">
        <v>17120</v>
      </c>
      <c r="X4045">
        <v>12</v>
      </c>
      <c r="Y4045" t="s">
        <v>23502</v>
      </c>
      <c r="Z4045" t="s">
        <v>30013</v>
      </c>
      <c r="AA4045">
        <v>0.43652547789198798</v>
      </c>
      <c r="AB4045" t="str">
        <f>HYPERLINK("Melting_Curves/meltCurve_Q6IBS0_TWF2.pdf", "Melting_Curves/meltCurve_Q6IBS0_TWF2.pdf")</f>
        <v>Melting_Curves/meltCurve_Q6IBS0_TWF2.pdf</v>
      </c>
    </row>
    <row r="4046" spans="1:28" x14ac:dyDescent="0.25">
      <c r="A4046" t="s">
        <v>4050</v>
      </c>
      <c r="B4046">
        <v>0.99472303558308395</v>
      </c>
      <c r="C4046">
        <v>0.92756949375365105</v>
      </c>
      <c r="D4046">
        <v>0.69064861539174804</v>
      </c>
      <c r="E4046">
        <v>0.50390959607604802</v>
      </c>
      <c r="F4046">
        <v>0.18390858378108199</v>
      </c>
      <c r="G4046">
        <v>0.103236558719319</v>
      </c>
      <c r="H4046">
        <v>5.6390699863167797E-2</v>
      </c>
      <c r="I4046">
        <v>5.7768368957487201E-2</v>
      </c>
      <c r="J4046">
        <v>7.6492796295505802E-2</v>
      </c>
      <c r="K4046">
        <v>7.8516553456651497E-2</v>
      </c>
      <c r="L4046">
        <v>748.826776665137</v>
      </c>
      <c r="M4046">
        <v>16.429762810133099</v>
      </c>
      <c r="N4046">
        <v>45.859071682627999</v>
      </c>
      <c r="O4046">
        <v>44.918296397146797</v>
      </c>
      <c r="P4046">
        <v>-8.7060731375497705E-2</v>
      </c>
      <c r="Q4046">
        <v>4.79854531647999E-2</v>
      </c>
      <c r="R4046">
        <v>0.99206035794874303</v>
      </c>
      <c r="S4046" t="s">
        <v>10614</v>
      </c>
      <c r="T4046" t="s">
        <v>13134</v>
      </c>
      <c r="U4046" t="s">
        <v>13134</v>
      </c>
      <c r="V4046" t="s">
        <v>13134</v>
      </c>
      <c r="W4046" t="s">
        <v>17121</v>
      </c>
      <c r="X4046">
        <v>3</v>
      </c>
      <c r="Y4046" t="s">
        <v>23503</v>
      </c>
      <c r="Z4046" t="s">
        <v>30014</v>
      </c>
      <c r="AA4046">
        <v>0.33875863508958082</v>
      </c>
      <c r="AB4046" t="str">
        <f>HYPERLINK("Melting_Curves/meltCurve_Q6IBW4_2_NCAPH2.pdf", "Melting_Curves/meltCurve_Q6IBW4_2_NCAPH2.pdf")</f>
        <v>Melting_Curves/meltCurve_Q6IBW4_2_NCAPH2.pdf</v>
      </c>
    </row>
    <row r="4047" spans="1:28" x14ac:dyDescent="0.25">
      <c r="A4047" t="s">
        <v>4051</v>
      </c>
      <c r="B4047">
        <v>0.99472303558308395</v>
      </c>
      <c r="C4047">
        <v>0.85728776375618299</v>
      </c>
      <c r="D4047">
        <v>0.62264014296353798</v>
      </c>
      <c r="E4047">
        <v>0.44219446361759601</v>
      </c>
      <c r="F4047">
        <v>0.22686565783336701</v>
      </c>
      <c r="G4047">
        <v>0.15970040353866799</v>
      </c>
      <c r="H4047">
        <v>3.5098693540573801E-2</v>
      </c>
      <c r="I4047">
        <v>3.8224604000599897E-2</v>
      </c>
      <c r="J4047">
        <v>6.6873779419144505E-2</v>
      </c>
      <c r="K4047">
        <v>6.1240019442481197E-2</v>
      </c>
      <c r="L4047">
        <v>597.44660737833397</v>
      </c>
      <c r="M4047">
        <v>13.251899231216401</v>
      </c>
      <c r="N4047">
        <v>45.294791394379303</v>
      </c>
      <c r="O4047">
        <v>44.094306224623899</v>
      </c>
      <c r="P4047">
        <v>-7.2897449856346205E-2</v>
      </c>
      <c r="Q4047">
        <v>2.9924445311174601E-2</v>
      </c>
      <c r="R4047">
        <v>0.99218516074598495</v>
      </c>
      <c r="S4047" t="s">
        <v>10615</v>
      </c>
      <c r="T4047" t="s">
        <v>13134</v>
      </c>
      <c r="U4047" t="s">
        <v>13134</v>
      </c>
      <c r="V4047" t="s">
        <v>13134</v>
      </c>
      <c r="W4047" t="s">
        <v>17122</v>
      </c>
      <c r="X4047">
        <v>4</v>
      </c>
      <c r="Y4047" t="s">
        <v>23504</v>
      </c>
      <c r="Z4047" t="s">
        <v>30015</v>
      </c>
      <c r="AA4047">
        <v>0.32057400781580209</v>
      </c>
      <c r="AB4047" t="str">
        <f>HYPERLINK("Melting_Curves/meltCurve_Q6IC98_GRAMD4.pdf", "Melting_Curves/meltCurve_Q6IC98_GRAMD4.pdf")</f>
        <v>Melting_Curves/meltCurve_Q6IC98_GRAMD4.pdf</v>
      </c>
    </row>
    <row r="4048" spans="1:28" x14ac:dyDescent="0.25">
      <c r="A4048" t="s">
        <v>4052</v>
      </c>
      <c r="B4048">
        <v>0.99472303558308395</v>
      </c>
      <c r="C4048">
        <v>0.87953097768878297</v>
      </c>
      <c r="D4048">
        <v>0.84529580117600001</v>
      </c>
      <c r="E4048">
        <v>0.71661850118017401</v>
      </c>
      <c r="F4048">
        <v>0.53160859468780797</v>
      </c>
      <c r="G4048">
        <v>0.208991398951654</v>
      </c>
      <c r="H4048">
        <v>9.8709003995810299E-2</v>
      </c>
      <c r="I4048">
        <v>8.4578858009435098E-2</v>
      </c>
      <c r="J4048">
        <v>6.81195280151215E-2</v>
      </c>
      <c r="K4048">
        <v>6.8743450668253797E-2</v>
      </c>
      <c r="L4048">
        <v>646.99522220683298</v>
      </c>
      <c r="M4048">
        <v>13.058482934314499</v>
      </c>
      <c r="N4048">
        <v>49.5805299389908</v>
      </c>
      <c r="O4048">
        <v>48.427250123811902</v>
      </c>
      <c r="P4048">
        <v>-6.7118931488561004E-2</v>
      </c>
      <c r="Q4048">
        <v>4.5333414701446504E-3</v>
      </c>
      <c r="R4048">
        <v>0.98486426028862895</v>
      </c>
      <c r="S4048" t="s">
        <v>10616</v>
      </c>
      <c r="T4048" t="s">
        <v>13134</v>
      </c>
      <c r="U4048" t="s">
        <v>13134</v>
      </c>
      <c r="V4048" t="s">
        <v>13134</v>
      </c>
      <c r="W4048" t="s">
        <v>17123</v>
      </c>
      <c r="X4048">
        <v>2</v>
      </c>
      <c r="Y4048" t="s">
        <v>23505</v>
      </c>
      <c r="Z4048" t="s">
        <v>30016</v>
      </c>
      <c r="AA4048">
        <v>0.44653941662867469</v>
      </c>
      <c r="AB4048" t="str">
        <f>HYPERLINK("Melting_Curves/meltCurve_Q6IN84_MRM1.pdf", "Melting_Curves/meltCurve_Q6IN84_MRM1.pdf")</f>
        <v>Melting_Curves/meltCurve_Q6IN84_MRM1.pdf</v>
      </c>
    </row>
    <row r="4049" spans="1:28" x14ac:dyDescent="0.25">
      <c r="A4049" t="s">
        <v>4053</v>
      </c>
      <c r="B4049">
        <v>0.99472303558308395</v>
      </c>
      <c r="C4049">
        <v>0.87133381293755996</v>
      </c>
      <c r="D4049">
        <v>0.88767678623149304</v>
      </c>
      <c r="E4049">
        <v>0.69388590474690504</v>
      </c>
      <c r="F4049">
        <v>0.41230789774827897</v>
      </c>
      <c r="G4049">
        <v>0.15545237757240499</v>
      </c>
      <c r="H4049">
        <v>5.6748305381112599E-2</v>
      </c>
      <c r="I4049">
        <v>4.1167734955930999E-2</v>
      </c>
      <c r="J4049">
        <v>4.2475600881621403E-2</v>
      </c>
      <c r="K4049">
        <v>4.0340730969144201E-2</v>
      </c>
      <c r="L4049">
        <v>771.65516504929099</v>
      </c>
      <c r="M4049">
        <v>15.835074586633</v>
      </c>
      <c r="N4049">
        <v>48.756030323576702</v>
      </c>
      <c r="O4049">
        <v>47.973449963690797</v>
      </c>
      <c r="P4049">
        <v>-8.2189409978389402E-2</v>
      </c>
      <c r="Q4049">
        <v>4.0874242735316896E-3</v>
      </c>
      <c r="R4049">
        <v>0.99066847655191503</v>
      </c>
      <c r="S4049" t="s">
        <v>10617</v>
      </c>
      <c r="T4049" t="s">
        <v>13134</v>
      </c>
      <c r="U4049" t="s">
        <v>13134</v>
      </c>
      <c r="V4049" t="s">
        <v>13134</v>
      </c>
      <c r="W4049" t="s">
        <v>17124</v>
      </c>
      <c r="X4049">
        <v>15</v>
      </c>
      <c r="Y4049" t="s">
        <v>23506</v>
      </c>
      <c r="Z4049" t="s">
        <v>30017</v>
      </c>
      <c r="AA4049">
        <v>0.41326313331735848</v>
      </c>
      <c r="AB4049" t="str">
        <f>HYPERLINK("Melting_Curves/meltCurve_Q6IN85_SMEK1.pdf", "Melting_Curves/meltCurve_Q6IN85_SMEK1.pdf")</f>
        <v>Melting_Curves/meltCurve_Q6IN85_SMEK1.pdf</v>
      </c>
    </row>
    <row r="4050" spans="1:28" x14ac:dyDescent="0.25">
      <c r="A4050" t="s">
        <v>4054</v>
      </c>
      <c r="B4050">
        <v>0.99472303558308395</v>
      </c>
      <c r="C4050">
        <v>0.94576511622328996</v>
      </c>
      <c r="D4050">
        <v>1.04712171391799</v>
      </c>
      <c r="E4050">
        <v>0.80403787478673105</v>
      </c>
      <c r="F4050">
        <v>0.57907912409141205</v>
      </c>
      <c r="G4050">
        <v>0.45884782288524301</v>
      </c>
      <c r="H4050">
        <v>0.234443848899137</v>
      </c>
      <c r="I4050">
        <v>0.101964961631769</v>
      </c>
      <c r="J4050">
        <v>0.1146026239211</v>
      </c>
      <c r="K4050">
        <v>0.15724161352000801</v>
      </c>
      <c r="L4050">
        <v>767.80221092261297</v>
      </c>
      <c r="M4050">
        <v>14.953846998279699</v>
      </c>
      <c r="N4050">
        <v>51.979362714037201</v>
      </c>
      <c r="O4050">
        <v>50.4528297595499</v>
      </c>
      <c r="P4050">
        <v>-6.7923108714652305E-2</v>
      </c>
      <c r="Q4050">
        <v>8.3429793666880997E-2</v>
      </c>
      <c r="R4050">
        <v>0.98183817340971802</v>
      </c>
      <c r="S4050" t="s">
        <v>10618</v>
      </c>
      <c r="T4050" t="s">
        <v>13134</v>
      </c>
      <c r="U4050" t="s">
        <v>13134</v>
      </c>
      <c r="V4050" t="s">
        <v>13134</v>
      </c>
      <c r="W4050" t="s">
        <v>17125</v>
      </c>
      <c r="X4050">
        <v>1</v>
      </c>
      <c r="Y4050" t="s">
        <v>23507</v>
      </c>
      <c r="Z4050" t="s">
        <v>30018</v>
      </c>
      <c r="AA4050">
        <v>0.53993084383024614</v>
      </c>
      <c r="AB4050" t="str">
        <f>HYPERLINK("Melting_Curves/meltCurve_Q6IPR1_LYRM5.pdf", "Melting_Curves/meltCurve_Q6IPR1_LYRM5.pdf")</f>
        <v>Melting_Curves/meltCurve_Q6IPR1_LYRM5.pdf</v>
      </c>
    </row>
    <row r="4051" spans="1:28" x14ac:dyDescent="0.25">
      <c r="A4051" t="s">
        <v>4055</v>
      </c>
      <c r="B4051">
        <v>0.99472303558308395</v>
      </c>
      <c r="C4051">
        <v>0.90325307916066699</v>
      </c>
      <c r="D4051">
        <v>0.88666809463900798</v>
      </c>
      <c r="E4051">
        <v>0.78215645513899801</v>
      </c>
      <c r="F4051">
        <v>0.527967218823578</v>
      </c>
      <c r="G4051">
        <v>0.34285437840265998</v>
      </c>
      <c r="H4051">
        <v>0.14386586239660701</v>
      </c>
      <c r="I4051">
        <v>8.7213446959337401E-2</v>
      </c>
      <c r="J4051">
        <v>5.2747136321334202E-2</v>
      </c>
      <c r="K4051">
        <v>4.2867481325050201E-2</v>
      </c>
      <c r="L4051">
        <v>662.64512447679499</v>
      </c>
      <c r="M4051">
        <v>13.0833373449384</v>
      </c>
      <c r="N4051">
        <v>50.648021416436698</v>
      </c>
      <c r="O4051">
        <v>49.508583471335697</v>
      </c>
      <c r="P4051">
        <v>-6.6077375456864595E-2</v>
      </c>
      <c r="Q4051">
        <v>0</v>
      </c>
      <c r="R4051">
        <v>0.99428040324550204</v>
      </c>
      <c r="S4051" t="s">
        <v>10619</v>
      </c>
      <c r="T4051" t="s">
        <v>13134</v>
      </c>
      <c r="U4051" t="s">
        <v>13134</v>
      </c>
      <c r="V4051" t="s">
        <v>13134</v>
      </c>
      <c r="W4051" t="s">
        <v>17126</v>
      </c>
      <c r="X4051">
        <v>3</v>
      </c>
      <c r="Y4051" t="s">
        <v>23508</v>
      </c>
      <c r="Z4051" t="s">
        <v>30019</v>
      </c>
      <c r="AA4051">
        <v>0.47922661240079378</v>
      </c>
      <c r="AB4051" t="str">
        <f>HYPERLINK("Melting_Curves/meltCurve_Q6IPR3_TYW3.pdf", "Melting_Curves/meltCurve_Q6IPR3_TYW3.pdf")</f>
        <v>Melting_Curves/meltCurve_Q6IPR3_TYW3.pdf</v>
      </c>
    </row>
    <row r="4052" spans="1:28" x14ac:dyDescent="0.25">
      <c r="A4052" t="s">
        <v>4056</v>
      </c>
      <c r="B4052">
        <v>0.99472303558308395</v>
      </c>
      <c r="C4052">
        <v>1.0532778886804599</v>
      </c>
      <c r="D4052">
        <v>0.91227480542884998</v>
      </c>
      <c r="E4052">
        <v>0.96292648697833205</v>
      </c>
      <c r="F4052">
        <v>0.89719529156271705</v>
      </c>
      <c r="G4052">
        <v>0.59068825288520099</v>
      </c>
      <c r="H4052">
        <v>0.31468929221187403</v>
      </c>
      <c r="I4052">
        <v>0.157366159594646</v>
      </c>
      <c r="J4052">
        <v>2.5736909335898301E-2</v>
      </c>
      <c r="K4052">
        <v>5.0712352723056998E-2</v>
      </c>
      <c r="L4052">
        <v>1074.72752520474</v>
      </c>
      <c r="M4052">
        <v>19.534293266447001</v>
      </c>
      <c r="N4052">
        <v>55.0450065972502</v>
      </c>
      <c r="O4052">
        <v>54.4506354756478</v>
      </c>
      <c r="P4052">
        <v>-8.9255376527917901E-2</v>
      </c>
      <c r="Q4052">
        <v>4.8601985596968197E-3</v>
      </c>
      <c r="R4052">
        <v>0.99143954469697404</v>
      </c>
      <c r="S4052" t="s">
        <v>10620</v>
      </c>
      <c r="T4052" t="s">
        <v>13134</v>
      </c>
      <c r="U4052" t="s">
        <v>13134</v>
      </c>
      <c r="V4052" t="s">
        <v>13134</v>
      </c>
      <c r="W4052" t="s">
        <v>17127</v>
      </c>
      <c r="X4052">
        <v>2</v>
      </c>
      <c r="Y4052" t="s">
        <v>23509</v>
      </c>
      <c r="Z4052" t="s">
        <v>30020</v>
      </c>
      <c r="AA4052">
        <v>0.61408216432533058</v>
      </c>
      <c r="AB4052" t="str">
        <f>HYPERLINK("Melting_Curves/meltCurve_Q6IPU0_CENPP.pdf", "Melting_Curves/meltCurve_Q6IPU0_CENPP.pdf")</f>
        <v>Melting_Curves/meltCurve_Q6IPU0_CENPP.pdf</v>
      </c>
    </row>
    <row r="4053" spans="1:28" x14ac:dyDescent="0.25">
      <c r="A4053" t="s">
        <v>4057</v>
      </c>
      <c r="B4053">
        <v>0.99472303558308395</v>
      </c>
      <c r="C4053">
        <v>1.01755712039422</v>
      </c>
      <c r="D4053">
        <v>0.95166111594344704</v>
      </c>
      <c r="E4053">
        <v>0.86836523420274303</v>
      </c>
      <c r="F4053">
        <v>0.72758002133980004</v>
      </c>
      <c r="G4053">
        <v>0.53322186997488896</v>
      </c>
      <c r="H4053">
        <v>0.38551282036631002</v>
      </c>
      <c r="I4053">
        <v>0.19792954331980001</v>
      </c>
      <c r="J4053">
        <v>0.12278412411466801</v>
      </c>
      <c r="K4053">
        <v>0.12082039635325</v>
      </c>
      <c r="L4053">
        <v>639.03399197746103</v>
      </c>
      <c r="M4053">
        <v>11.734141442913099</v>
      </c>
      <c r="N4053">
        <v>54.4593584101057</v>
      </c>
      <c r="O4053">
        <v>52.949856497092902</v>
      </c>
      <c r="P4053">
        <v>-5.5416705830296599E-2</v>
      </c>
      <c r="Q4053">
        <v>0</v>
      </c>
      <c r="R4053">
        <v>0.99699054063658199</v>
      </c>
      <c r="S4053" t="s">
        <v>10621</v>
      </c>
      <c r="T4053" t="s">
        <v>13134</v>
      </c>
      <c r="U4053" t="s">
        <v>13134</v>
      </c>
      <c r="V4053" t="s">
        <v>13134</v>
      </c>
      <c r="W4053" t="s">
        <v>17128</v>
      </c>
      <c r="X4053">
        <v>8</v>
      </c>
      <c r="Y4053" t="s">
        <v>23510</v>
      </c>
      <c r="Z4053" t="s">
        <v>30021</v>
      </c>
      <c r="AA4053">
        <v>0.59822464999870406</v>
      </c>
      <c r="AB4053" t="str">
        <f>HYPERLINK("Melting_Curves/meltCurve_Q6IQ22_RAB12.pdf", "Melting_Curves/meltCurve_Q6IQ22_RAB12.pdf")</f>
        <v>Melting_Curves/meltCurve_Q6IQ22_RAB12.pdf</v>
      </c>
    </row>
    <row r="4054" spans="1:28" x14ac:dyDescent="0.25">
      <c r="A4054" t="s">
        <v>4058</v>
      </c>
      <c r="B4054">
        <v>0.99472303558308395</v>
      </c>
      <c r="C4054">
        <v>1.1575117394488399</v>
      </c>
      <c r="D4054">
        <v>1.0145628473292101</v>
      </c>
      <c r="E4054">
        <v>0.807240572642693</v>
      </c>
      <c r="F4054">
        <v>0.47963436067048698</v>
      </c>
      <c r="G4054">
        <v>0.29167386541573298</v>
      </c>
      <c r="H4054">
        <v>0.178410191699582</v>
      </c>
      <c r="I4054">
        <v>0.15917858584643901</v>
      </c>
      <c r="J4054">
        <v>0.19990336272781301</v>
      </c>
      <c r="K4054">
        <v>0.14800108804647699</v>
      </c>
      <c r="L4054">
        <v>1174.8616623214</v>
      </c>
      <c r="M4054">
        <v>23.884868622438301</v>
      </c>
      <c r="N4054">
        <v>50.039564277106898</v>
      </c>
      <c r="O4054">
        <v>48.847622766304802</v>
      </c>
      <c r="P4054">
        <v>-0.101839228385058</v>
      </c>
      <c r="Q4054">
        <v>0.16691624626485299</v>
      </c>
      <c r="R4054">
        <v>0.97960212169692495</v>
      </c>
      <c r="S4054" t="s">
        <v>10622</v>
      </c>
      <c r="T4054" t="s">
        <v>13134</v>
      </c>
      <c r="U4054" t="s">
        <v>13134</v>
      </c>
      <c r="V4054" t="s">
        <v>13134</v>
      </c>
      <c r="W4054" t="s">
        <v>17129</v>
      </c>
      <c r="X4054">
        <v>7</v>
      </c>
      <c r="Y4054" t="s">
        <v>23511</v>
      </c>
      <c r="Z4054" t="s">
        <v>30022</v>
      </c>
      <c r="AA4054">
        <v>0.51326522944060715</v>
      </c>
      <c r="AB4054" t="str">
        <f>HYPERLINK("Melting_Curves/meltCurve_Q6IQ49_2_SDE2.pdf", "Melting_Curves/meltCurve_Q6IQ49_2_SDE2.pdf")</f>
        <v>Melting_Curves/meltCurve_Q6IQ49_2_SDE2.pdf</v>
      </c>
    </row>
    <row r="4055" spans="1:28" x14ac:dyDescent="0.25">
      <c r="A4055" t="s">
        <v>4059</v>
      </c>
      <c r="B4055">
        <v>0.99472303558308395</v>
      </c>
      <c r="C4055">
        <v>0.87045689164801798</v>
      </c>
      <c r="D4055">
        <v>0.78439920894293802</v>
      </c>
      <c r="E4055">
        <v>0.72078679199004503</v>
      </c>
      <c r="F4055">
        <v>0.84116455962734604</v>
      </c>
      <c r="G4055">
        <v>0.53825407170567996</v>
      </c>
      <c r="H4055">
        <v>0.65117564389078897</v>
      </c>
      <c r="I4055">
        <v>0.29667551521732499</v>
      </c>
      <c r="J4055">
        <v>0.59182249476773396</v>
      </c>
      <c r="K4055">
        <v>0.45530790941143401</v>
      </c>
      <c r="L4055">
        <v>295.50697420662698</v>
      </c>
      <c r="M4055">
        <v>5.64362267883158</v>
      </c>
      <c r="N4055">
        <v>61.826350917702399</v>
      </c>
      <c r="O4055">
        <v>46.897418539622997</v>
      </c>
      <c r="P4055">
        <v>-2.1468526855348901E-2</v>
      </c>
      <c r="Q4055">
        <v>0.28926241245024698</v>
      </c>
      <c r="R4055">
        <v>0.73437249012971195</v>
      </c>
      <c r="S4055" t="s">
        <v>10623</v>
      </c>
      <c r="T4055" t="s">
        <v>13134</v>
      </c>
      <c r="U4055" t="s">
        <v>13134</v>
      </c>
      <c r="V4055" t="s">
        <v>13134</v>
      </c>
      <c r="W4055" t="s">
        <v>17130</v>
      </c>
      <c r="X4055">
        <v>1</v>
      </c>
      <c r="Y4055" t="s">
        <v>23512</v>
      </c>
      <c r="Z4055" t="s">
        <v>30023</v>
      </c>
      <c r="AA4055">
        <v>0.66996141681950794</v>
      </c>
      <c r="AB4055" t="str">
        <f>HYPERLINK("Melting_Curves/meltCurve_Q6J164_GRM5.pdf", "Melting_Curves/meltCurve_Q6J164_GRM5.pdf")</f>
        <v>Melting_Curves/meltCurve_Q6J164_GRM5.pdf</v>
      </c>
    </row>
    <row r="4056" spans="1:28" x14ac:dyDescent="0.25">
      <c r="A4056" t="s">
        <v>4060</v>
      </c>
      <c r="B4056">
        <v>0.99472303558308395</v>
      </c>
      <c r="C4056">
        <v>1.0382493167524101</v>
      </c>
      <c r="D4056">
        <v>1.00648128144768</v>
      </c>
      <c r="E4056">
        <v>0.720993665955175</v>
      </c>
      <c r="F4056">
        <v>0.27237858146772098</v>
      </c>
      <c r="G4056">
        <v>7.5665254143637894E-2</v>
      </c>
      <c r="H4056">
        <v>4.7494401488901397E-2</v>
      </c>
      <c r="I4056">
        <v>3.0329848580653899E-2</v>
      </c>
      <c r="J4056">
        <v>3.90636177797914E-2</v>
      </c>
      <c r="K4056">
        <v>3.4753335603488901E-2</v>
      </c>
      <c r="L4056">
        <v>1393.08321995094</v>
      </c>
      <c r="M4056">
        <v>28.9254050673484</v>
      </c>
      <c r="N4056">
        <v>48.2827625742067</v>
      </c>
      <c r="O4056">
        <v>47.932803446282001</v>
      </c>
      <c r="P4056">
        <v>-0.145569534705418</v>
      </c>
      <c r="Q4056">
        <v>3.5103810275541797E-2</v>
      </c>
      <c r="R4056">
        <v>0.99823407360434302</v>
      </c>
      <c r="S4056" t="s">
        <v>10624</v>
      </c>
      <c r="T4056" t="s">
        <v>13134</v>
      </c>
      <c r="U4056" t="s">
        <v>13134</v>
      </c>
      <c r="V4056" t="s">
        <v>13134</v>
      </c>
      <c r="W4056" t="s">
        <v>13393</v>
      </c>
      <c r="X4056">
        <v>11</v>
      </c>
      <c r="Y4056" t="s">
        <v>23513</v>
      </c>
      <c r="Z4056" t="s">
        <v>30024</v>
      </c>
      <c r="AA4056">
        <v>0.40025135153497771</v>
      </c>
      <c r="AB4056" t="str">
        <f>HYPERLINK("Melting_Curves/meltCurve_Q6JHV3_USP3.pdf", "Melting_Curves/meltCurve_Q6JHV3_USP3.pdf")</f>
        <v>Melting_Curves/meltCurve_Q6JHV3_USP3.pdf</v>
      </c>
    </row>
    <row r="4057" spans="1:28" x14ac:dyDescent="0.25">
      <c r="A4057" t="s">
        <v>4061</v>
      </c>
      <c r="B4057">
        <v>0.99472303558308395</v>
      </c>
      <c r="C4057">
        <v>0.88163704947495602</v>
      </c>
      <c r="D4057">
        <v>0.68753751977251698</v>
      </c>
      <c r="E4057">
        <v>0.31368427184487102</v>
      </c>
      <c r="F4057">
        <v>0.18341884054704899</v>
      </c>
      <c r="G4057">
        <v>9.4005508138854402E-2</v>
      </c>
      <c r="H4057">
        <v>7.2844280957704399E-2</v>
      </c>
      <c r="I4057">
        <v>4.8121246254165501E-2</v>
      </c>
      <c r="J4057">
        <v>6.4448197480835703E-2</v>
      </c>
      <c r="K4057">
        <v>7.2025138037420097E-2</v>
      </c>
      <c r="L4057">
        <v>831.31827454691904</v>
      </c>
      <c r="M4057">
        <v>18.717464109549802</v>
      </c>
      <c r="N4057">
        <v>44.7240017626238</v>
      </c>
      <c r="O4057">
        <v>43.916395267653897</v>
      </c>
      <c r="P4057">
        <v>-0.10007444560529501</v>
      </c>
      <c r="Q4057">
        <v>6.0829389018200897E-2</v>
      </c>
      <c r="R4057">
        <v>0.99800764981552703</v>
      </c>
      <c r="S4057" t="s">
        <v>10625</v>
      </c>
      <c r="T4057" t="s">
        <v>13134</v>
      </c>
      <c r="U4057" t="s">
        <v>13134</v>
      </c>
      <c r="V4057" t="s">
        <v>13134</v>
      </c>
      <c r="W4057" t="s">
        <v>17131</v>
      </c>
      <c r="X4057">
        <v>24</v>
      </c>
      <c r="Y4057" t="s">
        <v>23514</v>
      </c>
      <c r="Z4057" t="s">
        <v>30025</v>
      </c>
      <c r="AA4057">
        <v>0.30728595438962591</v>
      </c>
      <c r="AB4057" t="str">
        <f>HYPERLINK("Melting_Curves/meltCurve_Q6KC79_2_NIPBL.pdf", "Melting_Curves/meltCurve_Q6KC79_2_NIPBL.pdf")</f>
        <v>Melting_Curves/meltCurve_Q6KC79_2_NIPBL.pdf</v>
      </c>
    </row>
    <row r="4058" spans="1:28" x14ac:dyDescent="0.25">
      <c r="A4058" t="s">
        <v>4062</v>
      </c>
      <c r="B4058">
        <v>0.99472303558308395</v>
      </c>
      <c r="C4058">
        <v>1.0289398001402701</v>
      </c>
      <c r="D4058">
        <v>0.98078976124399997</v>
      </c>
      <c r="E4058">
        <v>0.68698695063009796</v>
      </c>
      <c r="F4058">
        <v>0.52583157602269104</v>
      </c>
      <c r="G4058">
        <v>0.45356216179930398</v>
      </c>
      <c r="H4058">
        <v>0.27468104299610102</v>
      </c>
      <c r="I4058">
        <v>0.19485393466818099</v>
      </c>
      <c r="J4058">
        <v>0.16758500424098799</v>
      </c>
      <c r="K4058">
        <v>0.13300037521161501</v>
      </c>
      <c r="L4058">
        <v>623.53023324140304</v>
      </c>
      <c r="M4058">
        <v>12.3897475171579</v>
      </c>
      <c r="N4058">
        <v>51.365144531882102</v>
      </c>
      <c r="O4058">
        <v>49.069169612746201</v>
      </c>
      <c r="P4058">
        <v>-5.6140182612769998E-2</v>
      </c>
      <c r="Q4058">
        <v>0.110824303801386</v>
      </c>
      <c r="R4058">
        <v>0.98172705898469403</v>
      </c>
      <c r="S4058" t="s">
        <v>10626</v>
      </c>
      <c r="T4058" t="s">
        <v>13134</v>
      </c>
      <c r="U4058" t="s">
        <v>13134</v>
      </c>
      <c r="V4058" t="s">
        <v>13134</v>
      </c>
      <c r="W4058" t="s">
        <v>17132</v>
      </c>
      <c r="X4058">
        <v>6</v>
      </c>
      <c r="Y4058" t="s">
        <v>23515</v>
      </c>
      <c r="Z4058" t="s">
        <v>30026</v>
      </c>
      <c r="AA4058">
        <v>0.52928558365737266</v>
      </c>
      <c r="AB4058" t="str">
        <f>HYPERLINK("Melting_Curves/meltCurve_Q6KCM7_SLC25A25.pdf", "Melting_Curves/meltCurve_Q6KCM7_SLC25A25.pdf")</f>
        <v>Melting_Curves/meltCurve_Q6KCM7_SLC25A25.pdf</v>
      </c>
    </row>
    <row r="4059" spans="1:28" x14ac:dyDescent="0.25">
      <c r="A4059" t="s">
        <v>4063</v>
      </c>
      <c r="B4059">
        <v>0.99472303558308395</v>
      </c>
      <c r="C4059">
        <v>0.95041993923485102</v>
      </c>
      <c r="D4059">
        <v>0.50902429535388305</v>
      </c>
      <c r="E4059">
        <v>0.38395467803405198</v>
      </c>
      <c r="F4059">
        <v>0.18525875306567499</v>
      </c>
      <c r="G4059">
        <v>0.13231966497508299</v>
      </c>
      <c r="H4059">
        <v>0.100124540840653</v>
      </c>
      <c r="I4059">
        <v>9.2109902278572395E-2</v>
      </c>
      <c r="J4059">
        <v>0.116867751990495</v>
      </c>
      <c r="K4059">
        <v>9.4201846514724893E-2</v>
      </c>
      <c r="L4059">
        <v>807.64315136965502</v>
      </c>
      <c r="M4059">
        <v>18.5196416285312</v>
      </c>
      <c r="N4059">
        <v>44.169213210217897</v>
      </c>
      <c r="O4059">
        <v>43.111148848438901</v>
      </c>
      <c r="P4059">
        <v>-9.6177159800956202E-2</v>
      </c>
      <c r="Q4059">
        <v>0.104491310418035</v>
      </c>
      <c r="R4059">
        <v>0.97848147088194304</v>
      </c>
      <c r="S4059" t="s">
        <v>10627</v>
      </c>
      <c r="T4059" t="s">
        <v>13134</v>
      </c>
      <c r="U4059" t="s">
        <v>13134</v>
      </c>
      <c r="V4059" t="s">
        <v>13134</v>
      </c>
      <c r="W4059" t="s">
        <v>17133</v>
      </c>
      <c r="X4059">
        <v>1</v>
      </c>
      <c r="Y4059" t="s">
        <v>23516</v>
      </c>
      <c r="Z4059" t="s">
        <v>30027</v>
      </c>
      <c r="AA4059">
        <v>0.31620143390237249</v>
      </c>
      <c r="AB4059" t="str">
        <f>HYPERLINK("Melting_Curves/meltCurve_Q6MZP7_2_LIN54.pdf", "Melting_Curves/meltCurve_Q6MZP7_2_LIN54.pdf")</f>
        <v>Melting_Curves/meltCurve_Q6MZP7_2_LIN54.pdf</v>
      </c>
    </row>
    <row r="4060" spans="1:28" x14ac:dyDescent="0.25">
      <c r="A4060" t="s">
        <v>4064</v>
      </c>
      <c r="B4060">
        <v>0.99472303558308395</v>
      </c>
      <c r="C4060">
        <v>0.948157219749721</v>
      </c>
      <c r="D4060">
        <v>0.90301612058192904</v>
      </c>
      <c r="E4060">
        <v>0.67255027265011202</v>
      </c>
      <c r="F4060">
        <v>0.235086366292932</v>
      </c>
      <c r="G4060">
        <v>9.8823885277406501E-2</v>
      </c>
      <c r="H4060">
        <v>5.1157416099093397E-2</v>
      </c>
      <c r="I4060">
        <v>3.2481073028650997E-2</v>
      </c>
      <c r="J4060">
        <v>4.9288958646533702E-2</v>
      </c>
      <c r="K4060">
        <v>2.4569549401478701E-2</v>
      </c>
      <c r="L4060">
        <v>1135.1082887365101</v>
      </c>
      <c r="M4060">
        <v>23.8031696496131</v>
      </c>
      <c r="N4060">
        <v>47.819626329896501</v>
      </c>
      <c r="O4060">
        <v>47.354501370926798</v>
      </c>
      <c r="P4060">
        <v>-0.121660703965682</v>
      </c>
      <c r="Q4060">
        <v>3.1878453230246698E-2</v>
      </c>
      <c r="R4060">
        <v>0.99738291742400598</v>
      </c>
      <c r="S4060" t="s">
        <v>10628</v>
      </c>
      <c r="T4060" t="s">
        <v>13134</v>
      </c>
      <c r="U4060" t="s">
        <v>13134</v>
      </c>
      <c r="V4060" t="s">
        <v>13134</v>
      </c>
      <c r="W4060" t="s">
        <v>17134</v>
      </c>
      <c r="X4060">
        <v>4</v>
      </c>
      <c r="Y4060" t="s">
        <v>23517</v>
      </c>
      <c r="Z4060" t="s">
        <v>30028</v>
      </c>
      <c r="AA4060">
        <v>0.38581598846772719</v>
      </c>
      <c r="AB4060" t="str">
        <f>HYPERLINK("Melting_Curves/meltCurve_Q6N063_OGFOD2.pdf", "Melting_Curves/meltCurve_Q6N063_OGFOD2.pdf")</f>
        <v>Melting_Curves/meltCurve_Q6N063_OGFOD2.pdf</v>
      </c>
    </row>
    <row r="4061" spans="1:28" x14ac:dyDescent="0.25">
      <c r="A4061" t="s">
        <v>4065</v>
      </c>
      <c r="B4061">
        <v>0.99472303558308395</v>
      </c>
      <c r="C4061">
        <v>0.90741192462339804</v>
      </c>
      <c r="D4061">
        <v>0.87423992713999299</v>
      </c>
      <c r="E4061">
        <v>0.59838145522376096</v>
      </c>
      <c r="F4061">
        <v>0.17507735547353701</v>
      </c>
      <c r="G4061">
        <v>9.1564847534723506E-2</v>
      </c>
      <c r="H4061">
        <v>6.3118714040516596E-2</v>
      </c>
      <c r="I4061">
        <v>4.33265394829516E-2</v>
      </c>
      <c r="J4061">
        <v>6.0229279141337098E-2</v>
      </c>
      <c r="K4061">
        <v>3.7420607504697598E-2</v>
      </c>
      <c r="L4061">
        <v>1084.5248845584999</v>
      </c>
      <c r="M4061">
        <v>23.104424045552701</v>
      </c>
      <c r="N4061">
        <v>47.1153928487212</v>
      </c>
      <c r="O4061">
        <v>46.592736692836397</v>
      </c>
      <c r="P4061">
        <v>-0.11886772886888999</v>
      </c>
      <c r="Q4061">
        <v>4.1175684220604997E-2</v>
      </c>
      <c r="R4061">
        <v>0.99345074515252196</v>
      </c>
      <c r="S4061" t="s">
        <v>10629</v>
      </c>
      <c r="T4061" t="s">
        <v>13134</v>
      </c>
      <c r="U4061" t="s">
        <v>13134</v>
      </c>
      <c r="V4061" t="s">
        <v>13134</v>
      </c>
      <c r="W4061" t="s">
        <v>17135</v>
      </c>
      <c r="X4061">
        <v>12</v>
      </c>
      <c r="Y4061" t="s">
        <v>23518</v>
      </c>
      <c r="Z4061" t="s">
        <v>30029</v>
      </c>
      <c r="AA4061">
        <v>0.36829658853830333</v>
      </c>
      <c r="AB4061" t="str">
        <f>HYPERLINK("Melting_Curves/meltCurve_Q6N069_NAA16.pdf", "Melting_Curves/meltCurve_Q6N069_NAA16.pdf")</f>
        <v>Melting_Curves/meltCurve_Q6N069_NAA16.pdf</v>
      </c>
    </row>
    <row r="4062" spans="1:28" x14ac:dyDescent="0.25">
      <c r="A4062" t="s">
        <v>4066</v>
      </c>
      <c r="B4062">
        <v>0.99472303558308395</v>
      </c>
      <c r="C4062">
        <v>0.93862552166868696</v>
      </c>
      <c r="D4062">
        <v>0.86736199423919202</v>
      </c>
      <c r="E4062">
        <v>0.70839784284067397</v>
      </c>
      <c r="F4062">
        <v>0.57014955180512505</v>
      </c>
      <c r="G4062">
        <v>0.36237844447435003</v>
      </c>
      <c r="H4062">
        <v>0.289394176020218</v>
      </c>
      <c r="I4062">
        <v>0.22241411661868399</v>
      </c>
      <c r="J4062">
        <v>0.247218880626383</v>
      </c>
      <c r="K4062">
        <v>0.194344626461673</v>
      </c>
      <c r="L4062">
        <v>584.61884146452803</v>
      </c>
      <c r="M4062">
        <v>11.8783474673403</v>
      </c>
      <c r="N4062">
        <v>50.938575468547803</v>
      </c>
      <c r="O4062">
        <v>47.884430764211899</v>
      </c>
      <c r="P4062">
        <v>-5.17767975492762E-2</v>
      </c>
      <c r="Q4062">
        <v>0.16531120130281701</v>
      </c>
      <c r="R4062">
        <v>0.995822083847269</v>
      </c>
      <c r="S4062" t="s">
        <v>10630</v>
      </c>
      <c r="T4062" t="s">
        <v>13134</v>
      </c>
      <c r="U4062" t="s">
        <v>13134</v>
      </c>
      <c r="V4062" t="s">
        <v>13134</v>
      </c>
      <c r="W4062" t="s">
        <v>17136</v>
      </c>
      <c r="X4062">
        <v>7</v>
      </c>
      <c r="Y4062" t="s">
        <v>23519</v>
      </c>
      <c r="Z4062" t="s">
        <v>30030</v>
      </c>
      <c r="AA4062">
        <v>0.53005886581816952</v>
      </c>
      <c r="AB4062" t="str">
        <f>HYPERLINK("Melting_Curves/meltCurve_Q6NSH3_CT45A5.pdf", "Melting_Curves/meltCurve_Q6NSH3_CT45A5.pdf")</f>
        <v>Melting_Curves/meltCurve_Q6NSH3_CT45A5.pdf</v>
      </c>
    </row>
    <row r="4063" spans="1:28" x14ac:dyDescent="0.25">
      <c r="A4063" t="s">
        <v>4067</v>
      </c>
      <c r="B4063">
        <v>0.99472303558308395</v>
      </c>
      <c r="C4063">
        <v>1.0630017473075699</v>
      </c>
      <c r="D4063">
        <v>0.88240257143026601</v>
      </c>
      <c r="E4063">
        <v>0.81004386541177198</v>
      </c>
      <c r="F4063">
        <v>0.72395014567117899</v>
      </c>
      <c r="G4063">
        <v>0.358758422310824</v>
      </c>
      <c r="H4063">
        <v>0.139671416473795</v>
      </c>
      <c r="I4063">
        <v>6.4122266146066198E-2</v>
      </c>
      <c r="J4063">
        <v>6.3828469788011294E-2</v>
      </c>
      <c r="K4063">
        <v>7.6317601079004899E-2</v>
      </c>
      <c r="L4063">
        <v>878.50390964215001</v>
      </c>
      <c r="M4063">
        <v>16.918085886419199</v>
      </c>
      <c r="N4063">
        <v>52.0307343093762</v>
      </c>
      <c r="O4063">
        <v>51.217684991395302</v>
      </c>
      <c r="P4063">
        <v>-8.1213982620698996E-2</v>
      </c>
      <c r="Q4063">
        <v>1.6595598656709499E-2</v>
      </c>
      <c r="R4063">
        <v>0.98281831938156705</v>
      </c>
      <c r="S4063" t="s">
        <v>10631</v>
      </c>
      <c r="T4063" t="s">
        <v>13134</v>
      </c>
      <c r="U4063" t="s">
        <v>13134</v>
      </c>
      <c r="V4063" t="s">
        <v>13134</v>
      </c>
      <c r="W4063" t="s">
        <v>17137</v>
      </c>
      <c r="X4063">
        <v>3</v>
      </c>
      <c r="Y4063" t="s">
        <v>23520</v>
      </c>
      <c r="Z4063" t="s">
        <v>30031</v>
      </c>
      <c r="AA4063">
        <v>0.52214802697136009</v>
      </c>
      <c r="AB4063" t="str">
        <f>HYPERLINK("Melting_Curves/meltCurve_Q6NSJ5_LRRC8E.pdf", "Melting_Curves/meltCurve_Q6NSJ5_LRRC8E.pdf")</f>
        <v>Melting_Curves/meltCurve_Q6NSJ5_LRRC8E.pdf</v>
      </c>
    </row>
    <row r="4064" spans="1:28" x14ac:dyDescent="0.25">
      <c r="A4064" t="s">
        <v>4068</v>
      </c>
      <c r="B4064">
        <v>0.99472303558308395</v>
      </c>
      <c r="C4064">
        <v>1.0308514064382699</v>
      </c>
      <c r="D4064">
        <v>0.808505920148471</v>
      </c>
      <c r="E4064">
        <v>0.75105379752286605</v>
      </c>
      <c r="F4064">
        <v>0.70175217136044399</v>
      </c>
      <c r="G4064">
        <v>0.52681129347882805</v>
      </c>
      <c r="H4064">
        <v>0.44796233121157902</v>
      </c>
      <c r="I4064">
        <v>0.41963044689330697</v>
      </c>
      <c r="J4064">
        <v>0.53662880724746997</v>
      </c>
      <c r="K4064">
        <v>0.60362924720262401</v>
      </c>
      <c r="L4064">
        <v>687.21461493030404</v>
      </c>
      <c r="M4064">
        <v>14.7625549800496</v>
      </c>
      <c r="O4064">
        <v>45.722034994053203</v>
      </c>
      <c r="P4064">
        <v>-4.0787696002013298E-2</v>
      </c>
      <c r="Q4064">
        <v>0.49474982125387001</v>
      </c>
      <c r="R4064">
        <v>0.89541492829506497</v>
      </c>
      <c r="S4064" t="s">
        <v>10632</v>
      </c>
      <c r="T4064" t="s">
        <v>13134</v>
      </c>
      <c r="U4064" t="s">
        <v>13134</v>
      </c>
      <c r="V4064" t="s">
        <v>13134</v>
      </c>
      <c r="W4064" t="s">
        <v>17138</v>
      </c>
      <c r="X4064">
        <v>3</v>
      </c>
      <c r="Y4064" t="s">
        <v>23521</v>
      </c>
      <c r="Z4064" t="s">
        <v>30032</v>
      </c>
      <c r="AA4064">
        <v>0.66744096233291017</v>
      </c>
      <c r="AB4064" t="str">
        <f>HYPERLINK("Melting_Curves/meltCurve_Q6NT16_SLC18B1.pdf", "Melting_Curves/meltCurve_Q6NT16_SLC18B1.pdf")</f>
        <v>Melting_Curves/meltCurve_Q6NT16_SLC18B1.pdf</v>
      </c>
    </row>
    <row r="4065" spans="1:28" x14ac:dyDescent="0.25">
      <c r="A4065" t="s">
        <v>4069</v>
      </c>
      <c r="B4065">
        <v>0.99472303558308395</v>
      </c>
      <c r="C4065">
        <v>0.97722022628330596</v>
      </c>
      <c r="D4065">
        <v>0.85065975612640998</v>
      </c>
      <c r="E4065">
        <v>0.75533558653509303</v>
      </c>
      <c r="F4065">
        <v>0.61103435976280396</v>
      </c>
      <c r="G4065">
        <v>0.40044573150061202</v>
      </c>
      <c r="H4065">
        <v>0.22821840819369599</v>
      </c>
      <c r="I4065">
        <v>0.14080456913283701</v>
      </c>
      <c r="J4065">
        <v>0.17841758642303601</v>
      </c>
      <c r="K4065">
        <v>0.140651027483821</v>
      </c>
      <c r="L4065">
        <v>588.92059353226705</v>
      </c>
      <c r="M4065">
        <v>11.5770655984517</v>
      </c>
      <c r="N4065">
        <v>51.5106732019307</v>
      </c>
      <c r="O4065">
        <v>49.422855508529999</v>
      </c>
      <c r="P4065">
        <v>-5.4647485821605397E-2</v>
      </c>
      <c r="Q4065">
        <v>6.70910857923884E-2</v>
      </c>
      <c r="R4065">
        <v>0.99160366393202504</v>
      </c>
      <c r="S4065" t="s">
        <v>10633</v>
      </c>
      <c r="T4065" t="s">
        <v>13134</v>
      </c>
      <c r="U4065" t="s">
        <v>13134</v>
      </c>
      <c r="V4065" t="s">
        <v>13134</v>
      </c>
      <c r="W4065" t="s">
        <v>17139</v>
      </c>
      <c r="X4065">
        <v>4</v>
      </c>
      <c r="Y4065" t="s">
        <v>23522</v>
      </c>
      <c r="Z4065" t="s">
        <v>30033</v>
      </c>
      <c r="AA4065">
        <v>0.52382264782902299</v>
      </c>
      <c r="AB4065" t="str">
        <f>HYPERLINK("Melting_Curves/meltCurve_Q6NTE8_C5orf45.pdf", "Melting_Curves/meltCurve_Q6NTE8_C5orf45.pdf")</f>
        <v>Melting_Curves/meltCurve_Q6NTE8_C5orf45.pdf</v>
      </c>
    </row>
    <row r="4066" spans="1:28" x14ac:dyDescent="0.25">
      <c r="A4066" t="s">
        <v>4070</v>
      </c>
      <c r="B4066">
        <v>0.99472303558308395</v>
      </c>
      <c r="C4066">
        <v>0.90326364830832495</v>
      </c>
      <c r="D4066">
        <v>0.98494467051759804</v>
      </c>
      <c r="E4066">
        <v>0.87374695571975802</v>
      </c>
      <c r="F4066">
        <v>0.64310289212138205</v>
      </c>
      <c r="G4066">
        <v>0.54620154662776599</v>
      </c>
      <c r="H4066">
        <v>0.32917583582930998</v>
      </c>
      <c r="I4066">
        <v>0.43825235433956</v>
      </c>
      <c r="J4066">
        <v>0.36831073681014997</v>
      </c>
      <c r="K4066">
        <v>0.23287131515100801</v>
      </c>
      <c r="L4066">
        <v>722.51832517744401</v>
      </c>
      <c r="M4066">
        <v>14.201334749713499</v>
      </c>
      <c r="N4066">
        <v>54.132117357992101</v>
      </c>
      <c r="O4066">
        <v>49.899854968140197</v>
      </c>
      <c r="P4066">
        <v>-5.07250223033784E-2</v>
      </c>
      <c r="Q4066">
        <v>0.28715023856521499</v>
      </c>
      <c r="R4066">
        <v>0.95651498382281996</v>
      </c>
      <c r="S4066" t="s">
        <v>10634</v>
      </c>
      <c r="T4066" t="s">
        <v>13134</v>
      </c>
      <c r="U4066" t="s">
        <v>13134</v>
      </c>
      <c r="V4066" t="s">
        <v>13134</v>
      </c>
      <c r="W4066" t="s">
        <v>17140</v>
      </c>
      <c r="X4066">
        <v>17</v>
      </c>
      <c r="Y4066" t="s">
        <v>23523</v>
      </c>
      <c r="Z4066" t="s">
        <v>30034</v>
      </c>
      <c r="AA4066">
        <v>0.63236709880684638</v>
      </c>
      <c r="AB4066" t="str">
        <f>HYPERLINK("Melting_Curves/meltCurve_Q6NUK1_SLC25A24.pdf", "Melting_Curves/meltCurve_Q6NUK1_SLC25A24.pdf")</f>
        <v>Melting_Curves/meltCurve_Q6NUK1_SLC25A24.pdf</v>
      </c>
    </row>
    <row r="4067" spans="1:28" x14ac:dyDescent="0.25">
      <c r="A4067" t="s">
        <v>4071</v>
      </c>
      <c r="B4067">
        <v>0.99472303558308395</v>
      </c>
      <c r="C4067">
        <v>1.0520824577449699</v>
      </c>
      <c r="D4067">
        <v>0.81986833459219399</v>
      </c>
      <c r="E4067">
        <v>0.820308463163957</v>
      </c>
      <c r="F4067">
        <v>0.61144154221783198</v>
      </c>
      <c r="G4067">
        <v>0.38232191074817601</v>
      </c>
      <c r="H4067">
        <v>0.25554889610582099</v>
      </c>
      <c r="I4067">
        <v>0.227396503447992</v>
      </c>
      <c r="J4067">
        <v>0.28859243064625401</v>
      </c>
      <c r="K4067">
        <v>0.26772097775642001</v>
      </c>
      <c r="L4067">
        <v>786.33261862719803</v>
      </c>
      <c r="M4067">
        <v>15.866774590727999</v>
      </c>
      <c r="N4067">
        <v>51.506233292531597</v>
      </c>
      <c r="O4067">
        <v>48.791270244483599</v>
      </c>
      <c r="P4067">
        <v>-6.2963095717365497E-2</v>
      </c>
      <c r="Q4067">
        <v>0.22560183383837801</v>
      </c>
      <c r="R4067">
        <v>0.97172171352829895</v>
      </c>
      <c r="S4067" t="s">
        <v>10635</v>
      </c>
      <c r="T4067" t="s">
        <v>13134</v>
      </c>
      <c r="U4067" t="s">
        <v>13134</v>
      </c>
      <c r="V4067" t="s">
        <v>13134</v>
      </c>
      <c r="W4067" t="s">
        <v>17141</v>
      </c>
      <c r="X4067">
        <v>3</v>
      </c>
      <c r="Y4067" t="s">
        <v>23524</v>
      </c>
      <c r="Z4067" t="s">
        <v>30035</v>
      </c>
      <c r="AA4067">
        <v>0.56483049453410861</v>
      </c>
      <c r="AB4067" t="str">
        <f>HYPERLINK("Melting_Curves/meltCurve_Q6NUK4_2_REEP3.pdf", "Melting_Curves/meltCurve_Q6NUK4_2_REEP3.pdf")</f>
        <v>Melting_Curves/meltCurve_Q6NUK4_2_REEP3.pdf</v>
      </c>
    </row>
    <row r="4068" spans="1:28" x14ac:dyDescent="0.25">
      <c r="A4068" t="s">
        <v>4072</v>
      </c>
      <c r="B4068">
        <v>0.99472303558308395</v>
      </c>
      <c r="C4068">
        <v>0.96121034116858595</v>
      </c>
      <c r="D4068">
        <v>0.92961452133287803</v>
      </c>
      <c r="E4068">
        <v>0.713137280963689</v>
      </c>
      <c r="F4068">
        <v>0.41962364022717802</v>
      </c>
      <c r="G4068">
        <v>0.27396665458474101</v>
      </c>
      <c r="H4068">
        <v>0.118027027106551</v>
      </c>
      <c r="I4068">
        <v>8.9747856079223004E-2</v>
      </c>
      <c r="J4068">
        <v>8.4358064401204497E-2</v>
      </c>
      <c r="K4068">
        <v>7.0284633304588201E-2</v>
      </c>
      <c r="L4068">
        <v>791.10833023646796</v>
      </c>
      <c r="M4068">
        <v>16.143216426523502</v>
      </c>
      <c r="N4068">
        <v>49.380161239562803</v>
      </c>
      <c r="O4068">
        <v>48.272125600734398</v>
      </c>
      <c r="P4068">
        <v>-7.8793721900336303E-2</v>
      </c>
      <c r="Q4068">
        <v>5.7622149103096397E-2</v>
      </c>
      <c r="R4068">
        <v>0.99802160378316895</v>
      </c>
      <c r="S4068" t="s">
        <v>10636</v>
      </c>
      <c r="T4068" t="s">
        <v>13134</v>
      </c>
      <c r="U4068" t="s">
        <v>13134</v>
      </c>
      <c r="V4068" t="s">
        <v>13134</v>
      </c>
      <c r="W4068" t="s">
        <v>17142</v>
      </c>
      <c r="X4068">
        <v>7</v>
      </c>
      <c r="Y4068" t="s">
        <v>23525</v>
      </c>
      <c r="Z4068" t="s">
        <v>30036</v>
      </c>
      <c r="AA4068">
        <v>0.45276469251418883</v>
      </c>
      <c r="AB4068" t="str">
        <f>HYPERLINK("Melting_Curves/meltCurve_Q6NUM9_RETSAT.pdf", "Melting_Curves/meltCurve_Q6NUM9_RETSAT.pdf")</f>
        <v>Melting_Curves/meltCurve_Q6NUM9_RETSAT.pdf</v>
      </c>
    </row>
    <row r="4069" spans="1:28" x14ac:dyDescent="0.25">
      <c r="A4069" t="s">
        <v>4073</v>
      </c>
      <c r="B4069">
        <v>0.99472303558308395</v>
      </c>
      <c r="C4069">
        <v>0.96357556541443701</v>
      </c>
      <c r="D4069">
        <v>0.58753153467492802</v>
      </c>
      <c r="E4069">
        <v>0.25114162117240402</v>
      </c>
      <c r="F4069">
        <v>0.13632922004345099</v>
      </c>
      <c r="G4069">
        <v>5.2569179437904498E-2</v>
      </c>
      <c r="H4069">
        <v>5.3524694979701998E-2</v>
      </c>
      <c r="I4069">
        <v>1.80549722612665E-2</v>
      </c>
      <c r="J4069">
        <v>2.6499681579111201E-2</v>
      </c>
      <c r="K4069">
        <v>3.94078878793881E-2</v>
      </c>
      <c r="L4069">
        <v>985.86865697828296</v>
      </c>
      <c r="M4069">
        <v>22.485883028735699</v>
      </c>
      <c r="N4069">
        <v>44.0126202699416</v>
      </c>
      <c r="O4069">
        <v>43.501543930038999</v>
      </c>
      <c r="P4069">
        <v>-0.12389077086731699</v>
      </c>
      <c r="Q4069">
        <v>4.12955053309415E-2</v>
      </c>
      <c r="R4069">
        <v>0.994494701992926</v>
      </c>
      <c r="S4069" t="s">
        <v>10637</v>
      </c>
      <c r="T4069" t="s">
        <v>13134</v>
      </c>
      <c r="U4069" t="s">
        <v>13134</v>
      </c>
      <c r="V4069" t="s">
        <v>13134</v>
      </c>
      <c r="W4069" t="s">
        <v>17143</v>
      </c>
      <c r="X4069">
        <v>5</v>
      </c>
      <c r="Y4069" t="s">
        <v>23526</v>
      </c>
      <c r="Z4069" t="s">
        <v>30037</v>
      </c>
      <c r="AA4069">
        <v>0.26995673146062671</v>
      </c>
      <c r="AB4069" t="str">
        <f>HYPERLINK("Melting_Curves/meltCurve_Q6NUQ1_RINT1.pdf", "Melting_Curves/meltCurve_Q6NUQ1_RINT1.pdf")</f>
        <v>Melting_Curves/meltCurve_Q6NUQ1_RINT1.pdf</v>
      </c>
    </row>
    <row r="4070" spans="1:28" x14ac:dyDescent="0.25">
      <c r="A4070" t="s">
        <v>4074</v>
      </c>
      <c r="B4070">
        <v>0.99472303558308395</v>
      </c>
      <c r="C4070">
        <v>1.0768435098637801</v>
      </c>
      <c r="D4070">
        <v>1.0341518337861</v>
      </c>
      <c r="E4070">
        <v>0.92643942626168496</v>
      </c>
      <c r="F4070">
        <v>0.51380592287583904</v>
      </c>
      <c r="G4070">
        <v>0.11131171719878701</v>
      </c>
      <c r="H4070">
        <v>7.51676047342031E-2</v>
      </c>
      <c r="I4070">
        <v>4.3933890537496002E-2</v>
      </c>
      <c r="J4070">
        <v>5.5964347258676599E-2</v>
      </c>
      <c r="K4070">
        <v>5.33069322565018E-2</v>
      </c>
      <c r="L4070">
        <v>1809.8349791379301</v>
      </c>
      <c r="M4070">
        <v>36.1295450200017</v>
      </c>
      <c r="N4070">
        <v>50.245001091744101</v>
      </c>
      <c r="O4070">
        <v>49.940206150132902</v>
      </c>
      <c r="P4070">
        <v>-0.17149718038452</v>
      </c>
      <c r="Q4070">
        <v>5.17921788482383E-2</v>
      </c>
      <c r="R4070">
        <v>0.99595998789920104</v>
      </c>
      <c r="S4070" t="s">
        <v>10638</v>
      </c>
      <c r="T4070" t="s">
        <v>13134</v>
      </c>
      <c r="U4070" t="s">
        <v>13134</v>
      </c>
      <c r="V4070" t="s">
        <v>13134</v>
      </c>
      <c r="W4070" t="s">
        <v>17144</v>
      </c>
      <c r="X4070">
        <v>17</v>
      </c>
      <c r="Y4070" t="s">
        <v>23527</v>
      </c>
      <c r="Z4070" t="s">
        <v>30038</v>
      </c>
      <c r="AA4070">
        <v>0.46964404616959021</v>
      </c>
      <c r="AB4070" t="str">
        <f>HYPERLINK("Melting_Curves/meltCurve_Q6NUQ4_2_TMEM214.pdf", "Melting_Curves/meltCurve_Q6NUQ4_2_TMEM214.pdf")</f>
        <v>Melting_Curves/meltCurve_Q6NUQ4_2_TMEM214.pdf</v>
      </c>
    </row>
    <row r="4071" spans="1:28" x14ac:dyDescent="0.25">
      <c r="A4071" t="s">
        <v>4075</v>
      </c>
      <c r="B4071">
        <v>0.99472303558308395</v>
      </c>
      <c r="C4071">
        <v>0.87459058124786904</v>
      </c>
      <c r="D4071">
        <v>1.0389058636544599</v>
      </c>
      <c r="E4071">
        <v>0.83837239389491902</v>
      </c>
      <c r="F4071">
        <v>0.40679976593896899</v>
      </c>
      <c r="G4071">
        <v>7.4132993959367205E-2</v>
      </c>
      <c r="H4071">
        <v>5.2732947782931201E-2</v>
      </c>
      <c r="I4071">
        <v>3.4166714939596401E-2</v>
      </c>
      <c r="J4071">
        <v>4.5751866873096202E-2</v>
      </c>
      <c r="K4071">
        <v>3.75595205467237E-2</v>
      </c>
      <c r="L4071">
        <v>1496.98865042938</v>
      </c>
      <c r="M4071">
        <v>30.359465968356702</v>
      </c>
      <c r="N4071">
        <v>49.421079413440602</v>
      </c>
      <c r="O4071">
        <v>49.096337664847397</v>
      </c>
      <c r="P4071">
        <v>-0.14944030646708301</v>
      </c>
      <c r="Q4071">
        <v>3.3326058796931797E-2</v>
      </c>
      <c r="R4071">
        <v>0.98883424403737397</v>
      </c>
      <c r="S4071" t="s">
        <v>10639</v>
      </c>
      <c r="T4071" t="s">
        <v>13134</v>
      </c>
      <c r="U4071" t="s">
        <v>13134</v>
      </c>
      <c r="V4071" t="s">
        <v>13134</v>
      </c>
      <c r="W4071" t="s">
        <v>17145</v>
      </c>
      <c r="X4071">
        <v>12</v>
      </c>
      <c r="Y4071" t="s">
        <v>23528</v>
      </c>
      <c r="Z4071" t="s">
        <v>30039</v>
      </c>
      <c r="AA4071">
        <v>0.43567095494115832</v>
      </c>
      <c r="AB4071" t="str">
        <f>HYPERLINK("Melting_Curves/meltCurve_Q6NVY1_HIBCH.pdf", "Melting_Curves/meltCurve_Q6NVY1_HIBCH.pdf")</f>
        <v>Melting_Curves/meltCurve_Q6NVY1_HIBCH.pdf</v>
      </c>
    </row>
    <row r="4072" spans="1:28" x14ac:dyDescent="0.25">
      <c r="A4072" t="s">
        <v>4076</v>
      </c>
      <c r="B4072">
        <v>0.99472303558308395</v>
      </c>
      <c r="C4072">
        <v>0.71000681324083803</v>
      </c>
      <c r="D4072">
        <v>0.34229068565253801</v>
      </c>
      <c r="E4072">
        <v>0.14861023020304001</v>
      </c>
      <c r="F4072">
        <v>6.6946332064406505E-2</v>
      </c>
      <c r="G4072">
        <v>2.7821961649744001E-2</v>
      </c>
      <c r="H4072">
        <v>3.7386872273323601E-2</v>
      </c>
      <c r="I4072">
        <v>1.59277218620969E-2</v>
      </c>
      <c r="J4072">
        <v>0.107160477007439</v>
      </c>
      <c r="K4072">
        <v>1.4834804527218E-2</v>
      </c>
      <c r="L4072">
        <v>941.01232063805799</v>
      </c>
      <c r="M4072">
        <v>22.654700533806398</v>
      </c>
      <c r="N4072">
        <v>41.707133848569903</v>
      </c>
      <c r="O4072">
        <v>41.217600610117401</v>
      </c>
      <c r="P4072">
        <v>-0.13135309290845301</v>
      </c>
      <c r="Q4072">
        <v>4.4092297416112598E-2</v>
      </c>
      <c r="R4072">
        <v>0.99039633211848299</v>
      </c>
      <c r="S4072" t="s">
        <v>10640</v>
      </c>
      <c r="T4072" t="s">
        <v>13134</v>
      </c>
      <c r="U4072" t="s">
        <v>13134</v>
      </c>
      <c r="V4072" t="s">
        <v>13134</v>
      </c>
      <c r="W4072" t="s">
        <v>17146</v>
      </c>
      <c r="X4072">
        <v>11</v>
      </c>
      <c r="Y4072" t="s">
        <v>23529</v>
      </c>
      <c r="Z4072" t="s">
        <v>30040</v>
      </c>
      <c r="AA4072">
        <v>0.19995348130490051</v>
      </c>
      <c r="AB4072" t="str">
        <f>HYPERLINK("Melting_Curves/meltCurve_Q6NXE6_2_ARMC6.pdf", "Melting_Curves/meltCurve_Q6NXE6_2_ARMC6.pdf")</f>
        <v>Melting_Curves/meltCurve_Q6NXE6_2_ARMC6.pdf</v>
      </c>
    </row>
    <row r="4073" spans="1:28" x14ac:dyDescent="0.25">
      <c r="A4073" t="s">
        <v>4077</v>
      </c>
      <c r="B4073">
        <v>0.99472303558308395</v>
      </c>
      <c r="C4073">
        <v>1.2479245389909901</v>
      </c>
      <c r="D4073">
        <v>0.81345675957899499</v>
      </c>
      <c r="E4073">
        <v>0.78804561204211299</v>
      </c>
      <c r="F4073">
        <v>0.48995473043547599</v>
      </c>
      <c r="G4073">
        <v>0.36558698044388699</v>
      </c>
      <c r="H4073">
        <v>0.25901532632503799</v>
      </c>
      <c r="I4073">
        <v>0.25387288549820702</v>
      </c>
      <c r="J4073">
        <v>0.26533235876717598</v>
      </c>
      <c r="K4073">
        <v>0.17130114072374</v>
      </c>
      <c r="L4073">
        <v>859.06005336485703</v>
      </c>
      <c r="M4073">
        <v>17.623856256736101</v>
      </c>
      <c r="N4073">
        <v>50.372683335179502</v>
      </c>
      <c r="O4073">
        <v>48.129566904645699</v>
      </c>
      <c r="P4073">
        <v>-7.1666855172736299E-2</v>
      </c>
      <c r="Q4073">
        <v>0.21717251834439899</v>
      </c>
      <c r="R4073">
        <v>0.927905129647838</v>
      </c>
      <c r="S4073" t="s">
        <v>10641</v>
      </c>
      <c r="T4073" t="s">
        <v>13134</v>
      </c>
      <c r="U4073" t="s">
        <v>13134</v>
      </c>
      <c r="V4073" t="s">
        <v>13134</v>
      </c>
      <c r="W4073" t="s">
        <v>17147</v>
      </c>
      <c r="X4073">
        <v>1</v>
      </c>
      <c r="Y4073" t="s">
        <v>23530</v>
      </c>
      <c r="Z4073" t="s">
        <v>30041</v>
      </c>
      <c r="AA4073">
        <v>0.53656486298963746</v>
      </c>
      <c r="AB4073" t="str">
        <f>HYPERLINK("Melting_Curves/meltCurve_Q6NXT1_ANKRD54.pdf", "Melting_Curves/meltCurve_Q6NXT1_ANKRD54.pdf")</f>
        <v>Melting_Curves/meltCurve_Q6NXT1_ANKRD54.pdf</v>
      </c>
    </row>
    <row r="4074" spans="1:28" x14ac:dyDescent="0.25">
      <c r="A4074" t="s">
        <v>4078</v>
      </c>
      <c r="B4074">
        <v>0.99472303558308395</v>
      </c>
      <c r="C4074">
        <v>0.98713798023919497</v>
      </c>
      <c r="D4074">
        <v>0.89454678316707303</v>
      </c>
      <c r="E4074">
        <v>0.84762209993673698</v>
      </c>
      <c r="F4074">
        <v>0.68958974672550399</v>
      </c>
      <c r="G4074">
        <v>0.50661630576597405</v>
      </c>
      <c r="H4074">
        <v>0.36543856088517401</v>
      </c>
      <c r="I4074">
        <v>0.35171962314127397</v>
      </c>
      <c r="J4074">
        <v>0.47999761287704301</v>
      </c>
      <c r="K4074">
        <v>0.44471324565869402</v>
      </c>
      <c r="L4074">
        <v>891.807413203745</v>
      </c>
      <c r="M4074">
        <v>18.077813601502299</v>
      </c>
      <c r="N4074">
        <v>54.062885551476398</v>
      </c>
      <c r="O4074">
        <v>48.7398312972702</v>
      </c>
      <c r="P4074">
        <v>-5.5895607692117003E-2</v>
      </c>
      <c r="Q4074">
        <v>0.39722570378762401</v>
      </c>
      <c r="R4074">
        <v>0.96149184933930798</v>
      </c>
      <c r="S4074" t="s">
        <v>10642</v>
      </c>
      <c r="T4074" t="s">
        <v>13134</v>
      </c>
      <c r="U4074" t="s">
        <v>13134</v>
      </c>
      <c r="V4074" t="s">
        <v>13134</v>
      </c>
      <c r="W4074" t="s">
        <v>17148</v>
      </c>
      <c r="X4074">
        <v>8</v>
      </c>
      <c r="Y4074" t="s">
        <v>23531</v>
      </c>
      <c r="Z4074" t="s">
        <v>30042</v>
      </c>
      <c r="AA4074">
        <v>0.65448752489464068</v>
      </c>
      <c r="AB4074" t="str">
        <f>HYPERLINK("Melting_Curves/meltCurve_Q6NXT6_TAPT1.pdf", "Melting_Curves/meltCurve_Q6NXT6_TAPT1.pdf")</f>
        <v>Melting_Curves/meltCurve_Q6NXT6_TAPT1.pdf</v>
      </c>
    </row>
    <row r="4075" spans="1:28" x14ac:dyDescent="0.25">
      <c r="A4075" t="s">
        <v>4079</v>
      </c>
      <c r="B4075">
        <v>0.99472303558308395</v>
      </c>
      <c r="C4075">
        <v>0.95094817679945798</v>
      </c>
      <c r="D4075">
        <v>0.93876378199268595</v>
      </c>
      <c r="E4075">
        <v>0.67587770797605995</v>
      </c>
      <c r="F4075">
        <v>0.29334200721897702</v>
      </c>
      <c r="G4075">
        <v>0.15455345225307399</v>
      </c>
      <c r="H4075">
        <v>9.5645914356675493E-2</v>
      </c>
      <c r="I4075">
        <v>8.5366679932529901E-2</v>
      </c>
      <c r="J4075">
        <v>9.17891957817248E-2</v>
      </c>
      <c r="K4075">
        <v>9.1824615272708701E-2</v>
      </c>
      <c r="L4075">
        <v>1134.20551772052</v>
      </c>
      <c r="M4075">
        <v>23.7688898594139</v>
      </c>
      <c r="N4075">
        <v>48.101295955885703</v>
      </c>
      <c r="O4075">
        <v>47.384151620238903</v>
      </c>
      <c r="P4075">
        <v>-0.114589782081742</v>
      </c>
      <c r="Q4075">
        <v>8.6259330237840007E-2</v>
      </c>
      <c r="R4075">
        <v>0.99864471516917597</v>
      </c>
      <c r="S4075" t="s">
        <v>10643</v>
      </c>
      <c r="T4075" t="s">
        <v>13134</v>
      </c>
      <c r="U4075" t="s">
        <v>13134</v>
      </c>
      <c r="V4075" t="s">
        <v>13134</v>
      </c>
      <c r="W4075" t="s">
        <v>17149</v>
      </c>
      <c r="X4075">
        <v>14</v>
      </c>
      <c r="Y4075" t="s">
        <v>23532</v>
      </c>
      <c r="Z4075" t="s">
        <v>30043</v>
      </c>
      <c r="AA4075">
        <v>0.42128132632304233</v>
      </c>
      <c r="AB4075" t="str">
        <f>HYPERLINK("Melting_Curves/meltCurve_Q6NYC8_PPP1R18.pdf", "Melting_Curves/meltCurve_Q6NYC8_PPP1R18.pdf")</f>
        <v>Melting_Curves/meltCurve_Q6NYC8_PPP1R18.pdf</v>
      </c>
    </row>
    <row r="4076" spans="1:28" x14ac:dyDescent="0.25">
      <c r="A4076" t="s">
        <v>4080</v>
      </c>
      <c r="B4076">
        <v>0.99472303558308395</v>
      </c>
      <c r="C4076">
        <v>0.90957637774377098</v>
      </c>
      <c r="D4076">
        <v>0.77572628889296502</v>
      </c>
      <c r="E4076">
        <v>0.54380483827598203</v>
      </c>
      <c r="F4076">
        <v>0.29924159357962299</v>
      </c>
      <c r="G4076">
        <v>0.149536977536052</v>
      </c>
      <c r="H4076">
        <v>7.6928757567373399E-2</v>
      </c>
      <c r="I4076">
        <v>5.6186332479927097E-2</v>
      </c>
      <c r="J4076">
        <v>5.9343993051077203E-2</v>
      </c>
      <c r="K4076">
        <v>5.2157935150421803E-2</v>
      </c>
      <c r="L4076">
        <v>668.29552443475097</v>
      </c>
      <c r="M4076">
        <v>14.2788812533892</v>
      </c>
      <c r="N4076">
        <v>46.992336747107601</v>
      </c>
      <c r="O4076">
        <v>45.9137914468673</v>
      </c>
      <c r="P4076">
        <v>-7.5585046419268401E-2</v>
      </c>
      <c r="Q4076">
        <v>2.7943192009820601E-2</v>
      </c>
      <c r="R4076">
        <v>0.99889707790488202</v>
      </c>
      <c r="S4076" t="s">
        <v>10644</v>
      </c>
      <c r="T4076" t="s">
        <v>13134</v>
      </c>
      <c r="U4076" t="s">
        <v>13134</v>
      </c>
      <c r="V4076" t="s">
        <v>13134</v>
      </c>
      <c r="W4076" t="s">
        <v>17150</v>
      </c>
      <c r="X4076">
        <v>14</v>
      </c>
      <c r="Y4076" t="s">
        <v>23533</v>
      </c>
      <c r="Z4076" t="s">
        <v>30044</v>
      </c>
      <c r="AA4076">
        <v>0.36959168133639042</v>
      </c>
      <c r="AB4076" t="str">
        <f>HYPERLINK("Melting_Curves/meltCurve_Q6NZI2_PTRF.pdf", "Melting_Curves/meltCurve_Q6NZI2_PTRF.pdf")</f>
        <v>Melting_Curves/meltCurve_Q6NZI2_PTRF.pdf</v>
      </c>
    </row>
    <row r="4077" spans="1:28" x14ac:dyDescent="0.25">
      <c r="A4077" t="s">
        <v>4081</v>
      </c>
      <c r="B4077">
        <v>0.99472303558308395</v>
      </c>
      <c r="C4077">
        <v>1.0009298984194701</v>
      </c>
      <c r="D4077">
        <v>0.78483682202645799</v>
      </c>
      <c r="E4077">
        <v>0.84807864281713397</v>
      </c>
      <c r="F4077">
        <v>1.0340212475341499</v>
      </c>
      <c r="G4077">
        <v>0.24836028884744299</v>
      </c>
      <c r="H4077">
        <v>0.14025409610703601</v>
      </c>
      <c r="I4077">
        <v>9.5543811314856397E-2</v>
      </c>
      <c r="J4077">
        <v>0.12214241423971001</v>
      </c>
      <c r="K4077">
        <v>0.103475071831968</v>
      </c>
      <c r="L4077">
        <v>13356.8259785264</v>
      </c>
      <c r="M4077">
        <v>250</v>
      </c>
      <c r="N4077">
        <v>53.483415212563699</v>
      </c>
      <c r="O4077">
        <v>53.423884910142696</v>
      </c>
      <c r="P4077">
        <v>-1.0349375651165</v>
      </c>
      <c r="Q4077">
        <v>0.11535383496915801</v>
      </c>
      <c r="R4077">
        <v>0.95585611874453402</v>
      </c>
      <c r="S4077" t="s">
        <v>10645</v>
      </c>
      <c r="T4077" t="s">
        <v>13134</v>
      </c>
      <c r="U4077" t="s">
        <v>13134</v>
      </c>
      <c r="V4077" t="s">
        <v>13134</v>
      </c>
      <c r="W4077" t="s">
        <v>17151</v>
      </c>
      <c r="X4077">
        <v>17</v>
      </c>
      <c r="Y4077" t="s">
        <v>23534</v>
      </c>
      <c r="Z4077" t="s">
        <v>30045</v>
      </c>
      <c r="AA4077">
        <v>0.59984849665600193</v>
      </c>
      <c r="AB4077" t="str">
        <f>HYPERLINK("Melting_Curves/meltCurve_Q6NZY4_ZCCHC8.pdf", "Melting_Curves/meltCurve_Q6NZY4_ZCCHC8.pdf")</f>
        <v>Melting_Curves/meltCurve_Q6NZY4_ZCCHC8.pdf</v>
      </c>
    </row>
    <row r="4078" spans="1:28" x14ac:dyDescent="0.25">
      <c r="A4078" t="s">
        <v>4082</v>
      </c>
      <c r="B4078">
        <v>0.99472303558308395</v>
      </c>
      <c r="C4078">
        <v>1.04744902532939</v>
      </c>
      <c r="D4078">
        <v>0.99084017939625901</v>
      </c>
      <c r="E4078">
        <v>1.0863932963426901</v>
      </c>
      <c r="F4078">
        <v>0.89484938946606696</v>
      </c>
      <c r="G4078">
        <v>0.69287815337399306</v>
      </c>
      <c r="H4078">
        <v>0.52189650856360903</v>
      </c>
      <c r="I4078">
        <v>0.52425133788654299</v>
      </c>
      <c r="J4078">
        <v>0.51917405901239999</v>
      </c>
      <c r="K4078">
        <v>0.38257534553094902</v>
      </c>
      <c r="L4078">
        <v>1453.6932392577401</v>
      </c>
      <c r="M4078">
        <v>27.3146098138368</v>
      </c>
      <c r="N4078">
        <v>58.936915153692901</v>
      </c>
      <c r="O4078">
        <v>52.937548748986003</v>
      </c>
      <c r="P4078">
        <v>-6.9057589340144596E-2</v>
      </c>
      <c r="Q4078">
        <v>0.46465207549610898</v>
      </c>
      <c r="R4078">
        <v>0.96269605048547702</v>
      </c>
      <c r="S4078" t="s">
        <v>10646</v>
      </c>
      <c r="T4078" t="s">
        <v>13134</v>
      </c>
      <c r="U4078" t="s">
        <v>13134</v>
      </c>
      <c r="V4078" t="s">
        <v>13134</v>
      </c>
      <c r="W4078" t="s">
        <v>17152</v>
      </c>
      <c r="X4078">
        <v>2</v>
      </c>
      <c r="Y4078" t="s">
        <v>23535</v>
      </c>
      <c r="Z4078" t="s">
        <v>30046</v>
      </c>
      <c r="AA4078">
        <v>0.75815068683990661</v>
      </c>
      <c r="AB4078" t="str">
        <f>HYPERLINK("Melting_Curves/meltCurve_Q6P161_MRPL54.pdf", "Melting_Curves/meltCurve_Q6P161_MRPL54.pdf")</f>
        <v>Melting_Curves/meltCurve_Q6P161_MRPL54.pdf</v>
      </c>
    </row>
    <row r="4079" spans="1:28" x14ac:dyDescent="0.25">
      <c r="A4079" t="s">
        <v>4083</v>
      </c>
      <c r="B4079">
        <v>0.99472303558308395</v>
      </c>
      <c r="C4079">
        <v>0.93343872365707004</v>
      </c>
      <c r="D4079">
        <v>0.799562455524918</v>
      </c>
      <c r="E4079">
        <v>0.48845573113907398</v>
      </c>
      <c r="F4079">
        <v>0.17402255684172599</v>
      </c>
      <c r="G4079">
        <v>0.101536461854433</v>
      </c>
      <c r="H4079">
        <v>6.24327827297693E-2</v>
      </c>
      <c r="I4079">
        <v>5.0142900669532503E-2</v>
      </c>
      <c r="J4079">
        <v>6.6611106430229994E-2</v>
      </c>
      <c r="K4079">
        <v>5.1352180448963503E-2</v>
      </c>
      <c r="L4079">
        <v>902.70487851612097</v>
      </c>
      <c r="M4079">
        <v>19.620606009095098</v>
      </c>
      <c r="N4079">
        <v>46.240278891645701</v>
      </c>
      <c r="O4079">
        <v>45.538083353757898</v>
      </c>
      <c r="P4079">
        <v>-0.10266401794551901</v>
      </c>
      <c r="Q4079">
        <v>4.6929029147048301E-2</v>
      </c>
      <c r="R4079">
        <v>0.99844623990943604</v>
      </c>
      <c r="S4079" t="s">
        <v>10647</v>
      </c>
      <c r="T4079" t="s">
        <v>13134</v>
      </c>
      <c r="U4079" t="s">
        <v>13134</v>
      </c>
      <c r="V4079" t="s">
        <v>13134</v>
      </c>
      <c r="W4079" t="s">
        <v>17153</v>
      </c>
      <c r="X4079">
        <v>23</v>
      </c>
      <c r="Y4079" t="s">
        <v>23536</v>
      </c>
      <c r="Z4079" t="s">
        <v>30047</v>
      </c>
      <c r="AA4079">
        <v>0.34605716829837269</v>
      </c>
      <c r="AB4079" t="str">
        <f>HYPERLINK("Melting_Curves/meltCurve_Q6P1J9_CDC73.pdf", "Melting_Curves/meltCurve_Q6P1J9_CDC73.pdf")</f>
        <v>Melting_Curves/meltCurve_Q6P1J9_CDC73.pdf</v>
      </c>
    </row>
    <row r="4080" spans="1:28" x14ac:dyDescent="0.25">
      <c r="A4080" t="s">
        <v>4084</v>
      </c>
      <c r="B4080">
        <v>0.99472303558308395</v>
      </c>
      <c r="C4080">
        <v>0.90815213654354998</v>
      </c>
      <c r="D4080">
        <v>0.84987485461858903</v>
      </c>
      <c r="E4080">
        <v>0.77786859860542101</v>
      </c>
      <c r="F4080">
        <v>0.38581359512736502</v>
      </c>
      <c r="G4080">
        <v>0.17675184175568001</v>
      </c>
      <c r="H4080">
        <v>0.11208369134373899</v>
      </c>
      <c r="I4080">
        <v>8.2761104424296197E-2</v>
      </c>
      <c r="J4080">
        <v>9.5557327380531701E-2</v>
      </c>
      <c r="K4080">
        <v>7.8632011241844699E-2</v>
      </c>
      <c r="L4080">
        <v>899.87380640414005</v>
      </c>
      <c r="M4080">
        <v>18.496043733760601</v>
      </c>
      <c r="N4080">
        <v>49.020471436885202</v>
      </c>
      <c r="O4080">
        <v>48.094214441372301</v>
      </c>
      <c r="P4080">
        <v>-8.9912885833254894E-2</v>
      </c>
      <c r="Q4080">
        <v>6.4859916745714896E-2</v>
      </c>
      <c r="R4080">
        <v>0.98760966943227102</v>
      </c>
      <c r="S4080" t="s">
        <v>10648</v>
      </c>
      <c r="T4080" t="s">
        <v>13134</v>
      </c>
      <c r="U4080" t="s">
        <v>13134</v>
      </c>
      <c r="V4080" t="s">
        <v>13134</v>
      </c>
      <c r="W4080" t="s">
        <v>17154</v>
      </c>
      <c r="X4080">
        <v>3</v>
      </c>
      <c r="Y4080" t="s">
        <v>23537</v>
      </c>
      <c r="Z4080" t="s">
        <v>30048</v>
      </c>
      <c r="AA4080">
        <v>0.44227055449552383</v>
      </c>
      <c r="AB4080" t="str">
        <f>HYPERLINK("Melting_Curves/meltCurve_Q6P1K2_4_PMF1.pdf", "Melting_Curves/meltCurve_Q6P1K2_4_PMF1.pdf")</f>
        <v>Melting_Curves/meltCurve_Q6P1K2_4_PMF1.pdf</v>
      </c>
    </row>
    <row r="4081" spans="1:28" x14ac:dyDescent="0.25">
      <c r="A4081" t="s">
        <v>4085</v>
      </c>
      <c r="B4081">
        <v>0.99472303558308395</v>
      </c>
      <c r="C4081">
        <v>0.98367776102015803</v>
      </c>
      <c r="D4081">
        <v>0.774869176009373</v>
      </c>
      <c r="E4081">
        <v>0.50052375841752905</v>
      </c>
      <c r="F4081">
        <v>0.29911943565666799</v>
      </c>
      <c r="G4081">
        <v>0.15850373770789</v>
      </c>
      <c r="H4081">
        <v>6.1882543074663302E-2</v>
      </c>
      <c r="I4081">
        <v>6.1715731179846599E-2</v>
      </c>
      <c r="J4081">
        <v>6.5088023797698805E-2</v>
      </c>
      <c r="K4081">
        <v>5.2336267833718801E-2</v>
      </c>
      <c r="L4081">
        <v>734.25022049191</v>
      </c>
      <c r="M4081">
        <v>15.7738246202674</v>
      </c>
      <c r="N4081">
        <v>46.8197605033671</v>
      </c>
      <c r="O4081">
        <v>45.819770375492098</v>
      </c>
      <c r="P4081">
        <v>-8.2314978852793597E-2</v>
      </c>
      <c r="Q4081">
        <v>4.3645859114431598E-2</v>
      </c>
      <c r="R4081">
        <v>0.99649962089964905</v>
      </c>
      <c r="S4081" t="s">
        <v>10649</v>
      </c>
      <c r="T4081" t="s">
        <v>13134</v>
      </c>
      <c r="U4081" t="s">
        <v>13134</v>
      </c>
      <c r="V4081" t="s">
        <v>13134</v>
      </c>
      <c r="W4081" t="s">
        <v>17155</v>
      </c>
      <c r="X4081">
        <v>7</v>
      </c>
      <c r="Y4081" t="s">
        <v>23538</v>
      </c>
      <c r="Z4081" t="s">
        <v>30049</v>
      </c>
      <c r="AA4081">
        <v>0.36785636285532591</v>
      </c>
      <c r="AB4081" t="str">
        <f>HYPERLINK("Melting_Curves/meltCurve_Q6P1K8_GTF2H2C.pdf", "Melting_Curves/meltCurve_Q6P1K8_GTF2H2C.pdf")</f>
        <v>Melting_Curves/meltCurve_Q6P1K8_GTF2H2C.pdf</v>
      </c>
    </row>
    <row r="4082" spans="1:28" x14ac:dyDescent="0.25">
      <c r="A4082" t="s">
        <v>4086</v>
      </c>
      <c r="B4082">
        <v>0.99472303558308395</v>
      </c>
      <c r="C4082">
        <v>1.06529144776358</v>
      </c>
      <c r="D4082">
        <v>1.09028925913497</v>
      </c>
      <c r="E4082">
        <v>0.43132118425395599</v>
      </c>
      <c r="F4082">
        <v>0.58273671757144496</v>
      </c>
      <c r="G4082">
        <v>0.33891449882149399</v>
      </c>
      <c r="H4082">
        <v>0.14483533340993099</v>
      </c>
      <c r="I4082">
        <v>8.8750579839123198E-2</v>
      </c>
      <c r="J4082">
        <v>0.210688919476893</v>
      </c>
      <c r="K4082">
        <v>0.17955816153382301</v>
      </c>
      <c r="L4082">
        <v>791.27604654591698</v>
      </c>
      <c r="M4082">
        <v>16.453945495970899</v>
      </c>
      <c r="N4082">
        <v>49.178988375223497</v>
      </c>
      <c r="O4082">
        <v>47.396846392098503</v>
      </c>
      <c r="P4082">
        <v>-7.3546730735984195E-2</v>
      </c>
      <c r="Q4082">
        <v>0.15263167198698199</v>
      </c>
      <c r="R4082">
        <v>0.89429086556236703</v>
      </c>
      <c r="S4082" t="s">
        <v>10650</v>
      </c>
      <c r="T4082" t="s">
        <v>13134</v>
      </c>
      <c r="U4082" t="s">
        <v>13134</v>
      </c>
      <c r="V4082" t="s">
        <v>13134</v>
      </c>
      <c r="W4082" t="s">
        <v>17156</v>
      </c>
      <c r="X4082">
        <v>1</v>
      </c>
      <c r="Y4082" t="s">
        <v>23539</v>
      </c>
      <c r="Z4082" t="s">
        <v>30050</v>
      </c>
      <c r="AA4082">
        <v>0.4817809142330749</v>
      </c>
      <c r="AB4082" t="str">
        <f>HYPERLINK("Melting_Curves/meltCurve_Q6P1L5_2_FAM117B.pdf", "Melting_Curves/meltCurve_Q6P1L5_2_FAM117B.pdf")</f>
        <v>Melting_Curves/meltCurve_Q6P1L5_2_FAM117B.pdf</v>
      </c>
    </row>
    <row r="4083" spans="1:28" x14ac:dyDescent="0.25">
      <c r="A4083" t="s">
        <v>4087</v>
      </c>
      <c r="B4083">
        <v>0.99472303558308395</v>
      </c>
      <c r="C4083">
        <v>0.98567846699223305</v>
      </c>
      <c r="D4083">
        <v>0.92367703762043696</v>
      </c>
      <c r="E4083">
        <v>0.736230375687557</v>
      </c>
      <c r="F4083">
        <v>0.54394411601390003</v>
      </c>
      <c r="G4083">
        <v>0.25153531936169599</v>
      </c>
      <c r="H4083">
        <v>0.135469289066765</v>
      </c>
      <c r="I4083">
        <v>0.119920902626854</v>
      </c>
      <c r="J4083">
        <v>0.10230097061429499</v>
      </c>
      <c r="K4083">
        <v>7.5181322668922301E-2</v>
      </c>
      <c r="L4083">
        <v>795.10239921061896</v>
      </c>
      <c r="M4083">
        <v>15.979319529217101</v>
      </c>
      <c r="N4083">
        <v>50.167030410568998</v>
      </c>
      <c r="O4083">
        <v>48.998503692528402</v>
      </c>
      <c r="P4083">
        <v>-7.6558501382342395E-2</v>
      </c>
      <c r="Q4083">
        <v>6.1047622332733698E-2</v>
      </c>
      <c r="R4083">
        <v>0.99666551555638705</v>
      </c>
      <c r="S4083" t="s">
        <v>10651</v>
      </c>
      <c r="T4083" t="s">
        <v>13134</v>
      </c>
      <c r="U4083" t="s">
        <v>13134</v>
      </c>
      <c r="V4083" t="s">
        <v>13134</v>
      </c>
      <c r="W4083" t="s">
        <v>17157</v>
      </c>
      <c r="X4083">
        <v>5</v>
      </c>
      <c r="Y4083" t="s">
        <v>23540</v>
      </c>
      <c r="Z4083" t="s">
        <v>30051</v>
      </c>
      <c r="AA4083">
        <v>0.4783315446655243</v>
      </c>
      <c r="AB4083" t="str">
        <f>HYPERLINK("Melting_Curves/meltCurve_Q6P1L8_MRPL14.pdf", "Melting_Curves/meltCurve_Q6P1L8_MRPL14.pdf")</f>
        <v>Melting_Curves/meltCurve_Q6P1L8_MRPL14.pdf</v>
      </c>
    </row>
    <row r="4084" spans="1:28" x14ac:dyDescent="0.25">
      <c r="A4084" t="s">
        <v>4088</v>
      </c>
      <c r="B4084">
        <v>0.99472303558308395</v>
      </c>
      <c r="C4084">
        <v>1.0177054297828201</v>
      </c>
      <c r="D4084">
        <v>0.90330672860481598</v>
      </c>
      <c r="E4084">
        <v>0.73414508576833604</v>
      </c>
      <c r="F4084">
        <v>0.22059608821338</v>
      </c>
      <c r="G4084">
        <v>0.11387166913326099</v>
      </c>
      <c r="H4084">
        <v>7.5565264005193505E-2</v>
      </c>
      <c r="I4084">
        <v>5.0941434431449301E-2</v>
      </c>
      <c r="J4084">
        <v>5.2900106727557399E-2</v>
      </c>
      <c r="K4084">
        <v>3.31025528440409E-2</v>
      </c>
      <c r="L4084">
        <v>1408.4213804572601</v>
      </c>
      <c r="M4084">
        <v>29.410917648087899</v>
      </c>
      <c r="N4084">
        <v>48.070293416162002</v>
      </c>
      <c r="O4084">
        <v>47.6679543943713</v>
      </c>
      <c r="P4084">
        <v>-0.14609840801617599</v>
      </c>
      <c r="Q4084">
        <v>5.2846574765177901E-2</v>
      </c>
      <c r="R4084">
        <v>0.99574460158153499</v>
      </c>
      <c r="S4084" t="s">
        <v>10652</v>
      </c>
      <c r="T4084" t="s">
        <v>13134</v>
      </c>
      <c r="U4084" t="s">
        <v>13134</v>
      </c>
      <c r="V4084" t="s">
        <v>13134</v>
      </c>
      <c r="W4084" t="s">
        <v>17158</v>
      </c>
      <c r="X4084">
        <v>17</v>
      </c>
      <c r="Y4084" t="s">
        <v>23541</v>
      </c>
      <c r="Z4084" t="s">
        <v>30052</v>
      </c>
      <c r="AA4084">
        <v>0.40241614254292168</v>
      </c>
      <c r="AB4084" t="str">
        <f>HYPERLINK("Melting_Curves/meltCurve_Q6P1M0_SLC27A4.pdf", "Melting_Curves/meltCurve_Q6P1M0_SLC27A4.pdf")</f>
        <v>Melting_Curves/meltCurve_Q6P1M0_SLC27A4.pdf</v>
      </c>
    </row>
    <row r="4085" spans="1:28" x14ac:dyDescent="0.25">
      <c r="A4085" t="s">
        <v>4089</v>
      </c>
      <c r="B4085">
        <v>0.99472303558308395</v>
      </c>
      <c r="C4085">
        <v>0.88870213939707399</v>
      </c>
      <c r="D4085">
        <v>0.99364032878867203</v>
      </c>
      <c r="E4085">
        <v>0.74674850480265698</v>
      </c>
      <c r="F4085">
        <v>0.33176367474794899</v>
      </c>
      <c r="G4085">
        <v>9.6131566784048703E-2</v>
      </c>
      <c r="H4085">
        <v>6.0913257598185097E-2</v>
      </c>
      <c r="I4085">
        <v>4.1663825504539898E-2</v>
      </c>
      <c r="J4085">
        <v>4.8656269178274002E-2</v>
      </c>
      <c r="K4085">
        <v>3.5971437678975399E-2</v>
      </c>
      <c r="L4085">
        <v>1251.38035927444</v>
      </c>
      <c r="M4085">
        <v>25.788804721863201</v>
      </c>
      <c r="N4085">
        <v>48.6752933414719</v>
      </c>
      <c r="O4085">
        <v>48.2352283782458</v>
      </c>
      <c r="P4085">
        <v>-0.12852102017867101</v>
      </c>
      <c r="Q4085">
        <v>3.8471852311798303E-2</v>
      </c>
      <c r="R4085">
        <v>0.99229586764151601</v>
      </c>
      <c r="S4085" t="s">
        <v>10653</v>
      </c>
      <c r="T4085" t="s">
        <v>13134</v>
      </c>
      <c r="U4085" t="s">
        <v>13134</v>
      </c>
      <c r="V4085" t="s">
        <v>13134</v>
      </c>
      <c r="W4085" t="s">
        <v>17159</v>
      </c>
      <c r="X4085">
        <v>19</v>
      </c>
      <c r="Y4085" t="s">
        <v>23542</v>
      </c>
      <c r="Z4085" t="s">
        <v>30053</v>
      </c>
      <c r="AA4085">
        <v>0.41559864432125349</v>
      </c>
      <c r="AB4085" t="str">
        <f>HYPERLINK("Melting_Curves/meltCurve_Q6P1N0_2_CC2D1A.pdf", "Melting_Curves/meltCurve_Q6P1N0_2_CC2D1A.pdf")</f>
        <v>Melting_Curves/meltCurve_Q6P1N0_2_CC2D1A.pdf</v>
      </c>
    </row>
    <row r="4086" spans="1:28" x14ac:dyDescent="0.25">
      <c r="A4086" t="s">
        <v>4090</v>
      </c>
      <c r="B4086">
        <v>0.99472303558308395</v>
      </c>
      <c r="C4086">
        <v>0.96943376757656197</v>
      </c>
      <c r="D4086">
        <v>0.91998290505194602</v>
      </c>
      <c r="E4086">
        <v>0.59679869236561101</v>
      </c>
      <c r="F4086">
        <v>0.25205239571587701</v>
      </c>
      <c r="G4086">
        <v>0.13291068268459599</v>
      </c>
      <c r="H4086">
        <v>8.3909609506311905E-2</v>
      </c>
      <c r="I4086">
        <v>6.3654926843113094E-2</v>
      </c>
      <c r="J4086">
        <v>6.9523854506605504E-2</v>
      </c>
      <c r="K4086">
        <v>6.3330071418281994E-2</v>
      </c>
      <c r="L4086">
        <v>1074.4356450125499</v>
      </c>
      <c r="M4086">
        <v>22.7674521963256</v>
      </c>
      <c r="N4086">
        <v>47.487299077148499</v>
      </c>
      <c r="O4086">
        <v>46.832188154511798</v>
      </c>
      <c r="P4086">
        <v>-0.113510729624614</v>
      </c>
      <c r="Q4086">
        <v>6.6061085055844695E-2</v>
      </c>
      <c r="R4086">
        <v>0.99954521517619099</v>
      </c>
      <c r="S4086" t="s">
        <v>10654</v>
      </c>
      <c r="T4086" t="s">
        <v>13134</v>
      </c>
      <c r="U4086" t="s">
        <v>13134</v>
      </c>
      <c r="V4086" t="s">
        <v>13134</v>
      </c>
      <c r="W4086" t="s">
        <v>17160</v>
      </c>
      <c r="X4086">
        <v>9</v>
      </c>
      <c r="Y4086" t="s">
        <v>23543</v>
      </c>
      <c r="Z4086" t="s">
        <v>30054</v>
      </c>
      <c r="AA4086">
        <v>0.39282362795323372</v>
      </c>
      <c r="AB4086" t="str">
        <f>HYPERLINK("Melting_Curves/meltCurve_Q6P1Q9_METTL2B.pdf", "Melting_Curves/meltCurve_Q6P1Q9_METTL2B.pdf")</f>
        <v>Melting_Curves/meltCurve_Q6P1Q9_METTL2B.pdf</v>
      </c>
    </row>
    <row r="4087" spans="1:28" x14ac:dyDescent="0.25">
      <c r="A4087" t="s">
        <v>4091</v>
      </c>
      <c r="B4087">
        <v>0.99472303558308395</v>
      </c>
      <c r="C4087">
        <v>1.0011175507976</v>
      </c>
      <c r="D4087">
        <v>0.90324591932057297</v>
      </c>
      <c r="E4087">
        <v>0.61591862768605099</v>
      </c>
      <c r="F4087">
        <v>0.24080497549904001</v>
      </c>
      <c r="G4087">
        <v>9.8347283648704403E-2</v>
      </c>
      <c r="H4087">
        <v>7.7119006314521898E-2</v>
      </c>
      <c r="I4087">
        <v>5.8243106977234102E-2</v>
      </c>
      <c r="J4087">
        <v>7.0624532555198793E-2</v>
      </c>
      <c r="K4087">
        <v>4.3337105438138998E-2</v>
      </c>
      <c r="L4087">
        <v>1119.2827942111501</v>
      </c>
      <c r="M4087">
        <v>23.675032798630902</v>
      </c>
      <c r="N4087">
        <v>47.510213658463798</v>
      </c>
      <c r="O4087">
        <v>46.9435013303356</v>
      </c>
      <c r="P4087">
        <v>-0.119165956673058</v>
      </c>
      <c r="Q4087">
        <v>5.4873777553759599E-2</v>
      </c>
      <c r="R4087">
        <v>0.99940396424718503</v>
      </c>
      <c r="S4087" t="s">
        <v>10655</v>
      </c>
      <c r="T4087" t="s">
        <v>13134</v>
      </c>
      <c r="U4087" t="s">
        <v>13134</v>
      </c>
      <c r="V4087" t="s">
        <v>13134</v>
      </c>
      <c r="W4087" t="s">
        <v>17161</v>
      </c>
      <c r="X4087">
        <v>9</v>
      </c>
      <c r="Y4087" t="s">
        <v>23544</v>
      </c>
      <c r="Z4087" t="s">
        <v>30055</v>
      </c>
      <c r="AA4087">
        <v>0.38752527200509568</v>
      </c>
      <c r="AB4087" t="str">
        <f>HYPERLINK("Melting_Curves/meltCurve_Q6P1R4_DUS1L.pdf", "Melting_Curves/meltCurve_Q6P1R4_DUS1L.pdf")</f>
        <v>Melting_Curves/meltCurve_Q6P1R4_DUS1L.pdf</v>
      </c>
    </row>
    <row r="4088" spans="1:28" x14ac:dyDescent="0.25">
      <c r="A4088" t="s">
        <v>4092</v>
      </c>
      <c r="B4088">
        <v>0.99472303558308395</v>
      </c>
      <c r="C4088">
        <v>1.0693224402305701</v>
      </c>
      <c r="D4088">
        <v>0.82782698978066005</v>
      </c>
      <c r="E4088">
        <v>0.74662426244621205</v>
      </c>
      <c r="F4088">
        <v>0.61680836372028003</v>
      </c>
      <c r="G4088">
        <v>0.29162184372820199</v>
      </c>
      <c r="H4088">
        <v>0.183688881473207</v>
      </c>
      <c r="I4088">
        <v>8.2560859874745193E-2</v>
      </c>
      <c r="J4088">
        <v>0.192555501261159</v>
      </c>
      <c r="K4088">
        <v>0.11490388074343</v>
      </c>
      <c r="L4088">
        <v>721.27336848190396</v>
      </c>
      <c r="M4088">
        <v>14.399303202570399</v>
      </c>
      <c r="N4088">
        <v>50.723033507885397</v>
      </c>
      <c r="O4088">
        <v>49.154463227499598</v>
      </c>
      <c r="P4088">
        <v>-6.7227342393167203E-2</v>
      </c>
      <c r="Q4088">
        <v>8.2141065805701394E-2</v>
      </c>
      <c r="R4088">
        <v>0.97234445920847201</v>
      </c>
      <c r="S4088" t="s">
        <v>10656</v>
      </c>
      <c r="T4088" t="s">
        <v>13134</v>
      </c>
      <c r="U4088" t="s">
        <v>13134</v>
      </c>
      <c r="V4088" t="s">
        <v>13134</v>
      </c>
      <c r="W4088" t="s">
        <v>17162</v>
      </c>
      <c r="X4088">
        <v>4</v>
      </c>
      <c r="Y4088" t="s">
        <v>23545</v>
      </c>
      <c r="Z4088" t="s">
        <v>30056</v>
      </c>
      <c r="AA4088">
        <v>0.50292249987770965</v>
      </c>
      <c r="AB4088" t="str">
        <f>HYPERLINK("Melting_Curves/meltCurve_Q6P1X5_TAF2.pdf", "Melting_Curves/meltCurve_Q6P1X5_TAF2.pdf")</f>
        <v>Melting_Curves/meltCurve_Q6P1X5_TAF2.pdf</v>
      </c>
    </row>
    <row r="4089" spans="1:28" x14ac:dyDescent="0.25">
      <c r="A4089" t="s">
        <v>4093</v>
      </c>
      <c r="B4089">
        <v>0.99472303558308395</v>
      </c>
      <c r="C4089">
        <v>0.93104285493828798</v>
      </c>
      <c r="D4089">
        <v>0.79206304849458298</v>
      </c>
      <c r="E4089">
        <v>0.51574674121450303</v>
      </c>
      <c r="F4089">
        <v>0.34381542121095998</v>
      </c>
      <c r="G4089">
        <v>0.19504732016784501</v>
      </c>
      <c r="H4089">
        <v>0.12539548787468099</v>
      </c>
      <c r="I4089">
        <v>2.4850768891011201E-2</v>
      </c>
      <c r="J4089">
        <v>6.4598263877608794E-2</v>
      </c>
      <c r="K4089">
        <v>4.7460818190263897E-2</v>
      </c>
      <c r="L4089">
        <v>621.38332727357397</v>
      </c>
      <c r="M4089">
        <v>13.1847076657778</v>
      </c>
      <c r="N4089">
        <v>47.303493528985399</v>
      </c>
      <c r="O4089">
        <v>46.0844683427867</v>
      </c>
      <c r="P4089">
        <v>-6.9839518225652E-2</v>
      </c>
      <c r="Q4089">
        <v>2.3723555662254901E-2</v>
      </c>
      <c r="R4089">
        <v>0.99637922224024</v>
      </c>
      <c r="S4089" t="s">
        <v>10657</v>
      </c>
      <c r="T4089" t="s">
        <v>13134</v>
      </c>
      <c r="U4089" t="s">
        <v>13134</v>
      </c>
      <c r="V4089" t="s">
        <v>13134</v>
      </c>
      <c r="W4089" t="s">
        <v>17163</v>
      </c>
      <c r="X4089">
        <v>4</v>
      </c>
      <c r="Y4089" t="s">
        <v>23546</v>
      </c>
      <c r="Z4089" t="s">
        <v>30057</v>
      </c>
      <c r="AA4089">
        <v>0.38072049863103841</v>
      </c>
      <c r="AB4089" t="str">
        <f>HYPERLINK("Melting_Curves/meltCurve_Q6P2C8_2_MED27.pdf", "Melting_Curves/meltCurve_Q6P2C8_2_MED27.pdf")</f>
        <v>Melting_Curves/meltCurve_Q6P2C8_2_MED27.pdf</v>
      </c>
    </row>
    <row r="4090" spans="1:28" x14ac:dyDescent="0.25">
      <c r="A4090" t="s">
        <v>4094</v>
      </c>
      <c r="B4090">
        <v>0.99472303558308395</v>
      </c>
      <c r="C4090">
        <v>0.97685480031035499</v>
      </c>
      <c r="D4090">
        <v>0.79743254835021604</v>
      </c>
      <c r="E4090">
        <v>0.59621305911519895</v>
      </c>
      <c r="F4090">
        <v>0.25231118125113899</v>
      </c>
      <c r="G4090">
        <v>0.138968775407041</v>
      </c>
      <c r="H4090">
        <v>7.1620847765368895E-2</v>
      </c>
      <c r="I4090">
        <v>3.2950447466718498E-2</v>
      </c>
      <c r="J4090">
        <v>3.14030472676885E-2</v>
      </c>
      <c r="K4090">
        <v>3.0402286052760099E-2</v>
      </c>
      <c r="L4090">
        <v>784.60312894254196</v>
      </c>
      <c r="M4090">
        <v>16.6341595003863</v>
      </c>
      <c r="N4090">
        <v>47.275892043449403</v>
      </c>
      <c r="O4090">
        <v>46.502294484408601</v>
      </c>
      <c r="P4090">
        <v>-8.7770017160561001E-2</v>
      </c>
      <c r="Q4090">
        <v>1.8590076168468798E-2</v>
      </c>
      <c r="R4090">
        <v>0.99697729076066699</v>
      </c>
      <c r="S4090" t="s">
        <v>10658</v>
      </c>
      <c r="T4090" t="s">
        <v>13134</v>
      </c>
      <c r="U4090" t="s">
        <v>13134</v>
      </c>
      <c r="V4090" t="s">
        <v>13134</v>
      </c>
      <c r="W4090" t="s">
        <v>17164</v>
      </c>
      <c r="X4090">
        <v>31</v>
      </c>
      <c r="Y4090" t="s">
        <v>23547</v>
      </c>
      <c r="Z4090" t="s">
        <v>30058</v>
      </c>
      <c r="AA4090">
        <v>0.3694788866835903</v>
      </c>
      <c r="AB4090" t="str">
        <f>HYPERLINK("Melting_Curves/meltCurve_Q6P2E9_EDC4.pdf", "Melting_Curves/meltCurve_Q6P2E9_EDC4.pdf")</f>
        <v>Melting_Curves/meltCurve_Q6P2E9_EDC4.pdf</v>
      </c>
    </row>
    <row r="4091" spans="1:28" x14ac:dyDescent="0.25">
      <c r="A4091" t="s">
        <v>4095</v>
      </c>
      <c r="B4091">
        <v>0.99472303558308395</v>
      </c>
      <c r="C4091">
        <v>0.87812614880786899</v>
      </c>
      <c r="D4091">
        <v>0.72437324960875304</v>
      </c>
      <c r="E4091">
        <v>0.33727915485663501</v>
      </c>
      <c r="F4091">
        <v>0.14611573642446801</v>
      </c>
      <c r="G4091">
        <v>9.6227232524328396E-2</v>
      </c>
      <c r="H4091">
        <v>5.6703689447539202E-2</v>
      </c>
      <c r="I4091">
        <v>5.4071472464684002E-2</v>
      </c>
      <c r="J4091">
        <v>6.6195961579837495E-2</v>
      </c>
      <c r="K4091">
        <v>5.6200495050424501E-2</v>
      </c>
      <c r="L4091">
        <v>871.11682305182001</v>
      </c>
      <c r="M4091">
        <v>19.4927553284952</v>
      </c>
      <c r="N4091">
        <v>44.948602918969399</v>
      </c>
      <c r="O4091">
        <v>44.2268975248857</v>
      </c>
      <c r="P4091">
        <v>-0.10432935305044801</v>
      </c>
      <c r="Q4091">
        <v>5.31872279742985E-2</v>
      </c>
      <c r="R4091">
        <v>0.99791579241355</v>
      </c>
      <c r="S4091" t="s">
        <v>10659</v>
      </c>
      <c r="T4091" t="s">
        <v>13134</v>
      </c>
      <c r="U4091" t="s">
        <v>13134</v>
      </c>
      <c r="V4091" t="s">
        <v>13134</v>
      </c>
      <c r="W4091" t="s">
        <v>17165</v>
      </c>
      <c r="X4091">
        <v>17</v>
      </c>
      <c r="Y4091" t="s">
        <v>23548</v>
      </c>
      <c r="Z4091" t="s">
        <v>30059</v>
      </c>
      <c r="AA4091">
        <v>0.30905621853677268</v>
      </c>
      <c r="AB4091" t="str">
        <f>HYPERLINK("Melting_Curves/meltCurve_Q6P2H3_2_CEP85.pdf", "Melting_Curves/meltCurve_Q6P2H3_2_CEP85.pdf")</f>
        <v>Melting_Curves/meltCurve_Q6P2H3_2_CEP85.pdf</v>
      </c>
    </row>
    <row r="4092" spans="1:28" x14ac:dyDescent="0.25">
      <c r="A4092" t="s">
        <v>4096</v>
      </c>
      <c r="B4092">
        <v>0.99472303558308395</v>
      </c>
      <c r="C4092">
        <v>0.978570584358184</v>
      </c>
      <c r="D4092">
        <v>0.913391299348009</v>
      </c>
      <c r="E4092">
        <v>0.80594557165895098</v>
      </c>
      <c r="F4092">
        <v>0.45209356491372099</v>
      </c>
      <c r="G4092">
        <v>0.12585972341698101</v>
      </c>
      <c r="H4092">
        <v>7.7274063099810594E-2</v>
      </c>
      <c r="I4092">
        <v>4.0530366262633399E-2</v>
      </c>
      <c r="J4092">
        <v>7.5260796292201698E-2</v>
      </c>
      <c r="K4092">
        <v>4.7162618482584802E-2</v>
      </c>
      <c r="L4092">
        <v>1138.2150327700899</v>
      </c>
      <c r="M4092">
        <v>23.066185941361098</v>
      </c>
      <c r="N4092">
        <v>49.530089214816201</v>
      </c>
      <c r="O4092">
        <v>48.9792075027595</v>
      </c>
      <c r="P4092">
        <v>-0.112890435970165</v>
      </c>
      <c r="Q4092">
        <v>4.1162367083546002E-2</v>
      </c>
      <c r="R4092">
        <v>0.99596678919338499</v>
      </c>
      <c r="S4092" t="s">
        <v>10660</v>
      </c>
      <c r="T4092" t="s">
        <v>13134</v>
      </c>
      <c r="U4092" t="s">
        <v>13134</v>
      </c>
      <c r="V4092" t="s">
        <v>13134</v>
      </c>
      <c r="W4092" t="s">
        <v>17166</v>
      </c>
      <c r="X4092">
        <v>9</v>
      </c>
      <c r="Y4092" t="s">
        <v>23549</v>
      </c>
      <c r="Z4092" t="s">
        <v>30060</v>
      </c>
      <c r="AA4092">
        <v>0.44545138577505911</v>
      </c>
      <c r="AB4092" t="str">
        <f>HYPERLINK("Melting_Curves/meltCurve_Q6P2P2_PRMT10.pdf", "Melting_Curves/meltCurve_Q6P2P2_PRMT10.pdf")</f>
        <v>Melting_Curves/meltCurve_Q6P2P2_PRMT10.pdf</v>
      </c>
    </row>
    <row r="4093" spans="1:28" x14ac:dyDescent="0.25">
      <c r="A4093" t="s">
        <v>4097</v>
      </c>
      <c r="B4093">
        <v>0.99472303558308395</v>
      </c>
      <c r="C4093">
        <v>0.86030833904591897</v>
      </c>
      <c r="D4093">
        <v>0.67141295746017404</v>
      </c>
      <c r="E4093">
        <v>0.52505450359400896</v>
      </c>
      <c r="F4093">
        <v>0.37291983439924598</v>
      </c>
      <c r="G4093">
        <v>0.106941129924431</v>
      </c>
      <c r="H4093">
        <v>7.5294467333525003E-2</v>
      </c>
      <c r="I4093">
        <v>5.8919311017636401E-2</v>
      </c>
      <c r="J4093">
        <v>7.0066710359267703E-2</v>
      </c>
      <c r="K4093">
        <v>6.8416429382467295E-2</v>
      </c>
      <c r="L4093">
        <v>539.49107684304101</v>
      </c>
      <c r="M4093">
        <v>11.6113638326818</v>
      </c>
      <c r="N4093">
        <v>46.547842506102903</v>
      </c>
      <c r="O4093">
        <v>45.148351106071502</v>
      </c>
      <c r="P4093">
        <v>-6.3634554531404305E-2</v>
      </c>
      <c r="Q4093">
        <v>1.05519852316046E-2</v>
      </c>
      <c r="R4093">
        <v>0.98492158622627601</v>
      </c>
      <c r="S4093" t="s">
        <v>10661</v>
      </c>
      <c r="T4093" t="s">
        <v>13134</v>
      </c>
      <c r="U4093" t="s">
        <v>13134</v>
      </c>
      <c r="V4093" t="s">
        <v>13134</v>
      </c>
      <c r="W4093" t="s">
        <v>17167</v>
      </c>
      <c r="X4093">
        <v>35</v>
      </c>
      <c r="Y4093" t="s">
        <v>23550</v>
      </c>
      <c r="Z4093" t="s">
        <v>30061</v>
      </c>
      <c r="AA4093">
        <v>0.3578460886297179</v>
      </c>
      <c r="AB4093" t="str">
        <f>HYPERLINK("Melting_Curves/meltCurve_Q6P2Q9_PRPF8.pdf", "Melting_Curves/meltCurve_Q6P2Q9_PRPF8.pdf")</f>
        <v>Melting_Curves/meltCurve_Q6P2Q9_PRPF8.pdf</v>
      </c>
    </row>
    <row r="4094" spans="1:28" x14ac:dyDescent="0.25">
      <c r="A4094" t="s">
        <v>4098</v>
      </c>
      <c r="B4094">
        <v>0.99472303558308395</v>
      </c>
      <c r="C4094">
        <v>1.22425495088838</v>
      </c>
      <c r="D4094">
        <v>1.0192024530543</v>
      </c>
      <c r="E4094">
        <v>1.3506610553445799</v>
      </c>
      <c r="F4094">
        <v>0.80704810789106196</v>
      </c>
      <c r="G4094">
        <v>0.389952791311719</v>
      </c>
      <c r="H4094">
        <v>0.14060600550309099</v>
      </c>
      <c r="I4094">
        <v>9.9400978372665399E-2</v>
      </c>
      <c r="J4094">
        <v>0.115255647328629</v>
      </c>
      <c r="K4094">
        <v>0.30742235954908198</v>
      </c>
      <c r="L4094">
        <v>2104.8785329321499</v>
      </c>
      <c r="M4094">
        <v>40.332543366694097</v>
      </c>
      <c r="N4094">
        <v>52.711002672527897</v>
      </c>
      <c r="O4094">
        <v>52.0602954686738</v>
      </c>
      <c r="P4094">
        <v>-0.161748485894638</v>
      </c>
      <c r="Q4094">
        <v>0.164877257870015</v>
      </c>
      <c r="R4094">
        <v>0.90083810685632604</v>
      </c>
      <c r="S4094" t="s">
        <v>10662</v>
      </c>
      <c r="T4094" t="s">
        <v>13134</v>
      </c>
      <c r="U4094" t="s">
        <v>13134</v>
      </c>
      <c r="V4094" t="s">
        <v>13134</v>
      </c>
      <c r="W4094" t="s">
        <v>17168</v>
      </c>
      <c r="X4094">
        <v>1</v>
      </c>
      <c r="Y4094" t="s">
        <v>23551</v>
      </c>
      <c r="Z4094" t="s">
        <v>30062</v>
      </c>
      <c r="AA4094">
        <v>0.59062969467681314</v>
      </c>
      <c r="AB4094" t="str">
        <f>HYPERLINK("Melting_Curves/meltCurve_Q6P3S1_5_DENND1B.pdf", "Melting_Curves/meltCurve_Q6P3S1_5_DENND1B.pdf")</f>
        <v>Melting_Curves/meltCurve_Q6P3S1_5_DENND1B.pdf</v>
      </c>
    </row>
    <row r="4095" spans="1:28" x14ac:dyDescent="0.25">
      <c r="A4095" t="s">
        <v>4099</v>
      </c>
      <c r="B4095">
        <v>0.99472303558308395</v>
      </c>
      <c r="C4095">
        <v>0.94665863671814499</v>
      </c>
      <c r="D4095">
        <v>0.91902980081275298</v>
      </c>
      <c r="E4095">
        <v>0.84438806189384896</v>
      </c>
      <c r="F4095">
        <v>0.77499413508191395</v>
      </c>
      <c r="G4095">
        <v>0.33558190577513503</v>
      </c>
      <c r="H4095">
        <v>7.2678948438286095E-2</v>
      </c>
      <c r="I4095">
        <v>6.42042534502648E-2</v>
      </c>
      <c r="J4095">
        <v>5.0290492670485402E-2</v>
      </c>
      <c r="K4095">
        <v>4.62858277776481E-2</v>
      </c>
      <c r="L4095">
        <v>1262.87787887223</v>
      </c>
      <c r="M4095">
        <v>24.225244663628601</v>
      </c>
      <c r="N4095">
        <v>52.248136782773798</v>
      </c>
      <c r="O4095">
        <v>51.7793083462117</v>
      </c>
      <c r="P4095">
        <v>-0.113865098356929</v>
      </c>
      <c r="Q4095">
        <v>2.65084493523901E-2</v>
      </c>
      <c r="R4095">
        <v>0.98480619449343698</v>
      </c>
      <c r="S4095" t="s">
        <v>10663</v>
      </c>
      <c r="T4095" t="s">
        <v>13134</v>
      </c>
      <c r="U4095" t="s">
        <v>13134</v>
      </c>
      <c r="V4095" t="s">
        <v>13134</v>
      </c>
      <c r="W4095" t="s">
        <v>17169</v>
      </c>
      <c r="X4095">
        <v>4</v>
      </c>
      <c r="Y4095" t="s">
        <v>23552</v>
      </c>
      <c r="Z4095" t="s">
        <v>30063</v>
      </c>
      <c r="AA4095">
        <v>0.52661470281783118</v>
      </c>
      <c r="AB4095" t="str">
        <f>HYPERLINK("Melting_Curves/meltCurve_Q6P3S6_FBXO42.pdf", "Melting_Curves/meltCurve_Q6P3S6_FBXO42.pdf")</f>
        <v>Melting_Curves/meltCurve_Q6P3S6_FBXO42.pdf</v>
      </c>
    </row>
    <row r="4096" spans="1:28" x14ac:dyDescent="0.25">
      <c r="A4096" t="s">
        <v>4100</v>
      </c>
      <c r="B4096">
        <v>0.99472303558308395</v>
      </c>
      <c r="C4096">
        <v>0.98059249693700501</v>
      </c>
      <c r="D4096">
        <v>0.89984518654524803</v>
      </c>
      <c r="E4096">
        <v>0.80295886823811302</v>
      </c>
      <c r="F4096">
        <v>0.66210307375760102</v>
      </c>
      <c r="G4096">
        <v>0.25049055652500402</v>
      </c>
      <c r="H4096">
        <v>8.7878353730588998E-2</v>
      </c>
      <c r="I4096">
        <v>6.5021826355538007E-2</v>
      </c>
      <c r="J4096">
        <v>6.6217727799274095E-2</v>
      </c>
      <c r="K4096">
        <v>7.55749132324086E-2</v>
      </c>
      <c r="L4096">
        <v>971.69234468616196</v>
      </c>
      <c r="M4096">
        <v>19.087438140489599</v>
      </c>
      <c r="N4096">
        <v>51.085238164114301</v>
      </c>
      <c r="O4096">
        <v>50.358520377350601</v>
      </c>
      <c r="P4096">
        <v>-9.1715895573455303E-2</v>
      </c>
      <c r="Q4096">
        <v>3.2139022636495103E-2</v>
      </c>
      <c r="R4096">
        <v>0.987112549465334</v>
      </c>
      <c r="S4096" t="s">
        <v>10664</v>
      </c>
      <c r="T4096" t="s">
        <v>13134</v>
      </c>
      <c r="U4096" t="s">
        <v>13134</v>
      </c>
      <c r="V4096" t="s">
        <v>13134</v>
      </c>
      <c r="W4096" t="s">
        <v>17170</v>
      </c>
      <c r="X4096">
        <v>14</v>
      </c>
      <c r="Y4096" t="s">
        <v>23553</v>
      </c>
      <c r="Z4096" t="s">
        <v>30064</v>
      </c>
      <c r="AA4096">
        <v>0.49451879750396849</v>
      </c>
      <c r="AB4096" t="str">
        <f>HYPERLINK("Melting_Curves/meltCurve_Q6P3W7_SCYL2.pdf", "Melting_Curves/meltCurve_Q6P3W7_SCYL2.pdf")</f>
        <v>Melting_Curves/meltCurve_Q6P3W7_SCYL2.pdf</v>
      </c>
    </row>
    <row r="4097" spans="1:28" x14ac:dyDescent="0.25">
      <c r="A4097" t="s">
        <v>4101</v>
      </c>
      <c r="B4097">
        <v>0.99472303558308395</v>
      </c>
      <c r="C4097">
        <v>0.91796763725047403</v>
      </c>
      <c r="D4097">
        <v>0.76733263249669903</v>
      </c>
      <c r="E4097">
        <v>0.345451656956686</v>
      </c>
      <c r="F4097">
        <v>0.121946678112634</v>
      </c>
      <c r="G4097">
        <v>6.5909937148299305E-2</v>
      </c>
      <c r="H4097">
        <v>3.8876146168146199E-2</v>
      </c>
      <c r="I4097">
        <v>2.9726515233668E-2</v>
      </c>
      <c r="J4097">
        <v>3.21859105600193E-2</v>
      </c>
      <c r="K4097">
        <v>2.77045499078383E-2</v>
      </c>
      <c r="L4097">
        <v>981.76473242695101</v>
      </c>
      <c r="M4097">
        <v>21.764589755404899</v>
      </c>
      <c r="N4097">
        <v>45.233698983214097</v>
      </c>
      <c r="O4097">
        <v>44.7327203941242</v>
      </c>
      <c r="P4097">
        <v>-0.118080226680028</v>
      </c>
      <c r="Q4097">
        <v>2.9262331027354999E-2</v>
      </c>
      <c r="R4097">
        <v>0.99915919261363095</v>
      </c>
      <c r="S4097" t="s">
        <v>10665</v>
      </c>
      <c r="T4097" t="s">
        <v>13134</v>
      </c>
      <c r="U4097" t="s">
        <v>13134</v>
      </c>
      <c r="V4097" t="s">
        <v>13134</v>
      </c>
      <c r="W4097" t="s">
        <v>17171</v>
      </c>
      <c r="X4097">
        <v>20</v>
      </c>
      <c r="Y4097" t="s">
        <v>23554</v>
      </c>
      <c r="Z4097" t="s">
        <v>30065</v>
      </c>
      <c r="AA4097">
        <v>0.30230022354426223</v>
      </c>
      <c r="AB4097" t="str">
        <f>HYPERLINK("Melting_Curves/meltCurve_Q6P3X3_TTC27.pdf", "Melting_Curves/meltCurve_Q6P3X3_TTC27.pdf")</f>
        <v>Melting_Curves/meltCurve_Q6P3X3_TTC27.pdf</v>
      </c>
    </row>
    <row r="4098" spans="1:28" x14ac:dyDescent="0.25">
      <c r="A4098" t="s">
        <v>4102</v>
      </c>
      <c r="B4098">
        <v>0.99472303558308395</v>
      </c>
      <c r="C4098">
        <v>0.99314609604096604</v>
      </c>
      <c r="D4098">
        <v>0.67255317500343004</v>
      </c>
      <c r="E4098">
        <v>0.49759648643968502</v>
      </c>
      <c r="F4098">
        <v>0.28156069036551401</v>
      </c>
      <c r="G4098">
        <v>0.108114153613006</v>
      </c>
      <c r="H4098">
        <v>5.41696791571789E-2</v>
      </c>
      <c r="I4098">
        <v>4.4999785937194101E-2</v>
      </c>
      <c r="J4098">
        <v>1.85960582177962E-2</v>
      </c>
      <c r="K4098">
        <v>4.83776513009056E-2</v>
      </c>
      <c r="L4098">
        <v>673.93271916353399</v>
      </c>
      <c r="M4098">
        <v>14.5828025030843</v>
      </c>
      <c r="N4098">
        <v>46.314701966498703</v>
      </c>
      <c r="O4098">
        <v>45.371245190334598</v>
      </c>
      <c r="P4098">
        <v>-7.9110280938986394E-2</v>
      </c>
      <c r="Q4098">
        <v>1.55727135401531E-2</v>
      </c>
      <c r="R4098">
        <v>0.98843397878295602</v>
      </c>
      <c r="S4098" t="s">
        <v>10666</v>
      </c>
      <c r="T4098" t="s">
        <v>13134</v>
      </c>
      <c r="U4098" t="s">
        <v>13134</v>
      </c>
      <c r="V4098" t="s">
        <v>13134</v>
      </c>
      <c r="W4098" t="s">
        <v>17172</v>
      </c>
      <c r="X4098">
        <v>4</v>
      </c>
      <c r="Y4098" t="s">
        <v>23555</v>
      </c>
      <c r="Z4098" t="s">
        <v>30066</v>
      </c>
      <c r="AA4098">
        <v>0.34172484462681718</v>
      </c>
      <c r="AB4098" t="str">
        <f>HYPERLINK("Melting_Curves/meltCurve_Q6P444_MTFR2.pdf", "Melting_Curves/meltCurve_Q6P444_MTFR2.pdf")</f>
        <v>Melting_Curves/meltCurve_Q6P444_MTFR2.pdf</v>
      </c>
    </row>
    <row r="4099" spans="1:28" x14ac:dyDescent="0.25">
      <c r="A4099" t="s">
        <v>4103</v>
      </c>
      <c r="B4099">
        <v>0.99472303558308395</v>
      </c>
      <c r="C4099">
        <v>1.0121112333600599</v>
      </c>
      <c r="D4099">
        <v>0.85604601436626304</v>
      </c>
      <c r="E4099">
        <v>0.73328556329687999</v>
      </c>
      <c r="F4099">
        <v>0.61824762793328802</v>
      </c>
      <c r="G4099">
        <v>0.42842626136176798</v>
      </c>
      <c r="H4099">
        <v>0.308666551203363</v>
      </c>
      <c r="I4099">
        <v>0.305736496443338</v>
      </c>
      <c r="J4099">
        <v>0.36535737531722301</v>
      </c>
      <c r="K4099">
        <v>0.36100212108631602</v>
      </c>
      <c r="L4099">
        <v>704.36799919575503</v>
      </c>
      <c r="M4099">
        <v>14.584736832388501</v>
      </c>
      <c r="N4099">
        <v>51.739511947241198</v>
      </c>
      <c r="O4099">
        <v>47.414182838793302</v>
      </c>
      <c r="P4099">
        <v>-5.3017575824574503E-2</v>
      </c>
      <c r="Q4099">
        <v>0.31064877327978002</v>
      </c>
      <c r="R4099">
        <v>0.97851248263669599</v>
      </c>
      <c r="S4099" t="s">
        <v>10667</v>
      </c>
      <c r="T4099" t="s">
        <v>13134</v>
      </c>
      <c r="U4099" t="s">
        <v>13134</v>
      </c>
      <c r="V4099" t="s">
        <v>13134</v>
      </c>
      <c r="W4099" t="s">
        <v>17173</v>
      </c>
      <c r="X4099">
        <v>1</v>
      </c>
      <c r="Y4099" t="s">
        <v>23556</v>
      </c>
      <c r="Z4099" t="s">
        <v>30067</v>
      </c>
      <c r="AA4099">
        <v>0.58597860120330536</v>
      </c>
      <c r="AB4099" t="str">
        <f>HYPERLINK("Melting_Curves/meltCurve_Q6P499_2_NIPAL3.pdf", "Melting_Curves/meltCurve_Q6P499_2_NIPAL3.pdf")</f>
        <v>Melting_Curves/meltCurve_Q6P499_2_NIPAL3.pdf</v>
      </c>
    </row>
    <row r="4100" spans="1:28" x14ac:dyDescent="0.25">
      <c r="A4100" t="s">
        <v>4104</v>
      </c>
      <c r="B4100">
        <v>0.99472303558308395</v>
      </c>
      <c r="C4100">
        <v>0.83718434943435704</v>
      </c>
      <c r="D4100">
        <v>0.90590926056712895</v>
      </c>
      <c r="E4100">
        <v>0.704674311540054</v>
      </c>
      <c r="F4100">
        <v>0.45888985021508399</v>
      </c>
      <c r="G4100">
        <v>0.39021382030074298</v>
      </c>
      <c r="H4100">
        <v>0.318398022813216</v>
      </c>
      <c r="I4100">
        <v>0.225487541185175</v>
      </c>
      <c r="J4100">
        <v>0.12785342401164199</v>
      </c>
      <c r="K4100">
        <v>8.4714385586345101E-2</v>
      </c>
      <c r="L4100">
        <v>439.29333266155601</v>
      </c>
      <c r="M4100">
        <v>8.6245045440190804</v>
      </c>
      <c r="N4100">
        <v>50.935485894742797</v>
      </c>
      <c r="O4100">
        <v>48.419022522279398</v>
      </c>
      <c r="P4100">
        <v>-4.45685456248315E-2</v>
      </c>
      <c r="Q4100">
        <v>0</v>
      </c>
      <c r="R4100">
        <v>0.97767042734311704</v>
      </c>
      <c r="S4100" t="s">
        <v>10668</v>
      </c>
      <c r="T4100" t="s">
        <v>13134</v>
      </c>
      <c r="U4100" t="s">
        <v>13134</v>
      </c>
      <c r="V4100" t="s">
        <v>13134</v>
      </c>
      <c r="W4100" t="s">
        <v>17174</v>
      </c>
      <c r="X4100">
        <v>5</v>
      </c>
      <c r="Y4100" t="s">
        <v>23557</v>
      </c>
      <c r="Z4100" t="s">
        <v>30068</v>
      </c>
      <c r="AA4100">
        <v>0.49837495254530212</v>
      </c>
      <c r="AB4100" t="str">
        <f>HYPERLINK("Melting_Curves/meltCurve_Q6P4A7_SFXN4.pdf", "Melting_Curves/meltCurve_Q6P4A7_SFXN4.pdf")</f>
        <v>Melting_Curves/meltCurve_Q6P4A7_SFXN4.pdf</v>
      </c>
    </row>
    <row r="4101" spans="1:28" x14ac:dyDescent="0.25">
      <c r="A4101" t="s">
        <v>4105</v>
      </c>
      <c r="B4101">
        <v>0.99472303558308395</v>
      </c>
      <c r="C4101">
        <v>1.00990906865199</v>
      </c>
      <c r="D4101">
        <v>0.915922871646772</v>
      </c>
      <c r="E4101">
        <v>0.80538162532086599</v>
      </c>
      <c r="F4101">
        <v>0.64696134647895998</v>
      </c>
      <c r="G4101">
        <v>0.461751343694776</v>
      </c>
      <c r="H4101">
        <v>0.346505692267495</v>
      </c>
      <c r="I4101">
        <v>0.32029293863010899</v>
      </c>
      <c r="J4101">
        <v>0.38809332622911302</v>
      </c>
      <c r="K4101">
        <v>0.288705706345876</v>
      </c>
      <c r="L4101">
        <v>764.54651125166799</v>
      </c>
      <c r="M4101">
        <v>15.3951918693067</v>
      </c>
      <c r="N4101">
        <v>52.825146437809401</v>
      </c>
      <c r="O4101">
        <v>48.8460957688674</v>
      </c>
      <c r="P4101">
        <v>-5.5070795215367098E-2</v>
      </c>
      <c r="Q4101">
        <v>0.301146002145805</v>
      </c>
      <c r="R4101">
        <v>0.98908919745287505</v>
      </c>
      <c r="S4101" t="s">
        <v>10669</v>
      </c>
      <c r="T4101" t="s">
        <v>13134</v>
      </c>
      <c r="U4101" t="s">
        <v>13134</v>
      </c>
      <c r="V4101" t="s">
        <v>13134</v>
      </c>
      <c r="W4101" t="s">
        <v>17175</v>
      </c>
      <c r="X4101">
        <v>5</v>
      </c>
      <c r="Y4101" t="s">
        <v>23558</v>
      </c>
      <c r="Z4101" t="s">
        <v>30069</v>
      </c>
      <c r="AA4101">
        <v>0.61029116993271626</v>
      </c>
      <c r="AB4101" t="str">
        <f>HYPERLINK("Melting_Curves/meltCurve_Q6P4A8_PLBD1.pdf", "Melting_Curves/meltCurve_Q6P4A8_PLBD1.pdf")</f>
        <v>Melting_Curves/meltCurve_Q6P4A8_PLBD1.pdf</v>
      </c>
    </row>
    <row r="4102" spans="1:28" x14ac:dyDescent="0.25">
      <c r="A4102" t="s">
        <v>4106</v>
      </c>
      <c r="B4102">
        <v>0.99472303558308395</v>
      </c>
      <c r="C4102">
        <v>1.0043834834233201</v>
      </c>
      <c r="D4102">
        <v>0.87502419094018502</v>
      </c>
      <c r="E4102">
        <v>0.758260837492161</v>
      </c>
      <c r="F4102">
        <v>0.59620629127945801</v>
      </c>
      <c r="G4102">
        <v>0.41400412491033101</v>
      </c>
      <c r="H4102">
        <v>0.24243097640267899</v>
      </c>
      <c r="I4102">
        <v>0.31322383354690397</v>
      </c>
      <c r="J4102">
        <v>0.367984224166092</v>
      </c>
      <c r="K4102">
        <v>0.46721970483950398</v>
      </c>
      <c r="L4102">
        <v>875.88267262064403</v>
      </c>
      <c r="M4102">
        <v>18.2595711723806</v>
      </c>
      <c r="N4102">
        <v>51.193520470099202</v>
      </c>
      <c r="O4102">
        <v>47.404177673968903</v>
      </c>
      <c r="P4102">
        <v>-6.3392304768327995E-2</v>
      </c>
      <c r="Q4102">
        <v>0.341732641171621</v>
      </c>
      <c r="R4102">
        <v>0.94556085105850096</v>
      </c>
      <c r="S4102" t="s">
        <v>10670</v>
      </c>
      <c r="T4102" t="s">
        <v>13134</v>
      </c>
      <c r="U4102" t="s">
        <v>13134</v>
      </c>
      <c r="V4102" t="s">
        <v>13134</v>
      </c>
      <c r="W4102" t="s">
        <v>17176</v>
      </c>
      <c r="X4102">
        <v>6</v>
      </c>
      <c r="Y4102" t="s">
        <v>23559</v>
      </c>
      <c r="Z4102" t="s">
        <v>30070</v>
      </c>
      <c r="AA4102">
        <v>0.59265454361753578</v>
      </c>
      <c r="AB4102" t="str">
        <f>HYPERLINK("Melting_Curves/meltCurve_Q6P4E1_CASC4.pdf", "Melting_Curves/meltCurve_Q6P4E1_CASC4.pdf")</f>
        <v>Melting_Curves/meltCurve_Q6P4E1_CASC4.pdf</v>
      </c>
    </row>
    <row r="4103" spans="1:28" x14ac:dyDescent="0.25">
      <c r="A4103" t="s">
        <v>4107</v>
      </c>
      <c r="B4103">
        <v>0.99472303558308395</v>
      </c>
      <c r="C4103">
        <v>0.94272241933432799</v>
      </c>
      <c r="D4103">
        <v>0.95938584022345297</v>
      </c>
      <c r="E4103">
        <v>0.63953048596519702</v>
      </c>
      <c r="F4103">
        <v>0.54580818118738506</v>
      </c>
      <c r="G4103">
        <v>0.369110210203838</v>
      </c>
      <c r="H4103">
        <v>0.298135341609025</v>
      </c>
      <c r="I4103">
        <v>0.24758509261657899</v>
      </c>
      <c r="J4103">
        <v>0.34593635617438201</v>
      </c>
      <c r="K4103">
        <v>0.36642945488638801</v>
      </c>
      <c r="L4103">
        <v>866.19573838026395</v>
      </c>
      <c r="M4103">
        <v>18.3269547772768</v>
      </c>
      <c r="N4103">
        <v>49.876422251902703</v>
      </c>
      <c r="O4103">
        <v>46.711541511109502</v>
      </c>
      <c r="P4103">
        <v>-6.7822048103975796E-2</v>
      </c>
      <c r="Q4103">
        <v>0.30857541595774102</v>
      </c>
      <c r="R4103">
        <v>0.97180164990933104</v>
      </c>
      <c r="S4103" t="s">
        <v>10671</v>
      </c>
      <c r="T4103" t="s">
        <v>13134</v>
      </c>
      <c r="U4103" t="s">
        <v>13134</v>
      </c>
      <c r="V4103" t="s">
        <v>13134</v>
      </c>
      <c r="W4103" t="s">
        <v>17177</v>
      </c>
      <c r="X4103">
        <v>2</v>
      </c>
      <c r="Y4103" t="s">
        <v>23560</v>
      </c>
      <c r="Z4103" t="s">
        <v>30071</v>
      </c>
      <c r="AA4103">
        <v>0.55583743857154155</v>
      </c>
      <c r="AB4103" t="str">
        <f>HYPERLINK("Melting_Curves/meltCurve_Q6P4F2_FDX1L.pdf", "Melting_Curves/meltCurve_Q6P4F2_FDX1L.pdf")</f>
        <v>Melting_Curves/meltCurve_Q6P4F2_FDX1L.pdf</v>
      </c>
    </row>
    <row r="4104" spans="1:28" x14ac:dyDescent="0.25">
      <c r="A4104" t="s">
        <v>4108</v>
      </c>
      <c r="B4104">
        <v>0.99472303558308395</v>
      </c>
      <c r="C4104">
        <v>0.98818855566346597</v>
      </c>
      <c r="D4104">
        <v>0.99415831390367004</v>
      </c>
      <c r="E4104">
        <v>0.94757723672752903</v>
      </c>
      <c r="F4104">
        <v>0.74751883415467901</v>
      </c>
      <c r="G4104">
        <v>0.60235355909938304</v>
      </c>
      <c r="H4104">
        <v>0.43677997189134898</v>
      </c>
      <c r="I4104">
        <v>0.321294349302779</v>
      </c>
      <c r="J4104">
        <v>0.156011605355552</v>
      </c>
      <c r="K4104">
        <v>0.13893257357726799</v>
      </c>
      <c r="L4104">
        <v>633.94215735255</v>
      </c>
      <c r="M4104">
        <v>11.3267895717574</v>
      </c>
      <c r="N4104">
        <v>55.968388365311597</v>
      </c>
      <c r="O4104">
        <v>54.309007917524902</v>
      </c>
      <c r="P4104">
        <v>-5.2156208502631203E-2</v>
      </c>
      <c r="Q4104">
        <v>0</v>
      </c>
      <c r="R4104">
        <v>0.99384021955044999</v>
      </c>
      <c r="S4104" t="s">
        <v>10672</v>
      </c>
      <c r="T4104" t="s">
        <v>13134</v>
      </c>
      <c r="U4104" t="s">
        <v>13134</v>
      </c>
      <c r="V4104" t="s">
        <v>13134</v>
      </c>
      <c r="W4104" t="s">
        <v>17178</v>
      </c>
      <c r="X4104">
        <v>9</v>
      </c>
      <c r="Y4104" t="s">
        <v>23561</v>
      </c>
      <c r="Z4104" t="s">
        <v>30072</v>
      </c>
      <c r="AA4104">
        <v>0.64130377432032237</v>
      </c>
      <c r="AB4104" t="str">
        <f>HYPERLINK("Melting_Curves/meltCurve_Q6P4I2_WDR73.pdf", "Melting_Curves/meltCurve_Q6P4I2_WDR73.pdf")</f>
        <v>Melting_Curves/meltCurve_Q6P4I2_WDR73.pdf</v>
      </c>
    </row>
    <row r="4105" spans="1:28" x14ac:dyDescent="0.25">
      <c r="A4105" t="s">
        <v>4109</v>
      </c>
      <c r="B4105">
        <v>0.99472303558308395</v>
      </c>
      <c r="C4105">
        <v>1.10646530488054</v>
      </c>
      <c r="D4105">
        <v>0.91783386541080603</v>
      </c>
      <c r="E4105">
        <v>1.04181427948255</v>
      </c>
      <c r="F4105">
        <v>0.86489486295553197</v>
      </c>
      <c r="G4105">
        <v>0.74646991606308999</v>
      </c>
      <c r="H4105">
        <v>0.619331751773186</v>
      </c>
      <c r="I4105">
        <v>0.78645292657648802</v>
      </c>
      <c r="J4105">
        <v>0.93155954911341798</v>
      </c>
      <c r="K4105">
        <v>0.67201558653467397</v>
      </c>
      <c r="L4105">
        <v>12541.353775265499</v>
      </c>
      <c r="M4105">
        <v>250</v>
      </c>
      <c r="O4105">
        <v>50.1621960017888</v>
      </c>
      <c r="P4105">
        <v>-0.31003678105112897</v>
      </c>
      <c r="Q4105">
        <v>0.75116594383026203</v>
      </c>
      <c r="R4105">
        <v>0.66577929132346403</v>
      </c>
      <c r="S4105" t="s">
        <v>10673</v>
      </c>
      <c r="T4105" t="s">
        <v>13134</v>
      </c>
      <c r="U4105" t="s">
        <v>13134</v>
      </c>
      <c r="V4105" t="s">
        <v>13134</v>
      </c>
      <c r="W4105" t="s">
        <v>17179</v>
      </c>
      <c r="X4105">
        <v>4</v>
      </c>
      <c r="Y4105" t="s">
        <v>23562</v>
      </c>
      <c r="Z4105" t="s">
        <v>30073</v>
      </c>
      <c r="AA4105">
        <v>0.86038797242033205</v>
      </c>
      <c r="AB4105" t="str">
        <f>HYPERLINK("Melting_Curves/meltCurve_Q6P582_MZT2A.pdf", "Melting_Curves/meltCurve_Q6P582_MZT2A.pdf")</f>
        <v>Melting_Curves/meltCurve_Q6P582_MZT2A.pdf</v>
      </c>
    </row>
    <row r="4106" spans="1:28" x14ac:dyDescent="0.25">
      <c r="A4106" t="s">
        <v>4110</v>
      </c>
      <c r="B4106">
        <v>0.99472303558308395</v>
      </c>
      <c r="C4106">
        <v>0.98569726796247503</v>
      </c>
      <c r="D4106">
        <v>0.97145198392521104</v>
      </c>
      <c r="E4106">
        <v>0.81319029994041603</v>
      </c>
      <c r="F4106">
        <v>0.59828692954221296</v>
      </c>
      <c r="G4106">
        <v>0.43729414990487298</v>
      </c>
      <c r="H4106">
        <v>0.36509950953790499</v>
      </c>
      <c r="I4106">
        <v>0.42119567582990303</v>
      </c>
      <c r="J4106">
        <v>0.547553590678452</v>
      </c>
      <c r="K4106">
        <v>0.39010255260180499</v>
      </c>
      <c r="L4106">
        <v>1222.7300074324201</v>
      </c>
      <c r="M4106">
        <v>25.423844996084799</v>
      </c>
      <c r="N4106">
        <v>52.0000578972071</v>
      </c>
      <c r="O4106">
        <v>47.799237862717597</v>
      </c>
      <c r="P4106">
        <v>-7.6333884786694103E-2</v>
      </c>
      <c r="Q4106">
        <v>0.42594747553360002</v>
      </c>
      <c r="R4106">
        <v>0.96400597967010804</v>
      </c>
      <c r="S4106" t="s">
        <v>10674</v>
      </c>
      <c r="T4106" t="s">
        <v>13134</v>
      </c>
      <c r="U4106" t="s">
        <v>13134</v>
      </c>
      <c r="V4106" t="s">
        <v>13134</v>
      </c>
      <c r="W4106" t="s">
        <v>17180</v>
      </c>
      <c r="X4106">
        <v>5</v>
      </c>
      <c r="Y4106" t="s">
        <v>23563</v>
      </c>
      <c r="Z4106" t="s">
        <v>30074</v>
      </c>
      <c r="AA4106">
        <v>0.64296716724854308</v>
      </c>
      <c r="AB4106" t="str">
        <f>HYPERLINK("Melting_Curves/meltCurve_Q6P587_FAHD1.pdf", "Melting_Curves/meltCurve_Q6P587_FAHD1.pdf")</f>
        <v>Melting_Curves/meltCurve_Q6P587_FAHD1.pdf</v>
      </c>
    </row>
    <row r="4107" spans="1:28" x14ac:dyDescent="0.25">
      <c r="A4107" t="s">
        <v>4111</v>
      </c>
      <c r="B4107">
        <v>0.99472303558308395</v>
      </c>
      <c r="C4107">
        <v>0.86653893748907895</v>
      </c>
      <c r="D4107">
        <v>0.82006050820540699</v>
      </c>
      <c r="E4107">
        <v>0.46151864735494802</v>
      </c>
      <c r="F4107">
        <v>0.24769795208682699</v>
      </c>
      <c r="G4107">
        <v>0.121997259123047</v>
      </c>
      <c r="H4107">
        <v>7.7879904793535099E-2</v>
      </c>
      <c r="I4107">
        <v>6.4343328910418399E-2</v>
      </c>
      <c r="J4107">
        <v>6.9398951170001902E-2</v>
      </c>
      <c r="K4107">
        <v>6.0916184073791797E-2</v>
      </c>
      <c r="L4107">
        <v>767.71998914276105</v>
      </c>
      <c r="M4107">
        <v>16.677756246373999</v>
      </c>
      <c r="N4107">
        <v>46.332920342238403</v>
      </c>
      <c r="O4107">
        <v>45.386038702950302</v>
      </c>
      <c r="P4107">
        <v>-8.7165042845923996E-2</v>
      </c>
      <c r="Q4107">
        <v>5.1236615386836999E-2</v>
      </c>
      <c r="R4107">
        <v>0.99467967342327301</v>
      </c>
      <c r="S4107" t="s">
        <v>10675</v>
      </c>
      <c r="T4107" t="s">
        <v>13134</v>
      </c>
      <c r="U4107" t="s">
        <v>13134</v>
      </c>
      <c r="V4107" t="s">
        <v>13134</v>
      </c>
      <c r="W4107" t="s">
        <v>17181</v>
      </c>
      <c r="X4107">
        <v>3</v>
      </c>
      <c r="Y4107" t="s">
        <v>23564</v>
      </c>
      <c r="Z4107" t="s">
        <v>30075</v>
      </c>
      <c r="AA4107">
        <v>0.35471923782370429</v>
      </c>
      <c r="AB4107" t="str">
        <f>HYPERLINK("Melting_Curves/meltCurve_Q6P5X5_C22orf39.pdf", "Melting_Curves/meltCurve_Q6P5X5_C22orf39.pdf")</f>
        <v>Melting_Curves/meltCurve_Q6P5X5_C22orf39.pdf</v>
      </c>
    </row>
    <row r="4108" spans="1:28" x14ac:dyDescent="0.25">
      <c r="A4108" t="s">
        <v>4112</v>
      </c>
      <c r="B4108">
        <v>0.99472303558308395</v>
      </c>
      <c r="C4108">
        <v>0.97512965431831</v>
      </c>
      <c r="D4108">
        <v>0.80163178871643104</v>
      </c>
      <c r="E4108">
        <v>0.57737910269380399</v>
      </c>
      <c r="F4108">
        <v>0.47229896977435498</v>
      </c>
      <c r="G4108">
        <v>0.26020021365948398</v>
      </c>
      <c r="H4108">
        <v>0.13822519733448699</v>
      </c>
      <c r="I4108">
        <v>6.2197328281397603E-2</v>
      </c>
      <c r="J4108">
        <v>5.3151439979436298E-2</v>
      </c>
      <c r="K4108">
        <v>5.4236644881870598E-2</v>
      </c>
      <c r="L4108">
        <v>561.011845632676</v>
      </c>
      <c r="M4108">
        <v>11.5119091169624</v>
      </c>
      <c r="N4108">
        <v>48.733171898736103</v>
      </c>
      <c r="O4108">
        <v>47.332218871211097</v>
      </c>
      <c r="P4108">
        <v>-6.0820998178052997E-2</v>
      </c>
      <c r="Q4108">
        <v>0</v>
      </c>
      <c r="R4108">
        <v>0.99235952710977704</v>
      </c>
      <c r="S4108" t="s">
        <v>10676</v>
      </c>
      <c r="T4108" t="s">
        <v>13134</v>
      </c>
      <c r="U4108" t="s">
        <v>13134</v>
      </c>
      <c r="V4108" t="s">
        <v>13134</v>
      </c>
      <c r="W4108" t="s">
        <v>17182</v>
      </c>
      <c r="X4108">
        <v>6</v>
      </c>
      <c r="Y4108" t="s">
        <v>23565</v>
      </c>
      <c r="Z4108" t="s">
        <v>30076</v>
      </c>
      <c r="AA4108">
        <v>0.42298332933479887</v>
      </c>
      <c r="AB4108" t="str">
        <f>HYPERLINK("Melting_Curves/meltCurve_Q6P5Z2_PKN3.pdf", "Melting_Curves/meltCurve_Q6P5Z2_PKN3.pdf")</f>
        <v>Melting_Curves/meltCurve_Q6P5Z2_PKN3.pdf</v>
      </c>
    </row>
    <row r="4109" spans="1:28" x14ac:dyDescent="0.25">
      <c r="A4109" t="s">
        <v>4113</v>
      </c>
      <c r="B4109">
        <v>0.99472303558308395</v>
      </c>
      <c r="C4109">
        <v>1.0567873484633701</v>
      </c>
      <c r="D4109">
        <v>0.84959515655027595</v>
      </c>
      <c r="E4109">
        <v>0.38022315803092199</v>
      </c>
      <c r="F4109">
        <v>0.15767671353624499</v>
      </c>
      <c r="G4109">
        <v>0.10058030457179901</v>
      </c>
      <c r="H4109">
        <v>9.2504876509526907E-2</v>
      </c>
      <c r="I4109">
        <v>6.3207564094492297E-2</v>
      </c>
      <c r="J4109">
        <v>0.102711453717468</v>
      </c>
      <c r="K4109">
        <v>5.7495554859598903E-2</v>
      </c>
      <c r="L4109">
        <v>1342.27332513805</v>
      </c>
      <c r="M4109">
        <v>29.516262485540501</v>
      </c>
      <c r="N4109">
        <v>45.760506520021003</v>
      </c>
      <c r="O4109">
        <v>45.268519063068297</v>
      </c>
      <c r="P4109">
        <v>-0.149330775761116</v>
      </c>
      <c r="Q4109">
        <v>8.3903665241080699E-2</v>
      </c>
      <c r="R4109">
        <v>0.99533750232992402</v>
      </c>
      <c r="S4109" t="s">
        <v>10677</v>
      </c>
      <c r="T4109" t="s">
        <v>13134</v>
      </c>
      <c r="U4109" t="s">
        <v>13134</v>
      </c>
      <c r="V4109" t="s">
        <v>13134</v>
      </c>
      <c r="W4109" t="s">
        <v>17183</v>
      </c>
      <c r="X4109">
        <v>1</v>
      </c>
      <c r="Y4109" t="s">
        <v>23566</v>
      </c>
      <c r="Z4109" t="s">
        <v>30077</v>
      </c>
      <c r="AA4109">
        <v>0.3480786702070498</v>
      </c>
      <c r="AB4109" t="str">
        <f>HYPERLINK("Melting_Curves/meltCurve_Q6P6B7_2_ANKRD16.pdf", "Melting_Curves/meltCurve_Q6P6B7_2_ANKRD16.pdf")</f>
        <v>Melting_Curves/meltCurve_Q6P6B7_2_ANKRD16.pdf</v>
      </c>
    </row>
    <row r="4110" spans="1:28" x14ac:dyDescent="0.25">
      <c r="A4110" t="s">
        <v>4114</v>
      </c>
      <c r="B4110">
        <v>0.99472303558308395</v>
      </c>
      <c r="C4110">
        <v>0.97255760708878403</v>
      </c>
      <c r="D4110">
        <v>0.91114906040811405</v>
      </c>
      <c r="E4110">
        <v>0.68098997661604799</v>
      </c>
      <c r="F4110">
        <v>0.470654712219989</v>
      </c>
      <c r="G4110">
        <v>0.37188729688015099</v>
      </c>
      <c r="H4110">
        <v>0.30480353133487598</v>
      </c>
      <c r="I4110">
        <v>0.30715345756228701</v>
      </c>
      <c r="J4110">
        <v>0.419896084205852</v>
      </c>
      <c r="K4110">
        <v>0.28746750698034401</v>
      </c>
      <c r="L4110">
        <v>963.77448393788495</v>
      </c>
      <c r="M4110">
        <v>20.558032551496598</v>
      </c>
      <c r="N4110">
        <v>49.408665410804502</v>
      </c>
      <c r="O4110">
        <v>46.443850000980802</v>
      </c>
      <c r="P4110">
        <v>-7.4658942327709601E-2</v>
      </c>
      <c r="Q4110">
        <v>0.32535421904440698</v>
      </c>
      <c r="R4110">
        <v>0.98424994999360504</v>
      </c>
      <c r="S4110" t="s">
        <v>10678</v>
      </c>
      <c r="T4110" t="s">
        <v>13134</v>
      </c>
      <c r="U4110" t="s">
        <v>13134</v>
      </c>
      <c r="V4110" t="s">
        <v>13134</v>
      </c>
      <c r="W4110" t="s">
        <v>17184</v>
      </c>
      <c r="X4110">
        <v>14</v>
      </c>
      <c r="Y4110" t="s">
        <v>23567</v>
      </c>
      <c r="Z4110" t="s">
        <v>30078</v>
      </c>
      <c r="AA4110">
        <v>0.55591587137772669</v>
      </c>
      <c r="AB4110" t="str">
        <f>HYPERLINK("Melting_Curves/meltCurve_Q6P6C2_3_ALKBH5.pdf", "Melting_Curves/meltCurve_Q6P6C2_3_ALKBH5.pdf")</f>
        <v>Melting_Curves/meltCurve_Q6P6C2_3_ALKBH5.pdf</v>
      </c>
    </row>
    <row r="4111" spans="1:28" x14ac:dyDescent="0.25">
      <c r="A4111" t="s">
        <v>4115</v>
      </c>
      <c r="B4111">
        <v>0.99472303558308395</v>
      </c>
      <c r="C4111">
        <v>1.05156417918517</v>
      </c>
      <c r="D4111">
        <v>0.85066600230260903</v>
      </c>
      <c r="E4111">
        <v>0.74763635476925605</v>
      </c>
      <c r="F4111">
        <v>0.48861465268412901</v>
      </c>
      <c r="G4111">
        <v>0.22485722903736299</v>
      </c>
      <c r="H4111">
        <v>0.170352627297466</v>
      </c>
      <c r="I4111">
        <v>9.2662352968982106E-2</v>
      </c>
      <c r="J4111">
        <v>0.13681536098970901</v>
      </c>
      <c r="K4111">
        <v>0.120211201142742</v>
      </c>
      <c r="L4111">
        <v>827.74204593511001</v>
      </c>
      <c r="M4111">
        <v>16.881777728228801</v>
      </c>
      <c r="N4111">
        <v>49.648281654592303</v>
      </c>
      <c r="O4111">
        <v>48.359188396192202</v>
      </c>
      <c r="P4111">
        <v>-7.9024580740143693E-2</v>
      </c>
      <c r="Q4111">
        <v>9.4568892293915005E-2</v>
      </c>
      <c r="R4111">
        <v>0.98939028643131699</v>
      </c>
      <c r="S4111" t="s">
        <v>10679</v>
      </c>
      <c r="T4111" t="s">
        <v>13134</v>
      </c>
      <c r="U4111" t="s">
        <v>13134</v>
      </c>
      <c r="V4111" t="s">
        <v>13134</v>
      </c>
      <c r="W4111" t="s">
        <v>17185</v>
      </c>
      <c r="X4111">
        <v>4</v>
      </c>
      <c r="Y4111" t="s">
        <v>23568</v>
      </c>
      <c r="Z4111" t="s">
        <v>30079</v>
      </c>
      <c r="AA4111">
        <v>0.47375953919013042</v>
      </c>
      <c r="AB4111" t="str">
        <f>HYPERLINK("Melting_Curves/meltCurve_Q6P9B6_KIAA1609.pdf", "Melting_Curves/meltCurve_Q6P9B6_KIAA1609.pdf")</f>
        <v>Melting_Curves/meltCurve_Q6P9B6_KIAA1609.pdf</v>
      </c>
    </row>
    <row r="4112" spans="1:28" x14ac:dyDescent="0.25">
      <c r="A4112" t="s">
        <v>4116</v>
      </c>
      <c r="B4112">
        <v>0.99472303558308395</v>
      </c>
      <c r="C4112">
        <v>0.994962987896159</v>
      </c>
      <c r="D4112">
        <v>0.62187581565058403</v>
      </c>
      <c r="E4112">
        <v>0.62159930914092798</v>
      </c>
      <c r="F4112">
        <v>0.71689513982173403</v>
      </c>
      <c r="G4112">
        <v>0.32419318238608902</v>
      </c>
      <c r="H4112">
        <v>8.60603995946259E-2</v>
      </c>
      <c r="I4112">
        <v>0</v>
      </c>
      <c r="J4112">
        <v>0</v>
      </c>
      <c r="K4112">
        <v>0</v>
      </c>
      <c r="L4112">
        <v>558.40500855992002</v>
      </c>
      <c r="M4112">
        <v>11.2565651174796</v>
      </c>
      <c r="N4112">
        <v>49.607068683831599</v>
      </c>
      <c r="O4112">
        <v>48.1187543381861</v>
      </c>
      <c r="P4112">
        <v>-5.8501306342573799E-2</v>
      </c>
      <c r="Q4112">
        <v>0</v>
      </c>
      <c r="R4112">
        <v>0.89878397014500599</v>
      </c>
      <c r="S4112" t="s">
        <v>10680</v>
      </c>
      <c r="T4112" t="s">
        <v>13134</v>
      </c>
      <c r="U4112" t="s">
        <v>13134</v>
      </c>
      <c r="V4112" t="s">
        <v>13134</v>
      </c>
      <c r="W4112" t="s">
        <v>17186</v>
      </c>
      <c r="X4112">
        <v>1</v>
      </c>
      <c r="Y4112" t="s">
        <v>23569</v>
      </c>
      <c r="Z4112" t="s">
        <v>30080</v>
      </c>
      <c r="AA4112">
        <v>0.45120522113568451</v>
      </c>
      <c r="AB4112" t="str">
        <f>HYPERLINK("Melting_Curves/meltCurve_Q6P9F7_LRRC8B.pdf", "Melting_Curves/meltCurve_Q6P9F7_LRRC8B.pdf")</f>
        <v>Melting_Curves/meltCurve_Q6P9F7_LRRC8B.pdf</v>
      </c>
    </row>
    <row r="4113" spans="1:28" x14ac:dyDescent="0.25">
      <c r="A4113" t="s">
        <v>4117</v>
      </c>
      <c r="B4113">
        <v>0.99472303558308395</v>
      </c>
      <c r="C4113">
        <v>0.88072388536430601</v>
      </c>
      <c r="D4113">
        <v>0.696231670647672</v>
      </c>
      <c r="E4113">
        <v>0.496044242918315</v>
      </c>
      <c r="F4113">
        <v>0.34549403309160398</v>
      </c>
      <c r="G4113">
        <v>0.172582176094005</v>
      </c>
      <c r="H4113">
        <v>9.3065697069965203E-2</v>
      </c>
      <c r="I4113">
        <v>6.9731147170438504E-2</v>
      </c>
      <c r="J4113">
        <v>6.1242778882385399E-2</v>
      </c>
      <c r="K4113">
        <v>4.9387915415953297E-2</v>
      </c>
      <c r="L4113">
        <v>543.38057954244096</v>
      </c>
      <c r="M4113">
        <v>11.6882874818651</v>
      </c>
      <c r="N4113">
        <v>46.622944202465497</v>
      </c>
      <c r="O4113">
        <v>45.191034327904603</v>
      </c>
      <c r="P4113">
        <v>-6.3612304207925699E-2</v>
      </c>
      <c r="Q4113">
        <v>1.6471786764206499E-2</v>
      </c>
      <c r="R4113">
        <v>0.996063863561095</v>
      </c>
      <c r="S4113" t="s">
        <v>10681</v>
      </c>
      <c r="T4113" t="s">
        <v>13134</v>
      </c>
      <c r="U4113" t="s">
        <v>13134</v>
      </c>
      <c r="V4113" t="s">
        <v>13134</v>
      </c>
      <c r="W4113" t="s">
        <v>17187</v>
      </c>
      <c r="X4113">
        <v>6</v>
      </c>
      <c r="Y4113" t="s">
        <v>23570</v>
      </c>
      <c r="Z4113" t="s">
        <v>30081</v>
      </c>
      <c r="AA4113">
        <v>0.36215175884589068</v>
      </c>
      <c r="AB4113" t="str">
        <f>HYPERLINK("Melting_Curves/meltCurve_Q6PCB5_RSBN1L.pdf", "Melting_Curves/meltCurve_Q6PCB5_RSBN1L.pdf")</f>
        <v>Melting_Curves/meltCurve_Q6PCB5_RSBN1L.pdf</v>
      </c>
    </row>
    <row r="4114" spans="1:28" x14ac:dyDescent="0.25">
      <c r="A4114" t="s">
        <v>4118</v>
      </c>
      <c r="B4114">
        <v>0.99472303558308395</v>
      </c>
      <c r="C4114">
        <v>1.07179250168586</v>
      </c>
      <c r="D4114">
        <v>0.95612642466851205</v>
      </c>
      <c r="E4114">
        <v>0.84244789426599098</v>
      </c>
      <c r="F4114">
        <v>0.69796187945417898</v>
      </c>
      <c r="G4114">
        <v>0.39725089191875601</v>
      </c>
      <c r="H4114">
        <v>0.171628025774336</v>
      </c>
      <c r="I4114">
        <v>8.9969930050838906E-2</v>
      </c>
      <c r="J4114">
        <v>0.149934422962509</v>
      </c>
      <c r="K4114">
        <v>6.1331217265917601E-2</v>
      </c>
      <c r="L4114">
        <v>919.03372009518</v>
      </c>
      <c r="M4114">
        <v>17.7060990477062</v>
      </c>
      <c r="N4114">
        <v>52.270900540374299</v>
      </c>
      <c r="O4114">
        <v>51.256419177822401</v>
      </c>
      <c r="P4114">
        <v>-8.1330149832783097E-2</v>
      </c>
      <c r="Q4114">
        <v>5.8296746043587297E-2</v>
      </c>
      <c r="R4114">
        <v>0.98984909999141801</v>
      </c>
      <c r="S4114" t="s">
        <v>10682</v>
      </c>
      <c r="T4114" t="s">
        <v>13134</v>
      </c>
      <c r="U4114" t="s">
        <v>13134</v>
      </c>
      <c r="V4114" t="s">
        <v>13134</v>
      </c>
      <c r="W4114" t="s">
        <v>17188</v>
      </c>
      <c r="X4114">
        <v>4</v>
      </c>
      <c r="Y4114" t="s">
        <v>23571</v>
      </c>
      <c r="Z4114" t="s">
        <v>30082</v>
      </c>
      <c r="AA4114">
        <v>0.54078421938000765</v>
      </c>
      <c r="AB4114" t="str">
        <f>HYPERLINK("Melting_Curves/meltCurve_Q6PCE3_PGM2L1.pdf", "Melting_Curves/meltCurve_Q6PCE3_PGM2L1.pdf")</f>
        <v>Melting_Curves/meltCurve_Q6PCE3_PGM2L1.pdf</v>
      </c>
    </row>
    <row r="4115" spans="1:28" x14ac:dyDescent="0.25">
      <c r="A4115" t="s">
        <v>4119</v>
      </c>
      <c r="B4115">
        <v>0.99472303558308395</v>
      </c>
      <c r="C4115">
        <v>0.94647533615245405</v>
      </c>
      <c r="D4115">
        <v>0.84696346041733095</v>
      </c>
      <c r="E4115">
        <v>0.59396154681531699</v>
      </c>
      <c r="F4115">
        <v>0.249748270757507</v>
      </c>
      <c r="G4115">
        <v>0.16596477809304599</v>
      </c>
      <c r="H4115">
        <v>0.112776392025748</v>
      </c>
      <c r="I4115">
        <v>9.8323621580748796E-2</v>
      </c>
      <c r="J4115">
        <v>9.0585001317033703E-2</v>
      </c>
      <c r="K4115">
        <v>7.5604690524840701E-2</v>
      </c>
      <c r="L4115">
        <v>893.94411041124897</v>
      </c>
      <c r="M4115">
        <v>19.075588523532101</v>
      </c>
      <c r="N4115">
        <v>47.305322400816202</v>
      </c>
      <c r="O4115">
        <v>46.357318577486801</v>
      </c>
      <c r="P4115">
        <v>-9.4477906039519E-2</v>
      </c>
      <c r="Q4115">
        <v>8.1638246433023795E-2</v>
      </c>
      <c r="R4115">
        <v>0.99786135718901703</v>
      </c>
      <c r="S4115" t="s">
        <v>10683</v>
      </c>
      <c r="T4115" t="s">
        <v>13134</v>
      </c>
      <c r="U4115" t="s">
        <v>13134</v>
      </c>
      <c r="V4115" t="s">
        <v>13134</v>
      </c>
      <c r="W4115" t="s">
        <v>17189</v>
      </c>
      <c r="X4115">
        <v>19</v>
      </c>
      <c r="Y4115" t="s">
        <v>23572</v>
      </c>
      <c r="Z4115" t="s">
        <v>30083</v>
      </c>
      <c r="AA4115">
        <v>0.39675783236186862</v>
      </c>
      <c r="AB4115" t="str">
        <f>HYPERLINK("Melting_Curves/meltCurve_Q6PD62_CTR9.pdf", "Melting_Curves/meltCurve_Q6PD62_CTR9.pdf")</f>
        <v>Melting_Curves/meltCurve_Q6PD62_CTR9.pdf</v>
      </c>
    </row>
    <row r="4116" spans="1:28" x14ac:dyDescent="0.25">
      <c r="A4116" t="s">
        <v>4120</v>
      </c>
      <c r="B4116">
        <v>0.99472303558308395</v>
      </c>
      <c r="C4116">
        <v>0.98927338410393495</v>
      </c>
      <c r="D4116">
        <v>0.91281523219398997</v>
      </c>
      <c r="E4116">
        <v>0.62506637243500895</v>
      </c>
      <c r="F4116">
        <v>0.26443193511941498</v>
      </c>
      <c r="G4116">
        <v>0.146186708564149</v>
      </c>
      <c r="H4116">
        <v>9.7324757834604494E-2</v>
      </c>
      <c r="I4116">
        <v>8.4890638559985701E-2</v>
      </c>
      <c r="J4116">
        <v>8.5021576633202603E-2</v>
      </c>
      <c r="K4116">
        <v>7.5136688349837402E-2</v>
      </c>
      <c r="L4116">
        <v>1089.48516583422</v>
      </c>
      <c r="M4116">
        <v>23.0292312760822</v>
      </c>
      <c r="N4116">
        <v>47.6739884119756</v>
      </c>
      <c r="O4116">
        <v>46.9564028307976</v>
      </c>
      <c r="P4116">
        <v>-0.11269725262848899</v>
      </c>
      <c r="Q4116">
        <v>8.0862276190217394E-2</v>
      </c>
      <c r="R4116">
        <v>0.99977848212767595</v>
      </c>
      <c r="S4116" t="s">
        <v>10684</v>
      </c>
      <c r="T4116" t="s">
        <v>13134</v>
      </c>
      <c r="U4116" t="s">
        <v>13134</v>
      </c>
      <c r="V4116" t="s">
        <v>13134</v>
      </c>
      <c r="W4116" t="s">
        <v>17190</v>
      </c>
      <c r="X4116">
        <v>8</v>
      </c>
      <c r="Y4116" t="s">
        <v>23573</v>
      </c>
      <c r="Z4116" t="s">
        <v>30084</v>
      </c>
      <c r="AA4116">
        <v>0.40583503424886108</v>
      </c>
      <c r="AB4116" t="str">
        <f>HYPERLINK("Melting_Curves/meltCurve_Q6PD74_AAGAB.pdf", "Melting_Curves/meltCurve_Q6PD74_AAGAB.pdf")</f>
        <v>Melting_Curves/meltCurve_Q6PD74_AAGAB.pdf</v>
      </c>
    </row>
    <row r="4117" spans="1:28" x14ac:dyDescent="0.25">
      <c r="A4117" t="s">
        <v>4121</v>
      </c>
      <c r="B4117">
        <v>0.99472303558308395</v>
      </c>
      <c r="C4117">
        <v>1.00734739188109</v>
      </c>
      <c r="D4117">
        <v>0.90994828750906798</v>
      </c>
      <c r="E4117">
        <v>0.75784863383990597</v>
      </c>
      <c r="F4117">
        <v>0.546927716339771</v>
      </c>
      <c r="G4117">
        <v>0.38454265264544701</v>
      </c>
      <c r="H4117">
        <v>0.25555486823734302</v>
      </c>
      <c r="I4117">
        <v>0.22893261455588601</v>
      </c>
      <c r="J4117">
        <v>0.28823580516033498</v>
      </c>
      <c r="K4117">
        <v>0.18947719697804799</v>
      </c>
      <c r="L4117">
        <v>763.05840705711796</v>
      </c>
      <c r="M4117">
        <v>15.5214084857201</v>
      </c>
      <c r="N4117">
        <v>50.916847835244802</v>
      </c>
      <c r="O4117">
        <v>48.367290304576301</v>
      </c>
      <c r="P4117">
        <v>-6.3611116037522994E-2</v>
      </c>
      <c r="Q4117">
        <v>0.207178432042668</v>
      </c>
      <c r="R4117">
        <v>0.99315508108884099</v>
      </c>
      <c r="S4117" t="s">
        <v>10685</v>
      </c>
      <c r="T4117" t="s">
        <v>13134</v>
      </c>
      <c r="U4117" t="s">
        <v>13134</v>
      </c>
      <c r="V4117" t="s">
        <v>13134</v>
      </c>
      <c r="W4117" t="s">
        <v>17191</v>
      </c>
      <c r="X4117">
        <v>10</v>
      </c>
      <c r="Y4117" t="s">
        <v>23574</v>
      </c>
      <c r="Z4117" t="s">
        <v>30085</v>
      </c>
      <c r="AA4117">
        <v>0.54467764052311562</v>
      </c>
      <c r="AB4117" t="str">
        <f>HYPERLINK("Melting_Curves/meltCurve_Q6PGN9_2_PSRC1.pdf", "Melting_Curves/meltCurve_Q6PGN9_2_PSRC1.pdf")</f>
        <v>Melting_Curves/meltCurve_Q6PGN9_2_PSRC1.pdf</v>
      </c>
    </row>
    <row r="4118" spans="1:28" x14ac:dyDescent="0.25">
      <c r="A4118" t="s">
        <v>4122</v>
      </c>
      <c r="B4118">
        <v>0.99472303558308395</v>
      </c>
      <c r="C4118">
        <v>1.0571401132802301</v>
      </c>
      <c r="D4118">
        <v>0.89541999472911804</v>
      </c>
      <c r="E4118">
        <v>0.69223716641630395</v>
      </c>
      <c r="F4118">
        <v>0.23986717608352101</v>
      </c>
      <c r="G4118">
        <v>0.14412188428185799</v>
      </c>
      <c r="H4118">
        <v>7.1772120543056997E-2</v>
      </c>
      <c r="I4118">
        <v>9.9263327065499604E-2</v>
      </c>
      <c r="J4118">
        <v>9.4320632644927405E-2</v>
      </c>
      <c r="K4118">
        <v>8.9372891178869304E-2</v>
      </c>
      <c r="L4118">
        <v>1300.3169787633301</v>
      </c>
      <c r="M4118">
        <v>27.3413012565108</v>
      </c>
      <c r="N4118">
        <v>47.895670657808999</v>
      </c>
      <c r="O4118">
        <v>47.306461780405797</v>
      </c>
      <c r="P4118">
        <v>-0.13184964427300799</v>
      </c>
      <c r="Q4118">
        <v>8.7492841752430897E-2</v>
      </c>
      <c r="R4118">
        <v>0.99414124173866003</v>
      </c>
      <c r="S4118" t="s">
        <v>10686</v>
      </c>
      <c r="T4118" t="s">
        <v>13134</v>
      </c>
      <c r="U4118" t="s">
        <v>13134</v>
      </c>
      <c r="V4118" t="s">
        <v>13134</v>
      </c>
      <c r="W4118" t="s">
        <v>17192</v>
      </c>
      <c r="X4118">
        <v>3</v>
      </c>
      <c r="Y4118" t="s">
        <v>23575</v>
      </c>
      <c r="Z4118" t="s">
        <v>30086</v>
      </c>
      <c r="AA4118">
        <v>0.41511547874123811</v>
      </c>
      <c r="AB4118" t="str">
        <f>HYPERLINK("Melting_Curves/meltCurve_Q6PH81_C16orf87.pdf", "Melting_Curves/meltCurve_Q6PH81_C16orf87.pdf")</f>
        <v>Melting_Curves/meltCurve_Q6PH81_C16orf87.pdf</v>
      </c>
    </row>
    <row r="4119" spans="1:28" x14ac:dyDescent="0.25">
      <c r="A4119" t="s">
        <v>4123</v>
      </c>
      <c r="B4119">
        <v>0.99472303558308395</v>
      </c>
      <c r="C4119">
        <v>0.95316872522754903</v>
      </c>
      <c r="D4119">
        <v>0.91075961293862695</v>
      </c>
      <c r="E4119">
        <v>0.80375431179658596</v>
      </c>
      <c r="F4119">
        <v>0.71750203210381602</v>
      </c>
      <c r="G4119">
        <v>0.49545613413290401</v>
      </c>
      <c r="H4119">
        <v>0.34047696098760999</v>
      </c>
      <c r="I4119">
        <v>0.26544329723270399</v>
      </c>
      <c r="J4119">
        <v>0.22945517547533101</v>
      </c>
      <c r="K4119">
        <v>0.10207086517412001</v>
      </c>
      <c r="L4119">
        <v>510.81375295816702</v>
      </c>
      <c r="M4119">
        <v>9.4463134786561795</v>
      </c>
      <c r="N4119">
        <v>54.0754611053354</v>
      </c>
      <c r="O4119">
        <v>51.818267357504503</v>
      </c>
      <c r="P4119">
        <v>-4.5601788363921002E-2</v>
      </c>
      <c r="Q4119">
        <v>0</v>
      </c>
      <c r="R4119">
        <v>0.99328937686034302</v>
      </c>
      <c r="S4119" t="s">
        <v>10687</v>
      </c>
      <c r="T4119" t="s">
        <v>13134</v>
      </c>
      <c r="U4119" t="s">
        <v>13134</v>
      </c>
      <c r="V4119" t="s">
        <v>13134</v>
      </c>
      <c r="W4119" t="s">
        <v>17193</v>
      </c>
      <c r="X4119">
        <v>21</v>
      </c>
      <c r="Y4119" t="s">
        <v>23576</v>
      </c>
      <c r="Z4119" t="s">
        <v>30087</v>
      </c>
      <c r="AA4119">
        <v>0.58585616722527523</v>
      </c>
      <c r="AB4119" t="str">
        <f>HYPERLINK("Melting_Curves/meltCurve_Q6PI48_DARS2.pdf", "Melting_Curves/meltCurve_Q6PI48_DARS2.pdf")</f>
        <v>Melting_Curves/meltCurve_Q6PI48_DARS2.pdf</v>
      </c>
    </row>
    <row r="4120" spans="1:28" x14ac:dyDescent="0.25">
      <c r="A4120" t="s">
        <v>4124</v>
      </c>
      <c r="B4120">
        <v>0.99472303558308395</v>
      </c>
      <c r="C4120">
        <v>1.0964534643519499</v>
      </c>
      <c r="D4120">
        <v>0.78538224371519105</v>
      </c>
      <c r="E4120">
        <v>0.59963354421725501</v>
      </c>
      <c r="F4120">
        <v>0.23677209472223501</v>
      </c>
      <c r="G4120">
        <v>7.8874387408899696E-2</v>
      </c>
      <c r="H4120">
        <v>4.8259331891747199E-2</v>
      </c>
      <c r="I4120">
        <v>2.77536383071476E-2</v>
      </c>
      <c r="J4120">
        <v>3.9856255217852798E-2</v>
      </c>
      <c r="K4120">
        <v>3.5919188935868797E-2</v>
      </c>
      <c r="L4120">
        <v>934.52711787529404</v>
      </c>
      <c r="M4120">
        <v>19.845940147787601</v>
      </c>
      <c r="N4120">
        <v>47.200712474606703</v>
      </c>
      <c r="O4120">
        <v>46.618792722153501</v>
      </c>
      <c r="P4120">
        <v>-0.103990309174834</v>
      </c>
      <c r="Q4120">
        <v>2.2925607124615301E-2</v>
      </c>
      <c r="R4120">
        <v>0.98531529657643702</v>
      </c>
      <c r="S4120" t="s">
        <v>10688</v>
      </c>
      <c r="T4120" t="s">
        <v>13134</v>
      </c>
      <c r="U4120" t="s">
        <v>13134</v>
      </c>
      <c r="V4120" t="s">
        <v>13134</v>
      </c>
      <c r="W4120" t="s">
        <v>17194</v>
      </c>
      <c r="X4120">
        <v>2</v>
      </c>
      <c r="Y4120" t="s">
        <v>23577</v>
      </c>
      <c r="Z4120" t="s">
        <v>30088</v>
      </c>
      <c r="AA4120">
        <v>0.36450805424470811</v>
      </c>
      <c r="AB4120" t="str">
        <f>HYPERLINK("Melting_Curves/meltCurve_Q6PID6_TTC33.pdf", "Melting_Curves/meltCurve_Q6PID6_TTC33.pdf")</f>
        <v>Melting_Curves/meltCurve_Q6PID6_TTC33.pdf</v>
      </c>
    </row>
    <row r="4121" spans="1:28" x14ac:dyDescent="0.25">
      <c r="A4121" t="s">
        <v>4125</v>
      </c>
      <c r="B4121">
        <v>0.99472303558308395</v>
      </c>
      <c r="C4121">
        <v>1.00826652129887</v>
      </c>
      <c r="D4121">
        <v>1.00677346912628</v>
      </c>
      <c r="E4121">
        <v>0.91634161005638803</v>
      </c>
      <c r="F4121">
        <v>0.74396319704078095</v>
      </c>
      <c r="G4121">
        <v>0.571131228922928</v>
      </c>
      <c r="H4121">
        <v>0.47961358786199298</v>
      </c>
      <c r="I4121">
        <v>0.53358180615259898</v>
      </c>
      <c r="J4121">
        <v>0.696958755260769</v>
      </c>
      <c r="K4121">
        <v>0.49930000280933701</v>
      </c>
      <c r="L4121">
        <v>1506.5659161429001</v>
      </c>
      <c r="M4121">
        <v>30.464472732773601</v>
      </c>
      <c r="O4121">
        <v>49.241587188784401</v>
      </c>
      <c r="P4121">
        <v>-6.9674563885051499E-2</v>
      </c>
      <c r="Q4121">
        <v>0.54952576856223601</v>
      </c>
      <c r="R4121">
        <v>0.92771121118863398</v>
      </c>
      <c r="S4121" t="s">
        <v>10689</v>
      </c>
      <c r="T4121" t="s">
        <v>13134</v>
      </c>
      <c r="U4121" t="s">
        <v>13134</v>
      </c>
      <c r="V4121" t="s">
        <v>13134</v>
      </c>
      <c r="W4121" t="s">
        <v>17195</v>
      </c>
      <c r="X4121">
        <v>6</v>
      </c>
      <c r="Y4121" t="s">
        <v>23578</v>
      </c>
      <c r="Z4121" t="s">
        <v>30089</v>
      </c>
      <c r="AA4121">
        <v>0.73917717784096859</v>
      </c>
      <c r="AB4121" t="str">
        <f>HYPERLINK("Melting_Curves/meltCurve_Q6PII3_CCDC174.pdf", "Melting_Curves/meltCurve_Q6PII3_CCDC174.pdf")</f>
        <v>Melting_Curves/meltCurve_Q6PII3_CCDC174.pdf</v>
      </c>
    </row>
    <row r="4122" spans="1:28" x14ac:dyDescent="0.25">
      <c r="A4122" t="s">
        <v>4126</v>
      </c>
      <c r="B4122">
        <v>0.99472303558308395</v>
      </c>
      <c r="C4122">
        <v>0.82925271919675703</v>
      </c>
      <c r="D4122">
        <v>0.89717786427423596</v>
      </c>
      <c r="E4122">
        <v>0.61088033377053796</v>
      </c>
      <c r="F4122">
        <v>0.44251981549832498</v>
      </c>
      <c r="G4122">
        <v>0.30161162931198598</v>
      </c>
      <c r="H4122">
        <v>0.29452627329547298</v>
      </c>
      <c r="I4122">
        <v>0.229024730512113</v>
      </c>
      <c r="J4122">
        <v>0.25396382030522502</v>
      </c>
      <c r="K4122">
        <v>0.17123759357426999</v>
      </c>
      <c r="L4122">
        <v>603.84178612945902</v>
      </c>
      <c r="M4122">
        <v>12.798147270510499</v>
      </c>
      <c r="N4122">
        <v>49.012376718193899</v>
      </c>
      <c r="O4122">
        <v>46.074535801448498</v>
      </c>
      <c r="P4122">
        <v>-5.6260858347858302E-2</v>
      </c>
      <c r="Q4122">
        <v>0.18997452667974901</v>
      </c>
      <c r="R4122">
        <v>0.97535138257741805</v>
      </c>
      <c r="S4122" t="s">
        <v>10690</v>
      </c>
      <c r="T4122" t="s">
        <v>13134</v>
      </c>
      <c r="U4122" t="s">
        <v>13134</v>
      </c>
      <c r="V4122" t="s">
        <v>13134</v>
      </c>
      <c r="W4122" t="s">
        <v>17196</v>
      </c>
      <c r="X4122">
        <v>4</v>
      </c>
      <c r="Y4122" t="s">
        <v>23579</v>
      </c>
      <c r="Z4122" t="s">
        <v>30090</v>
      </c>
      <c r="AA4122">
        <v>0.48869948290367338</v>
      </c>
      <c r="AB4122" t="str">
        <f>HYPERLINK("Melting_Curves/meltCurve_Q6PII5_2_HAGHL.pdf", "Melting_Curves/meltCurve_Q6PII5_2_HAGHL.pdf")</f>
        <v>Melting_Curves/meltCurve_Q6PII5_2_HAGHL.pdf</v>
      </c>
    </row>
    <row r="4123" spans="1:28" x14ac:dyDescent="0.25">
      <c r="A4123" t="s">
        <v>4127</v>
      </c>
      <c r="B4123">
        <v>0.99472303558308395</v>
      </c>
      <c r="C4123">
        <v>1.04877476102311</v>
      </c>
      <c r="D4123">
        <v>0.65389912460004995</v>
      </c>
      <c r="E4123">
        <v>0.65691912692232202</v>
      </c>
      <c r="F4123">
        <v>0.50482172182890805</v>
      </c>
      <c r="G4123">
        <v>6.7815475209855994E-2</v>
      </c>
      <c r="H4123">
        <v>0</v>
      </c>
      <c r="I4123">
        <v>0</v>
      </c>
      <c r="J4123">
        <v>0</v>
      </c>
      <c r="K4123">
        <v>0</v>
      </c>
      <c r="L4123">
        <v>708.14818166187695</v>
      </c>
      <c r="M4123">
        <v>14.7242904572634</v>
      </c>
      <c r="N4123">
        <v>48.093874919637798</v>
      </c>
      <c r="O4123">
        <v>47.232906881699797</v>
      </c>
      <c r="P4123">
        <v>-7.7942959332207601E-2</v>
      </c>
      <c r="Q4123">
        <v>0</v>
      </c>
      <c r="R4123">
        <v>0.94328346604981805</v>
      </c>
      <c r="S4123" t="s">
        <v>10691</v>
      </c>
      <c r="T4123" t="s">
        <v>13134</v>
      </c>
      <c r="U4123" t="s">
        <v>13134</v>
      </c>
      <c r="V4123" t="s">
        <v>13134</v>
      </c>
      <c r="W4123" t="s">
        <v>17197</v>
      </c>
      <c r="X4123">
        <v>2</v>
      </c>
      <c r="Y4123" t="s">
        <v>23580</v>
      </c>
      <c r="Z4123" t="s">
        <v>30091</v>
      </c>
      <c r="AA4123">
        <v>0.39246378143132288</v>
      </c>
      <c r="AB4123" t="str">
        <f>HYPERLINK("Melting_Curves/meltCurve_Q6PIJ6_2_FBXO38.pdf", "Melting_Curves/meltCurve_Q6PIJ6_2_FBXO38.pdf")</f>
        <v>Melting_Curves/meltCurve_Q6PIJ6_2_FBXO38.pdf</v>
      </c>
    </row>
    <row r="4124" spans="1:28" x14ac:dyDescent="0.25">
      <c r="A4124" t="s">
        <v>4128</v>
      </c>
      <c r="B4124">
        <v>0.99472303558308395</v>
      </c>
      <c r="C4124">
        <v>0.94058734463684801</v>
      </c>
      <c r="D4124">
        <v>0.81066143944399005</v>
      </c>
      <c r="E4124">
        <v>0.74209996726768002</v>
      </c>
      <c r="F4124">
        <v>0.58428486108627298</v>
      </c>
      <c r="G4124">
        <v>0.38371519722403602</v>
      </c>
      <c r="H4124">
        <v>0.26318246906309101</v>
      </c>
      <c r="I4124">
        <v>0.35000981059922398</v>
      </c>
      <c r="J4124">
        <v>0.42092277351891699</v>
      </c>
      <c r="K4124">
        <v>0.36586755091194401</v>
      </c>
      <c r="L4124">
        <v>675.74479998155505</v>
      </c>
      <c r="M4124">
        <v>14.2888646666662</v>
      </c>
      <c r="N4124">
        <v>51.095660609933702</v>
      </c>
      <c r="O4124">
        <v>46.394368204523303</v>
      </c>
      <c r="P4124">
        <v>-5.1792499037961799E-2</v>
      </c>
      <c r="Q4124">
        <v>0.32742420519766002</v>
      </c>
      <c r="R4124">
        <v>0.95282059324822699</v>
      </c>
      <c r="S4124" t="s">
        <v>10692</v>
      </c>
      <c r="T4124" t="s">
        <v>13134</v>
      </c>
      <c r="U4124" t="s">
        <v>13134</v>
      </c>
      <c r="V4124" t="s">
        <v>13134</v>
      </c>
      <c r="W4124" t="s">
        <v>17198</v>
      </c>
      <c r="X4124">
        <v>1</v>
      </c>
      <c r="Y4124" t="s">
        <v>23581</v>
      </c>
      <c r="Z4124" t="s">
        <v>30092</v>
      </c>
      <c r="AA4124">
        <v>0.57452665860931018</v>
      </c>
      <c r="AB4124" t="str">
        <f>HYPERLINK("Melting_Curves/meltCurve_Q6PIR0_CENPC1.pdf", "Melting_Curves/meltCurve_Q6PIR0_CENPC1.pdf")</f>
        <v>Melting_Curves/meltCurve_Q6PIR0_CENPC1.pdf</v>
      </c>
    </row>
    <row r="4125" spans="1:28" x14ac:dyDescent="0.25">
      <c r="A4125" t="s">
        <v>4129</v>
      </c>
      <c r="B4125">
        <v>0.99472303558308395</v>
      </c>
      <c r="C4125">
        <v>0.873996261976415</v>
      </c>
      <c r="D4125">
        <v>0.72061123447869802</v>
      </c>
      <c r="E4125">
        <v>0.24647647085795901</v>
      </c>
      <c r="F4125">
        <v>9.1062922901140597E-2</v>
      </c>
      <c r="G4125">
        <v>5.0772461434958997E-2</v>
      </c>
      <c r="H4125">
        <v>3.0131826141903701E-2</v>
      </c>
      <c r="I4125">
        <v>2.4806937290578101E-2</v>
      </c>
      <c r="J4125">
        <v>2.5499499337733201E-2</v>
      </c>
      <c r="K4125">
        <v>2.6314486883286199E-2</v>
      </c>
      <c r="L4125">
        <v>1020.49587157326</v>
      </c>
      <c r="M4125">
        <v>22.992161313801699</v>
      </c>
      <c r="N4125">
        <v>44.483289376621002</v>
      </c>
      <c r="O4125">
        <v>44.052847677358798</v>
      </c>
      <c r="P4125">
        <v>-0.12723569652354799</v>
      </c>
      <c r="Q4125">
        <v>2.48868528546476E-2</v>
      </c>
      <c r="R4125">
        <v>0.99625699135315804</v>
      </c>
      <c r="S4125" t="s">
        <v>10693</v>
      </c>
      <c r="T4125" t="s">
        <v>13134</v>
      </c>
      <c r="U4125" t="s">
        <v>13134</v>
      </c>
      <c r="V4125" t="s">
        <v>13134</v>
      </c>
      <c r="W4125" t="s">
        <v>17199</v>
      </c>
      <c r="X4125">
        <v>9</v>
      </c>
      <c r="Y4125" t="s">
        <v>23582</v>
      </c>
      <c r="Z4125" t="s">
        <v>30093</v>
      </c>
      <c r="AA4125">
        <v>0.27448067504752849</v>
      </c>
      <c r="AB4125" t="str">
        <f>HYPERLINK("Melting_Curves/meltCurve_Q6PIW4_2_FIGNL1.pdf", "Melting_Curves/meltCurve_Q6PIW4_2_FIGNL1.pdf")</f>
        <v>Melting_Curves/meltCurve_Q6PIW4_2_FIGNL1.pdf</v>
      </c>
    </row>
    <row r="4126" spans="1:28" x14ac:dyDescent="0.25">
      <c r="A4126" t="s">
        <v>4130</v>
      </c>
      <c r="B4126">
        <v>0.99472303558308395</v>
      </c>
      <c r="C4126">
        <v>1.14436512583731</v>
      </c>
      <c r="D4126">
        <v>0.55465751173760403</v>
      </c>
      <c r="E4126">
        <v>0.72973866187314795</v>
      </c>
      <c r="F4126">
        <v>0.29156894934727201</v>
      </c>
      <c r="G4126">
        <v>0.137412028599907</v>
      </c>
      <c r="H4126">
        <v>0</v>
      </c>
      <c r="I4126">
        <v>0</v>
      </c>
      <c r="J4126">
        <v>0</v>
      </c>
      <c r="K4126">
        <v>0</v>
      </c>
      <c r="L4126">
        <v>719.214783010102</v>
      </c>
      <c r="M4126">
        <v>15.145592267548899</v>
      </c>
      <c r="N4126">
        <v>47.486732340736602</v>
      </c>
      <c r="O4126">
        <v>46.681984862534797</v>
      </c>
      <c r="P4126">
        <v>-8.1118392780398105E-2</v>
      </c>
      <c r="Q4126">
        <v>0</v>
      </c>
      <c r="R4126">
        <v>0.91695791242138602</v>
      </c>
      <c r="S4126" t="s">
        <v>10694</v>
      </c>
      <c r="T4126" t="s">
        <v>13134</v>
      </c>
      <c r="U4126" t="s">
        <v>13134</v>
      </c>
      <c r="V4126" t="s">
        <v>13134</v>
      </c>
      <c r="W4126" t="s">
        <v>17200</v>
      </c>
      <c r="X4126">
        <v>1</v>
      </c>
      <c r="Y4126" t="s">
        <v>23583</v>
      </c>
      <c r="Z4126" t="s">
        <v>30094</v>
      </c>
      <c r="AA4126">
        <v>0.37145908911353492</v>
      </c>
      <c r="AB4126" t="str">
        <f>HYPERLINK("Melting_Curves/meltCurve_Q6PJ61_FBXO46.pdf", "Melting_Curves/meltCurve_Q6PJ61_FBXO46.pdf")</f>
        <v>Melting_Curves/meltCurve_Q6PJ61_FBXO46.pdf</v>
      </c>
    </row>
    <row r="4127" spans="1:28" x14ac:dyDescent="0.25">
      <c r="A4127" t="s">
        <v>4131</v>
      </c>
      <c r="B4127">
        <v>0.99472303558308395</v>
      </c>
      <c r="C4127">
        <v>1.02288666143597</v>
      </c>
      <c r="D4127">
        <v>0.838607121289633</v>
      </c>
      <c r="E4127">
        <v>0.40678929457009</v>
      </c>
      <c r="F4127">
        <v>0.16215146705343</v>
      </c>
      <c r="G4127">
        <v>9.4346060069708707E-2</v>
      </c>
      <c r="H4127">
        <v>7.5031192134782307E-2</v>
      </c>
      <c r="I4127">
        <v>6.1827871386604998E-2</v>
      </c>
      <c r="J4127">
        <v>3.7768240725405397E-2</v>
      </c>
      <c r="K4127">
        <v>5.8212588963320898E-2</v>
      </c>
      <c r="L4127">
        <v>1170.65359653224</v>
      </c>
      <c r="M4127">
        <v>25.6237597862652</v>
      </c>
      <c r="N4127">
        <v>45.922726626584897</v>
      </c>
      <c r="O4127">
        <v>45.410726192691101</v>
      </c>
      <c r="P4127">
        <v>-0.13234960053495001</v>
      </c>
      <c r="Q4127">
        <v>6.1805591744314901E-2</v>
      </c>
      <c r="R4127">
        <v>0.99790575758877198</v>
      </c>
      <c r="S4127" t="s">
        <v>10695</v>
      </c>
      <c r="T4127" t="s">
        <v>13134</v>
      </c>
      <c r="U4127" t="s">
        <v>13134</v>
      </c>
      <c r="V4127" t="s">
        <v>13134</v>
      </c>
      <c r="W4127" t="s">
        <v>17201</v>
      </c>
      <c r="X4127">
        <v>10</v>
      </c>
      <c r="Y4127" t="s">
        <v>23584</v>
      </c>
      <c r="Z4127" t="s">
        <v>30095</v>
      </c>
      <c r="AA4127">
        <v>0.34081414112460789</v>
      </c>
      <c r="AB4127" t="str">
        <f>HYPERLINK("Melting_Curves/meltCurve_Q6PJ69_TRIM65.pdf", "Melting_Curves/meltCurve_Q6PJ69_TRIM65.pdf")</f>
        <v>Melting_Curves/meltCurve_Q6PJ69_TRIM65.pdf</v>
      </c>
    </row>
    <row r="4128" spans="1:28" x14ac:dyDescent="0.25">
      <c r="A4128" t="s">
        <v>4132</v>
      </c>
      <c r="B4128">
        <v>0.99472303558308395</v>
      </c>
      <c r="C4128">
        <v>0.78097848017797999</v>
      </c>
      <c r="D4128">
        <v>0.66311971677716097</v>
      </c>
      <c r="E4128">
        <v>0.42987880980530402</v>
      </c>
      <c r="F4128">
        <v>0.25196934660556097</v>
      </c>
      <c r="G4128">
        <v>0.110936584919305</v>
      </c>
      <c r="H4128">
        <v>5.9146485535522202E-2</v>
      </c>
      <c r="I4128">
        <v>3.6042661915479397E-2</v>
      </c>
      <c r="J4128">
        <v>4.0796616726460302E-2</v>
      </c>
      <c r="K4128">
        <v>2.91135751971985E-2</v>
      </c>
      <c r="L4128">
        <v>543.59247584107902</v>
      </c>
      <c r="M4128">
        <v>11.9964462534193</v>
      </c>
      <c r="N4128">
        <v>45.312792277201297</v>
      </c>
      <c r="O4128">
        <v>44.108753641797499</v>
      </c>
      <c r="P4128">
        <v>-6.8009978453426698E-2</v>
      </c>
      <c r="Q4128">
        <v>0</v>
      </c>
      <c r="R4128">
        <v>0.99333627618013798</v>
      </c>
      <c r="S4128" t="s">
        <v>10696</v>
      </c>
      <c r="T4128" t="s">
        <v>13134</v>
      </c>
      <c r="U4128" t="s">
        <v>13134</v>
      </c>
      <c r="V4128" t="s">
        <v>13134</v>
      </c>
      <c r="W4128" t="s">
        <v>17202</v>
      </c>
      <c r="X4128">
        <v>17</v>
      </c>
      <c r="Y4128" t="s">
        <v>23585</v>
      </c>
      <c r="Z4128" t="s">
        <v>30096</v>
      </c>
      <c r="AA4128">
        <v>0.31285899734639538</v>
      </c>
      <c r="AB4128" t="str">
        <f>HYPERLINK("Melting_Curves/meltCurve_Q6PJG6_BRAT1.pdf", "Melting_Curves/meltCurve_Q6PJG6_BRAT1.pdf")</f>
        <v>Melting_Curves/meltCurve_Q6PJG6_BRAT1.pdf</v>
      </c>
    </row>
    <row r="4129" spans="1:28" x14ac:dyDescent="0.25">
      <c r="A4129" t="s">
        <v>4133</v>
      </c>
      <c r="B4129">
        <v>0.99472303558308395</v>
      </c>
      <c r="C4129">
        <v>1.06832167626265</v>
      </c>
      <c r="D4129">
        <v>0.97769359625204799</v>
      </c>
      <c r="E4129">
        <v>0.78656159432529205</v>
      </c>
      <c r="F4129">
        <v>0.52836857567256001</v>
      </c>
      <c r="G4129">
        <v>0.24708701262132199</v>
      </c>
      <c r="H4129">
        <v>0.161480446159597</v>
      </c>
      <c r="I4129">
        <v>0.12987906928430601</v>
      </c>
      <c r="J4129">
        <v>0.131534764179597</v>
      </c>
      <c r="K4129">
        <v>0.113020770724194</v>
      </c>
      <c r="L4129">
        <v>1018.26614732471</v>
      </c>
      <c r="M4129">
        <v>20.516880625757299</v>
      </c>
      <c r="N4129">
        <v>50.251531296172303</v>
      </c>
      <c r="O4129">
        <v>49.166372361858102</v>
      </c>
      <c r="P4129">
        <v>-9.2646705288951095E-2</v>
      </c>
      <c r="Q4129">
        <v>0.111956942952781</v>
      </c>
      <c r="R4129">
        <v>0.99495059501459004</v>
      </c>
      <c r="S4129" t="s">
        <v>10697</v>
      </c>
      <c r="T4129" t="s">
        <v>13134</v>
      </c>
      <c r="U4129" t="s">
        <v>13134</v>
      </c>
      <c r="V4129" t="s">
        <v>13134</v>
      </c>
      <c r="W4129" t="s">
        <v>17203</v>
      </c>
      <c r="X4129">
        <v>15</v>
      </c>
      <c r="Y4129" t="s">
        <v>23586</v>
      </c>
      <c r="Z4129" t="s">
        <v>30097</v>
      </c>
      <c r="AA4129">
        <v>0.49702275603388019</v>
      </c>
      <c r="AB4129" t="str">
        <f>HYPERLINK("Melting_Curves/meltCurve_Q6PJT7_5_ZC3H14.pdf", "Melting_Curves/meltCurve_Q6PJT7_5_ZC3H14.pdf")</f>
        <v>Melting_Curves/meltCurve_Q6PJT7_5_ZC3H14.pdf</v>
      </c>
    </row>
    <row r="4130" spans="1:28" x14ac:dyDescent="0.25">
      <c r="A4130" t="s">
        <v>4134</v>
      </c>
      <c r="B4130">
        <v>0.99472303558308395</v>
      </c>
      <c r="C4130">
        <v>1.0352902561949699</v>
      </c>
      <c r="D4130">
        <v>1.0290763498156801</v>
      </c>
      <c r="E4130">
        <v>0.80326000500144001</v>
      </c>
      <c r="F4130">
        <v>0.468329346139778</v>
      </c>
      <c r="G4130">
        <v>0.25998301333609802</v>
      </c>
      <c r="H4130">
        <v>0.17298619218983299</v>
      </c>
      <c r="I4130">
        <v>0.15041017011416999</v>
      </c>
      <c r="J4130">
        <v>0.17595274615932499</v>
      </c>
      <c r="K4130">
        <v>0.147291708596619</v>
      </c>
      <c r="L4130">
        <v>1203.5315354240799</v>
      </c>
      <c r="M4130">
        <v>24.510436996880301</v>
      </c>
      <c r="N4130">
        <v>49.863731014689002</v>
      </c>
      <c r="O4130">
        <v>48.779463451976603</v>
      </c>
      <c r="P4130">
        <v>-0.106021102581339</v>
      </c>
      <c r="Q4130">
        <v>0.156020387558404</v>
      </c>
      <c r="R4130">
        <v>0.99603886637333106</v>
      </c>
      <c r="S4130" t="s">
        <v>10698</v>
      </c>
      <c r="T4130" t="s">
        <v>13134</v>
      </c>
      <c r="U4130" t="s">
        <v>13134</v>
      </c>
      <c r="V4130" t="s">
        <v>13134</v>
      </c>
      <c r="W4130" t="s">
        <v>17204</v>
      </c>
      <c r="X4130">
        <v>11</v>
      </c>
      <c r="Y4130" t="s">
        <v>23587</v>
      </c>
      <c r="Z4130" t="s">
        <v>30098</v>
      </c>
      <c r="AA4130">
        <v>0.50409271341781581</v>
      </c>
      <c r="AB4130" t="str">
        <f>HYPERLINK("Melting_Curves/meltCurve_Q6PJW8_CNST.pdf", "Melting_Curves/meltCurve_Q6PJW8_CNST.pdf")</f>
        <v>Melting_Curves/meltCurve_Q6PJW8_CNST.pdf</v>
      </c>
    </row>
    <row r="4131" spans="1:28" x14ac:dyDescent="0.25">
      <c r="A4131" t="s">
        <v>4135</v>
      </c>
      <c r="B4131">
        <v>0.99472303558308395</v>
      </c>
      <c r="C4131">
        <v>0.94224948627822402</v>
      </c>
      <c r="D4131">
        <v>0.94119553562496605</v>
      </c>
      <c r="E4131">
        <v>0.727676711714071</v>
      </c>
      <c r="F4131">
        <v>0.49516837834537702</v>
      </c>
      <c r="G4131">
        <v>0.341057094731123</v>
      </c>
      <c r="H4131">
        <v>0.21552670284454201</v>
      </c>
      <c r="I4131">
        <v>8.6408254314864999E-2</v>
      </c>
      <c r="J4131">
        <v>0.121931585579602</v>
      </c>
      <c r="K4131">
        <v>8.8102380584416495E-2</v>
      </c>
      <c r="L4131">
        <v>667.89481041774502</v>
      </c>
      <c r="M4131">
        <v>13.3643717495481</v>
      </c>
      <c r="N4131">
        <v>50.416702305176798</v>
      </c>
      <c r="O4131">
        <v>48.8965945263053</v>
      </c>
      <c r="P4131">
        <v>-6.4571325426624998E-2</v>
      </c>
      <c r="Q4131">
        <v>5.5154351498708398E-2</v>
      </c>
      <c r="R4131">
        <v>0.99529599806305102</v>
      </c>
      <c r="S4131" t="s">
        <v>10699</v>
      </c>
      <c r="T4131" t="s">
        <v>13134</v>
      </c>
      <c r="U4131" t="s">
        <v>13134</v>
      </c>
      <c r="V4131" t="s">
        <v>13134</v>
      </c>
      <c r="W4131" t="s">
        <v>17205</v>
      </c>
      <c r="X4131">
        <v>2</v>
      </c>
      <c r="Y4131" t="s">
        <v>23588</v>
      </c>
      <c r="Z4131" t="s">
        <v>30099</v>
      </c>
      <c r="AA4131">
        <v>0.48700182076423892</v>
      </c>
      <c r="AB4131" t="str">
        <f>HYPERLINK("Melting_Curves/meltCurve_Q6PK18_OGFOD3.pdf", "Melting_Curves/meltCurve_Q6PK18_OGFOD3.pdf")</f>
        <v>Melting_Curves/meltCurve_Q6PK18_OGFOD3.pdf</v>
      </c>
    </row>
    <row r="4132" spans="1:28" x14ac:dyDescent="0.25">
      <c r="A4132" t="s">
        <v>4136</v>
      </c>
      <c r="B4132">
        <v>0.99472303558308395</v>
      </c>
      <c r="C4132">
        <v>0.79551261793869898</v>
      </c>
      <c r="D4132">
        <v>0.42831679503162401</v>
      </c>
      <c r="E4132">
        <v>0.277930730974558</v>
      </c>
      <c r="F4132">
        <v>0.12434265612973</v>
      </c>
      <c r="G4132">
        <v>9.6786520485386607E-2</v>
      </c>
      <c r="H4132">
        <v>6.8862036310330998E-2</v>
      </c>
      <c r="I4132">
        <v>3.9062211094034897E-2</v>
      </c>
      <c r="J4132">
        <v>8.1543605290820206E-2</v>
      </c>
      <c r="K4132">
        <v>3.8232975035126099E-2</v>
      </c>
      <c r="L4132">
        <v>774.60958772000504</v>
      </c>
      <c r="M4132">
        <v>18.218358423693498</v>
      </c>
      <c r="N4132">
        <v>42.837696281140701</v>
      </c>
      <c r="O4132">
        <v>42.015731110946597</v>
      </c>
      <c r="P4132">
        <v>-0.10151841267448</v>
      </c>
      <c r="Q4132">
        <v>6.3544689476720595E-2</v>
      </c>
      <c r="R4132">
        <v>0.98933961432987305</v>
      </c>
      <c r="S4132" t="s">
        <v>10700</v>
      </c>
      <c r="T4132" t="s">
        <v>13134</v>
      </c>
      <c r="U4132" t="s">
        <v>13134</v>
      </c>
      <c r="V4132" t="s">
        <v>13134</v>
      </c>
      <c r="W4132" t="s">
        <v>17206</v>
      </c>
      <c r="X4132">
        <v>1</v>
      </c>
      <c r="Y4132" t="s">
        <v>23589</v>
      </c>
      <c r="Z4132" t="s">
        <v>30100</v>
      </c>
      <c r="AA4132">
        <v>0.25249847396606723</v>
      </c>
      <c r="AB4132" t="str">
        <f>HYPERLINK("Melting_Curves/meltCurve_Q6PK81_2_ZNF773.pdf", "Melting_Curves/meltCurve_Q6PK81_2_ZNF773.pdf")</f>
        <v>Melting_Curves/meltCurve_Q6PK81_2_ZNF773.pdf</v>
      </c>
    </row>
    <row r="4133" spans="1:28" x14ac:dyDescent="0.25">
      <c r="A4133" t="s">
        <v>4137</v>
      </c>
      <c r="B4133">
        <v>0.99472303558308395</v>
      </c>
      <c r="C4133">
        <v>0.99556722739123404</v>
      </c>
      <c r="D4133">
        <v>0.82157751261953904</v>
      </c>
      <c r="E4133">
        <v>0.69134224385910004</v>
      </c>
      <c r="F4133">
        <v>0.55795274810016904</v>
      </c>
      <c r="G4133">
        <v>0.186188689628705</v>
      </c>
      <c r="H4133">
        <v>0.105759128889614</v>
      </c>
      <c r="I4133">
        <v>6.9868101243563699E-2</v>
      </c>
      <c r="J4133">
        <v>0.115748263372785</v>
      </c>
      <c r="K4133">
        <v>7.9207306946020406E-2</v>
      </c>
      <c r="L4133">
        <v>704.32506861543698</v>
      </c>
      <c r="M4133">
        <v>14.293138564120399</v>
      </c>
      <c r="N4133">
        <v>49.528910099193602</v>
      </c>
      <c r="O4133">
        <v>48.342673496196603</v>
      </c>
      <c r="P4133">
        <v>-7.1334525665850093E-2</v>
      </c>
      <c r="Q4133">
        <v>3.5039038326557199E-2</v>
      </c>
      <c r="R4133">
        <v>0.98045849899247794</v>
      </c>
      <c r="S4133" t="s">
        <v>10701</v>
      </c>
      <c r="T4133" t="s">
        <v>13134</v>
      </c>
      <c r="U4133" t="s">
        <v>13134</v>
      </c>
      <c r="V4133" t="s">
        <v>13134</v>
      </c>
      <c r="W4133" t="s">
        <v>17207</v>
      </c>
      <c r="X4133">
        <v>1</v>
      </c>
      <c r="Y4133" t="s">
        <v>23590</v>
      </c>
      <c r="Z4133" t="s">
        <v>30101</v>
      </c>
      <c r="AA4133">
        <v>0.45210348408681461</v>
      </c>
      <c r="AB4133" t="str">
        <f>HYPERLINK("Melting_Curves/meltCurve_Q6PKC3_2_TXNDC11.pdf", "Melting_Curves/meltCurve_Q6PKC3_2_TXNDC11.pdf")</f>
        <v>Melting_Curves/meltCurve_Q6PKC3_2_TXNDC11.pdf</v>
      </c>
    </row>
    <row r="4134" spans="1:28" x14ac:dyDescent="0.25">
      <c r="A4134" t="s">
        <v>4138</v>
      </c>
      <c r="B4134">
        <v>0.99472303558308395</v>
      </c>
      <c r="C4134">
        <v>0.83602731206917502</v>
      </c>
      <c r="D4134">
        <v>0.78941248494687599</v>
      </c>
      <c r="E4134">
        <v>0.58336201165859303</v>
      </c>
      <c r="F4134">
        <v>0.35373499162402799</v>
      </c>
      <c r="G4134">
        <v>0.162423618291102</v>
      </c>
      <c r="H4134">
        <v>0.10243087895707299</v>
      </c>
      <c r="I4134">
        <v>7.7094671181732799E-2</v>
      </c>
      <c r="J4134">
        <v>8.7725298173383301E-2</v>
      </c>
      <c r="K4134">
        <v>7.2314129584407499E-2</v>
      </c>
      <c r="L4134">
        <v>589.38812699309096</v>
      </c>
      <c r="M4134">
        <v>12.491885177014</v>
      </c>
      <c r="N4134">
        <v>47.418091440173001</v>
      </c>
      <c r="O4134">
        <v>46.021511997151698</v>
      </c>
      <c r="P4134">
        <v>-6.5823833367678899E-2</v>
      </c>
      <c r="Q4134">
        <v>3.0190393284612201E-2</v>
      </c>
      <c r="R4134">
        <v>0.99131205277513101</v>
      </c>
      <c r="S4134" t="s">
        <v>10702</v>
      </c>
      <c r="T4134" t="s">
        <v>13134</v>
      </c>
      <c r="U4134" t="s">
        <v>13134</v>
      </c>
      <c r="V4134" t="s">
        <v>13134</v>
      </c>
      <c r="W4134" t="s">
        <v>17208</v>
      </c>
      <c r="X4134">
        <v>8</v>
      </c>
      <c r="Y4134" t="s">
        <v>23591</v>
      </c>
      <c r="Z4134" t="s">
        <v>30102</v>
      </c>
      <c r="AA4134">
        <v>0.38897253867102122</v>
      </c>
      <c r="AB4134" t="str">
        <f>HYPERLINK("Melting_Curves/meltCurve_Q6PKG0_LARP1.pdf", "Melting_Curves/meltCurve_Q6PKG0_LARP1.pdf")</f>
        <v>Melting_Curves/meltCurve_Q6PKG0_LARP1.pdf</v>
      </c>
    </row>
    <row r="4135" spans="1:28" x14ac:dyDescent="0.25">
      <c r="A4135" t="s">
        <v>4139</v>
      </c>
      <c r="B4135">
        <v>0.99472303558308395</v>
      </c>
      <c r="C4135">
        <v>0.796587794361162</v>
      </c>
      <c r="D4135">
        <v>0.93994661442967098</v>
      </c>
      <c r="E4135">
        <v>0.61455393251868795</v>
      </c>
      <c r="F4135">
        <v>0.230480248115249</v>
      </c>
      <c r="G4135">
        <v>0.112270981049608</v>
      </c>
      <c r="H4135">
        <v>8.0606188281759694E-2</v>
      </c>
      <c r="I4135">
        <v>7.8648872203805106E-2</v>
      </c>
      <c r="J4135">
        <v>6.8663800797023999E-2</v>
      </c>
      <c r="K4135">
        <v>5.6551875473157001E-2</v>
      </c>
      <c r="L4135">
        <v>1079.7102748929899</v>
      </c>
      <c r="M4135">
        <v>22.874732341630899</v>
      </c>
      <c r="N4135">
        <v>47.4738668869363</v>
      </c>
      <c r="O4135">
        <v>46.844704037533702</v>
      </c>
      <c r="P4135">
        <v>-0.11455965855455399</v>
      </c>
      <c r="Q4135">
        <v>6.1600249908649998E-2</v>
      </c>
      <c r="R4135">
        <v>0.97291894279604996</v>
      </c>
      <c r="S4135" t="s">
        <v>10703</v>
      </c>
      <c r="T4135" t="s">
        <v>13134</v>
      </c>
      <c r="U4135" t="s">
        <v>13134</v>
      </c>
      <c r="V4135" t="s">
        <v>13134</v>
      </c>
      <c r="W4135" t="s">
        <v>17209</v>
      </c>
      <c r="X4135">
        <v>7</v>
      </c>
      <c r="Y4135" t="s">
        <v>23592</v>
      </c>
      <c r="Z4135" t="s">
        <v>30103</v>
      </c>
      <c r="AA4135">
        <v>0.39012565940264121</v>
      </c>
      <c r="AB4135" t="str">
        <f>HYPERLINK("Melting_Curves/meltCurve_Q6PL24_TMED8.pdf", "Melting_Curves/meltCurve_Q6PL24_TMED8.pdf")</f>
        <v>Melting_Curves/meltCurve_Q6PL24_TMED8.pdf</v>
      </c>
    </row>
    <row r="4136" spans="1:28" x14ac:dyDescent="0.25">
      <c r="A4136" t="s">
        <v>4140</v>
      </c>
      <c r="B4136">
        <v>0.99472303558308395</v>
      </c>
      <c r="C4136">
        <v>0.98495414358414701</v>
      </c>
      <c r="D4136">
        <v>0.84919643092452501</v>
      </c>
      <c r="E4136">
        <v>0.781885426803135</v>
      </c>
      <c r="F4136">
        <v>0.494423217673988</v>
      </c>
      <c r="G4136">
        <v>0.20963048115548499</v>
      </c>
      <c r="H4136">
        <v>9.9496974565977905E-2</v>
      </c>
      <c r="I4136">
        <v>8.8335766782484906E-2</v>
      </c>
      <c r="J4136">
        <v>8.2240147647977699E-2</v>
      </c>
      <c r="K4136">
        <v>7.3034572442314094E-2</v>
      </c>
      <c r="L4136">
        <v>841.608733993378</v>
      </c>
      <c r="M4136">
        <v>17.005483775844599</v>
      </c>
      <c r="N4136">
        <v>49.776628834170303</v>
      </c>
      <c r="O4136">
        <v>48.821258202742001</v>
      </c>
      <c r="P4136">
        <v>-8.3029801121163094E-2</v>
      </c>
      <c r="Q4136">
        <v>4.6573626472886903E-2</v>
      </c>
      <c r="R4136">
        <v>0.99243899986163497</v>
      </c>
      <c r="S4136" t="s">
        <v>10704</v>
      </c>
      <c r="T4136" t="s">
        <v>13134</v>
      </c>
      <c r="U4136" t="s">
        <v>13134</v>
      </c>
      <c r="V4136" t="s">
        <v>13134</v>
      </c>
      <c r="W4136" t="s">
        <v>17210</v>
      </c>
      <c r="X4136">
        <v>7</v>
      </c>
      <c r="Y4136" t="s">
        <v>23593</v>
      </c>
      <c r="Z4136" t="s">
        <v>30104</v>
      </c>
      <c r="AA4136">
        <v>0.46013557712671432</v>
      </c>
      <c r="AB4136" t="str">
        <f>HYPERLINK("Melting_Curves/meltCurve_Q6PML9_SLC30A9.pdf", "Melting_Curves/meltCurve_Q6PML9_SLC30A9.pdf")</f>
        <v>Melting_Curves/meltCurve_Q6PML9_SLC30A9.pdf</v>
      </c>
    </row>
    <row r="4137" spans="1:28" x14ac:dyDescent="0.25">
      <c r="A4137" t="s">
        <v>4141</v>
      </c>
      <c r="B4137">
        <v>0.99472303558308395</v>
      </c>
      <c r="C4137">
        <v>0.88372569336267903</v>
      </c>
      <c r="D4137">
        <v>1.00414890737178</v>
      </c>
      <c r="E4137">
        <v>0.802970290321665</v>
      </c>
      <c r="F4137">
        <v>0.77943171701719904</v>
      </c>
      <c r="G4137">
        <v>0.63913611726798703</v>
      </c>
      <c r="H4137">
        <v>0.53114331926241498</v>
      </c>
      <c r="I4137">
        <v>0.54964375448356595</v>
      </c>
      <c r="J4137">
        <v>0.64897312264753304</v>
      </c>
      <c r="K4137">
        <v>0.633417622625708</v>
      </c>
      <c r="L4137">
        <v>797.59278434564203</v>
      </c>
      <c r="M4137">
        <v>16.595701351963999</v>
      </c>
      <c r="O4137">
        <v>47.378645141511797</v>
      </c>
      <c r="P4137">
        <v>-3.6327565021964103E-2</v>
      </c>
      <c r="Q4137">
        <v>0.58518563726983197</v>
      </c>
      <c r="R4137">
        <v>0.87877794431919798</v>
      </c>
      <c r="S4137" t="s">
        <v>10705</v>
      </c>
      <c r="T4137" t="s">
        <v>13134</v>
      </c>
      <c r="U4137" t="s">
        <v>13134</v>
      </c>
      <c r="V4137" t="s">
        <v>13134</v>
      </c>
      <c r="W4137" t="s">
        <v>17211</v>
      </c>
      <c r="X4137">
        <v>1</v>
      </c>
      <c r="Y4137" t="s">
        <v>23594</v>
      </c>
      <c r="Z4137" t="s">
        <v>30105</v>
      </c>
      <c r="AA4137">
        <v>0.74578441363774328</v>
      </c>
      <c r="AB4137" t="str">
        <f>HYPERLINK("Melting_Curves/meltCurve_Q6PUV4_CPLX2.pdf", "Melting_Curves/meltCurve_Q6PUV4_CPLX2.pdf")</f>
        <v>Melting_Curves/meltCurve_Q6PUV4_CPLX2.pdf</v>
      </c>
    </row>
    <row r="4138" spans="1:28" x14ac:dyDescent="0.25">
      <c r="A4138" t="s">
        <v>4142</v>
      </c>
      <c r="B4138">
        <v>0.99472303558308395</v>
      </c>
      <c r="C4138">
        <v>1.0037905856353</v>
      </c>
      <c r="D4138">
        <v>0.98059390911714295</v>
      </c>
      <c r="E4138">
        <v>0.844733503426221</v>
      </c>
      <c r="F4138">
        <v>0.67695636661936598</v>
      </c>
      <c r="G4138">
        <v>0.46916714139972998</v>
      </c>
      <c r="H4138">
        <v>0.30498331032154802</v>
      </c>
      <c r="I4138">
        <v>0.21587437947648699</v>
      </c>
      <c r="J4138">
        <v>0.24096316111674301</v>
      </c>
      <c r="K4138">
        <v>0.18555193416474799</v>
      </c>
      <c r="L4138">
        <v>794.71059530767604</v>
      </c>
      <c r="M4138">
        <v>15.408296826220401</v>
      </c>
      <c r="N4138">
        <v>53.008750346594603</v>
      </c>
      <c r="O4138">
        <v>50.731463000701197</v>
      </c>
      <c r="P4138">
        <v>-6.3010232265239705E-2</v>
      </c>
      <c r="Q4138">
        <v>0.17023647212398399</v>
      </c>
      <c r="R4138">
        <v>0.99736596559522706</v>
      </c>
      <c r="S4138" t="s">
        <v>10706</v>
      </c>
      <c r="T4138" t="s">
        <v>13134</v>
      </c>
      <c r="U4138" t="s">
        <v>13134</v>
      </c>
      <c r="V4138" t="s">
        <v>13134</v>
      </c>
      <c r="W4138" t="s">
        <v>17212</v>
      </c>
      <c r="X4138">
        <v>12</v>
      </c>
      <c r="Y4138" t="s">
        <v>23595</v>
      </c>
      <c r="Z4138" t="s">
        <v>30106</v>
      </c>
      <c r="AA4138">
        <v>0.58913391741628629</v>
      </c>
      <c r="AB4138" t="str">
        <f>HYPERLINK("Melting_Curves/meltCurve_Q6QNY0_BLOC1S3.pdf", "Melting_Curves/meltCurve_Q6QNY0_BLOC1S3.pdf")</f>
        <v>Melting_Curves/meltCurve_Q6QNY0_BLOC1S3.pdf</v>
      </c>
    </row>
    <row r="4139" spans="1:28" x14ac:dyDescent="0.25">
      <c r="A4139" t="s">
        <v>4143</v>
      </c>
      <c r="B4139">
        <v>0.99472303558308395</v>
      </c>
      <c r="C4139">
        <v>0.95865279400787495</v>
      </c>
      <c r="D4139">
        <v>0.91425123383422502</v>
      </c>
      <c r="E4139">
        <v>0.83080570615985505</v>
      </c>
      <c r="F4139">
        <v>0.626093039205732</v>
      </c>
      <c r="G4139">
        <v>0.44253706225308798</v>
      </c>
      <c r="H4139">
        <v>0.32708931228976901</v>
      </c>
      <c r="I4139">
        <v>0.20947726613974299</v>
      </c>
      <c r="J4139">
        <v>0.20743141583362301</v>
      </c>
      <c r="K4139">
        <v>0.19857981462233701</v>
      </c>
      <c r="L4139">
        <v>658.80060506358404</v>
      </c>
      <c r="M4139">
        <v>12.859484721051199</v>
      </c>
      <c r="N4139">
        <v>52.615139362666199</v>
      </c>
      <c r="O4139">
        <v>50.039257645110503</v>
      </c>
      <c r="P4139">
        <v>-5.50356557795827E-2</v>
      </c>
      <c r="Q4139">
        <v>0.14353149580979299</v>
      </c>
      <c r="R4139">
        <v>0.99760649342179597</v>
      </c>
      <c r="S4139" t="s">
        <v>10707</v>
      </c>
      <c r="T4139" t="s">
        <v>13134</v>
      </c>
      <c r="U4139" t="s">
        <v>13134</v>
      </c>
      <c r="V4139" t="s">
        <v>13134</v>
      </c>
      <c r="W4139" t="s">
        <v>17213</v>
      </c>
      <c r="X4139">
        <v>4</v>
      </c>
      <c r="Y4139" t="s">
        <v>23596</v>
      </c>
      <c r="Z4139" t="s">
        <v>30107</v>
      </c>
      <c r="AA4139">
        <v>0.57021585323967983</v>
      </c>
      <c r="AB4139" t="str">
        <f>HYPERLINK("Melting_Curves/meltCurve_Q6QNY1_BLOC1S2.pdf", "Melting_Curves/meltCurve_Q6QNY1_BLOC1S2.pdf")</f>
        <v>Melting_Curves/meltCurve_Q6QNY1_BLOC1S2.pdf</v>
      </c>
    </row>
    <row r="4140" spans="1:28" x14ac:dyDescent="0.25">
      <c r="A4140" t="s">
        <v>4144</v>
      </c>
      <c r="B4140">
        <v>0.99472303558308395</v>
      </c>
      <c r="C4140">
        <v>0.81831141472101798</v>
      </c>
      <c r="D4140">
        <v>0.61722318960567302</v>
      </c>
      <c r="E4140">
        <v>0.33390603074953901</v>
      </c>
      <c r="F4140">
        <v>0.21850130752552399</v>
      </c>
      <c r="G4140">
        <v>7.5893590706141906E-2</v>
      </c>
      <c r="H4140">
        <v>3.6107043442530802E-2</v>
      </c>
      <c r="I4140">
        <v>2.7716877129923798E-2</v>
      </c>
      <c r="J4140">
        <v>4.3178585189916699E-2</v>
      </c>
      <c r="K4140">
        <v>1.41294969215826E-2</v>
      </c>
      <c r="L4140">
        <v>628.70781631360501</v>
      </c>
      <c r="M4140">
        <v>14.1482844220068</v>
      </c>
      <c r="N4140">
        <v>44.5191887501351</v>
      </c>
      <c r="O4140">
        <v>43.577565114640898</v>
      </c>
      <c r="P4140">
        <v>-8.0131719824700701E-2</v>
      </c>
      <c r="Q4140">
        <v>1.28836697901749E-2</v>
      </c>
      <c r="R4140">
        <v>0.99526348819971699</v>
      </c>
      <c r="S4140" t="s">
        <v>10708</v>
      </c>
      <c r="T4140" t="s">
        <v>13134</v>
      </c>
      <c r="U4140" t="s">
        <v>13134</v>
      </c>
      <c r="V4140" t="s">
        <v>13134</v>
      </c>
      <c r="W4140" t="s">
        <v>17214</v>
      </c>
      <c r="X4140">
        <v>2</v>
      </c>
      <c r="Y4140" t="s">
        <v>23597</v>
      </c>
      <c r="Z4140" t="s">
        <v>30108</v>
      </c>
      <c r="AA4140">
        <v>0.284615505883831</v>
      </c>
      <c r="AB4140" t="str">
        <f>HYPERLINK("Melting_Curves/meltCurve_Q6R327_RICTOR.pdf", "Melting_Curves/meltCurve_Q6R327_RICTOR.pdf")</f>
        <v>Melting_Curves/meltCurve_Q6R327_RICTOR.pdf</v>
      </c>
    </row>
    <row r="4141" spans="1:28" x14ac:dyDescent="0.25">
      <c r="A4141" t="s">
        <v>4145</v>
      </c>
      <c r="B4141">
        <v>0.99472303558308395</v>
      </c>
      <c r="C4141">
        <v>0.93358253679681003</v>
      </c>
      <c r="D4141">
        <v>0.76825070503648996</v>
      </c>
      <c r="E4141">
        <v>0.78317439665784205</v>
      </c>
      <c r="F4141">
        <v>0.55897915840814605</v>
      </c>
      <c r="G4141">
        <v>0.33083240213524101</v>
      </c>
      <c r="H4141">
        <v>0.20026534697775</v>
      </c>
      <c r="I4141">
        <v>0.101978760654655</v>
      </c>
      <c r="J4141">
        <v>0.103481853156841</v>
      </c>
      <c r="K4141">
        <v>8.1772382615409603E-2</v>
      </c>
      <c r="L4141">
        <v>546.22909452591796</v>
      </c>
      <c r="M4141">
        <v>10.784087496500799</v>
      </c>
      <c r="N4141">
        <v>50.651395837135297</v>
      </c>
      <c r="O4141">
        <v>49.002957379783801</v>
      </c>
      <c r="P4141">
        <v>-5.5037567837577399E-2</v>
      </c>
      <c r="Q4141">
        <v>0</v>
      </c>
      <c r="R4141">
        <v>0.98428127468595805</v>
      </c>
      <c r="S4141" t="s">
        <v>10709</v>
      </c>
      <c r="T4141" t="s">
        <v>13134</v>
      </c>
      <c r="U4141" t="s">
        <v>13134</v>
      </c>
      <c r="V4141" t="s">
        <v>13134</v>
      </c>
      <c r="W4141" t="s">
        <v>17215</v>
      </c>
      <c r="X4141">
        <v>7</v>
      </c>
      <c r="Y4141" t="s">
        <v>23598</v>
      </c>
      <c r="Z4141" t="s">
        <v>30109</v>
      </c>
      <c r="AA4141">
        <v>0.48476307451877892</v>
      </c>
      <c r="AB4141" t="str">
        <f>HYPERLINK("Melting_Curves/meltCurve_Q6RFH5_2_WDR74.pdf", "Melting_Curves/meltCurve_Q6RFH5_2_WDR74.pdf")</f>
        <v>Melting_Curves/meltCurve_Q6RFH5_2_WDR74.pdf</v>
      </c>
    </row>
    <row r="4142" spans="1:28" x14ac:dyDescent="0.25">
      <c r="A4142" t="s">
        <v>4146</v>
      </c>
      <c r="B4142">
        <v>0.99472303558308395</v>
      </c>
      <c r="C4142">
        <v>1.0350578474066601</v>
      </c>
      <c r="D4142">
        <v>0.969245062209519</v>
      </c>
      <c r="E4142">
        <v>0.83727322324137698</v>
      </c>
      <c r="F4142">
        <v>0.79605829043962895</v>
      </c>
      <c r="G4142">
        <v>0.52109069829584298</v>
      </c>
      <c r="H4142">
        <v>0.41205995788252298</v>
      </c>
      <c r="I4142">
        <v>0.36464898194609002</v>
      </c>
      <c r="J4142">
        <v>0.481333190126636</v>
      </c>
      <c r="K4142">
        <v>0.52389728316825501</v>
      </c>
      <c r="L4142">
        <v>1094.8994482770199</v>
      </c>
      <c r="M4142">
        <v>21.7676930931752</v>
      </c>
      <c r="N4142">
        <v>55.456505473423299</v>
      </c>
      <c r="O4142">
        <v>49.880553683811698</v>
      </c>
      <c r="P4142">
        <v>-6.1756225514256101E-2</v>
      </c>
      <c r="Q4142">
        <v>0.43395696683771001</v>
      </c>
      <c r="R4142">
        <v>0.94558502489659402</v>
      </c>
      <c r="S4142" t="s">
        <v>10710</v>
      </c>
      <c r="T4142" t="s">
        <v>13134</v>
      </c>
      <c r="U4142" t="s">
        <v>13134</v>
      </c>
      <c r="V4142" t="s">
        <v>13134</v>
      </c>
      <c r="W4142" t="s">
        <v>17216</v>
      </c>
      <c r="X4142">
        <v>4</v>
      </c>
      <c r="Y4142" t="s">
        <v>23599</v>
      </c>
      <c r="Z4142" t="s">
        <v>30110</v>
      </c>
      <c r="AA4142">
        <v>0.69130240684649458</v>
      </c>
      <c r="AB4142" t="str">
        <f>HYPERLINK("Melting_Curves/meltCurve_Q6RW13_AGTRAP.pdf", "Melting_Curves/meltCurve_Q6RW13_AGTRAP.pdf")</f>
        <v>Melting_Curves/meltCurve_Q6RW13_AGTRAP.pdf</v>
      </c>
    </row>
    <row r="4143" spans="1:28" x14ac:dyDescent="0.25">
      <c r="A4143" t="s">
        <v>4147</v>
      </c>
      <c r="B4143">
        <v>0.99472303558308395</v>
      </c>
      <c r="C4143">
        <v>1.03627932759772</v>
      </c>
      <c r="D4143">
        <v>1.0494128077723801</v>
      </c>
      <c r="E4143">
        <v>0.75660587949309399</v>
      </c>
      <c r="F4143">
        <v>0.38756843589033202</v>
      </c>
      <c r="G4143">
        <v>0.33779496891370298</v>
      </c>
      <c r="H4143">
        <v>0.17304889654514399</v>
      </c>
      <c r="I4143">
        <v>0.117036965044636</v>
      </c>
      <c r="J4143">
        <v>6.6719519993095E-2</v>
      </c>
      <c r="K4143">
        <v>8.2592500808293001E-2</v>
      </c>
      <c r="L4143">
        <v>953.57928551884595</v>
      </c>
      <c r="M4143">
        <v>19.397484384993</v>
      </c>
      <c r="N4143">
        <v>49.720472454143597</v>
      </c>
      <c r="O4143">
        <v>48.646407378229704</v>
      </c>
      <c r="P4143">
        <v>-8.9899392949402399E-2</v>
      </c>
      <c r="Q4143">
        <v>9.82084552162929E-2</v>
      </c>
      <c r="R4143">
        <v>0.98070778512569501</v>
      </c>
      <c r="S4143" t="s">
        <v>10711</v>
      </c>
      <c r="T4143" t="s">
        <v>13134</v>
      </c>
      <c r="U4143" t="s">
        <v>13134</v>
      </c>
      <c r="V4143" t="s">
        <v>13134</v>
      </c>
      <c r="W4143" t="s">
        <v>17217</v>
      </c>
      <c r="X4143">
        <v>13</v>
      </c>
      <c r="Y4143" t="s">
        <v>23600</v>
      </c>
      <c r="Z4143" t="s">
        <v>30111</v>
      </c>
      <c r="AA4143">
        <v>0.47628923068937051</v>
      </c>
      <c r="AB4143" t="str">
        <f>HYPERLINK("Melting_Curves/meltCurve_Q6S8J3_POTEE.pdf", "Melting_Curves/meltCurve_Q6S8J3_POTEE.pdf")</f>
        <v>Melting_Curves/meltCurve_Q6S8J3_POTEE.pdf</v>
      </c>
    </row>
    <row r="4144" spans="1:28" x14ac:dyDescent="0.25">
      <c r="A4144" t="s">
        <v>4148</v>
      </c>
      <c r="B4144">
        <v>0.99472303558308395</v>
      </c>
      <c r="C4144">
        <v>0.62251733891427397</v>
      </c>
      <c r="D4144">
        <v>0.53578191524520002</v>
      </c>
      <c r="E4144">
        <v>0.19449813956839401</v>
      </c>
      <c r="F4144">
        <v>0.11730915144689399</v>
      </c>
      <c r="G4144">
        <v>5.8319728491539498E-2</v>
      </c>
      <c r="H4144">
        <v>3.3332658855113897E-2</v>
      </c>
      <c r="I4144">
        <v>3.58724506195554E-2</v>
      </c>
      <c r="J4144">
        <v>1.6280476887555399E-2</v>
      </c>
      <c r="K4144">
        <v>1.73788496705755E-2</v>
      </c>
      <c r="L4144">
        <v>629.01060236733395</v>
      </c>
      <c r="M4144">
        <v>14.7991508330652</v>
      </c>
      <c r="N4144">
        <v>42.594316722036403</v>
      </c>
      <c r="O4144">
        <v>41.749724606088598</v>
      </c>
      <c r="P4144">
        <v>-8.7246108224902599E-2</v>
      </c>
      <c r="Q4144">
        <v>1.55886312648788E-2</v>
      </c>
      <c r="R4144">
        <v>0.97483182665072499</v>
      </c>
      <c r="S4144" t="s">
        <v>10712</v>
      </c>
      <c r="T4144" t="s">
        <v>13134</v>
      </c>
      <c r="U4144" t="s">
        <v>13134</v>
      </c>
      <c r="V4144" t="s">
        <v>13134</v>
      </c>
      <c r="W4144" t="s">
        <v>17218</v>
      </c>
      <c r="X4144">
        <v>2</v>
      </c>
      <c r="Y4144" t="s">
        <v>23601</v>
      </c>
      <c r="Z4144" t="s">
        <v>30112</v>
      </c>
      <c r="AA4144">
        <v>0.2240275262322256</v>
      </c>
      <c r="AB4144" t="str">
        <f>HYPERLINK("Melting_Curves/meltCurve_Q6SPF0_SAMD1.pdf", "Melting_Curves/meltCurve_Q6SPF0_SAMD1.pdf")</f>
        <v>Melting_Curves/meltCurve_Q6SPF0_SAMD1.pdf</v>
      </c>
    </row>
    <row r="4145" spans="1:28" x14ac:dyDescent="0.25">
      <c r="A4145" t="s">
        <v>4149</v>
      </c>
      <c r="B4145">
        <v>0.99472303558308395</v>
      </c>
      <c r="C4145">
        <v>1.0932812132354399</v>
      </c>
      <c r="D4145">
        <v>0.654625108859759</v>
      </c>
      <c r="E4145">
        <v>0.39423838558172802</v>
      </c>
      <c r="F4145">
        <v>0.196967775787567</v>
      </c>
      <c r="G4145">
        <v>0.12365526662945001</v>
      </c>
      <c r="H4145">
        <v>8.4697710680611493E-2</v>
      </c>
      <c r="I4145">
        <v>7.1496349831650499E-2</v>
      </c>
      <c r="J4145">
        <v>9.0604455033194697E-2</v>
      </c>
      <c r="K4145">
        <v>8.5384038284206903E-2</v>
      </c>
      <c r="L4145">
        <v>964.00250294536704</v>
      </c>
      <c r="M4145">
        <v>21.506219344809601</v>
      </c>
      <c r="N4145">
        <v>45.236841286979597</v>
      </c>
      <c r="O4145">
        <v>44.442200281999703</v>
      </c>
      <c r="P4145">
        <v>-0.11020999417680601</v>
      </c>
      <c r="Q4145">
        <v>8.9034677957268799E-2</v>
      </c>
      <c r="R4145">
        <v>0.97692793290511604</v>
      </c>
      <c r="S4145" t="s">
        <v>10713</v>
      </c>
      <c r="T4145" t="s">
        <v>13134</v>
      </c>
      <c r="U4145" t="s">
        <v>13134</v>
      </c>
      <c r="V4145" t="s">
        <v>13134</v>
      </c>
      <c r="W4145" t="s">
        <v>17219</v>
      </c>
      <c r="X4145">
        <v>7</v>
      </c>
      <c r="Y4145" t="s">
        <v>23602</v>
      </c>
      <c r="Z4145" t="s">
        <v>30113</v>
      </c>
      <c r="AA4145">
        <v>0.3369062187657737</v>
      </c>
      <c r="AB4145" t="str">
        <f>HYPERLINK("Melting_Curves/meltCurve_Q6STE5_2_SMARCD3.pdf", "Melting_Curves/meltCurve_Q6STE5_2_SMARCD3.pdf")</f>
        <v>Melting_Curves/meltCurve_Q6STE5_2_SMARCD3.pdf</v>
      </c>
    </row>
    <row r="4146" spans="1:28" x14ac:dyDescent="0.25">
      <c r="A4146" t="s">
        <v>4150</v>
      </c>
      <c r="B4146">
        <v>0.99472303558308395</v>
      </c>
      <c r="C4146">
        <v>1.0761934353874101</v>
      </c>
      <c r="D4146">
        <v>0.77405258496201101</v>
      </c>
      <c r="E4146">
        <v>0.66924145768420096</v>
      </c>
      <c r="F4146">
        <v>0.40757275394795001</v>
      </c>
      <c r="G4146">
        <v>0.10556196609853</v>
      </c>
      <c r="H4146">
        <v>0.104610680460967</v>
      </c>
      <c r="I4146">
        <v>7.8710732583617701E-2</v>
      </c>
      <c r="J4146">
        <v>0.12111276385784001</v>
      </c>
      <c r="K4146">
        <v>5.6888718018800299E-2</v>
      </c>
      <c r="L4146">
        <v>806.46571341534604</v>
      </c>
      <c r="M4146">
        <v>16.822888534885301</v>
      </c>
      <c r="N4146">
        <v>48.281185914997799</v>
      </c>
      <c r="O4146">
        <v>47.276594406736798</v>
      </c>
      <c r="P4146">
        <v>-8.3960456764465494E-2</v>
      </c>
      <c r="Q4146">
        <v>5.6260040525674203E-2</v>
      </c>
      <c r="R4146">
        <v>0.97605184138643897</v>
      </c>
      <c r="S4146" t="s">
        <v>10714</v>
      </c>
      <c r="T4146" t="s">
        <v>13134</v>
      </c>
      <c r="U4146" t="s">
        <v>13134</v>
      </c>
      <c r="V4146" t="s">
        <v>13134</v>
      </c>
      <c r="W4146" t="s">
        <v>17220</v>
      </c>
      <c r="X4146">
        <v>2</v>
      </c>
      <c r="Y4146" t="s">
        <v>23603</v>
      </c>
      <c r="Z4146" t="s">
        <v>30114</v>
      </c>
      <c r="AA4146">
        <v>0.41741847393552411</v>
      </c>
      <c r="AB4146" t="str">
        <f>HYPERLINK("Melting_Curves/meltCurve_Q6T4P5_LPPR3.pdf", "Melting_Curves/meltCurve_Q6T4P5_LPPR3.pdf")</f>
        <v>Melting_Curves/meltCurve_Q6T4P5_LPPR3.pdf</v>
      </c>
    </row>
    <row r="4147" spans="1:28" x14ac:dyDescent="0.25">
      <c r="A4147" t="s">
        <v>4151</v>
      </c>
      <c r="B4147">
        <v>0.99472303558308395</v>
      </c>
      <c r="C4147">
        <v>0.90508767381085597</v>
      </c>
      <c r="D4147">
        <v>0.89098952280947297</v>
      </c>
      <c r="E4147">
        <v>0.77297689379802903</v>
      </c>
      <c r="F4147">
        <v>0.45481553119108398</v>
      </c>
      <c r="G4147">
        <v>0.101469772110791</v>
      </c>
      <c r="H4147">
        <v>5.8823546254381201E-2</v>
      </c>
      <c r="I4147">
        <v>3.9801174302215997E-2</v>
      </c>
      <c r="J4147">
        <v>4.6829779860091798E-2</v>
      </c>
      <c r="K4147">
        <v>3.7178203701489103E-2</v>
      </c>
      <c r="L4147">
        <v>1004.26881220328</v>
      </c>
      <c r="M4147">
        <v>20.401138225447198</v>
      </c>
      <c r="N4147">
        <v>49.312073460443798</v>
      </c>
      <c r="O4147">
        <v>48.760467166856202</v>
      </c>
      <c r="P4147">
        <v>-0.10277474435023699</v>
      </c>
      <c r="Q4147">
        <v>1.7467871168418098E-2</v>
      </c>
      <c r="R4147">
        <v>0.98868805610547195</v>
      </c>
      <c r="S4147" t="s">
        <v>10715</v>
      </c>
      <c r="T4147" t="s">
        <v>13134</v>
      </c>
      <c r="U4147" t="s">
        <v>13134</v>
      </c>
      <c r="V4147" t="s">
        <v>13134</v>
      </c>
      <c r="W4147" t="s">
        <v>17221</v>
      </c>
      <c r="X4147">
        <v>27</v>
      </c>
      <c r="Y4147" t="s">
        <v>23604</v>
      </c>
      <c r="Z4147" t="s">
        <v>30115</v>
      </c>
      <c r="AA4147">
        <v>0.43037576930867272</v>
      </c>
      <c r="AB4147" t="str">
        <f>HYPERLINK("Melting_Curves/meltCurve_Q6UB35_MTHFD1L.pdf", "Melting_Curves/meltCurve_Q6UB35_MTHFD1L.pdf")</f>
        <v>Melting_Curves/meltCurve_Q6UB35_MTHFD1L.pdf</v>
      </c>
    </row>
    <row r="4148" spans="1:28" x14ac:dyDescent="0.25">
      <c r="A4148" t="s">
        <v>4152</v>
      </c>
      <c r="B4148">
        <v>0.99472303558308395</v>
      </c>
      <c r="C4148">
        <v>0.86904916705634605</v>
      </c>
      <c r="D4148">
        <v>0.425474846233935</v>
      </c>
      <c r="E4148">
        <v>0.32781212528821002</v>
      </c>
      <c r="F4148">
        <v>0.19319676561639901</v>
      </c>
      <c r="G4148">
        <v>0.12014429332502601</v>
      </c>
      <c r="H4148">
        <v>0.12072084684555499</v>
      </c>
      <c r="I4148">
        <v>8.4698097845034001E-2</v>
      </c>
      <c r="J4148">
        <v>0.122411772032764</v>
      </c>
      <c r="K4148">
        <v>7.5991991673700798E-2</v>
      </c>
      <c r="L4148">
        <v>839.42495144824204</v>
      </c>
      <c r="M4148">
        <v>19.706516509290701</v>
      </c>
      <c r="N4148">
        <v>43.157197710306697</v>
      </c>
      <c r="O4148">
        <v>42.164956220885301</v>
      </c>
      <c r="P4148">
        <v>-0.10364548257193699</v>
      </c>
      <c r="Q4148">
        <v>0.11297235855087601</v>
      </c>
      <c r="R4148">
        <v>0.97804266325484401</v>
      </c>
      <c r="S4148" t="s">
        <v>10716</v>
      </c>
      <c r="T4148" t="s">
        <v>13134</v>
      </c>
      <c r="U4148" t="s">
        <v>13134</v>
      </c>
      <c r="V4148" t="s">
        <v>13134</v>
      </c>
      <c r="W4148" t="s">
        <v>17222</v>
      </c>
      <c r="X4148">
        <v>1</v>
      </c>
      <c r="Y4148" t="s">
        <v>23605</v>
      </c>
      <c r="Z4148" t="s">
        <v>30116</v>
      </c>
      <c r="AA4148">
        <v>0.29157914026291498</v>
      </c>
      <c r="AB4148" t="str">
        <f>HYPERLINK("Melting_Curves/meltCurve_Q6UB99_ANKRD11.pdf", "Melting_Curves/meltCurve_Q6UB99_ANKRD11.pdf")</f>
        <v>Melting_Curves/meltCurve_Q6UB99_ANKRD11.pdf</v>
      </c>
    </row>
    <row r="4149" spans="1:28" x14ac:dyDescent="0.25">
      <c r="A4149" t="s">
        <v>4153</v>
      </c>
      <c r="B4149">
        <v>0.99472303558308395</v>
      </c>
      <c r="C4149">
        <v>0.96525534472827901</v>
      </c>
      <c r="D4149">
        <v>0.78568118446139601</v>
      </c>
      <c r="E4149">
        <v>0.66240247633642102</v>
      </c>
      <c r="F4149">
        <v>0.45398952823514999</v>
      </c>
      <c r="G4149">
        <v>0.14950316536122499</v>
      </c>
      <c r="H4149">
        <v>0.11050517472098</v>
      </c>
      <c r="I4149">
        <v>0.106999746118662</v>
      </c>
      <c r="J4149">
        <v>0.10949544299382601</v>
      </c>
      <c r="K4149">
        <v>9.9041166747526999E-2</v>
      </c>
      <c r="L4149">
        <v>691.14627504320299</v>
      </c>
      <c r="M4149">
        <v>14.3777981039701</v>
      </c>
      <c r="N4149">
        <v>48.500054857858302</v>
      </c>
      <c r="O4149">
        <v>47.1691593223808</v>
      </c>
      <c r="P4149">
        <v>-7.1655078480902301E-2</v>
      </c>
      <c r="Q4149">
        <v>5.9798509692689003E-2</v>
      </c>
      <c r="R4149">
        <v>0.98606802780623104</v>
      </c>
      <c r="S4149" t="s">
        <v>10717</v>
      </c>
      <c r="T4149" t="s">
        <v>13134</v>
      </c>
      <c r="U4149" t="s">
        <v>13134</v>
      </c>
      <c r="V4149" t="s">
        <v>13134</v>
      </c>
      <c r="W4149" t="s">
        <v>17223</v>
      </c>
      <c r="X4149">
        <v>6</v>
      </c>
      <c r="Y4149" t="s">
        <v>23606</v>
      </c>
      <c r="Z4149" t="s">
        <v>30117</v>
      </c>
      <c r="AA4149">
        <v>0.42892257048146371</v>
      </c>
      <c r="AB4149" t="str">
        <f>HYPERLINK("Melting_Curves/meltCurve_Q6ULP2_5_AFTPH.pdf", "Melting_Curves/meltCurve_Q6ULP2_5_AFTPH.pdf")</f>
        <v>Melting_Curves/meltCurve_Q6ULP2_5_AFTPH.pdf</v>
      </c>
    </row>
    <row r="4150" spans="1:28" x14ac:dyDescent="0.25">
      <c r="A4150" t="s">
        <v>4154</v>
      </c>
      <c r="B4150">
        <v>0.99472303558308395</v>
      </c>
      <c r="C4150">
        <v>0.89728982797498102</v>
      </c>
      <c r="D4150">
        <v>0.65578615415903396</v>
      </c>
      <c r="E4150">
        <v>0.456479973122356</v>
      </c>
      <c r="F4150">
        <v>0.36436503358313299</v>
      </c>
      <c r="G4150">
        <v>0.34154425297884</v>
      </c>
      <c r="H4150">
        <v>0.385120016331366</v>
      </c>
      <c r="I4150">
        <v>0.53137659909119495</v>
      </c>
      <c r="J4150">
        <v>0.84365032467344103</v>
      </c>
      <c r="K4150">
        <v>0.64567825713023397</v>
      </c>
      <c r="L4150">
        <v>1460.8038422095799</v>
      </c>
      <c r="M4150">
        <v>35.069707485127701</v>
      </c>
      <c r="O4150">
        <v>41.519561011254901</v>
      </c>
      <c r="P4150">
        <v>-0.103424049041925</v>
      </c>
      <c r="Q4150">
        <v>0.51022063588475697</v>
      </c>
      <c r="R4150">
        <v>0.59928333645240195</v>
      </c>
      <c r="S4150" t="s">
        <v>10718</v>
      </c>
      <c r="T4150" t="s">
        <v>13134</v>
      </c>
      <c r="U4150" t="s">
        <v>13134</v>
      </c>
      <c r="V4150" t="s">
        <v>13134</v>
      </c>
      <c r="W4150" t="s">
        <v>17224</v>
      </c>
      <c r="X4150">
        <v>12</v>
      </c>
      <c r="Y4150" t="s">
        <v>23607</v>
      </c>
      <c r="Z4150" t="s">
        <v>30118</v>
      </c>
      <c r="AA4150">
        <v>0.58822233482755715</v>
      </c>
      <c r="AB4150" t="str">
        <f>HYPERLINK("Melting_Curves/meltCurve_Q6UN15_5_FIP1L1.pdf", "Melting_Curves/meltCurve_Q6UN15_5_FIP1L1.pdf")</f>
        <v>Melting_Curves/meltCurve_Q6UN15_5_FIP1L1.pdf</v>
      </c>
    </row>
    <row r="4151" spans="1:28" x14ac:dyDescent="0.25">
      <c r="A4151" t="s">
        <v>4155</v>
      </c>
      <c r="B4151">
        <v>0.99472303558308395</v>
      </c>
      <c r="C4151">
        <v>0.829040878679418</v>
      </c>
      <c r="D4151">
        <v>0.68454662490896601</v>
      </c>
      <c r="E4151">
        <v>0.57898527435408198</v>
      </c>
      <c r="F4151">
        <v>0.37510877042347601</v>
      </c>
      <c r="G4151">
        <v>0.165120238837031</v>
      </c>
      <c r="H4151">
        <v>5.9399606498263501E-2</v>
      </c>
      <c r="I4151">
        <v>6.1766250189896399E-2</v>
      </c>
      <c r="J4151">
        <v>0.12965204296058599</v>
      </c>
      <c r="K4151">
        <v>7.5747712414221999E-2</v>
      </c>
      <c r="L4151">
        <v>515.54531782177105</v>
      </c>
      <c r="M4151">
        <v>11.020660225328299</v>
      </c>
      <c r="N4151">
        <v>46.944837886168798</v>
      </c>
      <c r="O4151">
        <v>45.318804451062903</v>
      </c>
      <c r="P4151">
        <v>-5.9660613090897201E-2</v>
      </c>
      <c r="Q4151">
        <v>1.89908576931818E-2</v>
      </c>
      <c r="R4151">
        <v>0.97893328404997104</v>
      </c>
      <c r="S4151" t="s">
        <v>10719</v>
      </c>
      <c r="T4151" t="s">
        <v>13134</v>
      </c>
      <c r="U4151" t="s">
        <v>13134</v>
      </c>
      <c r="V4151" t="s">
        <v>13134</v>
      </c>
      <c r="W4151" t="s">
        <v>17225</v>
      </c>
      <c r="X4151">
        <v>2</v>
      </c>
      <c r="Y4151" t="s">
        <v>23608</v>
      </c>
      <c r="Z4151" t="s">
        <v>30119</v>
      </c>
      <c r="AA4151">
        <v>0.37604037319180778</v>
      </c>
      <c r="AB4151" t="str">
        <f>HYPERLINK("Melting_Curves/meltCurve_Q6UUV7_3_CRTC3.pdf", "Melting_Curves/meltCurve_Q6UUV7_3_CRTC3.pdf")</f>
        <v>Melting_Curves/meltCurve_Q6UUV7_3_CRTC3.pdf</v>
      </c>
    </row>
    <row r="4152" spans="1:28" x14ac:dyDescent="0.25">
      <c r="A4152" t="s">
        <v>4156</v>
      </c>
      <c r="B4152">
        <v>0.99472303558308395</v>
      </c>
      <c r="C4152">
        <v>1.34651987308174</v>
      </c>
      <c r="D4152">
        <v>0.944086417519725</v>
      </c>
      <c r="E4152">
        <v>0.94336637949780899</v>
      </c>
      <c r="F4152">
        <v>0.84690932577550804</v>
      </c>
      <c r="G4152">
        <v>0.49909777620677698</v>
      </c>
      <c r="H4152">
        <v>0.33279163093721398</v>
      </c>
      <c r="I4152">
        <v>0.278499621442929</v>
      </c>
      <c r="J4152">
        <v>0.49147877792375799</v>
      </c>
      <c r="K4152">
        <v>0.30626569671901999</v>
      </c>
      <c r="L4152">
        <v>1825.6637901962099</v>
      </c>
      <c r="M4152">
        <v>35.214772323923697</v>
      </c>
      <c r="N4152">
        <v>53.659102961058103</v>
      </c>
      <c r="O4152">
        <v>51.677358131390903</v>
      </c>
      <c r="P4152">
        <v>-0.111056992523449</v>
      </c>
      <c r="Q4152">
        <v>0.34810173885286599</v>
      </c>
      <c r="R4152">
        <v>0.87130856305960502</v>
      </c>
      <c r="S4152" t="s">
        <v>10720</v>
      </c>
      <c r="T4152" t="s">
        <v>13134</v>
      </c>
      <c r="U4152" t="s">
        <v>13134</v>
      </c>
      <c r="V4152" t="s">
        <v>13134</v>
      </c>
      <c r="W4152" t="s">
        <v>17226</v>
      </c>
      <c r="X4152">
        <v>1</v>
      </c>
      <c r="Y4152" t="s">
        <v>23609</v>
      </c>
      <c r="Z4152" t="s">
        <v>30120</v>
      </c>
      <c r="AA4152">
        <v>0.67365711454140609</v>
      </c>
      <c r="AB4152" t="str">
        <f>HYPERLINK("Melting_Curves/meltCurve_Q6UUV9_3_CRTC1.pdf", "Melting_Curves/meltCurve_Q6UUV9_3_CRTC1.pdf")</f>
        <v>Melting_Curves/meltCurve_Q6UUV9_3_CRTC1.pdf</v>
      </c>
    </row>
    <row r="4153" spans="1:28" x14ac:dyDescent="0.25">
      <c r="A4153" t="s">
        <v>4157</v>
      </c>
      <c r="B4153">
        <v>0.99472303558308395</v>
      </c>
      <c r="C4153">
        <v>0.90133170802252904</v>
      </c>
      <c r="D4153">
        <v>0.91842223567443904</v>
      </c>
      <c r="E4153">
        <v>0.79940653288839603</v>
      </c>
      <c r="F4153">
        <v>0.58447662066431605</v>
      </c>
      <c r="G4153">
        <v>0.29876420054776798</v>
      </c>
      <c r="H4153">
        <v>0.18339307932909801</v>
      </c>
      <c r="I4153">
        <v>0.13615629309601299</v>
      </c>
      <c r="J4153">
        <v>0.21546510428402599</v>
      </c>
      <c r="K4153">
        <v>0.19153521661921999</v>
      </c>
      <c r="L4153">
        <v>898.86848017572197</v>
      </c>
      <c r="M4153">
        <v>18.079638286227201</v>
      </c>
      <c r="N4153">
        <v>50.7377880934621</v>
      </c>
      <c r="O4153">
        <v>49.120898941218101</v>
      </c>
      <c r="P4153">
        <v>-7.7992500382553204E-2</v>
      </c>
      <c r="Q4153">
        <v>0.15244411317633699</v>
      </c>
      <c r="R4153">
        <v>0.98341777255603902</v>
      </c>
      <c r="S4153" t="s">
        <v>10721</v>
      </c>
      <c r="T4153" t="s">
        <v>13134</v>
      </c>
      <c r="U4153" t="s">
        <v>13134</v>
      </c>
      <c r="V4153" t="s">
        <v>13134</v>
      </c>
      <c r="W4153" t="s">
        <v>17227</v>
      </c>
      <c r="X4153">
        <v>10</v>
      </c>
      <c r="Y4153" t="s">
        <v>23610</v>
      </c>
      <c r="Z4153" t="s">
        <v>30121</v>
      </c>
      <c r="AA4153">
        <v>0.52502368642741903</v>
      </c>
      <c r="AB4153" t="str">
        <f>HYPERLINK("Melting_Curves/meltCurve_Q6UW63_KDELC1.pdf", "Melting_Curves/meltCurve_Q6UW63_KDELC1.pdf")</f>
        <v>Melting_Curves/meltCurve_Q6UW63_KDELC1.pdf</v>
      </c>
    </row>
    <row r="4154" spans="1:28" x14ac:dyDescent="0.25">
      <c r="A4154" t="s">
        <v>4158</v>
      </c>
      <c r="B4154">
        <v>0.99472303558308395</v>
      </c>
      <c r="C4154">
        <v>1.0166635990734101</v>
      </c>
      <c r="D4154">
        <v>0.88599039690354797</v>
      </c>
      <c r="E4154">
        <v>0.72716977920743597</v>
      </c>
      <c r="F4154">
        <v>0.53835200379855097</v>
      </c>
      <c r="G4154">
        <v>0.414812541249719</v>
      </c>
      <c r="H4154">
        <v>0.34389671199656602</v>
      </c>
      <c r="I4154">
        <v>0.32658465857590901</v>
      </c>
      <c r="J4154">
        <v>0.63440300948538297</v>
      </c>
      <c r="K4154">
        <v>0.34662443257077702</v>
      </c>
      <c r="L4154">
        <v>997.49153252330302</v>
      </c>
      <c r="M4154">
        <v>21.328736602757001</v>
      </c>
      <c r="N4154">
        <v>50.769590198047801</v>
      </c>
      <c r="O4154">
        <v>46.362199634627302</v>
      </c>
      <c r="P4154">
        <v>-6.8211015325753396E-2</v>
      </c>
      <c r="Q4154">
        <v>0.40693479529792298</v>
      </c>
      <c r="R4154">
        <v>0.89379365640389596</v>
      </c>
      <c r="S4154" t="s">
        <v>10722</v>
      </c>
      <c r="T4154" t="s">
        <v>13134</v>
      </c>
      <c r="U4154" t="s">
        <v>13134</v>
      </c>
      <c r="V4154" t="s">
        <v>13134</v>
      </c>
      <c r="W4154" t="s">
        <v>17228</v>
      </c>
      <c r="X4154">
        <v>3</v>
      </c>
      <c r="Y4154" t="s">
        <v>23611</v>
      </c>
      <c r="Z4154" t="s">
        <v>30122</v>
      </c>
      <c r="AA4154">
        <v>0.60685643786868537</v>
      </c>
      <c r="AB4154" t="str">
        <f>HYPERLINK("Melting_Curves/meltCurve_Q6UW78_C11orf83.pdf", "Melting_Curves/meltCurve_Q6UW78_C11orf83.pdf")</f>
        <v>Melting_Curves/meltCurve_Q6UW78_C11orf83.pdf</v>
      </c>
    </row>
    <row r="4155" spans="1:28" x14ac:dyDescent="0.25">
      <c r="A4155" t="s">
        <v>4159</v>
      </c>
      <c r="B4155">
        <v>0.99472303558308395</v>
      </c>
      <c r="C4155">
        <v>0.99277317843851898</v>
      </c>
      <c r="D4155">
        <v>0.939558838428314</v>
      </c>
      <c r="E4155">
        <v>0.89211532845283303</v>
      </c>
      <c r="F4155">
        <v>0.79983236221554199</v>
      </c>
      <c r="G4155">
        <v>0.39675356855850502</v>
      </c>
      <c r="H4155">
        <v>0.34324519267981102</v>
      </c>
      <c r="I4155">
        <v>0.203169006255013</v>
      </c>
      <c r="J4155">
        <v>0.247104667752957</v>
      </c>
      <c r="K4155">
        <v>0.337169924585836</v>
      </c>
      <c r="L4155">
        <v>1482.0790720878799</v>
      </c>
      <c r="M4155">
        <v>28.7878475793738</v>
      </c>
      <c r="N4155">
        <v>52.877689612025399</v>
      </c>
      <c r="O4155">
        <v>51.236297055119302</v>
      </c>
      <c r="P4155">
        <v>-0.103098938986748</v>
      </c>
      <c r="Q4155">
        <v>0.26602818153591601</v>
      </c>
      <c r="R4155">
        <v>0.97659723473696503</v>
      </c>
      <c r="S4155" t="s">
        <v>10723</v>
      </c>
      <c r="T4155" t="s">
        <v>13134</v>
      </c>
      <c r="U4155" t="s">
        <v>13134</v>
      </c>
      <c r="V4155" t="s">
        <v>13134</v>
      </c>
      <c r="W4155" t="s">
        <v>17229</v>
      </c>
      <c r="X4155">
        <v>2</v>
      </c>
      <c r="Y4155" t="s">
        <v>23612</v>
      </c>
      <c r="Z4155" t="s">
        <v>30123</v>
      </c>
      <c r="AA4155">
        <v>0.62534348313860755</v>
      </c>
      <c r="AB4155" t="str">
        <f>HYPERLINK("Melting_Curves/meltCurve_Q6UWB1_IL27RA.pdf", "Melting_Curves/meltCurve_Q6UWB1_IL27RA.pdf")</f>
        <v>Melting_Curves/meltCurve_Q6UWB1_IL27RA.pdf</v>
      </c>
    </row>
    <row r="4156" spans="1:28" x14ac:dyDescent="0.25">
      <c r="A4156" t="s">
        <v>4160</v>
      </c>
      <c r="B4156">
        <v>0.99472303558308395</v>
      </c>
      <c r="C4156">
        <v>0.97380933528936897</v>
      </c>
      <c r="D4156">
        <v>0.91563233182849002</v>
      </c>
      <c r="E4156">
        <v>0.80680270888384198</v>
      </c>
      <c r="F4156">
        <v>0.38886561837293998</v>
      </c>
      <c r="G4156">
        <v>0.152661808444538</v>
      </c>
      <c r="H4156">
        <v>0.10084711488994599</v>
      </c>
      <c r="I4156">
        <v>6.8591057793104995E-2</v>
      </c>
      <c r="J4156">
        <v>7.7372978764345193E-2</v>
      </c>
      <c r="K4156">
        <v>7.3046630538486201E-2</v>
      </c>
      <c r="L4156">
        <v>1190.1757851815</v>
      </c>
      <c r="M4156">
        <v>24.3296504015062</v>
      </c>
      <c r="N4156">
        <v>49.217905676567902</v>
      </c>
      <c r="O4156">
        <v>48.591865498921798</v>
      </c>
      <c r="P4156">
        <v>-0.11657161437024401</v>
      </c>
      <c r="Q4156">
        <v>6.8733886161369495E-2</v>
      </c>
      <c r="R4156">
        <v>0.99743749316594799</v>
      </c>
      <c r="S4156" t="s">
        <v>10724</v>
      </c>
      <c r="T4156" t="s">
        <v>13134</v>
      </c>
      <c r="U4156" t="s">
        <v>13134</v>
      </c>
      <c r="V4156" t="s">
        <v>13134</v>
      </c>
      <c r="W4156" t="s">
        <v>17230</v>
      </c>
      <c r="X4156">
        <v>16</v>
      </c>
      <c r="Y4156" t="s">
        <v>23613</v>
      </c>
      <c r="Z4156" t="s">
        <v>30124</v>
      </c>
      <c r="AA4156">
        <v>0.44719210151771838</v>
      </c>
      <c r="AB4156" t="str">
        <f>HYPERLINK("Melting_Curves/meltCurve_Q6UWE0_LRSAM1.pdf", "Melting_Curves/meltCurve_Q6UWE0_LRSAM1.pdf")</f>
        <v>Melting_Curves/meltCurve_Q6UWE0_LRSAM1.pdf</v>
      </c>
    </row>
    <row r="4157" spans="1:28" x14ac:dyDescent="0.25">
      <c r="A4157" t="s">
        <v>4161</v>
      </c>
      <c r="B4157">
        <v>0.99472303558308395</v>
      </c>
      <c r="C4157">
        <v>0.934505760765594</v>
      </c>
      <c r="D4157">
        <v>0.99642210711491697</v>
      </c>
      <c r="E4157">
        <v>0.92909715945493498</v>
      </c>
      <c r="F4157">
        <v>0.788008715491055</v>
      </c>
      <c r="G4157">
        <v>0.55031322945088201</v>
      </c>
      <c r="H4157">
        <v>8.0601670367741296E-2</v>
      </c>
      <c r="I4157">
        <v>5.0804618776975202E-2</v>
      </c>
      <c r="J4157">
        <v>4.3060935767092801E-2</v>
      </c>
      <c r="K4157">
        <v>4.2964500783137197E-2</v>
      </c>
      <c r="L4157">
        <v>1314.8296275072801</v>
      </c>
      <c r="M4157">
        <v>24.5644308146402</v>
      </c>
      <c r="N4157">
        <v>53.5624949384042</v>
      </c>
      <c r="O4157">
        <v>53.174782985534797</v>
      </c>
      <c r="P4157">
        <v>-0.114525825557968</v>
      </c>
      <c r="Q4157">
        <v>8.3547533049921699E-3</v>
      </c>
      <c r="R4157">
        <v>0.98650460803012097</v>
      </c>
      <c r="S4157" t="s">
        <v>10725</v>
      </c>
      <c r="T4157" t="s">
        <v>13134</v>
      </c>
      <c r="U4157" t="s">
        <v>13134</v>
      </c>
      <c r="V4157" t="s">
        <v>13134</v>
      </c>
      <c r="W4157" t="s">
        <v>17231</v>
      </c>
      <c r="X4157">
        <v>12</v>
      </c>
      <c r="Y4157" t="s">
        <v>23614</v>
      </c>
      <c r="Z4157" t="s">
        <v>30125</v>
      </c>
      <c r="AA4157">
        <v>0.56358867001092294</v>
      </c>
      <c r="AB4157" t="str">
        <f>HYPERLINK("Melting_Curves/meltCurve_Q6UWP2_DHRS11.pdf", "Melting_Curves/meltCurve_Q6UWP2_DHRS11.pdf")</f>
        <v>Melting_Curves/meltCurve_Q6UWP2_DHRS11.pdf</v>
      </c>
    </row>
    <row r="4158" spans="1:28" x14ac:dyDescent="0.25">
      <c r="A4158" t="s">
        <v>4162</v>
      </c>
      <c r="B4158">
        <v>0.99472303558308395</v>
      </c>
      <c r="C4158">
        <v>0.98402831532314305</v>
      </c>
      <c r="D4158">
        <v>0.96659424272836503</v>
      </c>
      <c r="E4158">
        <v>0.82516922090121103</v>
      </c>
      <c r="F4158">
        <v>0.63510661577452399</v>
      </c>
      <c r="G4158">
        <v>0.47631652431870702</v>
      </c>
      <c r="H4158">
        <v>0.21853460936529601</v>
      </c>
      <c r="I4158">
        <v>0.112423713930906</v>
      </c>
      <c r="J4158">
        <v>0.109555438633946</v>
      </c>
      <c r="K4158">
        <v>7.5741286496899402E-2</v>
      </c>
      <c r="L4158">
        <v>699.52635008619302</v>
      </c>
      <c r="M4158">
        <v>13.3329896041447</v>
      </c>
      <c r="N4158">
        <v>52.554867307238702</v>
      </c>
      <c r="O4158">
        <v>51.327731590569599</v>
      </c>
      <c r="P4158">
        <v>-6.4225493526801403E-2</v>
      </c>
      <c r="Q4158">
        <v>1.1168154143481299E-2</v>
      </c>
      <c r="R4158">
        <v>0.99563592462693395</v>
      </c>
      <c r="S4158" t="s">
        <v>10726</v>
      </c>
      <c r="T4158" t="s">
        <v>13134</v>
      </c>
      <c r="U4158" t="s">
        <v>13134</v>
      </c>
      <c r="V4158" t="s">
        <v>13134</v>
      </c>
      <c r="W4158" t="s">
        <v>17232</v>
      </c>
      <c r="X4158">
        <v>8</v>
      </c>
      <c r="Y4158" t="s">
        <v>23615</v>
      </c>
      <c r="Z4158" t="s">
        <v>30126</v>
      </c>
      <c r="AA4158">
        <v>0.54151939317250397</v>
      </c>
      <c r="AB4158" t="str">
        <f>HYPERLINK("Melting_Curves/meltCurve_Q6UWP7_3_LCLAT1.pdf", "Melting_Curves/meltCurve_Q6UWP7_3_LCLAT1.pdf")</f>
        <v>Melting_Curves/meltCurve_Q6UWP7_3_LCLAT1.pdf</v>
      </c>
    </row>
    <row r="4159" spans="1:28" x14ac:dyDescent="0.25">
      <c r="A4159" t="s">
        <v>4163</v>
      </c>
      <c r="B4159">
        <v>0.99472303558308395</v>
      </c>
      <c r="C4159">
        <v>0.648061076007592</v>
      </c>
      <c r="D4159">
        <v>1.0031493636170901</v>
      </c>
      <c r="E4159">
        <v>0.67257086440536495</v>
      </c>
      <c r="F4159">
        <v>0.41851497384309599</v>
      </c>
      <c r="G4159">
        <v>0.32132734322802797</v>
      </c>
      <c r="H4159">
        <v>0.225815688896922</v>
      </c>
      <c r="I4159">
        <v>0.24567999743344801</v>
      </c>
      <c r="J4159">
        <v>0.24997929082588399</v>
      </c>
      <c r="K4159">
        <v>0.20053377356822499</v>
      </c>
      <c r="L4159">
        <v>602.94136434668997</v>
      </c>
      <c r="M4159">
        <v>12.660894257270501</v>
      </c>
      <c r="N4159">
        <v>49.371883741265499</v>
      </c>
      <c r="O4159">
        <v>46.481161344764402</v>
      </c>
      <c r="P4159">
        <v>-5.5798975081373998E-2</v>
      </c>
      <c r="Q4159">
        <v>0.180755019003211</v>
      </c>
      <c r="R4159">
        <v>0.86628987535801905</v>
      </c>
      <c r="S4159" t="s">
        <v>10727</v>
      </c>
      <c r="T4159" t="s">
        <v>13134</v>
      </c>
      <c r="U4159" t="s">
        <v>13134</v>
      </c>
      <c r="V4159" t="s">
        <v>13134</v>
      </c>
      <c r="W4159" t="s">
        <v>17233</v>
      </c>
      <c r="X4159">
        <v>1</v>
      </c>
      <c r="Y4159" t="s">
        <v>23616</v>
      </c>
      <c r="Z4159" t="s">
        <v>30127</v>
      </c>
      <c r="AA4159">
        <v>0.49488821880619371</v>
      </c>
      <c r="AB4159" t="str">
        <f>HYPERLINK("Melting_Curves/meltCurve_Q6UWS5_PET117.pdf", "Melting_Curves/meltCurve_Q6UWS5_PET117.pdf")</f>
        <v>Melting_Curves/meltCurve_Q6UWS5_PET117.pdf</v>
      </c>
    </row>
    <row r="4160" spans="1:28" x14ac:dyDescent="0.25">
      <c r="A4160" t="s">
        <v>4164</v>
      </c>
      <c r="B4160">
        <v>0.99472303558308395</v>
      </c>
      <c r="C4160">
        <v>1.0889504379383199</v>
      </c>
      <c r="D4160">
        <v>1.03481495541629</v>
      </c>
      <c r="E4160">
        <v>0.92292230231518302</v>
      </c>
      <c r="F4160">
        <v>0.66016909727353301</v>
      </c>
      <c r="G4160">
        <v>0.53866627570261805</v>
      </c>
      <c r="H4160">
        <v>0.423989034542537</v>
      </c>
      <c r="I4160">
        <v>0.418499043439852</v>
      </c>
      <c r="J4160">
        <v>0.48333181640018602</v>
      </c>
      <c r="K4160">
        <v>0.225509440417238</v>
      </c>
      <c r="L4160">
        <v>1009.3388786394499</v>
      </c>
      <c r="M4160">
        <v>19.969249461116402</v>
      </c>
      <c r="N4160">
        <v>54.129075221821203</v>
      </c>
      <c r="O4160">
        <v>50.045969442471502</v>
      </c>
      <c r="P4160">
        <v>-6.3171915684153507E-2</v>
      </c>
      <c r="Q4160">
        <v>0.36674711133559401</v>
      </c>
      <c r="R4160">
        <v>0.94316498187266695</v>
      </c>
      <c r="S4160" t="s">
        <v>10728</v>
      </c>
      <c r="T4160" t="s">
        <v>13134</v>
      </c>
      <c r="U4160" t="s">
        <v>13134</v>
      </c>
      <c r="V4160" t="s">
        <v>13134</v>
      </c>
      <c r="W4160" t="s">
        <v>17234</v>
      </c>
      <c r="X4160">
        <v>4</v>
      </c>
      <c r="Y4160" t="s">
        <v>23617</v>
      </c>
      <c r="Z4160" t="s">
        <v>30128</v>
      </c>
      <c r="AA4160">
        <v>0.66099516995181673</v>
      </c>
      <c r="AB4160" t="str">
        <f>HYPERLINK("Melting_Curves/meltCurve_Q6UWU4_C6orf89.pdf", "Melting_Curves/meltCurve_Q6UWU4_C6orf89.pdf")</f>
        <v>Melting_Curves/meltCurve_Q6UWU4_C6orf89.pdf</v>
      </c>
    </row>
    <row r="4161" spans="1:28" x14ac:dyDescent="0.25">
      <c r="A4161" t="s">
        <v>4165</v>
      </c>
      <c r="B4161">
        <v>0.99472303558308395</v>
      </c>
      <c r="C4161">
        <v>0.94654184681527498</v>
      </c>
      <c r="D4161">
        <v>0.90431719726610704</v>
      </c>
      <c r="E4161">
        <v>0.71197553595227003</v>
      </c>
      <c r="F4161">
        <v>0.22456132307111701</v>
      </c>
      <c r="G4161">
        <v>0.13338473319667599</v>
      </c>
      <c r="H4161">
        <v>8.1435432135047101E-2</v>
      </c>
      <c r="I4161">
        <v>7.0735164919418905E-2</v>
      </c>
      <c r="J4161">
        <v>8.3833921688270793E-2</v>
      </c>
      <c r="K4161">
        <v>7.0355841948482406E-2</v>
      </c>
      <c r="L4161">
        <v>1351.33394377271</v>
      </c>
      <c r="M4161">
        <v>28.3443863030814</v>
      </c>
      <c r="N4161">
        <v>47.9514385722401</v>
      </c>
      <c r="O4161">
        <v>47.440124118626997</v>
      </c>
      <c r="P4161">
        <v>-0.13813184292352501</v>
      </c>
      <c r="Q4161">
        <v>7.5240056343575099E-2</v>
      </c>
      <c r="R4161">
        <v>0.99480680052276604</v>
      </c>
      <c r="S4161" t="s">
        <v>10729</v>
      </c>
      <c r="T4161" t="s">
        <v>13134</v>
      </c>
      <c r="U4161" t="s">
        <v>13134</v>
      </c>
      <c r="V4161" t="s">
        <v>13134</v>
      </c>
      <c r="W4161" t="s">
        <v>17235</v>
      </c>
      <c r="X4161">
        <v>16</v>
      </c>
      <c r="Y4161" t="s">
        <v>23618</v>
      </c>
      <c r="Z4161" t="s">
        <v>30129</v>
      </c>
      <c r="AA4161">
        <v>0.41041901711017648</v>
      </c>
      <c r="AB4161" t="str">
        <f>HYPERLINK("Melting_Curves/meltCurve_Q6UX04_CWC27.pdf", "Melting_Curves/meltCurve_Q6UX04_CWC27.pdf")</f>
        <v>Melting_Curves/meltCurve_Q6UX04_CWC27.pdf</v>
      </c>
    </row>
    <row r="4162" spans="1:28" x14ac:dyDescent="0.25">
      <c r="A4162" t="s">
        <v>4166</v>
      </c>
      <c r="B4162">
        <v>0.99472303558308395</v>
      </c>
      <c r="C4162">
        <v>0.87313977970342405</v>
      </c>
      <c r="D4162">
        <v>0.81220229794201604</v>
      </c>
      <c r="E4162">
        <v>0.49474665453847999</v>
      </c>
      <c r="F4162">
        <v>0.14024425295745299</v>
      </c>
      <c r="G4162">
        <v>5.1632949103940201E-2</v>
      </c>
      <c r="H4162">
        <v>2.5556491837662999E-2</v>
      </c>
      <c r="I4162">
        <v>1.7640832139925601E-2</v>
      </c>
      <c r="J4162">
        <v>1.8979041243397599E-2</v>
      </c>
      <c r="K4162">
        <v>8.0414234414276208E-3</v>
      </c>
      <c r="L4162">
        <v>875.93020635195705</v>
      </c>
      <c r="M4162">
        <v>18.960246252451899</v>
      </c>
      <c r="N4162">
        <v>46.198530977116</v>
      </c>
      <c r="O4162">
        <v>45.693537959745299</v>
      </c>
      <c r="P4162">
        <v>-0.103733651362167</v>
      </c>
      <c r="Q4162">
        <v>6.2018940498728296E-5</v>
      </c>
      <c r="R4162">
        <v>0.99353732841501596</v>
      </c>
      <c r="S4162" t="s">
        <v>10730</v>
      </c>
      <c r="T4162" t="s">
        <v>13134</v>
      </c>
      <c r="U4162" t="s">
        <v>13134</v>
      </c>
      <c r="V4162" t="s">
        <v>13134</v>
      </c>
      <c r="W4162" t="s">
        <v>17236</v>
      </c>
      <c r="X4162">
        <v>3</v>
      </c>
      <c r="Y4162" t="s">
        <v>23619</v>
      </c>
      <c r="Z4162" t="s">
        <v>30130</v>
      </c>
      <c r="AA4162">
        <v>0.32120076749780302</v>
      </c>
      <c r="AB4162" t="str">
        <f>HYPERLINK("Melting_Curves/meltCurve_Q6UX07_DHRS13.pdf", "Melting_Curves/meltCurve_Q6UX07_DHRS13.pdf")</f>
        <v>Melting_Curves/meltCurve_Q6UX07_DHRS13.pdf</v>
      </c>
    </row>
    <row r="4163" spans="1:28" x14ac:dyDescent="0.25">
      <c r="A4163" t="s">
        <v>4167</v>
      </c>
      <c r="B4163">
        <v>0.99472303558308395</v>
      </c>
      <c r="C4163">
        <v>1.0282527508583801</v>
      </c>
      <c r="D4163">
        <v>1.0323572998027699</v>
      </c>
      <c r="E4163">
        <v>0.89271347713706495</v>
      </c>
      <c r="F4163">
        <v>0.62694117097172497</v>
      </c>
      <c r="G4163">
        <v>0.46559688517962999</v>
      </c>
      <c r="H4163">
        <v>0.30949731622718202</v>
      </c>
      <c r="I4163">
        <v>0.301099752262663</v>
      </c>
      <c r="J4163">
        <v>0.39631026033028399</v>
      </c>
      <c r="K4163">
        <v>0.33297176062886702</v>
      </c>
      <c r="L4163">
        <v>1239.91003416129</v>
      </c>
      <c r="M4163">
        <v>24.872054460479902</v>
      </c>
      <c r="N4163">
        <v>52.158826784953597</v>
      </c>
      <c r="O4163">
        <v>49.532623520201902</v>
      </c>
      <c r="P4163">
        <v>-8.3656265380892006E-2</v>
      </c>
      <c r="Q4163">
        <v>0.33360432219868003</v>
      </c>
      <c r="R4163">
        <v>0.98651582968194196</v>
      </c>
      <c r="S4163" t="s">
        <v>10731</v>
      </c>
      <c r="T4163" t="s">
        <v>13134</v>
      </c>
      <c r="U4163" t="s">
        <v>13134</v>
      </c>
      <c r="V4163" t="s">
        <v>13134</v>
      </c>
      <c r="W4163" t="s">
        <v>17237</v>
      </c>
      <c r="X4163">
        <v>6</v>
      </c>
      <c r="Y4163" t="s">
        <v>23620</v>
      </c>
      <c r="Z4163" t="s">
        <v>30131</v>
      </c>
      <c r="AA4163">
        <v>0.6249536566336964</v>
      </c>
      <c r="AB4163" t="str">
        <f>HYPERLINK("Melting_Curves/meltCurve_Q6UXH1_4_CRELD2.pdf", "Melting_Curves/meltCurve_Q6UXH1_4_CRELD2.pdf")</f>
        <v>Melting_Curves/meltCurve_Q6UXH1_4_CRELD2.pdf</v>
      </c>
    </row>
    <row r="4164" spans="1:28" x14ac:dyDescent="0.25">
      <c r="A4164" t="s">
        <v>4168</v>
      </c>
      <c r="B4164">
        <v>0.99472303558308395</v>
      </c>
      <c r="C4164">
        <v>0.90958071286340603</v>
      </c>
      <c r="D4164">
        <v>0.87982852962961999</v>
      </c>
      <c r="E4164">
        <v>0.73442665637514504</v>
      </c>
      <c r="F4164">
        <v>0.53409474738389595</v>
      </c>
      <c r="G4164">
        <v>0.40091942994199498</v>
      </c>
      <c r="H4164">
        <v>0.186946101192623</v>
      </c>
      <c r="I4164">
        <v>0.169064810076098</v>
      </c>
      <c r="J4164">
        <v>8.7249919550368399E-2</v>
      </c>
      <c r="K4164">
        <v>6.6314911172452307E-2</v>
      </c>
      <c r="L4164">
        <v>542.57624871112796</v>
      </c>
      <c r="M4164">
        <v>10.6495797121805</v>
      </c>
      <c r="N4164">
        <v>50.948136777302103</v>
      </c>
      <c r="O4164">
        <v>49.250193649965397</v>
      </c>
      <c r="P4164">
        <v>-5.40792253361147E-2</v>
      </c>
      <c r="Q4164">
        <v>0</v>
      </c>
      <c r="R4164">
        <v>0.99489720978018104</v>
      </c>
      <c r="S4164" t="s">
        <v>10732</v>
      </c>
      <c r="T4164" t="s">
        <v>13134</v>
      </c>
      <c r="U4164" t="s">
        <v>13134</v>
      </c>
      <c r="V4164" t="s">
        <v>13134</v>
      </c>
      <c r="W4164" t="s">
        <v>17238</v>
      </c>
      <c r="X4164">
        <v>11</v>
      </c>
      <c r="Y4164" t="s">
        <v>23621</v>
      </c>
      <c r="Z4164" t="s">
        <v>30132</v>
      </c>
      <c r="AA4164">
        <v>0.49411062429708419</v>
      </c>
      <c r="AB4164" t="str">
        <f>HYPERLINK("Melting_Curves/meltCurve_Q6UXN9_WDR82.pdf", "Melting_Curves/meltCurve_Q6UXN9_WDR82.pdf")</f>
        <v>Melting_Curves/meltCurve_Q6UXN9_WDR82.pdf</v>
      </c>
    </row>
    <row r="4165" spans="1:28" x14ac:dyDescent="0.25">
      <c r="A4165" t="s">
        <v>4169</v>
      </c>
      <c r="B4165">
        <v>0.99472303558308395</v>
      </c>
      <c r="C4165">
        <v>0.97085248375629696</v>
      </c>
      <c r="D4165">
        <v>0.84417718533790198</v>
      </c>
      <c r="E4165">
        <v>0.73557512868472896</v>
      </c>
      <c r="F4165">
        <v>0.53567008882758005</v>
      </c>
      <c r="G4165">
        <v>0.62734228772309197</v>
      </c>
      <c r="H4165">
        <v>0.57771996332915099</v>
      </c>
      <c r="I4165">
        <v>0.60909360619283603</v>
      </c>
      <c r="J4165">
        <v>0.83256626845738202</v>
      </c>
      <c r="K4165">
        <v>0.62138669080737496</v>
      </c>
      <c r="L4165">
        <v>1194.06416866735</v>
      </c>
      <c r="M4165">
        <v>27.380743856296402</v>
      </c>
      <c r="O4165">
        <v>43.379003917528799</v>
      </c>
      <c r="P4165">
        <v>-5.7119397309602402E-2</v>
      </c>
      <c r="Q4165">
        <v>0.63802892009768497</v>
      </c>
      <c r="R4165">
        <v>0.76969828869027102</v>
      </c>
      <c r="S4165" t="s">
        <v>10733</v>
      </c>
      <c r="T4165" t="s">
        <v>13134</v>
      </c>
      <c r="U4165" t="s">
        <v>13134</v>
      </c>
      <c r="V4165" t="s">
        <v>13134</v>
      </c>
      <c r="W4165" t="s">
        <v>17239</v>
      </c>
      <c r="X4165">
        <v>9</v>
      </c>
      <c r="Y4165" t="s">
        <v>23622</v>
      </c>
      <c r="Z4165" t="s">
        <v>30133</v>
      </c>
      <c r="AA4165">
        <v>0.72022624670185043</v>
      </c>
      <c r="AB4165" t="str">
        <f>HYPERLINK("Melting_Curves/meltCurve_Q6UXV4_APOOL.pdf", "Melting_Curves/meltCurve_Q6UXV4_APOOL.pdf")</f>
        <v>Melting_Curves/meltCurve_Q6UXV4_APOOL.pdf</v>
      </c>
    </row>
    <row r="4166" spans="1:28" x14ac:dyDescent="0.25">
      <c r="A4166" t="s">
        <v>4170</v>
      </c>
      <c r="B4166">
        <v>0.99472303558308395</v>
      </c>
      <c r="C4166">
        <v>1.18204912337926</v>
      </c>
      <c r="D4166">
        <v>0.81569331684002899</v>
      </c>
      <c r="E4166">
        <v>0.83963242514046499</v>
      </c>
      <c r="F4166">
        <v>0.67468935740051605</v>
      </c>
      <c r="G4166">
        <v>8.8255838902134703E-2</v>
      </c>
      <c r="H4166">
        <v>7.72994453654893E-2</v>
      </c>
      <c r="I4166">
        <v>0</v>
      </c>
      <c r="J4166">
        <v>0</v>
      </c>
      <c r="K4166">
        <v>0</v>
      </c>
      <c r="L4166">
        <v>1578.54523609219</v>
      </c>
      <c r="M4166">
        <v>30.9845858838057</v>
      </c>
      <c r="N4166">
        <v>50.946133459475298</v>
      </c>
      <c r="O4166">
        <v>50.7353203109408</v>
      </c>
      <c r="P4166">
        <v>-0.15267839853561699</v>
      </c>
      <c r="Q4166">
        <v>0</v>
      </c>
      <c r="R4166">
        <v>0.95636637767037602</v>
      </c>
      <c r="S4166" t="s">
        <v>10734</v>
      </c>
      <c r="T4166" t="s">
        <v>13134</v>
      </c>
      <c r="U4166" t="s">
        <v>13134</v>
      </c>
      <c r="V4166" t="s">
        <v>13134</v>
      </c>
      <c r="W4166" t="s">
        <v>17240</v>
      </c>
      <c r="X4166">
        <v>1</v>
      </c>
      <c r="Y4166" t="s">
        <v>23623</v>
      </c>
      <c r="Z4166" t="s">
        <v>30134</v>
      </c>
      <c r="AA4166">
        <v>0.47071572652007349</v>
      </c>
      <c r="AB4166" t="str">
        <f>HYPERLINK("Melting_Curves/meltCurve_Q6UY14_2_ADAMTSL4.pdf", "Melting_Curves/meltCurve_Q6UY14_2_ADAMTSL4.pdf")</f>
        <v>Melting_Curves/meltCurve_Q6UY14_2_ADAMTSL4.pdf</v>
      </c>
    </row>
    <row r="4167" spans="1:28" x14ac:dyDescent="0.25">
      <c r="A4167" t="s">
        <v>4171</v>
      </c>
      <c r="B4167">
        <v>0.99472303558308395</v>
      </c>
      <c r="C4167">
        <v>0.93193785389404404</v>
      </c>
      <c r="D4167">
        <v>0.828225374074823</v>
      </c>
      <c r="E4167">
        <v>0.50371214111232099</v>
      </c>
      <c r="F4167">
        <v>0.21023667429947199</v>
      </c>
      <c r="G4167">
        <v>0.10809252017318299</v>
      </c>
      <c r="H4167">
        <v>9.8351061318888197E-2</v>
      </c>
      <c r="I4167">
        <v>7.5556921019939105E-2</v>
      </c>
      <c r="J4167">
        <v>8.7391333671568899E-2</v>
      </c>
      <c r="K4167">
        <v>8.2155343843279896E-2</v>
      </c>
      <c r="L4167">
        <v>937.61372607867395</v>
      </c>
      <c r="M4167">
        <v>20.3272203055223</v>
      </c>
      <c r="N4167">
        <v>46.493919590655999</v>
      </c>
      <c r="O4167">
        <v>45.6865586365507</v>
      </c>
      <c r="P4167">
        <v>-0.102971804542869</v>
      </c>
      <c r="Q4167">
        <v>7.4288758014872294E-2</v>
      </c>
      <c r="R4167">
        <v>0.99869440387336805</v>
      </c>
      <c r="S4167" t="s">
        <v>10735</v>
      </c>
      <c r="T4167" t="s">
        <v>13134</v>
      </c>
      <c r="U4167" t="s">
        <v>13134</v>
      </c>
      <c r="V4167" t="s">
        <v>13134</v>
      </c>
      <c r="W4167" t="s">
        <v>17241</v>
      </c>
      <c r="X4167">
        <v>6</v>
      </c>
      <c r="Y4167" t="s">
        <v>23624</v>
      </c>
      <c r="Z4167" t="s">
        <v>30135</v>
      </c>
      <c r="AA4167">
        <v>0.36760154490974378</v>
      </c>
      <c r="AB4167" t="str">
        <f>HYPERLINK("Melting_Curves/meltCurve_Q6VMQ6_2_ATF7IP.pdf", "Melting_Curves/meltCurve_Q6VMQ6_2_ATF7IP.pdf")</f>
        <v>Melting_Curves/meltCurve_Q6VMQ6_2_ATF7IP.pdf</v>
      </c>
    </row>
    <row r="4168" spans="1:28" x14ac:dyDescent="0.25">
      <c r="A4168" t="s">
        <v>4172</v>
      </c>
      <c r="B4168">
        <v>0.99472303558308395</v>
      </c>
      <c r="C4168">
        <v>0.85653776954194205</v>
      </c>
      <c r="D4168">
        <v>0.88903507940600102</v>
      </c>
      <c r="E4168">
        <v>0.61819203386718902</v>
      </c>
      <c r="F4168">
        <v>0.35615030562817901</v>
      </c>
      <c r="G4168">
        <v>0.13638274934991401</v>
      </c>
      <c r="H4168">
        <v>7.9971607324350505E-2</v>
      </c>
      <c r="I4168">
        <v>6.3729544167640706E-2</v>
      </c>
      <c r="J4168">
        <v>7.3950336413500295E-2</v>
      </c>
      <c r="K4168">
        <v>5.54360327140117E-2</v>
      </c>
      <c r="L4168">
        <v>764.83590603924904</v>
      </c>
      <c r="M4168">
        <v>16.0168140903363</v>
      </c>
      <c r="N4168">
        <v>47.972625620260402</v>
      </c>
      <c r="O4168">
        <v>47.026290324612503</v>
      </c>
      <c r="P4168">
        <v>-8.21318841871473E-2</v>
      </c>
      <c r="Q4168">
        <v>3.54995452634842E-2</v>
      </c>
      <c r="R4168">
        <v>0.98954842265607601</v>
      </c>
      <c r="S4168" t="s">
        <v>10736</v>
      </c>
      <c r="T4168" t="s">
        <v>13134</v>
      </c>
      <c r="U4168" t="s">
        <v>13134</v>
      </c>
      <c r="V4168" t="s">
        <v>13134</v>
      </c>
      <c r="W4168" t="s">
        <v>17242</v>
      </c>
      <c r="X4168">
        <v>6</v>
      </c>
      <c r="Y4168" t="s">
        <v>23625</v>
      </c>
      <c r="Z4168" t="s">
        <v>30136</v>
      </c>
      <c r="AA4168">
        <v>0.40023651783978059</v>
      </c>
      <c r="AB4168" t="str">
        <f>HYPERLINK("Melting_Curves/meltCurve_Q6VY07_PACS1.pdf", "Melting_Curves/meltCurve_Q6VY07_PACS1.pdf")</f>
        <v>Melting_Curves/meltCurve_Q6VY07_PACS1.pdf</v>
      </c>
    </row>
    <row r="4169" spans="1:28" x14ac:dyDescent="0.25">
      <c r="A4169" t="s">
        <v>4173</v>
      </c>
      <c r="B4169">
        <v>0.99472303558308395</v>
      </c>
      <c r="C4169">
        <v>0.80139675805632105</v>
      </c>
      <c r="D4169">
        <v>0.626981545178943</v>
      </c>
      <c r="E4169">
        <v>0.37572718626509999</v>
      </c>
      <c r="F4169">
        <v>0.24389596087586299</v>
      </c>
      <c r="G4169">
        <v>0.15169978382166599</v>
      </c>
      <c r="H4169">
        <v>0.10314282179076099</v>
      </c>
      <c r="I4169">
        <v>7.8328412563034105E-2</v>
      </c>
      <c r="J4169">
        <v>0.101698954390797</v>
      </c>
      <c r="K4169">
        <v>0.103261226644103</v>
      </c>
      <c r="L4169">
        <v>619.27213276802104</v>
      </c>
      <c r="M4169">
        <v>14.0277989951844</v>
      </c>
      <c r="N4169">
        <v>44.717218505352903</v>
      </c>
      <c r="O4169">
        <v>43.277960153956101</v>
      </c>
      <c r="P4169">
        <v>-7.4396719886732202E-2</v>
      </c>
      <c r="Q4169">
        <v>8.2018437844772696E-2</v>
      </c>
      <c r="R4169">
        <v>0.99509291573042402</v>
      </c>
      <c r="S4169" t="s">
        <v>10737</v>
      </c>
      <c r="T4169" t="s">
        <v>13134</v>
      </c>
      <c r="U4169" t="s">
        <v>13134</v>
      </c>
      <c r="V4169" t="s">
        <v>13134</v>
      </c>
      <c r="W4169" t="s">
        <v>17243</v>
      </c>
      <c r="X4169">
        <v>6</v>
      </c>
      <c r="Y4169" t="s">
        <v>23626</v>
      </c>
      <c r="Z4169" t="s">
        <v>30137</v>
      </c>
      <c r="AA4169">
        <v>0.32663488371321192</v>
      </c>
      <c r="AB4169" t="str">
        <f>HYPERLINK("Melting_Curves/meltCurve_Q6W2J9_4_BCOR.pdf", "Melting_Curves/meltCurve_Q6W2J9_4_BCOR.pdf")</f>
        <v>Melting_Curves/meltCurve_Q6W2J9_4_BCOR.pdf</v>
      </c>
    </row>
    <row r="4170" spans="1:28" x14ac:dyDescent="0.25">
      <c r="A4170" t="s">
        <v>4174</v>
      </c>
      <c r="B4170">
        <v>0.99472303558308395</v>
      </c>
      <c r="C4170">
        <v>1.0572549404337701</v>
      </c>
      <c r="D4170">
        <v>0.99763952175627202</v>
      </c>
      <c r="E4170">
        <v>0.81054005531559004</v>
      </c>
      <c r="F4170">
        <v>0.39145979727192998</v>
      </c>
      <c r="G4170">
        <v>0.130208198611939</v>
      </c>
      <c r="H4170">
        <v>7.1901211416986299E-2</v>
      </c>
      <c r="I4170">
        <v>4.2081071197381602E-2</v>
      </c>
      <c r="J4170">
        <v>4.7266555437998702E-2</v>
      </c>
      <c r="K4170">
        <v>4.8143853907347003E-2</v>
      </c>
      <c r="L4170">
        <v>1313.78914027049</v>
      </c>
      <c r="M4170">
        <v>26.747270651036001</v>
      </c>
      <c r="N4170">
        <v>49.294771083491099</v>
      </c>
      <c r="O4170">
        <v>48.8465271303535</v>
      </c>
      <c r="P4170">
        <v>-0.13065656950583501</v>
      </c>
      <c r="Q4170">
        <v>4.5576785652556698E-2</v>
      </c>
      <c r="R4170">
        <v>0.99778692377667599</v>
      </c>
      <c r="S4170" t="s">
        <v>10738</v>
      </c>
      <c r="T4170" t="s">
        <v>13134</v>
      </c>
      <c r="U4170" t="s">
        <v>13134</v>
      </c>
      <c r="V4170" t="s">
        <v>13134</v>
      </c>
      <c r="W4170" t="s">
        <v>17244</v>
      </c>
      <c r="X4170">
        <v>17</v>
      </c>
      <c r="Y4170" t="s">
        <v>23627</v>
      </c>
      <c r="Z4170" t="s">
        <v>30138</v>
      </c>
      <c r="AA4170">
        <v>0.43835949946112918</v>
      </c>
      <c r="AB4170" t="str">
        <f>HYPERLINK("Melting_Curves/meltCurve_Q6WKZ4_RAB11FIP1.pdf", "Melting_Curves/meltCurve_Q6WKZ4_RAB11FIP1.pdf")</f>
        <v>Melting_Curves/meltCurve_Q6WKZ4_RAB11FIP1.pdf</v>
      </c>
    </row>
    <row r="4171" spans="1:28" x14ac:dyDescent="0.25">
      <c r="A4171" t="s">
        <v>4175</v>
      </c>
      <c r="B4171">
        <v>0.99472303558308395</v>
      </c>
      <c r="C4171">
        <v>0.969501946529848</v>
      </c>
      <c r="D4171">
        <v>0.93167967875156399</v>
      </c>
      <c r="E4171">
        <v>0.85382407092050205</v>
      </c>
      <c r="F4171">
        <v>0.77417697594818102</v>
      </c>
      <c r="G4171">
        <v>0.60270546760990396</v>
      </c>
      <c r="H4171">
        <v>0.48221410366505602</v>
      </c>
      <c r="I4171">
        <v>0.52585206943274498</v>
      </c>
      <c r="J4171">
        <v>0.63576459718471801</v>
      </c>
      <c r="K4171">
        <v>0.47834625431273298</v>
      </c>
      <c r="L4171">
        <v>791.14065823452904</v>
      </c>
      <c r="M4171">
        <v>16.018526242267502</v>
      </c>
      <c r="O4171">
        <v>48.638606600695397</v>
      </c>
      <c r="P4171">
        <v>-4.01190238350108E-2</v>
      </c>
      <c r="Q4171">
        <v>0.51276889009714099</v>
      </c>
      <c r="R4171">
        <v>0.93627813062429099</v>
      </c>
      <c r="S4171" t="s">
        <v>10739</v>
      </c>
      <c r="T4171" t="s">
        <v>13134</v>
      </c>
      <c r="U4171" t="s">
        <v>13134</v>
      </c>
      <c r="V4171" t="s">
        <v>13134</v>
      </c>
      <c r="W4171" t="s">
        <v>17245</v>
      </c>
      <c r="X4171">
        <v>23</v>
      </c>
      <c r="Y4171" t="s">
        <v>23628</v>
      </c>
      <c r="Z4171" t="s">
        <v>30139</v>
      </c>
      <c r="AA4171">
        <v>0.72334490896303472</v>
      </c>
      <c r="AB4171" t="str">
        <f>HYPERLINK("Melting_Curves/meltCurve_Q6XQN6_NAPRT1.pdf", "Melting_Curves/meltCurve_Q6XQN6_NAPRT1.pdf")</f>
        <v>Melting_Curves/meltCurve_Q6XQN6_NAPRT1.pdf</v>
      </c>
    </row>
    <row r="4172" spans="1:28" x14ac:dyDescent="0.25">
      <c r="A4172" t="s">
        <v>4176</v>
      </c>
      <c r="B4172">
        <v>0.99472303558308395</v>
      </c>
      <c r="C4172">
        <v>1.1408844707577299</v>
      </c>
      <c r="D4172">
        <v>0.95534755334225696</v>
      </c>
      <c r="E4172">
        <v>1.0341598847957301</v>
      </c>
      <c r="F4172">
        <v>0.89514567792899302</v>
      </c>
      <c r="G4172">
        <v>0.51290421635505901</v>
      </c>
      <c r="H4172">
        <v>0.37032840007252799</v>
      </c>
      <c r="I4172">
        <v>0.38357301703785501</v>
      </c>
      <c r="J4172">
        <v>0.48042412575003701</v>
      </c>
      <c r="K4172">
        <v>0.58346422837712697</v>
      </c>
      <c r="L4172">
        <v>2854.1004948664499</v>
      </c>
      <c r="M4172">
        <v>55.3828191208598</v>
      </c>
      <c r="N4172">
        <v>53.8974361819607</v>
      </c>
      <c r="O4172">
        <v>51.466981831616998</v>
      </c>
      <c r="P4172">
        <v>-0.14636996037246799</v>
      </c>
      <c r="Q4172">
        <v>0.45591676688778598</v>
      </c>
      <c r="R4172">
        <v>0.93286506865273</v>
      </c>
      <c r="S4172" t="s">
        <v>10740</v>
      </c>
      <c r="T4172" t="s">
        <v>13134</v>
      </c>
      <c r="U4172" t="s">
        <v>13134</v>
      </c>
      <c r="V4172" t="s">
        <v>13134</v>
      </c>
      <c r="W4172" t="s">
        <v>17246</v>
      </c>
      <c r="X4172">
        <v>2</v>
      </c>
      <c r="Y4172" t="s">
        <v>23629</v>
      </c>
      <c r="Z4172" t="s">
        <v>30140</v>
      </c>
      <c r="AA4172">
        <v>0.72051464633020101</v>
      </c>
      <c r="AB4172" t="str">
        <f>HYPERLINK("Melting_Curves/meltCurve_Q6XR72_SLC30A10.pdf", "Melting_Curves/meltCurve_Q6XR72_SLC30A10.pdf")</f>
        <v>Melting_Curves/meltCurve_Q6XR72_SLC30A10.pdf</v>
      </c>
    </row>
    <row r="4173" spans="1:28" x14ac:dyDescent="0.25">
      <c r="A4173" t="s">
        <v>4177</v>
      </c>
      <c r="B4173">
        <v>0.99472303558308395</v>
      </c>
      <c r="C4173">
        <v>0.91310272131650005</v>
      </c>
      <c r="D4173">
        <v>0.83813798955496199</v>
      </c>
      <c r="E4173">
        <v>0.465725544155494</v>
      </c>
      <c r="F4173">
        <v>0.30481697481617198</v>
      </c>
      <c r="G4173">
        <v>0.18500758016076699</v>
      </c>
      <c r="H4173">
        <v>8.2726248511863401E-2</v>
      </c>
      <c r="I4173">
        <v>7.0758147559872794E-2</v>
      </c>
      <c r="J4173">
        <v>5.4220296179341501E-2</v>
      </c>
      <c r="K4173">
        <v>9.5724936952079495E-2</v>
      </c>
      <c r="L4173">
        <v>744.52494864261803</v>
      </c>
      <c r="M4173">
        <v>16.048812797493898</v>
      </c>
      <c r="N4173">
        <v>46.7900154053387</v>
      </c>
      <c r="O4173">
        <v>45.688926951385298</v>
      </c>
      <c r="P4173">
        <v>-8.2209511472929195E-2</v>
      </c>
      <c r="Q4173">
        <v>6.3912493796963996E-2</v>
      </c>
      <c r="R4173">
        <v>0.99357204006801203</v>
      </c>
      <c r="S4173" t="s">
        <v>10741</v>
      </c>
      <c r="T4173" t="s">
        <v>13134</v>
      </c>
      <c r="U4173" t="s">
        <v>13134</v>
      </c>
      <c r="V4173" t="s">
        <v>13134</v>
      </c>
      <c r="W4173" t="s">
        <v>17247</v>
      </c>
      <c r="X4173">
        <v>1</v>
      </c>
      <c r="Y4173" t="s">
        <v>23630</v>
      </c>
      <c r="Z4173" t="s">
        <v>30141</v>
      </c>
      <c r="AA4173">
        <v>0.37577321066217539</v>
      </c>
      <c r="AB4173" t="str">
        <f>HYPERLINK("Melting_Curves/meltCurve_Q6Y1H2_PTPLB.pdf", "Melting_Curves/meltCurve_Q6Y1H2_PTPLB.pdf")</f>
        <v>Melting_Curves/meltCurve_Q6Y1H2_PTPLB.pdf</v>
      </c>
    </row>
    <row r="4174" spans="1:28" x14ac:dyDescent="0.25">
      <c r="A4174" t="s">
        <v>4178</v>
      </c>
      <c r="B4174">
        <v>0.99472303558308395</v>
      </c>
      <c r="C4174">
        <v>0.93200187554229996</v>
      </c>
      <c r="D4174">
        <v>0.756861689391924</v>
      </c>
      <c r="E4174">
        <v>0.47607004022315302</v>
      </c>
      <c r="F4174">
        <v>0.216927101894659</v>
      </c>
      <c r="G4174">
        <v>0.108007742450571</v>
      </c>
      <c r="H4174">
        <v>6.1277006282156703E-2</v>
      </c>
      <c r="I4174">
        <v>4.4158413317115099E-2</v>
      </c>
      <c r="J4174">
        <v>5.0675398478493998E-2</v>
      </c>
      <c r="K4174">
        <v>4.2409213344443399E-2</v>
      </c>
      <c r="L4174">
        <v>770.86217539879704</v>
      </c>
      <c r="M4174">
        <v>16.7667959918662</v>
      </c>
      <c r="N4174">
        <v>46.166367098342498</v>
      </c>
      <c r="O4174">
        <v>45.336458434920701</v>
      </c>
      <c r="P4174">
        <v>-8.9367721012200405E-2</v>
      </c>
      <c r="Q4174">
        <v>3.3482226652536799E-2</v>
      </c>
      <c r="R4174">
        <v>0.99952561763590397</v>
      </c>
      <c r="S4174" t="s">
        <v>10742</v>
      </c>
      <c r="T4174" t="s">
        <v>13134</v>
      </c>
      <c r="U4174" t="s">
        <v>13134</v>
      </c>
      <c r="V4174" t="s">
        <v>13134</v>
      </c>
      <c r="W4174" t="s">
        <v>17248</v>
      </c>
      <c r="X4174">
        <v>29</v>
      </c>
      <c r="Y4174" t="s">
        <v>23631</v>
      </c>
      <c r="Z4174" t="s">
        <v>30142</v>
      </c>
      <c r="AA4174">
        <v>0.34063382558090499</v>
      </c>
      <c r="AB4174" t="str">
        <f>HYPERLINK("Melting_Curves/meltCurve_Q6Y7W6_4_GIGYF2.pdf", "Melting_Curves/meltCurve_Q6Y7W6_4_GIGYF2.pdf")</f>
        <v>Melting_Curves/meltCurve_Q6Y7W6_4_GIGYF2.pdf</v>
      </c>
    </row>
    <row r="4175" spans="1:28" x14ac:dyDescent="0.25">
      <c r="A4175" t="s">
        <v>4179</v>
      </c>
      <c r="B4175">
        <v>0.99472303558308395</v>
      </c>
      <c r="C4175">
        <v>0.81407552399948202</v>
      </c>
      <c r="D4175">
        <v>0.79211576401836303</v>
      </c>
      <c r="E4175">
        <v>0.52096128879050996</v>
      </c>
      <c r="F4175">
        <v>0.155203710792883</v>
      </c>
      <c r="G4175">
        <v>8.4580687524125897E-2</v>
      </c>
      <c r="H4175">
        <v>6.2310907630505598E-2</v>
      </c>
      <c r="I4175">
        <v>4.69831136601798E-2</v>
      </c>
      <c r="J4175">
        <v>3.9923105787702799E-2</v>
      </c>
      <c r="K4175">
        <v>3.24236985985311E-2</v>
      </c>
      <c r="L4175">
        <v>748.49669135863303</v>
      </c>
      <c r="M4175">
        <v>16.249008690419</v>
      </c>
      <c r="N4175">
        <v>46.163496389229998</v>
      </c>
      <c r="O4175">
        <v>45.383406801189402</v>
      </c>
      <c r="P4175">
        <v>-8.7978078173901506E-2</v>
      </c>
      <c r="Q4175">
        <v>1.7183065761540099E-2</v>
      </c>
      <c r="R4175">
        <v>0.98351860372948396</v>
      </c>
      <c r="S4175" t="s">
        <v>10743</v>
      </c>
      <c r="T4175" t="s">
        <v>13134</v>
      </c>
      <c r="U4175" t="s">
        <v>13134</v>
      </c>
      <c r="V4175" t="s">
        <v>13134</v>
      </c>
      <c r="W4175" t="s">
        <v>17249</v>
      </c>
      <c r="X4175">
        <v>11</v>
      </c>
      <c r="Y4175" t="s">
        <v>23632</v>
      </c>
      <c r="Z4175" t="s">
        <v>30143</v>
      </c>
      <c r="AA4175">
        <v>0.3335434212061002</v>
      </c>
      <c r="AB4175" t="str">
        <f>HYPERLINK("Melting_Curves/meltCurve_Q6YHU6_3_THADA.pdf", "Melting_Curves/meltCurve_Q6YHU6_3_THADA.pdf")</f>
        <v>Melting_Curves/meltCurve_Q6YHU6_3_THADA.pdf</v>
      </c>
    </row>
    <row r="4176" spans="1:28" x14ac:dyDescent="0.25">
      <c r="A4176" t="s">
        <v>4180</v>
      </c>
      <c r="B4176">
        <v>0.99472303558308395</v>
      </c>
      <c r="C4176">
        <v>1.04370680233311</v>
      </c>
      <c r="D4176">
        <v>0.97595026177092303</v>
      </c>
      <c r="E4176">
        <v>0.89448312630681204</v>
      </c>
      <c r="F4176">
        <v>0.489300215708519</v>
      </c>
      <c r="G4176">
        <v>0.14335098112151801</v>
      </c>
      <c r="H4176">
        <v>6.5179347219465902E-2</v>
      </c>
      <c r="I4176">
        <v>5.2217310385789202E-2</v>
      </c>
      <c r="J4176">
        <v>5.0305205102543799E-2</v>
      </c>
      <c r="K4176">
        <v>5.2882585374162801E-2</v>
      </c>
      <c r="L4176">
        <v>1479.9315474923401</v>
      </c>
      <c r="M4176">
        <v>29.642686545201499</v>
      </c>
      <c r="N4176">
        <v>50.095949948199603</v>
      </c>
      <c r="O4176">
        <v>49.700125032919097</v>
      </c>
      <c r="P4176">
        <v>-0.141963563618488</v>
      </c>
      <c r="Q4176">
        <v>4.7919141440012601E-2</v>
      </c>
      <c r="R4176">
        <v>0.99873438162784101</v>
      </c>
      <c r="S4176" t="s">
        <v>10744</v>
      </c>
      <c r="T4176" t="s">
        <v>13134</v>
      </c>
      <c r="U4176" t="s">
        <v>13134</v>
      </c>
      <c r="V4176" t="s">
        <v>13134</v>
      </c>
      <c r="W4176" t="s">
        <v>17250</v>
      </c>
      <c r="X4176">
        <v>8</v>
      </c>
      <c r="Y4176" t="s">
        <v>23633</v>
      </c>
      <c r="Z4176" t="s">
        <v>30144</v>
      </c>
      <c r="AA4176">
        <v>0.46410340663216659</v>
      </c>
      <c r="AB4176" t="str">
        <f>HYPERLINK("Melting_Curves/meltCurve_Q6YN16_HSDL2.pdf", "Melting_Curves/meltCurve_Q6YN16_HSDL2.pdf")</f>
        <v>Melting_Curves/meltCurve_Q6YN16_HSDL2.pdf</v>
      </c>
    </row>
    <row r="4177" spans="1:28" x14ac:dyDescent="0.25">
      <c r="A4177" t="s">
        <v>4181</v>
      </c>
      <c r="B4177">
        <v>0.99472303558308395</v>
      </c>
      <c r="C4177">
        <v>0.97172472585108904</v>
      </c>
      <c r="D4177">
        <v>0.935053117683466</v>
      </c>
      <c r="E4177">
        <v>0.88108835707701305</v>
      </c>
      <c r="F4177">
        <v>0.75730869911217702</v>
      </c>
      <c r="G4177">
        <v>0.59053435433897605</v>
      </c>
      <c r="H4177">
        <v>0.49055697170218598</v>
      </c>
      <c r="I4177">
        <v>0.48100817045705702</v>
      </c>
      <c r="J4177">
        <v>0.55195251455980499</v>
      </c>
      <c r="K4177">
        <v>0.38573551279471302</v>
      </c>
      <c r="L4177">
        <v>726.75668261478995</v>
      </c>
      <c r="M4177">
        <v>14.344824196064399</v>
      </c>
      <c r="N4177">
        <v>58.946833338088403</v>
      </c>
      <c r="O4177">
        <v>49.709267597383899</v>
      </c>
      <c r="P4177">
        <v>-4.0881967291573701E-2</v>
      </c>
      <c r="Q4177">
        <v>0.43339338978299602</v>
      </c>
      <c r="R4177">
        <v>0.96814587404785102</v>
      </c>
      <c r="S4177" t="s">
        <v>10745</v>
      </c>
      <c r="T4177" t="s">
        <v>13134</v>
      </c>
      <c r="U4177" t="s">
        <v>13134</v>
      </c>
      <c r="V4177" t="s">
        <v>13134</v>
      </c>
      <c r="W4177" t="s">
        <v>17251</v>
      </c>
      <c r="X4177">
        <v>17</v>
      </c>
      <c r="Y4177" t="s">
        <v>23634</v>
      </c>
      <c r="Z4177" t="s">
        <v>30145</v>
      </c>
      <c r="AA4177">
        <v>0.70372431575592487</v>
      </c>
      <c r="AB4177" t="str">
        <f>HYPERLINK("Melting_Curves/meltCurve_Q6YP21_3_CCBL2.pdf", "Melting_Curves/meltCurve_Q6YP21_3_CCBL2.pdf")</f>
        <v>Melting_Curves/meltCurve_Q6YP21_3_CCBL2.pdf</v>
      </c>
    </row>
    <row r="4178" spans="1:28" x14ac:dyDescent="0.25">
      <c r="A4178" t="s">
        <v>4182</v>
      </c>
      <c r="B4178">
        <v>0.99472303558308395</v>
      </c>
      <c r="C4178">
        <v>1.03778877977401</v>
      </c>
      <c r="D4178">
        <v>0.81517989357841603</v>
      </c>
      <c r="E4178">
        <v>0.72125340877981003</v>
      </c>
      <c r="F4178">
        <v>0.44824815746848301</v>
      </c>
      <c r="G4178">
        <v>0.242909948827256</v>
      </c>
      <c r="H4178">
        <v>0.15966342240963799</v>
      </c>
      <c r="I4178">
        <v>8.9503978650531099E-2</v>
      </c>
      <c r="J4178">
        <v>8.5688995123053405E-2</v>
      </c>
      <c r="K4178">
        <v>8.6251375302193595E-2</v>
      </c>
      <c r="L4178">
        <v>710.03225679596198</v>
      </c>
      <c r="M4178">
        <v>14.5023717911352</v>
      </c>
      <c r="N4178">
        <v>49.350356171741502</v>
      </c>
      <c r="O4178">
        <v>48.057059601166699</v>
      </c>
      <c r="P4178">
        <v>-7.1360917878672603E-2</v>
      </c>
      <c r="Q4178">
        <v>5.4223534318358302E-2</v>
      </c>
      <c r="R4178">
        <v>0.99128684098318198</v>
      </c>
      <c r="S4178" t="s">
        <v>10746</v>
      </c>
      <c r="T4178" t="s">
        <v>13134</v>
      </c>
      <c r="U4178" t="s">
        <v>13134</v>
      </c>
      <c r="V4178" t="s">
        <v>13134</v>
      </c>
      <c r="W4178" t="s">
        <v>17252</v>
      </c>
      <c r="X4178">
        <v>6</v>
      </c>
      <c r="Y4178" t="s">
        <v>23635</v>
      </c>
      <c r="Z4178" t="s">
        <v>30146</v>
      </c>
      <c r="AA4178">
        <v>0.45272929125483352</v>
      </c>
      <c r="AB4178" t="str">
        <f>HYPERLINK("Melting_Curves/meltCurve_Q6ZMI0_PPP1R21.pdf", "Melting_Curves/meltCurve_Q6ZMI0_PPP1R21.pdf")</f>
        <v>Melting_Curves/meltCurve_Q6ZMI0_PPP1R21.pdf</v>
      </c>
    </row>
    <row r="4179" spans="1:28" x14ac:dyDescent="0.25">
      <c r="A4179" t="s">
        <v>4183</v>
      </c>
      <c r="B4179">
        <v>0.99472303558308395</v>
      </c>
      <c r="C4179">
        <v>0.93956265521392701</v>
      </c>
      <c r="D4179">
        <v>0.78849700407573298</v>
      </c>
      <c r="E4179">
        <v>0.65445982831720795</v>
      </c>
      <c r="F4179">
        <v>0.455610927069657</v>
      </c>
      <c r="G4179">
        <v>0.262444888915906</v>
      </c>
      <c r="H4179">
        <v>0.19194923608824699</v>
      </c>
      <c r="I4179">
        <v>0.14216285090688099</v>
      </c>
      <c r="J4179">
        <v>0.17659932574347301</v>
      </c>
      <c r="K4179">
        <v>0.189351304077433</v>
      </c>
      <c r="L4179">
        <v>627.14374261822798</v>
      </c>
      <c r="M4179">
        <v>13.1608276199029</v>
      </c>
      <c r="N4179">
        <v>48.781872018708199</v>
      </c>
      <c r="O4179">
        <v>46.592422727247197</v>
      </c>
      <c r="P4179">
        <v>-6.1352033743324902E-2</v>
      </c>
      <c r="Q4179">
        <v>0.131344281547008</v>
      </c>
      <c r="R4179">
        <v>0.99232232693131395</v>
      </c>
      <c r="S4179" t="s">
        <v>10747</v>
      </c>
      <c r="T4179" t="s">
        <v>13134</v>
      </c>
      <c r="U4179" t="s">
        <v>13134</v>
      </c>
      <c r="V4179" t="s">
        <v>13134</v>
      </c>
      <c r="W4179" t="s">
        <v>17253</v>
      </c>
      <c r="X4179">
        <v>3</v>
      </c>
      <c r="Y4179" t="s">
        <v>23636</v>
      </c>
      <c r="Z4179" t="s">
        <v>30147</v>
      </c>
      <c r="AA4179">
        <v>0.46374513052191291</v>
      </c>
      <c r="AB4179" t="str">
        <f>HYPERLINK("Melting_Curves/meltCurve_Q6ZN04_MEX3B.pdf", "Melting_Curves/meltCurve_Q6ZN04_MEX3B.pdf")</f>
        <v>Melting_Curves/meltCurve_Q6ZN04_MEX3B.pdf</v>
      </c>
    </row>
    <row r="4180" spans="1:28" x14ac:dyDescent="0.25">
      <c r="A4180" t="s">
        <v>4184</v>
      </c>
      <c r="B4180">
        <v>0.99472303558308395</v>
      </c>
      <c r="C4180">
        <v>1.06627510422123</v>
      </c>
      <c r="D4180">
        <v>1.06792142620009</v>
      </c>
      <c r="E4180">
        <v>0.91642411659178302</v>
      </c>
      <c r="F4180">
        <v>0.56082363226407805</v>
      </c>
      <c r="G4180">
        <v>0.46748847204007199</v>
      </c>
      <c r="H4180">
        <v>0.34948359058477801</v>
      </c>
      <c r="I4180">
        <v>0.328526999789364</v>
      </c>
      <c r="J4180">
        <v>0.37765658954956699</v>
      </c>
      <c r="K4180">
        <v>0.26938765594342701</v>
      </c>
      <c r="L4180">
        <v>1396.1949798154899</v>
      </c>
      <c r="M4180">
        <v>28.2424513016039</v>
      </c>
      <c r="N4180">
        <v>51.4878686055891</v>
      </c>
      <c r="O4180">
        <v>49.190195362200001</v>
      </c>
      <c r="P4180">
        <v>-9.5057916206045007E-2</v>
      </c>
      <c r="Q4180">
        <v>0.33775191426239598</v>
      </c>
      <c r="R4180">
        <v>0.97638585469721595</v>
      </c>
      <c r="S4180" t="s">
        <v>10748</v>
      </c>
      <c r="T4180" t="s">
        <v>13134</v>
      </c>
      <c r="U4180" t="s">
        <v>13134</v>
      </c>
      <c r="V4180" t="s">
        <v>13134</v>
      </c>
      <c r="W4180" t="s">
        <v>17254</v>
      </c>
      <c r="X4180">
        <v>11</v>
      </c>
      <c r="Y4180" t="s">
        <v>23637</v>
      </c>
      <c r="Z4180" t="s">
        <v>30148</v>
      </c>
      <c r="AA4180">
        <v>0.61681252053512181</v>
      </c>
      <c r="AB4180" t="str">
        <f>HYPERLINK("Melting_Curves/meltCurve_Q6ZN17_LIN28B.pdf", "Melting_Curves/meltCurve_Q6ZN17_LIN28B.pdf")</f>
        <v>Melting_Curves/meltCurve_Q6ZN17_LIN28B.pdf</v>
      </c>
    </row>
    <row r="4181" spans="1:28" x14ac:dyDescent="0.25">
      <c r="A4181" t="s">
        <v>4185</v>
      </c>
      <c r="B4181">
        <v>0.99472303558308395</v>
      </c>
      <c r="C4181">
        <v>0.81729027481003702</v>
      </c>
      <c r="D4181">
        <v>0.80942474951008203</v>
      </c>
      <c r="E4181">
        <v>0.50202731463140904</v>
      </c>
      <c r="F4181">
        <v>0.256082985915499</v>
      </c>
      <c r="G4181">
        <v>0.113552194679688</v>
      </c>
      <c r="H4181">
        <v>3.2290048995297499E-2</v>
      </c>
      <c r="I4181">
        <v>3.7602836156982698E-2</v>
      </c>
      <c r="J4181">
        <v>4.9388813714843501E-2</v>
      </c>
      <c r="K4181">
        <v>4.5294004861753397E-2</v>
      </c>
      <c r="L4181">
        <v>674.22308953249899</v>
      </c>
      <c r="M4181">
        <v>14.5217814102381</v>
      </c>
      <c r="N4181">
        <v>46.495031466097799</v>
      </c>
      <c r="O4181">
        <v>45.574620091958998</v>
      </c>
      <c r="P4181">
        <v>-7.8848088039539202E-2</v>
      </c>
      <c r="Q4181">
        <v>1.0297985102089799E-2</v>
      </c>
      <c r="R4181">
        <v>0.98867329066848197</v>
      </c>
      <c r="S4181" t="s">
        <v>10749</v>
      </c>
      <c r="T4181" t="s">
        <v>13134</v>
      </c>
      <c r="U4181" t="s">
        <v>13134</v>
      </c>
      <c r="V4181" t="s">
        <v>13134</v>
      </c>
      <c r="W4181" t="s">
        <v>17255</v>
      </c>
      <c r="X4181">
        <v>1</v>
      </c>
      <c r="Y4181" t="s">
        <v>23638</v>
      </c>
      <c r="Z4181" t="s">
        <v>30149</v>
      </c>
      <c r="AA4181">
        <v>0.34530517501125202</v>
      </c>
      <c r="AB4181" t="str">
        <f>HYPERLINK("Melting_Curves/meltCurve_Q6ZN54_4_DEF8.pdf", "Melting_Curves/meltCurve_Q6ZN54_4_DEF8.pdf")</f>
        <v>Melting_Curves/meltCurve_Q6ZN54_4_DEF8.pdf</v>
      </c>
    </row>
    <row r="4182" spans="1:28" x14ac:dyDescent="0.25">
      <c r="A4182" t="s">
        <v>4186</v>
      </c>
      <c r="B4182">
        <v>0.99472303558308395</v>
      </c>
      <c r="C4182">
        <v>1.0036899986471399</v>
      </c>
      <c r="D4182">
        <v>0.92296829263308799</v>
      </c>
      <c r="E4182">
        <v>0.82259125596830995</v>
      </c>
      <c r="F4182">
        <v>0.693841257927715</v>
      </c>
      <c r="G4182">
        <v>0.45389040997949898</v>
      </c>
      <c r="H4182">
        <v>0.31623412234638998</v>
      </c>
      <c r="I4182">
        <v>0.28845197138473799</v>
      </c>
      <c r="J4182">
        <v>0.34621087732830602</v>
      </c>
      <c r="K4182">
        <v>0.32341400319060398</v>
      </c>
      <c r="L4182">
        <v>853.24767536505306</v>
      </c>
      <c r="M4182">
        <v>16.997805593626001</v>
      </c>
      <c r="N4182">
        <v>52.878502887628997</v>
      </c>
      <c r="O4182">
        <v>49.518183391376297</v>
      </c>
      <c r="P4182">
        <v>-6.1036093789412597E-2</v>
      </c>
      <c r="Q4182">
        <v>0.28880001991233401</v>
      </c>
      <c r="R4182">
        <v>0.98719865730323497</v>
      </c>
      <c r="S4182" t="s">
        <v>10750</v>
      </c>
      <c r="T4182" t="s">
        <v>13134</v>
      </c>
      <c r="U4182" t="s">
        <v>13134</v>
      </c>
      <c r="V4182" t="s">
        <v>13134</v>
      </c>
      <c r="W4182" t="s">
        <v>17256</v>
      </c>
      <c r="X4182">
        <v>6</v>
      </c>
      <c r="Y4182" t="s">
        <v>23639</v>
      </c>
      <c r="Z4182" t="s">
        <v>30150</v>
      </c>
      <c r="AA4182">
        <v>0.61391877650427484</v>
      </c>
      <c r="AB4182" t="str">
        <f>HYPERLINK("Melting_Curves/meltCurve_Q6ZNA5_FRRS1.pdf", "Melting_Curves/meltCurve_Q6ZNA5_FRRS1.pdf")</f>
        <v>Melting_Curves/meltCurve_Q6ZNA5_FRRS1.pdf</v>
      </c>
    </row>
    <row r="4183" spans="1:28" x14ac:dyDescent="0.25">
      <c r="A4183" t="s">
        <v>4187</v>
      </c>
      <c r="B4183">
        <v>0.99472303558308395</v>
      </c>
      <c r="C4183">
        <v>0.97157329974842199</v>
      </c>
      <c r="D4183">
        <v>0.81756759765354003</v>
      </c>
      <c r="E4183">
        <v>0.77025383341427001</v>
      </c>
      <c r="F4183">
        <v>0.52777067138329303</v>
      </c>
      <c r="G4183">
        <v>0.25994728640824699</v>
      </c>
      <c r="H4183">
        <v>8.0188284453638403E-2</v>
      </c>
      <c r="I4183">
        <v>0.12027288934928</v>
      </c>
      <c r="J4183">
        <v>0.10607804984707001</v>
      </c>
      <c r="K4183">
        <v>7.95109103012024E-2</v>
      </c>
      <c r="L4183">
        <v>727.62076258201898</v>
      </c>
      <c r="M4183">
        <v>14.647738849154299</v>
      </c>
      <c r="N4183">
        <v>49.981417078152496</v>
      </c>
      <c r="O4183">
        <v>48.776306678481802</v>
      </c>
      <c r="P4183">
        <v>-7.1856191527542204E-2</v>
      </c>
      <c r="Q4183">
        <v>4.2994673782014201E-2</v>
      </c>
      <c r="R4183">
        <v>0.98530254377836302</v>
      </c>
      <c r="S4183" t="s">
        <v>10751</v>
      </c>
      <c r="T4183" t="s">
        <v>13134</v>
      </c>
      <c r="U4183" t="s">
        <v>13134</v>
      </c>
      <c r="V4183" t="s">
        <v>13134</v>
      </c>
      <c r="W4183" t="s">
        <v>17257</v>
      </c>
      <c r="X4183">
        <v>24</v>
      </c>
      <c r="Y4183" t="s">
        <v>23640</v>
      </c>
      <c r="Z4183" t="s">
        <v>30151</v>
      </c>
      <c r="AA4183">
        <v>0.46824541514379969</v>
      </c>
      <c r="AB4183" t="str">
        <f>HYPERLINK("Melting_Curves/meltCurve_Q6ZNB6_NFXL1.pdf", "Melting_Curves/meltCurve_Q6ZNB6_NFXL1.pdf")</f>
        <v>Melting_Curves/meltCurve_Q6ZNB6_NFXL1.pdf</v>
      </c>
    </row>
    <row r="4184" spans="1:28" x14ac:dyDescent="0.25">
      <c r="A4184" t="s">
        <v>4188</v>
      </c>
      <c r="B4184">
        <v>0.99472303558308395</v>
      </c>
      <c r="C4184">
        <v>0.91248434297686298</v>
      </c>
      <c r="D4184">
        <v>0.72011359218565496</v>
      </c>
      <c r="E4184">
        <v>0.41840367596657302</v>
      </c>
      <c r="F4184">
        <v>0.20943030580779801</v>
      </c>
      <c r="G4184">
        <v>0.12803006012531801</v>
      </c>
      <c r="H4184">
        <v>7.5305853254094501E-2</v>
      </c>
      <c r="I4184">
        <v>6.2129645785278E-2</v>
      </c>
      <c r="J4184">
        <v>5.1363960798303403E-2</v>
      </c>
      <c r="K4184">
        <v>4.4482557028697599E-2</v>
      </c>
      <c r="L4184">
        <v>742.85457280612104</v>
      </c>
      <c r="M4184">
        <v>16.376436583520899</v>
      </c>
      <c r="N4184">
        <v>45.634639625506999</v>
      </c>
      <c r="O4184">
        <v>44.700977097217397</v>
      </c>
      <c r="P4184">
        <v>-8.73146273853104E-2</v>
      </c>
      <c r="Q4184">
        <v>4.6735286399799597E-2</v>
      </c>
      <c r="R4184">
        <v>0.99953223771174105</v>
      </c>
      <c r="S4184" t="s">
        <v>10752</v>
      </c>
      <c r="T4184" t="s">
        <v>13134</v>
      </c>
      <c r="U4184" t="s">
        <v>13134</v>
      </c>
      <c r="V4184" t="s">
        <v>13134</v>
      </c>
      <c r="W4184" t="s">
        <v>17258</v>
      </c>
      <c r="X4184">
        <v>8</v>
      </c>
      <c r="Y4184" t="s">
        <v>23641</v>
      </c>
      <c r="Z4184" t="s">
        <v>30152</v>
      </c>
      <c r="AA4184">
        <v>0.33123069503117281</v>
      </c>
      <c r="AB4184" t="str">
        <f>HYPERLINK("Melting_Curves/meltCurve_Q6ZNJ1_2_NBEAL2.pdf", "Melting_Curves/meltCurve_Q6ZNJ1_2_NBEAL2.pdf")</f>
        <v>Melting_Curves/meltCurve_Q6ZNJ1_2_NBEAL2.pdf</v>
      </c>
    </row>
    <row r="4185" spans="1:28" x14ac:dyDescent="0.25">
      <c r="A4185" t="s">
        <v>4189</v>
      </c>
      <c r="B4185">
        <v>0.99472303558308395</v>
      </c>
      <c r="C4185">
        <v>1.0292580235806601</v>
      </c>
      <c r="D4185">
        <v>1.02210113955412</v>
      </c>
      <c r="E4185">
        <v>0.81036737679692805</v>
      </c>
      <c r="F4185">
        <v>0.44776213928615299</v>
      </c>
      <c r="G4185">
        <v>0.13221154472640201</v>
      </c>
      <c r="H4185">
        <v>0.111458450782893</v>
      </c>
      <c r="I4185">
        <v>6.8650512925685997E-2</v>
      </c>
      <c r="J4185">
        <v>6.3979933625694596E-2</v>
      </c>
      <c r="K4185">
        <v>7.1570269875478001E-2</v>
      </c>
      <c r="L4185">
        <v>1295.11872236416</v>
      </c>
      <c r="M4185">
        <v>26.258807051345801</v>
      </c>
      <c r="N4185">
        <v>49.591288844544799</v>
      </c>
      <c r="O4185">
        <v>49.037938393217402</v>
      </c>
      <c r="P4185">
        <v>-0.124955038861827</v>
      </c>
      <c r="Q4185">
        <v>6.6603713338224499E-2</v>
      </c>
      <c r="R4185">
        <v>0.99709224858591505</v>
      </c>
      <c r="S4185" t="s">
        <v>10753</v>
      </c>
      <c r="T4185" t="s">
        <v>13134</v>
      </c>
      <c r="U4185" t="s">
        <v>13134</v>
      </c>
      <c r="V4185" t="s">
        <v>13134</v>
      </c>
      <c r="W4185" t="s">
        <v>17259</v>
      </c>
      <c r="X4185">
        <v>5</v>
      </c>
      <c r="Y4185" t="s">
        <v>23642</v>
      </c>
      <c r="Z4185" t="s">
        <v>30153</v>
      </c>
      <c r="AA4185">
        <v>0.45732109452664621</v>
      </c>
      <c r="AB4185" t="str">
        <f>HYPERLINK("Melting_Curves/meltCurve_Q6ZNW5_GDPGP1.pdf", "Melting_Curves/meltCurve_Q6ZNW5_GDPGP1.pdf")</f>
        <v>Melting_Curves/meltCurve_Q6ZNW5_GDPGP1.pdf</v>
      </c>
    </row>
    <row r="4186" spans="1:28" x14ac:dyDescent="0.25">
      <c r="A4186" t="s">
        <v>4190</v>
      </c>
      <c r="B4186">
        <v>0.99472303558308395</v>
      </c>
      <c r="C4186">
        <v>0.973366546251897</v>
      </c>
      <c r="D4186">
        <v>0.926601917410243</v>
      </c>
      <c r="E4186">
        <v>0.731351793919499</v>
      </c>
      <c r="F4186">
        <v>0.44831128708707702</v>
      </c>
      <c r="G4186">
        <v>0.16799048540376299</v>
      </c>
      <c r="H4186">
        <v>8.4876104110025094E-2</v>
      </c>
      <c r="I4186">
        <v>4.4346133910582397E-2</v>
      </c>
      <c r="J4186">
        <v>6.1643010279753697E-2</v>
      </c>
      <c r="K4186">
        <v>6.7314347885776796E-2</v>
      </c>
      <c r="L4186">
        <v>924.64798132453302</v>
      </c>
      <c r="M4186">
        <v>18.840728450337998</v>
      </c>
      <c r="N4186">
        <v>49.284312478895004</v>
      </c>
      <c r="O4186">
        <v>48.534225607285997</v>
      </c>
      <c r="P4186">
        <v>-9.3356686415067294E-2</v>
      </c>
      <c r="Q4186">
        <v>3.8082250947571297E-2</v>
      </c>
      <c r="R4186">
        <v>0.99806419200560803</v>
      </c>
      <c r="S4186" t="s">
        <v>10754</v>
      </c>
      <c r="T4186" t="s">
        <v>13134</v>
      </c>
      <c r="U4186" t="s">
        <v>13134</v>
      </c>
      <c r="V4186" t="s">
        <v>13134</v>
      </c>
      <c r="W4186" t="s">
        <v>17260</v>
      </c>
      <c r="X4186">
        <v>2</v>
      </c>
      <c r="Y4186" t="s">
        <v>23643</v>
      </c>
      <c r="Z4186" t="s">
        <v>30154</v>
      </c>
      <c r="AA4186">
        <v>0.43943005460418438</v>
      </c>
      <c r="AB4186" t="str">
        <f>HYPERLINK("Melting_Curves/meltCurve_Q6ZPD9_DPY19L3.pdf", "Melting_Curves/meltCurve_Q6ZPD9_DPY19L3.pdf")</f>
        <v>Melting_Curves/meltCurve_Q6ZPD9_DPY19L3.pdf</v>
      </c>
    </row>
    <row r="4187" spans="1:28" x14ac:dyDescent="0.25">
      <c r="A4187" t="s">
        <v>4191</v>
      </c>
      <c r="B4187">
        <v>0.99472303558308395</v>
      </c>
      <c r="C4187">
        <v>0.99463094255198903</v>
      </c>
      <c r="D4187">
        <v>0.90036236435445205</v>
      </c>
      <c r="E4187">
        <v>0.83435381396779695</v>
      </c>
      <c r="F4187">
        <v>0.67534649711739003</v>
      </c>
      <c r="G4187">
        <v>0.437829534640233</v>
      </c>
      <c r="H4187">
        <v>0.158374346570272</v>
      </c>
      <c r="I4187">
        <v>5.15151642771828E-2</v>
      </c>
      <c r="J4187">
        <v>4.9571135489561997E-2</v>
      </c>
      <c r="K4187">
        <v>5.05405372951706E-2</v>
      </c>
      <c r="L4187">
        <v>812.69450095228899</v>
      </c>
      <c r="M4187">
        <v>15.551918730228101</v>
      </c>
      <c r="N4187">
        <v>52.256863468820001</v>
      </c>
      <c r="O4187">
        <v>51.415710309267403</v>
      </c>
      <c r="P4187">
        <v>-7.5625143208030904E-2</v>
      </c>
      <c r="Q4187">
        <v>0</v>
      </c>
      <c r="R4187">
        <v>0.99188551794902602</v>
      </c>
      <c r="S4187" t="s">
        <v>10755</v>
      </c>
      <c r="T4187" t="s">
        <v>13134</v>
      </c>
      <c r="U4187" t="s">
        <v>13134</v>
      </c>
      <c r="V4187" t="s">
        <v>13134</v>
      </c>
      <c r="W4187" t="s">
        <v>17261</v>
      </c>
      <c r="X4187">
        <v>7</v>
      </c>
      <c r="Y4187" t="s">
        <v>23644</v>
      </c>
      <c r="Z4187" t="s">
        <v>30155</v>
      </c>
      <c r="AA4187">
        <v>0.52664005990830109</v>
      </c>
      <c r="AB4187" t="str">
        <f>HYPERLINK("Melting_Curves/meltCurve_Q6ZRP7_QSOX2.pdf", "Melting_Curves/meltCurve_Q6ZRP7_QSOX2.pdf")</f>
        <v>Melting_Curves/meltCurve_Q6ZRP7_QSOX2.pdf</v>
      </c>
    </row>
    <row r="4188" spans="1:28" x14ac:dyDescent="0.25">
      <c r="A4188" t="s">
        <v>4192</v>
      </c>
      <c r="B4188">
        <v>0.99472303558308395</v>
      </c>
      <c r="C4188">
        <v>0.940226543542935</v>
      </c>
      <c r="D4188">
        <v>0.780386840225189</v>
      </c>
      <c r="E4188">
        <v>0.545773309048185</v>
      </c>
      <c r="F4188">
        <v>0.28263488131415898</v>
      </c>
      <c r="G4188">
        <v>0.17635319955877099</v>
      </c>
      <c r="H4188">
        <v>0.11319582806234001</v>
      </c>
      <c r="I4188">
        <v>6.3591130465181098E-2</v>
      </c>
      <c r="J4188">
        <v>7.7415629036988107E-2</v>
      </c>
      <c r="K4188">
        <v>8.05124924210356E-2</v>
      </c>
      <c r="L4188">
        <v>714.80195216424102</v>
      </c>
      <c r="M4188">
        <v>15.337117903166799</v>
      </c>
      <c r="N4188">
        <v>46.999611222423198</v>
      </c>
      <c r="O4188">
        <v>45.835240395130803</v>
      </c>
      <c r="P4188">
        <v>-7.86192780507384E-2</v>
      </c>
      <c r="Q4188">
        <v>6.02667672962909E-2</v>
      </c>
      <c r="R4188">
        <v>0.99880944650244896</v>
      </c>
      <c r="S4188" t="s">
        <v>10756</v>
      </c>
      <c r="T4188" t="s">
        <v>13134</v>
      </c>
      <c r="U4188" t="s">
        <v>13134</v>
      </c>
      <c r="V4188" t="s">
        <v>13134</v>
      </c>
      <c r="W4188" t="s">
        <v>17262</v>
      </c>
      <c r="X4188">
        <v>14</v>
      </c>
      <c r="Y4188" t="s">
        <v>23645</v>
      </c>
      <c r="Z4188" t="s">
        <v>30156</v>
      </c>
      <c r="AA4188">
        <v>0.38166086794424348</v>
      </c>
      <c r="AB4188" t="str">
        <f>HYPERLINK("Melting_Curves/meltCurve_Q6ZRS2_3_SRCAP.pdf", "Melting_Curves/meltCurve_Q6ZRS2_3_SRCAP.pdf")</f>
        <v>Melting_Curves/meltCurve_Q6ZRS2_3_SRCAP.pdf</v>
      </c>
    </row>
    <row r="4189" spans="1:28" x14ac:dyDescent="0.25">
      <c r="A4189" t="s">
        <v>4193</v>
      </c>
      <c r="B4189">
        <v>0.99472303558308395</v>
      </c>
      <c r="C4189">
        <v>1.06406279392811</v>
      </c>
      <c r="D4189">
        <v>0.96344421235667499</v>
      </c>
      <c r="E4189">
        <v>0.773727614675637</v>
      </c>
      <c r="F4189">
        <v>0.21837587972820099</v>
      </c>
      <c r="G4189">
        <v>0.150992893286162</v>
      </c>
      <c r="H4189">
        <v>0.10585314198102</v>
      </c>
      <c r="I4189">
        <v>9.3358942366235501E-2</v>
      </c>
      <c r="J4189">
        <v>0.115224540084798</v>
      </c>
      <c r="K4189">
        <v>0.102506006795806</v>
      </c>
      <c r="L4189">
        <v>1912.4345050351701</v>
      </c>
      <c r="M4189">
        <v>39.989171371367497</v>
      </c>
      <c r="N4189">
        <v>48.122635947032798</v>
      </c>
      <c r="O4189">
        <v>47.704691274786498</v>
      </c>
      <c r="P4189">
        <v>-0.18652528402563001</v>
      </c>
      <c r="Q4189">
        <v>0.10994797033142401</v>
      </c>
      <c r="R4189">
        <v>0.99621190359653899</v>
      </c>
      <c r="S4189" t="s">
        <v>10757</v>
      </c>
      <c r="T4189" t="s">
        <v>13134</v>
      </c>
      <c r="U4189" t="s">
        <v>13134</v>
      </c>
      <c r="V4189" t="s">
        <v>13134</v>
      </c>
      <c r="W4189" t="s">
        <v>17263</v>
      </c>
      <c r="X4189">
        <v>5</v>
      </c>
      <c r="Y4189" t="s">
        <v>23646</v>
      </c>
      <c r="Z4189" t="s">
        <v>30157</v>
      </c>
      <c r="AA4189">
        <v>0.43401716913089261</v>
      </c>
      <c r="AB4189" t="str">
        <f>HYPERLINK("Melting_Curves/meltCurve_Q6ZS17_2_FAM65A.pdf", "Melting_Curves/meltCurve_Q6ZS17_2_FAM65A.pdf")</f>
        <v>Melting_Curves/meltCurve_Q6ZS17_2_FAM65A.pdf</v>
      </c>
    </row>
    <row r="4190" spans="1:28" x14ac:dyDescent="0.25">
      <c r="A4190" t="s">
        <v>4194</v>
      </c>
      <c r="B4190">
        <v>0.99472303558308395</v>
      </c>
      <c r="C4190">
        <v>1.05449726978295</v>
      </c>
      <c r="D4190">
        <v>0.97817948368474905</v>
      </c>
      <c r="E4190">
        <v>0.883971399051938</v>
      </c>
      <c r="F4190">
        <v>0.72375863366549598</v>
      </c>
      <c r="G4190">
        <v>0.51454668279119997</v>
      </c>
      <c r="H4190">
        <v>0.332062495436174</v>
      </c>
      <c r="I4190">
        <v>0.32266547661956002</v>
      </c>
      <c r="J4190">
        <v>0.433387069116413</v>
      </c>
      <c r="K4190">
        <v>0.35360430979729801</v>
      </c>
      <c r="L4190">
        <v>1107.18222761993</v>
      </c>
      <c r="M4190">
        <v>21.852553109226101</v>
      </c>
      <c r="N4190">
        <v>53.602180575689097</v>
      </c>
      <c r="O4190">
        <v>50.247470355303903</v>
      </c>
      <c r="P4190">
        <v>-7.0786631905443598E-2</v>
      </c>
      <c r="Q4190">
        <v>0.34895157588424303</v>
      </c>
      <c r="R4190">
        <v>0.97911452184624703</v>
      </c>
      <c r="S4190" t="s">
        <v>10758</v>
      </c>
      <c r="T4190" t="s">
        <v>13134</v>
      </c>
      <c r="U4190" t="s">
        <v>13134</v>
      </c>
      <c r="V4190" t="s">
        <v>13134</v>
      </c>
      <c r="W4190" t="s">
        <v>17264</v>
      </c>
      <c r="X4190">
        <v>4</v>
      </c>
      <c r="Y4190" t="s">
        <v>23647</v>
      </c>
      <c r="Z4190" t="s">
        <v>30158</v>
      </c>
      <c r="AA4190">
        <v>0.65285441109225106</v>
      </c>
      <c r="AB4190" t="str">
        <f>HYPERLINK("Melting_Curves/meltCurve_Q6ZSJ8_C1orf122.pdf", "Melting_Curves/meltCurve_Q6ZSJ8_C1orf122.pdf")</f>
        <v>Melting_Curves/meltCurve_Q6ZSJ8_C1orf122.pdf</v>
      </c>
    </row>
    <row r="4191" spans="1:28" x14ac:dyDescent="0.25">
      <c r="A4191" t="s">
        <v>4195</v>
      </c>
      <c r="B4191">
        <v>0.99472303558308395</v>
      </c>
      <c r="C4191">
        <v>0.98192993792380701</v>
      </c>
      <c r="D4191">
        <v>0.73249364230117997</v>
      </c>
      <c r="E4191">
        <v>0.40541733026397903</v>
      </c>
      <c r="F4191">
        <v>0.17343614668361701</v>
      </c>
      <c r="G4191">
        <v>9.0511469136717704E-2</v>
      </c>
      <c r="H4191">
        <v>4.7273823349495897E-2</v>
      </c>
      <c r="I4191">
        <v>4.2193844279698703E-2</v>
      </c>
      <c r="J4191">
        <v>3.8354827737272397E-2</v>
      </c>
      <c r="K4191">
        <v>3.4717166580942302E-2</v>
      </c>
      <c r="L4191">
        <v>880.34612566065005</v>
      </c>
      <c r="M4191">
        <v>19.3870008222971</v>
      </c>
      <c r="N4191">
        <v>45.5887125287448</v>
      </c>
      <c r="O4191">
        <v>44.934229560636702</v>
      </c>
      <c r="P4191">
        <v>-0.10390088098882801</v>
      </c>
      <c r="Q4191">
        <v>3.6770143962038697E-2</v>
      </c>
      <c r="R4191">
        <v>0.99809456170618105</v>
      </c>
      <c r="S4191" t="s">
        <v>10759</v>
      </c>
      <c r="T4191" t="s">
        <v>13134</v>
      </c>
      <c r="U4191" t="s">
        <v>13134</v>
      </c>
      <c r="V4191" t="s">
        <v>13134</v>
      </c>
      <c r="W4191" t="s">
        <v>17265</v>
      </c>
      <c r="X4191">
        <v>13</v>
      </c>
      <c r="Y4191" t="s">
        <v>23648</v>
      </c>
      <c r="Z4191" t="s">
        <v>30159</v>
      </c>
      <c r="AA4191">
        <v>0.3202227785510629</v>
      </c>
      <c r="AB4191" t="str">
        <f>HYPERLINK("Melting_Curves/meltCurve_Q6ZT12_UBR3.pdf", "Melting_Curves/meltCurve_Q6ZT12_UBR3.pdf")</f>
        <v>Melting_Curves/meltCurve_Q6ZT12_UBR3.pdf</v>
      </c>
    </row>
    <row r="4192" spans="1:28" x14ac:dyDescent="0.25">
      <c r="A4192" t="s">
        <v>4196</v>
      </c>
      <c r="B4192">
        <v>0.99472303558308395</v>
      </c>
      <c r="C4192">
        <v>1.04136911065678</v>
      </c>
      <c r="D4192">
        <v>0.92623315413200902</v>
      </c>
      <c r="E4192">
        <v>0.87947828804692596</v>
      </c>
      <c r="F4192">
        <v>0.74549816462889695</v>
      </c>
      <c r="G4192">
        <v>0.50372932609048504</v>
      </c>
      <c r="H4192">
        <v>0.46050154312790997</v>
      </c>
      <c r="I4192">
        <v>0.46718239068844503</v>
      </c>
      <c r="J4192">
        <v>0.56176671059542604</v>
      </c>
      <c r="K4192">
        <v>0.371439384509476</v>
      </c>
      <c r="L4192">
        <v>1025.3313837201799</v>
      </c>
      <c r="M4192">
        <v>20.573033023614499</v>
      </c>
      <c r="N4192">
        <v>55.954167165817999</v>
      </c>
      <c r="O4192">
        <v>49.374890933158902</v>
      </c>
      <c r="P4192">
        <v>-5.7583003057525499E-2</v>
      </c>
      <c r="Q4192">
        <v>0.44722363721821301</v>
      </c>
      <c r="R4192">
        <v>0.95179669754902896</v>
      </c>
      <c r="S4192" t="s">
        <v>10760</v>
      </c>
      <c r="T4192" t="s">
        <v>13134</v>
      </c>
      <c r="U4192" t="s">
        <v>13134</v>
      </c>
      <c r="V4192" t="s">
        <v>13134</v>
      </c>
      <c r="W4192" t="s">
        <v>17266</v>
      </c>
      <c r="X4192">
        <v>18</v>
      </c>
      <c r="Y4192" t="s">
        <v>23649</v>
      </c>
      <c r="Z4192" t="s">
        <v>30160</v>
      </c>
      <c r="AA4192">
        <v>0.69071255528193687</v>
      </c>
      <c r="AB4192" t="str">
        <f>HYPERLINK("Melting_Curves/meltCurve_Q6ZT62_SH3BP1.pdf", "Melting_Curves/meltCurve_Q6ZT62_SH3BP1.pdf")</f>
        <v>Melting_Curves/meltCurve_Q6ZT62_SH3BP1.pdf</v>
      </c>
    </row>
    <row r="4193" spans="1:28" x14ac:dyDescent="0.25">
      <c r="A4193" t="s">
        <v>4197</v>
      </c>
      <c r="B4193">
        <v>0.99472303558308395</v>
      </c>
      <c r="C4193">
        <v>0.68442329941549795</v>
      </c>
      <c r="D4193">
        <v>0.90013485292345896</v>
      </c>
      <c r="E4193">
        <v>0.62185189250842499</v>
      </c>
      <c r="F4193">
        <v>0.34539979861137299</v>
      </c>
      <c r="G4193">
        <v>0.23740720567488999</v>
      </c>
      <c r="H4193">
        <v>0.17439629009278401</v>
      </c>
      <c r="I4193">
        <v>0.10853434661811499</v>
      </c>
      <c r="J4193">
        <v>0.107036924937192</v>
      </c>
      <c r="K4193">
        <v>0.27750599639561702</v>
      </c>
      <c r="L4193">
        <v>599.09149292776499</v>
      </c>
      <c r="M4193">
        <v>12.8053832497225</v>
      </c>
      <c r="N4193">
        <v>47.840400019444601</v>
      </c>
      <c r="O4193">
        <v>45.687438366692902</v>
      </c>
      <c r="P4193">
        <v>-6.14552510736932E-2</v>
      </c>
      <c r="Q4193">
        <v>0.123116553164658</v>
      </c>
      <c r="R4193">
        <v>0.90338156810827697</v>
      </c>
      <c r="S4193" t="s">
        <v>10761</v>
      </c>
      <c r="T4193" t="s">
        <v>13134</v>
      </c>
      <c r="U4193" t="s">
        <v>13134</v>
      </c>
      <c r="V4193" t="s">
        <v>13134</v>
      </c>
      <c r="W4193" t="s">
        <v>17267</v>
      </c>
      <c r="X4193">
        <v>2</v>
      </c>
      <c r="Y4193" t="s">
        <v>23650</v>
      </c>
      <c r="Z4193" t="s">
        <v>30161</v>
      </c>
      <c r="AA4193">
        <v>0.43526622722559782</v>
      </c>
      <c r="AB4193" t="str">
        <f>HYPERLINK("Melting_Curves/meltCurve_Q6ZUT1_3_C11orf57.pdf", "Melting_Curves/meltCurve_Q6ZUT1_3_C11orf57.pdf")</f>
        <v>Melting_Curves/meltCurve_Q6ZUT1_3_C11orf57.pdf</v>
      </c>
    </row>
    <row r="4194" spans="1:28" x14ac:dyDescent="0.25">
      <c r="A4194" t="s">
        <v>4198</v>
      </c>
      <c r="B4194">
        <v>0.99472303558308395</v>
      </c>
      <c r="C4194">
        <v>0.86715470522763105</v>
      </c>
      <c r="D4194">
        <v>0.660320704081368</v>
      </c>
      <c r="E4194">
        <v>0.40645846827566701</v>
      </c>
      <c r="F4194">
        <v>0.25462081359611999</v>
      </c>
      <c r="G4194">
        <v>0.129208942276097</v>
      </c>
      <c r="H4194">
        <v>7.8511229659051995E-2</v>
      </c>
      <c r="I4194">
        <v>4.3185786834946699E-2</v>
      </c>
      <c r="J4194">
        <v>3.8088449347013401E-2</v>
      </c>
      <c r="K4194">
        <v>3.6856776146090002E-2</v>
      </c>
      <c r="L4194">
        <v>609.38430753886496</v>
      </c>
      <c r="M4194">
        <v>13.4661141073717</v>
      </c>
      <c r="N4194">
        <v>45.419695808030603</v>
      </c>
      <c r="O4194">
        <v>44.2901649249496</v>
      </c>
      <c r="P4194">
        <v>-7.4191321992066905E-2</v>
      </c>
      <c r="Q4194">
        <v>2.4086775679724701E-2</v>
      </c>
      <c r="R4194">
        <v>0.997571713447442</v>
      </c>
      <c r="S4194" t="s">
        <v>10762</v>
      </c>
      <c r="T4194" t="s">
        <v>13134</v>
      </c>
      <c r="U4194" t="s">
        <v>13134</v>
      </c>
      <c r="V4194" t="s">
        <v>13134</v>
      </c>
      <c r="W4194" t="s">
        <v>17268</v>
      </c>
      <c r="X4194">
        <v>7</v>
      </c>
      <c r="Y4194" t="s">
        <v>23651</v>
      </c>
      <c r="Z4194" t="s">
        <v>30162</v>
      </c>
      <c r="AA4194">
        <v>0.3208996138133024</v>
      </c>
      <c r="AB4194" t="str">
        <f>HYPERLINK("Melting_Curves/meltCurve_Q6ZW49_4_PAXIP1.pdf", "Melting_Curves/meltCurve_Q6ZW49_4_PAXIP1.pdf")</f>
        <v>Melting_Curves/meltCurve_Q6ZW49_4_PAXIP1.pdf</v>
      </c>
    </row>
    <row r="4195" spans="1:28" x14ac:dyDescent="0.25">
      <c r="A4195" t="s">
        <v>4199</v>
      </c>
      <c r="B4195">
        <v>0.99472303558308395</v>
      </c>
      <c r="C4195">
        <v>0.98876235075562902</v>
      </c>
      <c r="D4195">
        <v>0.76430853949498201</v>
      </c>
      <c r="E4195">
        <v>0.78754721840317199</v>
      </c>
      <c r="F4195">
        <v>0.41734027073942698</v>
      </c>
      <c r="G4195">
        <v>0.27364600699015901</v>
      </c>
      <c r="H4195">
        <v>0.17323603225141801</v>
      </c>
      <c r="I4195">
        <v>0.150738557630125</v>
      </c>
      <c r="J4195">
        <v>0.19023036354678699</v>
      </c>
      <c r="K4195">
        <v>0.120274734941925</v>
      </c>
      <c r="L4195">
        <v>709.09753826339295</v>
      </c>
      <c r="M4195">
        <v>14.622660283482499</v>
      </c>
      <c r="N4195">
        <v>49.383458347053697</v>
      </c>
      <c r="O4195">
        <v>47.613199412107299</v>
      </c>
      <c r="P4195">
        <v>-6.7889076521689101E-2</v>
      </c>
      <c r="Q4195">
        <v>0.11587760718363301</v>
      </c>
      <c r="R4195">
        <v>0.97470987019949795</v>
      </c>
      <c r="S4195" t="s">
        <v>10763</v>
      </c>
      <c r="T4195" t="s">
        <v>13134</v>
      </c>
      <c r="U4195" t="s">
        <v>13134</v>
      </c>
      <c r="V4195" t="s">
        <v>13134</v>
      </c>
      <c r="W4195" t="s">
        <v>17269</v>
      </c>
      <c r="X4195">
        <v>4</v>
      </c>
      <c r="Y4195" t="s">
        <v>23652</v>
      </c>
      <c r="Z4195" t="s">
        <v>30163</v>
      </c>
      <c r="AA4195">
        <v>0.47465176656217201</v>
      </c>
      <c r="AB4195" t="str">
        <f>HYPERLINK("Melting_Curves/meltCurve_Q6ZXV5_2_TMTC3.pdf", "Melting_Curves/meltCurve_Q6ZXV5_2_TMTC3.pdf")</f>
        <v>Melting_Curves/meltCurve_Q6ZXV5_2_TMTC3.pdf</v>
      </c>
    </row>
    <row r="4196" spans="1:28" x14ac:dyDescent="0.25">
      <c r="A4196" t="s">
        <v>4200</v>
      </c>
      <c r="B4196">
        <v>0.99472303558308395</v>
      </c>
      <c r="C4196">
        <v>0.91147551818894201</v>
      </c>
      <c r="D4196">
        <v>0.66956407890506398</v>
      </c>
      <c r="E4196">
        <v>0.47871334882797301</v>
      </c>
      <c r="F4196">
        <v>0.35167224662199598</v>
      </c>
      <c r="G4196">
        <v>0.24667597324332299</v>
      </c>
      <c r="H4196">
        <v>0.30242589475186699</v>
      </c>
      <c r="I4196">
        <v>0.32159111690584702</v>
      </c>
      <c r="J4196">
        <v>0.41111631548509098</v>
      </c>
      <c r="K4196">
        <v>0.29133420250580999</v>
      </c>
      <c r="L4196">
        <v>904.61554242501802</v>
      </c>
      <c r="M4196">
        <v>20.8518139210573</v>
      </c>
      <c r="N4196">
        <v>45.551188544502203</v>
      </c>
      <c r="O4196">
        <v>42.989976963019402</v>
      </c>
      <c r="P4196">
        <v>-8.3104443552401694E-2</v>
      </c>
      <c r="Q4196">
        <v>0.31467668179979802</v>
      </c>
      <c r="R4196">
        <v>0.97228881832069602</v>
      </c>
      <c r="S4196" t="s">
        <v>10764</v>
      </c>
      <c r="T4196" t="s">
        <v>13134</v>
      </c>
      <c r="U4196" t="s">
        <v>13134</v>
      </c>
      <c r="V4196" t="s">
        <v>13134</v>
      </c>
      <c r="W4196" t="s">
        <v>17270</v>
      </c>
      <c r="X4196">
        <v>2</v>
      </c>
      <c r="Y4196" t="s">
        <v>23653</v>
      </c>
      <c r="Z4196" t="s">
        <v>30164</v>
      </c>
      <c r="AA4196">
        <v>0.46902754481767378</v>
      </c>
      <c r="AB4196" t="str">
        <f>HYPERLINK("Melting_Curves/meltCurve_Q6ZYL4_GTF2H5.pdf", "Melting_Curves/meltCurve_Q6ZYL4_GTF2H5.pdf")</f>
        <v>Melting_Curves/meltCurve_Q6ZYL4_GTF2H5.pdf</v>
      </c>
    </row>
    <row r="4197" spans="1:28" x14ac:dyDescent="0.25">
      <c r="A4197" t="s">
        <v>4201</v>
      </c>
      <c r="B4197">
        <v>0.99472303558308395</v>
      </c>
      <c r="C4197">
        <v>0.94692705791588605</v>
      </c>
      <c r="D4197">
        <v>0.80828580982091103</v>
      </c>
      <c r="E4197">
        <v>0.660514929235823</v>
      </c>
      <c r="F4197">
        <v>0.538313274639864</v>
      </c>
      <c r="G4197">
        <v>0.17994692624424899</v>
      </c>
      <c r="H4197">
        <v>9.2675094328390897E-2</v>
      </c>
      <c r="I4197">
        <v>7.9165270369466106E-2</v>
      </c>
      <c r="J4197">
        <v>7.5690455799200099E-2</v>
      </c>
      <c r="K4197">
        <v>6.5504048756464997E-2</v>
      </c>
      <c r="L4197">
        <v>628.16813620318601</v>
      </c>
      <c r="M4197">
        <v>12.788190187935101</v>
      </c>
      <c r="N4197">
        <v>49.1625031964603</v>
      </c>
      <c r="O4197">
        <v>47.966286004849998</v>
      </c>
      <c r="P4197">
        <v>-6.6306238142321394E-2</v>
      </c>
      <c r="Q4197">
        <v>5.37446166599402E-3</v>
      </c>
      <c r="R4197">
        <v>0.98333235375125205</v>
      </c>
      <c r="S4197" t="s">
        <v>10765</v>
      </c>
      <c r="T4197" t="s">
        <v>13134</v>
      </c>
      <c r="U4197" t="s">
        <v>13134</v>
      </c>
      <c r="V4197" t="s">
        <v>13134</v>
      </c>
      <c r="W4197" t="s">
        <v>17271</v>
      </c>
      <c r="X4197">
        <v>21</v>
      </c>
      <c r="Y4197" t="s">
        <v>23654</v>
      </c>
      <c r="Z4197" t="s">
        <v>30165</v>
      </c>
      <c r="AA4197">
        <v>0.43419268197713912</v>
      </c>
      <c r="AB4197" t="str">
        <f>HYPERLINK("Melting_Curves/meltCurve_Q709C8_3_VPS13C.pdf", "Melting_Curves/meltCurve_Q709C8_3_VPS13C.pdf")</f>
        <v>Melting_Curves/meltCurve_Q709C8_3_VPS13C.pdf</v>
      </c>
    </row>
    <row r="4198" spans="1:28" x14ac:dyDescent="0.25">
      <c r="A4198" t="s">
        <v>4202</v>
      </c>
      <c r="B4198">
        <v>0.99472303558308395</v>
      </c>
      <c r="C4198">
        <v>0.86932998696567798</v>
      </c>
      <c r="D4198">
        <v>0.70415681481597003</v>
      </c>
      <c r="E4198">
        <v>0.42867696069859901</v>
      </c>
      <c r="F4198">
        <v>0.236759488524697</v>
      </c>
      <c r="G4198">
        <v>0.13687878163165901</v>
      </c>
      <c r="H4198">
        <v>6.5780893814878005E-2</v>
      </c>
      <c r="I4198">
        <v>6.3090334765294007E-2</v>
      </c>
      <c r="J4198">
        <v>7.5238243940513205E-2</v>
      </c>
      <c r="K4198">
        <v>4.6748475874000502E-2</v>
      </c>
      <c r="L4198">
        <v>661.13914340932297</v>
      </c>
      <c r="M4198">
        <v>14.5776775493119</v>
      </c>
      <c r="N4198">
        <v>45.636260136906103</v>
      </c>
      <c r="O4198">
        <v>44.5250269150091</v>
      </c>
      <c r="P4198">
        <v>-7.8317694152777298E-2</v>
      </c>
      <c r="Q4198">
        <v>4.3275984210665197E-2</v>
      </c>
      <c r="R4198">
        <v>0.99837916685463102</v>
      </c>
      <c r="S4198" t="s">
        <v>10766</v>
      </c>
      <c r="T4198" t="s">
        <v>13134</v>
      </c>
      <c r="U4198" t="s">
        <v>13134</v>
      </c>
      <c r="V4198" t="s">
        <v>13134</v>
      </c>
      <c r="W4198" t="s">
        <v>17272</v>
      </c>
      <c r="X4198">
        <v>7</v>
      </c>
      <c r="Y4198" t="s">
        <v>23655</v>
      </c>
      <c r="Z4198" t="s">
        <v>30166</v>
      </c>
      <c r="AA4198">
        <v>0.33342749590076443</v>
      </c>
      <c r="AB4198" t="str">
        <f>HYPERLINK("Melting_Curves/meltCurve_Q70CQ2_USP34.pdf", "Melting_Curves/meltCurve_Q70CQ2_USP34.pdf")</f>
        <v>Melting_Curves/meltCurve_Q70CQ2_USP34.pdf</v>
      </c>
    </row>
    <row r="4199" spans="1:28" x14ac:dyDescent="0.25">
      <c r="A4199" t="s">
        <v>4203</v>
      </c>
      <c r="B4199">
        <v>0.99472303558308395</v>
      </c>
      <c r="C4199">
        <v>0.88401401799164403</v>
      </c>
      <c r="D4199">
        <v>0.92576533091440005</v>
      </c>
      <c r="E4199">
        <v>0.56415104307870301</v>
      </c>
      <c r="F4199">
        <v>0.17177752926221099</v>
      </c>
      <c r="G4199">
        <v>8.1027576524330999E-2</v>
      </c>
      <c r="H4199">
        <v>5.51442583273219E-2</v>
      </c>
      <c r="I4199">
        <v>4.5965805427795797E-2</v>
      </c>
      <c r="J4199">
        <v>5.95698388513837E-2</v>
      </c>
      <c r="K4199">
        <v>5.7716669031945E-2</v>
      </c>
      <c r="L4199">
        <v>1244.42446250834</v>
      </c>
      <c r="M4199">
        <v>26.5774245473125</v>
      </c>
      <c r="N4199">
        <v>47.009997911628702</v>
      </c>
      <c r="O4199">
        <v>46.559951202149399</v>
      </c>
      <c r="P4199">
        <v>-0.13553443958613801</v>
      </c>
      <c r="Q4199">
        <v>5.0260304259518399E-2</v>
      </c>
      <c r="R4199">
        <v>0.99216365547895902</v>
      </c>
      <c r="S4199" t="s">
        <v>10767</v>
      </c>
      <c r="T4199" t="s">
        <v>13134</v>
      </c>
      <c r="U4199" t="s">
        <v>13134</v>
      </c>
      <c r="V4199" t="s">
        <v>13134</v>
      </c>
      <c r="W4199" t="s">
        <v>17273</v>
      </c>
      <c r="X4199">
        <v>5</v>
      </c>
      <c r="Y4199" t="s">
        <v>23656</v>
      </c>
      <c r="Z4199" t="s">
        <v>30167</v>
      </c>
      <c r="AA4199">
        <v>0.36825516894785709</v>
      </c>
      <c r="AB4199" t="str">
        <f>HYPERLINK("Melting_Curves/meltCurve_Q70IA6_MOB2.pdf", "Melting_Curves/meltCurve_Q70IA6_MOB2.pdf")</f>
        <v>Melting_Curves/meltCurve_Q70IA6_MOB2.pdf</v>
      </c>
    </row>
    <row r="4200" spans="1:28" x14ac:dyDescent="0.25">
      <c r="A4200" t="s">
        <v>4204</v>
      </c>
      <c r="B4200">
        <v>0.99472303558308395</v>
      </c>
      <c r="C4200">
        <v>0.94157426501263197</v>
      </c>
      <c r="D4200">
        <v>0.84635613958725997</v>
      </c>
      <c r="E4200">
        <v>0.40119820811373702</v>
      </c>
      <c r="F4200">
        <v>0.17370422154422699</v>
      </c>
      <c r="G4200">
        <v>9.7704932776809097E-2</v>
      </c>
      <c r="H4200">
        <v>7.1361742418544594E-2</v>
      </c>
      <c r="I4200">
        <v>4.6401615689964502E-2</v>
      </c>
      <c r="J4200">
        <v>4.4370603291771497E-2</v>
      </c>
      <c r="K4200">
        <v>4.0507548809994798E-2</v>
      </c>
      <c r="L4200">
        <v>1058.6509589816701</v>
      </c>
      <c r="M4200">
        <v>23.1632481990477</v>
      </c>
      <c r="N4200">
        <v>45.924418390090501</v>
      </c>
      <c r="O4200">
        <v>45.367333874071399</v>
      </c>
      <c r="P4200">
        <v>-0.12092718698751601</v>
      </c>
      <c r="Q4200">
        <v>5.2629241830146799E-2</v>
      </c>
      <c r="R4200">
        <v>0.99809698643201605</v>
      </c>
      <c r="S4200" t="s">
        <v>10768</v>
      </c>
      <c r="T4200" t="s">
        <v>13134</v>
      </c>
      <c r="U4200" t="s">
        <v>13134</v>
      </c>
      <c r="V4200" t="s">
        <v>13134</v>
      </c>
      <c r="W4200" t="s">
        <v>17274</v>
      </c>
      <c r="X4200">
        <v>33</v>
      </c>
      <c r="Y4200" t="s">
        <v>20940</v>
      </c>
      <c r="Z4200" t="s">
        <v>30168</v>
      </c>
      <c r="AA4200">
        <v>0.33664839802216379</v>
      </c>
      <c r="AB4200" t="str">
        <f>HYPERLINK("Melting_Curves/meltCurve_Q70J99_UNC13D.pdf", "Melting_Curves/meltCurve_Q70J99_UNC13D.pdf")</f>
        <v>Melting_Curves/meltCurve_Q70J99_UNC13D.pdf</v>
      </c>
    </row>
    <row r="4201" spans="1:28" x14ac:dyDescent="0.25">
      <c r="A4201" t="s">
        <v>4205</v>
      </c>
      <c r="B4201">
        <v>0.99472303558308395</v>
      </c>
      <c r="C4201">
        <v>1.0693748827070899</v>
      </c>
      <c r="D4201">
        <v>1.0021170847071601</v>
      </c>
      <c r="E4201">
        <v>0.92831654045564604</v>
      </c>
      <c r="F4201">
        <v>0.63558056749055003</v>
      </c>
      <c r="G4201">
        <v>0.27118462844249303</v>
      </c>
      <c r="H4201">
        <v>0.109984403843202</v>
      </c>
      <c r="I4201">
        <v>7.4153453694152494E-2</v>
      </c>
      <c r="J4201">
        <v>6.1079252988545198E-2</v>
      </c>
      <c r="K4201">
        <v>5.0313403323816099E-2</v>
      </c>
      <c r="L4201">
        <v>1287.50261050106</v>
      </c>
      <c r="M4201">
        <v>25.162239585362101</v>
      </c>
      <c r="N4201">
        <v>51.400248523744096</v>
      </c>
      <c r="O4201">
        <v>50.848142138194</v>
      </c>
      <c r="P4201">
        <v>-0.117067803267486</v>
      </c>
      <c r="Q4201">
        <v>5.3724568781382202E-2</v>
      </c>
      <c r="R4201">
        <v>0.99714425784195104</v>
      </c>
      <c r="S4201" t="s">
        <v>10769</v>
      </c>
      <c r="T4201" t="s">
        <v>13134</v>
      </c>
      <c r="U4201" t="s">
        <v>13134</v>
      </c>
      <c r="V4201" t="s">
        <v>13134</v>
      </c>
      <c r="W4201" t="s">
        <v>17275</v>
      </c>
      <c r="X4201">
        <v>7</v>
      </c>
      <c r="Y4201" t="s">
        <v>23657</v>
      </c>
      <c r="Z4201" t="s">
        <v>30169</v>
      </c>
      <c r="AA4201">
        <v>0.50887842513866643</v>
      </c>
      <c r="AB4201" t="str">
        <f>HYPERLINK("Melting_Curves/meltCurve_Q70UQ0_IKBIP.pdf", "Melting_Curves/meltCurve_Q70UQ0_IKBIP.pdf")</f>
        <v>Melting_Curves/meltCurve_Q70UQ0_IKBIP.pdf</v>
      </c>
    </row>
    <row r="4202" spans="1:28" x14ac:dyDescent="0.25">
      <c r="A4202" t="s">
        <v>4206</v>
      </c>
      <c r="B4202">
        <v>0.99472303558308395</v>
      </c>
      <c r="C4202">
        <v>1.04183986726827</v>
      </c>
      <c r="D4202">
        <v>0.87910854993665799</v>
      </c>
      <c r="E4202">
        <v>0.79586696991926997</v>
      </c>
      <c r="F4202">
        <v>0.64338089257251296</v>
      </c>
      <c r="G4202">
        <v>0.24850749532472499</v>
      </c>
      <c r="H4202">
        <v>0.12961772039411701</v>
      </c>
      <c r="I4202">
        <v>8.4428407838681302E-2</v>
      </c>
      <c r="J4202">
        <v>9.4245500277401098E-2</v>
      </c>
      <c r="K4202">
        <v>0.103450740825229</v>
      </c>
      <c r="L4202">
        <v>918.80878546365898</v>
      </c>
      <c r="M4202">
        <v>18.163434912852502</v>
      </c>
      <c r="N4202">
        <v>50.939726648962697</v>
      </c>
      <c r="O4202">
        <v>49.984422920995598</v>
      </c>
      <c r="P4202">
        <v>-8.5461994927583093E-2</v>
      </c>
      <c r="Q4202">
        <v>5.93046898082248E-2</v>
      </c>
      <c r="R4202">
        <v>0.98497905913447903</v>
      </c>
      <c r="S4202" t="s">
        <v>10770</v>
      </c>
      <c r="T4202" t="s">
        <v>13134</v>
      </c>
      <c r="U4202" t="s">
        <v>13134</v>
      </c>
      <c r="V4202" t="s">
        <v>13134</v>
      </c>
      <c r="W4202" t="s">
        <v>17276</v>
      </c>
      <c r="X4202">
        <v>19</v>
      </c>
      <c r="Y4202" t="s">
        <v>23657</v>
      </c>
      <c r="Z4202" t="s">
        <v>30170</v>
      </c>
      <c r="AA4202">
        <v>0.49979105566374482</v>
      </c>
      <c r="AB4202" t="str">
        <f>HYPERLINK("Melting_Curves/meltCurve_Q70UQ0_4_IKBIP.pdf", "Melting_Curves/meltCurve_Q70UQ0_4_IKBIP.pdf")</f>
        <v>Melting_Curves/meltCurve_Q70UQ0_4_IKBIP.pdf</v>
      </c>
    </row>
    <row r="4203" spans="1:28" x14ac:dyDescent="0.25">
      <c r="A4203" t="s">
        <v>4207</v>
      </c>
      <c r="B4203">
        <v>0.99472303558308395</v>
      </c>
      <c r="C4203">
        <v>0.82187513974206305</v>
      </c>
      <c r="D4203">
        <v>0.96842362852258901</v>
      </c>
      <c r="E4203">
        <v>0.57006369699930903</v>
      </c>
      <c r="F4203">
        <v>0.172362983019413</v>
      </c>
      <c r="G4203">
        <v>7.2371081711346E-2</v>
      </c>
      <c r="H4203">
        <v>6.6133018052394299E-2</v>
      </c>
      <c r="I4203">
        <v>4.6175934379517503E-2</v>
      </c>
      <c r="J4203">
        <v>4.1414355116419201E-2</v>
      </c>
      <c r="K4203">
        <v>6.1034653540409899E-2</v>
      </c>
      <c r="L4203">
        <v>1366.7181525112301</v>
      </c>
      <c r="M4203">
        <v>29.129562632379798</v>
      </c>
      <c r="N4203">
        <v>47.093680267418698</v>
      </c>
      <c r="O4203">
        <v>46.699140597595999</v>
      </c>
      <c r="P4203">
        <v>-0.147940822588364</v>
      </c>
      <c r="Q4203">
        <v>5.1319937239853397E-2</v>
      </c>
      <c r="R4203">
        <v>0.97954443190556595</v>
      </c>
      <c r="S4203" t="s">
        <v>10771</v>
      </c>
      <c r="T4203" t="s">
        <v>13134</v>
      </c>
      <c r="U4203" t="s">
        <v>13134</v>
      </c>
      <c r="V4203" t="s">
        <v>13134</v>
      </c>
      <c r="W4203" t="s">
        <v>17277</v>
      </c>
      <c r="X4203">
        <v>5</v>
      </c>
      <c r="Y4203" t="s">
        <v>23658</v>
      </c>
      <c r="Z4203" t="s">
        <v>30171</v>
      </c>
      <c r="AA4203">
        <v>0.37081571680949549</v>
      </c>
      <c r="AB4203" t="str">
        <f>HYPERLINK("Melting_Curves/meltCurve_Q70Z53_2_FRA10AC1.pdf", "Melting_Curves/meltCurve_Q70Z53_2_FRA10AC1.pdf")</f>
        <v>Melting_Curves/meltCurve_Q70Z53_2_FRA10AC1.pdf</v>
      </c>
    </row>
    <row r="4204" spans="1:28" x14ac:dyDescent="0.25">
      <c r="A4204" t="s">
        <v>4208</v>
      </c>
      <c r="B4204">
        <v>0.99472303558308395</v>
      </c>
      <c r="C4204">
        <v>1.0040400973961501</v>
      </c>
      <c r="D4204">
        <v>0.96298678171005603</v>
      </c>
      <c r="E4204">
        <v>0.92498332103665704</v>
      </c>
      <c r="F4204">
        <v>0.73779056509288798</v>
      </c>
      <c r="G4204">
        <v>0.34167583546626301</v>
      </c>
      <c r="H4204">
        <v>0.15079609480975301</v>
      </c>
      <c r="I4204">
        <v>0.101331765740745</v>
      </c>
      <c r="J4204">
        <v>7.8442988519453902E-2</v>
      </c>
      <c r="K4204">
        <v>7.0526596483049403E-2</v>
      </c>
      <c r="L4204">
        <v>1266.04102112134</v>
      </c>
      <c r="M4204">
        <v>24.366512828439401</v>
      </c>
      <c r="N4204">
        <v>52.277330380310197</v>
      </c>
      <c r="O4204">
        <v>51.612068415337902</v>
      </c>
      <c r="P4204">
        <v>-0.10987326759589799</v>
      </c>
      <c r="Q4204">
        <v>6.9099104224970204E-2</v>
      </c>
      <c r="R4204">
        <v>0.998811959544883</v>
      </c>
      <c r="S4204" t="s">
        <v>10772</v>
      </c>
      <c r="T4204" t="s">
        <v>13134</v>
      </c>
      <c r="U4204" t="s">
        <v>13134</v>
      </c>
      <c r="V4204" t="s">
        <v>13134</v>
      </c>
      <c r="W4204" t="s">
        <v>17278</v>
      </c>
      <c r="X4204">
        <v>5</v>
      </c>
      <c r="Y4204" t="s">
        <v>23659</v>
      </c>
      <c r="Z4204" t="s">
        <v>30172</v>
      </c>
      <c r="AA4204">
        <v>0.54188776212798317</v>
      </c>
      <c r="AB4204" t="str">
        <f>HYPERLINK("Melting_Curves/meltCurve_Q712K3_UBE2R2.pdf", "Melting_Curves/meltCurve_Q712K3_UBE2R2.pdf")</f>
        <v>Melting_Curves/meltCurve_Q712K3_UBE2R2.pdf</v>
      </c>
    </row>
    <row r="4205" spans="1:28" x14ac:dyDescent="0.25">
      <c r="A4205" t="s">
        <v>4209</v>
      </c>
      <c r="B4205">
        <v>0.99472303558308395</v>
      </c>
      <c r="C4205">
        <v>0.86041017939404596</v>
      </c>
      <c r="D4205">
        <v>0.68136676775540295</v>
      </c>
      <c r="E4205">
        <v>0.40781150940491601</v>
      </c>
      <c r="F4205">
        <v>0.18326562867611301</v>
      </c>
      <c r="G4205">
        <v>8.9860153264871998E-2</v>
      </c>
      <c r="H4205">
        <v>5.8805907467176503E-2</v>
      </c>
      <c r="I4205">
        <v>3.6297417338040303E-2</v>
      </c>
      <c r="J4205">
        <v>4.6311178280618599E-2</v>
      </c>
      <c r="K4205">
        <v>2.85334846379122E-2</v>
      </c>
      <c r="L4205">
        <v>687.01888701957103</v>
      </c>
      <c r="M4205">
        <v>15.240795568707799</v>
      </c>
      <c r="N4205">
        <v>45.214804101853602</v>
      </c>
      <c r="O4205">
        <v>44.3229366338877</v>
      </c>
      <c r="P4205">
        <v>-8.40302675555748E-2</v>
      </c>
      <c r="Q4205">
        <v>2.2593086171393301E-2</v>
      </c>
      <c r="R4205">
        <v>0.99852008435361705</v>
      </c>
      <c r="S4205" t="s">
        <v>10773</v>
      </c>
      <c r="T4205" t="s">
        <v>13134</v>
      </c>
      <c r="U4205" t="s">
        <v>13134</v>
      </c>
      <c r="V4205" t="s">
        <v>13134</v>
      </c>
      <c r="W4205" t="s">
        <v>17279</v>
      </c>
      <c r="X4205">
        <v>6</v>
      </c>
      <c r="Y4205" t="s">
        <v>23660</v>
      </c>
      <c r="Z4205" t="s">
        <v>30173</v>
      </c>
      <c r="AA4205">
        <v>0.30822558106875558</v>
      </c>
      <c r="AB4205" t="str">
        <f>HYPERLINK("Melting_Curves/meltCurve_Q71RC2_5_LARP4.pdf", "Melting_Curves/meltCurve_Q71RC2_5_LARP4.pdf")</f>
        <v>Melting_Curves/meltCurve_Q71RC2_5_LARP4.pdf</v>
      </c>
    </row>
    <row r="4206" spans="1:28" x14ac:dyDescent="0.25">
      <c r="A4206" t="s">
        <v>4210</v>
      </c>
      <c r="B4206">
        <v>0.99472303558308395</v>
      </c>
      <c r="C4206">
        <v>0.88203004247607797</v>
      </c>
      <c r="D4206">
        <v>0.78786376650013501</v>
      </c>
      <c r="E4206">
        <v>0.52162256804925899</v>
      </c>
      <c r="F4206">
        <v>0.45186225108329398</v>
      </c>
      <c r="G4206">
        <v>0.26894286081316998</v>
      </c>
      <c r="H4206">
        <v>0.17886951500899201</v>
      </c>
      <c r="I4206">
        <v>0.135733095876899</v>
      </c>
      <c r="J4206">
        <v>0.187852348450121</v>
      </c>
      <c r="K4206">
        <v>5.2905772600501999E-2</v>
      </c>
      <c r="L4206">
        <v>505.287556660034</v>
      </c>
      <c r="M4206">
        <v>10.639912647721101</v>
      </c>
      <c r="N4206">
        <v>48.1169393985599</v>
      </c>
      <c r="O4206">
        <v>45.904414205794701</v>
      </c>
      <c r="P4206">
        <v>-5.42151897743837E-2</v>
      </c>
      <c r="Q4206">
        <v>6.4743261080093997E-2</v>
      </c>
      <c r="R4206">
        <v>0.98509740397674495</v>
      </c>
      <c r="S4206" t="s">
        <v>10774</v>
      </c>
      <c r="T4206" t="s">
        <v>13134</v>
      </c>
      <c r="U4206" t="s">
        <v>13134</v>
      </c>
      <c r="V4206" t="s">
        <v>13134</v>
      </c>
      <c r="W4206" t="s">
        <v>17280</v>
      </c>
      <c r="X4206">
        <v>2</v>
      </c>
      <c r="Y4206" t="s">
        <v>23661</v>
      </c>
      <c r="Z4206" t="s">
        <v>30174</v>
      </c>
      <c r="AA4206">
        <v>0.42757719824697421</v>
      </c>
      <c r="AB4206" t="str">
        <f>HYPERLINK("Melting_Curves/meltCurve_Q71SY5_5_MED25.pdf", "Melting_Curves/meltCurve_Q71SY5_5_MED25.pdf")</f>
        <v>Melting_Curves/meltCurve_Q71SY5_5_MED25.pdf</v>
      </c>
    </row>
    <row r="4207" spans="1:28" x14ac:dyDescent="0.25">
      <c r="A4207" t="s">
        <v>4211</v>
      </c>
      <c r="B4207">
        <v>0.99472303558308395</v>
      </c>
      <c r="C4207">
        <v>0.95564871632804904</v>
      </c>
      <c r="D4207">
        <v>0.936575700280741</v>
      </c>
      <c r="E4207">
        <v>0.81198570384207702</v>
      </c>
      <c r="F4207">
        <v>0.59980721217494704</v>
      </c>
      <c r="G4207">
        <v>0.431063516292711</v>
      </c>
      <c r="H4207">
        <v>0.17366109615804401</v>
      </c>
      <c r="I4207">
        <v>9.5217480039576002E-2</v>
      </c>
      <c r="J4207">
        <v>0.108234089448625</v>
      </c>
      <c r="K4207">
        <v>7.4257547950053196E-2</v>
      </c>
      <c r="L4207">
        <v>700.49350757394996</v>
      </c>
      <c r="M4207">
        <v>13.5499278406953</v>
      </c>
      <c r="N4207">
        <v>51.826201630658801</v>
      </c>
      <c r="O4207">
        <v>50.610174604089799</v>
      </c>
      <c r="P4207">
        <v>-6.5832919753769703E-2</v>
      </c>
      <c r="Q4207">
        <v>1.6580811465644E-2</v>
      </c>
      <c r="R4207">
        <v>0.99462128476715905</v>
      </c>
      <c r="S4207" t="s">
        <v>10775</v>
      </c>
      <c r="T4207" t="s">
        <v>13134</v>
      </c>
      <c r="U4207" t="s">
        <v>13134</v>
      </c>
      <c r="V4207" t="s">
        <v>13134</v>
      </c>
      <c r="W4207" t="s">
        <v>17281</v>
      </c>
      <c r="X4207">
        <v>14</v>
      </c>
      <c r="Y4207" t="s">
        <v>20029</v>
      </c>
      <c r="Z4207" t="s">
        <v>30175</v>
      </c>
      <c r="AA4207">
        <v>0.5198234007480047</v>
      </c>
      <c r="AB4207" t="str">
        <f>HYPERLINK("Melting_Curves/meltCurve_Q71TU5_CSNK1A1.pdf", "Melting_Curves/meltCurve_Q71TU5_CSNK1A1.pdf")</f>
        <v>Melting_Curves/meltCurve_Q71TU5_CSNK1A1.pdf</v>
      </c>
    </row>
    <row r="4208" spans="1:28" x14ac:dyDescent="0.25">
      <c r="A4208" t="s">
        <v>4212</v>
      </c>
      <c r="B4208">
        <v>0.99472303558308395</v>
      </c>
      <c r="C4208">
        <v>0.97708052320251404</v>
      </c>
      <c r="D4208">
        <v>0.75358899176287897</v>
      </c>
      <c r="E4208">
        <v>0.35827233969066902</v>
      </c>
      <c r="F4208">
        <v>0.19558179369055001</v>
      </c>
      <c r="G4208">
        <v>0.13174177631268399</v>
      </c>
      <c r="H4208">
        <v>9.4396931469666795E-2</v>
      </c>
      <c r="I4208">
        <v>0.10596697897353401</v>
      </c>
      <c r="J4208">
        <v>0.11822271684416601</v>
      </c>
      <c r="K4208">
        <v>7.3733443544968996E-2</v>
      </c>
      <c r="L4208">
        <v>1037.30536250361</v>
      </c>
      <c r="M4208">
        <v>23.123175699809799</v>
      </c>
      <c r="N4208">
        <v>45.3071130672161</v>
      </c>
      <c r="O4208">
        <v>44.528510674465799</v>
      </c>
      <c r="P4208">
        <v>-0.11658101080875601</v>
      </c>
      <c r="Q4208">
        <v>0.102011988635217</v>
      </c>
      <c r="R4208">
        <v>0.99795290365922495</v>
      </c>
      <c r="S4208" t="s">
        <v>10776</v>
      </c>
      <c r="T4208" t="s">
        <v>13134</v>
      </c>
      <c r="U4208" t="s">
        <v>13134</v>
      </c>
      <c r="V4208" t="s">
        <v>13134</v>
      </c>
      <c r="W4208" t="s">
        <v>17282</v>
      </c>
      <c r="X4208">
        <v>5</v>
      </c>
      <c r="Y4208" t="s">
        <v>23662</v>
      </c>
      <c r="Z4208" t="s">
        <v>30176</v>
      </c>
      <c r="AA4208">
        <v>0.34597258583665419</v>
      </c>
      <c r="AB4208" t="str">
        <f>HYPERLINK("Melting_Curves/meltCurve_Q71UI9_H2AFV.pdf", "Melting_Curves/meltCurve_Q71UI9_H2AFV.pdf")</f>
        <v>Melting_Curves/meltCurve_Q71UI9_H2AFV.pdf</v>
      </c>
    </row>
    <row r="4209" spans="1:28" x14ac:dyDescent="0.25">
      <c r="A4209" t="s">
        <v>4213</v>
      </c>
      <c r="B4209">
        <v>0.99472303558308395</v>
      </c>
      <c r="C4209">
        <v>1.0073081789921401</v>
      </c>
      <c r="D4209">
        <v>0.999704326370776</v>
      </c>
      <c r="E4209">
        <v>0.80145013512866004</v>
      </c>
      <c r="F4209">
        <v>0.52824678596513996</v>
      </c>
      <c r="G4209">
        <v>0.31533338812052703</v>
      </c>
      <c r="H4209">
        <v>0.11216274530303599</v>
      </c>
      <c r="I4209">
        <v>5.4678590630636799E-2</v>
      </c>
      <c r="J4209">
        <v>9.7244265900780905E-2</v>
      </c>
      <c r="K4209">
        <v>5.6398124749221103E-2</v>
      </c>
      <c r="L4209">
        <v>907.13459106408004</v>
      </c>
      <c r="M4209">
        <v>17.998507409076201</v>
      </c>
      <c r="N4209">
        <v>50.664731885326503</v>
      </c>
      <c r="O4209">
        <v>49.790719752780703</v>
      </c>
      <c r="P4209">
        <v>-8.63273391281969E-2</v>
      </c>
      <c r="Q4209">
        <v>4.4789988404648699E-2</v>
      </c>
      <c r="R4209">
        <v>0.99576357545989702</v>
      </c>
      <c r="S4209" t="s">
        <v>10777</v>
      </c>
      <c r="T4209" t="s">
        <v>13134</v>
      </c>
      <c r="U4209" t="s">
        <v>13134</v>
      </c>
      <c r="V4209" t="s">
        <v>13134</v>
      </c>
      <c r="W4209" t="s">
        <v>17283</v>
      </c>
      <c r="X4209">
        <v>7</v>
      </c>
      <c r="Y4209" t="s">
        <v>23663</v>
      </c>
      <c r="Z4209" t="s">
        <v>30177</v>
      </c>
      <c r="AA4209">
        <v>0.48643859111624732</v>
      </c>
      <c r="AB4209" t="str">
        <f>HYPERLINK("Melting_Curves/meltCurve_Q765P7_MTSS1L.pdf", "Melting_Curves/meltCurve_Q765P7_MTSS1L.pdf")</f>
        <v>Melting_Curves/meltCurve_Q765P7_MTSS1L.pdf</v>
      </c>
    </row>
    <row r="4210" spans="1:28" x14ac:dyDescent="0.25">
      <c r="A4210" t="s">
        <v>4214</v>
      </c>
      <c r="B4210">
        <v>0.99472303558308395</v>
      </c>
      <c r="C4210">
        <v>1.0285724871161801</v>
      </c>
      <c r="D4210">
        <v>0.89283493891907695</v>
      </c>
      <c r="E4210">
        <v>0.80208946073611898</v>
      </c>
      <c r="F4210">
        <v>0.56274430999068903</v>
      </c>
      <c r="G4210">
        <v>0.36988233342309901</v>
      </c>
      <c r="H4210">
        <v>0.14044033034592901</v>
      </c>
      <c r="I4210">
        <v>8.8036490007875903E-2</v>
      </c>
      <c r="J4210">
        <v>8.5533255512868306E-2</v>
      </c>
      <c r="K4210">
        <v>8.0045656784416996E-2</v>
      </c>
      <c r="L4210">
        <v>743.72690858644705</v>
      </c>
      <c r="M4210">
        <v>14.6137640046325</v>
      </c>
      <c r="N4210">
        <v>51.103658774879797</v>
      </c>
      <c r="O4210">
        <v>49.967726877098201</v>
      </c>
      <c r="P4210">
        <v>-7.0979053402318304E-2</v>
      </c>
      <c r="Q4210">
        <v>2.93353478230064E-2</v>
      </c>
      <c r="R4210">
        <v>0.99406409988878996</v>
      </c>
      <c r="S4210" t="s">
        <v>10778</v>
      </c>
      <c r="T4210" t="s">
        <v>13134</v>
      </c>
      <c r="U4210" t="s">
        <v>13134</v>
      </c>
      <c r="V4210" t="s">
        <v>13134</v>
      </c>
      <c r="W4210" t="s">
        <v>17284</v>
      </c>
      <c r="X4210">
        <v>4</v>
      </c>
      <c r="Y4210" t="s">
        <v>23664</v>
      </c>
      <c r="Z4210" t="s">
        <v>30178</v>
      </c>
      <c r="AA4210">
        <v>0.49913719079556862</v>
      </c>
      <c r="AB4210" t="str">
        <f>HYPERLINK("Melting_Curves/meltCurve_Q7KYR7_5_BTN2A1.pdf", "Melting_Curves/meltCurve_Q7KYR7_5_BTN2A1.pdf")</f>
        <v>Melting_Curves/meltCurve_Q7KYR7_5_BTN2A1.pdf</v>
      </c>
    </row>
    <row r="4211" spans="1:28" x14ac:dyDescent="0.25">
      <c r="A4211" t="s">
        <v>4215</v>
      </c>
      <c r="B4211">
        <v>0.99472303558308395</v>
      </c>
      <c r="C4211">
        <v>0.98291552357223</v>
      </c>
      <c r="D4211">
        <v>0.91525381668386996</v>
      </c>
      <c r="E4211">
        <v>0.71529728686846805</v>
      </c>
      <c r="F4211">
        <v>0.25572361801301702</v>
      </c>
      <c r="G4211">
        <v>0.13602798788672499</v>
      </c>
      <c r="H4211">
        <v>8.9907832217111294E-2</v>
      </c>
      <c r="I4211">
        <v>6.5314504885377406E-2</v>
      </c>
      <c r="J4211">
        <v>7.1711716344298307E-2</v>
      </c>
      <c r="K4211">
        <v>6.2915399008255199E-2</v>
      </c>
      <c r="L4211">
        <v>1259.28679345925</v>
      </c>
      <c r="M4211">
        <v>26.317878517307101</v>
      </c>
      <c r="N4211">
        <v>48.1228160710955</v>
      </c>
      <c r="O4211">
        <v>47.575398961876097</v>
      </c>
      <c r="P4211">
        <v>-0.128683678730351</v>
      </c>
      <c r="Q4211">
        <v>6.9513134187084297E-2</v>
      </c>
      <c r="R4211">
        <v>0.99787695618239503</v>
      </c>
      <c r="S4211" t="s">
        <v>10779</v>
      </c>
      <c r="T4211" t="s">
        <v>13134</v>
      </c>
      <c r="U4211" t="s">
        <v>13134</v>
      </c>
      <c r="V4211" t="s">
        <v>13134</v>
      </c>
      <c r="W4211" t="s">
        <v>17285</v>
      </c>
      <c r="X4211">
        <v>51</v>
      </c>
      <c r="Y4211" t="s">
        <v>23665</v>
      </c>
      <c r="Z4211" t="s">
        <v>30179</v>
      </c>
      <c r="AA4211">
        <v>0.4131548012884701</v>
      </c>
      <c r="AB4211" t="str">
        <f>HYPERLINK("Melting_Curves/meltCurve_Q7KZ85_SUPT6H.pdf", "Melting_Curves/meltCurve_Q7KZ85_SUPT6H.pdf")</f>
        <v>Melting_Curves/meltCurve_Q7KZ85_SUPT6H.pdf</v>
      </c>
    </row>
    <row r="4212" spans="1:28" x14ac:dyDescent="0.25">
      <c r="A4212" t="s">
        <v>4216</v>
      </c>
      <c r="B4212">
        <v>0.99472303558308395</v>
      </c>
      <c r="C4212">
        <v>1.0818204885682301</v>
      </c>
      <c r="D4212">
        <v>0.80681148070429698</v>
      </c>
      <c r="E4212">
        <v>0.94452072989420599</v>
      </c>
      <c r="F4212">
        <v>0.700370038108453</v>
      </c>
      <c r="G4212">
        <v>0.51591627475025104</v>
      </c>
      <c r="H4212">
        <v>0.37319137551070702</v>
      </c>
      <c r="I4212">
        <v>0.56845877408527201</v>
      </c>
      <c r="J4212">
        <v>0.88908234793461205</v>
      </c>
      <c r="K4212">
        <v>0.55552295749733205</v>
      </c>
      <c r="L4212">
        <v>2026.3296622437299</v>
      </c>
      <c r="M4212">
        <v>41.4973531576046</v>
      </c>
      <c r="O4212">
        <v>48.7173473009248</v>
      </c>
      <c r="P4212">
        <v>-8.9185565095602395E-2</v>
      </c>
      <c r="Q4212">
        <v>0.58119002343327097</v>
      </c>
      <c r="R4212">
        <v>0.62292903117629295</v>
      </c>
      <c r="S4212" t="s">
        <v>10780</v>
      </c>
      <c r="T4212" t="s">
        <v>13134</v>
      </c>
      <c r="U4212" t="s">
        <v>13134</v>
      </c>
      <c r="V4212" t="s">
        <v>13134</v>
      </c>
      <c r="W4212" t="s">
        <v>17286</v>
      </c>
      <c r="X4212">
        <v>18</v>
      </c>
      <c r="Y4212" t="s">
        <v>23665</v>
      </c>
      <c r="Z4212" t="s">
        <v>30180</v>
      </c>
      <c r="AA4212">
        <v>0.74765800385282677</v>
      </c>
      <c r="AB4212" t="str">
        <f>HYPERLINK("Melting_Curves/meltCurve_Q7KZ85_2_SUPT6H.pdf", "Melting_Curves/meltCurve_Q7KZ85_2_SUPT6H.pdf")</f>
        <v>Melting_Curves/meltCurve_Q7KZ85_2_SUPT6H.pdf</v>
      </c>
    </row>
    <row r="4213" spans="1:28" x14ac:dyDescent="0.25">
      <c r="A4213" t="s">
        <v>4217</v>
      </c>
      <c r="B4213">
        <v>0.99472303558308395</v>
      </c>
      <c r="C4213">
        <v>0.882308615365196</v>
      </c>
      <c r="D4213">
        <v>0.89176509518830205</v>
      </c>
      <c r="E4213">
        <v>0.272853738939214</v>
      </c>
      <c r="F4213">
        <v>0.13955588197706401</v>
      </c>
      <c r="G4213">
        <v>7.4129074581172197E-2</v>
      </c>
      <c r="H4213">
        <v>4.31591830892765E-2</v>
      </c>
      <c r="I4213">
        <v>3.3982142760819997E-2</v>
      </c>
      <c r="J4213">
        <v>3.8945250188196702E-2</v>
      </c>
      <c r="K4213">
        <v>3.2011510055896697E-2</v>
      </c>
      <c r="L4213">
        <v>1578.5688253651199</v>
      </c>
      <c r="M4213">
        <v>34.937795714984901</v>
      </c>
      <c r="N4213">
        <v>45.325712372398698</v>
      </c>
      <c r="O4213">
        <v>45.035011266637298</v>
      </c>
      <c r="P4213">
        <v>-0.18379775368996101</v>
      </c>
      <c r="Q4213">
        <v>5.2338097408763898E-2</v>
      </c>
      <c r="R4213">
        <v>0.98804749661806002</v>
      </c>
      <c r="S4213" t="s">
        <v>10781</v>
      </c>
      <c r="T4213" t="s">
        <v>13134</v>
      </c>
      <c r="U4213" t="s">
        <v>13134</v>
      </c>
      <c r="V4213" t="s">
        <v>13134</v>
      </c>
      <c r="W4213" t="s">
        <v>17287</v>
      </c>
      <c r="X4213">
        <v>58</v>
      </c>
      <c r="Y4213" t="s">
        <v>23666</v>
      </c>
      <c r="Z4213" t="s">
        <v>30181</v>
      </c>
      <c r="AA4213">
        <v>0.31470736027282198</v>
      </c>
      <c r="AB4213" t="str">
        <f>HYPERLINK("Melting_Curves/meltCurve_Q7KZF4_SND1.pdf", "Melting_Curves/meltCurve_Q7KZF4_SND1.pdf")</f>
        <v>Melting_Curves/meltCurve_Q7KZF4_SND1.pdf</v>
      </c>
    </row>
    <row r="4214" spans="1:28" x14ac:dyDescent="0.25">
      <c r="A4214" t="s">
        <v>4218</v>
      </c>
      <c r="B4214">
        <v>0.99472303558308395</v>
      </c>
      <c r="C4214">
        <v>0.943486679447198</v>
      </c>
      <c r="D4214">
        <v>0.84044847085713004</v>
      </c>
      <c r="E4214">
        <v>0.725377764179995</v>
      </c>
      <c r="F4214">
        <v>0.56868187217407495</v>
      </c>
      <c r="G4214">
        <v>0.39245310895966101</v>
      </c>
      <c r="H4214">
        <v>0.28556374066656598</v>
      </c>
      <c r="I4214">
        <v>0.206795529008552</v>
      </c>
      <c r="J4214">
        <v>0.17457038584388199</v>
      </c>
      <c r="K4214">
        <v>0.122938007070125</v>
      </c>
      <c r="L4214">
        <v>488.371203992517</v>
      </c>
      <c r="M4214">
        <v>9.5875348164968006</v>
      </c>
      <c r="N4214">
        <v>51.438604710891603</v>
      </c>
      <c r="O4214">
        <v>48.869960515627</v>
      </c>
      <c r="P4214">
        <v>-4.6888844617535501E-2</v>
      </c>
      <c r="Q4214">
        <v>4.4531086877358003E-2</v>
      </c>
      <c r="R4214">
        <v>0.99861082070929597</v>
      </c>
      <c r="S4214" t="s">
        <v>10782</v>
      </c>
      <c r="T4214" t="s">
        <v>13134</v>
      </c>
      <c r="U4214" t="s">
        <v>13134</v>
      </c>
      <c r="V4214" t="s">
        <v>13134</v>
      </c>
      <c r="W4214" t="s">
        <v>17288</v>
      </c>
      <c r="X4214">
        <v>5</v>
      </c>
      <c r="Y4214" t="s">
        <v>23667</v>
      </c>
      <c r="Z4214" t="s">
        <v>30182</v>
      </c>
      <c r="AA4214">
        <v>0.51869225426625598</v>
      </c>
      <c r="AB4214" t="str">
        <f>HYPERLINK("Melting_Curves/meltCurve_Q7KZN9_2_COX15.pdf", "Melting_Curves/meltCurve_Q7KZN9_2_COX15.pdf")</f>
        <v>Melting_Curves/meltCurve_Q7KZN9_2_COX15.pdf</v>
      </c>
    </row>
    <row r="4215" spans="1:28" x14ac:dyDescent="0.25">
      <c r="A4215" t="s">
        <v>4219</v>
      </c>
      <c r="B4215">
        <v>0.99472303558308395</v>
      </c>
      <c r="C4215">
        <v>0.96939468442230803</v>
      </c>
      <c r="D4215">
        <v>0.96178813039751099</v>
      </c>
      <c r="E4215">
        <v>0.79412130245077195</v>
      </c>
      <c r="F4215">
        <v>0.232858846318065</v>
      </c>
      <c r="G4215">
        <v>8.5055394928449504E-2</v>
      </c>
      <c r="H4215">
        <v>4.9561895145366699E-2</v>
      </c>
      <c r="I4215">
        <v>3.7070743074405901E-2</v>
      </c>
      <c r="J4215">
        <v>4.1053303172864E-2</v>
      </c>
      <c r="K4215">
        <v>3.3878323818826002E-2</v>
      </c>
      <c r="L4215">
        <v>1685.4729626265</v>
      </c>
      <c r="M4215">
        <v>34.915983570260899</v>
      </c>
      <c r="N4215">
        <v>48.3942660970514</v>
      </c>
      <c r="O4215">
        <v>48.114724275700603</v>
      </c>
      <c r="P4215">
        <v>-0.17377663708202701</v>
      </c>
      <c r="Q4215">
        <v>4.2136660662462098E-2</v>
      </c>
      <c r="R4215">
        <v>0.99883750638896596</v>
      </c>
      <c r="S4215" t="s">
        <v>10783</v>
      </c>
      <c r="T4215" t="s">
        <v>13134</v>
      </c>
      <c r="U4215" t="s">
        <v>13134</v>
      </c>
      <c r="V4215" t="s">
        <v>13134</v>
      </c>
      <c r="W4215" t="s">
        <v>17289</v>
      </c>
      <c r="X4215">
        <v>55</v>
      </c>
      <c r="Y4215" t="s">
        <v>23668</v>
      </c>
      <c r="Z4215" t="s">
        <v>30183</v>
      </c>
      <c r="AA4215">
        <v>0.40624856206706711</v>
      </c>
      <c r="AB4215" t="str">
        <f>HYPERLINK("Melting_Curves/meltCurve_Q7L014_DDX46.pdf", "Melting_Curves/meltCurve_Q7L014_DDX46.pdf")</f>
        <v>Melting_Curves/meltCurve_Q7L014_DDX46.pdf</v>
      </c>
    </row>
    <row r="4216" spans="1:28" x14ac:dyDescent="0.25">
      <c r="A4216" t="s">
        <v>4220</v>
      </c>
      <c r="B4216">
        <v>0.99472303558308395</v>
      </c>
      <c r="C4216">
        <v>1.20686586580689</v>
      </c>
      <c r="D4216">
        <v>0.92321161409839003</v>
      </c>
      <c r="E4216">
        <v>0.662589025037847</v>
      </c>
      <c r="F4216">
        <v>0.48452189649165001</v>
      </c>
      <c r="G4216">
        <v>0.19899964750406099</v>
      </c>
      <c r="H4216">
        <v>0.119418751569936</v>
      </c>
      <c r="I4216">
        <v>9.6854424456259594E-2</v>
      </c>
      <c r="J4216">
        <v>8.3910907088439401E-2</v>
      </c>
      <c r="K4216">
        <v>7.2701983343569004E-2</v>
      </c>
      <c r="L4216">
        <v>886.92083079879296</v>
      </c>
      <c r="M4216">
        <v>18.1359705707067</v>
      </c>
      <c r="N4216">
        <v>49.302117875809799</v>
      </c>
      <c r="O4216">
        <v>48.320986054228399</v>
      </c>
      <c r="P4216">
        <v>-8.7443043369845694E-2</v>
      </c>
      <c r="Q4216">
        <v>6.8120736570717599E-2</v>
      </c>
      <c r="R4216">
        <v>0.96607320801363294</v>
      </c>
      <c r="S4216" t="s">
        <v>10784</v>
      </c>
      <c r="T4216" t="s">
        <v>13134</v>
      </c>
      <c r="U4216" t="s">
        <v>13134</v>
      </c>
      <c r="V4216" t="s">
        <v>13134</v>
      </c>
      <c r="W4216" t="s">
        <v>17290</v>
      </c>
      <c r="X4216">
        <v>7</v>
      </c>
      <c r="Y4216" t="s">
        <v>23669</v>
      </c>
      <c r="Z4216" t="s">
        <v>30184</v>
      </c>
      <c r="AA4216">
        <v>0.45252043098784428</v>
      </c>
      <c r="AB4216" t="str">
        <f>HYPERLINK("Melting_Curves/meltCurve_Q7L099_2_RUFY3.pdf", "Melting_Curves/meltCurve_Q7L099_2_RUFY3.pdf")</f>
        <v>Melting_Curves/meltCurve_Q7L099_2_RUFY3.pdf</v>
      </c>
    </row>
    <row r="4217" spans="1:28" x14ac:dyDescent="0.25">
      <c r="A4217" t="s">
        <v>4221</v>
      </c>
      <c r="B4217">
        <v>0.99472303558308395</v>
      </c>
      <c r="C4217">
        <v>1.1481485508295699</v>
      </c>
      <c r="D4217">
        <v>1.0391936172909499</v>
      </c>
      <c r="E4217">
        <v>0.77844849856077403</v>
      </c>
      <c r="F4217">
        <v>0.403282367234648</v>
      </c>
      <c r="G4217">
        <v>0.21714476471208299</v>
      </c>
      <c r="H4217">
        <v>0.13380085598569899</v>
      </c>
      <c r="I4217">
        <v>0.116795602843206</v>
      </c>
      <c r="J4217">
        <v>9.2397535549457802E-2</v>
      </c>
      <c r="K4217">
        <v>8.7421117578002402E-2</v>
      </c>
      <c r="L4217">
        <v>1234.0583718433199</v>
      </c>
      <c r="M4217">
        <v>25.242782444370199</v>
      </c>
      <c r="N4217">
        <v>49.350390785672403</v>
      </c>
      <c r="O4217">
        <v>48.583844016551403</v>
      </c>
      <c r="P4217">
        <v>-0.116203842020177</v>
      </c>
      <c r="Q4217">
        <v>0.10539853580919099</v>
      </c>
      <c r="R4217">
        <v>0.983101939202777</v>
      </c>
      <c r="S4217" t="s">
        <v>10785</v>
      </c>
      <c r="T4217" t="s">
        <v>13134</v>
      </c>
      <c r="U4217" t="s">
        <v>13134</v>
      </c>
      <c r="V4217" t="s">
        <v>13134</v>
      </c>
      <c r="W4217" t="s">
        <v>17291</v>
      </c>
      <c r="X4217">
        <v>8</v>
      </c>
      <c r="Y4217" t="s">
        <v>23669</v>
      </c>
      <c r="Z4217" t="s">
        <v>30185</v>
      </c>
      <c r="AA4217">
        <v>0.46746137921837311</v>
      </c>
      <c r="AB4217" t="str">
        <f>HYPERLINK("Melting_Curves/meltCurve_Q7L099_4_RUFY3.pdf", "Melting_Curves/meltCurve_Q7L099_4_RUFY3.pdf")</f>
        <v>Melting_Curves/meltCurve_Q7L099_4_RUFY3.pdf</v>
      </c>
    </row>
    <row r="4218" spans="1:28" x14ac:dyDescent="0.25">
      <c r="A4218" t="s">
        <v>4222</v>
      </c>
      <c r="B4218">
        <v>0.99472303558308395</v>
      </c>
      <c r="C4218">
        <v>1.02037959225064</v>
      </c>
      <c r="D4218">
        <v>0.81599573926746505</v>
      </c>
      <c r="E4218">
        <v>0.74354716623572803</v>
      </c>
      <c r="F4218">
        <v>0.487976542638829</v>
      </c>
      <c r="G4218">
        <v>0.101778405776295</v>
      </c>
      <c r="H4218">
        <v>7.05199968359526E-2</v>
      </c>
      <c r="I4218">
        <v>4.65211060054561E-2</v>
      </c>
      <c r="J4218">
        <v>5.7235634485514303E-2</v>
      </c>
      <c r="K4218">
        <v>5.7967273995107101E-2</v>
      </c>
      <c r="L4218">
        <v>872.51963630904697</v>
      </c>
      <c r="M4218">
        <v>17.767778982398301</v>
      </c>
      <c r="N4218">
        <v>49.214216013379101</v>
      </c>
      <c r="O4218">
        <v>48.497468480903201</v>
      </c>
      <c r="P4218">
        <v>-8.9854359371663597E-2</v>
      </c>
      <c r="Q4218">
        <v>1.9014661531970799E-2</v>
      </c>
      <c r="R4218">
        <v>0.98170136758894999</v>
      </c>
      <c r="S4218" t="s">
        <v>10786</v>
      </c>
      <c r="T4218" t="s">
        <v>13134</v>
      </c>
      <c r="U4218" t="s">
        <v>13134</v>
      </c>
      <c r="V4218" t="s">
        <v>13134</v>
      </c>
      <c r="W4218" t="s">
        <v>17292</v>
      </c>
      <c r="X4218">
        <v>24</v>
      </c>
      <c r="Y4218" t="s">
        <v>23670</v>
      </c>
      <c r="Z4218" t="s">
        <v>30186</v>
      </c>
      <c r="AA4218">
        <v>0.43084135866084189</v>
      </c>
      <c r="AB4218" t="str">
        <f>HYPERLINK("Melting_Curves/meltCurve_Q7L0Y3_TRMT10C.pdf", "Melting_Curves/meltCurve_Q7L0Y3_TRMT10C.pdf")</f>
        <v>Melting_Curves/meltCurve_Q7L0Y3_TRMT10C.pdf</v>
      </c>
    </row>
    <row r="4219" spans="1:28" x14ac:dyDescent="0.25">
      <c r="A4219" t="s">
        <v>4223</v>
      </c>
      <c r="B4219">
        <v>0.99472303558308395</v>
      </c>
      <c r="C4219">
        <v>0.91849029595974496</v>
      </c>
      <c r="D4219">
        <v>1.0344495001494201</v>
      </c>
      <c r="E4219">
        <v>0.75451723679683702</v>
      </c>
      <c r="F4219">
        <v>0.15151719571282601</v>
      </c>
      <c r="G4219">
        <v>9.3291646885320101E-2</v>
      </c>
      <c r="H4219">
        <v>5.0991627986311898E-2</v>
      </c>
      <c r="I4219">
        <v>4.3499133258686699E-2</v>
      </c>
      <c r="J4219">
        <v>4.04364016939023E-2</v>
      </c>
      <c r="K4219">
        <v>3.39503921876168E-2</v>
      </c>
      <c r="L4219">
        <v>2066.65667742904</v>
      </c>
      <c r="M4219">
        <v>43.281584476427497</v>
      </c>
      <c r="N4219">
        <v>47.866807830812</v>
      </c>
      <c r="O4219">
        <v>47.647503307370997</v>
      </c>
      <c r="P4219">
        <v>-0.21562932737059101</v>
      </c>
      <c r="Q4219">
        <v>5.0479905041302203E-2</v>
      </c>
      <c r="R4219">
        <v>0.99442508756714998</v>
      </c>
      <c r="S4219" t="s">
        <v>10787</v>
      </c>
      <c r="T4219" t="s">
        <v>13134</v>
      </c>
      <c r="U4219" t="s">
        <v>13134</v>
      </c>
      <c r="V4219" t="s">
        <v>13134</v>
      </c>
      <c r="W4219" t="s">
        <v>17293</v>
      </c>
      <c r="X4219">
        <v>16</v>
      </c>
      <c r="Y4219" t="s">
        <v>23671</v>
      </c>
      <c r="Z4219" t="s">
        <v>30187</v>
      </c>
      <c r="AA4219">
        <v>0.39336990872726513</v>
      </c>
      <c r="AB4219" t="str">
        <f>HYPERLINK("Melting_Curves/meltCurve_Q7L1Q6_BZW1.pdf", "Melting_Curves/meltCurve_Q7L1Q6_BZW1.pdf")</f>
        <v>Melting_Curves/meltCurve_Q7L1Q6_BZW1.pdf</v>
      </c>
    </row>
    <row r="4220" spans="1:28" x14ac:dyDescent="0.25">
      <c r="A4220" t="s">
        <v>4224</v>
      </c>
      <c r="B4220">
        <v>0.99472303558308395</v>
      </c>
      <c r="C4220">
        <v>1.1203033853266799</v>
      </c>
      <c r="D4220">
        <v>1.0929862609307901</v>
      </c>
      <c r="E4220">
        <v>0.87221488447986695</v>
      </c>
      <c r="F4220">
        <v>0.55970986343618501</v>
      </c>
      <c r="G4220">
        <v>0.38763768678784799</v>
      </c>
      <c r="H4220">
        <v>0.12858616592479999</v>
      </c>
      <c r="I4220">
        <v>7.0705919414691495E-2</v>
      </c>
      <c r="J4220">
        <v>9.8991670181569194E-2</v>
      </c>
      <c r="K4220">
        <v>8.6664852349038105E-2</v>
      </c>
      <c r="L4220">
        <v>1022.81711866699</v>
      </c>
      <c r="M4220">
        <v>20.036422752331799</v>
      </c>
      <c r="N4220">
        <v>51.425983575355502</v>
      </c>
      <c r="O4220">
        <v>50.547552285596602</v>
      </c>
      <c r="P4220">
        <v>-9.2313084224559305E-2</v>
      </c>
      <c r="Q4220">
        <v>6.8486452161180905E-2</v>
      </c>
      <c r="R4220">
        <v>0.97803447242174801</v>
      </c>
      <c r="S4220" t="s">
        <v>10788</v>
      </c>
      <c r="T4220" t="s">
        <v>13134</v>
      </c>
      <c r="U4220" t="s">
        <v>13134</v>
      </c>
      <c r="V4220" t="s">
        <v>13134</v>
      </c>
      <c r="W4220" t="s">
        <v>17294</v>
      </c>
      <c r="X4220">
        <v>5</v>
      </c>
      <c r="Y4220" t="s">
        <v>23672</v>
      </c>
      <c r="Z4220" t="s">
        <v>30188</v>
      </c>
      <c r="AA4220">
        <v>0.51683344820273047</v>
      </c>
      <c r="AB4220" t="str">
        <f>HYPERLINK("Melting_Curves/meltCurve_Q7L1T6_CYB5R4.pdf", "Melting_Curves/meltCurve_Q7L1T6_CYB5R4.pdf")</f>
        <v>Melting_Curves/meltCurve_Q7L1T6_CYB5R4.pdf</v>
      </c>
    </row>
    <row r="4221" spans="1:28" x14ac:dyDescent="0.25">
      <c r="A4221" t="s">
        <v>4225</v>
      </c>
      <c r="B4221">
        <v>0.99472303558308395</v>
      </c>
      <c r="C4221">
        <v>1.03814998451465</v>
      </c>
      <c r="D4221">
        <v>0.69048759917399305</v>
      </c>
      <c r="E4221">
        <v>0.61607166697504101</v>
      </c>
      <c r="F4221">
        <v>0.53027391830326298</v>
      </c>
      <c r="G4221">
        <v>0.18614479033440301</v>
      </c>
      <c r="H4221">
        <v>3.5746209872436097E-2</v>
      </c>
      <c r="I4221">
        <v>1.8850877761853499E-2</v>
      </c>
      <c r="J4221">
        <v>2.64554403167391E-2</v>
      </c>
      <c r="K4221">
        <v>1.6236333778816E-2</v>
      </c>
      <c r="L4221">
        <v>628.05588995361597</v>
      </c>
      <c r="M4221">
        <v>12.9644305565489</v>
      </c>
      <c r="N4221">
        <v>48.444541226166201</v>
      </c>
      <c r="O4221">
        <v>47.335345680590599</v>
      </c>
      <c r="P4221">
        <v>-6.84833968431071E-2</v>
      </c>
      <c r="Q4221">
        <v>0</v>
      </c>
      <c r="R4221">
        <v>0.95962390320064195</v>
      </c>
      <c r="S4221" t="s">
        <v>10789</v>
      </c>
      <c r="T4221" t="s">
        <v>13134</v>
      </c>
      <c r="U4221" t="s">
        <v>13134</v>
      </c>
      <c r="V4221" t="s">
        <v>13134</v>
      </c>
      <c r="W4221" t="s">
        <v>17295</v>
      </c>
      <c r="X4221">
        <v>2</v>
      </c>
      <c r="Y4221" t="s">
        <v>23673</v>
      </c>
      <c r="Z4221" t="s">
        <v>30189</v>
      </c>
      <c r="AA4221">
        <v>0.4088624944070206</v>
      </c>
      <c r="AB4221" t="str">
        <f>HYPERLINK("Melting_Curves/meltCurve_Q7L1W4_LRRC8D.pdf", "Melting_Curves/meltCurve_Q7L1W4_LRRC8D.pdf")</f>
        <v>Melting_Curves/meltCurve_Q7L1W4_LRRC8D.pdf</v>
      </c>
    </row>
    <row r="4222" spans="1:28" x14ac:dyDescent="0.25">
      <c r="A4222" t="s">
        <v>4226</v>
      </c>
      <c r="B4222">
        <v>0.99472303558308395</v>
      </c>
      <c r="C4222">
        <v>1.1071489710697699</v>
      </c>
      <c r="D4222">
        <v>0.96986627749211496</v>
      </c>
      <c r="E4222">
        <v>0.83826500618737498</v>
      </c>
      <c r="F4222">
        <v>0.74844184425409199</v>
      </c>
      <c r="G4222">
        <v>0.48334112752327602</v>
      </c>
      <c r="H4222">
        <v>0.21932529461226699</v>
      </c>
      <c r="I4222">
        <v>9.0892146360329801E-2</v>
      </c>
      <c r="J4222">
        <v>0.15404902569645099</v>
      </c>
      <c r="K4222">
        <v>0.11774226249049501</v>
      </c>
      <c r="L4222">
        <v>917.21899871206801</v>
      </c>
      <c r="M4222">
        <v>17.4264439091951</v>
      </c>
      <c r="N4222">
        <v>53.123000522399103</v>
      </c>
      <c r="O4222">
        <v>51.955312414900902</v>
      </c>
      <c r="P4222">
        <v>-7.7640864555427805E-2</v>
      </c>
      <c r="Q4222">
        <v>7.4136000478842695E-2</v>
      </c>
      <c r="R4222">
        <v>0.98198084204064895</v>
      </c>
      <c r="S4222" t="s">
        <v>10790</v>
      </c>
      <c r="T4222" t="s">
        <v>13134</v>
      </c>
      <c r="U4222" t="s">
        <v>13134</v>
      </c>
      <c r="V4222" t="s">
        <v>13134</v>
      </c>
      <c r="W4222" t="s">
        <v>17296</v>
      </c>
      <c r="X4222">
        <v>2</v>
      </c>
      <c r="Y4222" t="s">
        <v>23674</v>
      </c>
      <c r="Z4222" t="s">
        <v>30190</v>
      </c>
      <c r="AA4222">
        <v>0.57090365283794298</v>
      </c>
      <c r="AB4222" t="str">
        <f>HYPERLINK("Melting_Curves/meltCurve_Q7L211_ABHD13.pdf", "Melting_Curves/meltCurve_Q7L211_ABHD13.pdf")</f>
        <v>Melting_Curves/meltCurve_Q7L211_ABHD13.pdf</v>
      </c>
    </row>
    <row r="4223" spans="1:28" x14ac:dyDescent="0.25">
      <c r="A4223" t="s">
        <v>4227</v>
      </c>
      <c r="B4223">
        <v>0.99472303558308395</v>
      </c>
      <c r="C4223">
        <v>0.85166680064093703</v>
      </c>
      <c r="D4223">
        <v>0.84180458865310603</v>
      </c>
      <c r="E4223">
        <v>0.86068252023832803</v>
      </c>
      <c r="F4223">
        <v>0.80983651053406402</v>
      </c>
      <c r="G4223">
        <v>0.56959655617948002</v>
      </c>
      <c r="H4223">
        <v>0.40452710035947498</v>
      </c>
      <c r="I4223">
        <v>0.33348412371467401</v>
      </c>
      <c r="J4223">
        <v>0.41118103716417398</v>
      </c>
      <c r="K4223">
        <v>0.26274570139318598</v>
      </c>
      <c r="L4223">
        <v>401.95278894157701</v>
      </c>
      <c r="M4223">
        <v>7.22666777319471</v>
      </c>
      <c r="N4223">
        <v>56.675305091187198</v>
      </c>
      <c r="O4223">
        <v>51.835303491623399</v>
      </c>
      <c r="P4223">
        <v>-3.2715275095926803E-2</v>
      </c>
      <c r="Q4223">
        <v>6.2907196942827301E-2</v>
      </c>
      <c r="R4223">
        <v>0.93283047044429601</v>
      </c>
      <c r="S4223" t="s">
        <v>10791</v>
      </c>
      <c r="T4223" t="s">
        <v>13134</v>
      </c>
      <c r="U4223" t="s">
        <v>13134</v>
      </c>
      <c r="V4223" t="s">
        <v>13134</v>
      </c>
      <c r="W4223" t="s">
        <v>17297</v>
      </c>
      <c r="X4223">
        <v>4</v>
      </c>
      <c r="Y4223" t="s">
        <v>23675</v>
      </c>
      <c r="Z4223" t="s">
        <v>30191</v>
      </c>
      <c r="AA4223">
        <v>0.64208638448694555</v>
      </c>
      <c r="AB4223" t="str">
        <f>HYPERLINK("Melting_Curves/meltCurve_Q7L266_ASRGL1.pdf", "Melting_Curves/meltCurve_Q7L266_ASRGL1.pdf")</f>
        <v>Melting_Curves/meltCurve_Q7L266_ASRGL1.pdf</v>
      </c>
    </row>
    <row r="4224" spans="1:28" x14ac:dyDescent="0.25">
      <c r="A4224" t="s">
        <v>4228</v>
      </c>
      <c r="B4224">
        <v>0.99472303558308395</v>
      </c>
      <c r="C4224">
        <v>1.01270623542812</v>
      </c>
      <c r="D4224">
        <v>0.82573549489384201</v>
      </c>
      <c r="E4224">
        <v>0.75557180939786095</v>
      </c>
      <c r="F4224">
        <v>0.656750963511325</v>
      </c>
      <c r="G4224">
        <v>0.20059350531890799</v>
      </c>
      <c r="H4224">
        <v>8.9473888835296195E-2</v>
      </c>
      <c r="I4224">
        <v>5.1620342029757502E-2</v>
      </c>
      <c r="J4224">
        <v>6.7775805058248706E-2</v>
      </c>
      <c r="K4224">
        <v>4.2168529913298398E-2</v>
      </c>
      <c r="L4224">
        <v>797.94063487950598</v>
      </c>
      <c r="M4224">
        <v>15.781048750814501</v>
      </c>
      <c r="N4224">
        <v>50.563221627101001</v>
      </c>
      <c r="O4224">
        <v>49.772185303927898</v>
      </c>
      <c r="P4224">
        <v>-7.9272967249012005E-2</v>
      </c>
      <c r="Q4224">
        <v>0</v>
      </c>
      <c r="R4224">
        <v>0.97312995529920998</v>
      </c>
      <c r="S4224" t="s">
        <v>10792</v>
      </c>
      <c r="T4224" t="s">
        <v>13134</v>
      </c>
      <c r="U4224" t="s">
        <v>13134</v>
      </c>
      <c r="V4224" t="s">
        <v>13134</v>
      </c>
      <c r="W4224" t="s">
        <v>17298</v>
      </c>
      <c r="X4224">
        <v>10</v>
      </c>
      <c r="Y4224" t="s">
        <v>23676</v>
      </c>
      <c r="Z4224" t="s">
        <v>30192</v>
      </c>
      <c r="AA4224">
        <v>0.47119025532461489</v>
      </c>
      <c r="AB4224" t="str">
        <f>HYPERLINK("Melting_Curves/meltCurve_Q7L273_KCTD9.pdf", "Melting_Curves/meltCurve_Q7L273_KCTD9.pdf")</f>
        <v>Melting_Curves/meltCurve_Q7L273_KCTD9.pdf</v>
      </c>
    </row>
    <row r="4225" spans="1:28" x14ac:dyDescent="0.25">
      <c r="A4225" t="s">
        <v>4229</v>
      </c>
      <c r="B4225">
        <v>0.99472303558308395</v>
      </c>
      <c r="C4225">
        <v>0.85503520772366703</v>
      </c>
      <c r="D4225">
        <v>0.77534941104444099</v>
      </c>
      <c r="E4225">
        <v>0.51074251116199298</v>
      </c>
      <c r="F4225">
        <v>0.32147781253156499</v>
      </c>
      <c r="G4225">
        <v>0.12598943497252199</v>
      </c>
      <c r="H4225">
        <v>7.9655537791146702E-2</v>
      </c>
      <c r="I4225">
        <v>4.7438408109100702E-2</v>
      </c>
      <c r="J4225">
        <v>5.12498211541026E-2</v>
      </c>
      <c r="K4225">
        <v>5.1069784803806598E-2</v>
      </c>
      <c r="L4225">
        <v>613.541820706777</v>
      </c>
      <c r="M4225">
        <v>13.145461941109501</v>
      </c>
      <c r="N4225">
        <v>46.771094884062499</v>
      </c>
      <c r="O4225">
        <v>45.632810192491803</v>
      </c>
      <c r="P4225">
        <v>-7.1053150117727198E-2</v>
      </c>
      <c r="Q4225">
        <v>1.35587241174151E-2</v>
      </c>
      <c r="R4225">
        <v>0.99518876082512597</v>
      </c>
      <c r="S4225" t="s">
        <v>10793</v>
      </c>
      <c r="T4225" t="s">
        <v>13134</v>
      </c>
      <c r="U4225" t="s">
        <v>13134</v>
      </c>
      <c r="V4225" t="s">
        <v>13134</v>
      </c>
      <c r="W4225" t="s">
        <v>17299</v>
      </c>
      <c r="X4225">
        <v>9</v>
      </c>
      <c r="Y4225" t="s">
        <v>23677</v>
      </c>
      <c r="Z4225" t="s">
        <v>30193</v>
      </c>
      <c r="AA4225">
        <v>0.35989825846730861</v>
      </c>
      <c r="AB4225" t="str">
        <f>HYPERLINK("Melting_Curves/meltCurve_Q7L2H7_EIF3M.pdf", "Melting_Curves/meltCurve_Q7L2H7_EIF3M.pdf")</f>
        <v>Melting_Curves/meltCurve_Q7L2H7_EIF3M.pdf</v>
      </c>
    </row>
    <row r="4226" spans="1:28" x14ac:dyDescent="0.25">
      <c r="A4226" t="s">
        <v>4230</v>
      </c>
      <c r="B4226">
        <v>0.99472303558308395</v>
      </c>
      <c r="C4226">
        <v>1.02285120427357</v>
      </c>
      <c r="D4226">
        <v>0.70660032263380101</v>
      </c>
      <c r="E4226">
        <v>0.44102095789572399</v>
      </c>
      <c r="F4226">
        <v>0.14947754933673099</v>
      </c>
      <c r="G4226">
        <v>9.7259046705946206E-2</v>
      </c>
      <c r="H4226">
        <v>5.6204867017570298E-2</v>
      </c>
      <c r="I4226">
        <v>4.2484919591011701E-2</v>
      </c>
      <c r="J4226">
        <v>4.7317420351070498E-2</v>
      </c>
      <c r="K4226">
        <v>5.7235716918342998E-2</v>
      </c>
      <c r="L4226">
        <v>902.89614712952505</v>
      </c>
      <c r="M4226">
        <v>19.877878167105202</v>
      </c>
      <c r="N4226">
        <v>45.641613775234397</v>
      </c>
      <c r="O4226">
        <v>44.969942958723401</v>
      </c>
      <c r="P4226">
        <v>-0.105473545499059</v>
      </c>
      <c r="Q4226">
        <v>4.5575824443131401E-2</v>
      </c>
      <c r="R4226">
        <v>0.99187406625420604</v>
      </c>
      <c r="S4226" t="s">
        <v>10794</v>
      </c>
      <c r="T4226" t="s">
        <v>13134</v>
      </c>
      <c r="U4226" t="s">
        <v>13134</v>
      </c>
      <c r="V4226" t="s">
        <v>13134</v>
      </c>
      <c r="W4226" t="s">
        <v>17300</v>
      </c>
      <c r="X4226">
        <v>10</v>
      </c>
      <c r="Y4226" t="s">
        <v>23678</v>
      </c>
      <c r="Z4226" t="s">
        <v>30194</v>
      </c>
      <c r="AA4226">
        <v>0.32617931980992199</v>
      </c>
      <c r="AB4226" t="str">
        <f>HYPERLINK("Melting_Curves/meltCurve_Q7L2J0_MEPCE.pdf", "Melting_Curves/meltCurve_Q7L2J0_MEPCE.pdf")</f>
        <v>Melting_Curves/meltCurve_Q7L2J0_MEPCE.pdf</v>
      </c>
    </row>
    <row r="4227" spans="1:28" x14ac:dyDescent="0.25">
      <c r="A4227" t="s">
        <v>4231</v>
      </c>
      <c r="B4227">
        <v>0.99472303558308395</v>
      </c>
      <c r="C4227">
        <v>0.95628413516358401</v>
      </c>
      <c r="D4227">
        <v>0.89717457151874802</v>
      </c>
      <c r="E4227">
        <v>0.78228169546640702</v>
      </c>
      <c r="F4227">
        <v>0.63312189454734802</v>
      </c>
      <c r="G4227">
        <v>0.41320543115462599</v>
      </c>
      <c r="H4227">
        <v>0.32849492823017601</v>
      </c>
      <c r="I4227">
        <v>0.242964099940183</v>
      </c>
      <c r="J4227">
        <v>0.178267347950328</v>
      </c>
      <c r="K4227">
        <v>7.7606357365179596E-2</v>
      </c>
      <c r="L4227">
        <v>503.690413332312</v>
      </c>
      <c r="M4227">
        <v>9.5465484427241893</v>
      </c>
      <c r="N4227">
        <v>52.761520704145198</v>
      </c>
      <c r="O4227">
        <v>50.602111290089802</v>
      </c>
      <c r="P4227">
        <v>-4.7192162413383698E-2</v>
      </c>
      <c r="Q4227">
        <v>0</v>
      </c>
      <c r="R4227">
        <v>0.99544003413063298</v>
      </c>
      <c r="S4227" t="s">
        <v>10795</v>
      </c>
      <c r="T4227" t="s">
        <v>13134</v>
      </c>
      <c r="U4227" t="s">
        <v>13134</v>
      </c>
      <c r="V4227" t="s">
        <v>13134</v>
      </c>
      <c r="W4227" t="s">
        <v>17301</v>
      </c>
      <c r="X4227">
        <v>3</v>
      </c>
      <c r="Y4227" t="s">
        <v>23679</v>
      </c>
      <c r="Z4227" t="s">
        <v>30195</v>
      </c>
      <c r="AA4227">
        <v>0.5490418223970589</v>
      </c>
      <c r="AB4227" t="str">
        <f>HYPERLINK("Melting_Curves/meltCurve_Q7L3T8_PARS2.pdf", "Melting_Curves/meltCurve_Q7L3T8_PARS2.pdf")</f>
        <v>Melting_Curves/meltCurve_Q7L3T8_PARS2.pdf</v>
      </c>
    </row>
    <row r="4228" spans="1:28" x14ac:dyDescent="0.25">
      <c r="A4228" t="s">
        <v>4232</v>
      </c>
      <c r="B4228">
        <v>0.99472303558308395</v>
      </c>
      <c r="C4228">
        <v>0.75192127240163698</v>
      </c>
      <c r="D4228">
        <v>0.79564026313552005</v>
      </c>
      <c r="E4228">
        <v>0.29611757965762497</v>
      </c>
      <c r="F4228">
        <v>0.14194469178467101</v>
      </c>
      <c r="G4228">
        <v>9.6355860852902403E-2</v>
      </c>
      <c r="H4228">
        <v>2.4453770942614601E-2</v>
      </c>
      <c r="I4228">
        <v>2.5401131573162799E-2</v>
      </c>
      <c r="J4228">
        <v>0</v>
      </c>
      <c r="K4228">
        <v>0</v>
      </c>
      <c r="L4228">
        <v>730.53994833694105</v>
      </c>
      <c r="M4228">
        <v>16.262102516610099</v>
      </c>
      <c r="N4228">
        <v>44.9245267452511</v>
      </c>
      <c r="O4228">
        <v>44.260015779711097</v>
      </c>
      <c r="P4228">
        <v>-9.1834015557234597E-2</v>
      </c>
      <c r="Q4228">
        <v>3.0733955772305302E-4</v>
      </c>
      <c r="R4228">
        <v>0.97106636503208699</v>
      </c>
      <c r="S4228" t="s">
        <v>10796</v>
      </c>
      <c r="T4228" t="s">
        <v>13134</v>
      </c>
      <c r="U4228" t="s">
        <v>13134</v>
      </c>
      <c r="V4228" t="s">
        <v>13134</v>
      </c>
      <c r="W4228" t="s">
        <v>17302</v>
      </c>
      <c r="X4228">
        <v>1</v>
      </c>
      <c r="Y4228" t="s">
        <v>23680</v>
      </c>
      <c r="Z4228" t="s">
        <v>30196</v>
      </c>
      <c r="AA4228">
        <v>0.28456914741591138</v>
      </c>
      <c r="AB4228" t="str">
        <f>HYPERLINK("Melting_Curves/meltCurve_Q7L4E1_3_FAM73B.pdf", "Melting_Curves/meltCurve_Q7L4E1_3_FAM73B.pdf")</f>
        <v>Melting_Curves/meltCurve_Q7L4E1_3_FAM73B.pdf</v>
      </c>
    </row>
    <row r="4229" spans="1:28" x14ac:dyDescent="0.25">
      <c r="A4229" t="s">
        <v>4233</v>
      </c>
      <c r="B4229">
        <v>0.99472303558308395</v>
      </c>
      <c r="C4229">
        <v>0.99521045079515003</v>
      </c>
      <c r="D4229">
        <v>0.94598539639908596</v>
      </c>
      <c r="E4229">
        <v>0.82993041703994197</v>
      </c>
      <c r="F4229">
        <v>0.60291830457318096</v>
      </c>
      <c r="G4229">
        <v>0.433389958140522</v>
      </c>
      <c r="H4229">
        <v>0.31940148128026702</v>
      </c>
      <c r="I4229">
        <v>0.30041024642230701</v>
      </c>
      <c r="J4229">
        <v>0.45254099393783997</v>
      </c>
      <c r="K4229">
        <v>0.35809552678144502</v>
      </c>
      <c r="L4229">
        <v>1065.7085533537099</v>
      </c>
      <c r="M4229">
        <v>21.795969136718799</v>
      </c>
      <c r="N4229">
        <v>51.778089188712102</v>
      </c>
      <c r="O4229">
        <v>48.488727881705799</v>
      </c>
      <c r="P4229">
        <v>-7.2882682577068397E-2</v>
      </c>
      <c r="Q4229">
        <v>0.35145653686553702</v>
      </c>
      <c r="R4229">
        <v>0.97732064165225696</v>
      </c>
      <c r="S4229" t="s">
        <v>10797</v>
      </c>
      <c r="T4229" t="s">
        <v>13134</v>
      </c>
      <c r="U4229" t="s">
        <v>13134</v>
      </c>
      <c r="V4229" t="s">
        <v>13134</v>
      </c>
      <c r="W4229" t="s">
        <v>17303</v>
      </c>
      <c r="X4229">
        <v>16</v>
      </c>
      <c r="Y4229" t="s">
        <v>23681</v>
      </c>
      <c r="Z4229" t="s">
        <v>30197</v>
      </c>
      <c r="AA4229">
        <v>0.61587958986987845</v>
      </c>
      <c r="AB4229" t="str">
        <f>HYPERLINK("Melting_Curves/meltCurve_Q7L4I2_RSRC2.pdf", "Melting_Curves/meltCurve_Q7L4I2_RSRC2.pdf")</f>
        <v>Melting_Curves/meltCurve_Q7L4I2_RSRC2.pdf</v>
      </c>
    </row>
    <row r="4230" spans="1:28" x14ac:dyDescent="0.25">
      <c r="A4230" t="s">
        <v>4234</v>
      </c>
      <c r="B4230">
        <v>0.99472303558308395</v>
      </c>
      <c r="C4230">
        <v>0.98208432311259197</v>
      </c>
      <c r="D4230">
        <v>0.97034056712338801</v>
      </c>
      <c r="E4230">
        <v>0.86967525356380604</v>
      </c>
      <c r="F4230">
        <v>0.748507765687077</v>
      </c>
      <c r="G4230">
        <v>0.554455561998909</v>
      </c>
      <c r="H4230">
        <v>0.35201745860733202</v>
      </c>
      <c r="I4230">
        <v>0.38014429331334298</v>
      </c>
      <c r="J4230">
        <v>0.47067470638134801</v>
      </c>
      <c r="K4230">
        <v>0.34648640544268</v>
      </c>
      <c r="L4230">
        <v>966.19881844533802</v>
      </c>
      <c r="M4230">
        <v>19.012885032766601</v>
      </c>
      <c r="N4230">
        <v>54.647525014280099</v>
      </c>
      <c r="O4230">
        <v>50.265937264451203</v>
      </c>
      <c r="P4230">
        <v>-5.9758765387371703E-2</v>
      </c>
      <c r="Q4230">
        <v>0.36806828163525501</v>
      </c>
      <c r="R4230">
        <v>0.97299915217527699</v>
      </c>
      <c r="S4230" t="s">
        <v>10798</v>
      </c>
      <c r="T4230" t="s">
        <v>13134</v>
      </c>
      <c r="U4230" t="s">
        <v>13134</v>
      </c>
      <c r="V4230" t="s">
        <v>13134</v>
      </c>
      <c r="W4230" t="s">
        <v>17304</v>
      </c>
      <c r="X4230">
        <v>9</v>
      </c>
      <c r="Y4230" t="s">
        <v>23682</v>
      </c>
      <c r="Z4230" t="s">
        <v>30198</v>
      </c>
      <c r="AA4230">
        <v>0.66814929555380143</v>
      </c>
      <c r="AB4230" t="str">
        <f>HYPERLINK("Melting_Curves/meltCurve_Q7L523_RRAGA.pdf", "Melting_Curves/meltCurve_Q7L523_RRAGA.pdf")</f>
        <v>Melting_Curves/meltCurve_Q7L523_RRAGA.pdf</v>
      </c>
    </row>
    <row r="4231" spans="1:28" x14ac:dyDescent="0.25">
      <c r="A4231" t="s">
        <v>4235</v>
      </c>
      <c r="B4231">
        <v>0.99472303558308395</v>
      </c>
      <c r="C4231">
        <v>0.93025159702885196</v>
      </c>
      <c r="D4231">
        <v>0.79872482863498195</v>
      </c>
      <c r="E4231">
        <v>0.61368012443285402</v>
      </c>
      <c r="F4231">
        <v>0.40322805282910901</v>
      </c>
      <c r="G4231">
        <v>9.2313503557525295E-2</v>
      </c>
      <c r="H4231">
        <v>5.1210869351388598E-2</v>
      </c>
      <c r="I4231">
        <v>3.4694843841047297E-2</v>
      </c>
      <c r="J4231">
        <v>5.41777630407968E-2</v>
      </c>
      <c r="K4231">
        <v>7.8493722009006103E-2</v>
      </c>
      <c r="L4231">
        <v>710.64216334146499</v>
      </c>
      <c r="M4231">
        <v>14.878960735215699</v>
      </c>
      <c r="N4231">
        <v>47.847317361639597</v>
      </c>
      <c r="O4231">
        <v>46.923699784747399</v>
      </c>
      <c r="P4231">
        <v>-7.8237228707184095E-2</v>
      </c>
      <c r="Q4231">
        <v>1.3157604517158E-2</v>
      </c>
      <c r="R4231">
        <v>0.98747669613259204</v>
      </c>
      <c r="S4231" t="s">
        <v>10799</v>
      </c>
      <c r="T4231" t="s">
        <v>13134</v>
      </c>
      <c r="U4231" t="s">
        <v>13134</v>
      </c>
      <c r="V4231" t="s">
        <v>13134</v>
      </c>
      <c r="W4231" t="s">
        <v>17305</v>
      </c>
      <c r="X4231">
        <v>16</v>
      </c>
      <c r="Y4231" t="s">
        <v>23683</v>
      </c>
      <c r="Z4231" t="s">
        <v>30199</v>
      </c>
      <c r="AA4231">
        <v>0.38930890411982638</v>
      </c>
      <c r="AB4231" t="str">
        <f>HYPERLINK("Melting_Curves/meltCurve_Q7L576_CYFIP1.pdf", "Melting_Curves/meltCurve_Q7L576_CYFIP1.pdf")</f>
        <v>Melting_Curves/meltCurve_Q7L576_CYFIP1.pdf</v>
      </c>
    </row>
    <row r="4232" spans="1:28" x14ac:dyDescent="0.25">
      <c r="A4232" t="s">
        <v>4236</v>
      </c>
      <c r="B4232">
        <v>0.99472303558308395</v>
      </c>
      <c r="C4232">
        <v>0.81790160453542704</v>
      </c>
      <c r="D4232">
        <v>1.02416881150198</v>
      </c>
      <c r="E4232">
        <v>0.61804938556704303</v>
      </c>
      <c r="F4232">
        <v>0.209367027159409</v>
      </c>
      <c r="G4232">
        <v>0.10834609259526</v>
      </c>
      <c r="H4232">
        <v>6.0007809572956899E-2</v>
      </c>
      <c r="I4232">
        <v>3.8107710186710199E-2</v>
      </c>
      <c r="J4232">
        <v>4.2530560558254299E-2</v>
      </c>
      <c r="K4232">
        <v>3.92145501501725E-2</v>
      </c>
      <c r="L4232">
        <v>1369.9169183457</v>
      </c>
      <c r="M4232">
        <v>28.923554057252499</v>
      </c>
      <c r="N4232">
        <v>47.536503187487</v>
      </c>
      <c r="O4232">
        <v>47.138696240225102</v>
      </c>
      <c r="P4232">
        <v>-0.145728572807201</v>
      </c>
      <c r="Q4232">
        <v>4.9991920768477E-2</v>
      </c>
      <c r="R4232">
        <v>0.97585004095815497</v>
      </c>
      <c r="S4232" t="s">
        <v>10800</v>
      </c>
      <c r="T4232" t="s">
        <v>13134</v>
      </c>
      <c r="U4232" t="s">
        <v>13134</v>
      </c>
      <c r="V4232" t="s">
        <v>13134</v>
      </c>
      <c r="W4232" t="s">
        <v>17306</v>
      </c>
      <c r="X4232">
        <v>6</v>
      </c>
      <c r="Y4232" t="s">
        <v>23684</v>
      </c>
      <c r="Z4232" t="s">
        <v>30200</v>
      </c>
      <c r="AA4232">
        <v>0.38415261089417008</v>
      </c>
      <c r="AB4232" t="str">
        <f>HYPERLINK("Melting_Curves/meltCurve_Q7L592_NDUFAF7.pdf", "Melting_Curves/meltCurve_Q7L592_NDUFAF7.pdf")</f>
        <v>Melting_Curves/meltCurve_Q7L592_NDUFAF7.pdf</v>
      </c>
    </row>
    <row r="4233" spans="1:28" x14ac:dyDescent="0.25">
      <c r="A4233" t="s">
        <v>4237</v>
      </c>
      <c r="B4233">
        <v>0.99472303558308395</v>
      </c>
      <c r="C4233">
        <v>0.961974252588916</v>
      </c>
      <c r="D4233">
        <v>0.76318046094304903</v>
      </c>
      <c r="E4233">
        <v>0.56591628124867999</v>
      </c>
      <c r="F4233">
        <v>0.29492939503132298</v>
      </c>
      <c r="G4233">
        <v>0.15170735089964599</v>
      </c>
      <c r="H4233">
        <v>0.11110372227529999</v>
      </c>
      <c r="I4233">
        <v>9.5814450424795305E-2</v>
      </c>
      <c r="J4233">
        <v>0.113579288208273</v>
      </c>
      <c r="K4233">
        <v>8.9399031802530796E-2</v>
      </c>
      <c r="L4233">
        <v>745.868314377768</v>
      </c>
      <c r="M4233">
        <v>16.032443342862599</v>
      </c>
      <c r="N4233">
        <v>47.030107802988098</v>
      </c>
      <c r="O4233">
        <v>45.816695232589403</v>
      </c>
      <c r="P4233">
        <v>-8.0536606852194298E-2</v>
      </c>
      <c r="Q4233">
        <v>7.9458072647056899E-2</v>
      </c>
      <c r="R4233">
        <v>0.99639913227186605</v>
      </c>
      <c r="S4233" t="s">
        <v>10801</v>
      </c>
      <c r="T4233" t="s">
        <v>13134</v>
      </c>
      <c r="U4233" t="s">
        <v>13134</v>
      </c>
      <c r="V4233" t="s">
        <v>13134</v>
      </c>
      <c r="W4233" t="s">
        <v>17307</v>
      </c>
      <c r="X4233">
        <v>5</v>
      </c>
      <c r="Y4233" t="s">
        <v>23685</v>
      </c>
      <c r="Z4233" t="s">
        <v>30201</v>
      </c>
      <c r="AA4233">
        <v>0.39015786945462322</v>
      </c>
      <c r="AB4233" t="str">
        <f>HYPERLINK("Melting_Curves/meltCurve_Q7L5D6_GET4.pdf", "Melting_Curves/meltCurve_Q7L5D6_GET4.pdf")</f>
        <v>Melting_Curves/meltCurve_Q7L5D6_GET4.pdf</v>
      </c>
    </row>
    <row r="4234" spans="1:28" x14ac:dyDescent="0.25">
      <c r="A4234" t="s">
        <v>4238</v>
      </c>
      <c r="B4234">
        <v>0.99472303558308395</v>
      </c>
      <c r="C4234">
        <v>0.94457375421816103</v>
      </c>
      <c r="D4234">
        <v>0.92997620681312498</v>
      </c>
      <c r="E4234">
        <v>0.83432485965033898</v>
      </c>
      <c r="F4234">
        <v>0.601277265307116</v>
      </c>
      <c r="G4234">
        <v>0.45056580292929899</v>
      </c>
      <c r="H4234">
        <v>0.353392417569105</v>
      </c>
      <c r="I4234">
        <v>0.285766958017526</v>
      </c>
      <c r="J4234">
        <v>0.29670829840960999</v>
      </c>
      <c r="K4234">
        <v>0.13443617930710899</v>
      </c>
      <c r="L4234">
        <v>594.51118775206396</v>
      </c>
      <c r="M4234">
        <v>11.5825562372015</v>
      </c>
      <c r="N4234">
        <v>52.9981624242007</v>
      </c>
      <c r="O4234">
        <v>49.869692854947999</v>
      </c>
      <c r="P4234">
        <v>-4.92001072128673E-2</v>
      </c>
      <c r="Q4234">
        <v>0.15289302542111999</v>
      </c>
      <c r="R4234">
        <v>0.985891998211196</v>
      </c>
      <c r="S4234" t="s">
        <v>10802</v>
      </c>
      <c r="T4234" t="s">
        <v>13134</v>
      </c>
      <c r="U4234" t="s">
        <v>13134</v>
      </c>
      <c r="V4234" t="s">
        <v>13134</v>
      </c>
      <c r="W4234" t="s">
        <v>17308</v>
      </c>
      <c r="X4234">
        <v>7</v>
      </c>
      <c r="Y4234" t="s">
        <v>23686</v>
      </c>
      <c r="Z4234" t="s">
        <v>30202</v>
      </c>
      <c r="AA4234">
        <v>0.57962488234271847</v>
      </c>
      <c r="AB4234" t="str">
        <f>HYPERLINK("Melting_Curves/meltCurve_Q7L5Y1_ENOSF1.pdf", "Melting_Curves/meltCurve_Q7L5Y1_ENOSF1.pdf")</f>
        <v>Melting_Curves/meltCurve_Q7L5Y1_ENOSF1.pdf</v>
      </c>
    </row>
    <row r="4235" spans="1:28" x14ac:dyDescent="0.25">
      <c r="A4235" t="s">
        <v>4239</v>
      </c>
      <c r="B4235">
        <v>0.99472303558308395</v>
      </c>
      <c r="C4235">
        <v>0.90495832577431201</v>
      </c>
      <c r="D4235">
        <v>0.63875059966073799</v>
      </c>
      <c r="E4235">
        <v>0.48159374571317298</v>
      </c>
      <c r="F4235">
        <v>0.38554963848336699</v>
      </c>
      <c r="G4235">
        <v>6.6577781897135799E-2</v>
      </c>
      <c r="H4235">
        <v>4.8181966268943797E-2</v>
      </c>
      <c r="I4235">
        <v>3.5334267566782103E-2</v>
      </c>
      <c r="J4235">
        <v>3.7966676274415398E-2</v>
      </c>
      <c r="K4235">
        <v>2.8980422499906799E-2</v>
      </c>
      <c r="L4235">
        <v>569.78630967690901</v>
      </c>
      <c r="M4235">
        <v>12.3295500098774</v>
      </c>
      <c r="N4235">
        <v>46.213066089624</v>
      </c>
      <c r="O4235">
        <v>45.047864063538803</v>
      </c>
      <c r="P4235">
        <v>-6.8439598703983903E-2</v>
      </c>
      <c r="Q4235">
        <v>0</v>
      </c>
      <c r="R4235">
        <v>0.97736779649287797</v>
      </c>
      <c r="S4235" t="s">
        <v>10803</v>
      </c>
      <c r="T4235" t="s">
        <v>13134</v>
      </c>
      <c r="U4235" t="s">
        <v>13134</v>
      </c>
      <c r="V4235" t="s">
        <v>13134</v>
      </c>
      <c r="W4235" t="s">
        <v>17309</v>
      </c>
      <c r="X4235">
        <v>10</v>
      </c>
      <c r="Y4235" t="s">
        <v>23687</v>
      </c>
      <c r="Z4235" t="s">
        <v>30203</v>
      </c>
      <c r="AA4235">
        <v>0.33970561843784369</v>
      </c>
      <c r="AB4235" t="str">
        <f>HYPERLINK("Melting_Curves/meltCurve_Q7L5Y9_MAEA.pdf", "Melting_Curves/meltCurve_Q7L5Y9_MAEA.pdf")</f>
        <v>Melting_Curves/meltCurve_Q7L5Y9_MAEA.pdf</v>
      </c>
    </row>
    <row r="4236" spans="1:28" x14ac:dyDescent="0.25">
      <c r="A4236" t="s">
        <v>4240</v>
      </c>
      <c r="B4236">
        <v>0.99472303558308395</v>
      </c>
      <c r="C4236">
        <v>0.97374193571975698</v>
      </c>
      <c r="D4236">
        <v>0.84459305682938701</v>
      </c>
      <c r="E4236">
        <v>0.74024060322503304</v>
      </c>
      <c r="F4236">
        <v>0.56772585876055304</v>
      </c>
      <c r="G4236">
        <v>0.185682444950558</v>
      </c>
      <c r="H4236">
        <v>0.105578580398396</v>
      </c>
      <c r="I4236">
        <v>8.1150995303948897E-2</v>
      </c>
      <c r="J4236">
        <v>8.4547703763289905E-2</v>
      </c>
      <c r="K4236">
        <v>7.7043585162309094E-2</v>
      </c>
      <c r="L4236">
        <v>771.82296934097405</v>
      </c>
      <c r="M4236">
        <v>15.5346959221042</v>
      </c>
      <c r="N4236">
        <v>49.903546974353702</v>
      </c>
      <c r="O4236">
        <v>48.882356392737002</v>
      </c>
      <c r="P4236">
        <v>-7.6829971052100293E-2</v>
      </c>
      <c r="Q4236">
        <v>3.3055001526775603E-2</v>
      </c>
      <c r="R4236">
        <v>0.984739391345969</v>
      </c>
      <c r="S4236" t="s">
        <v>10804</v>
      </c>
      <c r="T4236" t="s">
        <v>13134</v>
      </c>
      <c r="U4236" t="s">
        <v>13134</v>
      </c>
      <c r="V4236" t="s">
        <v>13134</v>
      </c>
      <c r="W4236" t="s">
        <v>17310</v>
      </c>
      <c r="X4236">
        <v>13</v>
      </c>
      <c r="Y4236" t="s">
        <v>23688</v>
      </c>
      <c r="Z4236" t="s">
        <v>30204</v>
      </c>
      <c r="AA4236">
        <v>0.46123677859316647</v>
      </c>
      <c r="AB4236" t="str">
        <f>HYPERLINK("Melting_Curves/meltCurve_Q7L775_EPM2AIP1.pdf", "Melting_Curves/meltCurve_Q7L775_EPM2AIP1.pdf")</f>
        <v>Melting_Curves/meltCurve_Q7L775_EPM2AIP1.pdf</v>
      </c>
    </row>
    <row r="4237" spans="1:28" x14ac:dyDescent="0.25">
      <c r="A4237" t="s">
        <v>4241</v>
      </c>
      <c r="B4237">
        <v>0.99472303558308395</v>
      </c>
      <c r="C4237">
        <v>0.96820479221981304</v>
      </c>
      <c r="D4237">
        <v>0.90198520445341701</v>
      </c>
      <c r="E4237">
        <v>0.83284041585749202</v>
      </c>
      <c r="F4237">
        <v>0.59204424453529902</v>
      </c>
      <c r="G4237">
        <v>0.112829742422577</v>
      </c>
      <c r="H4237">
        <v>6.7332962019344703E-2</v>
      </c>
      <c r="I4237">
        <v>6.2045732135579297E-2</v>
      </c>
      <c r="J4237">
        <v>5.2197285910788101E-2</v>
      </c>
      <c r="K4237">
        <v>4.45715498827534E-2</v>
      </c>
      <c r="L4237">
        <v>1286.1663126487899</v>
      </c>
      <c r="M4237">
        <v>25.580477552100199</v>
      </c>
      <c r="N4237">
        <v>50.4159108513538</v>
      </c>
      <c r="O4237">
        <v>49.974966781614498</v>
      </c>
      <c r="P4237">
        <v>-0.123680612682949</v>
      </c>
      <c r="Q4237">
        <v>3.3503909050712301E-2</v>
      </c>
      <c r="R4237">
        <v>0.98711578880412099</v>
      </c>
      <c r="S4237" t="s">
        <v>10805</v>
      </c>
      <c r="T4237" t="s">
        <v>13134</v>
      </c>
      <c r="U4237" t="s">
        <v>13134</v>
      </c>
      <c r="V4237" t="s">
        <v>13134</v>
      </c>
      <c r="W4237" t="s">
        <v>17311</v>
      </c>
      <c r="X4237">
        <v>16</v>
      </c>
      <c r="Y4237" t="s">
        <v>23689</v>
      </c>
      <c r="Z4237" t="s">
        <v>30205</v>
      </c>
      <c r="AA4237">
        <v>0.46942892469314612</v>
      </c>
      <c r="AB4237" t="str">
        <f>HYPERLINK("Melting_Curves/meltCurve_Q7L7X3_TAOK1.pdf", "Melting_Curves/meltCurve_Q7L7X3_TAOK1.pdf")</f>
        <v>Melting_Curves/meltCurve_Q7L7X3_TAOK1.pdf</v>
      </c>
    </row>
    <row r="4238" spans="1:28" x14ac:dyDescent="0.25">
      <c r="A4238" t="s">
        <v>4242</v>
      </c>
      <c r="B4238">
        <v>0.99472303558308395</v>
      </c>
      <c r="C4238">
        <v>1.1362083688459901</v>
      </c>
      <c r="D4238">
        <v>0.93853429836521496</v>
      </c>
      <c r="E4238">
        <v>0.66460474554342996</v>
      </c>
      <c r="F4238">
        <v>0.378069882362568</v>
      </c>
      <c r="G4238">
        <v>0.20755504263996599</v>
      </c>
      <c r="H4238">
        <v>0.100560178331742</v>
      </c>
      <c r="I4238">
        <v>8.1879889279403206E-2</v>
      </c>
      <c r="J4238">
        <v>0.13831231988362599</v>
      </c>
      <c r="K4238">
        <v>6.9418266755178801E-2</v>
      </c>
      <c r="L4238">
        <v>1002.5106549478101</v>
      </c>
      <c r="M4238">
        <v>20.823236465468</v>
      </c>
      <c r="N4238">
        <v>48.615962251633597</v>
      </c>
      <c r="O4238">
        <v>47.7064185963672</v>
      </c>
      <c r="P4238">
        <v>-9.9135322106849E-2</v>
      </c>
      <c r="Q4238">
        <v>9.1541593167550797E-2</v>
      </c>
      <c r="R4238">
        <v>0.98313686965520497</v>
      </c>
      <c r="S4238" t="s">
        <v>10806</v>
      </c>
      <c r="T4238" t="s">
        <v>13134</v>
      </c>
      <c r="U4238" t="s">
        <v>13134</v>
      </c>
      <c r="V4238" t="s">
        <v>13134</v>
      </c>
      <c r="W4238" t="s">
        <v>17312</v>
      </c>
      <c r="X4238">
        <v>4</v>
      </c>
      <c r="Y4238" t="s">
        <v>23690</v>
      </c>
      <c r="Z4238" t="s">
        <v>30206</v>
      </c>
      <c r="AA4238">
        <v>0.44006291678806908</v>
      </c>
      <c r="AB4238" t="str">
        <f>HYPERLINK("Melting_Curves/meltCurve_Q7L8J4_SH3BP5L.pdf", "Melting_Curves/meltCurve_Q7L8J4_SH3BP5L.pdf")</f>
        <v>Melting_Curves/meltCurve_Q7L8J4_SH3BP5L.pdf</v>
      </c>
    </row>
    <row r="4239" spans="1:28" x14ac:dyDescent="0.25">
      <c r="A4239" t="s">
        <v>4243</v>
      </c>
      <c r="B4239">
        <v>0.99472303558308395</v>
      </c>
      <c r="C4239">
        <v>0.88058772435453703</v>
      </c>
      <c r="D4239">
        <v>0.70490999114282304</v>
      </c>
      <c r="E4239">
        <v>0.459388810251181</v>
      </c>
      <c r="F4239">
        <v>0.179010994874226</v>
      </c>
      <c r="G4239">
        <v>9.0393928007988497E-2</v>
      </c>
      <c r="H4239">
        <v>7.5987923074761599E-2</v>
      </c>
      <c r="I4239">
        <v>4.3196029354496797E-2</v>
      </c>
      <c r="J4239">
        <v>4.6619583447806097E-2</v>
      </c>
      <c r="K4239">
        <v>2.94499296809645E-2</v>
      </c>
      <c r="L4239">
        <v>706.21014577216499</v>
      </c>
      <c r="M4239">
        <v>15.5281056235193</v>
      </c>
      <c r="N4239">
        <v>45.630386548147797</v>
      </c>
      <c r="O4239">
        <v>44.745231771414197</v>
      </c>
      <c r="P4239">
        <v>-8.4594427036893696E-2</v>
      </c>
      <c r="Q4239">
        <v>2.5028947628895199E-2</v>
      </c>
      <c r="R4239">
        <v>0.99706152446219198</v>
      </c>
      <c r="S4239" t="s">
        <v>10807</v>
      </c>
      <c r="T4239" t="s">
        <v>13134</v>
      </c>
      <c r="U4239" t="s">
        <v>13134</v>
      </c>
      <c r="V4239" t="s">
        <v>13134</v>
      </c>
      <c r="W4239" t="s">
        <v>17313</v>
      </c>
      <c r="X4239">
        <v>6</v>
      </c>
      <c r="Y4239" t="s">
        <v>23691</v>
      </c>
      <c r="Z4239" t="s">
        <v>30207</v>
      </c>
      <c r="AA4239">
        <v>0.32193148650595133</v>
      </c>
      <c r="AB4239" t="str">
        <f>HYPERLINK("Melting_Curves/meltCurve_Q7L8L6_FASTKD5.pdf", "Melting_Curves/meltCurve_Q7L8L6_FASTKD5.pdf")</f>
        <v>Melting_Curves/meltCurve_Q7L8L6_FASTKD5.pdf</v>
      </c>
    </row>
    <row r="4240" spans="1:28" x14ac:dyDescent="0.25">
      <c r="A4240" t="s">
        <v>4244</v>
      </c>
      <c r="B4240">
        <v>0.99472303558308395</v>
      </c>
      <c r="C4240">
        <v>0.95009961621829397</v>
      </c>
      <c r="D4240">
        <v>0.96145500602468204</v>
      </c>
      <c r="E4240">
        <v>0.85272362683986402</v>
      </c>
      <c r="F4240">
        <v>0.57498905925949095</v>
      </c>
      <c r="G4240">
        <v>0.258504696918889</v>
      </c>
      <c r="H4240">
        <v>0.10957797445272099</v>
      </c>
      <c r="I4240">
        <v>6.9405574584135002E-2</v>
      </c>
      <c r="J4240">
        <v>6.19055840738999E-2</v>
      </c>
      <c r="K4240">
        <v>4.6325730790254399E-2</v>
      </c>
      <c r="L4240">
        <v>1018.91387011693</v>
      </c>
      <c r="M4240">
        <v>20.115267803914101</v>
      </c>
      <c r="N4240">
        <v>50.8550308122038</v>
      </c>
      <c r="O4240">
        <v>50.161093221870601</v>
      </c>
      <c r="P4240">
        <v>-9.6420409137629698E-2</v>
      </c>
      <c r="Q4240">
        <v>3.8262807595467602E-2</v>
      </c>
      <c r="R4240">
        <v>0.99829226327153897</v>
      </c>
      <c r="S4240" t="s">
        <v>10808</v>
      </c>
      <c r="T4240" t="s">
        <v>13134</v>
      </c>
      <c r="U4240" t="s">
        <v>13134</v>
      </c>
      <c r="V4240" t="s">
        <v>13134</v>
      </c>
      <c r="W4240" t="s">
        <v>17314</v>
      </c>
      <c r="X4240">
        <v>5</v>
      </c>
      <c r="Y4240" t="s">
        <v>23692</v>
      </c>
      <c r="Z4240" t="s">
        <v>30208</v>
      </c>
      <c r="AA4240">
        <v>0.48847756457640817</v>
      </c>
      <c r="AB4240" t="str">
        <f>HYPERLINK("Melting_Curves/meltCurve_Q7L8W6_ATPBD4.pdf", "Melting_Curves/meltCurve_Q7L8W6_ATPBD4.pdf")</f>
        <v>Melting_Curves/meltCurve_Q7L8W6_ATPBD4.pdf</v>
      </c>
    </row>
    <row r="4241" spans="1:28" x14ac:dyDescent="0.25">
      <c r="A4241" t="s">
        <v>4245</v>
      </c>
      <c r="B4241">
        <v>0.99472303558308395</v>
      </c>
      <c r="C4241">
        <v>0.94704760367385199</v>
      </c>
      <c r="D4241">
        <v>0.86102948449898398</v>
      </c>
      <c r="E4241">
        <v>0.50931958838643998</v>
      </c>
      <c r="F4241">
        <v>0.19113056237929499</v>
      </c>
      <c r="G4241">
        <v>0.101864438949492</v>
      </c>
      <c r="H4241">
        <v>6.5182495006462698E-2</v>
      </c>
      <c r="I4241">
        <v>5.0074674212566603E-2</v>
      </c>
      <c r="J4241">
        <v>5.1153958510865398E-2</v>
      </c>
      <c r="K4241">
        <v>4.2548431916359701E-2</v>
      </c>
      <c r="L4241">
        <v>1002.51123700353</v>
      </c>
      <c r="M4241">
        <v>21.592232162245502</v>
      </c>
      <c r="N4241">
        <v>46.638952238432097</v>
      </c>
      <c r="O4241">
        <v>46.036495076210301</v>
      </c>
      <c r="P4241">
        <v>-0.11183448753924401</v>
      </c>
      <c r="Q4241">
        <v>4.6259540084323002E-2</v>
      </c>
      <c r="R4241">
        <v>0.99932603817786003</v>
      </c>
      <c r="S4241" t="s">
        <v>10809</v>
      </c>
      <c r="T4241" t="s">
        <v>13134</v>
      </c>
      <c r="U4241" t="s">
        <v>13134</v>
      </c>
      <c r="V4241" t="s">
        <v>13134</v>
      </c>
      <c r="W4241" t="s">
        <v>17315</v>
      </c>
      <c r="X4241">
        <v>28</v>
      </c>
      <c r="Y4241" t="s">
        <v>23693</v>
      </c>
      <c r="Z4241" t="s">
        <v>30209</v>
      </c>
      <c r="AA4241">
        <v>0.35672097130634961</v>
      </c>
      <c r="AB4241" t="str">
        <f>HYPERLINK("Melting_Curves/meltCurve_Q7LBC6_KDM3B.pdf", "Melting_Curves/meltCurve_Q7LBC6_KDM3B.pdf")</f>
        <v>Melting_Curves/meltCurve_Q7LBC6_KDM3B.pdf</v>
      </c>
    </row>
    <row r="4242" spans="1:28" x14ac:dyDescent="0.25">
      <c r="A4242" t="s">
        <v>4246</v>
      </c>
      <c r="B4242">
        <v>0.99472303558308395</v>
      </c>
      <c r="C4242">
        <v>0.93294181031498202</v>
      </c>
      <c r="D4242">
        <v>1.05775948634579</v>
      </c>
      <c r="E4242">
        <v>0.79458432437739601</v>
      </c>
      <c r="F4242">
        <v>0.33252793011354198</v>
      </c>
      <c r="G4242">
        <v>0.19818092483925501</v>
      </c>
      <c r="H4242">
        <v>7.6276915211121593E-2</v>
      </c>
      <c r="I4242">
        <v>5.6764035495657901E-2</v>
      </c>
      <c r="J4242">
        <v>7.43710896382173E-2</v>
      </c>
      <c r="K4242">
        <v>4.7269754001528101E-2</v>
      </c>
      <c r="L4242">
        <v>1351.9235568080701</v>
      </c>
      <c r="M4242">
        <v>27.736056867225201</v>
      </c>
      <c r="N4242">
        <v>49.008762543957502</v>
      </c>
      <c r="O4242">
        <v>48.491190049653703</v>
      </c>
      <c r="P4242">
        <v>-0.132992888296011</v>
      </c>
      <c r="Q4242">
        <v>6.9957776211865094E-2</v>
      </c>
      <c r="R4242">
        <v>0.99035601798884898</v>
      </c>
      <c r="S4242" t="s">
        <v>10810</v>
      </c>
      <c r="T4242" t="s">
        <v>13134</v>
      </c>
      <c r="U4242" t="s">
        <v>13134</v>
      </c>
      <c r="V4242" t="s">
        <v>13134</v>
      </c>
      <c r="W4242" t="s">
        <v>17316</v>
      </c>
      <c r="X4242">
        <v>5</v>
      </c>
      <c r="Y4242" t="s">
        <v>23694</v>
      </c>
      <c r="Z4242" t="s">
        <v>30210</v>
      </c>
      <c r="AA4242">
        <v>0.44051825067784739</v>
      </c>
      <c r="AB4242" t="str">
        <f>HYPERLINK("Melting_Curves/meltCurve_Q7LBR1_CHMP1B.pdf", "Melting_Curves/meltCurve_Q7LBR1_CHMP1B.pdf")</f>
        <v>Melting_Curves/meltCurve_Q7LBR1_CHMP1B.pdf</v>
      </c>
    </row>
    <row r="4243" spans="1:28" x14ac:dyDescent="0.25">
      <c r="A4243" t="s">
        <v>4247</v>
      </c>
      <c r="B4243">
        <v>0.99472303558308395</v>
      </c>
      <c r="C4243">
        <v>0.98383117355483096</v>
      </c>
      <c r="D4243">
        <v>0.74296188767732396</v>
      </c>
      <c r="E4243">
        <v>0.37861711395761199</v>
      </c>
      <c r="F4243">
        <v>0.25320655909567003</v>
      </c>
      <c r="G4243">
        <v>0.127545475091457</v>
      </c>
      <c r="H4243">
        <v>0.107811964764204</v>
      </c>
      <c r="I4243">
        <v>0.113087249677654</v>
      </c>
      <c r="J4243">
        <v>8.5972962237367306E-2</v>
      </c>
      <c r="K4243">
        <v>5.1986414966744797E-2</v>
      </c>
      <c r="L4243">
        <v>885.93643838435503</v>
      </c>
      <c r="M4243">
        <v>19.624666833491201</v>
      </c>
      <c r="N4243">
        <v>45.607902813294103</v>
      </c>
      <c r="O4243">
        <v>44.6831085754512</v>
      </c>
      <c r="P4243">
        <v>-9.9868446056024698E-2</v>
      </c>
      <c r="Q4243">
        <v>9.0476056307480304E-2</v>
      </c>
      <c r="R4243">
        <v>0.99375930316344496</v>
      </c>
      <c r="S4243" t="s">
        <v>10811</v>
      </c>
      <c r="T4243" t="s">
        <v>13134</v>
      </c>
      <c r="U4243" t="s">
        <v>13134</v>
      </c>
      <c r="V4243" t="s">
        <v>13134</v>
      </c>
      <c r="W4243" t="s">
        <v>17317</v>
      </c>
      <c r="X4243">
        <v>1</v>
      </c>
      <c r="Y4243" t="s">
        <v>23695</v>
      </c>
      <c r="Z4243" t="s">
        <v>30211</v>
      </c>
      <c r="AA4243">
        <v>0.34980039608145319</v>
      </c>
      <c r="AB4243" t="str">
        <f>HYPERLINK("Melting_Curves/meltCurve_Q7LDG7_RASGRP2.pdf", "Melting_Curves/meltCurve_Q7LDG7_RASGRP2.pdf")</f>
        <v>Melting_Curves/meltCurve_Q7LDG7_RASGRP2.pdf</v>
      </c>
    </row>
    <row r="4244" spans="1:28" x14ac:dyDescent="0.25">
      <c r="A4244" t="s">
        <v>4248</v>
      </c>
      <c r="B4244">
        <v>0.99472303558308395</v>
      </c>
      <c r="C4244">
        <v>1.0534789920890899</v>
      </c>
      <c r="D4244">
        <v>0.91144554255096699</v>
      </c>
      <c r="E4244">
        <v>0.84126628054517905</v>
      </c>
      <c r="F4244">
        <v>0.76052733667252503</v>
      </c>
      <c r="G4244">
        <v>0.52243963558876105</v>
      </c>
      <c r="H4244">
        <v>0.44292602893633698</v>
      </c>
      <c r="I4244">
        <v>0.44101468400758898</v>
      </c>
      <c r="J4244">
        <v>0.669343414996313</v>
      </c>
      <c r="K4244">
        <v>0.47160146010967902</v>
      </c>
      <c r="L4244">
        <v>977.21006945821296</v>
      </c>
      <c r="M4244">
        <v>19.9419712044166</v>
      </c>
      <c r="N4244">
        <v>64.041758477989404</v>
      </c>
      <c r="O4244">
        <v>48.517904979568897</v>
      </c>
      <c r="P4244">
        <v>-5.18548712012449E-2</v>
      </c>
      <c r="Q4244">
        <v>0.49537448158921898</v>
      </c>
      <c r="R4244">
        <v>0.89023518324234296</v>
      </c>
      <c r="S4244" t="s">
        <v>10812</v>
      </c>
      <c r="T4244" t="s">
        <v>13134</v>
      </c>
      <c r="U4244" t="s">
        <v>13134</v>
      </c>
      <c r="V4244" t="s">
        <v>13134</v>
      </c>
      <c r="W4244" t="s">
        <v>17318</v>
      </c>
      <c r="X4244">
        <v>10</v>
      </c>
      <c r="Y4244" t="s">
        <v>23696</v>
      </c>
      <c r="Z4244" t="s">
        <v>30212</v>
      </c>
      <c r="AA4244">
        <v>0.70395338372880356</v>
      </c>
      <c r="AB4244" t="str">
        <f>HYPERLINK("Melting_Curves/meltCurve_Q7LG56_RRM2B.pdf", "Melting_Curves/meltCurve_Q7LG56_RRM2B.pdf")</f>
        <v>Melting_Curves/meltCurve_Q7LG56_RRM2B.pdf</v>
      </c>
    </row>
    <row r="4245" spans="1:28" x14ac:dyDescent="0.25">
      <c r="A4245" t="s">
        <v>4249</v>
      </c>
      <c r="B4245">
        <v>0.99472303558308395</v>
      </c>
      <c r="C4245">
        <v>0.95459622875243</v>
      </c>
      <c r="D4245">
        <v>0.746189039079038</v>
      </c>
      <c r="E4245">
        <v>0.70557557831878004</v>
      </c>
      <c r="F4245">
        <v>0.63708640360281898</v>
      </c>
      <c r="G4245">
        <v>0.34009952642129099</v>
      </c>
      <c r="H4245">
        <v>0.22951642806790901</v>
      </c>
      <c r="I4245">
        <v>0.18597480236185901</v>
      </c>
      <c r="J4245">
        <v>0.163789062549244</v>
      </c>
      <c r="K4245">
        <v>0.33485888473332398</v>
      </c>
      <c r="L4245">
        <v>542.54742796775304</v>
      </c>
      <c r="M4245">
        <v>11.1049130631047</v>
      </c>
      <c r="N4245">
        <v>50.614781538604703</v>
      </c>
      <c r="O4245">
        <v>47.352482901408401</v>
      </c>
      <c r="P4245">
        <v>-4.9262418098809199E-2</v>
      </c>
      <c r="Q4245">
        <v>0.160033517924245</v>
      </c>
      <c r="R4245">
        <v>0.93806845523655402</v>
      </c>
      <c r="S4245" t="s">
        <v>10813</v>
      </c>
      <c r="T4245" t="s">
        <v>13134</v>
      </c>
      <c r="U4245" t="s">
        <v>13134</v>
      </c>
      <c r="V4245" t="s">
        <v>13134</v>
      </c>
      <c r="W4245" t="s">
        <v>17319</v>
      </c>
      <c r="X4245">
        <v>7</v>
      </c>
      <c r="Y4245" t="s">
        <v>23697</v>
      </c>
      <c r="Z4245" t="s">
        <v>30213</v>
      </c>
      <c r="AA4245">
        <v>0.51983366868611058</v>
      </c>
      <c r="AB4245" t="str">
        <f>HYPERLINK("Melting_Curves/meltCurve_Q7LGA3_HS2ST1.pdf", "Melting_Curves/meltCurve_Q7LGA3_HS2ST1.pdf")</f>
        <v>Melting_Curves/meltCurve_Q7LGA3_HS2ST1.pdf</v>
      </c>
    </row>
    <row r="4246" spans="1:28" x14ac:dyDescent="0.25">
      <c r="A4246" t="s">
        <v>4250</v>
      </c>
      <c r="B4246">
        <v>0.99472303558308395</v>
      </c>
      <c r="C4246">
        <v>0.91412064669682302</v>
      </c>
      <c r="D4246">
        <v>0.92196573425161699</v>
      </c>
      <c r="E4246">
        <v>0.75113063637699096</v>
      </c>
      <c r="F4246">
        <v>0.53917821855658399</v>
      </c>
      <c r="G4246">
        <v>0.37298952051834</v>
      </c>
      <c r="H4246">
        <v>0.34152525848776299</v>
      </c>
      <c r="I4246">
        <v>0.24980007081696001</v>
      </c>
      <c r="J4246">
        <v>0.11480291751106</v>
      </c>
      <c r="K4246">
        <v>7.6559713779957697E-2</v>
      </c>
      <c r="L4246">
        <v>487.06657520208302</v>
      </c>
      <c r="M4246">
        <v>9.3953235766264402</v>
      </c>
      <c r="N4246">
        <v>51.841383724036902</v>
      </c>
      <c r="O4246">
        <v>49.655512778804002</v>
      </c>
      <c r="P4246">
        <v>-4.73317034239732E-2</v>
      </c>
      <c r="Q4246">
        <v>0</v>
      </c>
      <c r="R4246">
        <v>0.98683426396811902</v>
      </c>
      <c r="S4246" t="s">
        <v>10814</v>
      </c>
      <c r="T4246" t="s">
        <v>13134</v>
      </c>
      <c r="U4246" t="s">
        <v>13134</v>
      </c>
      <c r="V4246" t="s">
        <v>13134</v>
      </c>
      <c r="W4246" t="s">
        <v>17320</v>
      </c>
      <c r="X4246">
        <v>2</v>
      </c>
      <c r="Y4246" t="s">
        <v>23698</v>
      </c>
      <c r="Z4246" t="s">
        <v>30214</v>
      </c>
      <c r="AA4246">
        <v>0.52283633050423628</v>
      </c>
      <c r="AB4246" t="str">
        <f>HYPERLINK("Melting_Curves/meltCurve_Q7RTN6_6_STRADA.pdf", "Melting_Curves/meltCurve_Q7RTN6_6_STRADA.pdf")</f>
        <v>Melting_Curves/meltCurve_Q7RTN6_6_STRADA.pdf</v>
      </c>
    </row>
    <row r="4247" spans="1:28" x14ac:dyDescent="0.25">
      <c r="A4247" t="s">
        <v>4251</v>
      </c>
      <c r="B4247">
        <v>0.99472303558308395</v>
      </c>
      <c r="C4247">
        <v>1.19656371009858</v>
      </c>
      <c r="D4247">
        <v>0.93342563753647401</v>
      </c>
      <c r="E4247">
        <v>0.828396046440667</v>
      </c>
      <c r="F4247">
        <v>0.84899327507370403</v>
      </c>
      <c r="G4247">
        <v>0.51889541571661701</v>
      </c>
      <c r="H4247">
        <v>0.30946176606130299</v>
      </c>
      <c r="I4247">
        <v>0.16843910700974599</v>
      </c>
      <c r="J4247">
        <v>0.167431915185177</v>
      </c>
      <c r="K4247">
        <v>0.133449842407213</v>
      </c>
      <c r="L4247">
        <v>907.26404631578896</v>
      </c>
      <c r="M4247">
        <v>16.941082109764402</v>
      </c>
      <c r="N4247">
        <v>54.232433280564898</v>
      </c>
      <c r="O4247">
        <v>52.8245679842531</v>
      </c>
      <c r="P4247">
        <v>-7.2525593218985093E-2</v>
      </c>
      <c r="Q4247">
        <v>9.5478528785231304E-2</v>
      </c>
      <c r="R4247">
        <v>0.95785820844831204</v>
      </c>
      <c r="S4247" t="s">
        <v>10815</v>
      </c>
      <c r="T4247" t="s">
        <v>13134</v>
      </c>
      <c r="U4247" t="s">
        <v>13134</v>
      </c>
      <c r="V4247" t="s">
        <v>13134</v>
      </c>
      <c r="W4247" t="s">
        <v>17321</v>
      </c>
      <c r="X4247">
        <v>1</v>
      </c>
      <c r="Y4247" t="s">
        <v>23699</v>
      </c>
      <c r="Z4247" t="s">
        <v>30215</v>
      </c>
      <c r="AA4247">
        <v>0.60827028152999352</v>
      </c>
      <c r="AB4247" t="str">
        <f>HYPERLINK("Melting_Curves/meltCurve_Q7RTP0_NIPA1.pdf", "Melting_Curves/meltCurve_Q7RTP0_NIPA1.pdf")</f>
        <v>Melting_Curves/meltCurve_Q7RTP0_NIPA1.pdf</v>
      </c>
    </row>
    <row r="4248" spans="1:28" x14ac:dyDescent="0.25">
      <c r="A4248" t="s">
        <v>4252</v>
      </c>
      <c r="B4248">
        <v>0.99472303558308395</v>
      </c>
      <c r="C4248">
        <v>0.99146803101797498</v>
      </c>
      <c r="D4248">
        <v>0.88427824483927298</v>
      </c>
      <c r="E4248">
        <v>0.69449423273786903</v>
      </c>
      <c r="F4248">
        <v>0.33437892431592497</v>
      </c>
      <c r="G4248">
        <v>9.5078488518689205E-2</v>
      </c>
      <c r="H4248">
        <v>6.8208152140280504E-2</v>
      </c>
      <c r="I4248">
        <v>4.8329987140188699E-2</v>
      </c>
      <c r="J4248">
        <v>5.7370160829403001E-2</v>
      </c>
      <c r="K4248">
        <v>4.1500219179899003E-2</v>
      </c>
      <c r="L4248">
        <v>1003.2919510466299</v>
      </c>
      <c r="M4248">
        <v>20.8400514401695</v>
      </c>
      <c r="N4248">
        <v>48.310908007494298</v>
      </c>
      <c r="O4248">
        <v>47.7057706051488</v>
      </c>
      <c r="P4248">
        <v>-0.10538785268394101</v>
      </c>
      <c r="Q4248">
        <v>3.50367663849473E-2</v>
      </c>
      <c r="R4248">
        <v>0.99757348050377603</v>
      </c>
      <c r="S4248" t="s">
        <v>10816</v>
      </c>
      <c r="T4248" t="s">
        <v>13134</v>
      </c>
      <c r="U4248" t="s">
        <v>13134</v>
      </c>
      <c r="V4248" t="s">
        <v>13134</v>
      </c>
      <c r="W4248" t="s">
        <v>17322</v>
      </c>
      <c r="X4248">
        <v>10</v>
      </c>
      <c r="Y4248" t="s">
        <v>23700</v>
      </c>
      <c r="Z4248" t="s">
        <v>30216</v>
      </c>
      <c r="AA4248">
        <v>0.40517389462715431</v>
      </c>
      <c r="AB4248" t="str">
        <f>HYPERLINK("Melting_Curves/meltCurve_Q7RTP6_MICAL3.pdf", "Melting_Curves/meltCurve_Q7RTP6_MICAL3.pdf")</f>
        <v>Melting_Curves/meltCurve_Q7RTP6_MICAL3.pdf</v>
      </c>
    </row>
    <row r="4249" spans="1:28" x14ac:dyDescent="0.25">
      <c r="A4249" t="s">
        <v>4253</v>
      </c>
      <c r="B4249">
        <v>0.99472303558308395</v>
      </c>
      <c r="C4249">
        <v>0.82095091220400396</v>
      </c>
      <c r="D4249">
        <v>0.84488746485025801</v>
      </c>
      <c r="E4249">
        <v>0.96951334059055305</v>
      </c>
      <c r="F4249">
        <v>1.0931616358557401</v>
      </c>
      <c r="G4249">
        <v>1.03826227959335</v>
      </c>
      <c r="H4249">
        <v>0.67104300759353397</v>
      </c>
      <c r="I4249">
        <v>0.282371496579232</v>
      </c>
      <c r="J4249">
        <v>0.265368866739777</v>
      </c>
      <c r="K4249">
        <v>0.208599929320054</v>
      </c>
      <c r="L4249">
        <v>3734.15679410025</v>
      </c>
      <c r="M4249">
        <v>64.773978821720505</v>
      </c>
      <c r="N4249">
        <v>58.251646323315498</v>
      </c>
      <c r="O4249">
        <v>57.5941532317187</v>
      </c>
      <c r="P4249">
        <v>-0.21251348236527501</v>
      </c>
      <c r="Q4249">
        <v>0.24416992855360201</v>
      </c>
      <c r="R4249">
        <v>0.93450905353363101</v>
      </c>
      <c r="S4249" t="s">
        <v>10817</v>
      </c>
      <c r="T4249" t="s">
        <v>13134</v>
      </c>
      <c r="U4249" t="s">
        <v>13134</v>
      </c>
      <c r="V4249" t="s">
        <v>13134</v>
      </c>
      <c r="W4249" t="s">
        <v>17323</v>
      </c>
      <c r="X4249">
        <v>14</v>
      </c>
      <c r="Y4249" t="s">
        <v>23701</v>
      </c>
      <c r="Z4249" t="s">
        <v>30217</v>
      </c>
      <c r="AA4249">
        <v>0.76554734128756841</v>
      </c>
      <c r="AB4249" t="str">
        <f>HYPERLINK("Melting_Curves/meltCurve_Q7RTV0_PHF5A.pdf", "Melting_Curves/meltCurve_Q7RTV0_PHF5A.pdf")</f>
        <v>Melting_Curves/meltCurve_Q7RTV0_PHF5A.pdf</v>
      </c>
    </row>
    <row r="4250" spans="1:28" x14ac:dyDescent="0.25">
      <c r="A4250" t="s">
        <v>4254</v>
      </c>
      <c r="B4250">
        <v>0.99472303558308395</v>
      </c>
      <c r="C4250">
        <v>0.96822673785024704</v>
      </c>
      <c r="D4250">
        <v>0.90807662925411803</v>
      </c>
      <c r="E4250">
        <v>0.609513802136605</v>
      </c>
      <c r="F4250">
        <v>0.241123823742556</v>
      </c>
      <c r="G4250">
        <v>0.11015996423827699</v>
      </c>
      <c r="H4250">
        <v>6.5027468323874904E-2</v>
      </c>
      <c r="I4250">
        <v>4.52261950318842E-2</v>
      </c>
      <c r="J4250">
        <v>5.4185011038024797E-2</v>
      </c>
      <c r="K4250">
        <v>3.9467546118514801E-2</v>
      </c>
      <c r="L4250">
        <v>1063.57401670697</v>
      </c>
      <c r="M4250">
        <v>22.479681620889899</v>
      </c>
      <c r="N4250">
        <v>47.508352714705197</v>
      </c>
      <c r="O4250">
        <v>46.943044939088601</v>
      </c>
      <c r="P4250">
        <v>-0.11442690331944</v>
      </c>
      <c r="Q4250">
        <v>4.4214751268798001E-2</v>
      </c>
      <c r="R4250">
        <v>0.99962300180458696</v>
      </c>
      <c r="S4250" t="s">
        <v>10818</v>
      </c>
      <c r="T4250" t="s">
        <v>13134</v>
      </c>
      <c r="U4250" t="s">
        <v>13134</v>
      </c>
      <c r="V4250" t="s">
        <v>13134</v>
      </c>
      <c r="W4250" t="s">
        <v>17324</v>
      </c>
      <c r="X4250">
        <v>10</v>
      </c>
      <c r="Y4250" t="s">
        <v>23702</v>
      </c>
      <c r="Z4250" t="s">
        <v>30218</v>
      </c>
      <c r="AA4250">
        <v>0.38273443879374491</v>
      </c>
      <c r="AB4250" t="str">
        <f>HYPERLINK("Melting_Curves/meltCurve_Q7Z2E3_3_APTX.pdf", "Melting_Curves/meltCurve_Q7Z2E3_3_APTX.pdf")</f>
        <v>Melting_Curves/meltCurve_Q7Z2E3_3_APTX.pdf</v>
      </c>
    </row>
    <row r="4251" spans="1:28" x14ac:dyDescent="0.25">
      <c r="A4251" t="s">
        <v>4255</v>
      </c>
      <c r="B4251">
        <v>0.99472303558308395</v>
      </c>
      <c r="C4251">
        <v>1.00777397198955</v>
      </c>
      <c r="D4251">
        <v>0.94707211706132199</v>
      </c>
      <c r="E4251">
        <v>0.84306287096509802</v>
      </c>
      <c r="F4251">
        <v>0.668645822940937</v>
      </c>
      <c r="G4251">
        <v>0.51517867997970701</v>
      </c>
      <c r="H4251">
        <v>0.437139859303673</v>
      </c>
      <c r="I4251">
        <v>0.42613744856747798</v>
      </c>
      <c r="J4251">
        <v>0.63362824834859599</v>
      </c>
      <c r="K4251">
        <v>0.499579624492553</v>
      </c>
      <c r="L4251">
        <v>1140.63652933708</v>
      </c>
      <c r="M4251">
        <v>23.621822603532699</v>
      </c>
      <c r="N4251">
        <v>59.747984001577699</v>
      </c>
      <c r="O4251">
        <v>47.945333094701802</v>
      </c>
      <c r="P4251">
        <v>-6.2249599946961297E-2</v>
      </c>
      <c r="Q4251">
        <v>0.494615196548786</v>
      </c>
      <c r="R4251">
        <v>0.93628565443634104</v>
      </c>
      <c r="S4251" t="s">
        <v>10819</v>
      </c>
      <c r="T4251" t="s">
        <v>13134</v>
      </c>
      <c r="U4251" t="s">
        <v>13134</v>
      </c>
      <c r="V4251" t="s">
        <v>13134</v>
      </c>
      <c r="W4251" t="s">
        <v>17325</v>
      </c>
      <c r="X4251">
        <v>29</v>
      </c>
      <c r="Y4251" t="s">
        <v>23703</v>
      </c>
      <c r="Z4251" t="s">
        <v>30219</v>
      </c>
      <c r="AA4251">
        <v>0.68959755188328031</v>
      </c>
      <c r="AB4251" t="str">
        <f>HYPERLINK("Melting_Curves/meltCurve_Q7Z2K8_GPRIN1.pdf", "Melting_Curves/meltCurve_Q7Z2K8_GPRIN1.pdf")</f>
        <v>Melting_Curves/meltCurve_Q7Z2K8_GPRIN1.pdf</v>
      </c>
    </row>
    <row r="4252" spans="1:28" x14ac:dyDescent="0.25">
      <c r="A4252" t="s">
        <v>4256</v>
      </c>
      <c r="B4252">
        <v>0.99472303558308395</v>
      </c>
      <c r="C4252">
        <v>0.86854342337732904</v>
      </c>
      <c r="D4252">
        <v>0.791977871912103</v>
      </c>
      <c r="E4252">
        <v>0.61305196281782603</v>
      </c>
      <c r="F4252">
        <v>0.30824983313445697</v>
      </c>
      <c r="G4252">
        <v>9.9103401739462596E-2</v>
      </c>
      <c r="H4252">
        <v>5.6882030319455497E-2</v>
      </c>
      <c r="I4252">
        <v>2.2825783588281599E-2</v>
      </c>
      <c r="J4252">
        <v>2.6713486695190601E-2</v>
      </c>
      <c r="K4252">
        <v>2.3354053202946298E-2</v>
      </c>
      <c r="L4252">
        <v>695.40893663598501</v>
      </c>
      <c r="M4252">
        <v>14.6864248680478</v>
      </c>
      <c r="N4252">
        <v>47.350453001108598</v>
      </c>
      <c r="O4252">
        <v>46.498551558735201</v>
      </c>
      <c r="P4252">
        <v>-7.8970398732051306E-2</v>
      </c>
      <c r="Q4252">
        <v>0</v>
      </c>
      <c r="R4252">
        <v>0.99187696524898905</v>
      </c>
      <c r="S4252" t="s">
        <v>10820</v>
      </c>
      <c r="T4252" t="s">
        <v>13134</v>
      </c>
      <c r="U4252" t="s">
        <v>13134</v>
      </c>
      <c r="V4252" t="s">
        <v>13134</v>
      </c>
      <c r="W4252" t="s">
        <v>17326</v>
      </c>
      <c r="X4252">
        <v>9</v>
      </c>
      <c r="Y4252" t="s">
        <v>23704</v>
      </c>
      <c r="Z4252" t="s">
        <v>30220</v>
      </c>
      <c r="AA4252">
        <v>0.36819334837972612</v>
      </c>
      <c r="AB4252" t="str">
        <f>HYPERLINK("Melting_Curves/meltCurve_Q7Z2T5_TRMT1L.pdf", "Melting_Curves/meltCurve_Q7Z2T5_TRMT1L.pdf")</f>
        <v>Melting_Curves/meltCurve_Q7Z2T5_TRMT1L.pdf</v>
      </c>
    </row>
    <row r="4253" spans="1:28" x14ac:dyDescent="0.25">
      <c r="A4253" t="s">
        <v>4257</v>
      </c>
      <c r="B4253">
        <v>0.99472303558308395</v>
      </c>
      <c r="C4253">
        <v>0.94001992108969601</v>
      </c>
      <c r="D4253">
        <v>0.83997807040973504</v>
      </c>
      <c r="E4253">
        <v>0.61059942252564203</v>
      </c>
      <c r="F4253">
        <v>0.21807968779880499</v>
      </c>
      <c r="G4253">
        <v>0.116317142646623</v>
      </c>
      <c r="H4253">
        <v>8.4325509871990403E-2</v>
      </c>
      <c r="I4253">
        <v>9.2699723262526706E-2</v>
      </c>
      <c r="J4253">
        <v>0.11632826047356901</v>
      </c>
      <c r="K4253">
        <v>8.6821840225091401E-2</v>
      </c>
      <c r="L4253">
        <v>1007.68569289781</v>
      </c>
      <c r="M4253">
        <v>21.530816742153199</v>
      </c>
      <c r="N4253">
        <v>47.189550618767498</v>
      </c>
      <c r="O4253">
        <v>46.403897492184697</v>
      </c>
      <c r="P4253">
        <v>-0.106599893016398</v>
      </c>
      <c r="Q4253">
        <v>8.1032497989441593E-2</v>
      </c>
      <c r="R4253">
        <v>0.99383192707094103</v>
      </c>
      <c r="S4253" t="s">
        <v>10821</v>
      </c>
      <c r="T4253" t="s">
        <v>13134</v>
      </c>
      <c r="U4253" t="s">
        <v>13134</v>
      </c>
      <c r="V4253" t="s">
        <v>13134</v>
      </c>
      <c r="W4253" t="s">
        <v>17327</v>
      </c>
      <c r="X4253">
        <v>19</v>
      </c>
      <c r="Y4253" t="s">
        <v>23705</v>
      </c>
      <c r="Z4253" t="s">
        <v>30221</v>
      </c>
      <c r="AA4253">
        <v>0.39167849653143427</v>
      </c>
      <c r="AB4253" t="str">
        <f>HYPERLINK("Melting_Curves/meltCurve_Q7Z2W4_ZC3HAV1.pdf", "Melting_Curves/meltCurve_Q7Z2W4_ZC3HAV1.pdf")</f>
        <v>Melting_Curves/meltCurve_Q7Z2W4_ZC3HAV1.pdf</v>
      </c>
    </row>
    <row r="4254" spans="1:28" x14ac:dyDescent="0.25">
      <c r="A4254" t="s">
        <v>4258</v>
      </c>
      <c r="B4254">
        <v>0.99472303558308395</v>
      </c>
      <c r="C4254">
        <v>1.06913644019792</v>
      </c>
      <c r="D4254">
        <v>1.0280271158280201</v>
      </c>
      <c r="E4254">
        <v>0.838572147398426</v>
      </c>
      <c r="F4254">
        <v>0.25594307774730601</v>
      </c>
      <c r="G4254">
        <v>9.9419229819644003E-2</v>
      </c>
      <c r="H4254">
        <v>5.81536267451742E-2</v>
      </c>
      <c r="I4254">
        <v>4.3184837554950901E-2</v>
      </c>
      <c r="J4254">
        <v>4.50167312841252E-2</v>
      </c>
      <c r="K4254">
        <v>3.3683674401452798E-2</v>
      </c>
      <c r="L4254">
        <v>1847.2647664098399</v>
      </c>
      <c r="M4254">
        <v>38.051628552381501</v>
      </c>
      <c r="N4254">
        <v>48.6807104761847</v>
      </c>
      <c r="O4254">
        <v>48.412775196680997</v>
      </c>
      <c r="P4254">
        <v>-0.186695252494048</v>
      </c>
      <c r="Q4254">
        <v>4.9879041814044199E-2</v>
      </c>
      <c r="R4254">
        <v>0.996373272963753</v>
      </c>
      <c r="S4254" t="s">
        <v>10822</v>
      </c>
      <c r="T4254" t="s">
        <v>13134</v>
      </c>
      <c r="U4254" t="s">
        <v>13134</v>
      </c>
      <c r="V4254" t="s">
        <v>13134</v>
      </c>
      <c r="W4254" t="s">
        <v>17328</v>
      </c>
      <c r="X4254">
        <v>23</v>
      </c>
      <c r="Y4254" t="s">
        <v>23706</v>
      </c>
      <c r="Z4254" t="s">
        <v>30222</v>
      </c>
      <c r="AA4254">
        <v>0.41908287252266108</v>
      </c>
      <c r="AB4254" t="str">
        <f>HYPERLINK("Melting_Curves/meltCurve_Q7Z2Z2_EFTUD1.pdf", "Melting_Curves/meltCurve_Q7Z2Z2_EFTUD1.pdf")</f>
        <v>Melting_Curves/meltCurve_Q7Z2Z2_EFTUD1.pdf</v>
      </c>
    </row>
    <row r="4255" spans="1:28" x14ac:dyDescent="0.25">
      <c r="A4255" t="s">
        <v>4259</v>
      </c>
      <c r="B4255">
        <v>0.99472303558308395</v>
      </c>
      <c r="C4255">
        <v>1.0916783648530901</v>
      </c>
      <c r="D4255">
        <v>0.92463576288224403</v>
      </c>
      <c r="E4255">
        <v>0.84863745274597002</v>
      </c>
      <c r="F4255">
        <v>0.66438310103049703</v>
      </c>
      <c r="G4255">
        <v>0.54932531074330404</v>
      </c>
      <c r="H4255">
        <v>0.275898343319189</v>
      </c>
      <c r="I4255">
        <v>0.185587287536259</v>
      </c>
      <c r="J4255">
        <v>0.23328922912876501</v>
      </c>
      <c r="K4255">
        <v>0.21412608639755701</v>
      </c>
      <c r="L4255">
        <v>757.26549894785398</v>
      </c>
      <c r="M4255">
        <v>14.575396958132901</v>
      </c>
      <c r="N4255">
        <v>53.313879798178597</v>
      </c>
      <c r="O4255">
        <v>51.006453586017201</v>
      </c>
      <c r="P4255">
        <v>-6.0362330115155703E-2</v>
      </c>
      <c r="Q4255">
        <v>0.15514633006349099</v>
      </c>
      <c r="R4255">
        <v>0.97770644416809005</v>
      </c>
      <c r="S4255" t="s">
        <v>10823</v>
      </c>
      <c r="T4255" t="s">
        <v>13134</v>
      </c>
      <c r="U4255" t="s">
        <v>13134</v>
      </c>
      <c r="V4255" t="s">
        <v>13134</v>
      </c>
      <c r="W4255" t="s">
        <v>17329</v>
      </c>
      <c r="X4255">
        <v>3</v>
      </c>
      <c r="Y4255" t="s">
        <v>23707</v>
      </c>
      <c r="Z4255" t="s">
        <v>30223</v>
      </c>
      <c r="AA4255">
        <v>0.59305433660220785</v>
      </c>
      <c r="AB4255" t="str">
        <f>HYPERLINK("Melting_Curves/meltCurve_Q7Z309_5_FAM122B.pdf", "Melting_Curves/meltCurve_Q7Z309_5_FAM122B.pdf")</f>
        <v>Melting_Curves/meltCurve_Q7Z309_5_FAM122B.pdf</v>
      </c>
    </row>
    <row r="4256" spans="1:28" x14ac:dyDescent="0.25">
      <c r="A4256" t="s">
        <v>4260</v>
      </c>
      <c r="B4256">
        <v>0.99472303558308395</v>
      </c>
      <c r="C4256">
        <v>0.72128841969721602</v>
      </c>
      <c r="D4256">
        <v>0.41862627499334598</v>
      </c>
      <c r="E4256">
        <v>0.10554921820860499</v>
      </c>
      <c r="F4256">
        <v>4.2586090208375699E-2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869.17328927625101</v>
      </c>
      <c r="M4256">
        <v>20.6403917530466</v>
      </c>
      <c r="N4256">
        <v>42.1103096759078</v>
      </c>
      <c r="O4256">
        <v>41.721010549631899</v>
      </c>
      <c r="P4256">
        <v>-0.123684596990857</v>
      </c>
      <c r="Q4256">
        <v>0</v>
      </c>
      <c r="R4256">
        <v>0.99592027295290098</v>
      </c>
      <c r="S4256" t="s">
        <v>10824</v>
      </c>
      <c r="T4256" t="s">
        <v>13134</v>
      </c>
      <c r="U4256" t="s">
        <v>13134</v>
      </c>
      <c r="V4256" t="s">
        <v>13134</v>
      </c>
      <c r="W4256" t="s">
        <v>17330</v>
      </c>
      <c r="X4256">
        <v>5</v>
      </c>
      <c r="Y4256" t="s">
        <v>23708</v>
      </c>
      <c r="Z4256" t="s">
        <v>30224</v>
      </c>
      <c r="AA4256">
        <v>0.18419118537417459</v>
      </c>
      <c r="AB4256" t="str">
        <f>HYPERLINK("Melting_Curves/meltCurve_Q7Z333_3_SETX.pdf", "Melting_Curves/meltCurve_Q7Z333_3_SETX.pdf")</f>
        <v>Melting_Curves/meltCurve_Q7Z333_3_SETX.pdf</v>
      </c>
    </row>
    <row r="4257" spans="1:28" x14ac:dyDescent="0.25">
      <c r="A4257" t="s">
        <v>4261</v>
      </c>
      <c r="B4257">
        <v>0.99472303558308395</v>
      </c>
      <c r="C4257">
        <v>0.853749219873013</v>
      </c>
      <c r="D4257">
        <v>0.81785132468802701</v>
      </c>
      <c r="E4257">
        <v>0.70904115010520097</v>
      </c>
      <c r="F4257">
        <v>0.79350572430432698</v>
      </c>
      <c r="G4257">
        <v>0.45989302998578102</v>
      </c>
      <c r="H4257">
        <v>0.150911357367879</v>
      </c>
      <c r="I4257">
        <v>3.0030955549987699E-2</v>
      </c>
      <c r="J4257">
        <v>2.0779327547071499E-2</v>
      </c>
      <c r="K4257">
        <v>2.2059918928776099E-2</v>
      </c>
      <c r="L4257">
        <v>749.51637071977405</v>
      </c>
      <c r="M4257">
        <v>14.337899822172099</v>
      </c>
      <c r="N4257">
        <v>52.275183476194897</v>
      </c>
      <c r="O4257">
        <v>51.289836553530002</v>
      </c>
      <c r="P4257">
        <v>-6.9895076545573198E-2</v>
      </c>
      <c r="Q4257">
        <v>0</v>
      </c>
      <c r="R4257">
        <v>0.93036176774954904</v>
      </c>
      <c r="S4257" t="s">
        <v>10825</v>
      </c>
      <c r="T4257" t="s">
        <v>13134</v>
      </c>
      <c r="U4257" t="s">
        <v>13134</v>
      </c>
      <c r="V4257" t="s">
        <v>13134</v>
      </c>
      <c r="W4257" t="s">
        <v>17331</v>
      </c>
      <c r="X4257">
        <v>3</v>
      </c>
      <c r="Y4257" t="s">
        <v>23709</v>
      </c>
      <c r="Z4257" t="s">
        <v>30225</v>
      </c>
      <c r="AA4257">
        <v>0.52891279442268935</v>
      </c>
      <c r="AB4257" t="str">
        <f>HYPERLINK("Melting_Curves/meltCurve_Q7Z372_DKFZp686N07218.pdf", "Melting_Curves/meltCurve_Q7Z372_DKFZp686N07218.pdf")</f>
        <v>Melting_Curves/meltCurve_Q7Z372_DKFZp686N07218.pdf</v>
      </c>
    </row>
    <row r="4258" spans="1:28" x14ac:dyDescent="0.25">
      <c r="A4258" t="s">
        <v>4262</v>
      </c>
      <c r="B4258">
        <v>0.99472303558308395</v>
      </c>
      <c r="C4258">
        <v>1.01504771838582</v>
      </c>
      <c r="D4258">
        <v>0.71590813882130899</v>
      </c>
      <c r="E4258">
        <v>0.52501280562144004</v>
      </c>
      <c r="F4258">
        <v>0.180684415044084</v>
      </c>
      <c r="G4258">
        <v>9.0023244490701093E-2</v>
      </c>
      <c r="H4258">
        <v>6.4664472493374398E-2</v>
      </c>
      <c r="I4258">
        <v>4.1078554884502502E-2</v>
      </c>
      <c r="J4258">
        <v>4.8009587445759602E-2</v>
      </c>
      <c r="K4258">
        <v>4.3754219888609801E-2</v>
      </c>
      <c r="L4258">
        <v>830.80581457513802</v>
      </c>
      <c r="M4258">
        <v>18.031048182151501</v>
      </c>
      <c r="N4258">
        <v>46.252922813195603</v>
      </c>
      <c r="O4258">
        <v>45.5208718319425</v>
      </c>
      <c r="P4258">
        <v>-9.5738338227402006E-2</v>
      </c>
      <c r="Q4258">
        <v>3.3250001733725901E-2</v>
      </c>
      <c r="R4258">
        <v>0.98962744441844697</v>
      </c>
      <c r="S4258" t="s">
        <v>10826</v>
      </c>
      <c r="T4258" t="s">
        <v>13134</v>
      </c>
      <c r="U4258" t="s">
        <v>13134</v>
      </c>
      <c r="V4258" t="s">
        <v>13134</v>
      </c>
      <c r="W4258" t="s">
        <v>17332</v>
      </c>
      <c r="X4258">
        <v>8</v>
      </c>
      <c r="Y4258" t="s">
        <v>23710</v>
      </c>
      <c r="Z4258" t="s">
        <v>30226</v>
      </c>
      <c r="AA4258">
        <v>0.34129776612902191</v>
      </c>
      <c r="AB4258" t="str">
        <f>HYPERLINK("Melting_Curves/meltCurve_Q7Z392_4_TRAPPC11.pdf", "Melting_Curves/meltCurve_Q7Z392_4_TRAPPC11.pdf")</f>
        <v>Melting_Curves/meltCurve_Q7Z392_4_TRAPPC11.pdf</v>
      </c>
    </row>
    <row r="4259" spans="1:28" x14ac:dyDescent="0.25">
      <c r="A4259" t="s">
        <v>4263</v>
      </c>
      <c r="B4259">
        <v>0.99472303558308395</v>
      </c>
      <c r="C4259">
        <v>0.87210213381366397</v>
      </c>
      <c r="D4259">
        <v>0.56739767969367005</v>
      </c>
      <c r="E4259">
        <v>0.33244051139521102</v>
      </c>
      <c r="F4259">
        <v>0.24063258734498399</v>
      </c>
      <c r="G4259">
        <v>0.128920278683127</v>
      </c>
      <c r="H4259">
        <v>9.5556643170377195E-2</v>
      </c>
      <c r="I4259">
        <v>7.0036983671019695E-2</v>
      </c>
      <c r="J4259">
        <v>9.6422073323456703E-2</v>
      </c>
      <c r="K4259">
        <v>9.3142029431086404E-2</v>
      </c>
      <c r="L4259">
        <v>717.03427632191006</v>
      </c>
      <c r="M4259">
        <v>16.390765273889102</v>
      </c>
      <c r="N4259">
        <v>44.274978886268698</v>
      </c>
      <c r="O4259">
        <v>43.110624924550102</v>
      </c>
      <c r="P4259">
        <v>-8.6607929056675595E-2</v>
      </c>
      <c r="Q4259">
        <v>8.8888176802773597E-2</v>
      </c>
      <c r="R4259">
        <v>0.99283589745205203</v>
      </c>
      <c r="S4259" t="s">
        <v>10827</v>
      </c>
      <c r="T4259" t="s">
        <v>13134</v>
      </c>
      <c r="U4259" t="s">
        <v>13134</v>
      </c>
      <c r="V4259" t="s">
        <v>13134</v>
      </c>
      <c r="W4259" t="s">
        <v>17333</v>
      </c>
      <c r="X4259">
        <v>6</v>
      </c>
      <c r="Y4259" t="s">
        <v>23711</v>
      </c>
      <c r="Z4259" t="s">
        <v>30227</v>
      </c>
      <c r="AA4259">
        <v>0.31277755219114428</v>
      </c>
      <c r="AB4259" t="str">
        <f>HYPERLINK("Melting_Curves/meltCurve_Q7Z3B3_KANSL1.pdf", "Melting_Curves/meltCurve_Q7Z3B3_KANSL1.pdf")</f>
        <v>Melting_Curves/meltCurve_Q7Z3B3_KANSL1.pdf</v>
      </c>
    </row>
    <row r="4260" spans="1:28" x14ac:dyDescent="0.25">
      <c r="A4260" t="s">
        <v>4264</v>
      </c>
      <c r="B4260">
        <v>0.99472303558308395</v>
      </c>
      <c r="C4260">
        <v>0.81321031495969698</v>
      </c>
      <c r="D4260">
        <v>0.72559116106055799</v>
      </c>
      <c r="E4260">
        <v>0.52588161733613004</v>
      </c>
      <c r="F4260">
        <v>0.274022426868608</v>
      </c>
      <c r="G4260">
        <v>0.12328589142325599</v>
      </c>
      <c r="H4260">
        <v>9.5407679168625803E-2</v>
      </c>
      <c r="I4260">
        <v>5.0566104961082103E-2</v>
      </c>
      <c r="J4260">
        <v>5.80521535817713E-2</v>
      </c>
      <c r="K4260">
        <v>3.6646776654294201E-2</v>
      </c>
      <c r="L4260">
        <v>563.37030138592195</v>
      </c>
      <c r="M4260">
        <v>12.166620663897399</v>
      </c>
      <c r="N4260">
        <v>46.354141889127298</v>
      </c>
      <c r="O4260">
        <v>45.106938118499002</v>
      </c>
      <c r="P4260">
        <v>-6.7011707718584404E-2</v>
      </c>
      <c r="Q4260">
        <v>6.4617172521823103E-3</v>
      </c>
      <c r="R4260">
        <v>0.99221246136900998</v>
      </c>
      <c r="S4260" t="s">
        <v>10828</v>
      </c>
      <c r="T4260" t="s">
        <v>13134</v>
      </c>
      <c r="U4260" t="s">
        <v>13134</v>
      </c>
      <c r="V4260" t="s">
        <v>13134</v>
      </c>
      <c r="W4260" t="s">
        <v>17334</v>
      </c>
      <c r="X4260">
        <v>5</v>
      </c>
      <c r="Y4260" t="s">
        <v>23712</v>
      </c>
      <c r="Z4260" t="s">
        <v>30228</v>
      </c>
      <c r="AA4260">
        <v>0.34760011140067543</v>
      </c>
      <c r="AB4260" t="str">
        <f>HYPERLINK("Melting_Curves/meltCurve_Q7Z3C6_2_ATG9A.pdf", "Melting_Curves/meltCurve_Q7Z3C6_2_ATG9A.pdf")</f>
        <v>Melting_Curves/meltCurve_Q7Z3C6_2_ATG9A.pdf</v>
      </c>
    </row>
    <row r="4261" spans="1:28" x14ac:dyDescent="0.25">
      <c r="A4261" t="s">
        <v>4265</v>
      </c>
      <c r="B4261">
        <v>0.99472303558308395</v>
      </c>
      <c r="C4261">
        <v>0.99377071588560995</v>
      </c>
      <c r="D4261">
        <v>0.96249851550000098</v>
      </c>
      <c r="E4261">
        <v>0.86011152551681602</v>
      </c>
      <c r="F4261">
        <v>0.68174635472429701</v>
      </c>
      <c r="G4261">
        <v>0.45755040749713199</v>
      </c>
      <c r="H4261">
        <v>0.32635798974927099</v>
      </c>
      <c r="I4261">
        <v>0.23709977902613999</v>
      </c>
      <c r="J4261">
        <v>0.27109598931213602</v>
      </c>
      <c r="K4261">
        <v>0.21717128847477499</v>
      </c>
      <c r="L4261">
        <v>832.33408479334105</v>
      </c>
      <c r="M4261">
        <v>16.2395714423843</v>
      </c>
      <c r="N4261">
        <v>53.016153793352899</v>
      </c>
      <c r="O4261">
        <v>50.495166608376003</v>
      </c>
      <c r="P4261">
        <v>-6.3633713124922303E-2</v>
      </c>
      <c r="Q4261">
        <v>0.208610337996846</v>
      </c>
      <c r="R4261">
        <v>0.99789246105861296</v>
      </c>
      <c r="S4261" t="s">
        <v>10829</v>
      </c>
      <c r="T4261" t="s">
        <v>13134</v>
      </c>
      <c r="U4261" t="s">
        <v>13134</v>
      </c>
      <c r="V4261" t="s">
        <v>13134</v>
      </c>
      <c r="W4261" t="s">
        <v>17335</v>
      </c>
      <c r="X4261">
        <v>7</v>
      </c>
      <c r="Y4261" t="s">
        <v>23713</v>
      </c>
      <c r="Z4261" t="s">
        <v>30229</v>
      </c>
      <c r="AA4261">
        <v>0.59878645917689066</v>
      </c>
      <c r="AB4261" t="str">
        <f>HYPERLINK("Melting_Curves/meltCurve_Q7Z3D4_LYSMD3.pdf", "Melting_Curves/meltCurve_Q7Z3D4_LYSMD3.pdf")</f>
        <v>Melting_Curves/meltCurve_Q7Z3D4_LYSMD3.pdf</v>
      </c>
    </row>
    <row r="4262" spans="1:28" x14ac:dyDescent="0.25">
      <c r="A4262" t="s">
        <v>4266</v>
      </c>
      <c r="B4262">
        <v>0.99472303558308395</v>
      </c>
      <c r="C4262">
        <v>1.0131719238758099</v>
      </c>
      <c r="D4262">
        <v>0.87711078364351402</v>
      </c>
      <c r="E4262">
        <v>0.68130068268838595</v>
      </c>
      <c r="F4262">
        <v>0.32673646288392599</v>
      </c>
      <c r="G4262">
        <v>0.12908582293076401</v>
      </c>
      <c r="H4262">
        <v>9.8025619539102604E-2</v>
      </c>
      <c r="I4262">
        <v>7.0310240123563794E-2</v>
      </c>
      <c r="J4262">
        <v>0.102890752649416</v>
      </c>
      <c r="K4262">
        <v>8.4736003075671196E-2</v>
      </c>
      <c r="L4262">
        <v>1012.4208624169599</v>
      </c>
      <c r="M4262">
        <v>21.170390424753201</v>
      </c>
      <c r="N4262">
        <v>48.188297794138599</v>
      </c>
      <c r="O4262">
        <v>47.401909577992498</v>
      </c>
      <c r="P4262">
        <v>-0.103367835908334</v>
      </c>
      <c r="Q4262">
        <v>7.4233962660815098E-2</v>
      </c>
      <c r="R4262">
        <v>0.99694508248639302</v>
      </c>
      <c r="S4262" t="s">
        <v>10830</v>
      </c>
      <c r="T4262" t="s">
        <v>13134</v>
      </c>
      <c r="U4262" t="s">
        <v>13134</v>
      </c>
      <c r="V4262" t="s">
        <v>13134</v>
      </c>
      <c r="W4262" t="s">
        <v>17336</v>
      </c>
      <c r="X4262">
        <v>5</v>
      </c>
      <c r="Y4262" t="s">
        <v>23714</v>
      </c>
      <c r="Z4262" t="s">
        <v>30230</v>
      </c>
      <c r="AA4262">
        <v>0.41910376807018918</v>
      </c>
      <c r="AB4262" t="str">
        <f>HYPERLINK("Melting_Curves/meltCurve_Q7Z3E2_C10orf118.pdf", "Melting_Curves/meltCurve_Q7Z3E2_C10orf118.pdf")</f>
        <v>Melting_Curves/meltCurve_Q7Z3E2_C10orf118.pdf</v>
      </c>
    </row>
    <row r="4263" spans="1:28" x14ac:dyDescent="0.25">
      <c r="A4263" t="s">
        <v>4267</v>
      </c>
      <c r="B4263">
        <v>0.99472303558308395</v>
      </c>
      <c r="C4263">
        <v>0.97400609295021101</v>
      </c>
      <c r="D4263">
        <v>0.735533944370106</v>
      </c>
      <c r="E4263">
        <v>0.42544256576617101</v>
      </c>
      <c r="F4263">
        <v>0.15550000279597501</v>
      </c>
      <c r="G4263">
        <v>8.4212684776446195E-2</v>
      </c>
      <c r="H4263">
        <v>5.4895409507196097E-2</v>
      </c>
      <c r="I4263">
        <v>4.7376623097504601E-2</v>
      </c>
      <c r="J4263">
        <v>5.0312888863884901E-2</v>
      </c>
      <c r="K4263">
        <v>4.3546116980603997E-2</v>
      </c>
      <c r="L4263">
        <v>896.87147997535101</v>
      </c>
      <c r="M4263">
        <v>19.740690306485899</v>
      </c>
      <c r="N4263">
        <v>45.633275336660198</v>
      </c>
      <c r="O4263">
        <v>44.9741068147665</v>
      </c>
      <c r="P4263">
        <v>-0.105175731943963</v>
      </c>
      <c r="Q4263">
        <v>4.1568840052257902E-2</v>
      </c>
      <c r="R4263">
        <v>0.99824257841604502</v>
      </c>
      <c r="S4263" t="s">
        <v>10831</v>
      </c>
      <c r="T4263" t="s">
        <v>13134</v>
      </c>
      <c r="U4263" t="s">
        <v>13134</v>
      </c>
      <c r="V4263" t="s">
        <v>13134</v>
      </c>
      <c r="W4263" t="s">
        <v>17337</v>
      </c>
      <c r="X4263">
        <v>10</v>
      </c>
      <c r="Y4263" t="s">
        <v>23715</v>
      </c>
      <c r="Z4263" t="s">
        <v>30231</v>
      </c>
      <c r="AA4263">
        <v>0.3238676438967556</v>
      </c>
      <c r="AB4263" t="str">
        <f>HYPERLINK("Melting_Curves/meltCurve_Q7Z3K3_5_POGZ.pdf", "Melting_Curves/meltCurve_Q7Z3K3_5_POGZ.pdf")</f>
        <v>Melting_Curves/meltCurve_Q7Z3K3_5_POGZ.pdf</v>
      </c>
    </row>
    <row r="4264" spans="1:28" x14ac:dyDescent="0.25">
      <c r="A4264" t="s">
        <v>4268</v>
      </c>
      <c r="B4264">
        <v>0.99472303558308395</v>
      </c>
      <c r="C4264">
        <v>1.0518267799091501</v>
      </c>
      <c r="D4264">
        <v>0.96030683161838704</v>
      </c>
      <c r="E4264">
        <v>0.85606484820982898</v>
      </c>
      <c r="F4264">
        <v>0.664647887382253</v>
      </c>
      <c r="G4264">
        <v>0.33514313271955698</v>
      </c>
      <c r="H4264">
        <v>0.11185976957755001</v>
      </c>
      <c r="I4264">
        <v>8.9779192820657397E-2</v>
      </c>
      <c r="J4264">
        <v>0.10340164119685</v>
      </c>
      <c r="K4264">
        <v>9.0131497294454604E-2</v>
      </c>
      <c r="L4264">
        <v>1063.54031628246</v>
      </c>
      <c r="M4264">
        <v>20.728669339469299</v>
      </c>
      <c r="N4264">
        <v>51.661075998285398</v>
      </c>
      <c r="O4264">
        <v>50.837340413807603</v>
      </c>
      <c r="P4264">
        <v>-9.5201170394046505E-2</v>
      </c>
      <c r="Q4264">
        <v>6.6097783402323404E-2</v>
      </c>
      <c r="R4264">
        <v>0.99418885609552099</v>
      </c>
      <c r="S4264" t="s">
        <v>10832</v>
      </c>
      <c r="T4264" t="s">
        <v>13134</v>
      </c>
      <c r="U4264" t="s">
        <v>13134</v>
      </c>
      <c r="V4264" t="s">
        <v>13134</v>
      </c>
      <c r="W4264" t="s">
        <v>17338</v>
      </c>
      <c r="X4264">
        <v>16</v>
      </c>
      <c r="Y4264" t="s">
        <v>23716</v>
      </c>
      <c r="Z4264" t="s">
        <v>30232</v>
      </c>
      <c r="AA4264">
        <v>0.52298374986862783</v>
      </c>
      <c r="AB4264" t="str">
        <f>HYPERLINK("Melting_Curves/meltCurve_Q7Z3T8_ZFYVE16.pdf", "Melting_Curves/meltCurve_Q7Z3T8_ZFYVE16.pdf")</f>
        <v>Melting_Curves/meltCurve_Q7Z3T8_ZFYVE16.pdf</v>
      </c>
    </row>
    <row r="4265" spans="1:28" x14ac:dyDescent="0.25">
      <c r="A4265" t="s">
        <v>4269</v>
      </c>
      <c r="B4265">
        <v>0.99472303558308395</v>
      </c>
      <c r="C4265">
        <v>0.97947739658143995</v>
      </c>
      <c r="D4265">
        <v>0.77253949552779899</v>
      </c>
      <c r="E4265">
        <v>0.59469040663741202</v>
      </c>
      <c r="F4265">
        <v>0.27498037473748099</v>
      </c>
      <c r="G4265">
        <v>9.9137992489796295E-2</v>
      </c>
      <c r="H4265">
        <v>8.7347935658490597E-2</v>
      </c>
      <c r="I4265">
        <v>6.1120046655991397E-2</v>
      </c>
      <c r="J4265">
        <v>8.9313393314525494E-2</v>
      </c>
      <c r="K4265">
        <v>6.6001654326796097E-2</v>
      </c>
      <c r="L4265">
        <v>806.32662357102902</v>
      </c>
      <c r="M4265">
        <v>17.214419321042101</v>
      </c>
      <c r="N4265">
        <v>47.135350138325599</v>
      </c>
      <c r="O4265">
        <v>46.221785701831998</v>
      </c>
      <c r="P4265">
        <v>-8.8355542511505999E-2</v>
      </c>
      <c r="Q4265">
        <v>5.1095135928586201E-2</v>
      </c>
      <c r="R4265">
        <v>0.99320135159946599</v>
      </c>
      <c r="S4265" t="s">
        <v>10833</v>
      </c>
      <c r="T4265" t="s">
        <v>13134</v>
      </c>
      <c r="U4265" t="s">
        <v>13134</v>
      </c>
      <c r="V4265" t="s">
        <v>13134</v>
      </c>
      <c r="W4265" t="s">
        <v>17339</v>
      </c>
      <c r="X4265">
        <v>4</v>
      </c>
      <c r="Y4265" t="s">
        <v>23717</v>
      </c>
      <c r="Z4265" t="s">
        <v>30233</v>
      </c>
      <c r="AA4265">
        <v>0.37894521696015732</v>
      </c>
      <c r="AB4265" t="str">
        <f>HYPERLINK("Melting_Curves/meltCurve_Q7Z3V4_UBE3B.pdf", "Melting_Curves/meltCurve_Q7Z3V4_UBE3B.pdf")</f>
        <v>Melting_Curves/meltCurve_Q7Z3V4_UBE3B.pdf</v>
      </c>
    </row>
    <row r="4266" spans="1:28" x14ac:dyDescent="0.25">
      <c r="A4266" t="s">
        <v>4270</v>
      </c>
      <c r="B4266">
        <v>0.99472303558308395</v>
      </c>
      <c r="C4266">
        <v>0.97570458580594999</v>
      </c>
      <c r="D4266">
        <v>0.82835703551994799</v>
      </c>
      <c r="E4266">
        <v>0.52613293887004098</v>
      </c>
      <c r="F4266">
        <v>0.22216307387544301</v>
      </c>
      <c r="G4266">
        <v>0.123530292670993</v>
      </c>
      <c r="H4266">
        <v>7.9917433708644903E-2</v>
      </c>
      <c r="I4266">
        <v>6.5738235496221306E-2</v>
      </c>
      <c r="J4266">
        <v>5.9535904740231703E-2</v>
      </c>
      <c r="K4266">
        <v>4.5254651579755799E-2</v>
      </c>
      <c r="L4266">
        <v>907.26507362449297</v>
      </c>
      <c r="M4266">
        <v>19.512072015792899</v>
      </c>
      <c r="N4266">
        <v>46.766873401997998</v>
      </c>
      <c r="O4266">
        <v>46.017473815263202</v>
      </c>
      <c r="P4266">
        <v>-0.100375486198199</v>
      </c>
      <c r="Q4266">
        <v>5.3127241866738097E-2</v>
      </c>
      <c r="R4266">
        <v>0.99950971904500496</v>
      </c>
      <c r="S4266" t="s">
        <v>10834</v>
      </c>
      <c r="T4266" t="s">
        <v>13134</v>
      </c>
      <c r="U4266" t="s">
        <v>13134</v>
      </c>
      <c r="V4266" t="s">
        <v>13134</v>
      </c>
      <c r="W4266" t="s">
        <v>17340</v>
      </c>
      <c r="X4266">
        <v>8</v>
      </c>
      <c r="Y4266" t="s">
        <v>23718</v>
      </c>
      <c r="Z4266" t="s">
        <v>30234</v>
      </c>
      <c r="AA4266">
        <v>0.36590003989807113</v>
      </c>
      <c r="AB4266" t="str">
        <f>HYPERLINK("Melting_Curves/meltCurve_Q7Z401_DENND4A.pdf", "Melting_Curves/meltCurve_Q7Z401_DENND4A.pdf")</f>
        <v>Melting_Curves/meltCurve_Q7Z401_DENND4A.pdf</v>
      </c>
    </row>
    <row r="4267" spans="1:28" x14ac:dyDescent="0.25">
      <c r="A4267" t="s">
        <v>4271</v>
      </c>
      <c r="B4267">
        <v>0.99472303558308395</v>
      </c>
      <c r="C4267">
        <v>0.91790327379593994</v>
      </c>
      <c r="D4267">
        <v>0.85247672201288804</v>
      </c>
      <c r="E4267">
        <v>0.68793036825543996</v>
      </c>
      <c r="F4267">
        <v>0.52208778874154405</v>
      </c>
      <c r="G4267">
        <v>0.45476183031689799</v>
      </c>
      <c r="H4267">
        <v>0.18096461178984199</v>
      </c>
      <c r="I4267">
        <v>0.13014841420776699</v>
      </c>
      <c r="J4267">
        <v>0.175955156978371</v>
      </c>
      <c r="K4267">
        <v>0.18982522095403301</v>
      </c>
      <c r="L4267">
        <v>532.97653463272104</v>
      </c>
      <c r="M4267">
        <v>10.710808600414101</v>
      </c>
      <c r="N4267">
        <v>50.615603077810903</v>
      </c>
      <c r="O4267">
        <v>48.120142526374202</v>
      </c>
      <c r="P4267">
        <v>-5.1060540549979702E-2</v>
      </c>
      <c r="Q4267">
        <v>8.2749971513092394E-2</v>
      </c>
      <c r="R4267">
        <v>0.978177263226084</v>
      </c>
      <c r="S4267" t="s">
        <v>10835</v>
      </c>
      <c r="T4267" t="s">
        <v>13134</v>
      </c>
      <c r="U4267" t="s">
        <v>13134</v>
      </c>
      <c r="V4267" t="s">
        <v>13134</v>
      </c>
      <c r="W4267" t="s">
        <v>17341</v>
      </c>
      <c r="X4267">
        <v>16</v>
      </c>
      <c r="Y4267" t="s">
        <v>23719</v>
      </c>
      <c r="Z4267" t="s">
        <v>30235</v>
      </c>
      <c r="AA4267">
        <v>0.50257989034085593</v>
      </c>
      <c r="AB4267" t="str">
        <f>HYPERLINK("Melting_Curves/meltCurve_Q7Z417_NUFIP2.pdf", "Melting_Curves/meltCurve_Q7Z417_NUFIP2.pdf")</f>
        <v>Melting_Curves/meltCurve_Q7Z417_NUFIP2.pdf</v>
      </c>
    </row>
    <row r="4268" spans="1:28" x14ac:dyDescent="0.25">
      <c r="A4268" t="s">
        <v>4272</v>
      </c>
      <c r="B4268">
        <v>0.99472303558308395</v>
      </c>
      <c r="C4268">
        <v>1.08663408443558</v>
      </c>
      <c r="D4268">
        <v>1.0120277713627901</v>
      </c>
      <c r="E4268">
        <v>0.93838111274627101</v>
      </c>
      <c r="F4268">
        <v>0.71198341004075805</v>
      </c>
      <c r="G4268">
        <v>0.63865684636248299</v>
      </c>
      <c r="H4268">
        <v>0.56065593716747597</v>
      </c>
      <c r="I4268">
        <v>0.65351588525486204</v>
      </c>
      <c r="J4268">
        <v>0.98346631442306998</v>
      </c>
      <c r="K4268">
        <v>0.72003890960471695</v>
      </c>
      <c r="L4268">
        <v>5364.2439924996497</v>
      </c>
      <c r="M4268">
        <v>113.80830762329499</v>
      </c>
      <c r="O4268">
        <v>47.119479804909702</v>
      </c>
      <c r="P4268">
        <v>-0.17430107670534301</v>
      </c>
      <c r="Q4268">
        <v>0.71134002622425396</v>
      </c>
      <c r="R4268">
        <v>0.65480317686928202</v>
      </c>
      <c r="S4268" t="s">
        <v>10836</v>
      </c>
      <c r="T4268" t="s">
        <v>13134</v>
      </c>
      <c r="U4268" t="s">
        <v>13134</v>
      </c>
      <c r="V4268" t="s">
        <v>13134</v>
      </c>
      <c r="W4268" t="s">
        <v>17342</v>
      </c>
      <c r="X4268">
        <v>7</v>
      </c>
      <c r="Y4268" t="s">
        <v>23720</v>
      </c>
      <c r="Z4268" t="s">
        <v>30236</v>
      </c>
      <c r="AA4268">
        <v>0.80896495502347698</v>
      </c>
      <c r="AB4268" t="str">
        <f>HYPERLINK("Melting_Curves/meltCurve_Q7Z422_2_SZRD1.pdf", "Melting_Curves/meltCurve_Q7Z422_2_SZRD1.pdf")</f>
        <v>Melting_Curves/meltCurve_Q7Z422_2_SZRD1.pdf</v>
      </c>
    </row>
    <row r="4269" spans="1:28" x14ac:dyDescent="0.25">
      <c r="A4269" t="s">
        <v>4273</v>
      </c>
      <c r="B4269">
        <v>0.99472303558308395</v>
      </c>
      <c r="C4269">
        <v>0.85756564046405304</v>
      </c>
      <c r="D4269">
        <v>0.95291004230366805</v>
      </c>
      <c r="E4269">
        <v>0.78385339258396902</v>
      </c>
      <c r="F4269">
        <v>0.40367057378138499</v>
      </c>
      <c r="G4269">
        <v>0.33243114546075397</v>
      </c>
      <c r="H4269">
        <v>0.18779451978957501</v>
      </c>
      <c r="I4269">
        <v>0.12567641857999001</v>
      </c>
      <c r="J4269">
        <v>9.4586705754994796E-2</v>
      </c>
      <c r="K4269">
        <v>9.7684464826835807E-2</v>
      </c>
      <c r="L4269">
        <v>758.25524075345697</v>
      </c>
      <c r="M4269">
        <v>15.369099806503201</v>
      </c>
      <c r="N4269">
        <v>49.925927814058397</v>
      </c>
      <c r="O4269">
        <v>48.523717349389401</v>
      </c>
      <c r="P4269">
        <v>-7.2618769863775995E-2</v>
      </c>
      <c r="Q4269">
        <v>8.2988829753063903E-2</v>
      </c>
      <c r="R4269">
        <v>0.97870571284371999</v>
      </c>
      <c r="S4269" t="s">
        <v>10837</v>
      </c>
      <c r="T4269" t="s">
        <v>13134</v>
      </c>
      <c r="U4269" t="s">
        <v>13134</v>
      </c>
      <c r="V4269" t="s">
        <v>13134</v>
      </c>
      <c r="W4269" t="s">
        <v>17343</v>
      </c>
      <c r="X4269">
        <v>4</v>
      </c>
      <c r="Y4269" t="s">
        <v>23721</v>
      </c>
      <c r="Z4269" t="s">
        <v>30237</v>
      </c>
      <c r="AA4269">
        <v>0.47890712176321981</v>
      </c>
      <c r="AB4269" t="str">
        <f>HYPERLINK("Melting_Curves/meltCurve_Q7Z434_MAVS.pdf", "Melting_Curves/meltCurve_Q7Z434_MAVS.pdf")</f>
        <v>Melting_Curves/meltCurve_Q7Z434_MAVS.pdf</v>
      </c>
    </row>
    <row r="4270" spans="1:28" x14ac:dyDescent="0.25">
      <c r="A4270" t="s">
        <v>4274</v>
      </c>
      <c r="B4270">
        <v>0.99472303558308395</v>
      </c>
      <c r="C4270">
        <v>0.87402900690336105</v>
      </c>
      <c r="D4270">
        <v>0.80986726781500995</v>
      </c>
      <c r="E4270">
        <v>0.62433775989667695</v>
      </c>
      <c r="F4270">
        <v>0.41722471962382801</v>
      </c>
      <c r="G4270">
        <v>0.27417446722862798</v>
      </c>
      <c r="H4270">
        <v>0.17329285141917899</v>
      </c>
      <c r="I4270">
        <v>0.114761253591997</v>
      </c>
      <c r="J4270">
        <v>0.162022256443727</v>
      </c>
      <c r="K4270">
        <v>0.152117817065447</v>
      </c>
      <c r="L4270">
        <v>580.99410842981297</v>
      </c>
      <c r="M4270">
        <v>12.2120243635765</v>
      </c>
      <c r="N4270">
        <v>48.448840462575802</v>
      </c>
      <c r="O4270">
        <v>46.353782776722298</v>
      </c>
      <c r="P4270">
        <v>-5.9370120112885699E-2</v>
      </c>
      <c r="Q4270">
        <v>9.8786634347365607E-2</v>
      </c>
      <c r="R4270">
        <v>0.99331854642626105</v>
      </c>
      <c r="S4270" t="s">
        <v>10838</v>
      </c>
      <c r="T4270" t="s">
        <v>13134</v>
      </c>
      <c r="U4270" t="s">
        <v>13134</v>
      </c>
      <c r="V4270" t="s">
        <v>13134</v>
      </c>
      <c r="W4270" t="s">
        <v>16168</v>
      </c>
      <c r="X4270">
        <v>34</v>
      </c>
      <c r="Y4270" t="s">
        <v>22592</v>
      </c>
      <c r="Z4270" t="s">
        <v>30238</v>
      </c>
      <c r="AA4270">
        <v>0.4445275240039146</v>
      </c>
      <c r="AB4270" t="str">
        <f>HYPERLINK("Melting_Curves/meltCurve_Q7Z451_AP2B1.pdf", "Melting_Curves/meltCurve_Q7Z451_AP2B1.pdf")</f>
        <v>Melting_Curves/meltCurve_Q7Z451_AP2B1.pdf</v>
      </c>
    </row>
    <row r="4271" spans="1:28" x14ac:dyDescent="0.25">
      <c r="A4271" t="s">
        <v>4275</v>
      </c>
      <c r="B4271">
        <v>0.99472303558308395</v>
      </c>
      <c r="C4271">
        <v>0.91856390682211897</v>
      </c>
      <c r="D4271">
        <v>0.91201121260394702</v>
      </c>
      <c r="E4271">
        <v>0.53865888073860402</v>
      </c>
      <c r="F4271">
        <v>0.175113366072146</v>
      </c>
      <c r="G4271">
        <v>9.6963897847455904E-2</v>
      </c>
      <c r="H4271">
        <v>6.1505436333842901E-2</v>
      </c>
      <c r="I4271">
        <v>4.1664262116246999E-2</v>
      </c>
      <c r="J4271">
        <v>4.8245360988493802E-2</v>
      </c>
      <c r="K4271">
        <v>3.6707659226599E-2</v>
      </c>
      <c r="L4271">
        <v>1150.8339309191499</v>
      </c>
      <c r="M4271">
        <v>24.643180623830599</v>
      </c>
      <c r="N4271">
        <v>46.8786122471572</v>
      </c>
      <c r="O4271">
        <v>46.395614263264001</v>
      </c>
      <c r="P4271">
        <v>-0.12683648659167801</v>
      </c>
      <c r="Q4271">
        <v>4.4835122790692301E-2</v>
      </c>
      <c r="R4271">
        <v>0.99647697994696605</v>
      </c>
      <c r="S4271" t="s">
        <v>10839</v>
      </c>
      <c r="T4271" t="s">
        <v>13134</v>
      </c>
      <c r="U4271" t="s">
        <v>13134</v>
      </c>
      <c r="V4271" t="s">
        <v>13134</v>
      </c>
      <c r="W4271" t="s">
        <v>17344</v>
      </c>
      <c r="X4271">
        <v>34</v>
      </c>
      <c r="Y4271" t="s">
        <v>23722</v>
      </c>
      <c r="Z4271" t="s">
        <v>30239</v>
      </c>
      <c r="AA4271">
        <v>0.3618915024384356</v>
      </c>
      <c r="AB4271" t="str">
        <f>HYPERLINK("Melting_Curves/meltCurve_Q7Z460_CLASP1.pdf", "Melting_Curves/meltCurve_Q7Z460_CLASP1.pdf")</f>
        <v>Melting_Curves/meltCurve_Q7Z460_CLASP1.pdf</v>
      </c>
    </row>
    <row r="4272" spans="1:28" x14ac:dyDescent="0.25">
      <c r="A4272" t="s">
        <v>4276</v>
      </c>
      <c r="B4272">
        <v>0.99472303558308395</v>
      </c>
      <c r="C4272">
        <v>0.989185273274647</v>
      </c>
      <c r="D4272">
        <v>0.93636870386789794</v>
      </c>
      <c r="E4272">
        <v>0.80908903314396696</v>
      </c>
      <c r="F4272">
        <v>0.56150002260873599</v>
      </c>
      <c r="G4272">
        <v>0.19525086932038699</v>
      </c>
      <c r="H4272">
        <v>8.2753218324258193E-2</v>
      </c>
      <c r="I4272">
        <v>5.5489613215978298E-2</v>
      </c>
      <c r="J4272">
        <v>6.08736191275547E-2</v>
      </c>
      <c r="K4272">
        <v>5.4745158988890999E-2</v>
      </c>
      <c r="L4272">
        <v>1032.0943304090299</v>
      </c>
      <c r="M4272">
        <v>20.561765053041398</v>
      </c>
      <c r="N4272">
        <v>50.367525930844899</v>
      </c>
      <c r="O4272">
        <v>49.727287544758703</v>
      </c>
      <c r="P4272">
        <v>-9.9857153474199295E-2</v>
      </c>
      <c r="Q4272">
        <v>3.4036072223163003E-2</v>
      </c>
      <c r="R4272">
        <v>0.99636428075591899</v>
      </c>
      <c r="S4272" t="s">
        <v>10840</v>
      </c>
      <c r="T4272" t="s">
        <v>13134</v>
      </c>
      <c r="U4272" t="s">
        <v>13134</v>
      </c>
      <c r="V4272" t="s">
        <v>13134</v>
      </c>
      <c r="W4272" t="s">
        <v>17345</v>
      </c>
      <c r="X4272">
        <v>34</v>
      </c>
      <c r="Y4272" t="s">
        <v>23723</v>
      </c>
      <c r="Z4272" t="s">
        <v>30240</v>
      </c>
      <c r="AA4272">
        <v>0.4710058791761616</v>
      </c>
      <c r="AB4272" t="str">
        <f>HYPERLINK("Melting_Curves/meltCurve_Q7Z478_DHX29.pdf", "Melting_Curves/meltCurve_Q7Z478_DHX29.pdf")</f>
        <v>Melting_Curves/meltCurve_Q7Z478_DHX29.pdf</v>
      </c>
    </row>
    <row r="4273" spans="1:28" x14ac:dyDescent="0.25">
      <c r="A4273" t="s">
        <v>4277</v>
      </c>
      <c r="B4273">
        <v>0.99472303558308395</v>
      </c>
      <c r="C4273">
        <v>1.0346934632406899</v>
      </c>
      <c r="D4273">
        <v>0.76397017061896599</v>
      </c>
      <c r="E4273">
        <v>0.68344652920385995</v>
      </c>
      <c r="F4273">
        <v>0.48716552006764702</v>
      </c>
      <c r="G4273">
        <v>0.33202117466367997</v>
      </c>
      <c r="H4273">
        <v>0.22640331232195701</v>
      </c>
      <c r="I4273">
        <v>0.22939317778773799</v>
      </c>
      <c r="J4273">
        <v>0.26993958327688999</v>
      </c>
      <c r="K4273">
        <v>0.23675145281986701</v>
      </c>
      <c r="L4273">
        <v>671.89556957597495</v>
      </c>
      <c r="M4273">
        <v>14.1606030784276</v>
      </c>
      <c r="N4273">
        <v>49.387498446292199</v>
      </c>
      <c r="O4273">
        <v>46.532049830774803</v>
      </c>
      <c r="P4273">
        <v>-5.9862559167087603E-2</v>
      </c>
      <c r="Q4273">
        <v>0.213260885210247</v>
      </c>
      <c r="R4273">
        <v>0.97760483804153298</v>
      </c>
      <c r="S4273" t="s">
        <v>10841</v>
      </c>
      <c r="T4273" t="s">
        <v>13134</v>
      </c>
      <c r="U4273" t="s">
        <v>13134</v>
      </c>
      <c r="V4273" t="s">
        <v>13134</v>
      </c>
      <c r="W4273" t="s">
        <v>17346</v>
      </c>
      <c r="X4273">
        <v>3</v>
      </c>
      <c r="Y4273" t="s">
        <v>23724</v>
      </c>
      <c r="Z4273" t="s">
        <v>30241</v>
      </c>
      <c r="AA4273">
        <v>0.50662437343235156</v>
      </c>
      <c r="AB4273" t="str">
        <f>HYPERLINK("Melting_Curves/meltCurve_Q7Z4F1_LRP10.pdf", "Melting_Curves/meltCurve_Q7Z4F1_LRP10.pdf")</f>
        <v>Melting_Curves/meltCurve_Q7Z4F1_LRP10.pdf</v>
      </c>
    </row>
    <row r="4274" spans="1:28" x14ac:dyDescent="0.25">
      <c r="A4274" t="s">
        <v>4278</v>
      </c>
      <c r="B4274">
        <v>0.99472303558308395</v>
      </c>
      <c r="C4274">
        <v>0.88398277264335301</v>
      </c>
      <c r="D4274">
        <v>0.67953477827343101</v>
      </c>
      <c r="E4274">
        <v>0.47232823830470699</v>
      </c>
      <c r="F4274">
        <v>0.32807732748990998</v>
      </c>
      <c r="G4274">
        <v>0.198962986361545</v>
      </c>
      <c r="H4274">
        <v>0.12563121474653299</v>
      </c>
      <c r="I4274">
        <v>0.100003805623779</v>
      </c>
      <c r="J4274">
        <v>8.4486242489744706E-2</v>
      </c>
      <c r="K4274">
        <v>8.2433145548006001E-2</v>
      </c>
      <c r="L4274">
        <v>563.09909512464901</v>
      </c>
      <c r="M4274">
        <v>12.293004211752899</v>
      </c>
      <c r="N4274">
        <v>46.307073159684599</v>
      </c>
      <c r="O4274">
        <v>44.644908117706798</v>
      </c>
      <c r="P4274">
        <v>-6.4568670259791697E-2</v>
      </c>
      <c r="Q4274">
        <v>6.2221217595132702E-2</v>
      </c>
      <c r="R4274">
        <v>0.99635297231223097</v>
      </c>
      <c r="S4274" t="s">
        <v>10842</v>
      </c>
      <c r="T4274" t="s">
        <v>13134</v>
      </c>
      <c r="U4274" t="s">
        <v>13134</v>
      </c>
      <c r="V4274" t="s">
        <v>13134</v>
      </c>
      <c r="W4274" t="s">
        <v>17347</v>
      </c>
      <c r="X4274">
        <v>2</v>
      </c>
      <c r="Y4274" t="s">
        <v>23725</v>
      </c>
      <c r="Z4274" t="s">
        <v>30242</v>
      </c>
      <c r="AA4274">
        <v>0.36883432477508099</v>
      </c>
      <c r="AB4274" t="str">
        <f>HYPERLINK("Melting_Curves/meltCurve_Q7Z4G1_COMMD6.pdf", "Melting_Curves/meltCurve_Q7Z4G1_COMMD6.pdf")</f>
        <v>Melting_Curves/meltCurve_Q7Z4G1_COMMD6.pdf</v>
      </c>
    </row>
    <row r="4275" spans="1:28" x14ac:dyDescent="0.25">
      <c r="A4275" t="s">
        <v>4279</v>
      </c>
      <c r="B4275">
        <v>0.99472303558308395</v>
      </c>
      <c r="C4275">
        <v>1.13630306885831</v>
      </c>
      <c r="D4275">
        <v>0.97064674157276598</v>
      </c>
      <c r="E4275">
        <v>0.99891522907455899</v>
      </c>
      <c r="F4275">
        <v>0.88775040134389804</v>
      </c>
      <c r="G4275">
        <v>0.670869158586194</v>
      </c>
      <c r="H4275">
        <v>0.54798676391376999</v>
      </c>
      <c r="I4275">
        <v>0.48265007540787702</v>
      </c>
      <c r="J4275">
        <v>0.37661861390735502</v>
      </c>
      <c r="K4275">
        <v>0.191457875877387</v>
      </c>
      <c r="L4275">
        <v>632.67389156096897</v>
      </c>
      <c r="M4275">
        <v>10.814859240174499</v>
      </c>
      <c r="N4275">
        <v>59.201759997485198</v>
      </c>
      <c r="O4275">
        <v>56.606787924384498</v>
      </c>
      <c r="P4275">
        <v>-4.4907487841899602E-2</v>
      </c>
      <c r="Q4275">
        <v>6.0125203473459503E-2</v>
      </c>
      <c r="R4275">
        <v>0.95732630343955405</v>
      </c>
      <c r="S4275" t="s">
        <v>10843</v>
      </c>
      <c r="T4275" t="s">
        <v>13134</v>
      </c>
      <c r="U4275" t="s">
        <v>13134</v>
      </c>
      <c r="V4275" t="s">
        <v>13134</v>
      </c>
      <c r="W4275" t="s">
        <v>17348</v>
      </c>
      <c r="X4275">
        <v>11</v>
      </c>
      <c r="Y4275" t="s">
        <v>23726</v>
      </c>
      <c r="Z4275" t="s">
        <v>30243</v>
      </c>
      <c r="AA4275">
        <v>0.72526242553357512</v>
      </c>
      <c r="AB4275" t="str">
        <f>HYPERLINK("Melting_Curves/meltCurve_Q7Z4H3_HDDC2.pdf", "Melting_Curves/meltCurve_Q7Z4H3_HDDC2.pdf")</f>
        <v>Melting_Curves/meltCurve_Q7Z4H3_HDDC2.pdf</v>
      </c>
    </row>
    <row r="4276" spans="1:28" x14ac:dyDescent="0.25">
      <c r="A4276" t="s">
        <v>4280</v>
      </c>
      <c r="B4276">
        <v>0.99472303558308395</v>
      </c>
      <c r="C4276">
        <v>0.87946612224846799</v>
      </c>
      <c r="D4276">
        <v>0.75477743622910298</v>
      </c>
      <c r="E4276">
        <v>0.36859822570670597</v>
      </c>
      <c r="F4276">
        <v>0.20638231013139799</v>
      </c>
      <c r="G4276">
        <v>0.12171728012003</v>
      </c>
      <c r="H4276">
        <v>0.100470339483548</v>
      </c>
      <c r="I4276">
        <v>7.4914700280670599E-2</v>
      </c>
      <c r="J4276">
        <v>6.8083020608527403E-2</v>
      </c>
      <c r="K4276">
        <v>5.5387243817824401E-2</v>
      </c>
      <c r="L4276">
        <v>807.652005926426</v>
      </c>
      <c r="M4276">
        <v>17.9355204923292</v>
      </c>
      <c r="N4276">
        <v>45.397422488357797</v>
      </c>
      <c r="O4276">
        <v>44.482258503669399</v>
      </c>
      <c r="P4276">
        <v>-9.4010925210005494E-2</v>
      </c>
      <c r="Q4276">
        <v>6.7412845495063295E-2</v>
      </c>
      <c r="R4276">
        <v>0.99668771942838397</v>
      </c>
      <c r="S4276" t="s">
        <v>10844</v>
      </c>
      <c r="T4276" t="s">
        <v>13134</v>
      </c>
      <c r="U4276" t="s">
        <v>13134</v>
      </c>
      <c r="V4276" t="s">
        <v>13134</v>
      </c>
      <c r="W4276" t="s">
        <v>17349</v>
      </c>
      <c r="X4276">
        <v>12</v>
      </c>
      <c r="Y4276" t="s">
        <v>23727</v>
      </c>
      <c r="Z4276" t="s">
        <v>30244</v>
      </c>
      <c r="AA4276">
        <v>0.332451311471883</v>
      </c>
      <c r="AB4276" t="str">
        <f>HYPERLINK("Melting_Curves/meltCurve_Q7Z4H7_3_HAUS6.pdf", "Melting_Curves/meltCurve_Q7Z4H7_3_HAUS6.pdf")</f>
        <v>Melting_Curves/meltCurve_Q7Z4H7_3_HAUS6.pdf</v>
      </c>
    </row>
    <row r="4277" spans="1:28" x14ac:dyDescent="0.25">
      <c r="A4277" t="s">
        <v>4281</v>
      </c>
      <c r="B4277">
        <v>0.99472303558308395</v>
      </c>
      <c r="C4277">
        <v>1.11384881478791</v>
      </c>
      <c r="D4277">
        <v>1.02726863008807</v>
      </c>
      <c r="E4277">
        <v>0.94213169227897897</v>
      </c>
      <c r="F4277">
        <v>0.62334999855838102</v>
      </c>
      <c r="G4277">
        <v>0.21185787933669201</v>
      </c>
      <c r="H4277">
        <v>7.2930308087688106E-2</v>
      </c>
      <c r="I4277">
        <v>4.4646336917945999E-2</v>
      </c>
      <c r="J4277">
        <v>3.6948331553963903E-2</v>
      </c>
      <c r="K4277">
        <v>3.6592899393611301E-2</v>
      </c>
      <c r="L4277">
        <v>1486.2202877442501</v>
      </c>
      <c r="M4277">
        <v>29.149746806397701</v>
      </c>
      <c r="N4277">
        <v>51.118362927026197</v>
      </c>
      <c r="O4277">
        <v>50.747553266831702</v>
      </c>
      <c r="P4277">
        <v>-0.13837144989749101</v>
      </c>
      <c r="Q4277">
        <v>3.64292122966451E-2</v>
      </c>
      <c r="R4277">
        <v>0.99300149981503405</v>
      </c>
      <c r="S4277" t="s">
        <v>10845</v>
      </c>
      <c r="T4277" t="s">
        <v>13134</v>
      </c>
      <c r="U4277" t="s">
        <v>13134</v>
      </c>
      <c r="V4277" t="s">
        <v>13134</v>
      </c>
      <c r="W4277" t="s">
        <v>17350</v>
      </c>
      <c r="X4277">
        <v>10</v>
      </c>
      <c r="Y4277" t="s">
        <v>23728</v>
      </c>
      <c r="Z4277" t="s">
        <v>30245</v>
      </c>
      <c r="AA4277">
        <v>0.49198343361165581</v>
      </c>
      <c r="AB4277" t="str">
        <f>HYPERLINK("Melting_Curves/meltCurve_Q7Z4H8_KDELC2.pdf", "Melting_Curves/meltCurve_Q7Z4H8_KDELC2.pdf")</f>
        <v>Melting_Curves/meltCurve_Q7Z4H8_KDELC2.pdf</v>
      </c>
    </row>
    <row r="4278" spans="1:28" x14ac:dyDescent="0.25">
      <c r="A4278" t="s">
        <v>4282</v>
      </c>
      <c r="B4278">
        <v>0.99472303558308395</v>
      </c>
      <c r="C4278">
        <v>0.83874273960868395</v>
      </c>
      <c r="D4278">
        <v>0.45000302879771698</v>
      </c>
      <c r="E4278">
        <v>0.372595129006415</v>
      </c>
      <c r="F4278">
        <v>0.34844872409965399</v>
      </c>
      <c r="G4278">
        <v>0.14668681353719201</v>
      </c>
      <c r="H4278">
        <v>8.6463897086417302E-2</v>
      </c>
      <c r="I4278">
        <v>5.32159184682129E-2</v>
      </c>
      <c r="J4278">
        <v>2.9747268927728499E-2</v>
      </c>
      <c r="K4278">
        <v>1.7856245689655301E-2</v>
      </c>
      <c r="L4278">
        <v>485.94332867062701</v>
      </c>
      <c r="M4278">
        <v>10.941791243621299</v>
      </c>
      <c r="N4278">
        <v>44.533911507434297</v>
      </c>
      <c r="O4278">
        <v>43.005533424308403</v>
      </c>
      <c r="P4278">
        <v>-6.2687601401071505E-2</v>
      </c>
      <c r="Q4278">
        <v>1.4791907328730701E-2</v>
      </c>
      <c r="R4278">
        <v>0.95535350849063905</v>
      </c>
      <c r="S4278" t="s">
        <v>10846</v>
      </c>
      <c r="T4278" t="s">
        <v>13134</v>
      </c>
      <c r="U4278" t="s">
        <v>13134</v>
      </c>
      <c r="V4278" t="s">
        <v>13134</v>
      </c>
      <c r="W4278" t="s">
        <v>17351</v>
      </c>
      <c r="X4278">
        <v>2</v>
      </c>
      <c r="Y4278" t="s">
        <v>23729</v>
      </c>
      <c r="Z4278" t="s">
        <v>30246</v>
      </c>
      <c r="AA4278">
        <v>0.30196816860972298</v>
      </c>
      <c r="AB4278" t="str">
        <f>HYPERLINK("Melting_Curves/meltCurve_Q7Z4L5_TTC21B.pdf", "Melting_Curves/meltCurve_Q7Z4L5_TTC21B.pdf")</f>
        <v>Melting_Curves/meltCurve_Q7Z4L5_TTC21B.pdf</v>
      </c>
    </row>
    <row r="4279" spans="1:28" x14ac:dyDescent="0.25">
      <c r="A4279" t="s">
        <v>4283</v>
      </c>
      <c r="B4279">
        <v>0.99472303558308395</v>
      </c>
      <c r="C4279">
        <v>0.90770416172881796</v>
      </c>
      <c r="D4279">
        <v>0.81586885454077696</v>
      </c>
      <c r="E4279">
        <v>0.43909613144133602</v>
      </c>
      <c r="F4279">
        <v>0.121315001058065</v>
      </c>
      <c r="G4279">
        <v>6.8884795964310505E-2</v>
      </c>
      <c r="H4279">
        <v>4.4024613601171297E-2</v>
      </c>
      <c r="I4279">
        <v>2.4514895409106899E-2</v>
      </c>
      <c r="J4279">
        <v>3.39363146659327E-2</v>
      </c>
      <c r="K4279">
        <v>2.5701721838673901E-2</v>
      </c>
      <c r="L4279">
        <v>980.90673040177001</v>
      </c>
      <c r="M4279">
        <v>21.416774392806602</v>
      </c>
      <c r="N4279">
        <v>45.905084297165402</v>
      </c>
      <c r="O4279">
        <v>45.407178538463903</v>
      </c>
      <c r="P4279">
        <v>-0.115119863681322</v>
      </c>
      <c r="Q4279">
        <v>2.3730519385848099E-2</v>
      </c>
      <c r="R4279">
        <v>0.99707988977464301</v>
      </c>
      <c r="S4279" t="s">
        <v>10847</v>
      </c>
      <c r="T4279" t="s">
        <v>13134</v>
      </c>
      <c r="U4279" t="s">
        <v>13134</v>
      </c>
      <c r="V4279" t="s">
        <v>13134</v>
      </c>
      <c r="W4279" t="s">
        <v>17352</v>
      </c>
      <c r="X4279">
        <v>11</v>
      </c>
      <c r="Y4279" t="s">
        <v>23730</v>
      </c>
      <c r="Z4279" t="s">
        <v>30247</v>
      </c>
      <c r="AA4279">
        <v>0.32122771233410469</v>
      </c>
      <c r="AB4279" t="str">
        <f>HYPERLINK("Melting_Curves/meltCurve_Q7Z4Q2_HEATR3.pdf", "Melting_Curves/meltCurve_Q7Z4Q2_HEATR3.pdf")</f>
        <v>Melting_Curves/meltCurve_Q7Z4Q2_HEATR3.pdf</v>
      </c>
    </row>
    <row r="4280" spans="1:28" x14ac:dyDescent="0.25">
      <c r="A4280" t="s">
        <v>4284</v>
      </c>
      <c r="B4280">
        <v>0.99472303558308395</v>
      </c>
      <c r="C4280">
        <v>0.78461202420428999</v>
      </c>
      <c r="D4280">
        <v>0.98280873348695896</v>
      </c>
      <c r="E4280">
        <v>0.85233209479368299</v>
      </c>
      <c r="F4280">
        <v>0.59902265885259098</v>
      </c>
      <c r="G4280">
        <v>0.48127123235872699</v>
      </c>
      <c r="H4280">
        <v>0.31167554889940102</v>
      </c>
      <c r="I4280">
        <v>0.34752060902239301</v>
      </c>
      <c r="J4280">
        <v>0.418066301604267</v>
      </c>
      <c r="K4280">
        <v>0.35943100153972801</v>
      </c>
      <c r="L4280">
        <v>981.03171745095403</v>
      </c>
      <c r="M4280">
        <v>19.9627021659627</v>
      </c>
      <c r="N4280">
        <v>52.3312205393852</v>
      </c>
      <c r="O4280">
        <v>48.658058677611599</v>
      </c>
      <c r="P4280">
        <v>-6.6484556232595193E-2</v>
      </c>
      <c r="Q4280">
        <v>0.351810529019846</v>
      </c>
      <c r="R4280">
        <v>0.91549506366486999</v>
      </c>
      <c r="S4280" t="s">
        <v>10848</v>
      </c>
      <c r="T4280" t="s">
        <v>13134</v>
      </c>
      <c r="U4280" t="s">
        <v>13134</v>
      </c>
      <c r="V4280" t="s">
        <v>13134</v>
      </c>
      <c r="W4280" t="s">
        <v>17353</v>
      </c>
      <c r="X4280">
        <v>18</v>
      </c>
      <c r="Y4280" t="s">
        <v>23731</v>
      </c>
      <c r="Z4280" t="s">
        <v>30248</v>
      </c>
      <c r="AA4280">
        <v>0.62275123928272813</v>
      </c>
      <c r="AB4280" t="str">
        <f>HYPERLINK("Melting_Curves/meltCurve_Q7Z4V5_HDGFRP2.pdf", "Melting_Curves/meltCurve_Q7Z4V5_HDGFRP2.pdf")</f>
        <v>Melting_Curves/meltCurve_Q7Z4V5_HDGFRP2.pdf</v>
      </c>
    </row>
    <row r="4281" spans="1:28" x14ac:dyDescent="0.25">
      <c r="A4281" t="s">
        <v>4285</v>
      </c>
      <c r="B4281">
        <v>0.99472303558308395</v>
      </c>
      <c r="C4281">
        <v>0.96427843574398497</v>
      </c>
      <c r="D4281">
        <v>0.97484782377491297</v>
      </c>
      <c r="E4281">
        <v>0.89899525699095895</v>
      </c>
      <c r="F4281">
        <v>0.791633194438356</v>
      </c>
      <c r="G4281">
        <v>0.66195799454333704</v>
      </c>
      <c r="H4281">
        <v>0.43177612759907003</v>
      </c>
      <c r="I4281">
        <v>0.26154453197120198</v>
      </c>
      <c r="J4281">
        <v>7.8872131657316796E-2</v>
      </c>
      <c r="K4281">
        <v>0.10619545921328399</v>
      </c>
      <c r="L4281">
        <v>750.14058241286398</v>
      </c>
      <c r="M4281">
        <v>13.4202065501148</v>
      </c>
      <c r="N4281">
        <v>55.896351734846</v>
      </c>
      <c r="O4281">
        <v>54.698993072410097</v>
      </c>
      <c r="P4281">
        <v>-6.1346199318760702E-2</v>
      </c>
      <c r="Q4281">
        <v>0</v>
      </c>
      <c r="R4281">
        <v>0.99137650213774797</v>
      </c>
      <c r="S4281" t="s">
        <v>10849</v>
      </c>
      <c r="T4281" t="s">
        <v>13134</v>
      </c>
      <c r="U4281" t="s">
        <v>13134</v>
      </c>
      <c r="V4281" t="s">
        <v>13134</v>
      </c>
      <c r="W4281" t="s">
        <v>17354</v>
      </c>
      <c r="X4281">
        <v>9</v>
      </c>
      <c r="Y4281" t="s">
        <v>23732</v>
      </c>
      <c r="Z4281" t="s">
        <v>30249</v>
      </c>
      <c r="AA4281">
        <v>0.64125982650289637</v>
      </c>
      <c r="AB4281" t="str">
        <f>HYPERLINK("Melting_Curves/meltCurve_Q7Z4W1_DCXR.pdf", "Melting_Curves/meltCurve_Q7Z4W1_DCXR.pdf")</f>
        <v>Melting_Curves/meltCurve_Q7Z4W1_DCXR.pdf</v>
      </c>
    </row>
    <row r="4282" spans="1:28" x14ac:dyDescent="0.25">
      <c r="A4282" t="s">
        <v>4286</v>
      </c>
      <c r="B4282">
        <v>0.99472303558308395</v>
      </c>
      <c r="C4282">
        <v>0.90674635247173696</v>
      </c>
      <c r="D4282">
        <v>0.90206928657934204</v>
      </c>
      <c r="E4282">
        <v>0.76138780752083401</v>
      </c>
      <c r="F4282">
        <v>0.62234418718984896</v>
      </c>
      <c r="G4282">
        <v>0.46309397631343602</v>
      </c>
      <c r="H4282">
        <v>0.34769051284279401</v>
      </c>
      <c r="I4282">
        <v>0.26214424866735198</v>
      </c>
      <c r="J4282">
        <v>0.27274342590287798</v>
      </c>
      <c r="K4282">
        <v>0.17156078533027699</v>
      </c>
      <c r="L4282">
        <v>483.64236005266099</v>
      </c>
      <c r="M4282">
        <v>9.3527447696981696</v>
      </c>
      <c r="N4282">
        <v>52.990909698511402</v>
      </c>
      <c r="O4282">
        <v>49.512372861392599</v>
      </c>
      <c r="P4282">
        <v>-4.2477404348574201E-2</v>
      </c>
      <c r="Q4282">
        <v>0.101081951628659</v>
      </c>
      <c r="R4282">
        <v>0.99378657381785895</v>
      </c>
      <c r="S4282" t="s">
        <v>10850</v>
      </c>
      <c r="T4282" t="s">
        <v>13134</v>
      </c>
      <c r="U4282" t="s">
        <v>13134</v>
      </c>
      <c r="V4282" t="s">
        <v>13134</v>
      </c>
      <c r="W4282" t="s">
        <v>17355</v>
      </c>
      <c r="X4282">
        <v>6</v>
      </c>
      <c r="Y4282" t="s">
        <v>23733</v>
      </c>
      <c r="Z4282" t="s">
        <v>30250</v>
      </c>
      <c r="AA4282">
        <v>0.56775846303592714</v>
      </c>
      <c r="AB4282" t="str">
        <f>HYPERLINK("Melting_Curves/meltCurve_Q7Z5G4_GOLGA7.pdf", "Melting_Curves/meltCurve_Q7Z5G4_GOLGA7.pdf")</f>
        <v>Melting_Curves/meltCurve_Q7Z5G4_GOLGA7.pdf</v>
      </c>
    </row>
    <row r="4283" spans="1:28" x14ac:dyDescent="0.25">
      <c r="A4283" t="s">
        <v>4287</v>
      </c>
      <c r="B4283">
        <v>0.99472303558308395</v>
      </c>
      <c r="C4283">
        <v>0.94047926831727502</v>
      </c>
      <c r="D4283">
        <v>0.78694020596884795</v>
      </c>
      <c r="E4283">
        <v>0.48184754309447902</v>
      </c>
      <c r="F4283">
        <v>0.34615053052143002</v>
      </c>
      <c r="G4283">
        <v>0.193634960964672</v>
      </c>
      <c r="H4283">
        <v>0.12942292476957401</v>
      </c>
      <c r="I4283">
        <v>0.110960149285944</v>
      </c>
      <c r="J4283">
        <v>0.15656955328026501</v>
      </c>
      <c r="K4283">
        <v>0.19005098641110199</v>
      </c>
      <c r="L4283">
        <v>771.13397893489696</v>
      </c>
      <c r="M4283">
        <v>16.836777551257999</v>
      </c>
      <c r="N4283">
        <v>46.6984892165883</v>
      </c>
      <c r="O4283">
        <v>45.169094789671703</v>
      </c>
      <c r="P4283">
        <v>-8.0306652099995393E-2</v>
      </c>
      <c r="Q4283">
        <v>0.13828017975624901</v>
      </c>
      <c r="R4283">
        <v>0.99225159640102401</v>
      </c>
      <c r="S4283" t="s">
        <v>10851</v>
      </c>
      <c r="T4283" t="s">
        <v>13134</v>
      </c>
      <c r="U4283" t="s">
        <v>13134</v>
      </c>
      <c r="V4283" t="s">
        <v>13134</v>
      </c>
      <c r="W4283" t="s">
        <v>17356</v>
      </c>
      <c r="X4283">
        <v>5</v>
      </c>
      <c r="Y4283" t="s">
        <v>23734</v>
      </c>
      <c r="Z4283" t="s">
        <v>30251</v>
      </c>
      <c r="AA4283">
        <v>0.4070170289091008</v>
      </c>
      <c r="AB4283" t="str">
        <f>HYPERLINK("Melting_Curves/meltCurve_Q7Z5H3_3_ARHGAP22.pdf", "Melting_Curves/meltCurve_Q7Z5H3_3_ARHGAP22.pdf")</f>
        <v>Melting_Curves/meltCurve_Q7Z5H3_3_ARHGAP22.pdf</v>
      </c>
    </row>
    <row r="4284" spans="1:28" x14ac:dyDescent="0.25">
      <c r="A4284" t="s">
        <v>4288</v>
      </c>
      <c r="B4284">
        <v>0.99472303558308395</v>
      </c>
      <c r="C4284">
        <v>0.83759862336177504</v>
      </c>
      <c r="D4284">
        <v>0.74583315755250001</v>
      </c>
      <c r="E4284">
        <v>0.329605492718542</v>
      </c>
      <c r="F4284">
        <v>0.179682915115601</v>
      </c>
      <c r="G4284">
        <v>0.13350372225579499</v>
      </c>
      <c r="H4284">
        <v>0.176364513862179</v>
      </c>
      <c r="I4284">
        <v>6.1483767937314797E-2</v>
      </c>
      <c r="J4284">
        <v>0.11010117940521</v>
      </c>
      <c r="K4284">
        <v>8.5372655996272098E-2</v>
      </c>
      <c r="L4284">
        <v>852.73752649649202</v>
      </c>
      <c r="M4284">
        <v>19.190989738192901</v>
      </c>
      <c r="N4284">
        <v>44.953303300474197</v>
      </c>
      <c r="O4284">
        <v>43.960227161614696</v>
      </c>
      <c r="P4284">
        <v>-9.8296948327194503E-2</v>
      </c>
      <c r="Q4284">
        <v>9.9370973564615606E-2</v>
      </c>
      <c r="R4284">
        <v>0.98583157736219296</v>
      </c>
      <c r="S4284" t="s">
        <v>10852</v>
      </c>
      <c r="T4284" t="s">
        <v>13134</v>
      </c>
      <c r="U4284" t="s">
        <v>13134</v>
      </c>
      <c r="V4284" t="s">
        <v>13134</v>
      </c>
      <c r="W4284" t="s">
        <v>17357</v>
      </c>
      <c r="X4284">
        <v>17</v>
      </c>
      <c r="Y4284" t="s">
        <v>23735</v>
      </c>
      <c r="Z4284" t="s">
        <v>30252</v>
      </c>
      <c r="AA4284">
        <v>0.33559520153000838</v>
      </c>
      <c r="AB4284" t="str">
        <f>HYPERLINK("Melting_Curves/meltCurve_Q7Z5K2_WAPAL.pdf", "Melting_Curves/meltCurve_Q7Z5K2_WAPAL.pdf")</f>
        <v>Melting_Curves/meltCurve_Q7Z5K2_WAPAL.pdf</v>
      </c>
    </row>
    <row r="4285" spans="1:28" x14ac:dyDescent="0.25">
      <c r="A4285" t="s">
        <v>4289</v>
      </c>
      <c r="B4285">
        <v>0.99472303558308395</v>
      </c>
      <c r="C4285">
        <v>0.99671566384559795</v>
      </c>
      <c r="D4285">
        <v>0.85620971989952299</v>
      </c>
      <c r="E4285">
        <v>0.66604969085037402</v>
      </c>
      <c r="F4285">
        <v>0.44188322006320102</v>
      </c>
      <c r="G4285">
        <v>0.29581042160644</v>
      </c>
      <c r="H4285">
        <v>0.22787907388412601</v>
      </c>
      <c r="I4285">
        <v>0.17289715033735201</v>
      </c>
      <c r="J4285">
        <v>0.21103781657543</v>
      </c>
      <c r="K4285">
        <v>0.14915176391410601</v>
      </c>
      <c r="L4285">
        <v>726.20238835669204</v>
      </c>
      <c r="M4285">
        <v>15.161592204812401</v>
      </c>
      <c r="N4285">
        <v>49.146831469353401</v>
      </c>
      <c r="O4285">
        <v>47.0874364133265</v>
      </c>
      <c r="P4285">
        <v>-6.7631001954841397E-2</v>
      </c>
      <c r="Q4285">
        <v>0.15991355491530199</v>
      </c>
      <c r="R4285">
        <v>0.99676807904588705</v>
      </c>
      <c r="S4285" t="s">
        <v>10853</v>
      </c>
      <c r="T4285" t="s">
        <v>13134</v>
      </c>
      <c r="U4285" t="s">
        <v>13134</v>
      </c>
      <c r="V4285" t="s">
        <v>13134</v>
      </c>
      <c r="W4285" t="s">
        <v>17358</v>
      </c>
      <c r="X4285">
        <v>13</v>
      </c>
      <c r="Y4285" t="s">
        <v>23736</v>
      </c>
      <c r="Z4285" t="s">
        <v>30253</v>
      </c>
      <c r="AA4285">
        <v>0.4832849626017246</v>
      </c>
      <c r="AB4285" t="str">
        <f>HYPERLINK("Melting_Curves/meltCurve_Q7Z5L9_2_IRF2BP2.pdf", "Melting_Curves/meltCurve_Q7Z5L9_2_IRF2BP2.pdf")</f>
        <v>Melting_Curves/meltCurve_Q7Z5L9_2_IRF2BP2.pdf</v>
      </c>
    </row>
    <row r="4286" spans="1:28" x14ac:dyDescent="0.25">
      <c r="A4286" t="s">
        <v>4290</v>
      </c>
      <c r="B4286">
        <v>0.99472303558308395</v>
      </c>
      <c r="C4286">
        <v>1.06889098104809</v>
      </c>
      <c r="D4286">
        <v>0.92993184178963695</v>
      </c>
      <c r="E4286">
        <v>1.0888302164652699</v>
      </c>
      <c r="F4286">
        <v>0.86401160964569401</v>
      </c>
      <c r="G4286">
        <v>0.75228368356623698</v>
      </c>
      <c r="H4286">
        <v>0.50576072428459995</v>
      </c>
      <c r="I4286">
        <v>0.34251149945836101</v>
      </c>
      <c r="J4286">
        <v>0.185950361636814</v>
      </c>
      <c r="K4286">
        <v>6.2274282164405302E-2</v>
      </c>
      <c r="L4286">
        <v>887.17994054952601</v>
      </c>
      <c r="M4286">
        <v>15.3726381090466</v>
      </c>
      <c r="N4286">
        <v>57.711625962823597</v>
      </c>
      <c r="O4286">
        <v>56.761471078627302</v>
      </c>
      <c r="P4286">
        <v>-6.7713400071455099E-2</v>
      </c>
      <c r="Q4286">
        <v>0</v>
      </c>
      <c r="R4286">
        <v>0.978432840029687</v>
      </c>
      <c r="S4286" t="s">
        <v>10854</v>
      </c>
      <c r="T4286" t="s">
        <v>13134</v>
      </c>
      <c r="U4286" t="s">
        <v>13134</v>
      </c>
      <c r="V4286" t="s">
        <v>13134</v>
      </c>
      <c r="W4286" t="s">
        <v>17359</v>
      </c>
      <c r="X4286">
        <v>4</v>
      </c>
      <c r="Y4286" t="s">
        <v>23737</v>
      </c>
      <c r="Z4286" t="s">
        <v>30254</v>
      </c>
      <c r="AA4286">
        <v>0.69613187066816995</v>
      </c>
      <c r="AB4286" t="str">
        <f>HYPERLINK("Melting_Curves/meltCurve_Q7Z5U6_WDR53.pdf", "Melting_Curves/meltCurve_Q7Z5U6_WDR53.pdf")</f>
        <v>Melting_Curves/meltCurve_Q7Z5U6_WDR53.pdf</v>
      </c>
    </row>
    <row r="4287" spans="1:28" x14ac:dyDescent="0.25">
      <c r="A4287" t="s">
        <v>4291</v>
      </c>
      <c r="B4287">
        <v>0.99472303558308395</v>
      </c>
      <c r="C4287">
        <v>0.98321793762828202</v>
      </c>
      <c r="D4287">
        <v>1.0405703701322799</v>
      </c>
      <c r="E4287">
        <v>0.88242587447751297</v>
      </c>
      <c r="F4287">
        <v>0.59413187863059602</v>
      </c>
      <c r="G4287">
        <v>0.34267559171775502</v>
      </c>
      <c r="H4287">
        <v>8.3115684984728502E-2</v>
      </c>
      <c r="I4287">
        <v>4.7176273799390399E-2</v>
      </c>
      <c r="J4287">
        <v>5.12003364664151E-2</v>
      </c>
      <c r="K4287">
        <v>3.86724947102806E-2</v>
      </c>
      <c r="L4287">
        <v>1036.7524237064499</v>
      </c>
      <c r="M4287">
        <v>20.201170280030698</v>
      </c>
      <c r="N4287">
        <v>51.426433359970801</v>
      </c>
      <c r="O4287">
        <v>50.826426734444198</v>
      </c>
      <c r="P4287">
        <v>-9.7358542827155697E-2</v>
      </c>
      <c r="Q4287">
        <v>2.02088332528771E-2</v>
      </c>
      <c r="R4287">
        <v>0.99510533785115696</v>
      </c>
      <c r="S4287" t="s">
        <v>10855</v>
      </c>
      <c r="T4287" t="s">
        <v>13134</v>
      </c>
      <c r="U4287" t="s">
        <v>13134</v>
      </c>
      <c r="V4287" t="s">
        <v>13134</v>
      </c>
      <c r="W4287" t="s">
        <v>17360</v>
      </c>
      <c r="X4287">
        <v>12</v>
      </c>
      <c r="Y4287" t="s">
        <v>23738</v>
      </c>
      <c r="Z4287" t="s">
        <v>30255</v>
      </c>
      <c r="AA4287">
        <v>0.50051783086172963</v>
      </c>
      <c r="AB4287" t="str">
        <f>HYPERLINK("Melting_Curves/meltCurve_Q7Z650_MTHFD2.pdf", "Melting_Curves/meltCurve_Q7Z650_MTHFD2.pdf")</f>
        <v>Melting_Curves/meltCurve_Q7Z650_MTHFD2.pdf</v>
      </c>
    </row>
    <row r="4288" spans="1:28" x14ac:dyDescent="0.25">
      <c r="A4288" t="s">
        <v>4292</v>
      </c>
      <c r="B4288">
        <v>0.99472303558308395</v>
      </c>
      <c r="C4288">
        <v>0.94126711864227897</v>
      </c>
      <c r="D4288">
        <v>0.93173960391004396</v>
      </c>
      <c r="E4288">
        <v>0.71176479204222598</v>
      </c>
      <c r="F4288">
        <v>0.42283846493220001</v>
      </c>
      <c r="G4288">
        <v>0.13412323126937101</v>
      </c>
      <c r="H4288">
        <v>9.8191785992965394E-2</v>
      </c>
      <c r="I4288">
        <v>6.9295911851497902E-2</v>
      </c>
      <c r="J4288">
        <v>8.9408475785162603E-2</v>
      </c>
      <c r="K4288">
        <v>8.1923682528601799E-2</v>
      </c>
      <c r="L4288">
        <v>973.73924379297898</v>
      </c>
      <c r="M4288">
        <v>20.034614484462001</v>
      </c>
      <c r="N4288">
        <v>48.928639485590701</v>
      </c>
      <c r="O4288">
        <v>48.1263895595565</v>
      </c>
      <c r="P4288">
        <v>-9.7577500613898902E-2</v>
      </c>
      <c r="Q4288">
        <v>6.2442496685824599E-2</v>
      </c>
      <c r="R4288">
        <v>0.99555024461041897</v>
      </c>
      <c r="S4288" t="s">
        <v>10856</v>
      </c>
      <c r="T4288" t="s">
        <v>13134</v>
      </c>
      <c r="U4288" t="s">
        <v>13134</v>
      </c>
      <c r="V4288" t="s">
        <v>13134</v>
      </c>
      <c r="W4288" t="s">
        <v>17361</v>
      </c>
      <c r="X4288">
        <v>13</v>
      </c>
      <c r="Y4288" t="s">
        <v>23739</v>
      </c>
      <c r="Z4288" t="s">
        <v>30256</v>
      </c>
      <c r="AA4288">
        <v>0.43735584873721872</v>
      </c>
      <c r="AB4288" t="str">
        <f>HYPERLINK("Melting_Curves/meltCurve_Q7Z6B0_2_CCDC91.pdf", "Melting_Curves/meltCurve_Q7Z6B0_2_CCDC91.pdf")</f>
        <v>Melting_Curves/meltCurve_Q7Z6B0_2_CCDC91.pdf</v>
      </c>
    </row>
    <row r="4289" spans="1:28" x14ac:dyDescent="0.25">
      <c r="A4289" t="s">
        <v>4293</v>
      </c>
      <c r="B4289">
        <v>0.99472303558308395</v>
      </c>
      <c r="C4289">
        <v>0.86008012779491305</v>
      </c>
      <c r="D4289">
        <v>0.71300921133140405</v>
      </c>
      <c r="E4289">
        <v>0.52459009721368199</v>
      </c>
      <c r="F4289">
        <v>0.34049801056005002</v>
      </c>
      <c r="G4289">
        <v>0.17345407365744001</v>
      </c>
      <c r="H4289">
        <v>9.0819323547063902E-2</v>
      </c>
      <c r="I4289">
        <v>6.0304152724276701E-2</v>
      </c>
      <c r="J4289">
        <v>6.0643091198326199E-2</v>
      </c>
      <c r="K4289">
        <v>5.0360660189952798E-2</v>
      </c>
      <c r="L4289">
        <v>536.66275717086603</v>
      </c>
      <c r="M4289">
        <v>11.479169954324499</v>
      </c>
      <c r="N4289">
        <v>46.806873624067798</v>
      </c>
      <c r="O4289">
        <v>45.399710860523101</v>
      </c>
      <c r="P4289">
        <v>-6.2799581640939905E-2</v>
      </c>
      <c r="Q4289">
        <v>6.8037780752614402E-3</v>
      </c>
      <c r="R4289">
        <v>0.99647180788443002</v>
      </c>
      <c r="S4289" t="s">
        <v>10857</v>
      </c>
      <c r="T4289" t="s">
        <v>13134</v>
      </c>
      <c r="U4289" t="s">
        <v>13134</v>
      </c>
      <c r="V4289" t="s">
        <v>13134</v>
      </c>
      <c r="W4289" t="s">
        <v>17362</v>
      </c>
      <c r="X4289">
        <v>18</v>
      </c>
      <c r="Y4289" t="s">
        <v>23740</v>
      </c>
      <c r="Z4289" t="s">
        <v>30257</v>
      </c>
      <c r="AA4289">
        <v>0.36507891355528038</v>
      </c>
      <c r="AB4289" t="str">
        <f>HYPERLINK("Melting_Curves/meltCurve_Q7Z6E9_RBBP6.pdf", "Melting_Curves/meltCurve_Q7Z6E9_RBBP6.pdf")</f>
        <v>Melting_Curves/meltCurve_Q7Z6E9_RBBP6.pdf</v>
      </c>
    </row>
    <row r="4290" spans="1:28" x14ac:dyDescent="0.25">
      <c r="A4290" t="s">
        <v>4294</v>
      </c>
      <c r="B4290">
        <v>0.99472303558308395</v>
      </c>
      <c r="C4290">
        <v>0.96544302753476097</v>
      </c>
      <c r="D4290">
        <v>0.95352301455046296</v>
      </c>
      <c r="E4290">
        <v>0.73247351995222598</v>
      </c>
      <c r="F4290">
        <v>0.53966743113907301</v>
      </c>
      <c r="G4290">
        <v>0.30755587969808901</v>
      </c>
      <c r="H4290">
        <v>0.30763595348399803</v>
      </c>
      <c r="I4290">
        <v>0.21323836064325399</v>
      </c>
      <c r="J4290">
        <v>0.26940326369849099</v>
      </c>
      <c r="K4290">
        <v>0.169834832355923</v>
      </c>
      <c r="L4290">
        <v>814.93179886386099</v>
      </c>
      <c r="M4290">
        <v>16.682745219844598</v>
      </c>
      <c r="N4290">
        <v>50.453377171889699</v>
      </c>
      <c r="O4290">
        <v>48.163081998836397</v>
      </c>
      <c r="P4290">
        <v>-6.8772751670407695E-2</v>
      </c>
      <c r="Q4290">
        <v>0.20586517315764799</v>
      </c>
      <c r="R4290">
        <v>0.99010837510016703</v>
      </c>
      <c r="S4290" t="s">
        <v>10858</v>
      </c>
      <c r="T4290" t="s">
        <v>13134</v>
      </c>
      <c r="U4290" t="s">
        <v>13134</v>
      </c>
      <c r="V4290" t="s">
        <v>13134</v>
      </c>
      <c r="W4290" t="s">
        <v>17363</v>
      </c>
      <c r="X4290">
        <v>3</v>
      </c>
      <c r="Y4290" t="s">
        <v>23741</v>
      </c>
      <c r="Z4290" t="s">
        <v>30258</v>
      </c>
      <c r="AA4290">
        <v>0.53392265294770214</v>
      </c>
      <c r="AB4290" t="str">
        <f>HYPERLINK("Melting_Curves/meltCurve_Q7Z6I8_C5orf24.pdf", "Melting_Curves/meltCurve_Q7Z6I8_C5orf24.pdf")</f>
        <v>Melting_Curves/meltCurve_Q7Z6I8_C5orf24.pdf</v>
      </c>
    </row>
    <row r="4291" spans="1:28" x14ac:dyDescent="0.25">
      <c r="A4291" t="s">
        <v>4295</v>
      </c>
      <c r="B4291">
        <v>0.99472303558308395</v>
      </c>
      <c r="C4291">
        <v>1.0200296177735699</v>
      </c>
      <c r="D4291">
        <v>0.86717209738478296</v>
      </c>
      <c r="E4291">
        <v>0.73764759294110405</v>
      </c>
      <c r="F4291">
        <v>0.53518493426612801</v>
      </c>
      <c r="G4291">
        <v>0.28370815014391099</v>
      </c>
      <c r="H4291">
        <v>0.16701302113893601</v>
      </c>
      <c r="I4291">
        <v>0.176931823020505</v>
      </c>
      <c r="J4291">
        <v>0.176902014746395</v>
      </c>
      <c r="K4291">
        <v>0.15307759192001899</v>
      </c>
      <c r="L4291">
        <v>778.06966323203301</v>
      </c>
      <c r="M4291">
        <v>15.842553599272099</v>
      </c>
      <c r="N4291">
        <v>50.081891090288501</v>
      </c>
      <c r="O4291">
        <v>48.350103088200697</v>
      </c>
      <c r="P4291">
        <v>-7.1106512528181606E-2</v>
      </c>
      <c r="Q4291">
        <v>0.13202708152277701</v>
      </c>
      <c r="R4291">
        <v>0.99214706980790801</v>
      </c>
      <c r="S4291" t="s">
        <v>10859</v>
      </c>
      <c r="T4291" t="s">
        <v>13134</v>
      </c>
      <c r="U4291" t="s">
        <v>13134</v>
      </c>
      <c r="V4291" t="s">
        <v>13134</v>
      </c>
      <c r="W4291" t="s">
        <v>17364</v>
      </c>
      <c r="X4291">
        <v>4</v>
      </c>
      <c r="Y4291" t="s">
        <v>23742</v>
      </c>
      <c r="Z4291" t="s">
        <v>30259</v>
      </c>
      <c r="AA4291">
        <v>0.49954914468035561</v>
      </c>
      <c r="AB4291" t="str">
        <f>HYPERLINK("Melting_Curves/meltCurve_Q7Z6J8_UBE3D.pdf", "Melting_Curves/meltCurve_Q7Z6J8_UBE3D.pdf")</f>
        <v>Melting_Curves/meltCurve_Q7Z6J8_UBE3D.pdf</v>
      </c>
    </row>
    <row r="4292" spans="1:28" x14ac:dyDescent="0.25">
      <c r="A4292" t="s">
        <v>4296</v>
      </c>
      <c r="B4292">
        <v>0.99472303558308395</v>
      </c>
      <c r="C4292">
        <v>0.95917263791563301</v>
      </c>
      <c r="D4292">
        <v>0.74051200031125897</v>
      </c>
      <c r="E4292">
        <v>0.64981901971824796</v>
      </c>
      <c r="F4292">
        <v>0.331964705462996</v>
      </c>
      <c r="G4292">
        <v>0.15555284704460401</v>
      </c>
      <c r="H4292">
        <v>8.0355391202457202E-2</v>
      </c>
      <c r="I4292">
        <v>6.2554608422616495E-2</v>
      </c>
      <c r="J4292">
        <v>6.0894322238258802E-2</v>
      </c>
      <c r="K4292">
        <v>4.8076527459408699E-2</v>
      </c>
      <c r="L4292">
        <v>662.99444946797803</v>
      </c>
      <c r="M4292">
        <v>13.9269777965568</v>
      </c>
      <c r="N4292">
        <v>47.728147885277203</v>
      </c>
      <c r="O4292">
        <v>46.655763945238</v>
      </c>
      <c r="P4292">
        <v>-7.3319743690895403E-2</v>
      </c>
      <c r="Q4292">
        <v>1.7639937610290601E-2</v>
      </c>
      <c r="R4292">
        <v>0.99037957704225899</v>
      </c>
      <c r="S4292" t="s">
        <v>10860</v>
      </c>
      <c r="T4292" t="s">
        <v>13134</v>
      </c>
      <c r="U4292" t="s">
        <v>13134</v>
      </c>
      <c r="V4292" t="s">
        <v>13134</v>
      </c>
      <c r="W4292" t="s">
        <v>17365</v>
      </c>
      <c r="X4292">
        <v>5</v>
      </c>
      <c r="Y4292" t="s">
        <v>23743</v>
      </c>
      <c r="Z4292" t="s">
        <v>30260</v>
      </c>
      <c r="AA4292">
        <v>0.38965349729868698</v>
      </c>
      <c r="AB4292" t="str">
        <f>HYPERLINK("Melting_Curves/meltCurve_Q7Z6J9_TSEN54.pdf", "Melting_Curves/meltCurve_Q7Z6J9_TSEN54.pdf")</f>
        <v>Melting_Curves/meltCurve_Q7Z6J9_TSEN54.pdf</v>
      </c>
    </row>
    <row r="4293" spans="1:28" x14ac:dyDescent="0.25">
      <c r="A4293" t="s">
        <v>4297</v>
      </c>
      <c r="B4293">
        <v>0.99472303558308395</v>
      </c>
      <c r="C4293">
        <v>1.0176017296239801</v>
      </c>
      <c r="D4293">
        <v>1.02650449694625</v>
      </c>
      <c r="E4293">
        <v>0.82992487834741602</v>
      </c>
      <c r="F4293">
        <v>0.68794951111857205</v>
      </c>
      <c r="G4293">
        <v>0.42778252486186202</v>
      </c>
      <c r="H4293">
        <v>0.19746981874370101</v>
      </c>
      <c r="I4293">
        <v>0.13155883081454101</v>
      </c>
      <c r="J4293">
        <v>0.157198096210515</v>
      </c>
      <c r="K4293">
        <v>0.10625490222384699</v>
      </c>
      <c r="L4293">
        <v>899.87775035676998</v>
      </c>
      <c r="M4293">
        <v>17.3640927510198</v>
      </c>
      <c r="N4293">
        <v>52.425038214199297</v>
      </c>
      <c r="O4293">
        <v>51.151359964392498</v>
      </c>
      <c r="P4293">
        <v>-7.7211719737665704E-2</v>
      </c>
      <c r="Q4293">
        <v>9.0246755732873996E-2</v>
      </c>
      <c r="R4293">
        <v>0.99278222354365697</v>
      </c>
      <c r="S4293" t="s">
        <v>10861</v>
      </c>
      <c r="T4293" t="s">
        <v>13134</v>
      </c>
      <c r="U4293" t="s">
        <v>13134</v>
      </c>
      <c r="V4293" t="s">
        <v>13134</v>
      </c>
      <c r="W4293" t="s">
        <v>17366</v>
      </c>
      <c r="X4293">
        <v>6</v>
      </c>
      <c r="Y4293" t="s">
        <v>23744</v>
      </c>
      <c r="Z4293" t="s">
        <v>30261</v>
      </c>
      <c r="AA4293">
        <v>0.55434411030584618</v>
      </c>
      <c r="AB4293" t="str">
        <f>HYPERLINK("Melting_Curves/meltCurve_Q7Z6K3_PTAR1.pdf", "Melting_Curves/meltCurve_Q7Z6K3_PTAR1.pdf")</f>
        <v>Melting_Curves/meltCurve_Q7Z6K3_PTAR1.pdf</v>
      </c>
    </row>
    <row r="4294" spans="1:28" x14ac:dyDescent="0.25">
      <c r="A4294" t="s">
        <v>4298</v>
      </c>
      <c r="B4294">
        <v>0.99472303558308395</v>
      </c>
      <c r="C4294">
        <v>0.96341536136384198</v>
      </c>
      <c r="D4294">
        <v>0.70452812871037196</v>
      </c>
      <c r="E4294">
        <v>0.61904679965857901</v>
      </c>
      <c r="F4294">
        <v>9.5054327244974299E-2</v>
      </c>
      <c r="G4294">
        <v>2.5987222949868199E-2</v>
      </c>
      <c r="H4294">
        <v>0</v>
      </c>
      <c r="I4294">
        <v>0</v>
      </c>
      <c r="J4294">
        <v>0</v>
      </c>
      <c r="K4294">
        <v>0</v>
      </c>
      <c r="L4294">
        <v>906.95989611750497</v>
      </c>
      <c r="M4294">
        <v>19.535775010628399</v>
      </c>
      <c r="N4294">
        <v>46.425606418222202</v>
      </c>
      <c r="O4294">
        <v>45.9473346915658</v>
      </c>
      <c r="P4294">
        <v>-0.106298168587232</v>
      </c>
      <c r="Q4294">
        <v>0</v>
      </c>
      <c r="R4294">
        <v>0.97320926204754299</v>
      </c>
      <c r="S4294" t="s">
        <v>10862</v>
      </c>
      <c r="T4294" t="s">
        <v>13134</v>
      </c>
      <c r="U4294" t="s">
        <v>13134</v>
      </c>
      <c r="V4294" t="s">
        <v>13134</v>
      </c>
      <c r="W4294" t="s">
        <v>17367</v>
      </c>
      <c r="X4294">
        <v>2</v>
      </c>
      <c r="Y4294" t="s">
        <v>23745</v>
      </c>
      <c r="Z4294" t="s">
        <v>30262</v>
      </c>
      <c r="AA4294">
        <v>0.3278878510705811</v>
      </c>
      <c r="AB4294" t="str">
        <f>HYPERLINK("Melting_Curves/meltCurve_Q7Z6L1_TECPR1.pdf", "Melting_Curves/meltCurve_Q7Z6L1_TECPR1.pdf")</f>
        <v>Melting_Curves/meltCurve_Q7Z6L1_TECPR1.pdf</v>
      </c>
    </row>
    <row r="4295" spans="1:28" x14ac:dyDescent="0.25">
      <c r="A4295" t="s">
        <v>4299</v>
      </c>
      <c r="B4295">
        <v>0.99472303558308395</v>
      </c>
      <c r="C4295">
        <v>1.0278590948358901</v>
      </c>
      <c r="D4295">
        <v>1.00696002986567</v>
      </c>
      <c r="E4295">
        <v>0.93664052647847795</v>
      </c>
      <c r="F4295">
        <v>0.66821942943138801</v>
      </c>
      <c r="G4295">
        <v>0.57197349541495102</v>
      </c>
      <c r="H4295">
        <v>0.34743452565429001</v>
      </c>
      <c r="I4295">
        <v>0.33914626572358397</v>
      </c>
      <c r="J4295">
        <v>0.23095884990159299</v>
      </c>
      <c r="K4295">
        <v>0.132986128870207</v>
      </c>
      <c r="L4295">
        <v>700.66750951614097</v>
      </c>
      <c r="M4295">
        <v>13.105420626741299</v>
      </c>
      <c r="N4295">
        <v>54.684534164462299</v>
      </c>
      <c r="O4295">
        <v>52.2650725234733</v>
      </c>
      <c r="P4295">
        <v>-5.4747288947703802E-2</v>
      </c>
      <c r="Q4295">
        <v>0.126809791720181</v>
      </c>
      <c r="R4295">
        <v>0.98220011037354205</v>
      </c>
      <c r="S4295" t="s">
        <v>10863</v>
      </c>
      <c r="T4295" t="s">
        <v>13134</v>
      </c>
      <c r="U4295" t="s">
        <v>13134</v>
      </c>
      <c r="V4295" t="s">
        <v>13134</v>
      </c>
      <c r="W4295" t="s">
        <v>17368</v>
      </c>
      <c r="X4295">
        <v>12</v>
      </c>
      <c r="Y4295" t="s">
        <v>23746</v>
      </c>
      <c r="Z4295" t="s">
        <v>30263</v>
      </c>
      <c r="AA4295">
        <v>0.62249406916132832</v>
      </c>
      <c r="AB4295" t="str">
        <f>HYPERLINK("Melting_Curves/meltCurve_Q7Z6M1_RABEPK.pdf", "Melting_Curves/meltCurve_Q7Z6M1_RABEPK.pdf")</f>
        <v>Melting_Curves/meltCurve_Q7Z6M1_RABEPK.pdf</v>
      </c>
    </row>
    <row r="4296" spans="1:28" x14ac:dyDescent="0.25">
      <c r="A4296" t="s">
        <v>4300</v>
      </c>
      <c r="B4296">
        <v>0.99472303558308395</v>
      </c>
      <c r="C4296">
        <v>1.0170935566975099</v>
      </c>
      <c r="D4296">
        <v>0.90253080549931897</v>
      </c>
      <c r="E4296">
        <v>0.76659761835598605</v>
      </c>
      <c r="F4296">
        <v>0.374806140329702</v>
      </c>
      <c r="G4296">
        <v>0.16150187571248201</v>
      </c>
      <c r="H4296">
        <v>9.7761681447915097E-2</v>
      </c>
      <c r="I4296">
        <v>9.3869459138583203E-2</v>
      </c>
      <c r="J4296">
        <v>0.13068867341944199</v>
      </c>
      <c r="K4296">
        <v>8.6157264114197094E-2</v>
      </c>
      <c r="L4296">
        <v>1140.7678923558601</v>
      </c>
      <c r="M4296">
        <v>23.517905326024302</v>
      </c>
      <c r="N4296">
        <v>48.926943885849902</v>
      </c>
      <c r="O4296">
        <v>48.159728372888701</v>
      </c>
      <c r="P4296">
        <v>-0.11091170511203199</v>
      </c>
      <c r="Q4296">
        <v>9.1520160719121904E-2</v>
      </c>
      <c r="R4296">
        <v>0.99621060172248699</v>
      </c>
      <c r="S4296" t="s">
        <v>10864</v>
      </c>
      <c r="T4296" t="s">
        <v>13134</v>
      </c>
      <c r="U4296" t="s">
        <v>13134</v>
      </c>
      <c r="V4296" t="s">
        <v>13134</v>
      </c>
      <c r="W4296" t="s">
        <v>17369</v>
      </c>
      <c r="X4296">
        <v>2</v>
      </c>
      <c r="Y4296" t="s">
        <v>23747</v>
      </c>
      <c r="Z4296" t="s">
        <v>30264</v>
      </c>
      <c r="AA4296">
        <v>0.44874858934110712</v>
      </c>
      <c r="AB4296" t="str">
        <f>HYPERLINK("Melting_Curves/meltCurve_Q7Z6M4_MTERFD2.pdf", "Melting_Curves/meltCurve_Q7Z6M4_MTERFD2.pdf")</f>
        <v>Melting_Curves/meltCurve_Q7Z6M4_MTERFD2.pdf</v>
      </c>
    </row>
    <row r="4297" spans="1:28" x14ac:dyDescent="0.25">
      <c r="A4297" t="s">
        <v>4301</v>
      </c>
      <c r="B4297">
        <v>0.99472303558308395</v>
      </c>
      <c r="C4297">
        <v>1.05469455520084</v>
      </c>
      <c r="D4297">
        <v>0.85137382014780205</v>
      </c>
      <c r="E4297">
        <v>0.60574838399575703</v>
      </c>
      <c r="F4297">
        <v>0.18125634075358901</v>
      </c>
      <c r="G4297">
        <v>0.111275381243559</v>
      </c>
      <c r="H4297">
        <v>7.7970394779577401E-2</v>
      </c>
      <c r="I4297">
        <v>7.82300066219353E-2</v>
      </c>
      <c r="J4297">
        <v>7.3642101089310796E-2</v>
      </c>
      <c r="K4297">
        <v>6.2850156076683497E-2</v>
      </c>
      <c r="L4297">
        <v>1173.0401318710799</v>
      </c>
      <c r="M4297">
        <v>25.016345299764101</v>
      </c>
      <c r="N4297">
        <v>47.162052570550003</v>
      </c>
      <c r="O4297">
        <v>46.594391969036103</v>
      </c>
      <c r="P4297">
        <v>-0.12523665022067901</v>
      </c>
      <c r="Q4297">
        <v>6.6970467156535193E-2</v>
      </c>
      <c r="R4297">
        <v>0.99314095341499498</v>
      </c>
      <c r="S4297" t="s">
        <v>10865</v>
      </c>
      <c r="T4297" t="s">
        <v>13134</v>
      </c>
      <c r="U4297" t="s">
        <v>13134</v>
      </c>
      <c r="V4297" t="s">
        <v>13134</v>
      </c>
      <c r="W4297" t="s">
        <v>17370</v>
      </c>
      <c r="X4297">
        <v>2</v>
      </c>
      <c r="Y4297" t="s">
        <v>23748</v>
      </c>
      <c r="Z4297" t="s">
        <v>30265</v>
      </c>
      <c r="AA4297">
        <v>0.3824019064029025</v>
      </c>
      <c r="AB4297" t="str">
        <f>HYPERLINK("Melting_Curves/meltCurve_Q7Z6U0_TBPL1.pdf", "Melting_Curves/meltCurve_Q7Z6U0_TBPL1.pdf")</f>
        <v>Melting_Curves/meltCurve_Q7Z6U0_TBPL1.pdf</v>
      </c>
    </row>
    <row r="4298" spans="1:28" x14ac:dyDescent="0.25">
      <c r="A4298" t="s">
        <v>4302</v>
      </c>
      <c r="B4298">
        <v>0.99472303558308395</v>
      </c>
      <c r="C4298">
        <v>1.07355572156449</v>
      </c>
      <c r="D4298">
        <v>0.98759846186302702</v>
      </c>
      <c r="E4298">
        <v>0.950256279615456</v>
      </c>
      <c r="F4298">
        <v>0.51258877362796296</v>
      </c>
      <c r="G4298">
        <v>0.51202022881127096</v>
      </c>
      <c r="H4298">
        <v>0.35969619135428299</v>
      </c>
      <c r="I4298">
        <v>0.229983837968951</v>
      </c>
      <c r="J4298">
        <v>0.22162932437461499</v>
      </c>
      <c r="K4298">
        <v>0.115356194846372</v>
      </c>
      <c r="L4298">
        <v>747.09075449228601</v>
      </c>
      <c r="M4298">
        <v>14.4504436369908</v>
      </c>
      <c r="N4298">
        <v>52.967637032106197</v>
      </c>
      <c r="O4298">
        <v>50.740341653379701</v>
      </c>
      <c r="P4298">
        <v>-6.0798411965051397E-2</v>
      </c>
      <c r="Q4298">
        <v>0.146165580576404</v>
      </c>
      <c r="R4298">
        <v>0.95941608138828804</v>
      </c>
      <c r="S4298" t="s">
        <v>10866</v>
      </c>
      <c r="T4298" t="s">
        <v>13134</v>
      </c>
      <c r="U4298" t="s">
        <v>13134</v>
      </c>
      <c r="V4298" t="s">
        <v>13134</v>
      </c>
      <c r="W4298" t="s">
        <v>17371</v>
      </c>
      <c r="X4298">
        <v>1</v>
      </c>
      <c r="Y4298" t="s">
        <v>23749</v>
      </c>
      <c r="Z4298" t="s">
        <v>30266</v>
      </c>
      <c r="AA4298">
        <v>0.58191070189319172</v>
      </c>
      <c r="AB4298" t="str">
        <f>HYPERLINK("Melting_Curves/meltCurve_Q7Z6V5_2_ADAT2.pdf", "Melting_Curves/meltCurve_Q7Z6V5_2_ADAT2.pdf")</f>
        <v>Melting_Curves/meltCurve_Q7Z6V5_2_ADAT2.pdf</v>
      </c>
    </row>
    <row r="4299" spans="1:28" x14ac:dyDescent="0.25">
      <c r="A4299" t="s">
        <v>4303</v>
      </c>
      <c r="B4299">
        <v>0.99472303558308395</v>
      </c>
      <c r="C4299">
        <v>0.92617486910626501</v>
      </c>
      <c r="D4299">
        <v>0.72288081166778995</v>
      </c>
      <c r="E4299">
        <v>0.60837489529555</v>
      </c>
      <c r="F4299">
        <v>0.32905463069540702</v>
      </c>
      <c r="G4299">
        <v>8.7584389609691699E-2</v>
      </c>
      <c r="H4299">
        <v>5.3063054551210798E-2</v>
      </c>
      <c r="I4299">
        <v>3.2621003326510099E-2</v>
      </c>
      <c r="J4299">
        <v>3.9017115403489601E-2</v>
      </c>
      <c r="K4299">
        <v>3.3931804828298599E-2</v>
      </c>
      <c r="L4299">
        <v>659.30769436639503</v>
      </c>
      <c r="M4299">
        <v>13.969771523855799</v>
      </c>
      <c r="N4299">
        <v>47.195307483173501</v>
      </c>
      <c r="O4299">
        <v>46.259764222621101</v>
      </c>
      <c r="P4299">
        <v>-7.5506414324464199E-2</v>
      </c>
      <c r="Q4299">
        <v>0</v>
      </c>
      <c r="R4299">
        <v>0.98868474851747101</v>
      </c>
      <c r="S4299" t="s">
        <v>10867</v>
      </c>
      <c r="T4299" t="s">
        <v>13134</v>
      </c>
      <c r="U4299" t="s">
        <v>13134</v>
      </c>
      <c r="V4299" t="s">
        <v>13134</v>
      </c>
      <c r="W4299" t="s">
        <v>17372</v>
      </c>
      <c r="X4299">
        <v>72</v>
      </c>
      <c r="Y4299" t="s">
        <v>23750</v>
      </c>
      <c r="Z4299" t="s">
        <v>30267</v>
      </c>
      <c r="AA4299">
        <v>0.36521486157010469</v>
      </c>
      <c r="AB4299" t="str">
        <f>HYPERLINK("Melting_Curves/meltCurve_Q7Z6Z7_2_HUWE1.pdf", "Melting_Curves/meltCurve_Q7Z6Z7_2_HUWE1.pdf")</f>
        <v>Melting_Curves/meltCurve_Q7Z6Z7_2_HUWE1.pdf</v>
      </c>
    </row>
    <row r="4300" spans="1:28" x14ac:dyDescent="0.25">
      <c r="A4300" t="s">
        <v>4304</v>
      </c>
      <c r="B4300">
        <v>0.99472303558308395</v>
      </c>
      <c r="C4300">
        <v>0.90302619218731595</v>
      </c>
      <c r="D4300">
        <v>0.70687375844928102</v>
      </c>
      <c r="E4300">
        <v>0.51530596844575205</v>
      </c>
      <c r="F4300">
        <v>0.26322886513544602</v>
      </c>
      <c r="G4300">
        <v>0.12713337524242899</v>
      </c>
      <c r="H4300">
        <v>9.21045248146138E-2</v>
      </c>
      <c r="I4300">
        <v>8.3493175502533795E-2</v>
      </c>
      <c r="J4300">
        <v>6.2162700299764603E-2</v>
      </c>
      <c r="K4300">
        <v>0.12596009624599</v>
      </c>
      <c r="L4300">
        <v>679.71318810098001</v>
      </c>
      <c r="M4300">
        <v>14.842893903646599</v>
      </c>
      <c r="N4300">
        <v>46.2298221426678</v>
      </c>
      <c r="O4300">
        <v>44.986721136031001</v>
      </c>
      <c r="P4300">
        <v>-7.7105785428725204E-2</v>
      </c>
      <c r="Q4300">
        <v>6.5311298525620703E-2</v>
      </c>
      <c r="R4300">
        <v>0.99347960507032296</v>
      </c>
      <c r="S4300" t="s">
        <v>10868</v>
      </c>
      <c r="T4300" t="s">
        <v>13134</v>
      </c>
      <c r="U4300" t="s">
        <v>13134</v>
      </c>
      <c r="V4300" t="s">
        <v>13134</v>
      </c>
      <c r="W4300" t="s">
        <v>17373</v>
      </c>
      <c r="X4300">
        <v>1</v>
      </c>
      <c r="Y4300" t="s">
        <v>23751</v>
      </c>
      <c r="Z4300" t="s">
        <v>30268</v>
      </c>
      <c r="AA4300">
        <v>0.3614137289222234</v>
      </c>
      <c r="AB4300" t="str">
        <f>HYPERLINK("Melting_Curves/meltCurve_Q7Z7A1_5_CNTRL.pdf", "Melting_Curves/meltCurve_Q7Z7A1_5_CNTRL.pdf")</f>
        <v>Melting_Curves/meltCurve_Q7Z7A1_5_CNTRL.pdf</v>
      </c>
    </row>
    <row r="4301" spans="1:28" x14ac:dyDescent="0.25">
      <c r="A4301" t="s">
        <v>4305</v>
      </c>
      <c r="B4301">
        <v>0.99472303558308395</v>
      </c>
      <c r="C4301">
        <v>1.05416036733301</v>
      </c>
      <c r="D4301">
        <v>0.89327372962524698</v>
      </c>
      <c r="E4301">
        <v>0.815811467253718</v>
      </c>
      <c r="F4301">
        <v>0.503688409435053</v>
      </c>
      <c r="G4301">
        <v>0.174692560699583</v>
      </c>
      <c r="H4301">
        <v>7.7347662753734406E-2</v>
      </c>
      <c r="I4301">
        <v>5.4514034432935801E-2</v>
      </c>
      <c r="J4301">
        <v>6.8790293552174406E-2</v>
      </c>
      <c r="K4301">
        <v>5.5009390865565E-2</v>
      </c>
      <c r="L4301">
        <v>1057.0562175913799</v>
      </c>
      <c r="M4301">
        <v>21.241865615321501</v>
      </c>
      <c r="N4301">
        <v>49.960940911696902</v>
      </c>
      <c r="O4301">
        <v>49.3281339479623</v>
      </c>
      <c r="P4301">
        <v>-0.103311174006276</v>
      </c>
      <c r="Q4301">
        <v>4.0382415112646099E-2</v>
      </c>
      <c r="R4301">
        <v>0.99318221723345301</v>
      </c>
      <c r="S4301" t="s">
        <v>10869</v>
      </c>
      <c r="T4301" t="s">
        <v>13134</v>
      </c>
      <c r="U4301" t="s">
        <v>13134</v>
      </c>
      <c r="V4301" t="s">
        <v>13134</v>
      </c>
      <c r="W4301" t="s">
        <v>17374</v>
      </c>
      <c r="X4301">
        <v>12</v>
      </c>
      <c r="Y4301" t="s">
        <v>23752</v>
      </c>
      <c r="Z4301" t="s">
        <v>30269</v>
      </c>
      <c r="AA4301">
        <v>0.45998100627211658</v>
      </c>
      <c r="AB4301" t="str">
        <f>HYPERLINK("Melting_Curves/meltCurve_Q7Z7A3_CTU1.pdf", "Melting_Curves/meltCurve_Q7Z7A3_CTU1.pdf")</f>
        <v>Melting_Curves/meltCurve_Q7Z7A3_CTU1.pdf</v>
      </c>
    </row>
    <row r="4302" spans="1:28" x14ac:dyDescent="0.25">
      <c r="A4302" t="s">
        <v>4306</v>
      </c>
      <c r="B4302">
        <v>0.99472303558308395</v>
      </c>
      <c r="C4302">
        <v>0.92149054134192798</v>
      </c>
      <c r="D4302">
        <v>0.89921674621148495</v>
      </c>
      <c r="E4302">
        <v>0.78237260358137495</v>
      </c>
      <c r="F4302">
        <v>0.63744649543424803</v>
      </c>
      <c r="G4302">
        <v>0.48450645938813403</v>
      </c>
      <c r="H4302">
        <v>0.244863131946534</v>
      </c>
      <c r="I4302">
        <v>0.180149965876927</v>
      </c>
      <c r="J4302">
        <v>0.22301312585385499</v>
      </c>
      <c r="K4302">
        <v>0.13587502165884299</v>
      </c>
      <c r="L4302">
        <v>560.05669195251903</v>
      </c>
      <c r="M4302">
        <v>10.7874879895714</v>
      </c>
      <c r="N4302">
        <v>52.548592584234697</v>
      </c>
      <c r="O4302">
        <v>50.228620459006201</v>
      </c>
      <c r="P4302">
        <v>-5.0446917946587101E-2</v>
      </c>
      <c r="Q4302">
        <v>6.0779352685134597E-2</v>
      </c>
      <c r="R4302">
        <v>0.98771817038188003</v>
      </c>
      <c r="S4302" t="s">
        <v>10870</v>
      </c>
      <c r="T4302" t="s">
        <v>13134</v>
      </c>
      <c r="U4302" t="s">
        <v>13134</v>
      </c>
      <c r="V4302" t="s">
        <v>13134</v>
      </c>
      <c r="W4302" t="s">
        <v>17375</v>
      </c>
      <c r="X4302">
        <v>4</v>
      </c>
      <c r="Y4302" t="s">
        <v>23753</v>
      </c>
      <c r="Z4302" t="s">
        <v>30270</v>
      </c>
      <c r="AA4302">
        <v>0.55208381968591291</v>
      </c>
      <c r="AB4302" t="str">
        <f>HYPERLINK("Melting_Curves/meltCurve_Q7Z7C8_TAF8.pdf", "Melting_Curves/meltCurve_Q7Z7C8_TAF8.pdf")</f>
        <v>Melting_Curves/meltCurve_Q7Z7C8_TAF8.pdf</v>
      </c>
    </row>
    <row r="4303" spans="1:28" x14ac:dyDescent="0.25">
      <c r="A4303" t="s">
        <v>4307</v>
      </c>
      <c r="B4303">
        <v>0.99472303558308395</v>
      </c>
      <c r="C4303">
        <v>1.00925524703368</v>
      </c>
      <c r="D4303">
        <v>0.95971498132546995</v>
      </c>
      <c r="E4303">
        <v>0.67578637917006201</v>
      </c>
      <c r="F4303">
        <v>0.24551469501820899</v>
      </c>
      <c r="G4303">
        <v>0.12817788441181499</v>
      </c>
      <c r="H4303">
        <v>8.6197046023122004E-2</v>
      </c>
      <c r="I4303">
        <v>6.6936545979174297E-2</v>
      </c>
      <c r="J4303">
        <v>5.9110839978717397E-2</v>
      </c>
      <c r="K4303">
        <v>5.6292700082672002E-2</v>
      </c>
      <c r="L4303">
        <v>1308.0040076538801</v>
      </c>
      <c r="M4303">
        <v>27.442581999867301</v>
      </c>
      <c r="N4303">
        <v>47.917047875540497</v>
      </c>
      <c r="O4303">
        <v>47.4123362481455</v>
      </c>
      <c r="P4303">
        <v>-0.13491692261521299</v>
      </c>
      <c r="Q4303">
        <v>6.7628531321174995E-2</v>
      </c>
      <c r="R4303">
        <v>0.99933221988638699</v>
      </c>
      <c r="S4303" t="s">
        <v>10871</v>
      </c>
      <c r="T4303" t="s">
        <v>13134</v>
      </c>
      <c r="U4303" t="s">
        <v>13134</v>
      </c>
      <c r="V4303" t="s">
        <v>13134</v>
      </c>
      <c r="W4303" t="s">
        <v>17376</v>
      </c>
      <c r="X4303">
        <v>7</v>
      </c>
      <c r="Y4303" t="s">
        <v>23754</v>
      </c>
      <c r="Z4303" t="s">
        <v>30271</v>
      </c>
      <c r="AA4303">
        <v>0.40559677581594211</v>
      </c>
      <c r="AB4303" t="str">
        <f>HYPERLINK("Melting_Curves/meltCurve_Q7Z7E8_UBE2Q1.pdf", "Melting_Curves/meltCurve_Q7Z7E8_UBE2Q1.pdf")</f>
        <v>Melting_Curves/meltCurve_Q7Z7E8_UBE2Q1.pdf</v>
      </c>
    </row>
    <row r="4304" spans="1:28" x14ac:dyDescent="0.25">
      <c r="A4304" t="s">
        <v>4308</v>
      </c>
      <c r="B4304">
        <v>0.99472303558308395</v>
      </c>
      <c r="C4304">
        <v>0.98794577721682197</v>
      </c>
      <c r="D4304">
        <v>0.96056721543812595</v>
      </c>
      <c r="E4304">
        <v>0.78288320237581799</v>
      </c>
      <c r="F4304">
        <v>0.40511491248308801</v>
      </c>
      <c r="G4304">
        <v>0.21770054440882899</v>
      </c>
      <c r="H4304">
        <v>0.13087959692871501</v>
      </c>
      <c r="I4304">
        <v>7.8552513409667499E-2</v>
      </c>
      <c r="J4304">
        <v>8.8918748497609307E-2</v>
      </c>
      <c r="K4304">
        <v>7.5341143821695294E-2</v>
      </c>
      <c r="L4304">
        <v>1055.6456908820301</v>
      </c>
      <c r="M4304">
        <v>21.542178784854102</v>
      </c>
      <c r="N4304">
        <v>49.405903897026903</v>
      </c>
      <c r="O4304">
        <v>48.587266991120799</v>
      </c>
      <c r="P4304">
        <v>-0.10192990574378499</v>
      </c>
      <c r="Q4304">
        <v>8.0432217363932801E-2</v>
      </c>
      <c r="R4304">
        <v>0.99907439199148396</v>
      </c>
      <c r="S4304" t="s">
        <v>10872</v>
      </c>
      <c r="T4304" t="s">
        <v>13134</v>
      </c>
      <c r="U4304" t="s">
        <v>13134</v>
      </c>
      <c r="V4304" t="s">
        <v>13134</v>
      </c>
      <c r="W4304" t="s">
        <v>17377</v>
      </c>
      <c r="X4304">
        <v>5</v>
      </c>
      <c r="Y4304" t="s">
        <v>23755</v>
      </c>
      <c r="Z4304" t="s">
        <v>30272</v>
      </c>
      <c r="AA4304">
        <v>0.45893252831927572</v>
      </c>
      <c r="AB4304" t="str">
        <f>HYPERLINK("Melting_Curves/meltCurve_Q7Z7F0_2_KIAA0907.pdf", "Melting_Curves/meltCurve_Q7Z7F0_2_KIAA0907.pdf")</f>
        <v>Melting_Curves/meltCurve_Q7Z7F0_2_KIAA0907.pdf</v>
      </c>
    </row>
    <row r="4305" spans="1:28" x14ac:dyDescent="0.25">
      <c r="A4305" t="s">
        <v>4309</v>
      </c>
      <c r="B4305">
        <v>0.99472303558308395</v>
      </c>
      <c r="C4305">
        <v>1.09273745297886</v>
      </c>
      <c r="D4305">
        <v>0.8030558229743</v>
      </c>
      <c r="E4305">
        <v>0.69952859967111103</v>
      </c>
      <c r="F4305">
        <v>0.44826088071567199</v>
      </c>
      <c r="G4305">
        <v>0.19158586727042101</v>
      </c>
      <c r="H4305">
        <v>0.15826915772686001</v>
      </c>
      <c r="I4305">
        <v>0.108555724776404</v>
      </c>
      <c r="J4305">
        <v>0.139332574185309</v>
      </c>
      <c r="K4305">
        <v>0.11500066099982301</v>
      </c>
      <c r="L4305">
        <v>800.76739227114899</v>
      </c>
      <c r="M4305">
        <v>16.577389977943199</v>
      </c>
      <c r="N4305">
        <v>48.949209049707598</v>
      </c>
      <c r="O4305">
        <v>47.618260665963497</v>
      </c>
      <c r="P4305">
        <v>-7.8506078226113205E-2</v>
      </c>
      <c r="Q4305">
        <v>9.80317656292434E-2</v>
      </c>
      <c r="R4305">
        <v>0.97963266670697702</v>
      </c>
      <c r="S4305" t="s">
        <v>10873</v>
      </c>
      <c r="T4305" t="s">
        <v>13134</v>
      </c>
      <c r="U4305" t="s">
        <v>13134</v>
      </c>
      <c r="V4305" t="s">
        <v>13134</v>
      </c>
      <c r="W4305" t="s">
        <v>17378</v>
      </c>
      <c r="X4305">
        <v>2</v>
      </c>
      <c r="Y4305" t="s">
        <v>23756</v>
      </c>
      <c r="Z4305" t="s">
        <v>30273</v>
      </c>
      <c r="AA4305">
        <v>0.45457328671593189</v>
      </c>
      <c r="AB4305" t="str">
        <f>HYPERLINK("Melting_Curves/meltCurve_Q7Z7F7_MRPL55.pdf", "Melting_Curves/meltCurve_Q7Z7F7_MRPL55.pdf")</f>
        <v>Melting_Curves/meltCurve_Q7Z7F7_MRPL55.pdf</v>
      </c>
    </row>
    <row r="4306" spans="1:28" x14ac:dyDescent="0.25">
      <c r="A4306" t="s">
        <v>4310</v>
      </c>
      <c r="B4306">
        <v>0.99472303558308395</v>
      </c>
      <c r="C4306">
        <v>1.0725188252875699</v>
      </c>
      <c r="D4306">
        <v>1.0290142532481299</v>
      </c>
      <c r="E4306">
        <v>0.92540323176688699</v>
      </c>
      <c r="F4306">
        <v>0.73948952241073895</v>
      </c>
      <c r="G4306">
        <v>0.65094609340071097</v>
      </c>
      <c r="H4306">
        <v>0.37044989276405899</v>
      </c>
      <c r="I4306">
        <v>0.28279710576533801</v>
      </c>
      <c r="J4306">
        <v>0.41748877470134399</v>
      </c>
      <c r="K4306">
        <v>0.33272208942757198</v>
      </c>
      <c r="L4306">
        <v>985.60212220991104</v>
      </c>
      <c r="M4306">
        <v>18.861917832804998</v>
      </c>
      <c r="N4306">
        <v>55.212303351173603</v>
      </c>
      <c r="O4306">
        <v>51.676833216552403</v>
      </c>
      <c r="P4306">
        <v>-6.2231588500036003E-2</v>
      </c>
      <c r="Q4306">
        <v>0.31803345346052903</v>
      </c>
      <c r="R4306">
        <v>0.964438280164851</v>
      </c>
      <c r="S4306" t="s">
        <v>10874</v>
      </c>
      <c r="T4306" t="s">
        <v>13134</v>
      </c>
      <c r="U4306" t="s">
        <v>13134</v>
      </c>
      <c r="V4306" t="s">
        <v>13134</v>
      </c>
      <c r="W4306" t="s">
        <v>17379</v>
      </c>
      <c r="X4306">
        <v>5</v>
      </c>
      <c r="Y4306" t="s">
        <v>23757</v>
      </c>
      <c r="Z4306" t="s">
        <v>30274</v>
      </c>
      <c r="AA4306">
        <v>0.67434630589950662</v>
      </c>
      <c r="AB4306" t="str">
        <f>HYPERLINK("Melting_Curves/meltCurve_Q7Z7G8_2_VPS13B.pdf", "Melting_Curves/meltCurve_Q7Z7G8_2_VPS13B.pdf")</f>
        <v>Melting_Curves/meltCurve_Q7Z7G8_2_VPS13B.pdf</v>
      </c>
    </row>
    <row r="4307" spans="1:28" x14ac:dyDescent="0.25">
      <c r="A4307" t="s">
        <v>4311</v>
      </c>
      <c r="B4307">
        <v>0.99472303558308395</v>
      </c>
      <c r="C4307">
        <v>1.01070201010799</v>
      </c>
      <c r="D4307">
        <v>0.83760238265199205</v>
      </c>
      <c r="E4307">
        <v>0.75058572832415105</v>
      </c>
      <c r="F4307">
        <v>0.65695323893874402</v>
      </c>
      <c r="G4307">
        <v>0.38716398543331898</v>
      </c>
      <c r="H4307">
        <v>0.234755287070953</v>
      </c>
      <c r="I4307">
        <v>9.8892623716221595E-2</v>
      </c>
      <c r="J4307">
        <v>8.2936431590136001E-2</v>
      </c>
      <c r="K4307">
        <v>7.7320596228303506E-2</v>
      </c>
      <c r="L4307">
        <v>605.14639327985697</v>
      </c>
      <c r="M4307">
        <v>11.7030996901069</v>
      </c>
      <c r="N4307">
        <v>51.708214818110001</v>
      </c>
      <c r="O4307">
        <v>50.267690222966699</v>
      </c>
      <c r="P4307">
        <v>-5.8219346283892803E-2</v>
      </c>
      <c r="Q4307">
        <v>0</v>
      </c>
      <c r="R4307">
        <v>0.98779004318141195</v>
      </c>
      <c r="S4307" t="s">
        <v>10875</v>
      </c>
      <c r="T4307" t="s">
        <v>13134</v>
      </c>
      <c r="U4307" t="s">
        <v>13134</v>
      </c>
      <c r="V4307" t="s">
        <v>13134</v>
      </c>
      <c r="W4307" t="s">
        <v>17380</v>
      </c>
      <c r="X4307">
        <v>5</v>
      </c>
      <c r="Y4307" t="s">
        <v>23758</v>
      </c>
      <c r="Z4307" t="s">
        <v>30275</v>
      </c>
      <c r="AA4307">
        <v>0.51524560298431554</v>
      </c>
      <c r="AB4307" t="str">
        <f>HYPERLINK("Melting_Curves/meltCurve_Q7Z7H5_3_TMED4.pdf", "Melting_Curves/meltCurve_Q7Z7H5_3_TMED4.pdf")</f>
        <v>Melting_Curves/meltCurve_Q7Z7H5_3_TMED4.pdf</v>
      </c>
    </row>
    <row r="4308" spans="1:28" x14ac:dyDescent="0.25">
      <c r="A4308" t="s">
        <v>4312</v>
      </c>
      <c r="B4308">
        <v>0.99472303558308395</v>
      </c>
      <c r="C4308">
        <v>1.03313673815818</v>
      </c>
      <c r="D4308">
        <v>0.80912449403506603</v>
      </c>
      <c r="E4308">
        <v>0.67455956412296003</v>
      </c>
      <c r="F4308">
        <v>0.34066018574127799</v>
      </c>
      <c r="G4308">
        <v>0.22024855860022799</v>
      </c>
      <c r="H4308">
        <v>0.147372995604198</v>
      </c>
      <c r="I4308">
        <v>8.56346505913404E-2</v>
      </c>
      <c r="J4308">
        <v>0.13446100809242101</v>
      </c>
      <c r="K4308">
        <v>7.06853957476304E-2</v>
      </c>
      <c r="L4308">
        <v>785.35904704819495</v>
      </c>
      <c r="M4308">
        <v>16.442863767087999</v>
      </c>
      <c r="N4308">
        <v>48.3043919576889</v>
      </c>
      <c r="O4308">
        <v>47.073219028966498</v>
      </c>
      <c r="P4308">
        <v>-7.9981814806097604E-2</v>
      </c>
      <c r="Q4308">
        <v>8.4165313332814407E-2</v>
      </c>
      <c r="R4308">
        <v>0.98997928251979705</v>
      </c>
      <c r="S4308" t="s">
        <v>10876</v>
      </c>
      <c r="T4308" t="s">
        <v>13134</v>
      </c>
      <c r="U4308" t="s">
        <v>13134</v>
      </c>
      <c r="V4308" t="s">
        <v>13134</v>
      </c>
      <c r="W4308" t="s">
        <v>17381</v>
      </c>
      <c r="X4308">
        <v>2</v>
      </c>
      <c r="Y4308" t="s">
        <v>23759</v>
      </c>
      <c r="Z4308" t="s">
        <v>30276</v>
      </c>
      <c r="AA4308">
        <v>0.43000392764803158</v>
      </c>
      <c r="AB4308" t="str">
        <f>HYPERLINK("Melting_Curves/meltCurve_Q7Z7H8_MRPL10.pdf", "Melting_Curves/meltCurve_Q7Z7H8_MRPL10.pdf")</f>
        <v>Melting_Curves/meltCurve_Q7Z7H8_MRPL10.pdf</v>
      </c>
    </row>
    <row r="4309" spans="1:28" x14ac:dyDescent="0.25">
      <c r="A4309" t="s">
        <v>4313</v>
      </c>
      <c r="B4309">
        <v>0.99472303558308395</v>
      </c>
      <c r="C4309">
        <v>1.0605011035245699</v>
      </c>
      <c r="D4309">
        <v>1.12457737889779</v>
      </c>
      <c r="E4309">
        <v>0.93477692707772497</v>
      </c>
      <c r="F4309">
        <v>0.66703286564209796</v>
      </c>
      <c r="G4309">
        <v>0.56434407885712601</v>
      </c>
      <c r="H4309">
        <v>0.42692152001669498</v>
      </c>
      <c r="I4309">
        <v>0.49218190211047702</v>
      </c>
      <c r="J4309">
        <v>0.64053301519507999</v>
      </c>
      <c r="K4309">
        <v>0.391012883923885</v>
      </c>
      <c r="L4309">
        <v>1707.4013443843601</v>
      </c>
      <c r="M4309">
        <v>34.6088853361424</v>
      </c>
      <c r="N4309">
        <v>57.038517717264199</v>
      </c>
      <c r="O4309">
        <v>49.170369595144301</v>
      </c>
      <c r="P4309">
        <v>-8.88031530651716E-2</v>
      </c>
      <c r="Q4309">
        <v>0.49533585066931002</v>
      </c>
      <c r="R4309">
        <v>0.91315180213382396</v>
      </c>
      <c r="S4309" t="s">
        <v>10877</v>
      </c>
      <c r="T4309" t="s">
        <v>13134</v>
      </c>
      <c r="U4309" t="s">
        <v>13134</v>
      </c>
      <c r="V4309" t="s">
        <v>13134</v>
      </c>
      <c r="W4309" t="s">
        <v>17382</v>
      </c>
      <c r="X4309">
        <v>4</v>
      </c>
      <c r="Y4309" t="s">
        <v>23760</v>
      </c>
      <c r="Z4309" t="s">
        <v>30277</v>
      </c>
      <c r="AA4309">
        <v>0.70512466909229632</v>
      </c>
      <c r="AB4309" t="str">
        <f>HYPERLINK("Melting_Curves/meltCurve_Q7Z7K0_CMC1.pdf", "Melting_Curves/meltCurve_Q7Z7K0_CMC1.pdf")</f>
        <v>Melting_Curves/meltCurve_Q7Z7K0_CMC1.pdf</v>
      </c>
    </row>
    <row r="4310" spans="1:28" x14ac:dyDescent="0.25">
      <c r="A4310" t="s">
        <v>4314</v>
      </c>
      <c r="B4310">
        <v>0.99472303558308395</v>
      </c>
      <c r="C4310">
        <v>1.01595583289113</v>
      </c>
      <c r="D4310">
        <v>1.1090910524420301</v>
      </c>
      <c r="E4310">
        <v>0.82285983289020403</v>
      </c>
      <c r="F4310">
        <v>0.44626926344837098</v>
      </c>
      <c r="G4310">
        <v>0.23741103128729399</v>
      </c>
      <c r="H4310">
        <v>0.122759128854946</v>
      </c>
      <c r="I4310">
        <v>9.9208152251857501E-2</v>
      </c>
      <c r="J4310">
        <v>0.102822081089521</v>
      </c>
      <c r="K4310">
        <v>0.111099763143375</v>
      </c>
      <c r="L4310">
        <v>1295.0194120042599</v>
      </c>
      <c r="M4310">
        <v>26.236245118700701</v>
      </c>
      <c r="N4310">
        <v>49.820960463076297</v>
      </c>
      <c r="O4310">
        <v>49.075850394105899</v>
      </c>
      <c r="P4310">
        <v>-0.119248117802877</v>
      </c>
      <c r="Q4310">
        <v>0.107778147960488</v>
      </c>
      <c r="R4310">
        <v>0.98871861349395396</v>
      </c>
      <c r="S4310" t="s">
        <v>10878</v>
      </c>
      <c r="T4310" t="s">
        <v>13134</v>
      </c>
      <c r="U4310" t="s">
        <v>13134</v>
      </c>
      <c r="V4310" t="s">
        <v>13134</v>
      </c>
      <c r="W4310" t="s">
        <v>17383</v>
      </c>
      <c r="X4310">
        <v>2</v>
      </c>
      <c r="Y4310" t="s">
        <v>23761</v>
      </c>
      <c r="Z4310" t="s">
        <v>30278</v>
      </c>
      <c r="AA4310">
        <v>0.48242451054820018</v>
      </c>
      <c r="AB4310" t="str">
        <f>HYPERLINK("Melting_Curves/meltCurve_Q7Z7K6_3_CENPV.pdf", "Melting_Curves/meltCurve_Q7Z7K6_3_CENPV.pdf")</f>
        <v>Melting_Curves/meltCurve_Q7Z7K6_3_CENPV.pdf</v>
      </c>
    </row>
    <row r="4311" spans="1:28" x14ac:dyDescent="0.25">
      <c r="A4311" t="s">
        <v>4315</v>
      </c>
      <c r="B4311">
        <v>0.99472303558308395</v>
      </c>
      <c r="C4311">
        <v>1.0052389188325099</v>
      </c>
      <c r="D4311">
        <v>0.87675748875785997</v>
      </c>
      <c r="E4311">
        <v>0.75684923577687702</v>
      </c>
      <c r="F4311">
        <v>0.49921835602262399</v>
      </c>
      <c r="G4311">
        <v>0.296675655693245</v>
      </c>
      <c r="H4311">
        <v>0.15256975500272299</v>
      </c>
      <c r="I4311">
        <v>9.5167662352965199E-2</v>
      </c>
      <c r="J4311">
        <v>0.10481370177093299</v>
      </c>
      <c r="K4311">
        <v>0.110470647832156</v>
      </c>
      <c r="L4311">
        <v>752.56105361557798</v>
      </c>
      <c r="M4311">
        <v>15.1671789236043</v>
      </c>
      <c r="N4311">
        <v>50.100279099915802</v>
      </c>
      <c r="O4311">
        <v>48.779177001176102</v>
      </c>
      <c r="P4311">
        <v>-7.2458300250364205E-2</v>
      </c>
      <c r="Q4311">
        <v>6.7957370020008206E-2</v>
      </c>
      <c r="R4311">
        <v>0.996707340854876</v>
      </c>
      <c r="S4311" t="s">
        <v>10879</v>
      </c>
      <c r="T4311" t="s">
        <v>13134</v>
      </c>
      <c r="U4311" t="s">
        <v>13134</v>
      </c>
      <c r="V4311" t="s">
        <v>13134</v>
      </c>
      <c r="W4311" t="s">
        <v>17384</v>
      </c>
      <c r="X4311">
        <v>13</v>
      </c>
      <c r="Y4311" t="s">
        <v>23762</v>
      </c>
      <c r="Z4311" t="s">
        <v>30279</v>
      </c>
      <c r="AA4311">
        <v>0.47935517857900189</v>
      </c>
      <c r="AB4311" t="str">
        <f>HYPERLINK("Melting_Curves/meltCurve_Q7Z7M9_GALNT5.pdf", "Melting_Curves/meltCurve_Q7Z7M9_GALNT5.pdf")</f>
        <v>Melting_Curves/meltCurve_Q7Z7M9_GALNT5.pdf</v>
      </c>
    </row>
    <row r="4312" spans="1:28" x14ac:dyDescent="0.25">
      <c r="A4312" t="s">
        <v>4316</v>
      </c>
      <c r="B4312">
        <v>0.99472303558308395</v>
      </c>
      <c r="C4312">
        <v>0.908182321587374</v>
      </c>
      <c r="D4312">
        <v>0.91354399933807795</v>
      </c>
      <c r="E4312">
        <v>0.78985980610518502</v>
      </c>
      <c r="F4312">
        <v>0.71518913764439496</v>
      </c>
      <c r="G4312">
        <v>0.55597942156119096</v>
      </c>
      <c r="H4312">
        <v>0.44015944551865699</v>
      </c>
      <c r="I4312">
        <v>0.38481925863473398</v>
      </c>
      <c r="J4312">
        <v>0.42021067122677502</v>
      </c>
      <c r="K4312">
        <v>0.48652480552043698</v>
      </c>
      <c r="L4312">
        <v>596.14137527405899</v>
      </c>
      <c r="M4312">
        <v>12.0706978569096</v>
      </c>
      <c r="N4312">
        <v>56.377432814381898</v>
      </c>
      <c r="O4312">
        <v>48.090572503634299</v>
      </c>
      <c r="P4312">
        <v>-3.8408597722149398E-2</v>
      </c>
      <c r="Q4312">
        <v>0.38805317711829102</v>
      </c>
      <c r="R4312">
        <v>0.96443693782416995</v>
      </c>
      <c r="S4312" t="s">
        <v>10880</v>
      </c>
      <c r="T4312" t="s">
        <v>13134</v>
      </c>
      <c r="U4312" t="s">
        <v>13134</v>
      </c>
      <c r="V4312" t="s">
        <v>13134</v>
      </c>
      <c r="W4312" t="s">
        <v>17385</v>
      </c>
      <c r="X4312">
        <v>1</v>
      </c>
      <c r="Y4312" t="s">
        <v>23763</v>
      </c>
      <c r="Z4312" t="s">
        <v>30280</v>
      </c>
      <c r="AA4312">
        <v>0.65839426388597533</v>
      </c>
      <c r="AB4312" t="str">
        <f>HYPERLINK("Melting_Curves/meltCurve_Q7Z7N9_TMEM179B.pdf", "Melting_Curves/meltCurve_Q7Z7N9_TMEM179B.pdf")</f>
        <v>Melting_Curves/meltCurve_Q7Z7N9_TMEM179B.pdf</v>
      </c>
    </row>
    <row r="4313" spans="1:28" x14ac:dyDescent="0.25">
      <c r="A4313" t="s">
        <v>4317</v>
      </c>
      <c r="B4313">
        <v>0.99472303558308395</v>
      </c>
      <c r="C4313">
        <v>1.0021539979152101</v>
      </c>
      <c r="D4313">
        <v>0.93955146953578395</v>
      </c>
      <c r="E4313">
        <v>0.81351556256163504</v>
      </c>
      <c r="F4313">
        <v>0.57716431331543805</v>
      </c>
      <c r="G4313">
        <v>0.26290530544763402</v>
      </c>
      <c r="H4313">
        <v>9.2019390523450401E-2</v>
      </c>
      <c r="I4313">
        <v>8.1320789850531802E-2</v>
      </c>
      <c r="J4313">
        <v>9.3702785004505795E-2</v>
      </c>
      <c r="K4313">
        <v>9.8279942827073002E-2</v>
      </c>
      <c r="L4313">
        <v>994.27562417062404</v>
      </c>
      <c r="M4313">
        <v>19.759819849750102</v>
      </c>
      <c r="N4313">
        <v>50.6652320986923</v>
      </c>
      <c r="O4313">
        <v>49.8111959526315</v>
      </c>
      <c r="P4313">
        <v>-9.2897201395337595E-2</v>
      </c>
      <c r="Q4313">
        <v>6.3318846066370393E-2</v>
      </c>
      <c r="R4313">
        <v>0.995926724765403</v>
      </c>
      <c r="S4313" t="s">
        <v>10881</v>
      </c>
      <c r="T4313" t="s">
        <v>13134</v>
      </c>
      <c r="U4313" t="s">
        <v>13134</v>
      </c>
      <c r="V4313" t="s">
        <v>13134</v>
      </c>
      <c r="W4313" t="s">
        <v>17386</v>
      </c>
      <c r="X4313">
        <v>12</v>
      </c>
      <c r="Y4313" t="s">
        <v>23764</v>
      </c>
      <c r="Z4313" t="s">
        <v>30281</v>
      </c>
      <c r="AA4313">
        <v>0.49172393443898438</v>
      </c>
      <c r="AB4313" t="str">
        <f>HYPERLINK("Melting_Curves/meltCurve_Q86SF2_GALNT7.pdf", "Melting_Curves/meltCurve_Q86SF2_GALNT7.pdf")</f>
        <v>Melting_Curves/meltCurve_Q86SF2_GALNT7.pdf</v>
      </c>
    </row>
    <row r="4314" spans="1:28" x14ac:dyDescent="0.25">
      <c r="A4314" t="s">
        <v>4318</v>
      </c>
      <c r="B4314">
        <v>0.99472303558308395</v>
      </c>
      <c r="C4314">
        <v>1.00011239815835</v>
      </c>
      <c r="D4314">
        <v>0.98586321401986599</v>
      </c>
      <c r="E4314">
        <v>0.91753596637858603</v>
      </c>
      <c r="F4314">
        <v>0.75729744932782805</v>
      </c>
      <c r="G4314">
        <v>0.62872445908337204</v>
      </c>
      <c r="H4314">
        <v>0.37085286752714702</v>
      </c>
      <c r="I4314">
        <v>0.157180595940697</v>
      </c>
      <c r="J4314">
        <v>9.2569745569678702E-2</v>
      </c>
      <c r="K4314">
        <v>8.7632265364554401E-2</v>
      </c>
      <c r="L4314">
        <v>795.68835076785194</v>
      </c>
      <c r="M4314">
        <v>14.458413681805601</v>
      </c>
      <c r="N4314">
        <v>55.032894520761602</v>
      </c>
      <c r="O4314">
        <v>54.012258425952801</v>
      </c>
      <c r="P4314">
        <v>-6.6929716473436707E-2</v>
      </c>
      <c r="Q4314">
        <v>0</v>
      </c>
      <c r="R4314">
        <v>0.99497603770994403</v>
      </c>
      <c r="S4314" t="s">
        <v>10882</v>
      </c>
      <c r="T4314" t="s">
        <v>13134</v>
      </c>
      <c r="U4314" t="s">
        <v>13134</v>
      </c>
      <c r="V4314" t="s">
        <v>13134</v>
      </c>
      <c r="W4314" t="s">
        <v>17387</v>
      </c>
      <c r="X4314">
        <v>8</v>
      </c>
      <c r="Y4314" t="s">
        <v>23765</v>
      </c>
      <c r="Z4314" t="s">
        <v>30282</v>
      </c>
      <c r="AA4314">
        <v>0.61528616934590374</v>
      </c>
      <c r="AB4314" t="str">
        <f>HYPERLINK("Melting_Curves/meltCurve_Q86SQ9_3_DHDDS.pdf", "Melting_Curves/meltCurve_Q86SQ9_3_DHDDS.pdf")</f>
        <v>Melting_Curves/meltCurve_Q86SQ9_3_DHDDS.pdf</v>
      </c>
    </row>
    <row r="4315" spans="1:28" x14ac:dyDescent="0.25">
      <c r="A4315" t="s">
        <v>4319</v>
      </c>
      <c r="B4315">
        <v>0.99472303558308395</v>
      </c>
      <c r="C4315">
        <v>0.98939646373266499</v>
      </c>
      <c r="D4315">
        <v>1.0367423346195299</v>
      </c>
      <c r="E4315">
        <v>1.0001007311019401</v>
      </c>
      <c r="F4315">
        <v>0.78489243565752698</v>
      </c>
      <c r="G4315">
        <v>0.64161679862903598</v>
      </c>
      <c r="H4315">
        <v>0.39315735705387</v>
      </c>
      <c r="I4315">
        <v>0.23631632152641299</v>
      </c>
      <c r="J4315">
        <v>0.21098761190677101</v>
      </c>
      <c r="K4315">
        <v>0.170172138765421</v>
      </c>
      <c r="L4315">
        <v>934.69188428586199</v>
      </c>
      <c r="M4315">
        <v>17.157539408897101</v>
      </c>
      <c r="N4315">
        <v>55.516016065586399</v>
      </c>
      <c r="O4315">
        <v>53.753149002559901</v>
      </c>
      <c r="P4315">
        <v>-6.8843645709771806E-2</v>
      </c>
      <c r="Q4315">
        <v>0.137325666349321</v>
      </c>
      <c r="R4315">
        <v>0.99303104204637505</v>
      </c>
      <c r="S4315" t="s">
        <v>10883</v>
      </c>
      <c r="T4315" t="s">
        <v>13134</v>
      </c>
      <c r="U4315" t="s">
        <v>13134</v>
      </c>
      <c r="V4315" t="s">
        <v>13134</v>
      </c>
      <c r="W4315" t="s">
        <v>17388</v>
      </c>
      <c r="X4315">
        <v>5</v>
      </c>
      <c r="Y4315" t="s">
        <v>23766</v>
      </c>
      <c r="Z4315" t="s">
        <v>30283</v>
      </c>
      <c r="AA4315">
        <v>0.65181554293971666</v>
      </c>
      <c r="AB4315" t="str">
        <f>HYPERLINK("Melting_Curves/meltCurve_Q86SX6_GLRX5.pdf", "Melting_Curves/meltCurve_Q86SX6_GLRX5.pdf")</f>
        <v>Melting_Curves/meltCurve_Q86SX6_GLRX5.pdf</v>
      </c>
    </row>
    <row r="4316" spans="1:28" x14ac:dyDescent="0.25">
      <c r="A4316" t="s">
        <v>4320</v>
      </c>
      <c r="B4316">
        <v>0.99472303558308395</v>
      </c>
      <c r="C4316">
        <v>0.99530011145117703</v>
      </c>
      <c r="D4316">
        <v>0.87244733280470099</v>
      </c>
      <c r="E4316">
        <v>0.71971911067402805</v>
      </c>
      <c r="F4316">
        <v>0.57612995318823801</v>
      </c>
      <c r="G4316">
        <v>0.70224979884118399</v>
      </c>
      <c r="H4316">
        <v>0.245918892282871</v>
      </c>
      <c r="I4316">
        <v>7.8174893034744397E-2</v>
      </c>
      <c r="J4316">
        <v>6.4759416617009402E-2</v>
      </c>
      <c r="K4316">
        <v>5.9987857794360597E-2</v>
      </c>
      <c r="L4316">
        <v>583.01782891109303</v>
      </c>
      <c r="M4316">
        <v>11.0574723058964</v>
      </c>
      <c r="N4316">
        <v>52.726122922692198</v>
      </c>
      <c r="O4316">
        <v>51.089714466414698</v>
      </c>
      <c r="P4316">
        <v>-5.4126006010498301E-2</v>
      </c>
      <c r="Q4316">
        <v>0</v>
      </c>
      <c r="R4316">
        <v>0.92682779059891496</v>
      </c>
      <c r="S4316" t="s">
        <v>10884</v>
      </c>
      <c r="T4316" t="s">
        <v>13134</v>
      </c>
      <c r="U4316" t="s">
        <v>13134</v>
      </c>
      <c r="V4316" t="s">
        <v>13134</v>
      </c>
      <c r="W4316" t="s">
        <v>17389</v>
      </c>
      <c r="X4316">
        <v>5</v>
      </c>
      <c r="Y4316" t="s">
        <v>23767</v>
      </c>
      <c r="Z4316" t="s">
        <v>30284</v>
      </c>
      <c r="AA4316">
        <v>0.54701456951241278</v>
      </c>
      <c r="AB4316" t="str">
        <f>HYPERLINK("Melting_Curves/meltCurve_Q86SZ2_2_TRAPPC6B.pdf", "Melting_Curves/meltCurve_Q86SZ2_2_TRAPPC6B.pdf")</f>
        <v>Melting_Curves/meltCurve_Q86SZ2_2_TRAPPC6B.pdf</v>
      </c>
    </row>
    <row r="4317" spans="1:28" x14ac:dyDescent="0.25">
      <c r="A4317" t="s">
        <v>4321</v>
      </c>
      <c r="B4317">
        <v>0.99472303558308395</v>
      </c>
      <c r="C4317">
        <v>1.01593632787022</v>
      </c>
      <c r="D4317">
        <v>0.85535858795998898</v>
      </c>
      <c r="E4317">
        <v>0.80266165031561099</v>
      </c>
      <c r="F4317">
        <v>0.58005069841068202</v>
      </c>
      <c r="G4317">
        <v>0.32428025837240898</v>
      </c>
      <c r="H4317">
        <v>0.16812432758846599</v>
      </c>
      <c r="I4317">
        <v>0.13812562204964099</v>
      </c>
      <c r="J4317">
        <v>8.3345172987284305E-2</v>
      </c>
      <c r="K4317">
        <v>0.107003218392324</v>
      </c>
      <c r="L4317">
        <v>730.705773435124</v>
      </c>
      <c r="M4317">
        <v>14.4476476169399</v>
      </c>
      <c r="N4317">
        <v>50.9828082837004</v>
      </c>
      <c r="O4317">
        <v>49.636751520234498</v>
      </c>
      <c r="P4317">
        <v>-6.8814066182229697E-2</v>
      </c>
      <c r="Q4317">
        <v>5.4431973566865501E-2</v>
      </c>
      <c r="R4317">
        <v>0.99251679825730499</v>
      </c>
      <c r="S4317" t="s">
        <v>10885</v>
      </c>
      <c r="T4317" t="s">
        <v>13134</v>
      </c>
      <c r="U4317" t="s">
        <v>13134</v>
      </c>
      <c r="V4317" t="s">
        <v>13134</v>
      </c>
      <c r="W4317" t="s">
        <v>17390</v>
      </c>
      <c r="X4317">
        <v>3</v>
      </c>
      <c r="Y4317" t="s">
        <v>23768</v>
      </c>
      <c r="Z4317" t="s">
        <v>30285</v>
      </c>
      <c r="AA4317">
        <v>0.50270634619502941</v>
      </c>
      <c r="AB4317" t="str">
        <f>HYPERLINK("Melting_Curves/meltCurve_Q86T03_TMEM55B.pdf", "Melting_Curves/meltCurve_Q86T03_TMEM55B.pdf")</f>
        <v>Melting_Curves/meltCurve_Q86T03_TMEM55B.pdf</v>
      </c>
    </row>
    <row r="4318" spans="1:28" x14ac:dyDescent="0.25">
      <c r="A4318" t="s">
        <v>4322</v>
      </c>
      <c r="B4318">
        <v>0.99472303558308395</v>
      </c>
      <c r="C4318">
        <v>0.95877205757190898</v>
      </c>
      <c r="D4318">
        <v>0.98327843019421302</v>
      </c>
      <c r="E4318">
        <v>0.80647084743827302</v>
      </c>
      <c r="F4318">
        <v>0.13961148147698099</v>
      </c>
      <c r="G4318">
        <v>5.4875386559201399E-2</v>
      </c>
      <c r="H4318">
        <v>2.34385533086784E-2</v>
      </c>
      <c r="I4318">
        <v>1.68341721992308E-2</v>
      </c>
      <c r="J4318">
        <v>2.6376265966623701E-2</v>
      </c>
      <c r="K4318">
        <v>2.2066977617003401E-2</v>
      </c>
      <c r="L4318">
        <v>2196.3954320026701</v>
      </c>
      <c r="M4318">
        <v>45.749895795373199</v>
      </c>
      <c r="N4318">
        <v>48.066243430334602</v>
      </c>
      <c r="O4318">
        <v>47.917288199766702</v>
      </c>
      <c r="P4318">
        <v>-0.23233709177868</v>
      </c>
      <c r="Q4318">
        <v>2.6624974820770801E-2</v>
      </c>
      <c r="R4318">
        <v>0.99872423280492495</v>
      </c>
      <c r="S4318" t="s">
        <v>10886</v>
      </c>
      <c r="T4318" t="s">
        <v>13134</v>
      </c>
      <c r="U4318" t="s">
        <v>13134</v>
      </c>
      <c r="V4318" t="s">
        <v>13134</v>
      </c>
      <c r="W4318" t="s">
        <v>17391</v>
      </c>
      <c r="X4318">
        <v>2</v>
      </c>
      <c r="Y4318" t="s">
        <v>23769</v>
      </c>
      <c r="Z4318" t="s">
        <v>30286</v>
      </c>
      <c r="AA4318">
        <v>0.38627778158869308</v>
      </c>
      <c r="AB4318" t="str">
        <f>HYPERLINK("Melting_Curves/meltCurve_Q86TA1_MOB3B.pdf", "Melting_Curves/meltCurve_Q86TA1_MOB3B.pdf")</f>
        <v>Melting_Curves/meltCurve_Q86TA1_MOB3B.pdf</v>
      </c>
    </row>
    <row r="4319" spans="1:28" x14ac:dyDescent="0.25">
      <c r="A4319" t="s">
        <v>4323</v>
      </c>
      <c r="B4319">
        <v>0.99472303558308395</v>
      </c>
      <c r="C4319">
        <v>1.01643460219996</v>
      </c>
      <c r="D4319">
        <v>0.723201032663357</v>
      </c>
      <c r="E4319">
        <v>0.32780453441399798</v>
      </c>
      <c r="F4319">
        <v>0.19651202851973601</v>
      </c>
      <c r="G4319">
        <v>0.117986015019469</v>
      </c>
      <c r="H4319">
        <v>0.100195612356641</v>
      </c>
      <c r="I4319">
        <v>8.5426899778913906E-2</v>
      </c>
      <c r="J4319">
        <v>9.6176929538685202E-2</v>
      </c>
      <c r="K4319">
        <v>9.4127996937828695E-2</v>
      </c>
      <c r="L4319">
        <v>1098.70074533053</v>
      </c>
      <c r="M4319">
        <v>24.629681776691001</v>
      </c>
      <c r="N4319">
        <v>45.022503964955199</v>
      </c>
      <c r="O4319">
        <v>44.317854232535801</v>
      </c>
      <c r="P4319">
        <v>-0.124869316791552</v>
      </c>
      <c r="Q4319">
        <v>0.10126955406283999</v>
      </c>
      <c r="R4319">
        <v>0.99510042078698402</v>
      </c>
      <c r="S4319" t="s">
        <v>10887</v>
      </c>
      <c r="T4319" t="s">
        <v>13134</v>
      </c>
      <c r="U4319" t="s">
        <v>13134</v>
      </c>
      <c r="V4319" t="s">
        <v>13134</v>
      </c>
      <c r="W4319" t="s">
        <v>17392</v>
      </c>
      <c r="X4319">
        <v>8</v>
      </c>
      <c r="Y4319" t="s">
        <v>23770</v>
      </c>
      <c r="Z4319" t="s">
        <v>30287</v>
      </c>
      <c r="AA4319">
        <v>0.33681682747006497</v>
      </c>
      <c r="AB4319" t="str">
        <f>HYPERLINK("Melting_Curves/meltCurve_Q86TB9_4_PATL1.pdf", "Melting_Curves/meltCurve_Q86TB9_4_PATL1.pdf")</f>
        <v>Melting_Curves/meltCurve_Q86TB9_4_PATL1.pdf</v>
      </c>
    </row>
    <row r="4320" spans="1:28" x14ac:dyDescent="0.25">
      <c r="A4320" t="s">
        <v>4324</v>
      </c>
      <c r="B4320">
        <v>0.99472303558308395</v>
      </c>
      <c r="C4320">
        <v>1.1634993901741999</v>
      </c>
      <c r="D4320">
        <v>0.97614749276472701</v>
      </c>
      <c r="E4320">
        <v>0.86352798748340898</v>
      </c>
      <c r="F4320">
        <v>0.49396236562575402</v>
      </c>
      <c r="G4320">
        <v>7.43742079714204E-2</v>
      </c>
      <c r="H4320">
        <v>4.9185324848943397E-2</v>
      </c>
      <c r="I4320">
        <v>5.4697803339472301E-2</v>
      </c>
      <c r="J4320">
        <v>6.6740036750894197E-2</v>
      </c>
      <c r="K4320">
        <v>5.46182691845295E-2</v>
      </c>
      <c r="L4320">
        <v>1579.7184287361599</v>
      </c>
      <c r="M4320">
        <v>31.718729609122502</v>
      </c>
      <c r="N4320">
        <v>49.947004727397903</v>
      </c>
      <c r="O4320">
        <v>49.607252627700397</v>
      </c>
      <c r="P4320">
        <v>-0.152909745289532</v>
      </c>
      <c r="Q4320">
        <v>4.34178342478364E-2</v>
      </c>
      <c r="R4320">
        <v>0.98346405592506503</v>
      </c>
      <c r="S4320" t="s">
        <v>10888</v>
      </c>
      <c r="T4320" t="s">
        <v>13134</v>
      </c>
      <c r="U4320" t="s">
        <v>13134</v>
      </c>
      <c r="V4320" t="s">
        <v>13134</v>
      </c>
      <c r="W4320" t="s">
        <v>17393</v>
      </c>
      <c r="X4320">
        <v>5</v>
      </c>
      <c r="Y4320" t="s">
        <v>23771</v>
      </c>
      <c r="Z4320" t="s">
        <v>30288</v>
      </c>
      <c r="AA4320">
        <v>0.45692397451983741</v>
      </c>
      <c r="AB4320" t="str">
        <f>HYPERLINK("Melting_Curves/meltCurve_Q86TI2_DPP9.pdf", "Melting_Curves/meltCurve_Q86TI2_DPP9.pdf")</f>
        <v>Melting_Curves/meltCurve_Q86TI2_DPP9.pdf</v>
      </c>
    </row>
    <row r="4321" spans="1:28" x14ac:dyDescent="0.25">
      <c r="A4321" t="s">
        <v>4325</v>
      </c>
      <c r="B4321">
        <v>0.99472303558308395</v>
      </c>
      <c r="C4321">
        <v>0.99561538137613603</v>
      </c>
      <c r="D4321">
        <v>0.85584254654687497</v>
      </c>
      <c r="E4321">
        <v>0.64134016565861296</v>
      </c>
      <c r="F4321">
        <v>0.45709361209453803</v>
      </c>
      <c r="G4321">
        <v>0.214553533494557</v>
      </c>
      <c r="H4321">
        <v>0.12861217041324799</v>
      </c>
      <c r="I4321">
        <v>0.12169152556676099</v>
      </c>
      <c r="J4321">
        <v>0.10879198247848899</v>
      </c>
      <c r="K4321">
        <v>7.9026519906023704E-2</v>
      </c>
      <c r="L4321">
        <v>713.35088350415401</v>
      </c>
      <c r="M4321">
        <v>14.743336900026099</v>
      </c>
      <c r="N4321">
        <v>48.869803774763199</v>
      </c>
      <c r="O4321">
        <v>47.520626517940002</v>
      </c>
      <c r="P4321">
        <v>-7.2290094306923403E-2</v>
      </c>
      <c r="Q4321">
        <v>6.8080911881600203E-2</v>
      </c>
      <c r="R4321">
        <v>0.99580011795089296</v>
      </c>
      <c r="S4321" t="s">
        <v>10889</v>
      </c>
      <c r="T4321" t="s">
        <v>13134</v>
      </c>
      <c r="U4321" t="s">
        <v>13134</v>
      </c>
      <c r="V4321" t="s">
        <v>13134</v>
      </c>
      <c r="W4321" t="s">
        <v>17394</v>
      </c>
      <c r="X4321">
        <v>3</v>
      </c>
      <c r="Y4321" t="s">
        <v>23772</v>
      </c>
      <c r="Z4321" t="s">
        <v>30289</v>
      </c>
      <c r="AA4321">
        <v>0.44266208704556309</v>
      </c>
      <c r="AB4321" t="str">
        <f>HYPERLINK("Melting_Curves/meltCurve_Q86TM6_2_SYVN1.pdf", "Melting_Curves/meltCurve_Q86TM6_2_SYVN1.pdf")</f>
        <v>Melting_Curves/meltCurve_Q86TM6_2_SYVN1.pdf</v>
      </c>
    </row>
    <row r="4322" spans="1:28" x14ac:dyDescent="0.25">
      <c r="A4322" t="s">
        <v>4326</v>
      </c>
      <c r="B4322">
        <v>0.99472303558308395</v>
      </c>
      <c r="C4322">
        <v>1.00427715206673</v>
      </c>
      <c r="D4322">
        <v>1.0368491220977301</v>
      </c>
      <c r="E4322">
        <v>0.76597952853724005</v>
      </c>
      <c r="F4322">
        <v>0.47743696067922797</v>
      </c>
      <c r="G4322">
        <v>0.25261409242956501</v>
      </c>
      <c r="H4322">
        <v>0.123929385680579</v>
      </c>
      <c r="I4322">
        <v>6.5918043696455306E-2</v>
      </c>
      <c r="J4322">
        <v>0.113461031094057</v>
      </c>
      <c r="K4322">
        <v>0.105539113952883</v>
      </c>
      <c r="L4322">
        <v>1034.29119542282</v>
      </c>
      <c r="M4322">
        <v>20.916231785562299</v>
      </c>
      <c r="N4322">
        <v>49.909894993481799</v>
      </c>
      <c r="O4322">
        <v>49.003872157666898</v>
      </c>
      <c r="P4322">
        <v>-9.7342488761053697E-2</v>
      </c>
      <c r="Q4322">
        <v>8.7784423463927605E-2</v>
      </c>
      <c r="R4322">
        <v>0.99376632259810604</v>
      </c>
      <c r="S4322" t="s">
        <v>10890</v>
      </c>
      <c r="T4322" t="s">
        <v>13134</v>
      </c>
      <c r="U4322" t="s">
        <v>13134</v>
      </c>
      <c r="V4322" t="s">
        <v>13134</v>
      </c>
      <c r="W4322" t="s">
        <v>17395</v>
      </c>
      <c r="X4322">
        <v>5</v>
      </c>
      <c r="Y4322" t="s">
        <v>23773</v>
      </c>
      <c r="Z4322" t="s">
        <v>30290</v>
      </c>
      <c r="AA4322">
        <v>0.47741648611438592</v>
      </c>
      <c r="AB4322" t="str">
        <f>HYPERLINK("Melting_Curves/meltCurve_Q86TN4_TRPT1.pdf", "Melting_Curves/meltCurve_Q86TN4_TRPT1.pdf")</f>
        <v>Melting_Curves/meltCurve_Q86TN4_TRPT1.pdf</v>
      </c>
    </row>
    <row r="4323" spans="1:28" x14ac:dyDescent="0.25">
      <c r="A4323" t="s">
        <v>4327</v>
      </c>
      <c r="B4323">
        <v>0.99472303558308395</v>
      </c>
      <c r="C4323">
        <v>1.00469895304854</v>
      </c>
      <c r="D4323">
        <v>1.00839394030084</v>
      </c>
      <c r="E4323">
        <v>0.81885926309219104</v>
      </c>
      <c r="F4323">
        <v>0.28524610497012098</v>
      </c>
      <c r="G4323">
        <v>0.110462942366666</v>
      </c>
      <c r="H4323">
        <v>6.8682075599270004E-2</v>
      </c>
      <c r="I4323">
        <v>4.6657361707906797E-2</v>
      </c>
      <c r="J4323">
        <v>4.6130688960303597E-2</v>
      </c>
      <c r="K4323">
        <v>4.3672070455411202E-2</v>
      </c>
      <c r="L4323">
        <v>1639.14517847292</v>
      </c>
      <c r="M4323">
        <v>33.742283371575802</v>
      </c>
      <c r="N4323">
        <v>48.742916418248697</v>
      </c>
      <c r="O4323">
        <v>48.408672152578497</v>
      </c>
      <c r="P4323">
        <v>-0.16487701448356701</v>
      </c>
      <c r="Q4323">
        <v>5.3834202141466302E-2</v>
      </c>
      <c r="R4323">
        <v>0.99927651042756005</v>
      </c>
      <c r="S4323" t="s">
        <v>10891</v>
      </c>
      <c r="T4323" t="s">
        <v>13134</v>
      </c>
      <c r="U4323" t="s">
        <v>13134</v>
      </c>
      <c r="V4323" t="s">
        <v>13134</v>
      </c>
      <c r="W4323" t="s">
        <v>17396</v>
      </c>
      <c r="X4323">
        <v>10</v>
      </c>
      <c r="Y4323" t="s">
        <v>23774</v>
      </c>
      <c r="Z4323" t="s">
        <v>30291</v>
      </c>
      <c r="AA4323">
        <v>0.42347703305131429</v>
      </c>
      <c r="AB4323" t="str">
        <f>HYPERLINK("Melting_Curves/meltCurve_Q86TP1_PRUNE.pdf", "Melting_Curves/meltCurve_Q86TP1_PRUNE.pdf")</f>
        <v>Melting_Curves/meltCurve_Q86TP1_PRUNE.pdf</v>
      </c>
    </row>
    <row r="4324" spans="1:28" x14ac:dyDescent="0.25">
      <c r="A4324" t="s">
        <v>4328</v>
      </c>
      <c r="B4324">
        <v>0.99472303558308395</v>
      </c>
      <c r="C4324">
        <v>0.96706781105741602</v>
      </c>
      <c r="D4324">
        <v>0.98950138775302998</v>
      </c>
      <c r="E4324">
        <v>0.91340070715888999</v>
      </c>
      <c r="F4324">
        <v>0.76525582440867701</v>
      </c>
      <c r="G4324">
        <v>0.44172259017739401</v>
      </c>
      <c r="H4324">
        <v>0.117043222185457</v>
      </c>
      <c r="I4324">
        <v>6.02970116577334E-2</v>
      </c>
      <c r="J4324">
        <v>5.9924667163258102E-2</v>
      </c>
      <c r="K4324">
        <v>7.5795927575679101E-2</v>
      </c>
      <c r="L4324">
        <v>1218.6436548446</v>
      </c>
      <c r="M4324">
        <v>23.123707861112901</v>
      </c>
      <c r="N4324">
        <v>52.879154218454097</v>
      </c>
      <c r="O4324">
        <v>52.311667254400298</v>
      </c>
      <c r="P4324">
        <v>-0.10637137707258799</v>
      </c>
      <c r="Q4324">
        <v>3.7462252017591097E-2</v>
      </c>
      <c r="R4324">
        <v>0.99540448941156001</v>
      </c>
      <c r="S4324" t="s">
        <v>10892</v>
      </c>
      <c r="T4324" t="s">
        <v>13134</v>
      </c>
      <c r="U4324" t="s">
        <v>13134</v>
      </c>
      <c r="V4324" t="s">
        <v>13134</v>
      </c>
      <c r="W4324" t="s">
        <v>17397</v>
      </c>
      <c r="X4324">
        <v>18</v>
      </c>
      <c r="Y4324" t="s">
        <v>23775</v>
      </c>
      <c r="Z4324" t="s">
        <v>30292</v>
      </c>
      <c r="AA4324">
        <v>0.55095562052864389</v>
      </c>
      <c r="AB4324" t="str">
        <f>HYPERLINK("Melting_Curves/meltCurve_Q86TU7_SETD3.pdf", "Melting_Curves/meltCurve_Q86TU7_SETD3.pdf")</f>
        <v>Melting_Curves/meltCurve_Q86TU7_SETD3.pdf</v>
      </c>
    </row>
    <row r="4325" spans="1:28" x14ac:dyDescent="0.25">
      <c r="A4325" t="s">
        <v>4329</v>
      </c>
      <c r="B4325">
        <v>0.99472303558308395</v>
      </c>
      <c r="C4325">
        <v>0.82074636849289495</v>
      </c>
      <c r="D4325">
        <v>0.77498002547161704</v>
      </c>
      <c r="E4325">
        <v>0.57504794832218398</v>
      </c>
      <c r="F4325">
        <v>0.53499699606923901</v>
      </c>
      <c r="G4325">
        <v>0.21240053714943399</v>
      </c>
      <c r="H4325">
        <v>0.111156984186183</v>
      </c>
      <c r="I4325">
        <v>4.5745124006547198E-2</v>
      </c>
      <c r="J4325">
        <v>7.5638376044584593E-2</v>
      </c>
      <c r="K4325">
        <v>6.2992146492548903E-2</v>
      </c>
      <c r="L4325">
        <v>506.26162612550303</v>
      </c>
      <c r="M4325">
        <v>10.4768441653616</v>
      </c>
      <c r="N4325">
        <v>48.321958264502399</v>
      </c>
      <c r="O4325">
        <v>46.661014659147398</v>
      </c>
      <c r="P4325">
        <v>-5.615559407502E-2</v>
      </c>
      <c r="Q4325">
        <v>0</v>
      </c>
      <c r="R4325">
        <v>0.971905812747486</v>
      </c>
      <c r="S4325" t="s">
        <v>10893</v>
      </c>
      <c r="T4325" t="s">
        <v>13134</v>
      </c>
      <c r="U4325" t="s">
        <v>13134</v>
      </c>
      <c r="V4325" t="s">
        <v>13134</v>
      </c>
      <c r="W4325" t="s">
        <v>17398</v>
      </c>
      <c r="X4325">
        <v>4</v>
      </c>
      <c r="Y4325" t="s">
        <v>23776</v>
      </c>
      <c r="Z4325" t="s">
        <v>30293</v>
      </c>
      <c r="AA4325">
        <v>0.4143819558814632</v>
      </c>
      <c r="AB4325" t="str">
        <f>HYPERLINK("Melting_Curves/meltCurve_Q86TV6_TTC7B.pdf", "Melting_Curves/meltCurve_Q86TV6_TTC7B.pdf")</f>
        <v>Melting_Curves/meltCurve_Q86TV6_TTC7B.pdf</v>
      </c>
    </row>
    <row r="4326" spans="1:28" x14ac:dyDescent="0.25">
      <c r="A4326" t="s">
        <v>4330</v>
      </c>
      <c r="B4326">
        <v>0.99472303558308395</v>
      </c>
      <c r="C4326">
        <v>1.2863291000508601</v>
      </c>
      <c r="D4326">
        <v>0</v>
      </c>
      <c r="E4326">
        <v>0.228330526032818</v>
      </c>
      <c r="F4326">
        <v>0.15625273651680199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10386.25137636</v>
      </c>
      <c r="M4326">
        <v>250</v>
      </c>
      <c r="N4326">
        <v>41.561805445848996</v>
      </c>
      <c r="O4326">
        <v>41.542347426561697</v>
      </c>
      <c r="P4326">
        <v>-1.4321980552518501</v>
      </c>
      <c r="Q4326">
        <v>4.8050106046169397E-2</v>
      </c>
      <c r="R4326">
        <v>0.93029640494946197</v>
      </c>
      <c r="S4326" t="s">
        <v>10894</v>
      </c>
      <c r="T4326" t="s">
        <v>13134</v>
      </c>
      <c r="U4326" t="s">
        <v>13134</v>
      </c>
      <c r="V4326" t="s">
        <v>13134</v>
      </c>
      <c r="W4326" t="s">
        <v>17399</v>
      </c>
      <c r="X4326">
        <v>3</v>
      </c>
      <c r="Y4326" t="s">
        <v>23777</v>
      </c>
      <c r="Z4326" t="s">
        <v>30294</v>
      </c>
      <c r="AA4326">
        <v>0.19234009714151959</v>
      </c>
      <c r="AB4326" t="str">
        <f>HYPERLINK("Melting_Curves/meltCurve_Q86U06_4_RBM23.pdf", "Melting_Curves/meltCurve_Q86U06_4_RBM23.pdf")</f>
        <v>Melting_Curves/meltCurve_Q86U06_4_RBM23.pdf</v>
      </c>
    </row>
    <row r="4327" spans="1:28" x14ac:dyDescent="0.25">
      <c r="A4327" t="s">
        <v>4331</v>
      </c>
      <c r="B4327">
        <v>0.99472303558308395</v>
      </c>
      <c r="C4327">
        <v>0.85271657181623794</v>
      </c>
      <c r="D4327">
        <v>0.91279259774061905</v>
      </c>
      <c r="E4327">
        <v>0.77232783757019097</v>
      </c>
      <c r="F4327">
        <v>0.42845643679086198</v>
      </c>
      <c r="G4327">
        <v>0.27662272481931099</v>
      </c>
      <c r="H4327">
        <v>0.116918025763739</v>
      </c>
      <c r="I4327">
        <v>5.9689186816572301E-2</v>
      </c>
      <c r="J4327">
        <v>5.6813899935401903E-2</v>
      </c>
      <c r="K4327">
        <v>5.5566636938268597E-2</v>
      </c>
      <c r="L4327">
        <v>727.70504244429401</v>
      </c>
      <c r="M4327">
        <v>14.673870632727899</v>
      </c>
      <c r="N4327">
        <v>49.7080223878027</v>
      </c>
      <c r="O4327">
        <v>48.698179874097796</v>
      </c>
      <c r="P4327">
        <v>-7.4069314206586898E-2</v>
      </c>
      <c r="Q4327">
        <v>1.6852819133244299E-2</v>
      </c>
      <c r="R4327">
        <v>0.98582327739976405</v>
      </c>
      <c r="S4327" t="s">
        <v>10895</v>
      </c>
      <c r="T4327" t="s">
        <v>13134</v>
      </c>
      <c r="U4327" t="s">
        <v>13134</v>
      </c>
      <c r="V4327" t="s">
        <v>13134</v>
      </c>
      <c r="W4327" t="s">
        <v>17400</v>
      </c>
      <c r="X4327">
        <v>6</v>
      </c>
      <c r="Y4327" t="s">
        <v>23778</v>
      </c>
      <c r="Z4327" t="s">
        <v>30295</v>
      </c>
      <c r="AA4327">
        <v>0.45101049135969967</v>
      </c>
      <c r="AB4327" t="str">
        <f>HYPERLINK("Melting_Curves/meltCurve_Q86U28_ISCA2.pdf", "Melting_Curves/meltCurve_Q86U28_ISCA2.pdf")</f>
        <v>Melting_Curves/meltCurve_Q86U28_ISCA2.pdf</v>
      </c>
    </row>
    <row r="4328" spans="1:28" x14ac:dyDescent="0.25">
      <c r="A4328" t="s">
        <v>4332</v>
      </c>
      <c r="B4328">
        <v>0.99472303558308395</v>
      </c>
      <c r="C4328">
        <v>0.89319371705876205</v>
      </c>
      <c r="D4328">
        <v>1.0364829158748701</v>
      </c>
      <c r="E4328">
        <v>0.47758778465423402</v>
      </c>
      <c r="F4328">
        <v>0.118179713179712</v>
      </c>
      <c r="G4328">
        <v>6.96184656029675E-2</v>
      </c>
      <c r="H4328">
        <v>5.1767705071818403E-2</v>
      </c>
      <c r="I4328">
        <v>4.1476594726047603E-2</v>
      </c>
      <c r="J4328">
        <v>5.1049949844314303E-2</v>
      </c>
      <c r="K4328">
        <v>5.0269951750183402E-2</v>
      </c>
      <c r="L4328">
        <v>2525.2176143955899</v>
      </c>
      <c r="M4328">
        <v>54.391980586206301</v>
      </c>
      <c r="N4328">
        <v>46.536741138317602</v>
      </c>
      <c r="O4328">
        <v>46.363669216822203</v>
      </c>
      <c r="P4328">
        <v>-0.27552951001249898</v>
      </c>
      <c r="Q4328">
        <v>6.05565323334879E-2</v>
      </c>
      <c r="R4328">
        <v>0.99033857770005995</v>
      </c>
      <c r="S4328" t="s">
        <v>10896</v>
      </c>
      <c r="T4328" t="s">
        <v>13134</v>
      </c>
      <c r="U4328" t="s">
        <v>13134</v>
      </c>
      <c r="V4328" t="s">
        <v>13134</v>
      </c>
      <c r="W4328" t="s">
        <v>17401</v>
      </c>
      <c r="X4328">
        <v>4</v>
      </c>
      <c r="Y4328" t="s">
        <v>23779</v>
      </c>
      <c r="Z4328" t="s">
        <v>30296</v>
      </c>
      <c r="AA4328">
        <v>0.3573629242164742</v>
      </c>
      <c r="AB4328" t="str">
        <f>HYPERLINK("Melting_Curves/meltCurve_Q86U38_NOP9.pdf", "Melting_Curves/meltCurve_Q86U38_NOP9.pdf")</f>
        <v>Melting_Curves/meltCurve_Q86U38_NOP9.pdf</v>
      </c>
    </row>
    <row r="4329" spans="1:28" x14ac:dyDescent="0.25">
      <c r="A4329" t="s">
        <v>4333</v>
      </c>
      <c r="B4329">
        <v>0.99472303558308395</v>
      </c>
      <c r="C4329">
        <v>1.01042925122161</v>
      </c>
      <c r="D4329">
        <v>0.86753851520238001</v>
      </c>
      <c r="E4329">
        <v>0.77558538859642201</v>
      </c>
      <c r="F4329">
        <v>0.59017026590181998</v>
      </c>
      <c r="G4329">
        <v>0.170627031076412</v>
      </c>
      <c r="H4329">
        <v>5.2134883172478302E-2</v>
      </c>
      <c r="I4329">
        <v>3.9791170477716797E-2</v>
      </c>
      <c r="J4329">
        <v>5.2430121470671401E-2</v>
      </c>
      <c r="K4329">
        <v>4.0520151456806597E-2</v>
      </c>
      <c r="L4329">
        <v>928.04196201479397</v>
      </c>
      <c r="M4329">
        <v>18.485242547049999</v>
      </c>
      <c r="N4329">
        <v>50.235727998386601</v>
      </c>
      <c r="O4329">
        <v>49.6279976425228</v>
      </c>
      <c r="P4329">
        <v>-9.2590823709880393E-2</v>
      </c>
      <c r="Q4329">
        <v>5.7164728459786398E-3</v>
      </c>
      <c r="R4329">
        <v>0.98550761156996802</v>
      </c>
      <c r="S4329" t="s">
        <v>10897</v>
      </c>
      <c r="T4329" t="s">
        <v>13134</v>
      </c>
      <c r="U4329" t="s">
        <v>13134</v>
      </c>
      <c r="V4329" t="s">
        <v>13134</v>
      </c>
      <c r="W4329" t="s">
        <v>17402</v>
      </c>
      <c r="X4329">
        <v>8</v>
      </c>
      <c r="Y4329" t="s">
        <v>23780</v>
      </c>
      <c r="Z4329" t="s">
        <v>30297</v>
      </c>
      <c r="AA4329">
        <v>0.45830518172503848</v>
      </c>
      <c r="AB4329" t="str">
        <f>HYPERLINK("Melting_Curves/meltCurve_Q86U44_METTL3.pdf", "Melting_Curves/meltCurve_Q86U44_METTL3.pdf")</f>
        <v>Melting_Curves/meltCurve_Q86U44_METTL3.pdf</v>
      </c>
    </row>
    <row r="4330" spans="1:28" x14ac:dyDescent="0.25">
      <c r="A4330" t="s">
        <v>4334</v>
      </c>
      <c r="B4330">
        <v>0.99472303558308395</v>
      </c>
      <c r="C4330">
        <v>1.0591159135147801</v>
      </c>
      <c r="D4330">
        <v>0.87021811247745195</v>
      </c>
      <c r="E4330">
        <v>0.74765954083045505</v>
      </c>
      <c r="F4330">
        <v>0.69268464026215704</v>
      </c>
      <c r="G4330">
        <v>0.47931063683068098</v>
      </c>
      <c r="H4330">
        <v>0.31413477046198901</v>
      </c>
      <c r="I4330">
        <v>0.20468029775495999</v>
      </c>
      <c r="J4330">
        <v>0.18321998156621899</v>
      </c>
      <c r="K4330">
        <v>0.14900188304280601</v>
      </c>
      <c r="L4330">
        <v>544.75980244256095</v>
      </c>
      <c r="M4330">
        <v>10.341963352993099</v>
      </c>
      <c r="N4330">
        <v>53.135761682557003</v>
      </c>
      <c r="O4330">
        <v>50.819341301138898</v>
      </c>
      <c r="P4330">
        <v>-4.8713607195951199E-2</v>
      </c>
      <c r="Q4330">
        <v>4.2914673259535303E-2</v>
      </c>
      <c r="R4330">
        <v>0.98388657136244595</v>
      </c>
      <c r="S4330" t="s">
        <v>10898</v>
      </c>
      <c r="T4330" t="s">
        <v>13134</v>
      </c>
      <c r="U4330" t="s">
        <v>13134</v>
      </c>
      <c r="V4330" t="s">
        <v>13134</v>
      </c>
      <c r="W4330" t="s">
        <v>17403</v>
      </c>
      <c r="X4330">
        <v>4</v>
      </c>
      <c r="Y4330" t="s">
        <v>23781</v>
      </c>
      <c r="Z4330" t="s">
        <v>30298</v>
      </c>
      <c r="AA4330">
        <v>0.56556927105345456</v>
      </c>
      <c r="AB4330" t="str">
        <f>HYPERLINK("Melting_Curves/meltCurve_Q86U70_3_LDB1.pdf", "Melting_Curves/meltCurve_Q86U70_3_LDB1.pdf")</f>
        <v>Melting_Curves/meltCurve_Q86U70_3_LDB1.pdf</v>
      </c>
    </row>
    <row r="4331" spans="1:28" x14ac:dyDescent="0.25">
      <c r="A4331" t="s">
        <v>4335</v>
      </c>
      <c r="B4331">
        <v>0.99472303558308395</v>
      </c>
      <c r="C4331">
        <v>0.97643760509603394</v>
      </c>
      <c r="D4331">
        <v>1.07977002024302</v>
      </c>
      <c r="E4331">
        <v>1.0103919119346101</v>
      </c>
      <c r="F4331">
        <v>0.689908484022971</v>
      </c>
      <c r="G4331">
        <v>0.51859594296431499</v>
      </c>
      <c r="H4331">
        <v>0.11360399583184801</v>
      </c>
      <c r="I4331">
        <v>4.38199988166737E-2</v>
      </c>
      <c r="J4331">
        <v>3.4464753958534898E-2</v>
      </c>
      <c r="K4331">
        <v>4.12254949219579E-2</v>
      </c>
      <c r="L4331">
        <v>1134.0439369686901</v>
      </c>
      <c r="M4331">
        <v>21.3460079958402</v>
      </c>
      <c r="N4331">
        <v>53.137922075221397</v>
      </c>
      <c r="O4331">
        <v>52.667098184216002</v>
      </c>
      <c r="P4331">
        <v>-0.101100791290306</v>
      </c>
      <c r="Q4331">
        <v>2.2398303065178302E-3</v>
      </c>
      <c r="R4331">
        <v>0.98369950805261697</v>
      </c>
      <c r="S4331" t="s">
        <v>10899</v>
      </c>
      <c r="T4331" t="s">
        <v>13134</v>
      </c>
      <c r="U4331" t="s">
        <v>13134</v>
      </c>
      <c r="V4331" t="s">
        <v>13134</v>
      </c>
      <c r="W4331" t="s">
        <v>17404</v>
      </c>
      <c r="X4331">
        <v>12</v>
      </c>
      <c r="Y4331" t="s">
        <v>23782</v>
      </c>
      <c r="Z4331" t="s">
        <v>30299</v>
      </c>
      <c r="AA4331">
        <v>0.54996612030373104</v>
      </c>
      <c r="AB4331" t="str">
        <f>HYPERLINK("Melting_Curves/meltCurve_Q86U90_YRDC.pdf", "Melting_Curves/meltCurve_Q86U90_YRDC.pdf")</f>
        <v>Melting_Curves/meltCurve_Q86U90_YRDC.pdf</v>
      </c>
    </row>
    <row r="4332" spans="1:28" x14ac:dyDescent="0.25">
      <c r="A4332" t="s">
        <v>4336</v>
      </c>
      <c r="B4332">
        <v>0.99472303558308395</v>
      </c>
      <c r="C4332">
        <v>0.86053162587786802</v>
      </c>
      <c r="D4332">
        <v>0.71965365303267803</v>
      </c>
      <c r="E4332">
        <v>0.33748907333830103</v>
      </c>
      <c r="F4332">
        <v>0.21741428321992401</v>
      </c>
      <c r="G4332">
        <v>0.13943173099647099</v>
      </c>
      <c r="H4332">
        <v>6.8771116154038595E-2</v>
      </c>
      <c r="I4332">
        <v>9.1455073998615494E-2</v>
      </c>
      <c r="J4332">
        <v>8.9120081887247599E-2</v>
      </c>
      <c r="K4332">
        <v>8.2049859856955606E-2</v>
      </c>
      <c r="L4332">
        <v>784.12161443423497</v>
      </c>
      <c r="M4332">
        <v>17.586862693761098</v>
      </c>
      <c r="N4332">
        <v>45.032699067882497</v>
      </c>
      <c r="O4332">
        <v>44.021190516902699</v>
      </c>
      <c r="P4332">
        <v>-9.1882145330829404E-2</v>
      </c>
      <c r="Q4332">
        <v>8.0099569830034897E-2</v>
      </c>
      <c r="R4332">
        <v>0.99488765017819403</v>
      </c>
      <c r="S4332" t="s">
        <v>10900</v>
      </c>
      <c r="T4332" t="s">
        <v>13134</v>
      </c>
      <c r="U4332" t="s">
        <v>13134</v>
      </c>
      <c r="V4332" t="s">
        <v>13134</v>
      </c>
      <c r="W4332" t="s">
        <v>17405</v>
      </c>
      <c r="X4332">
        <v>12</v>
      </c>
      <c r="Y4332" t="s">
        <v>23783</v>
      </c>
      <c r="Z4332" t="s">
        <v>30300</v>
      </c>
      <c r="AA4332">
        <v>0.32868364752043311</v>
      </c>
      <c r="AB4332" t="str">
        <f>HYPERLINK("Melting_Curves/meltCurve_Q86UA1_PRPF39.pdf", "Melting_Curves/meltCurve_Q86UA1_PRPF39.pdf")</f>
        <v>Melting_Curves/meltCurve_Q86UA1_PRPF39.pdf</v>
      </c>
    </row>
    <row r="4333" spans="1:28" x14ac:dyDescent="0.25">
      <c r="A4333" t="s">
        <v>4337</v>
      </c>
      <c r="B4333">
        <v>0.99472303558308395</v>
      </c>
      <c r="C4333">
        <v>0.88444325454880302</v>
      </c>
      <c r="D4333">
        <v>0.86994199607435896</v>
      </c>
      <c r="E4333">
        <v>0.53233688391758105</v>
      </c>
      <c r="F4333">
        <v>0.30506366542740398</v>
      </c>
      <c r="G4333">
        <v>0.15755610494532399</v>
      </c>
      <c r="H4333">
        <v>0.12876980024241999</v>
      </c>
      <c r="I4333">
        <v>9.6775425561835896E-2</v>
      </c>
      <c r="J4333">
        <v>0.12563680519693901</v>
      </c>
      <c r="K4333">
        <v>0.11697550489342801</v>
      </c>
      <c r="L4333">
        <v>830.57158444940205</v>
      </c>
      <c r="M4333">
        <v>17.850246388083502</v>
      </c>
      <c r="N4333">
        <v>47.128863777060701</v>
      </c>
      <c r="O4333">
        <v>45.957769077769697</v>
      </c>
      <c r="P4333">
        <v>-8.7252736389615795E-2</v>
      </c>
      <c r="Q4333">
        <v>0.101471571500581</v>
      </c>
      <c r="R4333">
        <v>0.99340571202383099</v>
      </c>
      <c r="S4333" t="s">
        <v>10901</v>
      </c>
      <c r="T4333" t="s">
        <v>13134</v>
      </c>
      <c r="U4333" t="s">
        <v>13134</v>
      </c>
      <c r="V4333" t="s">
        <v>13134</v>
      </c>
      <c r="W4333" t="s">
        <v>17406</v>
      </c>
      <c r="X4333">
        <v>6</v>
      </c>
      <c r="Y4333" t="s">
        <v>23784</v>
      </c>
      <c r="Z4333" t="s">
        <v>30301</v>
      </c>
      <c r="AA4333">
        <v>0.40160307524510941</v>
      </c>
      <c r="AB4333" t="str">
        <f>HYPERLINK("Melting_Curves/meltCurve_Q86UD0_SAPCD2.pdf", "Melting_Curves/meltCurve_Q86UD0_SAPCD2.pdf")</f>
        <v>Melting_Curves/meltCurve_Q86UD0_SAPCD2.pdf</v>
      </c>
    </row>
    <row r="4334" spans="1:28" x14ac:dyDescent="0.25">
      <c r="A4334" t="s">
        <v>4338</v>
      </c>
      <c r="B4334">
        <v>0.99472303558308395</v>
      </c>
      <c r="C4334">
        <v>1.0366686810542201</v>
      </c>
      <c r="D4334">
        <v>0.89587119119519398</v>
      </c>
      <c r="E4334">
        <v>0.818249938208372</v>
      </c>
      <c r="F4334">
        <v>0.83167348738519498</v>
      </c>
      <c r="G4334">
        <v>0.667650451771993</v>
      </c>
      <c r="H4334">
        <v>0.587516127124456</v>
      </c>
      <c r="I4334">
        <v>0.66040560533953796</v>
      </c>
      <c r="J4334">
        <v>0.88743495866844702</v>
      </c>
      <c r="K4334">
        <v>0.69969428377043996</v>
      </c>
      <c r="L4334">
        <v>866.04782279390099</v>
      </c>
      <c r="M4334">
        <v>18.966495243615</v>
      </c>
      <c r="O4334">
        <v>45.163464662496899</v>
      </c>
      <c r="P4334">
        <v>-3.0673526359228299E-2</v>
      </c>
      <c r="Q4334">
        <v>0.70784967211635297</v>
      </c>
      <c r="R4334">
        <v>0.68585679792710796</v>
      </c>
      <c r="S4334" t="s">
        <v>10902</v>
      </c>
      <c r="T4334" t="s">
        <v>13134</v>
      </c>
      <c r="U4334" t="s">
        <v>13134</v>
      </c>
      <c r="V4334" t="s">
        <v>13134</v>
      </c>
      <c r="W4334" t="s">
        <v>17407</v>
      </c>
      <c r="X4334">
        <v>31</v>
      </c>
      <c r="Y4334" t="s">
        <v>23785</v>
      </c>
      <c r="Z4334" t="s">
        <v>30302</v>
      </c>
      <c r="AA4334">
        <v>0.79646395778533596</v>
      </c>
      <c r="AB4334" t="str">
        <f>HYPERLINK("Melting_Curves/meltCurve_Q86UE4_MTDH.pdf", "Melting_Curves/meltCurve_Q86UE4_MTDH.pdf")</f>
        <v>Melting_Curves/meltCurve_Q86UE4_MTDH.pdf</v>
      </c>
    </row>
    <row r="4335" spans="1:28" x14ac:dyDescent="0.25">
      <c r="A4335" t="s">
        <v>4339</v>
      </c>
      <c r="B4335">
        <v>0.99472303558308395</v>
      </c>
      <c r="C4335">
        <v>1.0418728510328601</v>
      </c>
      <c r="D4335">
        <v>0.94006660419538102</v>
      </c>
      <c r="E4335">
        <v>0.79011097377099404</v>
      </c>
      <c r="F4335">
        <v>0.49799035358820898</v>
      </c>
      <c r="G4335">
        <v>0.19462504838896699</v>
      </c>
      <c r="H4335">
        <v>6.7516266150596804E-2</v>
      </c>
      <c r="I4335">
        <v>4.6441104254699897E-2</v>
      </c>
      <c r="J4335">
        <v>4.9291875977409999E-2</v>
      </c>
      <c r="K4335">
        <v>3.7183108709597498E-2</v>
      </c>
      <c r="L4335">
        <v>997.83232629302699</v>
      </c>
      <c r="M4335">
        <v>20.026349971574799</v>
      </c>
      <c r="N4335">
        <v>49.9483248749005</v>
      </c>
      <c r="O4335">
        <v>49.337122281844998</v>
      </c>
      <c r="P4335">
        <v>-9.9051278796736197E-2</v>
      </c>
      <c r="Q4335">
        <v>2.3936507013947301E-2</v>
      </c>
      <c r="R4335">
        <v>0.99745333636206002</v>
      </c>
      <c r="S4335" t="s">
        <v>10903</v>
      </c>
      <c r="T4335" t="s">
        <v>13134</v>
      </c>
      <c r="U4335" t="s">
        <v>13134</v>
      </c>
      <c r="V4335" t="s">
        <v>13134</v>
      </c>
      <c r="W4335" t="s">
        <v>17408</v>
      </c>
      <c r="X4335">
        <v>12</v>
      </c>
      <c r="Y4335" t="s">
        <v>23786</v>
      </c>
      <c r="Z4335" t="s">
        <v>30303</v>
      </c>
      <c r="AA4335">
        <v>0.45406431151172277</v>
      </c>
      <c r="AB4335" t="str">
        <f>HYPERLINK("Melting_Curves/meltCurve_Q86UE8_2_TLK2.pdf", "Melting_Curves/meltCurve_Q86UE8_2_TLK2.pdf")</f>
        <v>Melting_Curves/meltCurve_Q86UE8_2_TLK2.pdf</v>
      </c>
    </row>
    <row r="4336" spans="1:28" x14ac:dyDescent="0.25">
      <c r="A4336" t="s">
        <v>4340</v>
      </c>
      <c r="B4336">
        <v>0.99472303558308395</v>
      </c>
      <c r="C4336">
        <v>0.91935762850517799</v>
      </c>
      <c r="D4336">
        <v>0.87317578307628696</v>
      </c>
      <c r="E4336">
        <v>0.63414300375501698</v>
      </c>
      <c r="F4336">
        <v>0.27311619114956598</v>
      </c>
      <c r="G4336">
        <v>0.120543891734855</v>
      </c>
      <c r="H4336">
        <v>7.5732022299558194E-2</v>
      </c>
      <c r="I4336">
        <v>4.5949400706386298E-2</v>
      </c>
      <c r="J4336">
        <v>5.40695148738723E-2</v>
      </c>
      <c r="K4336">
        <v>4.2324782981587497E-2</v>
      </c>
      <c r="L4336">
        <v>901.94704808557003</v>
      </c>
      <c r="M4336">
        <v>18.986435154897801</v>
      </c>
      <c r="N4336">
        <v>47.692543345012098</v>
      </c>
      <c r="O4336">
        <v>46.987237759477097</v>
      </c>
      <c r="P4336">
        <v>-9.73857469320807E-2</v>
      </c>
      <c r="Q4336">
        <v>3.60056152803723E-2</v>
      </c>
      <c r="R4336">
        <v>0.99688065541294202</v>
      </c>
      <c r="S4336" t="s">
        <v>10904</v>
      </c>
      <c r="T4336" t="s">
        <v>13134</v>
      </c>
      <c r="U4336" t="s">
        <v>13134</v>
      </c>
      <c r="V4336" t="s">
        <v>13134</v>
      </c>
      <c r="W4336" t="s">
        <v>17409</v>
      </c>
      <c r="X4336">
        <v>32</v>
      </c>
      <c r="Y4336" t="s">
        <v>23787</v>
      </c>
      <c r="Z4336" t="s">
        <v>30304</v>
      </c>
      <c r="AA4336">
        <v>0.38752217227507663</v>
      </c>
      <c r="AB4336" t="str">
        <f>HYPERLINK("Melting_Curves/meltCurve_Q86UK7_2_ZNF598.pdf", "Melting_Curves/meltCurve_Q86UK7_2_ZNF598.pdf")</f>
        <v>Melting_Curves/meltCurve_Q86UK7_2_ZNF598.pdf</v>
      </c>
    </row>
    <row r="4337" spans="1:28" x14ac:dyDescent="0.25">
      <c r="A4337" t="s">
        <v>4341</v>
      </c>
      <c r="B4337">
        <v>0.99472303558308395</v>
      </c>
      <c r="C4337">
        <v>0.93987094639301305</v>
      </c>
      <c r="D4337">
        <v>0.83126479586965896</v>
      </c>
      <c r="E4337">
        <v>0.71970828480788995</v>
      </c>
      <c r="F4337">
        <v>0.70181567520171495</v>
      </c>
      <c r="G4337">
        <v>0.31635007474238103</v>
      </c>
      <c r="H4337">
        <v>0.13932437721541499</v>
      </c>
      <c r="I4337">
        <v>8.3119283424209198E-2</v>
      </c>
      <c r="J4337">
        <v>8.0760733621483699E-2</v>
      </c>
      <c r="K4337">
        <v>7.1920508092455995E-2</v>
      </c>
      <c r="L4337">
        <v>639.64368801282205</v>
      </c>
      <c r="M4337">
        <v>12.513812313764999</v>
      </c>
      <c r="N4337">
        <v>51.115014184142701</v>
      </c>
      <c r="O4337">
        <v>49.862333600981202</v>
      </c>
      <c r="P4337">
        <v>-6.2754643332862306E-2</v>
      </c>
      <c r="Q4337">
        <v>0</v>
      </c>
      <c r="R4337">
        <v>0.97133492240045605</v>
      </c>
      <c r="S4337" t="s">
        <v>10905</v>
      </c>
      <c r="T4337" t="s">
        <v>13134</v>
      </c>
      <c r="U4337" t="s">
        <v>13134</v>
      </c>
      <c r="V4337" t="s">
        <v>13134</v>
      </c>
      <c r="W4337" t="s">
        <v>17410</v>
      </c>
      <c r="X4337">
        <v>4</v>
      </c>
      <c r="Y4337" t="s">
        <v>23788</v>
      </c>
      <c r="Z4337" t="s">
        <v>30305</v>
      </c>
      <c r="AA4337">
        <v>0.49522914431014392</v>
      </c>
      <c r="AB4337" t="str">
        <f>HYPERLINK("Melting_Curves/meltCurve_Q86UL3_AGPAT6.pdf", "Melting_Curves/meltCurve_Q86UL3_AGPAT6.pdf")</f>
        <v>Melting_Curves/meltCurve_Q86UL3_AGPAT6.pdf</v>
      </c>
    </row>
    <row r="4338" spans="1:28" x14ac:dyDescent="0.25">
      <c r="A4338" t="s">
        <v>4342</v>
      </c>
      <c r="B4338">
        <v>0.99472303558308395</v>
      </c>
      <c r="C4338">
        <v>0.96559356532257801</v>
      </c>
      <c r="D4338">
        <v>0.84733438729278499</v>
      </c>
      <c r="E4338">
        <v>0.628251637075393</v>
      </c>
      <c r="F4338">
        <v>0.34126787225237298</v>
      </c>
      <c r="G4338">
        <v>0.17316196037656001</v>
      </c>
      <c r="H4338">
        <v>0.10629351069956799</v>
      </c>
      <c r="I4338">
        <v>7.5358074032242997E-2</v>
      </c>
      <c r="J4338">
        <v>0.10074158938172</v>
      </c>
      <c r="K4338">
        <v>9.4645774880160793E-2</v>
      </c>
      <c r="L4338">
        <v>812.70606413330302</v>
      </c>
      <c r="M4338">
        <v>17.1036132208494</v>
      </c>
      <c r="N4338">
        <v>47.955920977946001</v>
      </c>
      <c r="O4338">
        <v>46.881334117549798</v>
      </c>
      <c r="P4338">
        <v>-8.4598754376825597E-2</v>
      </c>
      <c r="Q4338">
        <v>7.2508699744922703E-2</v>
      </c>
      <c r="R4338">
        <v>0.998671947466794</v>
      </c>
      <c r="S4338" t="s">
        <v>10906</v>
      </c>
      <c r="T4338" t="s">
        <v>13134</v>
      </c>
      <c r="U4338" t="s">
        <v>13134</v>
      </c>
      <c r="V4338" t="s">
        <v>13134</v>
      </c>
      <c r="W4338" t="s">
        <v>17411</v>
      </c>
      <c r="X4338">
        <v>60</v>
      </c>
      <c r="Y4338" t="s">
        <v>23789</v>
      </c>
      <c r="Z4338" t="s">
        <v>30306</v>
      </c>
      <c r="AA4338">
        <v>0.41397325740956897</v>
      </c>
      <c r="AB4338" t="str">
        <f>HYPERLINK("Melting_Curves/meltCurve_Q86UP2_KTN1.pdf", "Melting_Curves/meltCurve_Q86UP2_KTN1.pdf")</f>
        <v>Melting_Curves/meltCurve_Q86UP2_KTN1.pdf</v>
      </c>
    </row>
    <row r="4339" spans="1:28" x14ac:dyDescent="0.25">
      <c r="A4339" t="s">
        <v>4343</v>
      </c>
      <c r="B4339">
        <v>0.99472303558308395</v>
      </c>
      <c r="C4339">
        <v>0.92100728617198802</v>
      </c>
      <c r="D4339">
        <v>0.692327659584412</v>
      </c>
      <c r="E4339">
        <v>0.41903026536829202</v>
      </c>
      <c r="F4339">
        <v>0.18264060844968499</v>
      </c>
      <c r="G4339">
        <v>0.104315175147024</v>
      </c>
      <c r="H4339">
        <v>7.4793170466836797E-2</v>
      </c>
      <c r="I4339">
        <v>3.0378569725046701E-2</v>
      </c>
      <c r="J4339">
        <v>3.3496782847954799E-2</v>
      </c>
      <c r="K4339">
        <v>2.1992683704840001E-2</v>
      </c>
      <c r="L4339">
        <v>734.96813296851406</v>
      </c>
      <c r="M4339">
        <v>16.215472084718598</v>
      </c>
      <c r="N4339">
        <v>45.474003977790098</v>
      </c>
      <c r="O4339">
        <v>44.652592905705603</v>
      </c>
      <c r="P4339">
        <v>-8.8446424292555698E-2</v>
      </c>
      <c r="Q4339">
        <v>2.58517853479736E-2</v>
      </c>
      <c r="R4339">
        <v>0.99851564539800697</v>
      </c>
      <c r="S4339" t="s">
        <v>10907</v>
      </c>
      <c r="T4339" t="s">
        <v>13134</v>
      </c>
      <c r="U4339" t="s">
        <v>13134</v>
      </c>
      <c r="V4339" t="s">
        <v>13134</v>
      </c>
      <c r="W4339" t="s">
        <v>17412</v>
      </c>
      <c r="X4339">
        <v>5</v>
      </c>
      <c r="Y4339" t="s">
        <v>23790</v>
      </c>
      <c r="Z4339" t="s">
        <v>30307</v>
      </c>
      <c r="AA4339">
        <v>0.31581123602149053</v>
      </c>
      <c r="AB4339" t="str">
        <f>HYPERLINK("Melting_Curves/meltCurve_Q86US8_SMG6.pdf", "Melting_Curves/meltCurve_Q86US8_SMG6.pdf")</f>
        <v>Melting_Curves/meltCurve_Q86US8_SMG6.pdf</v>
      </c>
    </row>
    <row r="4340" spans="1:28" x14ac:dyDescent="0.25">
      <c r="A4340" t="s">
        <v>4344</v>
      </c>
      <c r="B4340">
        <v>0.99472303558308395</v>
      </c>
      <c r="C4340">
        <v>0.97580696957505297</v>
      </c>
      <c r="D4340">
        <v>0.93416871523173795</v>
      </c>
      <c r="E4340">
        <v>0.79223191315558505</v>
      </c>
      <c r="F4340">
        <v>0.64741580715661895</v>
      </c>
      <c r="G4340">
        <v>0.52959342936931297</v>
      </c>
      <c r="H4340">
        <v>0.51034009581367801</v>
      </c>
      <c r="I4340">
        <v>0.48520705602213399</v>
      </c>
      <c r="J4340">
        <v>0.66385308924452802</v>
      </c>
      <c r="K4340">
        <v>0.47121394059020999</v>
      </c>
      <c r="L4340">
        <v>972.58994895435205</v>
      </c>
      <c r="M4340">
        <v>20.6386297138271</v>
      </c>
      <c r="O4340">
        <v>46.689003392359098</v>
      </c>
      <c r="P4340">
        <v>-5.2523075265308403E-2</v>
      </c>
      <c r="Q4340">
        <v>0.52473984920042704</v>
      </c>
      <c r="R4340">
        <v>0.93447083149654897</v>
      </c>
      <c r="S4340" t="s">
        <v>10908</v>
      </c>
      <c r="T4340" t="s">
        <v>13134</v>
      </c>
      <c r="U4340" t="s">
        <v>13134</v>
      </c>
      <c r="V4340" t="s">
        <v>13134</v>
      </c>
      <c r="W4340" t="s">
        <v>17413</v>
      </c>
      <c r="X4340">
        <v>4</v>
      </c>
      <c r="Y4340" t="s">
        <v>23791</v>
      </c>
      <c r="Z4340" t="s">
        <v>30308</v>
      </c>
      <c r="AA4340">
        <v>0.69098931857591905</v>
      </c>
      <c r="AB4340" t="str">
        <f>HYPERLINK("Melting_Curves/meltCurve_Q86UU0_3_BCL9L.pdf", "Melting_Curves/meltCurve_Q86UU0_3_BCL9L.pdf")</f>
        <v>Melting_Curves/meltCurve_Q86UU0_3_BCL9L.pdf</v>
      </c>
    </row>
    <row r="4341" spans="1:28" x14ac:dyDescent="0.25">
      <c r="A4341" t="s">
        <v>4345</v>
      </c>
      <c r="B4341">
        <v>0.99472303558308395</v>
      </c>
      <c r="C4341">
        <v>0.93829622705506099</v>
      </c>
      <c r="D4341">
        <v>0.89505096533884798</v>
      </c>
      <c r="E4341">
        <v>0.63250834989167104</v>
      </c>
      <c r="F4341">
        <v>0.28633536136336102</v>
      </c>
      <c r="G4341">
        <v>0.14382156468496901</v>
      </c>
      <c r="H4341">
        <v>7.6951168066153597E-2</v>
      </c>
      <c r="I4341">
        <v>5.4842624395151897E-2</v>
      </c>
      <c r="J4341">
        <v>6.2576853180702094E-2</v>
      </c>
      <c r="K4341">
        <v>3.9467507668643903E-2</v>
      </c>
      <c r="L4341">
        <v>919.47316622120195</v>
      </c>
      <c r="M4341">
        <v>19.315447442163201</v>
      </c>
      <c r="N4341">
        <v>47.8305281679934</v>
      </c>
      <c r="O4341">
        <v>47.101562451434603</v>
      </c>
      <c r="P4341">
        <v>-9.8023766059606096E-2</v>
      </c>
      <c r="Q4341">
        <v>4.3894768576545798E-2</v>
      </c>
      <c r="R4341">
        <v>0.99852573632424801</v>
      </c>
      <c r="S4341" t="s">
        <v>10909</v>
      </c>
      <c r="T4341" t="s">
        <v>13134</v>
      </c>
      <c r="U4341" t="s">
        <v>13134</v>
      </c>
      <c r="V4341" t="s">
        <v>13134</v>
      </c>
      <c r="W4341" t="s">
        <v>17414</v>
      </c>
      <c r="X4341">
        <v>18</v>
      </c>
      <c r="Y4341" t="s">
        <v>23792</v>
      </c>
      <c r="Z4341" t="s">
        <v>30309</v>
      </c>
      <c r="AA4341">
        <v>0.39521991497059311</v>
      </c>
      <c r="AB4341" t="str">
        <f>HYPERLINK("Melting_Curves/meltCurve_Q86UU1_2_PHLDB1.pdf", "Melting_Curves/meltCurve_Q86UU1_2_PHLDB1.pdf")</f>
        <v>Melting_Curves/meltCurve_Q86UU1_2_PHLDB1.pdf</v>
      </c>
    </row>
    <row r="4342" spans="1:28" x14ac:dyDescent="0.25">
      <c r="A4342" t="s">
        <v>4346</v>
      </c>
      <c r="B4342">
        <v>0.99472303558308395</v>
      </c>
      <c r="C4342">
        <v>0.93551216059795905</v>
      </c>
      <c r="D4342">
        <v>0.76471531044443397</v>
      </c>
      <c r="E4342">
        <v>0.32354778938745998</v>
      </c>
      <c r="F4342">
        <v>0.168205802632513</v>
      </c>
      <c r="G4342">
        <v>9.0046290781110802E-2</v>
      </c>
      <c r="H4342">
        <v>6.1971533667790298E-2</v>
      </c>
      <c r="I4342">
        <v>4.6279000146910901E-2</v>
      </c>
      <c r="J4342">
        <v>5.7207362145019001E-2</v>
      </c>
      <c r="K4342">
        <v>4.8451242708499903E-2</v>
      </c>
      <c r="L4342">
        <v>1005.97227034227</v>
      </c>
      <c r="M4342">
        <v>22.389345727726099</v>
      </c>
      <c r="N4342">
        <v>45.173083752756902</v>
      </c>
      <c r="O4342">
        <v>44.577016440815697</v>
      </c>
      <c r="P4342">
        <v>-0.118464515634662</v>
      </c>
      <c r="Q4342">
        <v>5.6571861331609199E-2</v>
      </c>
      <c r="R4342">
        <v>0.998337093025355</v>
      </c>
      <c r="S4342" t="s">
        <v>10910</v>
      </c>
      <c r="T4342" t="s">
        <v>13134</v>
      </c>
      <c r="U4342" t="s">
        <v>13134</v>
      </c>
      <c r="V4342" t="s">
        <v>13134</v>
      </c>
      <c r="W4342" t="s">
        <v>17415</v>
      </c>
      <c r="X4342">
        <v>33</v>
      </c>
      <c r="Y4342" t="s">
        <v>23793</v>
      </c>
      <c r="Z4342" t="s">
        <v>30310</v>
      </c>
      <c r="AA4342">
        <v>0.3157496612019382</v>
      </c>
      <c r="AB4342" t="str">
        <f>HYPERLINK("Melting_Curves/meltCurve_Q86UV5_USP48.pdf", "Melting_Curves/meltCurve_Q86UV5_USP48.pdf")</f>
        <v>Melting_Curves/meltCurve_Q86UV5_USP48.pdf</v>
      </c>
    </row>
    <row r="4343" spans="1:28" x14ac:dyDescent="0.25">
      <c r="A4343" t="s">
        <v>4347</v>
      </c>
      <c r="B4343">
        <v>0.99472303558308395</v>
      </c>
      <c r="C4343">
        <v>1.0482784397460301</v>
      </c>
      <c r="D4343">
        <v>1.03319014731002</v>
      </c>
      <c r="E4343">
        <v>0.91310126536521197</v>
      </c>
      <c r="F4343">
        <v>0.75484273230367105</v>
      </c>
      <c r="G4343">
        <v>0.50643434037180701</v>
      </c>
      <c r="H4343">
        <v>0.32356807797295301</v>
      </c>
      <c r="I4343">
        <v>0.16763906664168199</v>
      </c>
      <c r="J4343">
        <v>0.18599870497818699</v>
      </c>
      <c r="K4343">
        <v>0.14113455698824001</v>
      </c>
      <c r="L4343">
        <v>929.38161941154101</v>
      </c>
      <c r="M4343">
        <v>17.531951381420001</v>
      </c>
      <c r="N4343">
        <v>53.876332346532699</v>
      </c>
      <c r="O4343">
        <v>52.335469880934802</v>
      </c>
      <c r="P4343">
        <v>-7.34726926333584E-2</v>
      </c>
      <c r="Q4343">
        <v>0.122740578365942</v>
      </c>
      <c r="R4343">
        <v>0.99446540571668196</v>
      </c>
      <c r="S4343" t="s">
        <v>10911</v>
      </c>
      <c r="T4343" t="s">
        <v>13134</v>
      </c>
      <c r="U4343" t="s">
        <v>13134</v>
      </c>
      <c r="V4343" t="s">
        <v>13134</v>
      </c>
      <c r="W4343" t="s">
        <v>17416</v>
      </c>
      <c r="X4343">
        <v>8</v>
      </c>
      <c r="Y4343" t="s">
        <v>23794</v>
      </c>
      <c r="Z4343" t="s">
        <v>30311</v>
      </c>
      <c r="AA4343">
        <v>0.60410503686331485</v>
      </c>
      <c r="AB4343" t="str">
        <f>HYPERLINK("Melting_Curves/meltCurve_Q86UX3_ABCC5.pdf", "Melting_Curves/meltCurve_Q86UX3_ABCC5.pdf")</f>
        <v>Melting_Curves/meltCurve_Q86UX3_ABCC5.pdf</v>
      </c>
    </row>
    <row r="4344" spans="1:28" x14ac:dyDescent="0.25">
      <c r="A4344" t="s">
        <v>4348</v>
      </c>
      <c r="B4344">
        <v>0.99472303558308395</v>
      </c>
      <c r="C4344">
        <v>0.94483572345813605</v>
      </c>
      <c r="D4344">
        <v>0.99188294628370199</v>
      </c>
      <c r="E4344">
        <v>0.82063535982838898</v>
      </c>
      <c r="F4344">
        <v>0.33491546054676802</v>
      </c>
      <c r="G4344">
        <v>0.104966342354186</v>
      </c>
      <c r="H4344">
        <v>6.0405317943593197E-2</v>
      </c>
      <c r="I4344">
        <v>3.6194125785410501E-2</v>
      </c>
      <c r="J4344">
        <v>3.5854179594116201E-2</v>
      </c>
      <c r="K4344">
        <v>3.51480013080138E-2</v>
      </c>
      <c r="L4344">
        <v>1456.1685673941299</v>
      </c>
      <c r="M4344">
        <v>29.795219522760899</v>
      </c>
      <c r="N4344">
        <v>49.006524915380197</v>
      </c>
      <c r="O4344">
        <v>48.653977521117902</v>
      </c>
      <c r="P4344">
        <v>-0.14711074733951299</v>
      </c>
      <c r="Q4344">
        <v>3.9110715087844999E-2</v>
      </c>
      <c r="R4344">
        <v>0.99816531060823599</v>
      </c>
      <c r="S4344" t="s">
        <v>10912</v>
      </c>
      <c r="T4344" t="s">
        <v>13134</v>
      </c>
      <c r="U4344" t="s">
        <v>13134</v>
      </c>
      <c r="V4344" t="s">
        <v>13134</v>
      </c>
      <c r="W4344" t="s">
        <v>17417</v>
      </c>
      <c r="X4344">
        <v>36</v>
      </c>
      <c r="Y4344" t="s">
        <v>23795</v>
      </c>
      <c r="Z4344" t="s">
        <v>30312</v>
      </c>
      <c r="AA4344">
        <v>0.42524667983596032</v>
      </c>
      <c r="AB4344" t="str">
        <f>HYPERLINK("Melting_Curves/meltCurve_Q86UX7_2_FERMT3.pdf", "Melting_Curves/meltCurve_Q86UX7_2_FERMT3.pdf")</f>
        <v>Melting_Curves/meltCurve_Q86UX7_2_FERMT3.pdf</v>
      </c>
    </row>
    <row r="4345" spans="1:28" x14ac:dyDescent="0.25">
      <c r="A4345" t="s">
        <v>4349</v>
      </c>
      <c r="B4345">
        <v>0.99472303558308395</v>
      </c>
      <c r="C4345">
        <v>0.98165482990952802</v>
      </c>
      <c r="D4345">
        <v>0.97437373338192501</v>
      </c>
      <c r="E4345">
        <v>0.94598832280965295</v>
      </c>
      <c r="F4345">
        <v>0.80466868347815401</v>
      </c>
      <c r="G4345">
        <v>0.67471916316193303</v>
      </c>
      <c r="H4345">
        <v>0.34906091212815699</v>
      </c>
      <c r="I4345">
        <v>0.176874478294687</v>
      </c>
      <c r="J4345">
        <v>0.128397661031705</v>
      </c>
      <c r="K4345">
        <v>0.126874221663234</v>
      </c>
      <c r="L4345">
        <v>940.07435373370299</v>
      </c>
      <c r="M4345">
        <v>17.0874711975043</v>
      </c>
      <c r="N4345">
        <v>55.407124160920297</v>
      </c>
      <c r="O4345">
        <v>54.278502106787798</v>
      </c>
      <c r="P4345">
        <v>-7.4229468354257394E-2</v>
      </c>
      <c r="Q4345">
        <v>5.6894890097423802E-2</v>
      </c>
      <c r="R4345">
        <v>0.99405965485179004</v>
      </c>
      <c r="S4345" t="s">
        <v>10913</v>
      </c>
      <c r="T4345" t="s">
        <v>13134</v>
      </c>
      <c r="U4345" t="s">
        <v>13134</v>
      </c>
      <c r="V4345" t="s">
        <v>13134</v>
      </c>
      <c r="W4345" t="s">
        <v>17418</v>
      </c>
      <c r="X4345">
        <v>20</v>
      </c>
      <c r="Y4345" t="s">
        <v>23796</v>
      </c>
      <c r="Z4345" t="s">
        <v>30313</v>
      </c>
      <c r="AA4345">
        <v>0.63557487241993438</v>
      </c>
      <c r="AB4345" t="str">
        <f>HYPERLINK("Melting_Curves/meltCurve_Q86UY0_TXNDC5.pdf", "Melting_Curves/meltCurve_Q86UY0_TXNDC5.pdf")</f>
        <v>Melting_Curves/meltCurve_Q86UY0_TXNDC5.pdf</v>
      </c>
    </row>
    <row r="4346" spans="1:28" x14ac:dyDescent="0.25">
      <c r="A4346" t="s">
        <v>4350</v>
      </c>
      <c r="B4346">
        <v>0.99472303558308395</v>
      </c>
      <c r="C4346">
        <v>0.84761097676773201</v>
      </c>
      <c r="D4346">
        <v>0.75329318823882796</v>
      </c>
      <c r="E4346">
        <v>0.43955216302859501</v>
      </c>
      <c r="F4346">
        <v>0.13310484934825101</v>
      </c>
      <c r="G4346">
        <v>7.2503280625713803E-2</v>
      </c>
      <c r="H4346">
        <v>4.5116546470000803E-2</v>
      </c>
      <c r="I4346">
        <v>3.8331169833974499E-2</v>
      </c>
      <c r="J4346">
        <v>3.9707350396583803E-2</v>
      </c>
      <c r="K4346">
        <v>3.01282278919188E-2</v>
      </c>
      <c r="L4346">
        <v>781.49412105639306</v>
      </c>
      <c r="M4346">
        <v>17.194165434823802</v>
      </c>
      <c r="N4346">
        <v>45.552694102771099</v>
      </c>
      <c r="O4346">
        <v>44.849688799559203</v>
      </c>
      <c r="P4346">
        <v>-9.4046359639308297E-2</v>
      </c>
      <c r="Q4346">
        <v>1.8806601131817299E-2</v>
      </c>
      <c r="R4346">
        <v>0.99313619692556299</v>
      </c>
      <c r="S4346" t="s">
        <v>10914</v>
      </c>
      <c r="T4346" t="s">
        <v>13134</v>
      </c>
      <c r="U4346" t="s">
        <v>13134</v>
      </c>
      <c r="V4346" t="s">
        <v>13134</v>
      </c>
      <c r="W4346" t="s">
        <v>17419</v>
      </c>
      <c r="X4346">
        <v>5</v>
      </c>
      <c r="Y4346" t="s">
        <v>23797</v>
      </c>
      <c r="Z4346" t="s">
        <v>30314</v>
      </c>
      <c r="AA4346">
        <v>0.31273161706480601</v>
      </c>
      <c r="AB4346" t="str">
        <f>HYPERLINK("Melting_Curves/meltCurve_Q86UY5_FAM83A.pdf", "Melting_Curves/meltCurve_Q86UY5_FAM83A.pdf")</f>
        <v>Melting_Curves/meltCurve_Q86UY5_FAM83A.pdf</v>
      </c>
    </row>
    <row r="4347" spans="1:28" x14ac:dyDescent="0.25">
      <c r="A4347" t="s">
        <v>4351</v>
      </c>
      <c r="B4347">
        <v>0.99472303558308395</v>
      </c>
      <c r="C4347">
        <v>0.81445904222891696</v>
      </c>
      <c r="D4347">
        <v>0.54854352146926899</v>
      </c>
      <c r="E4347">
        <v>0.31313977590205999</v>
      </c>
      <c r="F4347">
        <v>0.33844042835192401</v>
      </c>
      <c r="G4347">
        <v>0.18994634649412701</v>
      </c>
      <c r="H4347">
        <v>0.18730264990310899</v>
      </c>
      <c r="I4347">
        <v>7.4764360477289904E-2</v>
      </c>
      <c r="J4347">
        <v>6.7740531194207101E-2</v>
      </c>
      <c r="K4347">
        <v>8.1608790806724396E-2</v>
      </c>
      <c r="L4347">
        <v>566.16900201020599</v>
      </c>
      <c r="M4347">
        <v>12.955268771616</v>
      </c>
      <c r="N4347">
        <v>44.420875071571899</v>
      </c>
      <c r="O4347">
        <v>42.699880595540399</v>
      </c>
      <c r="P4347">
        <v>-6.8688444886866998E-2</v>
      </c>
      <c r="Q4347">
        <v>9.4588192471409205E-2</v>
      </c>
      <c r="R4347">
        <v>0.96920028362238897</v>
      </c>
      <c r="S4347" t="s">
        <v>10915</v>
      </c>
      <c r="T4347" t="s">
        <v>13134</v>
      </c>
      <c r="U4347" t="s">
        <v>13134</v>
      </c>
      <c r="V4347" t="s">
        <v>13134</v>
      </c>
      <c r="W4347" t="s">
        <v>17420</v>
      </c>
      <c r="X4347">
        <v>4</v>
      </c>
      <c r="Y4347" t="s">
        <v>23798</v>
      </c>
      <c r="Z4347" t="s">
        <v>30315</v>
      </c>
      <c r="AA4347">
        <v>0.32765657076419591</v>
      </c>
      <c r="AB4347" t="str">
        <f>HYPERLINK("Melting_Curves/meltCurve_Q86UY6_NAA40.pdf", "Melting_Curves/meltCurve_Q86UY6_NAA40.pdf")</f>
        <v>Melting_Curves/meltCurve_Q86UY6_NAA40.pdf</v>
      </c>
    </row>
    <row r="4348" spans="1:28" x14ac:dyDescent="0.25">
      <c r="A4348" t="s">
        <v>4352</v>
      </c>
      <c r="B4348">
        <v>0.99472303558308395</v>
      </c>
      <c r="C4348">
        <v>0.93996245294920999</v>
      </c>
      <c r="D4348">
        <v>0.87436812975752998</v>
      </c>
      <c r="E4348">
        <v>0.72936739639755099</v>
      </c>
      <c r="F4348">
        <v>0.67933175539936796</v>
      </c>
      <c r="G4348">
        <v>0.473346893923553</v>
      </c>
      <c r="H4348">
        <v>0.24012596410561801</v>
      </c>
      <c r="I4348">
        <v>0.142466536573744</v>
      </c>
      <c r="J4348">
        <v>0.101325753863359</v>
      </c>
      <c r="K4348">
        <v>7.9527894185486406E-2</v>
      </c>
      <c r="L4348">
        <v>566.35247337787905</v>
      </c>
      <c r="M4348">
        <v>10.830790109678</v>
      </c>
      <c r="N4348">
        <v>52.290965625802997</v>
      </c>
      <c r="O4348">
        <v>50.603037493952101</v>
      </c>
      <c r="P4348">
        <v>-5.3527760929247402E-2</v>
      </c>
      <c r="Q4348">
        <v>0</v>
      </c>
      <c r="R4348">
        <v>0.98686338305511201</v>
      </c>
      <c r="S4348" t="s">
        <v>10916</v>
      </c>
      <c r="T4348" t="s">
        <v>13134</v>
      </c>
      <c r="U4348" t="s">
        <v>13134</v>
      </c>
      <c r="V4348" t="s">
        <v>13134</v>
      </c>
      <c r="W4348" t="s">
        <v>17421</v>
      </c>
      <c r="X4348">
        <v>7</v>
      </c>
      <c r="Y4348" t="s">
        <v>23799</v>
      </c>
      <c r="Z4348" t="s">
        <v>30316</v>
      </c>
      <c r="AA4348">
        <v>0.53424263500670999</v>
      </c>
      <c r="AB4348" t="str">
        <f>HYPERLINK("Melting_Curves/meltCurve_Q86UY8_2_NT5DC3.pdf", "Melting_Curves/meltCurve_Q86UY8_2_NT5DC3.pdf")</f>
        <v>Melting_Curves/meltCurve_Q86UY8_2_NT5DC3.pdf</v>
      </c>
    </row>
    <row r="4349" spans="1:28" x14ac:dyDescent="0.25">
      <c r="A4349" t="s">
        <v>4353</v>
      </c>
      <c r="B4349">
        <v>0.99472303558308395</v>
      </c>
      <c r="C4349">
        <v>0.88618956082525102</v>
      </c>
      <c r="D4349">
        <v>0.83289501916084496</v>
      </c>
      <c r="E4349">
        <v>0.30378514404804402</v>
      </c>
      <c r="F4349">
        <v>0.154900307260883</v>
      </c>
      <c r="G4349">
        <v>8.2826878154412698E-2</v>
      </c>
      <c r="H4349">
        <v>5.28532355890887E-2</v>
      </c>
      <c r="I4349">
        <v>2.73665500190572E-2</v>
      </c>
      <c r="J4349">
        <v>3.3500304143562303E-2</v>
      </c>
      <c r="K4349">
        <v>4.0303654886736998E-2</v>
      </c>
      <c r="L4349">
        <v>1129.09838582564</v>
      </c>
      <c r="M4349">
        <v>25.0216380422893</v>
      </c>
      <c r="N4349">
        <v>45.2992206266482</v>
      </c>
      <c r="O4349">
        <v>44.839615412103299</v>
      </c>
      <c r="P4349">
        <v>-0.133104176052836</v>
      </c>
      <c r="Q4349">
        <v>4.5904257197835703E-2</v>
      </c>
      <c r="R4349">
        <v>0.99122480764116705</v>
      </c>
      <c r="S4349" t="s">
        <v>10917</v>
      </c>
      <c r="T4349" t="s">
        <v>13134</v>
      </c>
      <c r="U4349" t="s">
        <v>13134</v>
      </c>
      <c r="V4349" t="s">
        <v>13134</v>
      </c>
      <c r="W4349" t="s">
        <v>17422</v>
      </c>
      <c r="X4349">
        <v>6</v>
      </c>
      <c r="Y4349" t="s">
        <v>23800</v>
      </c>
      <c r="Z4349" t="s">
        <v>30317</v>
      </c>
      <c r="AA4349">
        <v>0.31212562337601302</v>
      </c>
      <c r="AB4349" t="str">
        <f>HYPERLINK("Melting_Curves/meltCurve_Q86V21_AACS.pdf", "Melting_Curves/meltCurve_Q86V21_AACS.pdf")</f>
        <v>Melting_Curves/meltCurve_Q86V21_AACS.pdf</v>
      </c>
    </row>
    <row r="4350" spans="1:28" x14ac:dyDescent="0.25">
      <c r="A4350" t="s">
        <v>4354</v>
      </c>
      <c r="B4350">
        <v>0.99472303558308395</v>
      </c>
      <c r="C4350">
        <v>0.99564329630437498</v>
      </c>
      <c r="D4350">
        <v>0.80216318722529101</v>
      </c>
      <c r="E4350">
        <v>0.64438182880640604</v>
      </c>
      <c r="F4350">
        <v>0.36317597822391201</v>
      </c>
      <c r="G4350">
        <v>0.18689673602971801</v>
      </c>
      <c r="H4350">
        <v>0.116483228806575</v>
      </c>
      <c r="I4350">
        <v>8.2670731319636606E-2</v>
      </c>
      <c r="J4350">
        <v>0.111991221571463</v>
      </c>
      <c r="K4350">
        <v>8.4804862123727495E-2</v>
      </c>
      <c r="L4350">
        <v>746.67319885387303</v>
      </c>
      <c r="M4350">
        <v>15.6696721706957</v>
      </c>
      <c r="N4350">
        <v>48.106530986902001</v>
      </c>
      <c r="O4350">
        <v>46.895022855057299</v>
      </c>
      <c r="P4350">
        <v>-7.7781130975081506E-2</v>
      </c>
      <c r="Q4350">
        <v>6.8969063896929805E-2</v>
      </c>
      <c r="R4350">
        <v>0.99506441434991499</v>
      </c>
      <c r="S4350" t="s">
        <v>10918</v>
      </c>
      <c r="T4350" t="s">
        <v>13134</v>
      </c>
      <c r="U4350" t="s">
        <v>13134</v>
      </c>
      <c r="V4350" t="s">
        <v>13134</v>
      </c>
      <c r="W4350" t="s">
        <v>17423</v>
      </c>
      <c r="X4350">
        <v>24</v>
      </c>
      <c r="Y4350" t="s">
        <v>23801</v>
      </c>
      <c r="Z4350" t="s">
        <v>30318</v>
      </c>
      <c r="AA4350">
        <v>0.41866275563502348</v>
      </c>
      <c r="AB4350" t="str">
        <f>HYPERLINK("Melting_Curves/meltCurve_Q86V48_LUZP1.pdf", "Melting_Curves/meltCurve_Q86V48_LUZP1.pdf")</f>
        <v>Melting_Curves/meltCurve_Q86V48_LUZP1.pdf</v>
      </c>
    </row>
    <row r="4351" spans="1:28" x14ac:dyDescent="0.25">
      <c r="A4351" t="s">
        <v>4355</v>
      </c>
      <c r="B4351">
        <v>0.99472303558308395</v>
      </c>
      <c r="C4351">
        <v>0.97519229055138601</v>
      </c>
      <c r="D4351">
        <v>0.71024871937217404</v>
      </c>
      <c r="E4351">
        <v>0.41437497807214901</v>
      </c>
      <c r="F4351">
        <v>0.28840598689213298</v>
      </c>
      <c r="G4351">
        <v>0.123407240678252</v>
      </c>
      <c r="H4351">
        <v>6.6074944700058202E-2</v>
      </c>
      <c r="I4351">
        <v>5.7472608183227303E-2</v>
      </c>
      <c r="J4351">
        <v>9.8961760815217098E-2</v>
      </c>
      <c r="K4351">
        <v>5.8092893145977702E-2</v>
      </c>
      <c r="L4351">
        <v>749.66396478211095</v>
      </c>
      <c r="M4351">
        <v>16.473630016177299</v>
      </c>
      <c r="N4351">
        <v>45.877326306775501</v>
      </c>
      <c r="O4351">
        <v>44.852185921979498</v>
      </c>
      <c r="P4351">
        <v>-8.6109898826407696E-2</v>
      </c>
      <c r="Q4351">
        <v>6.2271744833644498E-2</v>
      </c>
      <c r="R4351">
        <v>0.99146317874785395</v>
      </c>
      <c r="S4351" t="s">
        <v>10919</v>
      </c>
      <c r="T4351" t="s">
        <v>13134</v>
      </c>
      <c r="U4351" t="s">
        <v>13134</v>
      </c>
      <c r="V4351" t="s">
        <v>13134</v>
      </c>
      <c r="W4351" t="s">
        <v>17424</v>
      </c>
      <c r="X4351">
        <v>2</v>
      </c>
      <c r="Y4351" t="s">
        <v>23802</v>
      </c>
      <c r="Z4351" t="s">
        <v>30319</v>
      </c>
      <c r="AA4351">
        <v>0.34640672584133181</v>
      </c>
      <c r="AB4351" t="str">
        <f>HYPERLINK("Melting_Curves/meltCurve_Q86V59_2_PNMAL1.pdf", "Melting_Curves/meltCurve_Q86V59_2_PNMAL1.pdf")</f>
        <v>Melting_Curves/meltCurve_Q86V59_2_PNMAL1.pdf</v>
      </c>
    </row>
    <row r="4352" spans="1:28" x14ac:dyDescent="0.25">
      <c r="A4352" t="s">
        <v>4356</v>
      </c>
      <c r="B4352">
        <v>0.99472303558308395</v>
      </c>
      <c r="C4352">
        <v>1.1009858700648401</v>
      </c>
      <c r="D4352">
        <v>0.72558381840104202</v>
      </c>
      <c r="E4352">
        <v>0.66826809387085495</v>
      </c>
      <c r="F4352">
        <v>0.43320524691370099</v>
      </c>
      <c r="G4352">
        <v>0.12705793879712099</v>
      </c>
      <c r="H4352">
        <v>1.8331405406350799E-2</v>
      </c>
      <c r="I4352">
        <v>2.37832548972126E-2</v>
      </c>
      <c r="J4352">
        <v>2.80376584954052E-2</v>
      </c>
      <c r="K4352">
        <v>0</v>
      </c>
      <c r="L4352">
        <v>754.21717622786196</v>
      </c>
      <c r="M4352">
        <v>15.5989485562718</v>
      </c>
      <c r="N4352">
        <v>48.350513800543702</v>
      </c>
      <c r="O4352">
        <v>47.576788750337698</v>
      </c>
      <c r="P4352">
        <v>-8.1974299790174399E-2</v>
      </c>
      <c r="Q4352">
        <v>0</v>
      </c>
      <c r="R4352">
        <v>0.968644140076652</v>
      </c>
      <c r="S4352" t="s">
        <v>10920</v>
      </c>
      <c r="T4352" t="s">
        <v>13134</v>
      </c>
      <c r="U4352" t="s">
        <v>13134</v>
      </c>
      <c r="V4352" t="s">
        <v>13134</v>
      </c>
      <c r="W4352" t="s">
        <v>17425</v>
      </c>
      <c r="X4352">
        <v>1</v>
      </c>
      <c r="Y4352" t="s">
        <v>23803</v>
      </c>
      <c r="Z4352" t="s">
        <v>30320</v>
      </c>
      <c r="AA4352">
        <v>0.39882570682731</v>
      </c>
      <c r="AB4352" t="str">
        <f>HYPERLINK("Melting_Curves/meltCurve_Q86V85_GPR180.pdf", "Melting_Curves/meltCurve_Q86V85_GPR180.pdf")</f>
        <v>Melting_Curves/meltCurve_Q86V85_GPR180.pdf</v>
      </c>
    </row>
    <row r="4353" spans="1:28" x14ac:dyDescent="0.25">
      <c r="A4353" t="s">
        <v>4357</v>
      </c>
      <c r="B4353">
        <v>0.99472303558308395</v>
      </c>
      <c r="C4353">
        <v>0.94339163044577601</v>
      </c>
      <c r="D4353">
        <v>0.69073297646248</v>
      </c>
      <c r="E4353">
        <v>0.399016152150652</v>
      </c>
      <c r="F4353">
        <v>0.29345232320723402</v>
      </c>
      <c r="G4353">
        <v>0.20564990260865099</v>
      </c>
      <c r="H4353">
        <v>0.14058870168929499</v>
      </c>
      <c r="I4353">
        <v>0.11069643979296701</v>
      </c>
      <c r="J4353">
        <v>0.10440846914848299</v>
      </c>
      <c r="K4353">
        <v>5.9289810214384703E-2</v>
      </c>
      <c r="L4353">
        <v>693.29246772603904</v>
      </c>
      <c r="M4353">
        <v>15.369192174837501</v>
      </c>
      <c r="N4353">
        <v>45.759825859181198</v>
      </c>
      <c r="O4353">
        <v>44.366240150287098</v>
      </c>
      <c r="P4353">
        <v>-7.8111950334233293E-2</v>
      </c>
      <c r="Q4353">
        <v>9.8139955504547793E-2</v>
      </c>
      <c r="R4353">
        <v>0.99090679319297104</v>
      </c>
      <c r="S4353" t="s">
        <v>10921</v>
      </c>
      <c r="T4353" t="s">
        <v>13134</v>
      </c>
      <c r="U4353" t="s">
        <v>13134</v>
      </c>
      <c r="V4353" t="s">
        <v>13134</v>
      </c>
      <c r="W4353" t="s">
        <v>17426</v>
      </c>
      <c r="X4353">
        <v>6</v>
      </c>
      <c r="Y4353" t="s">
        <v>23804</v>
      </c>
      <c r="Z4353" t="s">
        <v>30321</v>
      </c>
      <c r="AA4353">
        <v>0.36227951532417729</v>
      </c>
      <c r="AB4353" t="str">
        <f>HYPERLINK("Melting_Curves/meltCurve_Q86VI3_IQGAP3.pdf", "Melting_Curves/meltCurve_Q86VI3_IQGAP3.pdf")</f>
        <v>Melting_Curves/meltCurve_Q86VI3_IQGAP3.pdf</v>
      </c>
    </row>
    <row r="4354" spans="1:28" x14ac:dyDescent="0.25">
      <c r="A4354" t="s">
        <v>4358</v>
      </c>
      <c r="B4354">
        <v>0.99472303558308395</v>
      </c>
      <c r="C4354">
        <v>1.0277874908336899</v>
      </c>
      <c r="D4354">
        <v>0.93802919819782205</v>
      </c>
      <c r="E4354">
        <v>0.81103591999767199</v>
      </c>
      <c r="F4354">
        <v>0.55199248260062295</v>
      </c>
      <c r="G4354">
        <v>0.17870737745683499</v>
      </c>
      <c r="H4354">
        <v>0.10155982825688099</v>
      </c>
      <c r="I4354">
        <v>6.6830863102336199E-2</v>
      </c>
      <c r="J4354">
        <v>7.8022343194440499E-2</v>
      </c>
      <c r="K4354">
        <v>7.9389820401890507E-2</v>
      </c>
      <c r="L4354">
        <v>1095.00412292599</v>
      </c>
      <c r="M4354">
        <v>21.908436643011399</v>
      </c>
      <c r="N4354">
        <v>50.258605715811697</v>
      </c>
      <c r="O4354">
        <v>49.570103660539999</v>
      </c>
      <c r="P4354">
        <v>-0.104196364115241</v>
      </c>
      <c r="Q4354">
        <v>5.7001221619450301E-2</v>
      </c>
      <c r="R4354">
        <v>0.99520584160587999</v>
      </c>
      <c r="S4354" t="s">
        <v>10922</v>
      </c>
      <c r="T4354" t="s">
        <v>13134</v>
      </c>
      <c r="U4354" t="s">
        <v>13134</v>
      </c>
      <c r="V4354" t="s">
        <v>13134</v>
      </c>
      <c r="W4354" t="s">
        <v>17427</v>
      </c>
      <c r="X4354">
        <v>14</v>
      </c>
      <c r="Y4354" t="s">
        <v>23805</v>
      </c>
      <c r="Z4354" t="s">
        <v>30322</v>
      </c>
      <c r="AA4354">
        <v>0.47558516597086459</v>
      </c>
      <c r="AB4354" t="str">
        <f>HYPERLINK("Melting_Curves/meltCurve_Q86VN1_2_VPS36.pdf", "Melting_Curves/meltCurve_Q86VN1_2_VPS36.pdf")</f>
        <v>Melting_Curves/meltCurve_Q86VN1_2_VPS36.pdf</v>
      </c>
    </row>
    <row r="4355" spans="1:28" x14ac:dyDescent="0.25">
      <c r="A4355" t="s">
        <v>4359</v>
      </c>
      <c r="B4355">
        <v>0.99472303558308395</v>
      </c>
      <c r="C4355">
        <v>0.942771864615502</v>
      </c>
      <c r="D4355">
        <v>0.90529128933524805</v>
      </c>
      <c r="E4355">
        <v>0.81225585034019598</v>
      </c>
      <c r="F4355">
        <v>0.77004497678246497</v>
      </c>
      <c r="G4355">
        <v>0.49791239811709398</v>
      </c>
      <c r="H4355">
        <v>0.19759142807173999</v>
      </c>
      <c r="I4355">
        <v>7.1068587589245599E-2</v>
      </c>
      <c r="J4355">
        <v>5.5392186335303302E-2</v>
      </c>
      <c r="K4355">
        <v>6.0371634438298898E-2</v>
      </c>
      <c r="L4355">
        <v>835.10177469416101</v>
      </c>
      <c r="M4355">
        <v>15.7081611046315</v>
      </c>
      <c r="N4355">
        <v>53.163560590979202</v>
      </c>
      <c r="O4355">
        <v>52.324333318096699</v>
      </c>
      <c r="P4355">
        <v>-7.5058252991321198E-2</v>
      </c>
      <c r="Q4355">
        <v>0</v>
      </c>
      <c r="R4355">
        <v>0.98259806394345095</v>
      </c>
      <c r="S4355" t="s">
        <v>10923</v>
      </c>
      <c r="T4355" t="s">
        <v>13134</v>
      </c>
      <c r="U4355" t="s">
        <v>13134</v>
      </c>
      <c r="V4355" t="s">
        <v>13134</v>
      </c>
      <c r="W4355" t="s">
        <v>17428</v>
      </c>
      <c r="X4355">
        <v>65</v>
      </c>
      <c r="Y4355" t="s">
        <v>23806</v>
      </c>
      <c r="Z4355" t="s">
        <v>30323</v>
      </c>
      <c r="AA4355">
        <v>0.55562056110176561</v>
      </c>
      <c r="AB4355" t="str">
        <f>HYPERLINK("Melting_Curves/meltCurve_Q86VP6_CAND1.pdf", "Melting_Curves/meltCurve_Q86VP6_CAND1.pdf")</f>
        <v>Melting_Curves/meltCurve_Q86VP6_CAND1.pdf</v>
      </c>
    </row>
    <row r="4356" spans="1:28" x14ac:dyDescent="0.25">
      <c r="A4356" t="s">
        <v>4360</v>
      </c>
      <c r="B4356">
        <v>0.99472303558308395</v>
      </c>
      <c r="C4356">
        <v>1.17589520621296</v>
      </c>
      <c r="D4356">
        <v>1.0111180505717901</v>
      </c>
      <c r="E4356">
        <v>0.831275117520199</v>
      </c>
      <c r="F4356">
        <v>0.72783941958181597</v>
      </c>
      <c r="G4356">
        <v>0.50389240218159304</v>
      </c>
      <c r="H4356">
        <v>0.50358415085684005</v>
      </c>
      <c r="I4356">
        <v>0.41846316839214098</v>
      </c>
      <c r="J4356">
        <v>0.62211482546695496</v>
      </c>
      <c r="K4356">
        <v>0.41330857308001201</v>
      </c>
      <c r="L4356">
        <v>1115.0842659498201</v>
      </c>
      <c r="M4356">
        <v>22.6777448669874</v>
      </c>
      <c r="N4356">
        <v>57.069972692072497</v>
      </c>
      <c r="O4356">
        <v>48.793305278393397</v>
      </c>
      <c r="P4356">
        <v>-6.0615140026436899E-2</v>
      </c>
      <c r="Q4356">
        <v>0.47833360895059401</v>
      </c>
      <c r="R4356">
        <v>0.89796904481127204</v>
      </c>
      <c r="S4356" t="s">
        <v>10924</v>
      </c>
      <c r="T4356" t="s">
        <v>13134</v>
      </c>
      <c r="U4356" t="s">
        <v>13134</v>
      </c>
      <c r="V4356" t="s">
        <v>13134</v>
      </c>
      <c r="W4356" t="s">
        <v>17429</v>
      </c>
      <c r="X4356">
        <v>4</v>
      </c>
      <c r="Y4356" t="s">
        <v>23807</v>
      </c>
      <c r="Z4356" t="s">
        <v>30324</v>
      </c>
      <c r="AA4356">
        <v>0.6954170749691797</v>
      </c>
      <c r="AB4356" t="str">
        <f>HYPERLINK("Melting_Curves/meltCurve_Q86VQ1_GLCCI1.pdf", "Melting_Curves/meltCurve_Q86VQ1_GLCCI1.pdf")</f>
        <v>Melting_Curves/meltCurve_Q86VQ1_GLCCI1.pdf</v>
      </c>
    </row>
    <row r="4357" spans="1:28" x14ac:dyDescent="0.25">
      <c r="A4357" t="s">
        <v>4361</v>
      </c>
      <c r="B4357">
        <v>0.99472303558308395</v>
      </c>
      <c r="C4357">
        <v>1.08856205454564</v>
      </c>
      <c r="D4357">
        <v>0.93787351233803096</v>
      </c>
      <c r="E4357">
        <v>0.86427218074771095</v>
      </c>
      <c r="F4357">
        <v>0.57460650640771205</v>
      </c>
      <c r="G4357">
        <v>0.29231524850789598</v>
      </c>
      <c r="H4357">
        <v>0.147584724429349</v>
      </c>
      <c r="I4357">
        <v>0.12962357346602699</v>
      </c>
      <c r="J4357">
        <v>0.169954427827511</v>
      </c>
      <c r="K4357">
        <v>8.3787102055856294E-2</v>
      </c>
      <c r="L4357">
        <v>1079.4441866223499</v>
      </c>
      <c r="M4357">
        <v>21.442475130630498</v>
      </c>
      <c r="N4357">
        <v>50.936483696292299</v>
      </c>
      <c r="O4357">
        <v>49.909685094427701</v>
      </c>
      <c r="P4357">
        <v>-9.5508320536965896E-2</v>
      </c>
      <c r="Q4357">
        <v>0.110798125874372</v>
      </c>
      <c r="R4357">
        <v>0.99059489110113497</v>
      </c>
      <c r="S4357" t="s">
        <v>10925</v>
      </c>
      <c r="T4357" t="s">
        <v>13134</v>
      </c>
      <c r="U4357" t="s">
        <v>13134</v>
      </c>
      <c r="V4357" t="s">
        <v>13134</v>
      </c>
      <c r="W4357" t="s">
        <v>17430</v>
      </c>
      <c r="X4357">
        <v>5</v>
      </c>
      <c r="Y4357" t="s">
        <v>23808</v>
      </c>
      <c r="Z4357" t="s">
        <v>30325</v>
      </c>
      <c r="AA4357">
        <v>0.5165883850734958</v>
      </c>
      <c r="AB4357" t="str">
        <f>HYPERLINK("Melting_Curves/meltCurve_Q86VQ3_2_TXNDC2.pdf", "Melting_Curves/meltCurve_Q86VQ3_2_TXNDC2.pdf")</f>
        <v>Melting_Curves/meltCurve_Q86VQ3_2_TXNDC2.pdf</v>
      </c>
    </row>
    <row r="4358" spans="1:28" x14ac:dyDescent="0.25">
      <c r="A4358" t="s">
        <v>4362</v>
      </c>
      <c r="B4358">
        <v>0.99472303558308395</v>
      </c>
      <c r="C4358">
        <v>0.94497102510878805</v>
      </c>
      <c r="D4358">
        <v>0.94756443328789297</v>
      </c>
      <c r="E4358">
        <v>0.83561004517971205</v>
      </c>
      <c r="F4358">
        <v>0.665132336002485</v>
      </c>
      <c r="G4358">
        <v>0.40282157551471298</v>
      </c>
      <c r="H4358">
        <v>0.21875551859633399</v>
      </c>
      <c r="I4358">
        <v>0.15106063690181201</v>
      </c>
      <c r="J4358">
        <v>0.16816984515691599</v>
      </c>
      <c r="K4358">
        <v>0.14239298856519</v>
      </c>
      <c r="L4358">
        <v>825.37998560300605</v>
      </c>
      <c r="M4358">
        <v>16.071781212579602</v>
      </c>
      <c r="N4358">
        <v>52.155050758811598</v>
      </c>
      <c r="O4358">
        <v>50.5805008323061</v>
      </c>
      <c r="P4358">
        <v>-7.07718199010854E-2</v>
      </c>
      <c r="Q4358">
        <v>0.10914709028375801</v>
      </c>
      <c r="R4358">
        <v>0.99525648806602696</v>
      </c>
      <c r="S4358" t="s">
        <v>10926</v>
      </c>
      <c r="T4358" t="s">
        <v>13134</v>
      </c>
      <c r="U4358" t="s">
        <v>13134</v>
      </c>
      <c r="V4358" t="s">
        <v>13134</v>
      </c>
      <c r="W4358" t="s">
        <v>17431</v>
      </c>
      <c r="X4358">
        <v>6</v>
      </c>
      <c r="Y4358" t="s">
        <v>23809</v>
      </c>
      <c r="Z4358" t="s">
        <v>30326</v>
      </c>
      <c r="AA4358">
        <v>0.55156956757261744</v>
      </c>
      <c r="AB4358" t="str">
        <f>HYPERLINK("Melting_Curves/meltCurve_Q86VR2_FAM134C.pdf", "Melting_Curves/meltCurve_Q86VR2_FAM134C.pdf")</f>
        <v>Melting_Curves/meltCurve_Q86VR2_FAM134C.pdf</v>
      </c>
    </row>
    <row r="4359" spans="1:28" x14ac:dyDescent="0.25">
      <c r="A4359" t="s">
        <v>4363</v>
      </c>
      <c r="B4359">
        <v>0.99472303558308395</v>
      </c>
      <c r="C4359">
        <v>0.90194638665802596</v>
      </c>
      <c r="D4359">
        <v>0.79571480834657304</v>
      </c>
      <c r="E4359">
        <v>0.53231811995074296</v>
      </c>
      <c r="F4359">
        <v>0.29810683216859901</v>
      </c>
      <c r="G4359">
        <v>0.16937740092810399</v>
      </c>
      <c r="H4359">
        <v>9.3373311927060207E-2</v>
      </c>
      <c r="I4359">
        <v>5.20787382299608E-2</v>
      </c>
      <c r="J4359">
        <v>6.5510372461508107E-2</v>
      </c>
      <c r="K4359">
        <v>5.7059897043418802E-2</v>
      </c>
      <c r="L4359">
        <v>670.74050447354102</v>
      </c>
      <c r="M4359">
        <v>14.337829196495001</v>
      </c>
      <c r="N4359">
        <v>47.0260976066781</v>
      </c>
      <c r="O4359">
        <v>45.899376782655303</v>
      </c>
      <c r="P4359">
        <v>-7.5293288449058193E-2</v>
      </c>
      <c r="Q4359">
        <v>3.5977237400365E-2</v>
      </c>
      <c r="R4359">
        <v>0.99892926891028899</v>
      </c>
      <c r="S4359" t="s">
        <v>10927</v>
      </c>
      <c r="T4359" t="s">
        <v>13134</v>
      </c>
      <c r="U4359" t="s">
        <v>13134</v>
      </c>
      <c r="V4359" t="s">
        <v>13134</v>
      </c>
      <c r="W4359" t="s">
        <v>17432</v>
      </c>
      <c r="X4359">
        <v>19</v>
      </c>
      <c r="Y4359" t="s">
        <v>23810</v>
      </c>
      <c r="Z4359" t="s">
        <v>30327</v>
      </c>
      <c r="AA4359">
        <v>0.37393921671987967</v>
      </c>
      <c r="AB4359" t="str">
        <f>HYPERLINK("Melting_Curves/meltCurve_Q86VS8_HOOK3.pdf", "Melting_Curves/meltCurve_Q86VS8_HOOK3.pdf")</f>
        <v>Melting_Curves/meltCurve_Q86VS8_HOOK3.pdf</v>
      </c>
    </row>
    <row r="4360" spans="1:28" x14ac:dyDescent="0.25">
      <c r="A4360" t="s">
        <v>4364</v>
      </c>
      <c r="B4360">
        <v>0.99472303558308395</v>
      </c>
      <c r="C4360">
        <v>1.0733359900725301</v>
      </c>
      <c r="D4360">
        <v>0.87840596909514601</v>
      </c>
      <c r="E4360">
        <v>0.78496681697003601</v>
      </c>
      <c r="F4360">
        <v>0.57444903054426</v>
      </c>
      <c r="G4360">
        <v>0.29660971131653802</v>
      </c>
      <c r="H4360">
        <v>0.11378289120889799</v>
      </c>
      <c r="I4360">
        <v>0.112550028952555</v>
      </c>
      <c r="J4360">
        <v>0.13731815544340301</v>
      </c>
      <c r="K4360">
        <v>0.11837750047406299</v>
      </c>
      <c r="L4360">
        <v>863.40309729460603</v>
      </c>
      <c r="M4360">
        <v>17.2461740826033</v>
      </c>
      <c r="N4360">
        <v>50.610293846010201</v>
      </c>
      <c r="O4360">
        <v>49.404889601402402</v>
      </c>
      <c r="P4360">
        <v>-7.9855859555050895E-2</v>
      </c>
      <c r="Q4360">
        <v>8.5005284040355206E-2</v>
      </c>
      <c r="R4360">
        <v>0.98610161235975902</v>
      </c>
      <c r="S4360" t="s">
        <v>10928</v>
      </c>
      <c r="T4360" t="s">
        <v>13134</v>
      </c>
      <c r="U4360" t="s">
        <v>13134</v>
      </c>
      <c r="V4360" t="s">
        <v>13134</v>
      </c>
      <c r="W4360" t="s">
        <v>17433</v>
      </c>
      <c r="X4360">
        <v>6</v>
      </c>
      <c r="Y4360" t="s">
        <v>23811</v>
      </c>
      <c r="Z4360" t="s">
        <v>30328</v>
      </c>
      <c r="AA4360">
        <v>0.49887736409757749</v>
      </c>
      <c r="AB4360" t="str">
        <f>HYPERLINK("Melting_Curves/meltCurve_Q86VU5_COMTD1.pdf", "Melting_Curves/meltCurve_Q86VU5_COMTD1.pdf")</f>
        <v>Melting_Curves/meltCurve_Q86VU5_COMTD1.pdf</v>
      </c>
    </row>
    <row r="4361" spans="1:28" x14ac:dyDescent="0.25">
      <c r="A4361" t="s">
        <v>4365</v>
      </c>
      <c r="B4361">
        <v>0.99472303558308395</v>
      </c>
      <c r="C4361">
        <v>0.90962828299093901</v>
      </c>
      <c r="D4361">
        <v>0.82130323316200804</v>
      </c>
      <c r="E4361">
        <v>0.74204223751715304</v>
      </c>
      <c r="F4361">
        <v>0.65361511683972795</v>
      </c>
      <c r="G4361">
        <v>0.36383717869516702</v>
      </c>
      <c r="H4361">
        <v>0.104999753131591</v>
      </c>
      <c r="I4361">
        <v>6.6293645367899404E-2</v>
      </c>
      <c r="J4361">
        <v>5.8442725252423298E-2</v>
      </c>
      <c r="K4361">
        <v>5.5411889710801403E-2</v>
      </c>
      <c r="L4361">
        <v>654.65280578163004</v>
      </c>
      <c r="M4361">
        <v>12.841237998101899</v>
      </c>
      <c r="N4361">
        <v>50.980506325497998</v>
      </c>
      <c r="O4361">
        <v>49.791622357482197</v>
      </c>
      <c r="P4361">
        <v>-6.4486838247587996E-2</v>
      </c>
      <c r="Q4361">
        <v>0</v>
      </c>
      <c r="R4361">
        <v>0.97431162659514503</v>
      </c>
      <c r="S4361" t="s">
        <v>10929</v>
      </c>
      <c r="T4361" t="s">
        <v>13134</v>
      </c>
      <c r="U4361" t="s">
        <v>13134</v>
      </c>
      <c r="V4361" t="s">
        <v>13134</v>
      </c>
      <c r="W4361" t="s">
        <v>17434</v>
      </c>
      <c r="X4361">
        <v>2</v>
      </c>
      <c r="Y4361" t="s">
        <v>23812</v>
      </c>
      <c r="Z4361" t="s">
        <v>30329</v>
      </c>
      <c r="AA4361">
        <v>0.49030870563415352</v>
      </c>
      <c r="AB4361" t="str">
        <f>HYPERLINK("Melting_Curves/meltCurve_Q86VX2_2_COMMD7.pdf", "Melting_Curves/meltCurve_Q86VX2_2_COMMD7.pdf")</f>
        <v>Melting_Curves/meltCurve_Q86VX2_2_COMMD7.pdf</v>
      </c>
    </row>
    <row r="4362" spans="1:28" x14ac:dyDescent="0.25">
      <c r="A4362" t="s">
        <v>4366</v>
      </c>
      <c r="B4362">
        <v>0.99472303558308395</v>
      </c>
      <c r="C4362">
        <v>0.90948908377528703</v>
      </c>
      <c r="D4362">
        <v>0.86532847344601105</v>
      </c>
      <c r="E4362">
        <v>0.79425361042692899</v>
      </c>
      <c r="F4362">
        <v>0.56694836548194605</v>
      </c>
      <c r="G4362">
        <v>0.21825196861883001</v>
      </c>
      <c r="H4362">
        <v>0.10957205040045701</v>
      </c>
      <c r="I4362">
        <v>7.3834065196251103E-2</v>
      </c>
      <c r="J4362">
        <v>8.0759259250443194E-2</v>
      </c>
      <c r="K4362">
        <v>6.21661581709873E-2</v>
      </c>
      <c r="L4362">
        <v>813.21792525129899</v>
      </c>
      <c r="M4362">
        <v>16.2238249829098</v>
      </c>
      <c r="N4362">
        <v>50.304997092263001</v>
      </c>
      <c r="O4362">
        <v>49.381927420394497</v>
      </c>
      <c r="P4362">
        <v>-7.9823432437417102E-2</v>
      </c>
      <c r="Q4362">
        <v>2.8208908228057002E-2</v>
      </c>
      <c r="R4362">
        <v>0.98642823586226602</v>
      </c>
      <c r="S4362" t="s">
        <v>10930</v>
      </c>
      <c r="T4362" t="s">
        <v>13134</v>
      </c>
      <c r="U4362" t="s">
        <v>13134</v>
      </c>
      <c r="V4362" t="s">
        <v>13134</v>
      </c>
      <c r="W4362" t="s">
        <v>17435</v>
      </c>
      <c r="X4362">
        <v>5</v>
      </c>
      <c r="Y4362" t="s">
        <v>23813</v>
      </c>
      <c r="Z4362" t="s">
        <v>30330</v>
      </c>
      <c r="AA4362">
        <v>0.47138147512479389</v>
      </c>
      <c r="AB4362" t="str">
        <f>HYPERLINK("Melting_Curves/meltCurve_Q86VX9_MON1A.pdf", "Melting_Curves/meltCurve_Q86VX9_MON1A.pdf")</f>
        <v>Melting_Curves/meltCurve_Q86VX9_MON1A.pdf</v>
      </c>
    </row>
    <row r="4363" spans="1:28" x14ac:dyDescent="0.25">
      <c r="A4363" t="s">
        <v>4367</v>
      </c>
      <c r="B4363">
        <v>0.99472303558308395</v>
      </c>
      <c r="C4363">
        <v>0.91353195852520797</v>
      </c>
      <c r="D4363">
        <v>0.70671557013393405</v>
      </c>
      <c r="E4363">
        <v>0.78318181291933597</v>
      </c>
      <c r="F4363">
        <v>0.76891414319333196</v>
      </c>
      <c r="G4363">
        <v>0.45678194284683099</v>
      </c>
      <c r="H4363">
        <v>0.15089163776432701</v>
      </c>
      <c r="I4363">
        <v>5.7169186080493303E-2</v>
      </c>
      <c r="J4363">
        <v>7.2301161006322001E-2</v>
      </c>
      <c r="K4363">
        <v>6.7516169071888801E-2</v>
      </c>
      <c r="L4363">
        <v>661.16343288268502</v>
      </c>
      <c r="M4363">
        <v>12.6708788914477</v>
      </c>
      <c r="N4363">
        <v>52.179761050790503</v>
      </c>
      <c r="O4363">
        <v>50.931272050844001</v>
      </c>
      <c r="P4363">
        <v>-6.2208110030319397E-2</v>
      </c>
      <c r="Q4363">
        <v>0</v>
      </c>
      <c r="R4363">
        <v>0.92477385259760703</v>
      </c>
      <c r="S4363" t="s">
        <v>10931</v>
      </c>
      <c r="T4363" t="s">
        <v>13134</v>
      </c>
      <c r="U4363" t="s">
        <v>13134</v>
      </c>
      <c r="V4363" t="s">
        <v>13134</v>
      </c>
      <c r="W4363" t="s">
        <v>17436</v>
      </c>
      <c r="X4363">
        <v>9</v>
      </c>
      <c r="Y4363" t="s">
        <v>23814</v>
      </c>
      <c r="Z4363" t="s">
        <v>30331</v>
      </c>
      <c r="AA4363">
        <v>0.52831966048694257</v>
      </c>
      <c r="AB4363" t="str">
        <f>HYPERLINK("Melting_Curves/meltCurve_Q86W42_THOC6.pdf", "Melting_Curves/meltCurve_Q86W42_THOC6.pdf")</f>
        <v>Melting_Curves/meltCurve_Q86W42_THOC6.pdf</v>
      </c>
    </row>
    <row r="4364" spans="1:28" x14ac:dyDescent="0.25">
      <c r="A4364" t="s">
        <v>4368</v>
      </c>
      <c r="B4364">
        <v>0.99472303558308395</v>
      </c>
      <c r="C4364">
        <v>0.87613943520223903</v>
      </c>
      <c r="D4364">
        <v>0.91069164226107502</v>
      </c>
      <c r="E4364">
        <v>0.71206919958084103</v>
      </c>
      <c r="F4364">
        <v>0.38713999462305698</v>
      </c>
      <c r="G4364">
        <v>0.133992718445022</v>
      </c>
      <c r="H4364">
        <v>6.2684984515731595E-2</v>
      </c>
      <c r="I4364">
        <v>7.5067459450896004E-2</v>
      </c>
      <c r="J4364">
        <v>6.8072599521815894E-2</v>
      </c>
      <c r="K4364">
        <v>6.9714950649962096E-2</v>
      </c>
      <c r="L4364">
        <v>930.72526298984496</v>
      </c>
      <c r="M4364">
        <v>19.2098890741179</v>
      </c>
      <c r="N4364">
        <v>48.694256722647197</v>
      </c>
      <c r="O4364">
        <v>47.934434353105502</v>
      </c>
      <c r="P4364">
        <v>-9.5596011258838001E-2</v>
      </c>
      <c r="Q4364">
        <v>4.5873523046482498E-2</v>
      </c>
      <c r="R4364">
        <v>0.98941678643336195</v>
      </c>
      <c r="S4364" t="s">
        <v>10932</v>
      </c>
      <c r="T4364" t="s">
        <v>13134</v>
      </c>
      <c r="U4364" t="s">
        <v>13134</v>
      </c>
      <c r="V4364" t="s">
        <v>13134</v>
      </c>
      <c r="W4364" t="s">
        <v>17437</v>
      </c>
      <c r="X4364">
        <v>8</v>
      </c>
      <c r="Y4364" t="s">
        <v>23815</v>
      </c>
      <c r="Z4364" t="s">
        <v>30332</v>
      </c>
      <c r="AA4364">
        <v>0.42356764141338898</v>
      </c>
      <c r="AB4364" t="str">
        <f>HYPERLINK("Melting_Curves/meltCurve_Q86W50_METTL16.pdf", "Melting_Curves/meltCurve_Q86W50_METTL16.pdf")</f>
        <v>Melting_Curves/meltCurve_Q86W50_METTL16.pdf</v>
      </c>
    </row>
    <row r="4365" spans="1:28" x14ac:dyDescent="0.25">
      <c r="A4365" t="s">
        <v>4369</v>
      </c>
      <c r="B4365">
        <v>0.99472303558308395</v>
      </c>
      <c r="C4365">
        <v>0.98104658493852204</v>
      </c>
      <c r="D4365">
        <v>0.95931943335958803</v>
      </c>
      <c r="E4365">
        <v>0.76970822480948198</v>
      </c>
      <c r="F4365">
        <v>0.230250875777021</v>
      </c>
      <c r="G4365">
        <v>0.117189113988744</v>
      </c>
      <c r="H4365">
        <v>8.1845205704434904E-2</v>
      </c>
      <c r="I4365">
        <v>5.81227420423382E-2</v>
      </c>
      <c r="J4365">
        <v>6.4211903960603806E-2</v>
      </c>
      <c r="K4365">
        <v>5.69975144287359E-2</v>
      </c>
      <c r="L4365">
        <v>1653.14786240122</v>
      </c>
      <c r="M4365">
        <v>34.407782381643003</v>
      </c>
      <c r="N4365">
        <v>48.252567898955597</v>
      </c>
      <c r="O4365">
        <v>47.8843372670392</v>
      </c>
      <c r="P4365">
        <v>-0.167325020071903</v>
      </c>
      <c r="Q4365">
        <v>6.8557640843660797E-2</v>
      </c>
      <c r="R4365">
        <v>0.99870180004575504</v>
      </c>
      <c r="S4365" t="s">
        <v>10933</v>
      </c>
      <c r="T4365" t="s">
        <v>13134</v>
      </c>
      <c r="U4365" t="s">
        <v>13134</v>
      </c>
      <c r="V4365" t="s">
        <v>13134</v>
      </c>
      <c r="W4365" t="s">
        <v>17438</v>
      </c>
      <c r="X4365">
        <v>25</v>
      </c>
      <c r="Y4365" t="s">
        <v>23816</v>
      </c>
      <c r="Z4365" t="s">
        <v>30333</v>
      </c>
      <c r="AA4365">
        <v>0.41569749832398889</v>
      </c>
      <c r="AB4365" t="str">
        <f>HYPERLINK("Melting_Curves/meltCurve_Q86W56_PARG.pdf", "Melting_Curves/meltCurve_Q86W56_PARG.pdf")</f>
        <v>Melting_Curves/meltCurve_Q86W56_PARG.pdf</v>
      </c>
    </row>
    <row r="4366" spans="1:28" x14ac:dyDescent="0.25">
      <c r="A4366" t="s">
        <v>4370</v>
      </c>
      <c r="B4366">
        <v>0.99472303558308395</v>
      </c>
      <c r="C4366">
        <v>1.0829260908399501</v>
      </c>
      <c r="D4366">
        <v>1.04706860506164</v>
      </c>
      <c r="E4366">
        <v>0.93405162025369104</v>
      </c>
      <c r="F4366">
        <v>0.57454455535474303</v>
      </c>
      <c r="G4366">
        <v>0.23440342811047299</v>
      </c>
      <c r="H4366">
        <v>4.9383746404444699E-2</v>
      </c>
      <c r="I4366">
        <v>5.3583639955661802E-2</v>
      </c>
      <c r="J4366">
        <v>4.11193408540814E-2</v>
      </c>
      <c r="K4366">
        <v>1.8930529077682098E-2</v>
      </c>
      <c r="L4366">
        <v>1360.04226005909</v>
      </c>
      <c r="M4366">
        <v>26.7674849848039</v>
      </c>
      <c r="N4366">
        <v>50.926809132794602</v>
      </c>
      <c r="O4366">
        <v>50.528456658851297</v>
      </c>
      <c r="P4366">
        <v>-0.128479058923405</v>
      </c>
      <c r="Q4366">
        <v>2.9900531460344999E-2</v>
      </c>
      <c r="R4366">
        <v>0.99393114399076998</v>
      </c>
      <c r="S4366" t="s">
        <v>10934</v>
      </c>
      <c r="T4366" t="s">
        <v>13134</v>
      </c>
      <c r="U4366" t="s">
        <v>13134</v>
      </c>
      <c r="V4366" t="s">
        <v>13134</v>
      </c>
      <c r="W4366" t="s">
        <v>17439</v>
      </c>
      <c r="X4366">
        <v>5</v>
      </c>
      <c r="Y4366" t="s">
        <v>23817</v>
      </c>
      <c r="Z4366" t="s">
        <v>30334</v>
      </c>
      <c r="AA4366">
        <v>0.48396614041599478</v>
      </c>
      <c r="AB4366" t="str">
        <f>HYPERLINK("Melting_Curves/meltCurve_Q86WA6_2_BPHL.pdf", "Melting_Curves/meltCurve_Q86WA6_2_BPHL.pdf")</f>
        <v>Melting_Curves/meltCurve_Q86WA6_2_BPHL.pdf</v>
      </c>
    </row>
    <row r="4367" spans="1:28" x14ac:dyDescent="0.25">
      <c r="A4367" t="s">
        <v>4371</v>
      </c>
      <c r="B4367">
        <v>0.99472303558308395</v>
      </c>
      <c r="C4367">
        <v>1.01898064473197</v>
      </c>
      <c r="D4367">
        <v>0.79027113167403495</v>
      </c>
      <c r="E4367">
        <v>0.686135894610861</v>
      </c>
      <c r="F4367">
        <v>0.44272206798993502</v>
      </c>
      <c r="G4367">
        <v>0.24548508494544799</v>
      </c>
      <c r="H4367">
        <v>0.11031142937373301</v>
      </c>
      <c r="I4367">
        <v>0.100691077654807</v>
      </c>
      <c r="J4367">
        <v>0.10376536464821701</v>
      </c>
      <c r="K4367">
        <v>5.14037575334255E-2</v>
      </c>
      <c r="L4367">
        <v>655.94590142364598</v>
      </c>
      <c r="M4367">
        <v>13.451825808022599</v>
      </c>
      <c r="N4367">
        <v>49.0325045044912</v>
      </c>
      <c r="O4367">
        <v>47.722776348851397</v>
      </c>
      <c r="P4367">
        <v>-6.7964285672924701E-2</v>
      </c>
      <c r="Q4367">
        <v>3.56868832079816E-2</v>
      </c>
      <c r="R4367">
        <v>0.990395327647413</v>
      </c>
      <c r="S4367" t="s">
        <v>10935</v>
      </c>
      <c r="T4367" t="s">
        <v>13134</v>
      </c>
      <c r="U4367" t="s">
        <v>13134</v>
      </c>
      <c r="V4367" t="s">
        <v>13134</v>
      </c>
      <c r="W4367" t="s">
        <v>17440</v>
      </c>
      <c r="X4367">
        <v>5</v>
      </c>
      <c r="Y4367" t="s">
        <v>23818</v>
      </c>
      <c r="Z4367" t="s">
        <v>30335</v>
      </c>
      <c r="AA4367">
        <v>0.43846244992412181</v>
      </c>
      <c r="AB4367" t="str">
        <f>HYPERLINK("Melting_Curves/meltCurve_Q86WA8_LONP2.pdf", "Melting_Curves/meltCurve_Q86WA8_LONP2.pdf")</f>
        <v>Melting_Curves/meltCurve_Q86WA8_LONP2.pdf</v>
      </c>
    </row>
    <row r="4368" spans="1:28" x14ac:dyDescent="0.25">
      <c r="A4368" t="s">
        <v>4372</v>
      </c>
      <c r="B4368">
        <v>0.99472303558308395</v>
      </c>
      <c r="C4368">
        <v>1.02220151822905</v>
      </c>
      <c r="D4368">
        <v>0.77120278230933903</v>
      </c>
      <c r="E4368">
        <v>0.70566844566270404</v>
      </c>
      <c r="F4368">
        <v>0.65499173244867204</v>
      </c>
      <c r="G4368">
        <v>0.27799350077838503</v>
      </c>
      <c r="H4368">
        <v>0.13803174539416599</v>
      </c>
      <c r="I4368">
        <v>0.111059219283021</v>
      </c>
      <c r="J4368">
        <v>0.14653179816174799</v>
      </c>
      <c r="K4368">
        <v>0.13443535747393301</v>
      </c>
      <c r="L4368">
        <v>616.11504649628796</v>
      </c>
      <c r="M4368">
        <v>12.3143585947854</v>
      </c>
      <c r="N4368">
        <v>50.469095239470903</v>
      </c>
      <c r="O4368">
        <v>48.767745778037899</v>
      </c>
      <c r="P4368">
        <v>-5.99493701942828E-2</v>
      </c>
      <c r="Q4368">
        <v>5.0552831928987803E-2</v>
      </c>
      <c r="R4368">
        <v>0.95964210620180801</v>
      </c>
      <c r="S4368" t="s">
        <v>10936</v>
      </c>
      <c r="T4368" t="s">
        <v>13134</v>
      </c>
      <c r="U4368" t="s">
        <v>13134</v>
      </c>
      <c r="V4368" t="s">
        <v>13134</v>
      </c>
      <c r="W4368" t="s">
        <v>17441</v>
      </c>
      <c r="X4368">
        <v>2</v>
      </c>
      <c r="Y4368" t="s">
        <v>23819</v>
      </c>
      <c r="Z4368" t="s">
        <v>30336</v>
      </c>
      <c r="AA4368">
        <v>0.48872445371519652</v>
      </c>
      <c r="AB4368" t="str">
        <f>HYPERLINK("Melting_Curves/meltCurve_Q86WC4_OSTM1.pdf", "Melting_Curves/meltCurve_Q86WC4_OSTM1.pdf")</f>
        <v>Melting_Curves/meltCurve_Q86WC4_OSTM1.pdf</v>
      </c>
    </row>
    <row r="4369" spans="1:28" x14ac:dyDescent="0.25">
      <c r="A4369" t="s">
        <v>4373</v>
      </c>
      <c r="B4369">
        <v>0.99472303558308395</v>
      </c>
      <c r="C4369">
        <v>1.0268223961934499</v>
      </c>
      <c r="D4369">
        <v>0.79318165869179202</v>
      </c>
      <c r="E4369">
        <v>0.62189981362520497</v>
      </c>
      <c r="F4369">
        <v>0.33428238915955499</v>
      </c>
      <c r="G4369">
        <v>0.179221880819983</v>
      </c>
      <c r="H4369">
        <v>0.100950048140309</v>
      </c>
      <c r="I4369">
        <v>5.8734874585158497E-2</v>
      </c>
      <c r="J4369">
        <v>9.0899116826475307E-2</v>
      </c>
      <c r="K4369">
        <v>7.6804661729378096E-2</v>
      </c>
      <c r="L4369">
        <v>767.72396817686399</v>
      </c>
      <c r="M4369">
        <v>16.174030321447901</v>
      </c>
      <c r="N4369">
        <v>47.827842401167999</v>
      </c>
      <c r="O4369">
        <v>46.758646786621497</v>
      </c>
      <c r="P4369">
        <v>-8.1508313323267495E-2</v>
      </c>
      <c r="Q4369">
        <v>5.7518397905407401E-2</v>
      </c>
      <c r="R4369">
        <v>0.99292952616518904</v>
      </c>
      <c r="S4369" t="s">
        <v>10937</v>
      </c>
      <c r="T4369" t="s">
        <v>13134</v>
      </c>
      <c r="U4369" t="s">
        <v>13134</v>
      </c>
      <c r="V4369" t="s">
        <v>13134</v>
      </c>
      <c r="W4369" t="s">
        <v>17442</v>
      </c>
      <c r="X4369">
        <v>3</v>
      </c>
      <c r="Y4369" t="s">
        <v>23820</v>
      </c>
      <c r="Z4369" t="s">
        <v>30337</v>
      </c>
      <c r="AA4369">
        <v>0.40471017964553208</v>
      </c>
      <c r="AB4369" t="str">
        <f>HYPERLINK("Melting_Curves/meltCurve_Q86WH2_RASSF3.pdf", "Melting_Curves/meltCurve_Q86WH2_RASSF3.pdf")</f>
        <v>Melting_Curves/meltCurve_Q86WH2_RASSF3.pdf</v>
      </c>
    </row>
    <row r="4370" spans="1:28" x14ac:dyDescent="0.25">
      <c r="A4370" t="s">
        <v>4374</v>
      </c>
      <c r="B4370">
        <v>0.99472303558308395</v>
      </c>
      <c r="C4370">
        <v>0.83697657973885697</v>
      </c>
      <c r="D4370">
        <v>0.63931858836073296</v>
      </c>
      <c r="E4370">
        <v>0.22650283433427701</v>
      </c>
      <c r="F4370">
        <v>0.12811472564075199</v>
      </c>
      <c r="G4370">
        <v>8.1234685215287095E-2</v>
      </c>
      <c r="H4370">
        <v>4.8393031497841903E-2</v>
      </c>
      <c r="I4370">
        <v>3.2595702226791597E-2</v>
      </c>
      <c r="J4370">
        <v>3.8429465362552803E-2</v>
      </c>
      <c r="K4370">
        <v>4.0239431356194399E-2</v>
      </c>
      <c r="L4370">
        <v>862.53534594885195</v>
      </c>
      <c r="M4370">
        <v>19.708267318127898</v>
      </c>
      <c r="N4370">
        <v>43.951119332684797</v>
      </c>
      <c r="O4370">
        <v>43.322034999472997</v>
      </c>
      <c r="P4370">
        <v>-0.109185298618263</v>
      </c>
      <c r="Q4370">
        <v>4.0003644354334303E-2</v>
      </c>
      <c r="R4370">
        <v>0.99576050944160999</v>
      </c>
      <c r="S4370" t="s">
        <v>10938</v>
      </c>
      <c r="T4370" t="s">
        <v>13134</v>
      </c>
      <c r="U4370" t="s">
        <v>13134</v>
      </c>
      <c r="V4370" t="s">
        <v>13134</v>
      </c>
      <c r="W4370" t="s">
        <v>17443</v>
      </c>
      <c r="X4370">
        <v>7</v>
      </c>
      <c r="Y4370" t="s">
        <v>23821</v>
      </c>
      <c r="Z4370" t="s">
        <v>30338</v>
      </c>
      <c r="AA4370">
        <v>0.2698550101529652</v>
      </c>
      <c r="AB4370" t="str">
        <f>HYPERLINK("Melting_Curves/meltCurve_Q86WJ1_CHD1L.pdf", "Melting_Curves/meltCurve_Q86WJ1_CHD1L.pdf")</f>
        <v>Melting_Curves/meltCurve_Q86WJ1_CHD1L.pdf</v>
      </c>
    </row>
    <row r="4371" spans="1:28" x14ac:dyDescent="0.25">
      <c r="A4371" t="s">
        <v>4375</v>
      </c>
      <c r="B4371">
        <v>0.99472303558308395</v>
      </c>
      <c r="C4371">
        <v>0.94822620847850003</v>
      </c>
      <c r="D4371">
        <v>0.96773773239791405</v>
      </c>
      <c r="E4371">
        <v>0.81526090384390704</v>
      </c>
      <c r="F4371">
        <v>0.57901783002527696</v>
      </c>
      <c r="G4371">
        <v>0.40962007589319499</v>
      </c>
      <c r="H4371">
        <v>0.175945433550799</v>
      </c>
      <c r="I4371">
        <v>0.138388102198957</v>
      </c>
      <c r="J4371">
        <v>0.134639988167714</v>
      </c>
      <c r="K4371">
        <v>0.10030644599128601</v>
      </c>
      <c r="L4371">
        <v>764.36501288233399</v>
      </c>
      <c r="M4371">
        <v>14.9775480861713</v>
      </c>
      <c r="N4371">
        <v>51.573371155964701</v>
      </c>
      <c r="O4371">
        <v>50.1502110404234</v>
      </c>
      <c r="P4371">
        <v>-6.9258524950078296E-2</v>
      </c>
      <c r="Q4371">
        <v>7.2484573833558899E-2</v>
      </c>
      <c r="R4371">
        <v>0.995013896385331</v>
      </c>
      <c r="S4371" t="s">
        <v>10939</v>
      </c>
      <c r="T4371" t="s">
        <v>13134</v>
      </c>
      <c r="U4371" t="s">
        <v>13134</v>
      </c>
      <c r="V4371" t="s">
        <v>13134</v>
      </c>
      <c r="W4371" t="s">
        <v>17444</v>
      </c>
      <c r="X4371">
        <v>5</v>
      </c>
      <c r="Y4371" t="s">
        <v>23822</v>
      </c>
      <c r="Z4371" t="s">
        <v>30339</v>
      </c>
      <c r="AA4371">
        <v>0.52505921080307505</v>
      </c>
      <c r="AB4371" t="str">
        <f>HYPERLINK("Melting_Curves/meltCurve_Q86WQ0_NR2C2AP.pdf", "Melting_Curves/meltCurve_Q86WQ0_NR2C2AP.pdf")</f>
        <v>Melting_Curves/meltCurve_Q86WQ0_NR2C2AP.pdf</v>
      </c>
    </row>
    <row r="4372" spans="1:28" x14ac:dyDescent="0.25">
      <c r="A4372" t="s">
        <v>4376</v>
      </c>
      <c r="B4372">
        <v>0.99472303558308395</v>
      </c>
      <c r="C4372">
        <v>0.99592953792467098</v>
      </c>
      <c r="D4372">
        <v>0.94213262508151396</v>
      </c>
      <c r="E4372">
        <v>0.79792150704553599</v>
      </c>
      <c r="F4372">
        <v>0.35569233426903202</v>
      </c>
      <c r="G4372">
        <v>0.15225524641174601</v>
      </c>
      <c r="H4372">
        <v>0.104598282604712</v>
      </c>
      <c r="I4372">
        <v>5.8567302889037401E-2</v>
      </c>
      <c r="J4372">
        <v>0.104430680281171</v>
      </c>
      <c r="K4372">
        <v>9.7100658883425395E-2</v>
      </c>
      <c r="L4372">
        <v>1319.92096197981</v>
      </c>
      <c r="M4372">
        <v>27.1343051899619</v>
      </c>
      <c r="N4372">
        <v>48.985845249490303</v>
      </c>
      <c r="O4372">
        <v>48.382087331713699</v>
      </c>
      <c r="P4372">
        <v>-0.12811594102840199</v>
      </c>
      <c r="Q4372">
        <v>8.6255329590423702E-2</v>
      </c>
      <c r="R4372">
        <v>0.99831162397335405</v>
      </c>
      <c r="S4372" t="s">
        <v>10940</v>
      </c>
      <c r="T4372" t="s">
        <v>13134</v>
      </c>
      <c r="U4372" t="s">
        <v>13134</v>
      </c>
      <c r="V4372" t="s">
        <v>13134</v>
      </c>
      <c r="W4372" t="s">
        <v>17445</v>
      </c>
      <c r="X4372">
        <v>6</v>
      </c>
      <c r="Y4372" t="s">
        <v>23823</v>
      </c>
      <c r="Z4372" t="s">
        <v>30340</v>
      </c>
      <c r="AA4372">
        <v>0.44759736346166729</v>
      </c>
      <c r="AB4372" t="str">
        <f>HYPERLINK("Melting_Curves/meltCurve_Q86WR0_CCDC25.pdf", "Melting_Curves/meltCurve_Q86WR0_CCDC25.pdf")</f>
        <v>Melting_Curves/meltCurve_Q86WR0_CCDC25.pdf</v>
      </c>
    </row>
    <row r="4373" spans="1:28" x14ac:dyDescent="0.25">
      <c r="A4373" t="s">
        <v>4377</v>
      </c>
      <c r="B4373">
        <v>0.99472303558308395</v>
      </c>
      <c r="C4373">
        <v>0.99524933374201197</v>
      </c>
      <c r="D4373">
        <v>0.99133938780912201</v>
      </c>
      <c r="E4373">
        <v>0.79700541518771995</v>
      </c>
      <c r="F4373">
        <v>0.42410660032909497</v>
      </c>
      <c r="G4373">
        <v>0.21133709839345399</v>
      </c>
      <c r="H4373">
        <v>0.115367153246923</v>
      </c>
      <c r="I4373">
        <v>9.4152392281084504E-2</v>
      </c>
      <c r="J4373">
        <v>0.13356143385198499</v>
      </c>
      <c r="K4373">
        <v>0.121092662169224</v>
      </c>
      <c r="L4373">
        <v>1212.26644714184</v>
      </c>
      <c r="M4373">
        <v>24.754658576774201</v>
      </c>
      <c r="N4373">
        <v>49.471216954909501</v>
      </c>
      <c r="O4373">
        <v>48.655020172736798</v>
      </c>
      <c r="P4373">
        <v>-0.11311982615909801</v>
      </c>
      <c r="Q4373">
        <v>0.11066913649446999</v>
      </c>
      <c r="R4373">
        <v>0.99867393694208295</v>
      </c>
      <c r="S4373" t="s">
        <v>10941</v>
      </c>
      <c r="T4373" t="s">
        <v>13134</v>
      </c>
      <c r="U4373" t="s">
        <v>13134</v>
      </c>
      <c r="V4373" t="s">
        <v>13134</v>
      </c>
      <c r="W4373" t="s">
        <v>17446</v>
      </c>
      <c r="X4373">
        <v>8</v>
      </c>
      <c r="Y4373" t="s">
        <v>23824</v>
      </c>
      <c r="Z4373" t="s">
        <v>30341</v>
      </c>
      <c r="AA4373">
        <v>0.47337970741057089</v>
      </c>
      <c r="AB4373" t="str">
        <f>HYPERLINK("Melting_Curves/meltCurve_Q86WR7_PROSER2.pdf", "Melting_Curves/meltCurve_Q86WR7_PROSER2.pdf")</f>
        <v>Melting_Curves/meltCurve_Q86WR7_PROSER2.pdf</v>
      </c>
    </row>
    <row r="4374" spans="1:28" x14ac:dyDescent="0.25">
      <c r="A4374" t="s">
        <v>4378</v>
      </c>
      <c r="B4374">
        <v>0.99472303558308395</v>
      </c>
      <c r="C4374">
        <v>0.94870272725244098</v>
      </c>
      <c r="D4374">
        <v>0.83698411438961395</v>
      </c>
      <c r="E4374">
        <v>0.67372543243578598</v>
      </c>
      <c r="F4374">
        <v>0.427803104434128</v>
      </c>
      <c r="G4374">
        <v>0.14260147408236301</v>
      </c>
      <c r="H4374">
        <v>8.1419083831619998E-2</v>
      </c>
      <c r="I4374">
        <v>5.8977987809820998E-2</v>
      </c>
      <c r="J4374">
        <v>3.04511328058879E-2</v>
      </c>
      <c r="K4374">
        <v>2.5470248545602699E-2</v>
      </c>
      <c r="L4374">
        <v>721.65903902970797</v>
      </c>
      <c r="M4374">
        <v>14.833439475737499</v>
      </c>
      <c r="N4374">
        <v>48.650823071224202</v>
      </c>
      <c r="O4374">
        <v>47.792283274365801</v>
      </c>
      <c r="P4374">
        <v>-7.7601467681511896E-2</v>
      </c>
      <c r="Q4374">
        <v>0</v>
      </c>
      <c r="R4374">
        <v>0.99548297776357897</v>
      </c>
      <c r="S4374" t="s">
        <v>10942</v>
      </c>
      <c r="T4374" t="s">
        <v>13134</v>
      </c>
      <c r="U4374" t="s">
        <v>13134</v>
      </c>
      <c r="V4374" t="s">
        <v>13134</v>
      </c>
      <c r="W4374" t="s">
        <v>17447</v>
      </c>
      <c r="X4374">
        <v>5</v>
      </c>
      <c r="Y4374" t="s">
        <v>23825</v>
      </c>
      <c r="Z4374" t="s">
        <v>30342</v>
      </c>
      <c r="AA4374">
        <v>0.41045172864362878</v>
      </c>
      <c r="AB4374" t="str">
        <f>HYPERLINK("Melting_Curves/meltCurve_Q86WV6_TMEM173.pdf", "Melting_Curves/meltCurve_Q86WV6_TMEM173.pdf")</f>
        <v>Melting_Curves/meltCurve_Q86WV6_TMEM173.pdf</v>
      </c>
    </row>
    <row r="4375" spans="1:28" x14ac:dyDescent="0.25">
      <c r="A4375" t="s">
        <v>4379</v>
      </c>
      <c r="B4375">
        <v>0.99472303558308395</v>
      </c>
      <c r="C4375">
        <v>0.98705319444116402</v>
      </c>
      <c r="D4375">
        <v>1.0445829794456201</v>
      </c>
      <c r="E4375">
        <v>0.86293439431460095</v>
      </c>
      <c r="F4375">
        <v>0.70483921406786798</v>
      </c>
      <c r="G4375">
        <v>0.48164397406794301</v>
      </c>
      <c r="H4375">
        <v>0.32763768718401098</v>
      </c>
      <c r="I4375">
        <v>0.20120875579884701</v>
      </c>
      <c r="J4375">
        <v>0.244560391791349</v>
      </c>
      <c r="K4375">
        <v>0.18471325351705101</v>
      </c>
      <c r="L4375">
        <v>864.28747932982105</v>
      </c>
      <c r="M4375">
        <v>16.6299495057815</v>
      </c>
      <c r="N4375">
        <v>53.356118250069002</v>
      </c>
      <c r="O4375">
        <v>51.2376744891911</v>
      </c>
      <c r="P4375">
        <v>-6.6927653389513203E-2</v>
      </c>
      <c r="Q4375">
        <v>0.17522630166144099</v>
      </c>
      <c r="R4375">
        <v>0.99210896114130898</v>
      </c>
      <c r="S4375" t="s">
        <v>10943</v>
      </c>
      <c r="T4375" t="s">
        <v>13134</v>
      </c>
      <c r="U4375" t="s">
        <v>13134</v>
      </c>
      <c r="V4375" t="s">
        <v>13134</v>
      </c>
      <c r="W4375" t="s">
        <v>17448</v>
      </c>
      <c r="X4375">
        <v>6</v>
      </c>
      <c r="Y4375" t="s">
        <v>23826</v>
      </c>
      <c r="Z4375" t="s">
        <v>30343</v>
      </c>
      <c r="AA4375">
        <v>0.6007517488519073</v>
      </c>
      <c r="AB4375" t="str">
        <f>HYPERLINK("Melting_Curves/meltCurve_Q86WV7_CCDC43.pdf", "Melting_Curves/meltCurve_Q86WV7_CCDC43.pdf")</f>
        <v>Melting_Curves/meltCurve_Q86WV7_CCDC43.pdf</v>
      </c>
    </row>
    <row r="4376" spans="1:28" x14ac:dyDescent="0.25">
      <c r="A4376" t="s">
        <v>4380</v>
      </c>
      <c r="B4376">
        <v>0.99472303558308395</v>
      </c>
      <c r="C4376">
        <v>1.0152377328676601</v>
      </c>
      <c r="D4376">
        <v>0.95881337729354399</v>
      </c>
      <c r="E4376">
        <v>0.72737982237021803</v>
      </c>
      <c r="F4376">
        <v>0.49732660760386999</v>
      </c>
      <c r="G4376">
        <v>0.30474217298653899</v>
      </c>
      <c r="H4376">
        <v>0.17365807013227899</v>
      </c>
      <c r="I4376">
        <v>9.7269030616575394E-2</v>
      </c>
      <c r="J4376">
        <v>0.133739107602839</v>
      </c>
      <c r="K4376">
        <v>0.11208960176996</v>
      </c>
      <c r="L4376">
        <v>814.67812342047603</v>
      </c>
      <c r="M4376">
        <v>16.4719736882703</v>
      </c>
      <c r="N4376">
        <v>50.093824350749003</v>
      </c>
      <c r="O4376">
        <v>48.746725919380303</v>
      </c>
      <c r="P4376">
        <v>-7.6518740315851902E-2</v>
      </c>
      <c r="Q4376">
        <v>9.4273169199824605E-2</v>
      </c>
      <c r="R4376">
        <v>0.99634027238095002</v>
      </c>
      <c r="S4376" t="s">
        <v>10944</v>
      </c>
      <c r="T4376" t="s">
        <v>13134</v>
      </c>
      <c r="U4376" t="s">
        <v>13134</v>
      </c>
      <c r="V4376" t="s">
        <v>13134</v>
      </c>
      <c r="W4376" t="s">
        <v>17449</v>
      </c>
      <c r="X4376">
        <v>2</v>
      </c>
      <c r="Y4376" t="s">
        <v>23827</v>
      </c>
      <c r="Z4376" t="s">
        <v>30344</v>
      </c>
      <c r="AA4376">
        <v>0.48702803335071171</v>
      </c>
      <c r="AB4376" t="str">
        <f>HYPERLINK("Melting_Curves/meltCurve_Q86WX3_RPS19BP1.pdf", "Melting_Curves/meltCurve_Q86WX3_RPS19BP1.pdf")</f>
        <v>Melting_Curves/meltCurve_Q86WX3_RPS19BP1.pdf</v>
      </c>
    </row>
    <row r="4377" spans="1:28" x14ac:dyDescent="0.25">
      <c r="A4377" t="s">
        <v>4381</v>
      </c>
      <c r="B4377">
        <v>0.99472303558308395</v>
      </c>
      <c r="C4377">
        <v>1.0592227943465899</v>
      </c>
      <c r="D4377">
        <v>0.99803690005063705</v>
      </c>
      <c r="E4377">
        <v>0.82128592507489195</v>
      </c>
      <c r="F4377">
        <v>0.49602872334988202</v>
      </c>
      <c r="G4377">
        <v>0.21421179337073801</v>
      </c>
      <c r="H4377">
        <v>0.13079247328729099</v>
      </c>
      <c r="I4377">
        <v>8.6049244026098801E-2</v>
      </c>
      <c r="J4377">
        <v>8.3659365566065E-2</v>
      </c>
      <c r="K4377">
        <v>8.2376940790789902E-2</v>
      </c>
      <c r="L4377">
        <v>1133.21025697301</v>
      </c>
      <c r="M4377">
        <v>22.7904539871681</v>
      </c>
      <c r="N4377">
        <v>50.1029598755823</v>
      </c>
      <c r="O4377">
        <v>49.344942793037703</v>
      </c>
      <c r="P4377">
        <v>-0.10630413235825401</v>
      </c>
      <c r="Q4377">
        <v>7.9356731076485498E-2</v>
      </c>
      <c r="R4377">
        <v>0.99702683178960105</v>
      </c>
      <c r="S4377" t="s">
        <v>10945</v>
      </c>
      <c r="T4377" t="s">
        <v>13134</v>
      </c>
      <c r="U4377" t="s">
        <v>13134</v>
      </c>
      <c r="V4377" t="s">
        <v>13134</v>
      </c>
      <c r="W4377" t="s">
        <v>17450</v>
      </c>
      <c r="X4377">
        <v>4</v>
      </c>
      <c r="Y4377" t="s">
        <v>23828</v>
      </c>
      <c r="Z4377" t="s">
        <v>30345</v>
      </c>
      <c r="AA4377">
        <v>0.47936534668058478</v>
      </c>
      <c r="AB4377" t="str">
        <f>HYPERLINK("Melting_Curves/meltCurve_Q86X02_CDR2L.pdf", "Melting_Curves/meltCurve_Q86X02_CDR2L.pdf")</f>
        <v>Melting_Curves/meltCurve_Q86X02_CDR2L.pdf</v>
      </c>
    </row>
    <row r="4378" spans="1:28" x14ac:dyDescent="0.25">
      <c r="A4378" t="s">
        <v>4382</v>
      </c>
      <c r="B4378">
        <v>0.99472303558308395</v>
      </c>
      <c r="C4378">
        <v>0.85003373431152296</v>
      </c>
      <c r="D4378">
        <v>0.87685560630075199</v>
      </c>
      <c r="E4378">
        <v>0.822946624497228</v>
      </c>
      <c r="F4378">
        <v>1.0336367229369201</v>
      </c>
      <c r="G4378">
        <v>0.57037411626467605</v>
      </c>
      <c r="H4378">
        <v>0.16363892723786999</v>
      </c>
      <c r="I4378">
        <v>0.225468326107825</v>
      </c>
      <c r="J4378">
        <v>0.145878417335706</v>
      </c>
      <c r="K4378">
        <v>0.45306647389203197</v>
      </c>
      <c r="L4378">
        <v>13434.7129806797</v>
      </c>
      <c r="M4378">
        <v>250</v>
      </c>
      <c r="N4378">
        <v>53.885694577424999</v>
      </c>
      <c r="O4378">
        <v>53.735413042833997</v>
      </c>
      <c r="P4378">
        <v>-0.87580393620101604</v>
      </c>
      <c r="Q4378">
        <v>0.24701302148516599</v>
      </c>
      <c r="R4378">
        <v>0.88051765088868605</v>
      </c>
      <c r="S4378" t="s">
        <v>10946</v>
      </c>
      <c r="T4378" t="s">
        <v>13134</v>
      </c>
      <c r="U4378" t="s">
        <v>13134</v>
      </c>
      <c r="V4378" t="s">
        <v>13134</v>
      </c>
      <c r="W4378" t="s">
        <v>17451</v>
      </c>
      <c r="X4378">
        <v>2</v>
      </c>
      <c r="Y4378" t="s">
        <v>23829</v>
      </c>
      <c r="Z4378" t="s">
        <v>30346</v>
      </c>
      <c r="AA4378">
        <v>0.66722195409605911</v>
      </c>
      <c r="AB4378" t="str">
        <f>HYPERLINK("Melting_Curves/meltCurve_Q86X27_2_RALGPS2.pdf", "Melting_Curves/meltCurve_Q86X27_2_RALGPS2.pdf")</f>
        <v>Melting_Curves/meltCurve_Q86X27_2_RALGPS2.pdf</v>
      </c>
    </row>
    <row r="4379" spans="1:28" x14ac:dyDescent="0.25">
      <c r="A4379" t="s">
        <v>4383</v>
      </c>
      <c r="B4379">
        <v>0.99472303558308395</v>
      </c>
      <c r="C4379">
        <v>1.27027610192795</v>
      </c>
      <c r="D4379">
        <v>1.2027014404532901</v>
      </c>
      <c r="E4379">
        <v>0.86619432973036503</v>
      </c>
      <c r="F4379">
        <v>0.31129853772989102</v>
      </c>
      <c r="G4379">
        <v>0.38504211254959197</v>
      </c>
      <c r="H4379">
        <v>0.36802677244703902</v>
      </c>
      <c r="I4379">
        <v>0.52558716729725496</v>
      </c>
      <c r="J4379">
        <v>0.63457520578277005</v>
      </c>
      <c r="K4379">
        <v>0.425714583364178</v>
      </c>
      <c r="L4379">
        <v>11703.7993456734</v>
      </c>
      <c r="M4379">
        <v>250</v>
      </c>
      <c r="N4379">
        <v>47.221137006445801</v>
      </c>
      <c r="O4379">
        <v>46.812201459820002</v>
      </c>
      <c r="P4379">
        <v>-0.74538874134525201</v>
      </c>
      <c r="Q4379">
        <v>0.44170739311797502</v>
      </c>
      <c r="R4379">
        <v>0.84150357423125999</v>
      </c>
      <c r="S4379" t="s">
        <v>10947</v>
      </c>
      <c r="T4379" t="s">
        <v>13134</v>
      </c>
      <c r="U4379" t="s">
        <v>13134</v>
      </c>
      <c r="V4379" t="s">
        <v>13134</v>
      </c>
      <c r="W4379" t="s">
        <v>17452</v>
      </c>
      <c r="X4379">
        <v>17</v>
      </c>
      <c r="Y4379" t="s">
        <v>19797</v>
      </c>
      <c r="Z4379" t="s">
        <v>30347</v>
      </c>
      <c r="AA4379">
        <v>0.6244116668681442</v>
      </c>
      <c r="AB4379" t="str">
        <f>HYPERLINK("Melting_Curves/meltCurve_Q86X29_3_LSR.pdf", "Melting_Curves/meltCurve_Q86X29_3_LSR.pdf")</f>
        <v>Melting_Curves/meltCurve_Q86X29_3_LSR.pdf</v>
      </c>
    </row>
    <row r="4380" spans="1:28" x14ac:dyDescent="0.25">
      <c r="A4380" t="s">
        <v>4384</v>
      </c>
      <c r="B4380">
        <v>0.99472303558308395</v>
      </c>
      <c r="C4380">
        <v>1.05336561439006</v>
      </c>
      <c r="D4380">
        <v>0.93104794355880205</v>
      </c>
      <c r="E4380">
        <v>0.74305508781488006</v>
      </c>
      <c r="F4380">
        <v>0.23826912344717399</v>
      </c>
      <c r="G4380">
        <v>0.176619787275127</v>
      </c>
      <c r="H4380">
        <v>0.13823145691292599</v>
      </c>
      <c r="I4380">
        <v>0.13978786248578901</v>
      </c>
      <c r="J4380">
        <v>0.182483085342591</v>
      </c>
      <c r="K4380">
        <v>0.171889806416784</v>
      </c>
      <c r="L4380">
        <v>1876.9268625515899</v>
      </c>
      <c r="M4380">
        <v>39.501453058849201</v>
      </c>
      <c r="N4380">
        <v>47.977865652672001</v>
      </c>
      <c r="O4380">
        <v>47.394101888618501</v>
      </c>
      <c r="P4380">
        <v>-0.17537604176597499</v>
      </c>
      <c r="Q4380">
        <v>0.158332577788907</v>
      </c>
      <c r="R4380">
        <v>0.99449329515030005</v>
      </c>
      <c r="S4380" t="s">
        <v>10948</v>
      </c>
      <c r="T4380" t="s">
        <v>13134</v>
      </c>
      <c r="U4380" t="s">
        <v>13134</v>
      </c>
      <c r="V4380" t="s">
        <v>13134</v>
      </c>
      <c r="W4380" t="s">
        <v>17453</v>
      </c>
      <c r="X4380">
        <v>1</v>
      </c>
      <c r="Y4380" t="s">
        <v>23830</v>
      </c>
      <c r="Z4380" t="s">
        <v>30348</v>
      </c>
      <c r="AA4380">
        <v>0.45618345990745413</v>
      </c>
      <c r="AB4380" t="str">
        <f>HYPERLINK("Melting_Curves/meltCurve_Q86X53_ERICH1.pdf", "Melting_Curves/meltCurve_Q86X53_ERICH1.pdf")</f>
        <v>Melting_Curves/meltCurve_Q86X53_ERICH1.pdf</v>
      </c>
    </row>
    <row r="4381" spans="1:28" x14ac:dyDescent="0.25">
      <c r="A4381" t="s">
        <v>4385</v>
      </c>
      <c r="B4381">
        <v>0.99472303558308395</v>
      </c>
      <c r="C4381">
        <v>0.96756414243095501</v>
      </c>
      <c r="D4381">
        <v>0.78493800642129097</v>
      </c>
      <c r="E4381">
        <v>0.71554108158405405</v>
      </c>
      <c r="F4381">
        <v>0.83261451310252899</v>
      </c>
      <c r="G4381">
        <v>0.46123676391204099</v>
      </c>
      <c r="H4381">
        <v>0.31871752474319898</v>
      </c>
      <c r="I4381">
        <v>0.13193231790886201</v>
      </c>
      <c r="J4381">
        <v>0.119461955937716</v>
      </c>
      <c r="K4381">
        <v>0.14884143605094299</v>
      </c>
      <c r="L4381">
        <v>538.44421546213698</v>
      </c>
      <c r="M4381">
        <v>10.120239702427099</v>
      </c>
      <c r="N4381">
        <v>53.2047058918753</v>
      </c>
      <c r="O4381">
        <v>51.252636386305802</v>
      </c>
      <c r="P4381">
        <v>-4.9387420591544502E-2</v>
      </c>
      <c r="Q4381">
        <v>0</v>
      </c>
      <c r="R4381">
        <v>0.937334219905266</v>
      </c>
      <c r="S4381" t="s">
        <v>10949</v>
      </c>
      <c r="T4381" t="s">
        <v>13134</v>
      </c>
      <c r="U4381" t="s">
        <v>13134</v>
      </c>
      <c r="V4381" t="s">
        <v>13134</v>
      </c>
      <c r="W4381" t="s">
        <v>17454</v>
      </c>
      <c r="X4381">
        <v>13</v>
      </c>
      <c r="Y4381" t="s">
        <v>23831</v>
      </c>
      <c r="Z4381" t="s">
        <v>30349</v>
      </c>
      <c r="AA4381">
        <v>0.56159617155864217</v>
      </c>
      <c r="AB4381" t="str">
        <f>HYPERLINK("Melting_Curves/meltCurve_Q86X55_1_CARM1.pdf", "Melting_Curves/meltCurve_Q86X55_1_CARM1.pdf")</f>
        <v>Melting_Curves/meltCurve_Q86X55_1_CARM1.pdf</v>
      </c>
    </row>
    <row r="4382" spans="1:28" x14ac:dyDescent="0.25">
      <c r="A4382" t="s">
        <v>4386</v>
      </c>
      <c r="B4382">
        <v>0.99472303558308395</v>
      </c>
      <c r="C4382">
        <v>0.88086387606999905</v>
      </c>
      <c r="D4382">
        <v>0.90315350808922201</v>
      </c>
      <c r="E4382">
        <v>0.840972508207248</v>
      </c>
      <c r="F4382">
        <v>0.85408578312138494</v>
      </c>
      <c r="G4382">
        <v>0.554283270929673</v>
      </c>
      <c r="H4382">
        <v>0.34846841799273398</v>
      </c>
      <c r="I4382">
        <v>0.38564163533655299</v>
      </c>
      <c r="J4382">
        <v>0.53926779655903501</v>
      </c>
      <c r="K4382">
        <v>0.38686629215178697</v>
      </c>
      <c r="S4382" t="s">
        <v>10950</v>
      </c>
      <c r="T4382" t="s">
        <v>13134</v>
      </c>
      <c r="U4382" t="s">
        <v>13135</v>
      </c>
      <c r="V4382" t="s">
        <v>13134</v>
      </c>
      <c r="W4382" t="s">
        <v>17455</v>
      </c>
      <c r="X4382">
        <v>9</v>
      </c>
      <c r="Y4382" t="s">
        <v>23832</v>
      </c>
      <c r="Z4382" t="s">
        <v>30350</v>
      </c>
      <c r="AB4382" t="str">
        <f>HYPERLINK("Melting_Curves/meltCurve_Q86X76_2_NIT1.pdf", "Melting_Curves/meltCurve_Q86X76_2_NIT1.pdf")</f>
        <v>Melting_Curves/meltCurve_Q86X76_2_NIT1.pdf</v>
      </c>
    </row>
    <row r="4383" spans="1:28" x14ac:dyDescent="0.25">
      <c r="A4383" t="s">
        <v>4387</v>
      </c>
      <c r="B4383">
        <v>0.99472303558308395</v>
      </c>
      <c r="C4383">
        <v>0.80537561370519495</v>
      </c>
      <c r="D4383">
        <v>0.83090519686297404</v>
      </c>
      <c r="E4383">
        <v>0.48355481177840098</v>
      </c>
      <c r="F4383">
        <v>0.15350670950131201</v>
      </c>
      <c r="G4383">
        <v>5.03932570916307E-2</v>
      </c>
      <c r="H4383">
        <v>3.0483017848156199E-2</v>
      </c>
      <c r="I4383">
        <v>2.25897508547124E-2</v>
      </c>
      <c r="J4383">
        <v>1.6736215217068501E-2</v>
      </c>
      <c r="K4383">
        <v>1.11429869151927E-2</v>
      </c>
      <c r="L4383">
        <v>818.224056558999</v>
      </c>
      <c r="M4383">
        <v>17.736495534547998</v>
      </c>
      <c r="N4383">
        <v>46.132218050916897</v>
      </c>
      <c r="O4383">
        <v>45.557782310039997</v>
      </c>
      <c r="P4383">
        <v>-9.7334761632762806E-2</v>
      </c>
      <c r="Q4383">
        <v>0</v>
      </c>
      <c r="R4383">
        <v>0.98350251524188104</v>
      </c>
      <c r="S4383" t="s">
        <v>10951</v>
      </c>
      <c r="T4383" t="s">
        <v>13134</v>
      </c>
      <c r="U4383" t="s">
        <v>13134</v>
      </c>
      <c r="V4383" t="s">
        <v>13134</v>
      </c>
      <c r="W4383" t="s">
        <v>17456</v>
      </c>
      <c r="X4383">
        <v>3</v>
      </c>
      <c r="Y4383" t="s">
        <v>23833</v>
      </c>
      <c r="Z4383" t="s">
        <v>30351</v>
      </c>
      <c r="AA4383">
        <v>0.32102942905207688</v>
      </c>
      <c r="AB4383" t="str">
        <f>HYPERLINK("Melting_Curves/meltCurve_Q86X83_COMMD2.pdf", "Melting_Curves/meltCurve_Q86X83_COMMD2.pdf")</f>
        <v>Melting_Curves/meltCurve_Q86X83_COMMD2.pdf</v>
      </c>
    </row>
    <row r="4384" spans="1:28" x14ac:dyDescent="0.25">
      <c r="A4384" t="s">
        <v>4388</v>
      </c>
      <c r="B4384">
        <v>0.99472303558308395</v>
      </c>
      <c r="C4384">
        <v>1.00619811120837</v>
      </c>
      <c r="D4384">
        <v>0.94371140155863698</v>
      </c>
      <c r="E4384">
        <v>0.78440401721237896</v>
      </c>
      <c r="F4384">
        <v>0.67438544003462297</v>
      </c>
      <c r="G4384">
        <v>0.37736941653652101</v>
      </c>
      <c r="H4384">
        <v>0.28074138018968098</v>
      </c>
      <c r="I4384">
        <v>0.25128190191344502</v>
      </c>
      <c r="J4384">
        <v>0.311807414637856</v>
      </c>
      <c r="K4384">
        <v>0.17848570044485401</v>
      </c>
      <c r="L4384">
        <v>803.38668419930195</v>
      </c>
      <c r="M4384">
        <v>15.9741222069832</v>
      </c>
      <c r="N4384">
        <v>52.0612848016196</v>
      </c>
      <c r="O4384">
        <v>49.524629590512099</v>
      </c>
      <c r="P4384">
        <v>-6.3759081116097197E-2</v>
      </c>
      <c r="Q4384">
        <v>0.209372349614114</v>
      </c>
      <c r="R4384">
        <v>0.98371979991038005</v>
      </c>
      <c r="S4384" t="s">
        <v>10952</v>
      </c>
      <c r="T4384" t="s">
        <v>13134</v>
      </c>
      <c r="U4384" t="s">
        <v>13134</v>
      </c>
      <c r="V4384" t="s">
        <v>13134</v>
      </c>
      <c r="W4384" t="s">
        <v>17457</v>
      </c>
      <c r="X4384">
        <v>3</v>
      </c>
      <c r="Y4384" t="s">
        <v>23834</v>
      </c>
      <c r="Z4384" t="s">
        <v>30352</v>
      </c>
      <c r="AA4384">
        <v>0.57463925515988801</v>
      </c>
      <c r="AB4384" t="str">
        <f>HYPERLINK("Melting_Curves/meltCurve_Q86X95_2_CIR1.pdf", "Melting_Curves/meltCurve_Q86X95_2_CIR1.pdf")</f>
        <v>Melting_Curves/meltCurve_Q86X95_2_CIR1.pdf</v>
      </c>
    </row>
    <row r="4385" spans="1:28" x14ac:dyDescent="0.25">
      <c r="A4385" t="s">
        <v>4389</v>
      </c>
      <c r="B4385">
        <v>0.99472303558308395</v>
      </c>
      <c r="C4385">
        <v>1.0441223468246801</v>
      </c>
      <c r="D4385">
        <v>1.02320527371848</v>
      </c>
      <c r="E4385">
        <v>0.85916939048634799</v>
      </c>
      <c r="F4385">
        <v>0.49690814505242498</v>
      </c>
      <c r="G4385">
        <v>0.18377196312803401</v>
      </c>
      <c r="H4385">
        <v>0.101734292704452</v>
      </c>
      <c r="I4385">
        <v>0.102302233977084</v>
      </c>
      <c r="J4385">
        <v>8.0167769820785398E-2</v>
      </c>
      <c r="K4385">
        <v>8.9042278297934305E-2</v>
      </c>
      <c r="L4385">
        <v>1353.38363704681</v>
      </c>
      <c r="M4385">
        <v>27.195984037007399</v>
      </c>
      <c r="N4385">
        <v>50.105293553037498</v>
      </c>
      <c r="O4385">
        <v>49.497366960535103</v>
      </c>
      <c r="P4385">
        <v>-0.12575088951691701</v>
      </c>
      <c r="Q4385">
        <v>8.45298313410206E-2</v>
      </c>
      <c r="R4385">
        <v>0.99768241637408805</v>
      </c>
      <c r="S4385" t="s">
        <v>10953</v>
      </c>
      <c r="T4385" t="s">
        <v>13134</v>
      </c>
      <c r="U4385" t="s">
        <v>13134</v>
      </c>
      <c r="V4385" t="s">
        <v>13134</v>
      </c>
      <c r="W4385" t="s">
        <v>17458</v>
      </c>
      <c r="X4385">
        <v>3</v>
      </c>
      <c r="Y4385" t="s">
        <v>23835</v>
      </c>
      <c r="Z4385" t="s">
        <v>30353</v>
      </c>
      <c r="AA4385">
        <v>0.48082056764861869</v>
      </c>
      <c r="AB4385" t="str">
        <f>HYPERLINK("Melting_Curves/meltCurve_Q86XK3_3_SFR1.pdf", "Melting_Curves/meltCurve_Q86XK3_3_SFR1.pdf")</f>
        <v>Melting_Curves/meltCurve_Q86XK3_3_SFR1.pdf</v>
      </c>
    </row>
    <row r="4386" spans="1:28" x14ac:dyDescent="0.25">
      <c r="A4386" t="s">
        <v>4390</v>
      </c>
      <c r="B4386">
        <v>0.99472303558308395</v>
      </c>
      <c r="C4386">
        <v>0.93330022598533302</v>
      </c>
      <c r="D4386">
        <v>0.93589332384597201</v>
      </c>
      <c r="E4386">
        <v>0.73275496246267102</v>
      </c>
      <c r="F4386">
        <v>0.152323332512005</v>
      </c>
      <c r="G4386">
        <v>8.9345159904477903E-2</v>
      </c>
      <c r="H4386">
        <v>5.6373900563427198E-2</v>
      </c>
      <c r="I4386">
        <v>4.4074562511035503E-2</v>
      </c>
      <c r="J4386">
        <v>5.14912281879783E-2</v>
      </c>
      <c r="K4386">
        <v>4.1754226200830302E-2</v>
      </c>
      <c r="L4386">
        <v>1870.1341081232499</v>
      </c>
      <c r="M4386">
        <v>39.244057099109298</v>
      </c>
      <c r="N4386">
        <v>47.787967463397202</v>
      </c>
      <c r="O4386">
        <v>47.530707888854302</v>
      </c>
      <c r="P4386">
        <v>-0.19565831510565199</v>
      </c>
      <c r="Q4386">
        <v>5.2110483981631699E-2</v>
      </c>
      <c r="R4386">
        <v>0.99516828404775604</v>
      </c>
      <c r="S4386" t="s">
        <v>10954</v>
      </c>
      <c r="T4386" t="s">
        <v>13134</v>
      </c>
      <c r="U4386" t="s">
        <v>13134</v>
      </c>
      <c r="V4386" t="s">
        <v>13134</v>
      </c>
      <c r="W4386" t="s">
        <v>17459</v>
      </c>
      <c r="X4386">
        <v>29</v>
      </c>
      <c r="Y4386" t="s">
        <v>23836</v>
      </c>
      <c r="Z4386" t="s">
        <v>30354</v>
      </c>
      <c r="AA4386">
        <v>0.39198101255616979</v>
      </c>
      <c r="AB4386" t="str">
        <f>HYPERLINK("Melting_Curves/meltCurve_Q86XP3_DDX42.pdf", "Melting_Curves/meltCurve_Q86XP3_DDX42.pdf")</f>
        <v>Melting_Curves/meltCurve_Q86XP3_DDX42.pdf</v>
      </c>
    </row>
    <row r="4387" spans="1:28" x14ac:dyDescent="0.25">
      <c r="A4387" t="s">
        <v>4391</v>
      </c>
      <c r="B4387">
        <v>0.99472303558308395</v>
      </c>
      <c r="C4387">
        <v>0.82884786334398697</v>
      </c>
      <c r="D4387">
        <v>0.85882796986474197</v>
      </c>
      <c r="E4387">
        <v>0.42869315674206399</v>
      </c>
      <c r="F4387">
        <v>0.17081855126739201</v>
      </c>
      <c r="G4387">
        <v>8.2021635765445106E-2</v>
      </c>
      <c r="H4387">
        <v>4.6094742944787298E-2</v>
      </c>
      <c r="I4387">
        <v>4.3572516881115901E-2</v>
      </c>
      <c r="J4387">
        <v>7.2020016608446299E-2</v>
      </c>
      <c r="K4387">
        <v>4.7882147076383899E-2</v>
      </c>
      <c r="L4387">
        <v>936.15704639133799</v>
      </c>
      <c r="M4387">
        <v>20.436717332393101</v>
      </c>
      <c r="N4387">
        <v>46.010002674836599</v>
      </c>
      <c r="O4387">
        <v>45.375781140328101</v>
      </c>
      <c r="P4387">
        <v>-0.107759817065589</v>
      </c>
      <c r="Q4387">
        <v>4.2989399123085498E-2</v>
      </c>
      <c r="R4387">
        <v>0.98494933113977601</v>
      </c>
      <c r="S4387" t="s">
        <v>10955</v>
      </c>
      <c r="T4387" t="s">
        <v>13134</v>
      </c>
      <c r="U4387" t="s">
        <v>13134</v>
      </c>
      <c r="V4387" t="s">
        <v>13134</v>
      </c>
      <c r="W4387" t="s">
        <v>17460</v>
      </c>
      <c r="X4387">
        <v>4</v>
      </c>
      <c r="Y4387" t="s">
        <v>23837</v>
      </c>
      <c r="Z4387" t="s">
        <v>30355</v>
      </c>
      <c r="AA4387">
        <v>0.33592966930067131</v>
      </c>
      <c r="AB4387" t="str">
        <f>HYPERLINK("Melting_Curves/meltCurve_Q86XZ4_SPATS2.pdf", "Melting_Curves/meltCurve_Q86XZ4_SPATS2.pdf")</f>
        <v>Melting_Curves/meltCurve_Q86XZ4_SPATS2.pdf</v>
      </c>
    </row>
    <row r="4388" spans="1:28" x14ac:dyDescent="0.25">
      <c r="A4388" t="s">
        <v>4392</v>
      </c>
      <c r="B4388">
        <v>0.99472303558308395</v>
      </c>
      <c r="C4388">
        <v>0.98062535881838797</v>
      </c>
      <c r="D4388">
        <v>0.84465134160209898</v>
      </c>
      <c r="E4388">
        <v>0.75154793833089095</v>
      </c>
      <c r="F4388">
        <v>0.55233936093408298</v>
      </c>
      <c r="G4388">
        <v>0.20519693289471599</v>
      </c>
      <c r="H4388">
        <v>0.128375733094865</v>
      </c>
      <c r="I4388">
        <v>9.40486635416308E-2</v>
      </c>
      <c r="J4388">
        <v>0.12940067424933199</v>
      </c>
      <c r="K4388">
        <v>0.15121708690249</v>
      </c>
      <c r="L4388">
        <v>822.709671960994</v>
      </c>
      <c r="M4388">
        <v>16.686105140041001</v>
      </c>
      <c r="N4388">
        <v>49.877210430201899</v>
      </c>
      <c r="O4388">
        <v>48.613241566109501</v>
      </c>
      <c r="P4388">
        <v>-7.8341578638915096E-2</v>
      </c>
      <c r="Q4388">
        <v>8.7100359045021697E-2</v>
      </c>
      <c r="R4388">
        <v>0.98293750252813905</v>
      </c>
      <c r="S4388" t="s">
        <v>10956</v>
      </c>
      <c r="T4388" t="s">
        <v>13134</v>
      </c>
      <c r="U4388" t="s">
        <v>13134</v>
      </c>
      <c r="V4388" t="s">
        <v>13134</v>
      </c>
      <c r="W4388" t="s">
        <v>17461</v>
      </c>
      <c r="X4388">
        <v>11</v>
      </c>
      <c r="Y4388" t="s">
        <v>23838</v>
      </c>
      <c r="Z4388" t="s">
        <v>30356</v>
      </c>
      <c r="AA4388">
        <v>0.47799141384130789</v>
      </c>
      <c r="AB4388" t="str">
        <f>HYPERLINK("Melting_Curves/meltCurve_Q86Y07_VRK2.pdf", "Melting_Curves/meltCurve_Q86Y07_VRK2.pdf")</f>
        <v>Melting_Curves/meltCurve_Q86Y07_VRK2.pdf</v>
      </c>
    </row>
    <row r="4389" spans="1:28" x14ac:dyDescent="0.25">
      <c r="A4389" t="s">
        <v>4393</v>
      </c>
      <c r="B4389">
        <v>0.99472303558308395</v>
      </c>
      <c r="C4389">
        <v>0.86102412477159296</v>
      </c>
      <c r="D4389">
        <v>0.56346049579360702</v>
      </c>
      <c r="E4389">
        <v>0.110782666794292</v>
      </c>
      <c r="F4389">
        <v>4.24713740553797E-2</v>
      </c>
      <c r="G4389">
        <v>1.08320233351397E-2</v>
      </c>
      <c r="H4389">
        <v>6.9053673213397802E-3</v>
      </c>
      <c r="I4389">
        <v>0</v>
      </c>
      <c r="J4389">
        <v>0</v>
      </c>
      <c r="K4389">
        <v>0</v>
      </c>
      <c r="L4389">
        <v>1093.2432305278801</v>
      </c>
      <c r="M4389">
        <v>25.2712601043871</v>
      </c>
      <c r="N4389">
        <v>43.2618425768093</v>
      </c>
      <c r="O4389">
        <v>42.992177830117399</v>
      </c>
      <c r="P4389">
        <v>-0.14688998497303901</v>
      </c>
      <c r="Q4389">
        <v>4.3940097937963398E-4</v>
      </c>
      <c r="R4389">
        <v>0.99794278365414502</v>
      </c>
      <c r="S4389" t="s">
        <v>10957</v>
      </c>
      <c r="T4389" t="s">
        <v>13134</v>
      </c>
      <c r="U4389" t="s">
        <v>13134</v>
      </c>
      <c r="V4389" t="s">
        <v>13134</v>
      </c>
      <c r="W4389" t="s">
        <v>17462</v>
      </c>
      <c r="X4389">
        <v>1</v>
      </c>
      <c r="Y4389" t="s">
        <v>23839</v>
      </c>
      <c r="Z4389" t="s">
        <v>30357</v>
      </c>
      <c r="AA4389">
        <v>0.21714000897954711</v>
      </c>
      <c r="AB4389" t="str">
        <f>HYPERLINK("Melting_Curves/meltCurve_Q86Y37_4_CACUL1.pdf", "Melting_Curves/meltCurve_Q86Y37_4_CACUL1.pdf")</f>
        <v>Melting_Curves/meltCurve_Q86Y37_4_CACUL1.pdf</v>
      </c>
    </row>
    <row r="4390" spans="1:28" x14ac:dyDescent="0.25">
      <c r="A4390" t="s">
        <v>4394</v>
      </c>
      <c r="B4390">
        <v>0.99472303558308395</v>
      </c>
      <c r="C4390">
        <v>0.88300949597730904</v>
      </c>
      <c r="D4390">
        <v>0.62900707218471097</v>
      </c>
      <c r="E4390">
        <v>0.211924146869092</v>
      </c>
      <c r="F4390">
        <v>0.122633888983376</v>
      </c>
      <c r="G4390">
        <v>7.2557267058576694E-2</v>
      </c>
      <c r="H4390">
        <v>5.3083849572679899E-2</v>
      </c>
      <c r="I4390">
        <v>3.9523657927283198E-2</v>
      </c>
      <c r="J4390">
        <v>5.4144520116541001E-2</v>
      </c>
      <c r="K4390">
        <v>4.0613594539592297E-2</v>
      </c>
      <c r="L4390">
        <v>990.23972106664803</v>
      </c>
      <c r="M4390">
        <v>22.658448631040802</v>
      </c>
      <c r="N4390">
        <v>43.905983932195902</v>
      </c>
      <c r="O4390">
        <v>43.366754759684703</v>
      </c>
      <c r="P4390">
        <v>-0.12412491210458799</v>
      </c>
      <c r="Q4390">
        <v>4.9751792611434899E-2</v>
      </c>
      <c r="R4390">
        <v>0.99820265800171404</v>
      </c>
      <c r="S4390" t="s">
        <v>10958</v>
      </c>
      <c r="T4390" t="s">
        <v>13134</v>
      </c>
      <c r="U4390" t="s">
        <v>13134</v>
      </c>
      <c r="V4390" t="s">
        <v>13134</v>
      </c>
      <c r="W4390" t="s">
        <v>17463</v>
      </c>
      <c r="X4390">
        <v>22</v>
      </c>
      <c r="Y4390" t="s">
        <v>23840</v>
      </c>
      <c r="Z4390" t="s">
        <v>30358</v>
      </c>
      <c r="AA4390">
        <v>0.2717951573756881</v>
      </c>
      <c r="AB4390" t="str">
        <f>HYPERLINK("Melting_Curves/meltCurve_Q86Y56_HEATR2.pdf", "Melting_Curves/meltCurve_Q86Y56_HEATR2.pdf")</f>
        <v>Melting_Curves/meltCurve_Q86Y56_HEATR2.pdf</v>
      </c>
    </row>
    <row r="4391" spans="1:28" x14ac:dyDescent="0.25">
      <c r="A4391" t="s">
        <v>4395</v>
      </c>
      <c r="B4391">
        <v>0.99472303558308395</v>
      </c>
      <c r="C4391">
        <v>0.98685870741274595</v>
      </c>
      <c r="D4391">
        <v>1.0283705992272401</v>
      </c>
      <c r="E4391">
        <v>0.73854695250577596</v>
      </c>
      <c r="F4391">
        <v>0.442338133617664</v>
      </c>
      <c r="G4391">
        <v>0.16156083489803699</v>
      </c>
      <c r="H4391">
        <v>0.101642062286387</v>
      </c>
      <c r="I4391">
        <v>8.2531349029513201E-2</v>
      </c>
      <c r="J4391">
        <v>4.9523381220852397E-2</v>
      </c>
      <c r="K4391">
        <v>4.6678900449753001E-2</v>
      </c>
      <c r="L4391">
        <v>1064.2223414525999</v>
      </c>
      <c r="M4391">
        <v>21.6596495987765</v>
      </c>
      <c r="N4391">
        <v>49.387630867472403</v>
      </c>
      <c r="O4391">
        <v>48.7207980208264</v>
      </c>
      <c r="P4391">
        <v>-0.105291357709676</v>
      </c>
      <c r="Q4391">
        <v>5.2661108319752202E-2</v>
      </c>
      <c r="R4391">
        <v>0.99537322580027898</v>
      </c>
      <c r="S4391" t="s">
        <v>10959</v>
      </c>
      <c r="T4391" t="s">
        <v>13134</v>
      </c>
      <c r="U4391" t="s">
        <v>13134</v>
      </c>
      <c r="V4391" t="s">
        <v>13134</v>
      </c>
      <c r="W4391" t="s">
        <v>17464</v>
      </c>
      <c r="X4391">
        <v>2</v>
      </c>
      <c r="Y4391" t="s">
        <v>23841</v>
      </c>
      <c r="Z4391" t="s">
        <v>30359</v>
      </c>
      <c r="AA4391">
        <v>0.44660240254061012</v>
      </c>
      <c r="AB4391" t="str">
        <f>HYPERLINK("Melting_Curves/meltCurve_Q86Y79_PTRH1.pdf", "Melting_Curves/meltCurve_Q86Y79_PTRH1.pdf")</f>
        <v>Melting_Curves/meltCurve_Q86Y79_PTRH1.pdf</v>
      </c>
    </row>
    <row r="4392" spans="1:28" x14ac:dyDescent="0.25">
      <c r="A4392" t="s">
        <v>4396</v>
      </c>
      <c r="B4392">
        <v>0.99472303558308395</v>
      </c>
      <c r="C4392">
        <v>0.95711932375384701</v>
      </c>
      <c r="D4392">
        <v>0.94573097401349404</v>
      </c>
      <c r="E4392">
        <v>0.85340192313666896</v>
      </c>
      <c r="F4392">
        <v>0.65231814300369395</v>
      </c>
      <c r="G4392">
        <v>0.49863493614149901</v>
      </c>
      <c r="H4392">
        <v>0.38987917779845899</v>
      </c>
      <c r="I4392">
        <v>0.370125992728146</v>
      </c>
      <c r="J4392">
        <v>0.44264589231781898</v>
      </c>
      <c r="K4392">
        <v>0.441256882464091</v>
      </c>
      <c r="L4392">
        <v>986.93771965810504</v>
      </c>
      <c r="M4392">
        <v>20.0688942765888</v>
      </c>
      <c r="N4392">
        <v>53.508013732079903</v>
      </c>
      <c r="O4392">
        <v>48.6970134091302</v>
      </c>
      <c r="P4392">
        <v>-6.1668404905433398E-2</v>
      </c>
      <c r="Q4392">
        <v>0.40146764041264499</v>
      </c>
      <c r="R4392">
        <v>0.98573915130447698</v>
      </c>
      <c r="S4392" t="s">
        <v>10960</v>
      </c>
      <c r="T4392" t="s">
        <v>13134</v>
      </c>
      <c r="U4392" t="s">
        <v>13134</v>
      </c>
      <c r="V4392" t="s">
        <v>13134</v>
      </c>
      <c r="W4392" t="s">
        <v>17465</v>
      </c>
      <c r="X4392">
        <v>8</v>
      </c>
      <c r="Y4392" t="s">
        <v>23842</v>
      </c>
      <c r="Z4392" t="s">
        <v>30360</v>
      </c>
      <c r="AA4392">
        <v>0.65225973670930082</v>
      </c>
      <c r="AB4392" t="str">
        <f>HYPERLINK("Melting_Curves/meltCurve_Q86Y82_STX12.pdf", "Melting_Curves/meltCurve_Q86Y82_STX12.pdf")</f>
        <v>Melting_Curves/meltCurve_Q86Y82_STX12.pdf</v>
      </c>
    </row>
    <row r="4393" spans="1:28" x14ac:dyDescent="0.25">
      <c r="A4393" t="s">
        <v>4397</v>
      </c>
      <c r="B4393">
        <v>0.99472303558308395</v>
      </c>
      <c r="C4393">
        <v>1.0117034869181201</v>
      </c>
      <c r="D4393">
        <v>0.90907967588284</v>
      </c>
      <c r="E4393">
        <v>0.80362649934074304</v>
      </c>
      <c r="F4393">
        <v>0.62818240952982896</v>
      </c>
      <c r="G4393">
        <v>0.39920948394436501</v>
      </c>
      <c r="H4393">
        <v>0.19765572751497501</v>
      </c>
      <c r="I4393">
        <v>0.11005522615942701</v>
      </c>
      <c r="J4393">
        <v>0.100358416789831</v>
      </c>
      <c r="K4393">
        <v>0.10799598062747701</v>
      </c>
      <c r="L4393">
        <v>720.85047556667303</v>
      </c>
      <c r="M4393">
        <v>13.9997315568754</v>
      </c>
      <c r="N4393">
        <v>51.809111901301101</v>
      </c>
      <c r="O4393">
        <v>50.473844610824202</v>
      </c>
      <c r="P4393">
        <v>-6.6488585317127202E-2</v>
      </c>
      <c r="Q4393">
        <v>4.1270057600318197E-2</v>
      </c>
      <c r="R4393">
        <v>0.99587426890853703</v>
      </c>
      <c r="S4393" t="s">
        <v>10961</v>
      </c>
      <c r="T4393" t="s">
        <v>13134</v>
      </c>
      <c r="U4393" t="s">
        <v>13134</v>
      </c>
      <c r="V4393" t="s">
        <v>13134</v>
      </c>
      <c r="W4393" t="s">
        <v>17466</v>
      </c>
      <c r="X4393">
        <v>7</v>
      </c>
      <c r="Y4393" t="s">
        <v>23843</v>
      </c>
      <c r="Z4393" t="s">
        <v>30361</v>
      </c>
      <c r="AA4393">
        <v>0.52481543276621734</v>
      </c>
      <c r="AB4393" t="str">
        <f>HYPERLINK("Melting_Curves/meltCurve_Q86YH6_PDSS2.pdf", "Melting_Curves/meltCurve_Q86YH6_PDSS2.pdf")</f>
        <v>Melting_Curves/meltCurve_Q86YH6_PDSS2.pdf</v>
      </c>
    </row>
    <row r="4394" spans="1:28" x14ac:dyDescent="0.25">
      <c r="A4394" t="s">
        <v>4398</v>
      </c>
      <c r="B4394">
        <v>0.99472303558308395</v>
      </c>
      <c r="C4394">
        <v>0.99383788631370495</v>
      </c>
      <c r="D4394">
        <v>0.89752542053653595</v>
      </c>
      <c r="E4394">
        <v>0.84175838372089395</v>
      </c>
      <c r="F4394">
        <v>0.60614840040212603</v>
      </c>
      <c r="G4394">
        <v>0.34470215058505699</v>
      </c>
      <c r="H4394">
        <v>0.18174836340643499</v>
      </c>
      <c r="I4394">
        <v>0.129096677692114</v>
      </c>
      <c r="J4394">
        <v>0.186098961635427</v>
      </c>
      <c r="K4394">
        <v>0.12642741998389201</v>
      </c>
      <c r="L4394">
        <v>879.52639793256799</v>
      </c>
      <c r="M4394">
        <v>17.3932477372562</v>
      </c>
      <c r="N4394">
        <v>51.335727685671003</v>
      </c>
      <c r="O4394">
        <v>49.912871738456097</v>
      </c>
      <c r="P4394">
        <v>-7.7135653889864597E-2</v>
      </c>
      <c r="Q4394">
        <v>0.114634428762343</v>
      </c>
      <c r="R4394">
        <v>0.99311048294769499</v>
      </c>
      <c r="S4394" t="s">
        <v>10962</v>
      </c>
      <c r="T4394" t="s">
        <v>13134</v>
      </c>
      <c r="U4394" t="s">
        <v>13134</v>
      </c>
      <c r="V4394" t="s">
        <v>13134</v>
      </c>
      <c r="W4394" t="s">
        <v>17467</v>
      </c>
      <c r="X4394">
        <v>6</v>
      </c>
      <c r="Y4394" t="s">
        <v>23844</v>
      </c>
      <c r="Z4394" t="s">
        <v>30362</v>
      </c>
      <c r="AA4394">
        <v>0.52963562417481491</v>
      </c>
      <c r="AB4394" t="str">
        <f>HYPERLINK("Melting_Curves/meltCurve_Q86YM7_HOMER1.pdf", "Melting_Curves/meltCurve_Q86YM7_HOMER1.pdf")</f>
        <v>Melting_Curves/meltCurve_Q86YM7_HOMER1.pdf</v>
      </c>
    </row>
    <row r="4395" spans="1:28" x14ac:dyDescent="0.25">
      <c r="A4395" t="s">
        <v>4399</v>
      </c>
      <c r="B4395">
        <v>0.99472303558308395</v>
      </c>
      <c r="C4395">
        <v>1.13633738188665</v>
      </c>
      <c r="D4395">
        <v>0.776912677498521</v>
      </c>
      <c r="E4395">
        <v>0.60205220740883503</v>
      </c>
      <c r="F4395">
        <v>0.41618251072978502</v>
      </c>
      <c r="G4395">
        <v>0.22216747893934199</v>
      </c>
      <c r="H4395">
        <v>8.05210027520607E-2</v>
      </c>
      <c r="I4395">
        <v>6.2357334432225103E-2</v>
      </c>
      <c r="J4395">
        <v>8.5088013130362003E-2</v>
      </c>
      <c r="K4395">
        <v>1.10775180526178E-2</v>
      </c>
      <c r="L4395">
        <v>690.86553478924702</v>
      </c>
      <c r="M4395">
        <v>14.3094910299268</v>
      </c>
      <c r="N4395">
        <v>48.420246732731798</v>
      </c>
      <c r="O4395">
        <v>47.366681514859302</v>
      </c>
      <c r="P4395">
        <v>-7.4003414729580094E-2</v>
      </c>
      <c r="Q4395">
        <v>2.0266958017134701E-2</v>
      </c>
      <c r="R4395">
        <v>0.97093872186396102</v>
      </c>
      <c r="S4395" t="s">
        <v>10963</v>
      </c>
      <c r="T4395" t="s">
        <v>13134</v>
      </c>
      <c r="U4395" t="s">
        <v>13134</v>
      </c>
      <c r="V4395" t="s">
        <v>13134</v>
      </c>
      <c r="W4395" t="s">
        <v>17468</v>
      </c>
      <c r="X4395">
        <v>1</v>
      </c>
      <c r="Y4395" t="s">
        <v>23845</v>
      </c>
      <c r="Z4395" t="s">
        <v>30363</v>
      </c>
      <c r="AA4395">
        <v>0.41180895161183978</v>
      </c>
      <c r="AB4395" t="str">
        <f>HYPERLINK("Melting_Curves/meltCurve_Q86YN1_2_DOLPP1.pdf", "Melting_Curves/meltCurve_Q86YN1_2_DOLPP1.pdf")</f>
        <v>Melting_Curves/meltCurve_Q86YN1_2_DOLPP1.pdf</v>
      </c>
    </row>
    <row r="4396" spans="1:28" x14ac:dyDescent="0.25">
      <c r="A4396" t="s">
        <v>4400</v>
      </c>
      <c r="B4396">
        <v>0.99472303558308395</v>
      </c>
      <c r="C4396">
        <v>0.91501173476946396</v>
      </c>
      <c r="D4396">
        <v>0.59192613821482098</v>
      </c>
      <c r="E4396">
        <v>0.29161183014951703</v>
      </c>
      <c r="F4396">
        <v>0.149423000208041</v>
      </c>
      <c r="G4396">
        <v>7.3895613005817096E-2</v>
      </c>
      <c r="H4396">
        <v>4.6443885766928997E-2</v>
      </c>
      <c r="I4396">
        <v>4.06894168769521E-2</v>
      </c>
      <c r="J4396">
        <v>4.8882490385123302E-2</v>
      </c>
      <c r="K4396">
        <v>4.2254207724633799E-2</v>
      </c>
      <c r="L4396">
        <v>849.95966057419798</v>
      </c>
      <c r="M4396">
        <v>19.342502123445701</v>
      </c>
      <c r="N4396">
        <v>44.1620734626513</v>
      </c>
      <c r="O4396">
        <v>43.480986333097597</v>
      </c>
      <c r="P4396">
        <v>-0.106119777016965</v>
      </c>
      <c r="Q4396">
        <v>4.5827440690253997E-2</v>
      </c>
      <c r="R4396">
        <v>0.99742492681491501</v>
      </c>
      <c r="S4396" t="s">
        <v>10964</v>
      </c>
      <c r="T4396" t="s">
        <v>13134</v>
      </c>
      <c r="U4396" t="s">
        <v>13134</v>
      </c>
      <c r="V4396" t="s">
        <v>13134</v>
      </c>
      <c r="W4396" t="s">
        <v>17469</v>
      </c>
      <c r="X4396">
        <v>19</v>
      </c>
      <c r="Y4396" t="s">
        <v>23846</v>
      </c>
      <c r="Z4396" t="s">
        <v>30364</v>
      </c>
      <c r="AA4396">
        <v>0.28040588129207727</v>
      </c>
      <c r="AB4396" t="str">
        <f>HYPERLINK("Melting_Curves/meltCurve_Q86YP4_GATAD2A.pdf", "Melting_Curves/meltCurve_Q86YP4_GATAD2A.pdf")</f>
        <v>Melting_Curves/meltCurve_Q86YP4_GATAD2A.pdf</v>
      </c>
    </row>
    <row r="4397" spans="1:28" x14ac:dyDescent="0.25">
      <c r="A4397" t="s">
        <v>4401</v>
      </c>
      <c r="B4397">
        <v>0.99472303558308395</v>
      </c>
      <c r="C4397">
        <v>1.11770297074379</v>
      </c>
      <c r="D4397">
        <v>1.03868569751894</v>
      </c>
      <c r="E4397">
        <v>0.82289890320614001</v>
      </c>
      <c r="F4397">
        <v>0.448335299992425</v>
      </c>
      <c r="G4397">
        <v>0.23427154922332699</v>
      </c>
      <c r="H4397">
        <v>0.172799900711122</v>
      </c>
      <c r="I4397">
        <v>0.16401109463420599</v>
      </c>
      <c r="J4397">
        <v>0.224869778136294</v>
      </c>
      <c r="K4397">
        <v>0.13318674158699201</v>
      </c>
      <c r="L4397">
        <v>1400.6093871471701</v>
      </c>
      <c r="M4397">
        <v>28.622985040058801</v>
      </c>
      <c r="N4397">
        <v>49.6612047354335</v>
      </c>
      <c r="O4397">
        <v>48.696047169960899</v>
      </c>
      <c r="P4397">
        <v>-0.121765344890558</v>
      </c>
      <c r="Q4397">
        <v>0.17137301960659601</v>
      </c>
      <c r="R4397">
        <v>0.98547005665493603</v>
      </c>
      <c r="S4397" t="s">
        <v>10965</v>
      </c>
      <c r="T4397" t="s">
        <v>13134</v>
      </c>
      <c r="U4397" t="s">
        <v>13134</v>
      </c>
      <c r="V4397" t="s">
        <v>13134</v>
      </c>
      <c r="W4397" t="s">
        <v>17470</v>
      </c>
      <c r="X4397">
        <v>6</v>
      </c>
      <c r="Y4397" t="s">
        <v>23847</v>
      </c>
      <c r="Z4397" t="s">
        <v>30365</v>
      </c>
      <c r="AA4397">
        <v>0.50645541766561986</v>
      </c>
      <c r="AB4397" t="str">
        <f>HYPERLINK("Melting_Curves/meltCurve_Q86YQ8_CPNE8.pdf", "Melting_Curves/meltCurve_Q86YQ8_CPNE8.pdf")</f>
        <v>Melting_Curves/meltCurve_Q86YQ8_CPNE8.pdf</v>
      </c>
    </row>
    <row r="4398" spans="1:28" x14ac:dyDescent="0.25">
      <c r="A4398" t="s">
        <v>4402</v>
      </c>
      <c r="B4398">
        <v>0.99472303558308395</v>
      </c>
      <c r="C4398">
        <v>0.84930917634870096</v>
      </c>
      <c r="D4398">
        <v>0.66814551876089801</v>
      </c>
      <c r="E4398">
        <v>0.40026534260258001</v>
      </c>
      <c r="F4398">
        <v>0.371508044142003</v>
      </c>
      <c r="G4398">
        <v>0.194644330201622</v>
      </c>
      <c r="H4398">
        <v>9.5408885748288097E-2</v>
      </c>
      <c r="I4398">
        <v>4.3526124422609898E-2</v>
      </c>
      <c r="J4398">
        <v>2.60586976010985E-2</v>
      </c>
      <c r="K4398">
        <v>2.5409086182437101E-2</v>
      </c>
      <c r="L4398">
        <v>499.78330011353398</v>
      </c>
      <c r="M4398">
        <v>10.8473094635872</v>
      </c>
      <c r="N4398">
        <v>46.074403374208799</v>
      </c>
      <c r="O4398">
        <v>44.591428401910797</v>
      </c>
      <c r="P4398">
        <v>-6.0836644217547101E-2</v>
      </c>
      <c r="Q4398">
        <v>0</v>
      </c>
      <c r="R4398">
        <v>0.98562926406099705</v>
      </c>
      <c r="S4398" t="s">
        <v>10966</v>
      </c>
      <c r="T4398" t="s">
        <v>13134</v>
      </c>
      <c r="U4398" t="s">
        <v>13134</v>
      </c>
      <c r="V4398" t="s">
        <v>13134</v>
      </c>
      <c r="W4398" t="s">
        <v>17471</v>
      </c>
      <c r="X4398">
        <v>3</v>
      </c>
      <c r="Y4398" t="s">
        <v>23848</v>
      </c>
      <c r="Z4398" t="s">
        <v>30366</v>
      </c>
      <c r="AA4398">
        <v>0.34305318835856669</v>
      </c>
      <c r="AB4398" t="str">
        <f>HYPERLINK("Melting_Curves/meltCurve_Q86YR5_4_GPSM1.pdf", "Melting_Curves/meltCurve_Q86YR5_4_GPSM1.pdf")</f>
        <v>Melting_Curves/meltCurve_Q86YR5_4_GPSM1.pdf</v>
      </c>
    </row>
    <row r="4399" spans="1:28" x14ac:dyDescent="0.25">
      <c r="A4399" t="s">
        <v>4403</v>
      </c>
      <c r="B4399">
        <v>0.99472303558308395</v>
      </c>
      <c r="C4399">
        <v>0.95398252644408199</v>
      </c>
      <c r="D4399">
        <v>0.97321627779556297</v>
      </c>
      <c r="E4399">
        <v>0.80204343939662903</v>
      </c>
      <c r="F4399">
        <v>0.55899810441773701</v>
      </c>
      <c r="G4399">
        <v>0.38818431590930602</v>
      </c>
      <c r="H4399">
        <v>0.17042662616335799</v>
      </c>
      <c r="I4399">
        <v>0.24569617611510799</v>
      </c>
      <c r="J4399">
        <v>0.246009990508678</v>
      </c>
      <c r="K4399">
        <v>0.28150299167450998</v>
      </c>
      <c r="L4399">
        <v>995.32783644309495</v>
      </c>
      <c r="M4399">
        <v>20.176071683623299</v>
      </c>
      <c r="N4399">
        <v>50.8717644689632</v>
      </c>
      <c r="O4399">
        <v>48.8551361919748</v>
      </c>
      <c r="P4399">
        <v>-7.96556991808888E-2</v>
      </c>
      <c r="Q4399">
        <v>0.228498443650861</v>
      </c>
      <c r="R4399">
        <v>0.984209469492347</v>
      </c>
      <c r="S4399" t="s">
        <v>10967</v>
      </c>
      <c r="T4399" t="s">
        <v>13134</v>
      </c>
      <c r="U4399" t="s">
        <v>13134</v>
      </c>
      <c r="V4399" t="s">
        <v>13134</v>
      </c>
      <c r="W4399" t="s">
        <v>17472</v>
      </c>
      <c r="X4399">
        <v>4</v>
      </c>
      <c r="Y4399" t="s">
        <v>23849</v>
      </c>
      <c r="Z4399" t="s">
        <v>30367</v>
      </c>
      <c r="AA4399">
        <v>0.5556474195156319</v>
      </c>
      <c r="AB4399" t="str">
        <f>HYPERLINK("Melting_Curves/meltCurve_Q86YS3_RAB11FIP4.pdf", "Melting_Curves/meltCurve_Q86YS3_RAB11FIP4.pdf")</f>
        <v>Melting_Curves/meltCurve_Q86YS3_RAB11FIP4.pdf</v>
      </c>
    </row>
    <row r="4400" spans="1:28" x14ac:dyDescent="0.25">
      <c r="A4400" t="s">
        <v>4404</v>
      </c>
      <c r="B4400">
        <v>0.99472303558308395</v>
      </c>
      <c r="C4400">
        <v>1.04444116631381</v>
      </c>
      <c r="D4400">
        <v>0.87846630339746401</v>
      </c>
      <c r="E4400">
        <v>0.80156571568741597</v>
      </c>
      <c r="F4400">
        <v>0.69249750043721603</v>
      </c>
      <c r="G4400">
        <v>0.28617756829040097</v>
      </c>
      <c r="H4400">
        <v>0.13565350295992201</v>
      </c>
      <c r="I4400">
        <v>8.9297520965032698E-2</v>
      </c>
      <c r="J4400">
        <v>8.6091416067655802E-2</v>
      </c>
      <c r="K4400">
        <v>9.0613616919738002E-2</v>
      </c>
      <c r="L4400">
        <v>906.91279071474605</v>
      </c>
      <c r="M4400">
        <v>17.729365708459198</v>
      </c>
      <c r="N4400">
        <v>51.442536588953203</v>
      </c>
      <c r="O4400">
        <v>50.515659030805502</v>
      </c>
      <c r="P4400">
        <v>-8.3581892133812605E-2</v>
      </c>
      <c r="Q4400">
        <v>4.7461819574171199E-2</v>
      </c>
      <c r="R4400">
        <v>0.98290488738395199</v>
      </c>
      <c r="S4400" t="s">
        <v>10968</v>
      </c>
      <c r="T4400" t="s">
        <v>13134</v>
      </c>
      <c r="U4400" t="s">
        <v>13134</v>
      </c>
      <c r="V4400" t="s">
        <v>13134</v>
      </c>
      <c r="W4400" t="s">
        <v>17473</v>
      </c>
      <c r="X4400">
        <v>7</v>
      </c>
      <c r="Y4400" t="s">
        <v>23850</v>
      </c>
      <c r="Z4400" t="s">
        <v>30368</v>
      </c>
      <c r="AA4400">
        <v>0.51191148138912068</v>
      </c>
      <c r="AB4400" t="str">
        <f>HYPERLINK("Melting_Curves/meltCurve_Q86YS7_C2CD5.pdf", "Melting_Curves/meltCurve_Q86YS7_C2CD5.pdf")</f>
        <v>Melting_Curves/meltCurve_Q86YS7_C2CD5.pdf</v>
      </c>
    </row>
    <row r="4401" spans="1:28" x14ac:dyDescent="0.25">
      <c r="A4401" t="s">
        <v>4405</v>
      </c>
      <c r="B4401">
        <v>0.99472303558308395</v>
      </c>
      <c r="C4401">
        <v>1.1597382823653899</v>
      </c>
      <c r="D4401">
        <v>0.86744295826804696</v>
      </c>
      <c r="E4401">
        <v>0.70916057959661405</v>
      </c>
      <c r="F4401">
        <v>0.38535796669457301</v>
      </c>
      <c r="G4401">
        <v>0.17294921702549201</v>
      </c>
      <c r="H4401">
        <v>0.115313431789589</v>
      </c>
      <c r="I4401">
        <v>7.3892618391310796E-2</v>
      </c>
      <c r="J4401">
        <v>0.10014510828378199</v>
      </c>
      <c r="K4401">
        <v>5.9328985574131202E-2</v>
      </c>
      <c r="L4401">
        <v>960.98190711356403</v>
      </c>
      <c r="M4401">
        <v>19.8518965896399</v>
      </c>
      <c r="N4401">
        <v>48.777597034729503</v>
      </c>
      <c r="O4401">
        <v>47.924368545395801</v>
      </c>
      <c r="P4401">
        <v>-9.6322714228083403E-2</v>
      </c>
      <c r="Q4401">
        <v>6.9901968360598393E-2</v>
      </c>
      <c r="R4401">
        <v>0.97888235011370806</v>
      </c>
      <c r="S4401" t="s">
        <v>10969</v>
      </c>
      <c r="T4401" t="s">
        <v>13134</v>
      </c>
      <c r="U4401" t="s">
        <v>13134</v>
      </c>
      <c r="V4401" t="s">
        <v>13134</v>
      </c>
      <c r="W4401" t="s">
        <v>17474</v>
      </c>
      <c r="X4401">
        <v>7</v>
      </c>
      <c r="Y4401" t="s">
        <v>23851</v>
      </c>
      <c r="Z4401" t="s">
        <v>30369</v>
      </c>
      <c r="AA4401">
        <v>0.43598092183741821</v>
      </c>
      <c r="AB4401" t="str">
        <f>HYPERLINK("Melting_Curves/meltCurve_Q86YT6_MIB1.pdf", "Melting_Curves/meltCurve_Q86YT6_MIB1.pdf")</f>
        <v>Melting_Curves/meltCurve_Q86YT6_MIB1.pdf</v>
      </c>
    </row>
    <row r="4402" spans="1:28" x14ac:dyDescent="0.25">
      <c r="A4402" t="s">
        <v>4406</v>
      </c>
      <c r="B4402">
        <v>0.99472303558308395</v>
      </c>
      <c r="C4402">
        <v>0.685874809360556</v>
      </c>
      <c r="D4402">
        <v>0.62619147771247596</v>
      </c>
      <c r="E4402">
        <v>0.222758578653249</v>
      </c>
      <c r="F4402">
        <v>0.202770627056826</v>
      </c>
      <c r="G4402">
        <v>6.4654268276308796E-2</v>
      </c>
      <c r="H4402">
        <v>5.2556724760479297E-2</v>
      </c>
      <c r="I4402">
        <v>0</v>
      </c>
      <c r="J4402">
        <v>0</v>
      </c>
      <c r="K4402">
        <v>0</v>
      </c>
      <c r="L4402">
        <v>590.35542396411904</v>
      </c>
      <c r="M4402">
        <v>13.5333865559346</v>
      </c>
      <c r="N4402">
        <v>43.622125947527003</v>
      </c>
      <c r="O4402">
        <v>42.702740852082201</v>
      </c>
      <c r="P4402">
        <v>-7.9242166401808298E-2</v>
      </c>
      <c r="Q4402">
        <v>0</v>
      </c>
      <c r="R4402">
        <v>0.97341027464546603</v>
      </c>
      <c r="S4402" t="s">
        <v>10970</v>
      </c>
      <c r="T4402" t="s">
        <v>13134</v>
      </c>
      <c r="U4402" t="s">
        <v>13134</v>
      </c>
      <c r="V4402" t="s">
        <v>13134</v>
      </c>
      <c r="W4402" t="s">
        <v>17475</v>
      </c>
      <c r="X4402">
        <v>2</v>
      </c>
      <c r="Y4402" t="s">
        <v>23852</v>
      </c>
      <c r="Z4402" t="s">
        <v>30370</v>
      </c>
      <c r="AA4402">
        <v>0.25208957649606462</v>
      </c>
      <c r="AB4402" t="str">
        <f>HYPERLINK("Melting_Curves/meltCurve_Q86YV9_HPS6.pdf", "Melting_Curves/meltCurve_Q86YV9_HPS6.pdf")</f>
        <v>Melting_Curves/meltCurve_Q86YV9_HPS6.pdf</v>
      </c>
    </row>
    <row r="4403" spans="1:28" x14ac:dyDescent="0.25">
      <c r="A4403" t="s">
        <v>4407</v>
      </c>
      <c r="B4403">
        <v>0.99472303558308395</v>
      </c>
      <c r="C4403">
        <v>0.88068155034379503</v>
      </c>
      <c r="D4403">
        <v>0.63126897212239896</v>
      </c>
      <c r="E4403">
        <v>0.35063304767829701</v>
      </c>
      <c r="F4403">
        <v>0.22749403919781599</v>
      </c>
      <c r="G4403">
        <v>0.13613587049422499</v>
      </c>
      <c r="H4403">
        <v>8.5357492618771097E-2</v>
      </c>
      <c r="I4403">
        <v>5.8497924262750599E-2</v>
      </c>
      <c r="J4403">
        <v>7.3770741432203094E-2</v>
      </c>
      <c r="K4403">
        <v>6.3185928490090804E-2</v>
      </c>
      <c r="L4403">
        <v>700.80949419131196</v>
      </c>
      <c r="M4403">
        <v>15.7859095855469</v>
      </c>
      <c r="N4403">
        <v>44.790667857943603</v>
      </c>
      <c r="O4403">
        <v>43.700493137633899</v>
      </c>
      <c r="P4403">
        <v>-8.4432065875524001E-2</v>
      </c>
      <c r="Q4403">
        <v>6.51361198237633E-2</v>
      </c>
      <c r="R4403">
        <v>0.99683741741253196</v>
      </c>
      <c r="S4403" t="s">
        <v>10971</v>
      </c>
      <c r="T4403" t="s">
        <v>13134</v>
      </c>
      <c r="U4403" t="s">
        <v>13134</v>
      </c>
      <c r="V4403" t="s">
        <v>13134</v>
      </c>
      <c r="W4403" t="s">
        <v>17476</v>
      </c>
      <c r="X4403">
        <v>17</v>
      </c>
      <c r="Y4403" t="s">
        <v>23853</v>
      </c>
      <c r="Z4403" t="s">
        <v>30371</v>
      </c>
      <c r="AA4403">
        <v>0.31607538374708172</v>
      </c>
      <c r="AB4403" t="str">
        <f>HYPERLINK("Melting_Curves/meltCurve_Q8IU81_IRF2BP1.pdf", "Melting_Curves/meltCurve_Q8IU81_IRF2BP1.pdf")</f>
        <v>Melting_Curves/meltCurve_Q8IU81_IRF2BP1.pdf</v>
      </c>
    </row>
    <row r="4404" spans="1:28" x14ac:dyDescent="0.25">
      <c r="A4404" t="s">
        <v>4408</v>
      </c>
      <c r="B4404">
        <v>0.99472303558308395</v>
      </c>
      <c r="C4404">
        <v>0.97788396210165596</v>
      </c>
      <c r="D4404">
        <v>0.81483240422729097</v>
      </c>
      <c r="E4404">
        <v>0.56136598261526105</v>
      </c>
      <c r="F4404">
        <v>0.410226756429863</v>
      </c>
      <c r="G4404">
        <v>0.22596874607414499</v>
      </c>
      <c r="H4404">
        <v>0.13822391153475599</v>
      </c>
      <c r="I4404">
        <v>7.48415897389266E-2</v>
      </c>
      <c r="J4404">
        <v>7.1624457466111499E-2</v>
      </c>
      <c r="K4404">
        <v>8.2687115500442096E-2</v>
      </c>
      <c r="L4404">
        <v>634.72474205538299</v>
      </c>
      <c r="M4404">
        <v>13.291202718807799</v>
      </c>
      <c r="N4404">
        <v>48.1099878392181</v>
      </c>
      <c r="O4404">
        <v>46.713048102545301</v>
      </c>
      <c r="P4404">
        <v>-6.7822977723689601E-2</v>
      </c>
      <c r="Q4404">
        <v>4.6676298027729199E-2</v>
      </c>
      <c r="R4404">
        <v>0.99552676324964795</v>
      </c>
      <c r="S4404" t="s">
        <v>10972</v>
      </c>
      <c r="T4404" t="s">
        <v>13134</v>
      </c>
      <c r="U4404" t="s">
        <v>13134</v>
      </c>
      <c r="V4404" t="s">
        <v>13134</v>
      </c>
      <c r="W4404" t="s">
        <v>17477</v>
      </c>
      <c r="X4404">
        <v>12</v>
      </c>
      <c r="Y4404" t="s">
        <v>20535</v>
      </c>
      <c r="Z4404" t="s">
        <v>30372</v>
      </c>
      <c r="AA4404">
        <v>0.41423948192040122</v>
      </c>
      <c r="AB4404" t="str">
        <f>HYPERLINK("Melting_Curves/meltCurve_Q8IUD2_2_ERC1.pdf", "Melting_Curves/meltCurve_Q8IUD2_2_ERC1.pdf")</f>
        <v>Melting_Curves/meltCurve_Q8IUD2_2_ERC1.pdf</v>
      </c>
    </row>
    <row r="4405" spans="1:28" x14ac:dyDescent="0.25">
      <c r="A4405" t="s">
        <v>4409</v>
      </c>
      <c r="B4405">
        <v>0.99472303558308395</v>
      </c>
      <c r="C4405">
        <v>0.91412886659675496</v>
      </c>
      <c r="D4405">
        <v>0.97777112961471402</v>
      </c>
      <c r="E4405">
        <v>0.82249257206529203</v>
      </c>
      <c r="F4405">
        <v>0.47480823313524601</v>
      </c>
      <c r="G4405">
        <v>0.24609171171671701</v>
      </c>
      <c r="H4405">
        <v>0.13391086654867801</v>
      </c>
      <c r="I4405">
        <v>0.110819782352008</v>
      </c>
      <c r="J4405">
        <v>0.106625350135645</v>
      </c>
      <c r="K4405">
        <v>9.9443553836881596E-2</v>
      </c>
      <c r="L4405">
        <v>1065.1141203894399</v>
      </c>
      <c r="M4405">
        <v>21.503095924689301</v>
      </c>
      <c r="N4405">
        <v>50.031678128105099</v>
      </c>
      <c r="O4405">
        <v>49.110634229869397</v>
      </c>
      <c r="P4405">
        <v>-9.8907639093529898E-2</v>
      </c>
      <c r="Q4405">
        <v>9.6446727583760203E-2</v>
      </c>
      <c r="R4405">
        <v>0.995032446314977</v>
      </c>
      <c r="S4405" t="s">
        <v>10973</v>
      </c>
      <c r="T4405" t="s">
        <v>13134</v>
      </c>
      <c r="U4405" t="s">
        <v>13134</v>
      </c>
      <c r="V4405" t="s">
        <v>13134</v>
      </c>
      <c r="W4405" t="s">
        <v>17478</v>
      </c>
      <c r="X4405">
        <v>7</v>
      </c>
      <c r="Y4405" t="s">
        <v>23854</v>
      </c>
      <c r="Z4405" t="s">
        <v>30373</v>
      </c>
      <c r="AA4405">
        <v>0.48436460976216522</v>
      </c>
      <c r="AB4405" t="str">
        <f>HYPERLINK("Melting_Curves/meltCurve_Q8IUF8_MINA.pdf", "Melting_Curves/meltCurve_Q8IUF8_MINA.pdf")</f>
        <v>Melting_Curves/meltCurve_Q8IUF8_MINA.pdf</v>
      </c>
    </row>
    <row r="4406" spans="1:28" x14ac:dyDescent="0.25">
      <c r="A4406" t="s">
        <v>4410</v>
      </c>
      <c r="B4406">
        <v>0.99472303558308395</v>
      </c>
      <c r="C4406">
        <v>0.993123008478902</v>
      </c>
      <c r="D4406">
        <v>0.72730523491769805</v>
      </c>
      <c r="E4406">
        <v>0.32802516916167201</v>
      </c>
      <c r="F4406">
        <v>0.138455258899815</v>
      </c>
      <c r="G4406">
        <v>8.3695014590042804E-2</v>
      </c>
      <c r="H4406">
        <v>6.4913114466115696E-2</v>
      </c>
      <c r="I4406">
        <v>4.2413776202939499E-2</v>
      </c>
      <c r="J4406">
        <v>5.8511832378776801E-2</v>
      </c>
      <c r="K4406">
        <v>4.6513979666111399E-2</v>
      </c>
      <c r="L4406">
        <v>1054.5895253451599</v>
      </c>
      <c r="M4406">
        <v>23.537093030308299</v>
      </c>
      <c r="N4406">
        <v>45.032194177942301</v>
      </c>
      <c r="O4406">
        <v>44.485762656474499</v>
      </c>
      <c r="P4406">
        <v>-0.12488335771450799</v>
      </c>
      <c r="Q4406">
        <v>5.5884062571939799E-2</v>
      </c>
      <c r="R4406">
        <v>0.99812412761076796</v>
      </c>
      <c r="S4406" t="s">
        <v>10974</v>
      </c>
      <c r="T4406" t="s">
        <v>13134</v>
      </c>
      <c r="U4406" t="s">
        <v>13134</v>
      </c>
      <c r="V4406" t="s">
        <v>13134</v>
      </c>
      <c r="W4406" t="s">
        <v>17479</v>
      </c>
      <c r="X4406">
        <v>3</v>
      </c>
      <c r="Y4406" t="s">
        <v>23855</v>
      </c>
      <c r="Z4406" t="s">
        <v>30374</v>
      </c>
      <c r="AA4406">
        <v>0.31032260216659902</v>
      </c>
      <c r="AB4406" t="str">
        <f>HYPERLINK("Melting_Curves/meltCurve_Q8IUH3_3_RBM45.pdf", "Melting_Curves/meltCurve_Q8IUH3_3_RBM45.pdf")</f>
        <v>Melting_Curves/meltCurve_Q8IUH3_3_RBM45.pdf</v>
      </c>
    </row>
    <row r="4407" spans="1:28" x14ac:dyDescent="0.25">
      <c r="A4407" t="s">
        <v>4411</v>
      </c>
      <c r="B4407">
        <v>0.99472303558308395</v>
      </c>
      <c r="C4407">
        <v>0.95204987042273403</v>
      </c>
      <c r="D4407">
        <v>0.69696432795355501</v>
      </c>
      <c r="E4407">
        <v>0.57331806281606801</v>
      </c>
      <c r="F4407">
        <v>0.40048838577094897</v>
      </c>
      <c r="G4407">
        <v>0.124778124942779</v>
      </c>
      <c r="H4407">
        <v>9.3261970326076304E-2</v>
      </c>
      <c r="I4407">
        <v>6.2257984603146799E-2</v>
      </c>
      <c r="J4407">
        <v>8.5642007682084395E-2</v>
      </c>
      <c r="K4407">
        <v>7.7719953903094802E-2</v>
      </c>
      <c r="L4407">
        <v>600.20243968497596</v>
      </c>
      <c r="M4407">
        <v>12.7469339364328</v>
      </c>
      <c r="N4407">
        <v>47.308382325454097</v>
      </c>
      <c r="O4407">
        <v>45.972291277334001</v>
      </c>
      <c r="P4407">
        <v>-6.7315847266364304E-2</v>
      </c>
      <c r="Q4407">
        <v>2.9076733707241901E-2</v>
      </c>
      <c r="R4407">
        <v>0.98333012771167005</v>
      </c>
      <c r="S4407" t="s">
        <v>10975</v>
      </c>
      <c r="T4407" t="s">
        <v>13134</v>
      </c>
      <c r="U4407" t="s">
        <v>13134</v>
      </c>
      <c r="V4407" t="s">
        <v>13134</v>
      </c>
      <c r="W4407" t="s">
        <v>17480</v>
      </c>
      <c r="X4407">
        <v>3</v>
      </c>
      <c r="Y4407" t="s">
        <v>23856</v>
      </c>
      <c r="Z4407" t="s">
        <v>30375</v>
      </c>
      <c r="AA4407">
        <v>0.38433220587987937</v>
      </c>
      <c r="AB4407" t="str">
        <f>HYPERLINK("Melting_Curves/meltCurve_Q8IUH4_ZDHHC13.pdf", "Melting_Curves/meltCurve_Q8IUH4_ZDHHC13.pdf")</f>
        <v>Melting_Curves/meltCurve_Q8IUH4_ZDHHC13.pdf</v>
      </c>
    </row>
    <row r="4408" spans="1:28" x14ac:dyDescent="0.25">
      <c r="A4408" t="s">
        <v>4412</v>
      </c>
      <c r="B4408">
        <v>0.99472303558308395</v>
      </c>
      <c r="C4408">
        <v>0.934879571200394</v>
      </c>
      <c r="D4408">
        <v>0.93426052207046995</v>
      </c>
      <c r="E4408">
        <v>0.71183535417896504</v>
      </c>
      <c r="F4408">
        <v>0.123936403541825</v>
      </c>
      <c r="G4408">
        <v>7.5774225725659006E-2</v>
      </c>
      <c r="H4408">
        <v>4.5508490395864999E-2</v>
      </c>
      <c r="I4408">
        <v>3.1280866666363698E-2</v>
      </c>
      <c r="J4408">
        <v>3.4360728797804503E-2</v>
      </c>
      <c r="K4408">
        <v>2.9619833010984298E-2</v>
      </c>
      <c r="L4408">
        <v>1924.65621181595</v>
      </c>
      <c r="M4408">
        <v>40.496813877648101</v>
      </c>
      <c r="N4408">
        <v>47.621847134101202</v>
      </c>
      <c r="O4408">
        <v>47.4106672159743</v>
      </c>
      <c r="P4408">
        <v>-0.20519535124850999</v>
      </c>
      <c r="Q4408">
        <v>3.9091912453870101E-2</v>
      </c>
      <c r="R4408">
        <v>0.99524314247506696</v>
      </c>
      <c r="S4408" t="s">
        <v>10976</v>
      </c>
      <c r="T4408" t="s">
        <v>13134</v>
      </c>
      <c r="U4408" t="s">
        <v>13134</v>
      </c>
      <c r="V4408" t="s">
        <v>13134</v>
      </c>
      <c r="W4408" t="s">
        <v>17481</v>
      </c>
      <c r="X4408">
        <v>16</v>
      </c>
      <c r="Y4408" t="s">
        <v>23857</v>
      </c>
      <c r="Z4408" t="s">
        <v>30376</v>
      </c>
      <c r="AA4408">
        <v>0.37932575134860758</v>
      </c>
      <c r="AB4408" t="str">
        <f>HYPERLINK("Melting_Curves/meltCurve_Q8IUI8_CRLF3.pdf", "Melting_Curves/meltCurve_Q8IUI8_CRLF3.pdf")</f>
        <v>Melting_Curves/meltCurve_Q8IUI8_CRLF3.pdf</v>
      </c>
    </row>
    <row r="4409" spans="1:28" x14ac:dyDescent="0.25">
      <c r="A4409" t="s">
        <v>4413</v>
      </c>
      <c r="B4409">
        <v>0.99472303558308395</v>
      </c>
      <c r="C4409">
        <v>0.91147250702313498</v>
      </c>
      <c r="D4409">
        <v>0.80646151093968899</v>
      </c>
      <c r="E4409">
        <v>0.62796855118441697</v>
      </c>
      <c r="F4409">
        <v>0.32184518270809798</v>
      </c>
      <c r="G4409">
        <v>0.11520375314544801</v>
      </c>
      <c r="H4409">
        <v>4.9931112363524197E-2</v>
      </c>
      <c r="I4409">
        <v>4.3995307863504501E-2</v>
      </c>
      <c r="J4409">
        <v>4.4022532350577799E-2</v>
      </c>
      <c r="K4409">
        <v>4.44389443894838E-2</v>
      </c>
      <c r="L4409">
        <v>731.85411392607</v>
      </c>
      <c r="M4409">
        <v>15.3805865783903</v>
      </c>
      <c r="N4409">
        <v>47.641817616164801</v>
      </c>
      <c r="O4409">
        <v>46.800372144247802</v>
      </c>
      <c r="P4409">
        <v>-8.1395377483426096E-2</v>
      </c>
      <c r="Q4409">
        <v>9.4045637647400503E-3</v>
      </c>
      <c r="R4409">
        <v>0.99470504931800596</v>
      </c>
      <c r="S4409" t="s">
        <v>10977</v>
      </c>
      <c r="T4409" t="s">
        <v>13134</v>
      </c>
      <c r="U4409" t="s">
        <v>13134</v>
      </c>
      <c r="V4409" t="s">
        <v>13134</v>
      </c>
      <c r="W4409" t="s">
        <v>17482</v>
      </c>
      <c r="X4409">
        <v>3</v>
      </c>
      <c r="Y4409" t="s">
        <v>23858</v>
      </c>
      <c r="Z4409" t="s">
        <v>30377</v>
      </c>
      <c r="AA4409">
        <v>0.37993155403882928</v>
      </c>
      <c r="AB4409" t="str">
        <f>HYPERLINK("Melting_Curves/meltCurve_Q8IUR0_TRAPPC5.pdf", "Melting_Curves/meltCurve_Q8IUR0_TRAPPC5.pdf")</f>
        <v>Melting_Curves/meltCurve_Q8IUR0_TRAPPC5.pdf</v>
      </c>
    </row>
    <row r="4410" spans="1:28" x14ac:dyDescent="0.25">
      <c r="A4410" t="s">
        <v>4414</v>
      </c>
      <c r="B4410">
        <v>0.99472303558308395</v>
      </c>
      <c r="C4410">
        <v>0.85371415382895199</v>
      </c>
      <c r="D4410">
        <v>0.73383534325434596</v>
      </c>
      <c r="E4410">
        <v>0.62353575177518195</v>
      </c>
      <c r="F4410">
        <v>0.51438142454205105</v>
      </c>
      <c r="G4410">
        <v>0.35580568143131203</v>
      </c>
      <c r="H4410">
        <v>0.25900777991599999</v>
      </c>
      <c r="I4410">
        <v>0.19169753555576999</v>
      </c>
      <c r="J4410">
        <v>0.27004130959198802</v>
      </c>
      <c r="K4410">
        <v>0.19432108147862501</v>
      </c>
      <c r="L4410">
        <v>439.04338787823298</v>
      </c>
      <c r="M4410">
        <v>9.2131638164205096</v>
      </c>
      <c r="N4410">
        <v>49.407246677879598</v>
      </c>
      <c r="O4410">
        <v>45.570096060673002</v>
      </c>
      <c r="P4410">
        <v>-4.3524986842619198E-2</v>
      </c>
      <c r="Q4410">
        <v>0.13943980051169</v>
      </c>
      <c r="R4410">
        <v>0.98314262140698605</v>
      </c>
      <c r="S4410" t="s">
        <v>10978</v>
      </c>
      <c r="T4410" t="s">
        <v>13134</v>
      </c>
      <c r="U4410" t="s">
        <v>13134</v>
      </c>
      <c r="V4410" t="s">
        <v>13134</v>
      </c>
      <c r="W4410" t="s">
        <v>17483</v>
      </c>
      <c r="X4410">
        <v>2</v>
      </c>
      <c r="Y4410" t="s">
        <v>23859</v>
      </c>
      <c r="Z4410" t="s">
        <v>30378</v>
      </c>
      <c r="AA4410">
        <v>0.48439422368402291</v>
      </c>
      <c r="AB4410" t="str">
        <f>HYPERLINK("Melting_Curves/meltCurve_Q8IUX1_4_TMEM126B.pdf", "Melting_Curves/meltCurve_Q8IUX1_4_TMEM126B.pdf")</f>
        <v>Melting_Curves/meltCurve_Q8IUX1_4_TMEM126B.pdf</v>
      </c>
    </row>
    <row r="4411" spans="1:28" x14ac:dyDescent="0.25">
      <c r="A4411" t="s">
        <v>4415</v>
      </c>
      <c r="B4411">
        <v>0.99472303558308395</v>
      </c>
      <c r="C4411">
        <v>0.92799625142461895</v>
      </c>
      <c r="D4411">
        <v>1.02131124346888</v>
      </c>
      <c r="E4411">
        <v>0.89986520983782603</v>
      </c>
      <c r="F4411">
        <v>0.65987006602440801</v>
      </c>
      <c r="G4411">
        <v>0.60638211917978702</v>
      </c>
      <c r="H4411">
        <v>0.37234362083213302</v>
      </c>
      <c r="I4411">
        <v>0.32288923796960201</v>
      </c>
      <c r="J4411">
        <v>0.169861936415627</v>
      </c>
      <c r="K4411">
        <v>0.18436347297538599</v>
      </c>
      <c r="L4411">
        <v>613.274101402528</v>
      </c>
      <c r="M4411">
        <v>11.3164555474871</v>
      </c>
      <c r="N4411">
        <v>54.999634760865803</v>
      </c>
      <c r="O4411">
        <v>52.583552046933399</v>
      </c>
      <c r="P4411">
        <v>-4.9703845323343099E-2</v>
      </c>
      <c r="Q4411">
        <v>7.6454573659178598E-2</v>
      </c>
      <c r="R4411">
        <v>0.97973145821977203</v>
      </c>
      <c r="S4411" t="s">
        <v>10979</v>
      </c>
      <c r="T4411" t="s">
        <v>13134</v>
      </c>
      <c r="U4411" t="s">
        <v>13134</v>
      </c>
      <c r="V4411" t="s">
        <v>13134</v>
      </c>
      <c r="W4411" t="s">
        <v>17484</v>
      </c>
      <c r="X4411">
        <v>8</v>
      </c>
      <c r="Y4411" t="s">
        <v>23860</v>
      </c>
      <c r="Z4411" t="s">
        <v>30379</v>
      </c>
      <c r="AA4411">
        <v>0.62165949566865852</v>
      </c>
      <c r="AB4411" t="str">
        <f>HYPERLINK("Melting_Curves/meltCurve_Q8IV08_PLD3.pdf", "Melting_Curves/meltCurve_Q8IV08_PLD3.pdf")</f>
        <v>Melting_Curves/meltCurve_Q8IV08_PLD3.pdf</v>
      </c>
    </row>
    <row r="4412" spans="1:28" x14ac:dyDescent="0.25">
      <c r="A4412" t="s">
        <v>4416</v>
      </c>
      <c r="B4412">
        <v>0.99472303558308395</v>
      </c>
      <c r="C4412">
        <v>1.03942534494052</v>
      </c>
      <c r="D4412">
        <v>1.0060794371142501</v>
      </c>
      <c r="E4412">
        <v>0.89179363420035895</v>
      </c>
      <c r="F4412">
        <v>0.486242008314554</v>
      </c>
      <c r="G4412">
        <v>0.15676613925321201</v>
      </c>
      <c r="H4412">
        <v>0.107443299041606</v>
      </c>
      <c r="I4412">
        <v>8.0613522028097601E-2</v>
      </c>
      <c r="J4412">
        <v>9.7848028772408904E-2</v>
      </c>
      <c r="K4412">
        <v>9.1657864140825898E-2</v>
      </c>
      <c r="L4412">
        <v>1553.4040923105599</v>
      </c>
      <c r="M4412">
        <v>31.227989970590201</v>
      </c>
      <c r="N4412">
        <v>50.054972126102697</v>
      </c>
      <c r="O4412">
        <v>49.541305230293901</v>
      </c>
      <c r="P4412">
        <v>-0.14368981872164299</v>
      </c>
      <c r="Q4412">
        <v>8.8184334560393193E-2</v>
      </c>
      <c r="R4412">
        <v>0.99869743240414899</v>
      </c>
      <c r="S4412" t="s">
        <v>10980</v>
      </c>
      <c r="T4412" t="s">
        <v>13134</v>
      </c>
      <c r="U4412" t="s">
        <v>13134</v>
      </c>
      <c r="V4412" t="s">
        <v>13134</v>
      </c>
      <c r="W4412" t="s">
        <v>17485</v>
      </c>
      <c r="X4412">
        <v>12</v>
      </c>
      <c r="Y4412" t="s">
        <v>23861</v>
      </c>
      <c r="Z4412" t="s">
        <v>30380</v>
      </c>
      <c r="AA4412">
        <v>0.48066739556959942</v>
      </c>
      <c r="AB4412" t="str">
        <f>HYPERLINK("Melting_Curves/meltCurve_Q8IV38_ANKMY2.pdf", "Melting_Curves/meltCurve_Q8IV38_ANKMY2.pdf")</f>
        <v>Melting_Curves/meltCurve_Q8IV38_ANKMY2.pdf</v>
      </c>
    </row>
    <row r="4413" spans="1:28" x14ac:dyDescent="0.25">
      <c r="A4413" t="s">
        <v>4417</v>
      </c>
      <c r="B4413">
        <v>0.99472303558308395</v>
      </c>
      <c r="C4413">
        <v>0.95888795184123199</v>
      </c>
      <c r="D4413">
        <v>0.94651614535133499</v>
      </c>
      <c r="E4413">
        <v>0.62067280000706104</v>
      </c>
      <c r="F4413">
        <v>0.35110341877499301</v>
      </c>
      <c r="G4413">
        <v>0.13455717515409599</v>
      </c>
      <c r="H4413">
        <v>8.6832140920507006E-2</v>
      </c>
      <c r="I4413">
        <v>7.2714988115199095E-2</v>
      </c>
      <c r="J4413">
        <v>8.6117107788698702E-2</v>
      </c>
      <c r="K4413">
        <v>7.8822831395179593E-2</v>
      </c>
      <c r="L4413">
        <v>976.13565226140202</v>
      </c>
      <c r="M4413">
        <v>20.4415596861773</v>
      </c>
      <c r="N4413">
        <v>48.100124489668097</v>
      </c>
      <c r="O4413">
        <v>47.302556668327298</v>
      </c>
      <c r="P4413">
        <v>-0.100620543433278</v>
      </c>
      <c r="Q4413">
        <v>6.8668733418931802E-2</v>
      </c>
      <c r="R4413">
        <v>0.99704689166132798</v>
      </c>
      <c r="S4413" t="s">
        <v>10981</v>
      </c>
      <c r="T4413" t="s">
        <v>13134</v>
      </c>
      <c r="U4413" t="s">
        <v>13134</v>
      </c>
      <c r="V4413" t="s">
        <v>13134</v>
      </c>
      <c r="W4413" t="s">
        <v>17486</v>
      </c>
      <c r="X4413">
        <v>6</v>
      </c>
      <c r="Y4413" t="s">
        <v>23862</v>
      </c>
      <c r="Z4413" t="s">
        <v>30381</v>
      </c>
      <c r="AA4413">
        <v>0.41419850287322241</v>
      </c>
      <c r="AB4413" t="str">
        <f>HYPERLINK("Melting_Curves/meltCurve_Q8IV48_ERI1.pdf", "Melting_Curves/meltCurve_Q8IV48_ERI1.pdf")</f>
        <v>Melting_Curves/meltCurve_Q8IV48_ERI1.pdf</v>
      </c>
    </row>
    <row r="4414" spans="1:28" x14ac:dyDescent="0.25">
      <c r="A4414" t="s">
        <v>4418</v>
      </c>
      <c r="B4414">
        <v>0.99472303558308395</v>
      </c>
      <c r="C4414">
        <v>0.95023411710761296</v>
      </c>
      <c r="D4414">
        <v>1.06881750567891</v>
      </c>
      <c r="E4414">
        <v>0.90874977814549396</v>
      </c>
      <c r="F4414">
        <v>0.58778404306737897</v>
      </c>
      <c r="G4414">
        <v>0.38970927211655598</v>
      </c>
      <c r="H4414">
        <v>0.187313822116007</v>
      </c>
      <c r="I4414">
        <v>0.221772064542097</v>
      </c>
      <c r="J4414">
        <v>0.23625609841711401</v>
      </c>
      <c r="K4414">
        <v>0.16348562209055101</v>
      </c>
      <c r="L4414">
        <v>1209.0492388596101</v>
      </c>
      <c r="M4414">
        <v>23.985466988544299</v>
      </c>
      <c r="N4414">
        <v>51.467047301500102</v>
      </c>
      <c r="O4414">
        <v>50.061126977533803</v>
      </c>
      <c r="P4414">
        <v>-9.6445102509878797E-2</v>
      </c>
      <c r="Q4414">
        <v>0.194833766809103</v>
      </c>
      <c r="R4414">
        <v>0.98621853280349103</v>
      </c>
      <c r="S4414" t="s">
        <v>10982</v>
      </c>
      <c r="T4414" t="s">
        <v>13134</v>
      </c>
      <c r="U4414" t="s">
        <v>13134</v>
      </c>
      <c r="V4414" t="s">
        <v>13134</v>
      </c>
      <c r="W4414" t="s">
        <v>17487</v>
      </c>
      <c r="X4414">
        <v>5</v>
      </c>
      <c r="Y4414" t="s">
        <v>23863</v>
      </c>
      <c r="Z4414" t="s">
        <v>30382</v>
      </c>
      <c r="AA4414">
        <v>0.56231901081454161</v>
      </c>
      <c r="AB4414" t="str">
        <f>HYPERLINK("Melting_Curves/meltCurve_Q8IV50_LYSMD2.pdf", "Melting_Curves/meltCurve_Q8IV50_LYSMD2.pdf")</f>
        <v>Melting_Curves/meltCurve_Q8IV50_LYSMD2.pdf</v>
      </c>
    </row>
    <row r="4415" spans="1:28" x14ac:dyDescent="0.25">
      <c r="A4415" t="s">
        <v>4419</v>
      </c>
      <c r="B4415">
        <v>0.99472303558308395</v>
      </c>
      <c r="C4415">
        <v>1.0087234652151</v>
      </c>
      <c r="D4415">
        <v>1.0158723587282401</v>
      </c>
      <c r="E4415">
        <v>0.94314325889154504</v>
      </c>
      <c r="F4415">
        <v>0.54466534730537797</v>
      </c>
      <c r="G4415">
        <v>0.177283019741068</v>
      </c>
      <c r="H4415">
        <v>8.3951426922701897E-2</v>
      </c>
      <c r="I4415">
        <v>5.30720974121296E-2</v>
      </c>
      <c r="J4415">
        <v>5.6487698330620201E-2</v>
      </c>
      <c r="K4415">
        <v>4.7940976050607501E-2</v>
      </c>
      <c r="L4415">
        <v>1578.4582565114999</v>
      </c>
      <c r="M4415">
        <v>31.336244303308799</v>
      </c>
      <c r="N4415">
        <v>50.560531403456203</v>
      </c>
      <c r="O4415">
        <v>50.1678499695931</v>
      </c>
      <c r="P4415">
        <v>-0.147532125050677</v>
      </c>
      <c r="Q4415">
        <v>5.5237419038211999E-2</v>
      </c>
      <c r="R4415">
        <v>0.99945919932590799</v>
      </c>
      <c r="S4415" t="s">
        <v>10983</v>
      </c>
      <c r="T4415" t="s">
        <v>13134</v>
      </c>
      <c r="U4415" t="s">
        <v>13134</v>
      </c>
      <c r="V4415" t="s">
        <v>13134</v>
      </c>
      <c r="W4415" t="s">
        <v>17488</v>
      </c>
      <c r="X4415">
        <v>4</v>
      </c>
      <c r="Y4415" t="s">
        <v>23864</v>
      </c>
      <c r="Z4415" t="s">
        <v>30383</v>
      </c>
      <c r="AA4415">
        <v>0.48168952724497749</v>
      </c>
      <c r="AB4415" t="str">
        <f>HYPERLINK("Melting_Curves/meltCurve_Q8IV63_3_VRK3.pdf", "Melting_Curves/meltCurve_Q8IV63_3_VRK3.pdf")</f>
        <v>Melting_Curves/meltCurve_Q8IV63_3_VRK3.pdf</v>
      </c>
    </row>
    <row r="4416" spans="1:28" x14ac:dyDescent="0.25">
      <c r="A4416" t="s">
        <v>4420</v>
      </c>
      <c r="B4416">
        <v>0.99472303558308395</v>
      </c>
      <c r="C4416">
        <v>1.04502443231968</v>
      </c>
      <c r="D4416">
        <v>0.97439337079399502</v>
      </c>
      <c r="E4416">
        <v>0.67191952572623004</v>
      </c>
      <c r="F4416">
        <v>0.265561180239473</v>
      </c>
      <c r="G4416">
        <v>0.15333302016252201</v>
      </c>
      <c r="H4416">
        <v>9.0675503733837204E-2</v>
      </c>
      <c r="I4416">
        <v>5.5231960249172797E-2</v>
      </c>
      <c r="J4416">
        <v>8.3126575185142701E-2</v>
      </c>
      <c r="K4416">
        <v>6.9211000749881693E-2</v>
      </c>
      <c r="L4416">
        <v>1277.93653628949</v>
      </c>
      <c r="M4416">
        <v>26.789222600782502</v>
      </c>
      <c r="N4416">
        <v>48.006077783569502</v>
      </c>
      <c r="O4416">
        <v>47.439940474589697</v>
      </c>
      <c r="P4416">
        <v>-0.13020510700833901</v>
      </c>
      <c r="Q4416">
        <v>7.7709717808194301E-2</v>
      </c>
      <c r="R4416">
        <v>0.99704515319971598</v>
      </c>
      <c r="S4416" t="s">
        <v>10984</v>
      </c>
      <c r="T4416" t="s">
        <v>13134</v>
      </c>
      <c r="U4416" t="s">
        <v>13134</v>
      </c>
      <c r="V4416" t="s">
        <v>13134</v>
      </c>
      <c r="W4416" t="s">
        <v>17489</v>
      </c>
      <c r="X4416">
        <v>3</v>
      </c>
      <c r="Y4416" t="s">
        <v>23865</v>
      </c>
      <c r="Z4416" t="s">
        <v>30384</v>
      </c>
      <c r="AA4416">
        <v>0.41358156971764432</v>
      </c>
      <c r="AB4416" t="str">
        <f>HYPERLINK("Melting_Curves/meltCurve_Q8IVB5_LIX1L.pdf", "Melting_Curves/meltCurve_Q8IVB5_LIX1L.pdf")</f>
        <v>Melting_Curves/meltCurve_Q8IVB5_LIX1L.pdf</v>
      </c>
    </row>
    <row r="4417" spans="1:28" x14ac:dyDescent="0.25">
      <c r="A4417" t="s">
        <v>4421</v>
      </c>
      <c r="B4417">
        <v>0.99472303558308395</v>
      </c>
      <c r="C4417">
        <v>0.93342040347203004</v>
      </c>
      <c r="D4417">
        <v>0.92756801748821804</v>
      </c>
      <c r="E4417">
        <v>0.70147503314432502</v>
      </c>
      <c r="F4417">
        <v>0.27536543507755901</v>
      </c>
      <c r="G4417">
        <v>0.151990233638922</v>
      </c>
      <c r="H4417">
        <v>9.9924895775390904E-2</v>
      </c>
      <c r="I4417">
        <v>7.2741919180047507E-2</v>
      </c>
      <c r="J4417">
        <v>9.8302545664837204E-2</v>
      </c>
      <c r="K4417">
        <v>6.3143998242766605E-2</v>
      </c>
      <c r="L4417">
        <v>1170.9420234904001</v>
      </c>
      <c r="M4417">
        <v>24.4893489367775</v>
      </c>
      <c r="N4417">
        <v>48.151587911541696</v>
      </c>
      <c r="O4417">
        <v>47.4989203459401</v>
      </c>
      <c r="P4417">
        <v>-0.118737952874855</v>
      </c>
      <c r="Q4417">
        <v>7.8808722313577106E-2</v>
      </c>
      <c r="R4417">
        <v>0.99610368444047503</v>
      </c>
      <c r="S4417" t="s">
        <v>10985</v>
      </c>
      <c r="T4417" t="s">
        <v>13134</v>
      </c>
      <c r="U4417" t="s">
        <v>13134</v>
      </c>
      <c r="V4417" t="s">
        <v>13134</v>
      </c>
      <c r="W4417" t="s">
        <v>17490</v>
      </c>
      <c r="X4417">
        <v>13</v>
      </c>
      <c r="Y4417" t="s">
        <v>23866</v>
      </c>
      <c r="Z4417" t="s">
        <v>30385</v>
      </c>
      <c r="AA4417">
        <v>0.41903363901196972</v>
      </c>
      <c r="AB4417" t="str">
        <f>HYPERLINK("Melting_Curves/meltCurve_Q8IVD9_NUDCD3.pdf", "Melting_Curves/meltCurve_Q8IVD9_NUDCD3.pdf")</f>
        <v>Melting_Curves/meltCurve_Q8IVD9_NUDCD3.pdf</v>
      </c>
    </row>
    <row r="4418" spans="1:28" x14ac:dyDescent="0.25">
      <c r="A4418" t="s">
        <v>4422</v>
      </c>
      <c r="B4418">
        <v>0.99472303558308395</v>
      </c>
      <c r="C4418">
        <v>0.99702154572215296</v>
      </c>
      <c r="D4418">
        <v>0.97418732380934203</v>
      </c>
      <c r="E4418">
        <v>0.90176084223923303</v>
      </c>
      <c r="F4418">
        <v>0.65807667953264704</v>
      </c>
      <c r="G4418">
        <v>0.54895459792617396</v>
      </c>
      <c r="H4418">
        <v>0.51718867868409701</v>
      </c>
      <c r="I4418">
        <v>0.57278818259463704</v>
      </c>
      <c r="J4418">
        <v>0.873125728738539</v>
      </c>
      <c r="K4418">
        <v>0.63445558179843897</v>
      </c>
      <c r="L4418">
        <v>2433.4622160419799</v>
      </c>
      <c r="M4418">
        <v>51.205298081836901</v>
      </c>
      <c r="O4418">
        <v>47.451328924846202</v>
      </c>
      <c r="P4418">
        <v>-9.9783098824908406E-2</v>
      </c>
      <c r="Q4418">
        <v>0.63012916687925002</v>
      </c>
      <c r="R4418">
        <v>0.76705876759431502</v>
      </c>
      <c r="S4418" t="s">
        <v>10986</v>
      </c>
      <c r="T4418" t="s">
        <v>13134</v>
      </c>
      <c r="U4418" t="s">
        <v>13134</v>
      </c>
      <c r="V4418" t="s">
        <v>13134</v>
      </c>
      <c r="W4418" t="s">
        <v>17491</v>
      </c>
      <c r="X4418">
        <v>21</v>
      </c>
      <c r="Y4418" t="s">
        <v>23867</v>
      </c>
      <c r="Z4418" t="s">
        <v>30386</v>
      </c>
      <c r="AA4418">
        <v>0.76061451745731867</v>
      </c>
      <c r="AB4418" t="str">
        <f>HYPERLINK("Melting_Curves/meltCurve_Q8IVM0_CCDC50.pdf", "Melting_Curves/meltCurve_Q8IVM0_CCDC50.pdf")</f>
        <v>Melting_Curves/meltCurve_Q8IVM0_CCDC50.pdf</v>
      </c>
    </row>
    <row r="4419" spans="1:28" x14ac:dyDescent="0.25">
      <c r="A4419" t="s">
        <v>4423</v>
      </c>
      <c r="B4419">
        <v>0.99472303558308395</v>
      </c>
      <c r="C4419">
        <v>1.0336552385979101</v>
      </c>
      <c r="D4419">
        <v>1.00508264857081</v>
      </c>
      <c r="E4419">
        <v>0.66779572978561497</v>
      </c>
      <c r="F4419">
        <v>0.64322901068469596</v>
      </c>
      <c r="G4419">
        <v>0.32356685750675301</v>
      </c>
      <c r="H4419">
        <v>0.39929178718275798</v>
      </c>
      <c r="I4419">
        <v>0.40214259399530999</v>
      </c>
      <c r="J4419">
        <v>0.74573509429973495</v>
      </c>
      <c r="K4419">
        <v>0.22781423554863101</v>
      </c>
      <c r="L4419">
        <v>1167.9317351376301</v>
      </c>
      <c r="M4419">
        <v>24.911568118784199</v>
      </c>
      <c r="N4419">
        <v>50.893534589340099</v>
      </c>
      <c r="O4419">
        <v>46.584129306033198</v>
      </c>
      <c r="P4419">
        <v>-7.6233914592404695E-2</v>
      </c>
      <c r="Q4419">
        <v>0.42978426261936797</v>
      </c>
      <c r="R4419">
        <v>0.77339432561372401</v>
      </c>
      <c r="S4419" t="s">
        <v>10987</v>
      </c>
      <c r="T4419" t="s">
        <v>13134</v>
      </c>
      <c r="U4419" t="s">
        <v>13134</v>
      </c>
      <c r="V4419" t="s">
        <v>13134</v>
      </c>
      <c r="W4419" t="s">
        <v>17492</v>
      </c>
      <c r="X4419">
        <v>21</v>
      </c>
      <c r="Y4419" t="s">
        <v>23867</v>
      </c>
      <c r="Z4419" t="s">
        <v>30387</v>
      </c>
      <c r="AA4419">
        <v>0.62244942893613908</v>
      </c>
      <c r="AB4419" t="str">
        <f>HYPERLINK("Melting_Curves/meltCurve_Q8IVM0_2_CCDC50.pdf", "Melting_Curves/meltCurve_Q8IVM0_2_CCDC50.pdf")</f>
        <v>Melting_Curves/meltCurve_Q8IVM0_2_CCDC50.pdf</v>
      </c>
    </row>
    <row r="4420" spans="1:28" x14ac:dyDescent="0.25">
      <c r="A4420" t="s">
        <v>4424</v>
      </c>
      <c r="B4420">
        <v>0.99472303558308395</v>
      </c>
      <c r="C4420">
        <v>0.99500896706873099</v>
      </c>
      <c r="D4420">
        <v>0.97014233890522195</v>
      </c>
      <c r="E4420">
        <v>0.89745990070319104</v>
      </c>
      <c r="F4420">
        <v>0.76518017340690103</v>
      </c>
      <c r="G4420">
        <v>0.46891771205156602</v>
      </c>
      <c r="H4420">
        <v>0.32497051668767102</v>
      </c>
      <c r="I4420">
        <v>0.20184919461164599</v>
      </c>
      <c r="J4420">
        <v>0.130391091164554</v>
      </c>
      <c r="K4420">
        <v>8.5106167888914397E-2</v>
      </c>
      <c r="L4420">
        <v>780.40614245521101</v>
      </c>
      <c r="M4420">
        <v>14.584030937723901</v>
      </c>
      <c r="N4420">
        <v>53.909456307766597</v>
      </c>
      <c r="O4420">
        <v>52.535099839232799</v>
      </c>
      <c r="P4420">
        <v>-6.5862985271779501E-2</v>
      </c>
      <c r="Q4420">
        <v>5.1091288352649901E-2</v>
      </c>
      <c r="R4420">
        <v>0.99772948679919704</v>
      </c>
      <c r="S4420" t="s">
        <v>10988</v>
      </c>
      <c r="T4420" t="s">
        <v>13134</v>
      </c>
      <c r="U4420" t="s">
        <v>13134</v>
      </c>
      <c r="V4420" t="s">
        <v>13134</v>
      </c>
      <c r="W4420" t="s">
        <v>17493</v>
      </c>
      <c r="X4420">
        <v>9</v>
      </c>
      <c r="Y4420" t="s">
        <v>23868</v>
      </c>
      <c r="Z4420" t="s">
        <v>30388</v>
      </c>
      <c r="AA4420">
        <v>0.58989858960517816</v>
      </c>
      <c r="AB4420" t="str">
        <f>HYPERLINK("Melting_Curves/meltCurve_Q8IVS2_MCAT.pdf", "Melting_Curves/meltCurve_Q8IVS2_MCAT.pdf")</f>
        <v>Melting_Curves/meltCurve_Q8IVS2_MCAT.pdf</v>
      </c>
    </row>
    <row r="4421" spans="1:28" x14ac:dyDescent="0.25">
      <c r="A4421" t="s">
        <v>4425</v>
      </c>
      <c r="B4421">
        <v>0.99472303558308395</v>
      </c>
      <c r="C4421">
        <v>0.93668752539677702</v>
      </c>
      <c r="D4421">
        <v>0.49172074191128401</v>
      </c>
      <c r="E4421">
        <v>0.299492083875676</v>
      </c>
      <c r="F4421">
        <v>0.25393608825397401</v>
      </c>
      <c r="G4421">
        <v>0.12072015271766801</v>
      </c>
      <c r="H4421">
        <v>0.126194209502592</v>
      </c>
      <c r="I4421">
        <v>9.9004344491788104E-2</v>
      </c>
      <c r="J4421">
        <v>0.112521026380584</v>
      </c>
      <c r="K4421">
        <v>0.109236865409087</v>
      </c>
      <c r="L4421">
        <v>947.16209696619103</v>
      </c>
      <c r="M4421">
        <v>22.035836376823902</v>
      </c>
      <c r="N4421">
        <v>43.573282158532898</v>
      </c>
      <c r="O4421">
        <v>42.633510754808697</v>
      </c>
      <c r="P4421">
        <v>-0.112540182899538</v>
      </c>
      <c r="Q4421">
        <v>0.12907732579674699</v>
      </c>
      <c r="R4421">
        <v>0.97956505664184401</v>
      </c>
      <c r="S4421" t="s">
        <v>10989</v>
      </c>
      <c r="T4421" t="s">
        <v>13134</v>
      </c>
      <c r="U4421" t="s">
        <v>13134</v>
      </c>
      <c r="V4421" t="s">
        <v>13134</v>
      </c>
      <c r="W4421" t="s">
        <v>17494</v>
      </c>
      <c r="X4421">
        <v>3</v>
      </c>
      <c r="Y4421" t="s">
        <v>23869</v>
      </c>
      <c r="Z4421" t="s">
        <v>30389</v>
      </c>
      <c r="AA4421">
        <v>0.31250487110088798</v>
      </c>
      <c r="AB4421" t="str">
        <f>HYPERLINK("Melting_Curves/meltCurve_Q8IVW6_4_ARID3B.pdf", "Melting_Curves/meltCurve_Q8IVW6_4_ARID3B.pdf")</f>
        <v>Melting_Curves/meltCurve_Q8IVW6_4_ARID3B.pdf</v>
      </c>
    </row>
    <row r="4422" spans="1:28" x14ac:dyDescent="0.25">
      <c r="A4422" t="s">
        <v>4426</v>
      </c>
      <c r="B4422">
        <v>0.99472303558308395</v>
      </c>
      <c r="C4422">
        <v>0.93837605165522497</v>
      </c>
      <c r="D4422">
        <v>0.94276287458427299</v>
      </c>
      <c r="E4422">
        <v>0.86202572807951106</v>
      </c>
      <c r="F4422">
        <v>0.76788257678784499</v>
      </c>
      <c r="G4422">
        <v>0.530199662620079</v>
      </c>
      <c r="H4422">
        <v>0.43495840941854502</v>
      </c>
      <c r="I4422">
        <v>0.451281610174675</v>
      </c>
      <c r="J4422">
        <v>0.63604407298203802</v>
      </c>
      <c r="K4422">
        <v>0.53841271746953201</v>
      </c>
      <c r="L4422">
        <v>1112.4238240904799</v>
      </c>
      <c r="M4422">
        <v>22.5694452276135</v>
      </c>
      <c r="O4422">
        <v>48.9068709194025</v>
      </c>
      <c r="P4422">
        <v>-5.68671585834407E-2</v>
      </c>
      <c r="Q4422">
        <v>0.50709667132872904</v>
      </c>
      <c r="R4422">
        <v>0.90295200825273902</v>
      </c>
      <c r="S4422" t="s">
        <v>10990</v>
      </c>
      <c r="T4422" t="s">
        <v>13134</v>
      </c>
      <c r="U4422" t="s">
        <v>13134</v>
      </c>
      <c r="V4422" t="s">
        <v>13134</v>
      </c>
      <c r="W4422" t="s">
        <v>17495</v>
      </c>
      <c r="X4422">
        <v>3</v>
      </c>
      <c r="Y4422" t="s">
        <v>23870</v>
      </c>
      <c r="Z4422" t="s">
        <v>30390</v>
      </c>
      <c r="AA4422">
        <v>0.71420249321151263</v>
      </c>
      <c r="AB4422" t="str">
        <f>HYPERLINK("Melting_Curves/meltCurve_Q8IW45_CARKD.pdf", "Melting_Curves/meltCurve_Q8IW45_CARKD.pdf")</f>
        <v>Melting_Curves/meltCurve_Q8IW45_CARKD.pdf</v>
      </c>
    </row>
    <row r="4423" spans="1:28" x14ac:dyDescent="0.25">
      <c r="A4423" t="s">
        <v>4427</v>
      </c>
      <c r="B4423">
        <v>0.99472303558308395</v>
      </c>
      <c r="C4423">
        <v>0.95834250784517006</v>
      </c>
      <c r="D4423">
        <v>0.82536317064180997</v>
      </c>
      <c r="E4423">
        <v>0.60098196405745297</v>
      </c>
      <c r="F4423">
        <v>0.32216664238363502</v>
      </c>
      <c r="G4423">
        <v>0.11956863908639</v>
      </c>
      <c r="H4423">
        <v>9.9136897136173699E-2</v>
      </c>
      <c r="I4423">
        <v>5.8604427994480401E-2</v>
      </c>
      <c r="J4423">
        <v>9.0878811345845301E-2</v>
      </c>
      <c r="K4423">
        <v>6.3634126296033197E-2</v>
      </c>
      <c r="L4423">
        <v>801.28714523122699</v>
      </c>
      <c r="M4423">
        <v>16.9551043668388</v>
      </c>
      <c r="N4423">
        <v>47.568011832184403</v>
      </c>
      <c r="O4423">
        <v>46.616645937667698</v>
      </c>
      <c r="P4423">
        <v>-8.6197153255237996E-2</v>
      </c>
      <c r="Q4423">
        <v>5.2092127988247597E-2</v>
      </c>
      <c r="R4423">
        <v>0.99728127324372695</v>
      </c>
      <c r="S4423" t="s">
        <v>10991</v>
      </c>
      <c r="T4423" t="s">
        <v>13134</v>
      </c>
      <c r="U4423" t="s">
        <v>13134</v>
      </c>
      <c r="V4423" t="s">
        <v>13134</v>
      </c>
      <c r="W4423" t="s">
        <v>17496</v>
      </c>
      <c r="X4423">
        <v>2</v>
      </c>
      <c r="Y4423" t="s">
        <v>23871</v>
      </c>
      <c r="Z4423" t="s">
        <v>30391</v>
      </c>
      <c r="AA4423">
        <v>0.3932541670798731</v>
      </c>
      <c r="AB4423" t="str">
        <f>HYPERLINK("Melting_Curves/meltCurve_Q8IWA0_WDR75.pdf", "Melting_Curves/meltCurve_Q8IWA0_WDR75.pdf")</f>
        <v>Melting_Curves/meltCurve_Q8IWA0_WDR75.pdf</v>
      </c>
    </row>
    <row r="4424" spans="1:28" x14ac:dyDescent="0.25">
      <c r="A4424" t="s">
        <v>4428</v>
      </c>
      <c r="B4424">
        <v>0.99472303558308395</v>
      </c>
      <c r="C4424">
        <v>1.0072521585115399</v>
      </c>
      <c r="D4424">
        <v>0.88009154701440695</v>
      </c>
      <c r="E4424">
        <v>0.81947480339620704</v>
      </c>
      <c r="F4424">
        <v>0.69960901534087006</v>
      </c>
      <c r="G4424">
        <v>0.19814286232172601</v>
      </c>
      <c r="H4424">
        <v>0.125859379994368</v>
      </c>
      <c r="I4424">
        <v>5.6445253648135699E-2</v>
      </c>
      <c r="J4424">
        <v>8.3839887333201399E-2</v>
      </c>
      <c r="K4424">
        <v>0.11216386987329199</v>
      </c>
      <c r="L4424">
        <v>1223.15435165535</v>
      </c>
      <c r="M4424">
        <v>24.023029044751599</v>
      </c>
      <c r="N4424">
        <v>51.218963473553003</v>
      </c>
      <c r="O4424">
        <v>50.5670186490511</v>
      </c>
      <c r="P4424">
        <v>-0.110901551835275</v>
      </c>
      <c r="Q4424">
        <v>6.62504058213019E-2</v>
      </c>
      <c r="R4424">
        <v>0.97716078893719804</v>
      </c>
      <c r="S4424" t="s">
        <v>10992</v>
      </c>
      <c r="T4424" t="s">
        <v>13134</v>
      </c>
      <c r="U4424" t="s">
        <v>13134</v>
      </c>
      <c r="V4424" t="s">
        <v>13134</v>
      </c>
      <c r="W4424" t="s">
        <v>17497</v>
      </c>
      <c r="X4424">
        <v>7</v>
      </c>
      <c r="Y4424" t="s">
        <v>23872</v>
      </c>
      <c r="Z4424" t="s">
        <v>30392</v>
      </c>
      <c r="AA4424">
        <v>0.50824584016857244</v>
      </c>
      <c r="AB4424" t="str">
        <f>HYPERLINK("Melting_Curves/meltCurve_Q8IWB1_ITPRIP.pdf", "Melting_Curves/meltCurve_Q8IWB1_ITPRIP.pdf")</f>
        <v>Melting_Curves/meltCurve_Q8IWB1_ITPRIP.pdf</v>
      </c>
    </row>
    <row r="4425" spans="1:28" x14ac:dyDescent="0.25">
      <c r="A4425" t="s">
        <v>4429</v>
      </c>
      <c r="B4425">
        <v>0.99472303558308395</v>
      </c>
      <c r="C4425">
        <v>1.0846543871648</v>
      </c>
      <c r="D4425">
        <v>1.0587484105795499</v>
      </c>
      <c r="E4425">
        <v>0.95243259908195799</v>
      </c>
      <c r="F4425">
        <v>0.69499400600910799</v>
      </c>
      <c r="G4425">
        <v>0.58138030508821503</v>
      </c>
      <c r="H4425">
        <v>0.30406099133773901</v>
      </c>
      <c r="I4425">
        <v>0.220619747201103</v>
      </c>
      <c r="J4425">
        <v>0.16545098716118101</v>
      </c>
      <c r="K4425">
        <v>0.106564619214704</v>
      </c>
      <c r="L4425">
        <v>843.46889705011097</v>
      </c>
      <c r="M4425">
        <v>15.729259053716801</v>
      </c>
      <c r="N4425">
        <v>54.291930012339002</v>
      </c>
      <c r="O4425">
        <v>52.7798939314116</v>
      </c>
      <c r="P4425">
        <v>-6.7957460629514493E-2</v>
      </c>
      <c r="Q4425">
        <v>8.7945270481827001E-2</v>
      </c>
      <c r="R4425">
        <v>0.98302548798270195</v>
      </c>
      <c r="S4425" t="s">
        <v>10993</v>
      </c>
      <c r="T4425" t="s">
        <v>13134</v>
      </c>
      <c r="U4425" t="s">
        <v>13134</v>
      </c>
      <c r="V4425" t="s">
        <v>13134</v>
      </c>
      <c r="W4425" t="s">
        <v>17498</v>
      </c>
      <c r="X4425">
        <v>5</v>
      </c>
      <c r="Y4425" t="s">
        <v>23873</v>
      </c>
      <c r="Z4425" t="s">
        <v>30393</v>
      </c>
      <c r="AA4425">
        <v>0.60811338198914455</v>
      </c>
      <c r="AB4425" t="str">
        <f>HYPERLINK("Melting_Curves/meltCurve_Q8IWB7_WDFY1.pdf", "Melting_Curves/meltCurve_Q8IWB7_WDFY1.pdf")</f>
        <v>Melting_Curves/meltCurve_Q8IWB7_WDFY1.pdf</v>
      </c>
    </row>
    <row r="4426" spans="1:28" x14ac:dyDescent="0.25">
      <c r="A4426" t="s">
        <v>4430</v>
      </c>
      <c r="B4426">
        <v>0.99472303558308395</v>
      </c>
      <c r="C4426">
        <v>0.97512674070302496</v>
      </c>
      <c r="D4426">
        <v>0.88705979807173396</v>
      </c>
      <c r="E4426">
        <v>0.41938651932742499</v>
      </c>
      <c r="F4426">
        <v>0.166652081870758</v>
      </c>
      <c r="G4426">
        <v>8.8681150893992505E-2</v>
      </c>
      <c r="H4426">
        <v>7.5353655549795603E-2</v>
      </c>
      <c r="I4426">
        <v>5.1860371480011297E-2</v>
      </c>
      <c r="J4426">
        <v>6.9127483839044102E-2</v>
      </c>
      <c r="K4426">
        <v>5.0078325862571597E-2</v>
      </c>
      <c r="L4426">
        <v>1255.91920193941</v>
      </c>
      <c r="M4426">
        <v>27.3776854324542</v>
      </c>
      <c r="N4426">
        <v>46.108682255345002</v>
      </c>
      <c r="O4426">
        <v>45.631146283877001</v>
      </c>
      <c r="P4426">
        <v>-0.14023405277731801</v>
      </c>
      <c r="Q4426">
        <v>6.50803449840478E-2</v>
      </c>
      <c r="R4426">
        <v>0.99896822774167104</v>
      </c>
      <c r="S4426" t="s">
        <v>10994</v>
      </c>
      <c r="T4426" t="s">
        <v>13134</v>
      </c>
      <c r="U4426" t="s">
        <v>13134</v>
      </c>
      <c r="V4426" t="s">
        <v>13134</v>
      </c>
      <c r="W4426" t="s">
        <v>17499</v>
      </c>
      <c r="X4426">
        <v>9</v>
      </c>
      <c r="Y4426" t="s">
        <v>23874</v>
      </c>
      <c r="Z4426" t="s">
        <v>30394</v>
      </c>
      <c r="AA4426">
        <v>0.34804271418773952</v>
      </c>
      <c r="AB4426" t="str">
        <f>HYPERLINK("Melting_Curves/meltCurve_Q8IWB9_TEX2.pdf", "Melting_Curves/meltCurve_Q8IWB9_TEX2.pdf")</f>
        <v>Melting_Curves/meltCurve_Q8IWB9_TEX2.pdf</v>
      </c>
    </row>
    <row r="4427" spans="1:28" x14ac:dyDescent="0.25">
      <c r="A4427" t="s">
        <v>4431</v>
      </c>
      <c r="B4427">
        <v>0.99472303558308395</v>
      </c>
      <c r="C4427">
        <v>0.90383720441484605</v>
      </c>
      <c r="D4427">
        <v>0.72937831145376997</v>
      </c>
      <c r="E4427">
        <v>0.57437071873670298</v>
      </c>
      <c r="F4427">
        <v>0.46139863090246902</v>
      </c>
      <c r="G4427">
        <v>0.25266331732265701</v>
      </c>
      <c r="H4427">
        <v>0.20467262695534699</v>
      </c>
      <c r="I4427">
        <v>0.15033567255203201</v>
      </c>
      <c r="J4427">
        <v>0.203573033485486</v>
      </c>
      <c r="K4427">
        <v>0.154439342246626</v>
      </c>
      <c r="L4427">
        <v>533.91845301075796</v>
      </c>
      <c r="M4427">
        <v>11.3932190112703</v>
      </c>
      <c r="N4427">
        <v>48.0650227972096</v>
      </c>
      <c r="O4427">
        <v>45.488768683634099</v>
      </c>
      <c r="P4427">
        <v>-5.4868650124223803E-2</v>
      </c>
      <c r="Q4427">
        <v>0.123979857334097</v>
      </c>
      <c r="R4427">
        <v>0.988923404950937</v>
      </c>
      <c r="S4427" t="s">
        <v>10995</v>
      </c>
      <c r="T4427" t="s">
        <v>13134</v>
      </c>
      <c r="U4427" t="s">
        <v>13134</v>
      </c>
      <c r="V4427" t="s">
        <v>13134</v>
      </c>
      <c r="W4427" t="s">
        <v>17500</v>
      </c>
      <c r="X4427">
        <v>7</v>
      </c>
      <c r="Y4427" t="s">
        <v>23875</v>
      </c>
      <c r="Z4427" t="s">
        <v>30395</v>
      </c>
      <c r="AA4427">
        <v>0.44343174521884338</v>
      </c>
      <c r="AB4427" t="str">
        <f>HYPERLINK("Melting_Curves/meltCurve_Q8IWC1_2_MAP7D3.pdf", "Melting_Curves/meltCurve_Q8IWC1_2_MAP7D3.pdf")</f>
        <v>Melting_Curves/meltCurve_Q8IWC1_2_MAP7D3.pdf</v>
      </c>
    </row>
    <row r="4428" spans="1:28" x14ac:dyDescent="0.25">
      <c r="A4428" t="s">
        <v>4432</v>
      </c>
      <c r="B4428">
        <v>0.99472303558308395</v>
      </c>
      <c r="C4428">
        <v>1.0103661956737</v>
      </c>
      <c r="D4428">
        <v>0.91038236136990902</v>
      </c>
      <c r="E4428">
        <v>0.73517958376206405</v>
      </c>
      <c r="F4428">
        <v>0.47953592859010002</v>
      </c>
      <c r="G4428">
        <v>0.26401358053841101</v>
      </c>
      <c r="H4428">
        <v>0.23067566584781299</v>
      </c>
      <c r="I4428">
        <v>0.22348276420320601</v>
      </c>
      <c r="J4428">
        <v>0.36111883755308</v>
      </c>
      <c r="K4428">
        <v>0.26563251985218</v>
      </c>
      <c r="L4428">
        <v>1081.0178526991299</v>
      </c>
      <c r="M4428">
        <v>22.615142764925601</v>
      </c>
      <c r="N4428">
        <v>49.388555621907898</v>
      </c>
      <c r="O4428">
        <v>47.4315716386023</v>
      </c>
      <c r="P4428">
        <v>-8.8405769061737097E-2</v>
      </c>
      <c r="Q4428">
        <v>0.25834811400278901</v>
      </c>
      <c r="R4428">
        <v>0.98089736979612796</v>
      </c>
      <c r="S4428" t="s">
        <v>10996</v>
      </c>
      <c r="T4428" t="s">
        <v>13134</v>
      </c>
      <c r="U4428" t="s">
        <v>13134</v>
      </c>
      <c r="V4428" t="s">
        <v>13134</v>
      </c>
      <c r="W4428" t="s">
        <v>17501</v>
      </c>
      <c r="X4428">
        <v>5</v>
      </c>
      <c r="Y4428" t="s">
        <v>23876</v>
      </c>
      <c r="Z4428" t="s">
        <v>30396</v>
      </c>
      <c r="AA4428">
        <v>0.53303722803029974</v>
      </c>
      <c r="AB4428" t="str">
        <f>HYPERLINK("Melting_Curves/meltCurve_Q8IWD4_CCDC117.pdf", "Melting_Curves/meltCurve_Q8IWD4_CCDC117.pdf")</f>
        <v>Melting_Curves/meltCurve_Q8IWD4_CCDC117.pdf</v>
      </c>
    </row>
    <row r="4429" spans="1:28" x14ac:dyDescent="0.25">
      <c r="A4429" t="s">
        <v>4433</v>
      </c>
      <c r="B4429">
        <v>0.99472303558308395</v>
      </c>
      <c r="C4429">
        <v>1.0551279039258701</v>
      </c>
      <c r="D4429">
        <v>1.1040509743939699</v>
      </c>
      <c r="E4429">
        <v>0.46344998957891997</v>
      </c>
      <c r="F4429">
        <v>0.25136932640552601</v>
      </c>
      <c r="G4429">
        <v>0.21534713671212599</v>
      </c>
      <c r="H4429">
        <v>0.166834074941172</v>
      </c>
      <c r="I4429">
        <v>0</v>
      </c>
      <c r="J4429">
        <v>7.03109829349257E-2</v>
      </c>
      <c r="K4429">
        <v>5.1611540951693603E-2</v>
      </c>
      <c r="L4429">
        <v>3457.4685949391101</v>
      </c>
      <c r="M4429">
        <v>74.641234601415704</v>
      </c>
      <c r="N4429">
        <v>46.500609688857097</v>
      </c>
      <c r="O4429">
        <v>46.287943233005002</v>
      </c>
      <c r="P4429">
        <v>-0.35268854785000903</v>
      </c>
      <c r="Q4429">
        <v>0.125136407790986</v>
      </c>
      <c r="R4429">
        <v>0.96401124557119</v>
      </c>
      <c r="S4429" t="s">
        <v>10997</v>
      </c>
      <c r="T4429" t="s">
        <v>13134</v>
      </c>
      <c r="U4429" t="s">
        <v>13134</v>
      </c>
      <c r="V4429" t="s">
        <v>13134</v>
      </c>
      <c r="W4429" t="s">
        <v>17502</v>
      </c>
      <c r="X4429">
        <v>2</v>
      </c>
      <c r="Y4429" t="s">
        <v>23877</v>
      </c>
      <c r="Z4429" t="s">
        <v>30397</v>
      </c>
      <c r="AA4429">
        <v>0.39776085378953052</v>
      </c>
      <c r="AB4429" t="str">
        <f>HYPERLINK("Melting_Curves/meltCurve_Q8IWE4_DCUN1D3.pdf", "Melting_Curves/meltCurve_Q8IWE4_DCUN1D3.pdf")</f>
        <v>Melting_Curves/meltCurve_Q8IWE4_DCUN1D3.pdf</v>
      </c>
    </row>
    <row r="4430" spans="1:28" x14ac:dyDescent="0.25">
      <c r="A4430" t="s">
        <v>4434</v>
      </c>
      <c r="B4430">
        <v>0.99472303558308395</v>
      </c>
      <c r="C4430">
        <v>1.03815072893754</v>
      </c>
      <c r="D4430">
        <v>0.93254186809948103</v>
      </c>
      <c r="E4430">
        <v>0.74724471290181804</v>
      </c>
      <c r="F4430">
        <v>0.34683058226361002</v>
      </c>
      <c r="G4430">
        <v>0.15248264328080999</v>
      </c>
      <c r="H4430">
        <v>0.11114554041253499</v>
      </c>
      <c r="I4430">
        <v>9.1774120063779704E-2</v>
      </c>
      <c r="J4430">
        <v>9.9495315530606795E-2</v>
      </c>
      <c r="K4430">
        <v>8.8700601984908395E-2</v>
      </c>
      <c r="L4430">
        <v>1196.62186065678</v>
      </c>
      <c r="M4430">
        <v>24.763244077275399</v>
      </c>
      <c r="N4430">
        <v>48.713266008481</v>
      </c>
      <c r="O4430">
        <v>48.010679464185301</v>
      </c>
      <c r="P4430">
        <v>-0.11733274577066299</v>
      </c>
      <c r="Q4430">
        <v>9.0079465157004296E-2</v>
      </c>
      <c r="R4430">
        <v>0.99822606791994095</v>
      </c>
      <c r="S4430" t="s">
        <v>10998</v>
      </c>
      <c r="T4430" t="s">
        <v>13134</v>
      </c>
      <c r="U4430" t="s">
        <v>13134</v>
      </c>
      <c r="V4430" t="s">
        <v>13134</v>
      </c>
      <c r="W4430" t="s">
        <v>17503</v>
      </c>
      <c r="X4430">
        <v>4</v>
      </c>
      <c r="Y4430" t="s">
        <v>23878</v>
      </c>
      <c r="Z4430" t="s">
        <v>30398</v>
      </c>
      <c r="AA4430">
        <v>0.44143581033280999</v>
      </c>
      <c r="AB4430" t="str">
        <f>HYPERLINK("Melting_Curves/meltCurve_Q8IWF6_DENND6A.pdf", "Melting_Curves/meltCurve_Q8IWF6_DENND6A.pdf")</f>
        <v>Melting_Curves/meltCurve_Q8IWF6_DENND6A.pdf</v>
      </c>
    </row>
    <row r="4431" spans="1:28" x14ac:dyDescent="0.25">
      <c r="A4431" t="s">
        <v>4435</v>
      </c>
      <c r="B4431">
        <v>0.99472303558308395</v>
      </c>
      <c r="C4431">
        <v>0.99581945864174504</v>
      </c>
      <c r="D4431">
        <v>0.85909514158689604</v>
      </c>
      <c r="E4431">
        <v>0.244606289555031</v>
      </c>
      <c r="F4431">
        <v>0.16097212105605499</v>
      </c>
      <c r="G4431">
        <v>7.1716049705909904E-2</v>
      </c>
      <c r="H4431">
        <v>4.6691671642154299E-2</v>
      </c>
      <c r="I4431">
        <v>3.5223561581338103E-2</v>
      </c>
      <c r="J4431">
        <v>4.5537113646954397E-2</v>
      </c>
      <c r="K4431">
        <v>4.1263551275443101E-2</v>
      </c>
      <c r="L4431">
        <v>1638.6803015451801</v>
      </c>
      <c r="M4431">
        <v>36.456755361759399</v>
      </c>
      <c r="N4431">
        <v>45.108570834426303</v>
      </c>
      <c r="O4431">
        <v>44.814004218539402</v>
      </c>
      <c r="P4431">
        <v>-0.19104707748581701</v>
      </c>
      <c r="Q4431">
        <v>6.0634031888303998E-2</v>
      </c>
      <c r="R4431">
        <v>0.99471105301051299</v>
      </c>
      <c r="S4431" t="s">
        <v>10999</v>
      </c>
      <c r="T4431" t="s">
        <v>13134</v>
      </c>
      <c r="U4431" t="s">
        <v>13134</v>
      </c>
      <c r="V4431" t="s">
        <v>13134</v>
      </c>
      <c r="W4431" t="s">
        <v>17504</v>
      </c>
      <c r="X4431">
        <v>34</v>
      </c>
      <c r="Y4431" t="s">
        <v>23879</v>
      </c>
      <c r="Z4431" t="s">
        <v>30399</v>
      </c>
      <c r="AA4431">
        <v>0.31305260026219373</v>
      </c>
      <c r="AB4431" t="str">
        <f>HYPERLINK("Melting_Curves/meltCurve_Q8IWJ2_GCC2.pdf", "Melting_Curves/meltCurve_Q8IWJ2_GCC2.pdf")</f>
        <v>Melting_Curves/meltCurve_Q8IWJ2_GCC2.pdf</v>
      </c>
    </row>
    <row r="4432" spans="1:28" x14ac:dyDescent="0.25">
      <c r="A4432" t="s">
        <v>4436</v>
      </c>
      <c r="B4432">
        <v>0.99472303558308395</v>
      </c>
      <c r="C4432">
        <v>1.04539858185469</v>
      </c>
      <c r="D4432">
        <v>1.0104050569517</v>
      </c>
      <c r="E4432">
        <v>0.91007268524134599</v>
      </c>
      <c r="F4432">
        <v>0.59435960928673104</v>
      </c>
      <c r="G4432">
        <v>0.43359350677413799</v>
      </c>
      <c r="H4432">
        <v>0.20773102294819701</v>
      </c>
      <c r="I4432">
        <v>0.317108428769034</v>
      </c>
      <c r="J4432">
        <v>0.25911292128289398</v>
      </c>
      <c r="K4432">
        <v>0.216923288884485</v>
      </c>
      <c r="L4432">
        <v>1176.7323393516499</v>
      </c>
      <c r="M4432">
        <v>23.4262588659264</v>
      </c>
      <c r="N4432">
        <v>51.719452497738999</v>
      </c>
      <c r="O4432">
        <v>49.869600274461</v>
      </c>
      <c r="P4432">
        <v>-8.8646115862515099E-2</v>
      </c>
      <c r="Q4432">
        <v>0.24517705473113099</v>
      </c>
      <c r="R4432">
        <v>0.98458237265120097</v>
      </c>
      <c r="S4432" t="s">
        <v>11000</v>
      </c>
      <c r="T4432" t="s">
        <v>13134</v>
      </c>
      <c r="U4432" t="s">
        <v>13134</v>
      </c>
      <c r="V4432" t="s">
        <v>13134</v>
      </c>
      <c r="W4432" t="s">
        <v>17505</v>
      </c>
      <c r="X4432">
        <v>2</v>
      </c>
      <c r="Y4432" t="s">
        <v>23880</v>
      </c>
      <c r="Z4432" t="s">
        <v>30400</v>
      </c>
      <c r="AA4432">
        <v>0.58556297306882554</v>
      </c>
      <c r="AB4432" t="str">
        <f>HYPERLINK("Melting_Curves/meltCurve_Q8IWL3_HSCB.pdf", "Melting_Curves/meltCurve_Q8IWL3_HSCB.pdf")</f>
        <v>Melting_Curves/meltCurve_Q8IWL3_HSCB.pdf</v>
      </c>
    </row>
    <row r="4433" spans="1:28" x14ac:dyDescent="0.25">
      <c r="A4433" t="s">
        <v>4437</v>
      </c>
      <c r="B4433">
        <v>0.99472303558308395</v>
      </c>
      <c r="C4433">
        <v>0.86426490274934997</v>
      </c>
      <c r="D4433">
        <v>0.576844921711411</v>
      </c>
      <c r="E4433">
        <v>0.23667692418388001</v>
      </c>
      <c r="F4433">
        <v>0.158560434608322</v>
      </c>
      <c r="G4433">
        <v>9.2279994518894307E-2</v>
      </c>
      <c r="H4433">
        <v>5.2422769936926503E-2</v>
      </c>
      <c r="I4433">
        <v>4.7733460123432901E-2</v>
      </c>
      <c r="J4433">
        <v>5.9311458377981803E-2</v>
      </c>
      <c r="K4433">
        <v>5.5080715652183997E-2</v>
      </c>
      <c r="L4433">
        <v>863.43170870440099</v>
      </c>
      <c r="M4433">
        <v>19.870846365524802</v>
      </c>
      <c r="N4433">
        <v>43.729442914935298</v>
      </c>
      <c r="O4433">
        <v>43.019288938872002</v>
      </c>
      <c r="P4433">
        <v>-0.108645358071833</v>
      </c>
      <c r="Q4433">
        <v>5.9186559701252903E-2</v>
      </c>
      <c r="R4433">
        <v>0.99752246513680598</v>
      </c>
      <c r="S4433" t="s">
        <v>11001</v>
      </c>
      <c r="T4433" t="s">
        <v>13134</v>
      </c>
      <c r="U4433" t="s">
        <v>13134</v>
      </c>
      <c r="V4433" t="s">
        <v>13134</v>
      </c>
      <c r="W4433" t="s">
        <v>17506</v>
      </c>
      <c r="X4433">
        <v>9</v>
      </c>
      <c r="Y4433" t="s">
        <v>23881</v>
      </c>
      <c r="Z4433" t="s">
        <v>30401</v>
      </c>
      <c r="AA4433">
        <v>0.27454899335968669</v>
      </c>
      <c r="AB4433" t="str">
        <f>HYPERLINK("Melting_Curves/meltCurve_Q8IWR0_ZC3H7A.pdf", "Melting_Curves/meltCurve_Q8IWR0_ZC3H7A.pdf")</f>
        <v>Melting_Curves/meltCurve_Q8IWR0_ZC3H7A.pdf</v>
      </c>
    </row>
    <row r="4434" spans="1:28" x14ac:dyDescent="0.25">
      <c r="A4434" t="s">
        <v>4438</v>
      </c>
      <c r="B4434">
        <v>0.99472303558308395</v>
      </c>
      <c r="C4434">
        <v>0.79582263211925397</v>
      </c>
      <c r="D4434">
        <v>0.94727627480982701</v>
      </c>
      <c r="E4434">
        <v>0.79846255747047901</v>
      </c>
      <c r="F4434">
        <v>0.33448991340107298</v>
      </c>
      <c r="G4434">
        <v>9.52585987983042E-2</v>
      </c>
      <c r="H4434">
        <v>3.9338322640842902E-2</v>
      </c>
      <c r="I4434">
        <v>2.9392804978763901E-2</v>
      </c>
      <c r="J4434">
        <v>3.3981432058533698E-2</v>
      </c>
      <c r="K4434">
        <v>2.9922189961082899E-2</v>
      </c>
      <c r="L4434">
        <v>1290.6229674554099</v>
      </c>
      <c r="M4434">
        <v>26.451568789031601</v>
      </c>
      <c r="N4434">
        <v>48.887033212081</v>
      </c>
      <c r="O4434">
        <v>48.5156178515902</v>
      </c>
      <c r="P4434">
        <v>-0.13288739054455601</v>
      </c>
      <c r="Q4434">
        <v>2.5079438994485701E-2</v>
      </c>
      <c r="R4434">
        <v>0.973977129406154</v>
      </c>
      <c r="S4434" t="s">
        <v>11002</v>
      </c>
      <c r="T4434" t="s">
        <v>13134</v>
      </c>
      <c r="U4434" t="s">
        <v>13134</v>
      </c>
      <c r="V4434" t="s">
        <v>13134</v>
      </c>
      <c r="W4434" t="s">
        <v>17507</v>
      </c>
      <c r="X4434">
        <v>16</v>
      </c>
      <c r="Y4434" t="s">
        <v>23882</v>
      </c>
      <c r="Z4434" t="s">
        <v>30402</v>
      </c>
      <c r="AA4434">
        <v>0.41580676749985263</v>
      </c>
      <c r="AB4434" t="str">
        <f>HYPERLINK("Melting_Curves/meltCurve_Q8IWS0_PHF6.pdf", "Melting_Curves/meltCurve_Q8IWS0_PHF6.pdf")</f>
        <v>Melting_Curves/meltCurve_Q8IWS0_PHF6.pdf</v>
      </c>
    </row>
    <row r="4435" spans="1:28" x14ac:dyDescent="0.25">
      <c r="A4435" t="s">
        <v>4439</v>
      </c>
      <c r="B4435">
        <v>0.99472303558308395</v>
      </c>
      <c r="C4435">
        <v>1.07202898412187</v>
      </c>
      <c r="D4435">
        <v>0.734407391592099</v>
      </c>
      <c r="E4435">
        <v>0.664646626704963</v>
      </c>
      <c r="F4435">
        <v>0.59331215564685102</v>
      </c>
      <c r="G4435">
        <v>0.243954259009801</v>
      </c>
      <c r="H4435">
        <v>0.13278667740871</v>
      </c>
      <c r="I4435">
        <v>7.1193055071657602E-2</v>
      </c>
      <c r="J4435">
        <v>6.2323126568397398E-2</v>
      </c>
      <c r="K4435">
        <v>6.7279436822400202E-2</v>
      </c>
      <c r="L4435">
        <v>594.80948502309798</v>
      </c>
      <c r="M4435">
        <v>11.9621297809301</v>
      </c>
      <c r="N4435">
        <v>49.724395179922702</v>
      </c>
      <c r="O4435">
        <v>48.395851717885499</v>
      </c>
      <c r="P4435">
        <v>-6.1808226261095098E-2</v>
      </c>
      <c r="Q4435">
        <v>0</v>
      </c>
      <c r="R4435">
        <v>0.96291473899114699</v>
      </c>
      <c r="S4435" t="s">
        <v>11003</v>
      </c>
      <c r="T4435" t="s">
        <v>13134</v>
      </c>
      <c r="U4435" t="s">
        <v>13134</v>
      </c>
      <c r="V4435" t="s">
        <v>13134</v>
      </c>
      <c r="W4435" t="s">
        <v>17508</v>
      </c>
      <c r="X4435">
        <v>7</v>
      </c>
      <c r="Y4435" t="s">
        <v>23883</v>
      </c>
      <c r="Z4435" t="s">
        <v>30403</v>
      </c>
      <c r="AA4435">
        <v>0.45274303554345952</v>
      </c>
      <c r="AB4435" t="str">
        <f>HYPERLINK("Melting_Curves/meltCurve_Q8IWT6_LRRC8A.pdf", "Melting_Curves/meltCurve_Q8IWT6_LRRC8A.pdf")</f>
        <v>Melting_Curves/meltCurve_Q8IWT6_LRRC8A.pdf</v>
      </c>
    </row>
    <row r="4436" spans="1:28" x14ac:dyDescent="0.25">
      <c r="A4436" t="s">
        <v>4440</v>
      </c>
      <c r="B4436">
        <v>0.99472303558308395</v>
      </c>
      <c r="C4436">
        <v>0.94823819545668697</v>
      </c>
      <c r="D4436">
        <v>0.81290580995706496</v>
      </c>
      <c r="E4436">
        <v>0.67443561923669204</v>
      </c>
      <c r="F4436">
        <v>0.48389897370830898</v>
      </c>
      <c r="G4436">
        <v>0.17813997361970901</v>
      </c>
      <c r="H4436">
        <v>7.8755391856887097E-2</v>
      </c>
      <c r="I4436">
        <v>5.6185517256826703E-2</v>
      </c>
      <c r="J4436">
        <v>7.3009704960111596E-2</v>
      </c>
      <c r="K4436">
        <v>7.4403727579061898E-2</v>
      </c>
      <c r="L4436">
        <v>673.53723262252004</v>
      </c>
      <c r="M4436">
        <v>13.797043950754601</v>
      </c>
      <c r="N4436">
        <v>48.918590667528598</v>
      </c>
      <c r="O4436">
        <v>47.826235128189403</v>
      </c>
      <c r="P4436">
        <v>-7.11170531993644E-2</v>
      </c>
      <c r="Q4436">
        <v>1.4054140822411E-2</v>
      </c>
      <c r="R4436">
        <v>0.98904909390516205</v>
      </c>
      <c r="S4436" t="s">
        <v>11004</v>
      </c>
      <c r="T4436" t="s">
        <v>13134</v>
      </c>
      <c r="U4436" t="s">
        <v>13134</v>
      </c>
      <c r="V4436" t="s">
        <v>13134</v>
      </c>
      <c r="W4436" t="s">
        <v>17509</v>
      </c>
      <c r="X4436">
        <v>6</v>
      </c>
      <c r="Y4436" t="s">
        <v>23884</v>
      </c>
      <c r="Z4436" t="s">
        <v>30404</v>
      </c>
      <c r="AA4436">
        <v>0.42668433318800231</v>
      </c>
      <c r="AB4436" t="str">
        <f>HYPERLINK("Melting_Curves/meltCurve_Q8IWU2_LMTK2.pdf", "Melting_Curves/meltCurve_Q8IWU2_LMTK2.pdf")</f>
        <v>Melting_Curves/meltCurve_Q8IWU2_LMTK2.pdf</v>
      </c>
    </row>
    <row r="4437" spans="1:28" x14ac:dyDescent="0.25">
      <c r="A4437" t="s">
        <v>4441</v>
      </c>
      <c r="B4437">
        <v>0.99472303558308395</v>
      </c>
      <c r="C4437">
        <v>0.95229904072710203</v>
      </c>
      <c r="D4437">
        <v>0.74792402744890996</v>
      </c>
      <c r="E4437">
        <v>0.33935476734251602</v>
      </c>
      <c r="F4437">
        <v>0.17531434560558901</v>
      </c>
      <c r="G4437">
        <v>8.2199247686465096E-2</v>
      </c>
      <c r="H4437">
        <v>5.7921834448025199E-2</v>
      </c>
      <c r="I4437">
        <v>3.9551903668048199E-2</v>
      </c>
      <c r="J4437">
        <v>4.74092622605276E-2</v>
      </c>
      <c r="K4437">
        <v>3.2798349610134801E-2</v>
      </c>
      <c r="L4437">
        <v>945.81834611283102</v>
      </c>
      <c r="M4437">
        <v>21.000496882240299</v>
      </c>
      <c r="N4437">
        <v>45.243757907829</v>
      </c>
      <c r="O4437">
        <v>44.635484662012701</v>
      </c>
      <c r="P4437">
        <v>-0.11226543649033401</v>
      </c>
      <c r="Q4437">
        <v>4.5567780449077999E-2</v>
      </c>
      <c r="R4437">
        <v>0.99859808332772904</v>
      </c>
      <c r="S4437" t="s">
        <v>11005</v>
      </c>
      <c r="T4437" t="s">
        <v>13134</v>
      </c>
      <c r="U4437" t="s">
        <v>13134</v>
      </c>
      <c r="V4437" t="s">
        <v>13134</v>
      </c>
      <c r="W4437" t="s">
        <v>17510</v>
      </c>
      <c r="X4437">
        <v>11</v>
      </c>
      <c r="Y4437" t="s">
        <v>23885</v>
      </c>
      <c r="Z4437" t="s">
        <v>30405</v>
      </c>
      <c r="AA4437">
        <v>0.31260128381932228</v>
      </c>
      <c r="AB4437" t="str">
        <f>HYPERLINK("Melting_Curves/meltCurve_Q8IWV7_UBR1.pdf", "Melting_Curves/meltCurve_Q8IWV7_UBR1.pdf")</f>
        <v>Melting_Curves/meltCurve_Q8IWV7_UBR1.pdf</v>
      </c>
    </row>
    <row r="4438" spans="1:28" x14ac:dyDescent="0.25">
      <c r="A4438" t="s">
        <v>4442</v>
      </c>
      <c r="B4438">
        <v>0.99472303558308395</v>
      </c>
      <c r="C4438">
        <v>0.89567101868745203</v>
      </c>
      <c r="D4438">
        <v>0.77330142837591298</v>
      </c>
      <c r="E4438">
        <v>0.49456093640113002</v>
      </c>
      <c r="F4438">
        <v>0.19756827151757</v>
      </c>
      <c r="G4438">
        <v>0.111480827829011</v>
      </c>
      <c r="H4438">
        <v>7.4490026531579906E-2</v>
      </c>
      <c r="I4438">
        <v>5.0331874318344801E-2</v>
      </c>
      <c r="J4438">
        <v>6.6821154443604105E-2</v>
      </c>
      <c r="K4438">
        <v>5.1015794135238303E-2</v>
      </c>
      <c r="L4438">
        <v>779.41072245572002</v>
      </c>
      <c r="M4438">
        <v>16.957180174470601</v>
      </c>
      <c r="N4438">
        <v>46.203928282606697</v>
      </c>
      <c r="O4438">
        <v>45.338513983494401</v>
      </c>
      <c r="P4438">
        <v>-8.9559646072982002E-2</v>
      </c>
      <c r="Q4438">
        <v>4.2235165147714998E-2</v>
      </c>
      <c r="R4438">
        <v>0.99735290971074697</v>
      </c>
      <c r="S4438" t="s">
        <v>11006</v>
      </c>
      <c r="T4438" t="s">
        <v>13134</v>
      </c>
      <c r="U4438" t="s">
        <v>13134</v>
      </c>
      <c r="V4438" t="s">
        <v>13134</v>
      </c>
      <c r="W4438" t="s">
        <v>17511</v>
      </c>
      <c r="X4438">
        <v>19</v>
      </c>
      <c r="Y4438" t="s">
        <v>23886</v>
      </c>
      <c r="Z4438" t="s">
        <v>30406</v>
      </c>
      <c r="AA4438">
        <v>0.34583170247185818</v>
      </c>
      <c r="AB4438" t="str">
        <f>HYPERLINK("Melting_Curves/meltCurve_Q8IWV8_4_UBR2.pdf", "Melting_Curves/meltCurve_Q8IWV8_4_UBR2.pdf")</f>
        <v>Melting_Curves/meltCurve_Q8IWV8_4_UBR2.pdf</v>
      </c>
    </row>
    <row r="4439" spans="1:28" x14ac:dyDescent="0.25">
      <c r="A4439" t="s">
        <v>4443</v>
      </c>
      <c r="B4439">
        <v>0.99472303558308395</v>
      </c>
      <c r="C4439">
        <v>1.15632850908249</v>
      </c>
      <c r="D4439">
        <v>0.88721399951693303</v>
      </c>
      <c r="E4439">
        <v>0.89861226668203098</v>
      </c>
      <c r="F4439">
        <v>1.23140868087894</v>
      </c>
      <c r="G4439">
        <v>0.696792272442189</v>
      </c>
      <c r="H4439">
        <v>1.3954791113390399</v>
      </c>
      <c r="I4439">
        <v>0.66303960760134795</v>
      </c>
      <c r="J4439">
        <v>1.49650848802042</v>
      </c>
      <c r="K4439">
        <v>1.1046723289295299</v>
      </c>
      <c r="L4439">
        <v>3426.6763206375499</v>
      </c>
      <c r="M4439">
        <v>54.517704924124999</v>
      </c>
      <c r="O4439">
        <v>62.769975683591099</v>
      </c>
      <c r="P4439">
        <v>5.5007017641614003E-2</v>
      </c>
      <c r="Q4439">
        <v>1.25333326448323</v>
      </c>
      <c r="R4439">
        <v>0.125975619219969</v>
      </c>
      <c r="S4439" t="s">
        <v>11007</v>
      </c>
      <c r="T4439" t="s">
        <v>13134</v>
      </c>
      <c r="U4439" t="s">
        <v>13134</v>
      </c>
      <c r="V4439" t="s">
        <v>13134</v>
      </c>
      <c r="W4439" t="s">
        <v>17512</v>
      </c>
      <c r="X4439">
        <v>1</v>
      </c>
      <c r="Y4439" t="s">
        <v>23887</v>
      </c>
      <c r="Z4439" t="s">
        <v>30407</v>
      </c>
      <c r="AA4439">
        <v>1.0348056935086101</v>
      </c>
      <c r="AB4439" t="str">
        <f>HYPERLINK("Melting_Curves/meltCurve_Q8IWY8_3_ZSCAN29.pdf", "Melting_Curves/meltCurve_Q8IWY8_3_ZSCAN29.pdf")</f>
        <v>Melting_Curves/meltCurve_Q8IWY8_3_ZSCAN29.pdf</v>
      </c>
    </row>
    <row r="4440" spans="1:28" x14ac:dyDescent="0.25">
      <c r="A4440" t="s">
        <v>4444</v>
      </c>
      <c r="B4440">
        <v>0.99472303558308395</v>
      </c>
      <c r="C4440">
        <v>0.96552678813489601</v>
      </c>
      <c r="D4440">
        <v>0.74493680310259303</v>
      </c>
      <c r="E4440">
        <v>0.52175783978583001</v>
      </c>
      <c r="F4440">
        <v>0.23971055570823899</v>
      </c>
      <c r="G4440">
        <v>9.7887893648315003E-2</v>
      </c>
      <c r="H4440">
        <v>5.84189336417359E-2</v>
      </c>
      <c r="I4440">
        <v>3.8844225076345301E-2</v>
      </c>
      <c r="J4440">
        <v>5.6054759595326499E-2</v>
      </c>
      <c r="K4440">
        <v>4.4639276494969599E-2</v>
      </c>
      <c r="L4440">
        <v>763.85553266580803</v>
      </c>
      <c r="M4440">
        <v>16.4874847558781</v>
      </c>
      <c r="N4440">
        <v>46.495762575439997</v>
      </c>
      <c r="O4440">
        <v>45.663952974857303</v>
      </c>
      <c r="P4440">
        <v>-8.7686188772257201E-2</v>
      </c>
      <c r="Q4440">
        <v>2.8640461581256701E-2</v>
      </c>
      <c r="R4440">
        <v>0.99666075114889796</v>
      </c>
      <c r="S4440" t="s">
        <v>11008</v>
      </c>
      <c r="T4440" t="s">
        <v>13134</v>
      </c>
      <c r="U4440" t="s">
        <v>13134</v>
      </c>
      <c r="V4440" t="s">
        <v>13134</v>
      </c>
      <c r="W4440" t="s">
        <v>17513</v>
      </c>
      <c r="X4440">
        <v>13</v>
      </c>
      <c r="Y4440" t="s">
        <v>23888</v>
      </c>
      <c r="Z4440" t="s">
        <v>30408</v>
      </c>
      <c r="AA4440">
        <v>0.34928648513203742</v>
      </c>
      <c r="AB4440" t="str">
        <f>HYPERLINK("Melting_Curves/meltCurve_Q8IWY9_1_CDAN1.pdf", "Melting_Curves/meltCurve_Q8IWY9_1_CDAN1.pdf")</f>
        <v>Melting_Curves/meltCurve_Q8IWY9_1_CDAN1.pdf</v>
      </c>
    </row>
    <row r="4441" spans="1:28" x14ac:dyDescent="0.25">
      <c r="A4441" t="s">
        <v>4445</v>
      </c>
      <c r="B4441">
        <v>0.99472303558308395</v>
      </c>
      <c r="C4441">
        <v>0.93033439949751495</v>
      </c>
      <c r="D4441">
        <v>0.69004254952200295</v>
      </c>
      <c r="E4441">
        <v>0.22446371264925299</v>
      </c>
      <c r="F4441">
        <v>0.102438405111972</v>
      </c>
      <c r="G4441">
        <v>7.0908639570088403E-2</v>
      </c>
      <c r="H4441">
        <v>5.5070408410307102E-2</v>
      </c>
      <c r="I4441">
        <v>3.5320337980617497E-2</v>
      </c>
      <c r="J4441">
        <v>4.8551265663524697E-2</v>
      </c>
      <c r="K4441">
        <v>4.1497219746116303E-2</v>
      </c>
      <c r="L4441">
        <v>1156.0939921699401</v>
      </c>
      <c r="M4441">
        <v>26.205594156371301</v>
      </c>
      <c r="N4441">
        <v>44.291290078218502</v>
      </c>
      <c r="O4441">
        <v>43.861808945164903</v>
      </c>
      <c r="P4441">
        <v>-0.142020884522878</v>
      </c>
      <c r="Q4441">
        <v>4.9176539089492502E-2</v>
      </c>
      <c r="R4441">
        <v>0.99917134617883996</v>
      </c>
      <c r="S4441" t="s">
        <v>11009</v>
      </c>
      <c r="T4441" t="s">
        <v>13134</v>
      </c>
      <c r="U4441" t="s">
        <v>13134</v>
      </c>
      <c r="V4441" t="s">
        <v>13134</v>
      </c>
      <c r="W4441" t="s">
        <v>17514</v>
      </c>
      <c r="X4441">
        <v>29</v>
      </c>
      <c r="Y4441" t="s">
        <v>23889</v>
      </c>
      <c r="Z4441" t="s">
        <v>30409</v>
      </c>
      <c r="AA4441">
        <v>0.28177108793317879</v>
      </c>
      <c r="AB4441" t="str">
        <f>HYPERLINK("Melting_Curves/meltCurve_Q8IWZ3_ANKHD1.pdf", "Melting_Curves/meltCurve_Q8IWZ3_ANKHD1.pdf")</f>
        <v>Melting_Curves/meltCurve_Q8IWZ3_ANKHD1.pdf</v>
      </c>
    </row>
    <row r="4442" spans="1:28" x14ac:dyDescent="0.25">
      <c r="A4442" t="s">
        <v>4446</v>
      </c>
      <c r="B4442">
        <v>0.99472303558308395</v>
      </c>
      <c r="C4442">
        <v>0.97699865383528794</v>
      </c>
      <c r="D4442">
        <v>0.86751896322570998</v>
      </c>
      <c r="E4442">
        <v>0.59058728486472201</v>
      </c>
      <c r="F4442">
        <v>0.28308912929236502</v>
      </c>
      <c r="G4442">
        <v>0.14370982311634301</v>
      </c>
      <c r="H4442">
        <v>7.7147617858476805E-2</v>
      </c>
      <c r="I4442">
        <v>6.0883678988064502E-2</v>
      </c>
      <c r="J4442">
        <v>6.85614036744258E-2</v>
      </c>
      <c r="K4442">
        <v>6.0212551427838698E-2</v>
      </c>
      <c r="L4442">
        <v>897.37435104293297</v>
      </c>
      <c r="M4442">
        <v>19.002446044099301</v>
      </c>
      <c r="N4442">
        <v>47.510885926442903</v>
      </c>
      <c r="O4442">
        <v>46.710481895285</v>
      </c>
      <c r="P4442">
        <v>-9.6197317974999696E-2</v>
      </c>
      <c r="Q4442">
        <v>5.41756422510263E-2</v>
      </c>
      <c r="R4442">
        <v>0.99980416962170604</v>
      </c>
      <c r="S4442" t="s">
        <v>11010</v>
      </c>
      <c r="T4442" t="s">
        <v>13134</v>
      </c>
      <c r="U4442" t="s">
        <v>13134</v>
      </c>
      <c r="V4442" t="s">
        <v>13134</v>
      </c>
      <c r="W4442" t="s">
        <v>17515</v>
      </c>
      <c r="X4442">
        <v>14</v>
      </c>
      <c r="Y4442" t="s">
        <v>23890</v>
      </c>
      <c r="Z4442" t="s">
        <v>30410</v>
      </c>
      <c r="AA4442">
        <v>0.39019615774315791</v>
      </c>
      <c r="AB4442" t="str">
        <f>HYPERLINK("Melting_Curves/meltCurve_Q8IWZ8_SUGP1.pdf", "Melting_Curves/meltCurve_Q8IWZ8_SUGP1.pdf")</f>
        <v>Melting_Curves/meltCurve_Q8IWZ8_SUGP1.pdf</v>
      </c>
    </row>
    <row r="4443" spans="1:28" x14ac:dyDescent="0.25">
      <c r="A4443" t="s">
        <v>4447</v>
      </c>
      <c r="B4443">
        <v>0.99472303558308395</v>
      </c>
      <c r="C4443">
        <v>1.06707609143321</v>
      </c>
      <c r="D4443">
        <v>0.78716508667231699</v>
      </c>
      <c r="E4443">
        <v>0.62344808167922094</v>
      </c>
      <c r="F4443">
        <v>0.45356670022339901</v>
      </c>
      <c r="G4443">
        <v>0.27539883105726498</v>
      </c>
      <c r="H4443">
        <v>0.21310949972885501</v>
      </c>
      <c r="I4443">
        <v>0.16384166869261799</v>
      </c>
      <c r="J4443">
        <v>0.213156958974039</v>
      </c>
      <c r="K4443">
        <v>0.16783780152120401</v>
      </c>
      <c r="L4443">
        <v>711.11857199906206</v>
      </c>
      <c r="M4443">
        <v>15.006278258417799</v>
      </c>
      <c r="N4443">
        <v>48.678097945000097</v>
      </c>
      <c r="O4443">
        <v>46.570420801774297</v>
      </c>
      <c r="P4443">
        <v>-6.7347433125647296E-2</v>
      </c>
      <c r="Q4443">
        <v>0.16406135806187999</v>
      </c>
      <c r="R4443">
        <v>0.98114207254936203</v>
      </c>
      <c r="S4443" t="s">
        <v>11011</v>
      </c>
      <c r="T4443" t="s">
        <v>13134</v>
      </c>
      <c r="U4443" t="s">
        <v>13134</v>
      </c>
      <c r="V4443" t="s">
        <v>13134</v>
      </c>
      <c r="W4443" t="s">
        <v>17516</v>
      </c>
      <c r="X4443">
        <v>4</v>
      </c>
      <c r="Y4443" t="s">
        <v>23891</v>
      </c>
      <c r="Z4443" t="s">
        <v>30411</v>
      </c>
      <c r="AA4443">
        <v>0.47216621125507757</v>
      </c>
      <c r="AB4443" t="str">
        <f>HYPERLINK("Melting_Curves/meltCurve_Q8IX07_ZFPM1.pdf", "Melting_Curves/meltCurve_Q8IX07_ZFPM1.pdf")</f>
        <v>Melting_Curves/meltCurve_Q8IX07_ZFPM1.pdf</v>
      </c>
    </row>
    <row r="4444" spans="1:28" x14ac:dyDescent="0.25">
      <c r="A4444" t="s">
        <v>4448</v>
      </c>
      <c r="B4444">
        <v>0.99472303558308395</v>
      </c>
      <c r="C4444">
        <v>0.89678041385889695</v>
      </c>
      <c r="D4444">
        <v>0.81746272219315796</v>
      </c>
      <c r="E4444">
        <v>0.59468541951506104</v>
      </c>
      <c r="F4444">
        <v>0.15663442664868399</v>
      </c>
      <c r="G4444">
        <v>7.6135553405653006E-2</v>
      </c>
      <c r="H4444">
        <v>4.9436021570729502E-2</v>
      </c>
      <c r="I4444">
        <v>3.5136622980290903E-2</v>
      </c>
      <c r="J4444">
        <v>4.70942465775206E-2</v>
      </c>
      <c r="K4444">
        <v>3.9164403369034602E-2</v>
      </c>
      <c r="L4444">
        <v>940.93597692904302</v>
      </c>
      <c r="M4444">
        <v>20.138306183430899</v>
      </c>
      <c r="N4444">
        <v>46.840287564171497</v>
      </c>
      <c r="O4444">
        <v>46.2702773616139</v>
      </c>
      <c r="P4444">
        <v>-0.106151341319633</v>
      </c>
      <c r="Q4444">
        <v>2.4446828007417199E-2</v>
      </c>
      <c r="R4444">
        <v>0.98916746986371096</v>
      </c>
      <c r="S4444" t="s">
        <v>11012</v>
      </c>
      <c r="T4444" t="s">
        <v>13134</v>
      </c>
      <c r="U4444" t="s">
        <v>13134</v>
      </c>
      <c r="V4444" t="s">
        <v>13134</v>
      </c>
      <c r="W4444" t="s">
        <v>17517</v>
      </c>
      <c r="X4444">
        <v>25</v>
      </c>
      <c r="Y4444" t="s">
        <v>23892</v>
      </c>
      <c r="Z4444" t="s">
        <v>30412</v>
      </c>
      <c r="AA4444">
        <v>0.35323529943479898</v>
      </c>
      <c r="AB4444" t="str">
        <f>HYPERLINK("Melting_Curves/meltCurve_Q8IX12_2_CCAR1.pdf", "Melting_Curves/meltCurve_Q8IX12_2_CCAR1.pdf")</f>
        <v>Melting_Curves/meltCurve_Q8IX12_2_CCAR1.pdf</v>
      </c>
    </row>
    <row r="4445" spans="1:28" x14ac:dyDescent="0.25">
      <c r="A4445" t="s">
        <v>4449</v>
      </c>
      <c r="B4445">
        <v>0.99472303558308395</v>
      </c>
      <c r="C4445">
        <v>0.95492620653136195</v>
      </c>
      <c r="D4445">
        <v>0.85362965917551004</v>
      </c>
      <c r="E4445">
        <v>0.63320848162700205</v>
      </c>
      <c r="F4445">
        <v>0.41869241234640397</v>
      </c>
      <c r="G4445">
        <v>0.23232085402156899</v>
      </c>
      <c r="H4445">
        <v>0.21120429968809801</v>
      </c>
      <c r="I4445">
        <v>0.166259706233196</v>
      </c>
      <c r="J4445">
        <v>8.6135243589518198E-2</v>
      </c>
      <c r="K4445">
        <v>0.16076158423210299</v>
      </c>
      <c r="L4445">
        <v>706.07560534258005</v>
      </c>
      <c r="M4445">
        <v>14.7951235294817</v>
      </c>
      <c r="N4445">
        <v>48.614654580067203</v>
      </c>
      <c r="O4445">
        <v>46.877119278346498</v>
      </c>
      <c r="P4445">
        <v>-6.95400043031002E-2</v>
      </c>
      <c r="Q4445">
        <v>0.118767061455248</v>
      </c>
      <c r="R4445">
        <v>0.99532900095842403</v>
      </c>
      <c r="S4445" t="s">
        <v>11013</v>
      </c>
      <c r="T4445" t="s">
        <v>13134</v>
      </c>
      <c r="U4445" t="s">
        <v>13134</v>
      </c>
      <c r="V4445" t="s">
        <v>13134</v>
      </c>
      <c r="W4445" t="s">
        <v>17518</v>
      </c>
      <c r="X4445">
        <v>3</v>
      </c>
      <c r="Y4445" t="s">
        <v>23893</v>
      </c>
      <c r="Z4445" t="s">
        <v>30413</v>
      </c>
      <c r="AA4445">
        <v>0.45375565603870432</v>
      </c>
      <c r="AB4445" t="str">
        <f>HYPERLINK("Melting_Curves/meltCurve_Q8IX18_3_DHX40.pdf", "Melting_Curves/meltCurve_Q8IX18_3_DHX40.pdf")</f>
        <v>Melting_Curves/meltCurve_Q8IX18_3_DHX40.pdf</v>
      </c>
    </row>
    <row r="4446" spans="1:28" x14ac:dyDescent="0.25">
      <c r="A4446" t="s">
        <v>4450</v>
      </c>
      <c r="B4446">
        <v>0.99472303558308395</v>
      </c>
      <c r="C4446">
        <v>0.82951149443630701</v>
      </c>
      <c r="D4446">
        <v>0.465294942311336</v>
      </c>
      <c r="E4446">
        <v>0.202508888840674</v>
      </c>
      <c r="F4446">
        <v>0.11616092790208001</v>
      </c>
      <c r="G4446">
        <v>7.88804659809825E-2</v>
      </c>
      <c r="H4446">
        <v>7.6545929571300395E-2</v>
      </c>
      <c r="I4446">
        <v>6.1211349074296199E-2</v>
      </c>
      <c r="J4446">
        <v>7.4719460090786005E-2</v>
      </c>
      <c r="K4446">
        <v>7.3034815952664894E-2</v>
      </c>
      <c r="L4446">
        <v>955.15252838129595</v>
      </c>
      <c r="M4446">
        <v>22.4685109174474</v>
      </c>
      <c r="N4446">
        <v>42.817455848916701</v>
      </c>
      <c r="O4446">
        <v>42.178269580967303</v>
      </c>
      <c r="P4446">
        <v>-0.123278452057779</v>
      </c>
      <c r="Q4446">
        <v>7.4337399046337502E-2</v>
      </c>
      <c r="R4446">
        <v>0.99864651207493904</v>
      </c>
      <c r="S4446" t="s">
        <v>11014</v>
      </c>
      <c r="T4446" t="s">
        <v>13134</v>
      </c>
      <c r="U4446" t="s">
        <v>13134</v>
      </c>
      <c r="V4446" t="s">
        <v>13134</v>
      </c>
      <c r="W4446" t="s">
        <v>17519</v>
      </c>
      <c r="X4446">
        <v>10</v>
      </c>
      <c r="Y4446" t="s">
        <v>23894</v>
      </c>
      <c r="Z4446" t="s">
        <v>30414</v>
      </c>
      <c r="AA4446">
        <v>0.25454763421087601</v>
      </c>
      <c r="AB4446" t="str">
        <f>HYPERLINK("Melting_Curves/meltCurve_Q8IX90_SKA3.pdf", "Melting_Curves/meltCurve_Q8IX90_SKA3.pdf")</f>
        <v>Melting_Curves/meltCurve_Q8IX90_SKA3.pdf</v>
      </c>
    </row>
    <row r="4447" spans="1:28" x14ac:dyDescent="0.25">
      <c r="A4447" t="s">
        <v>4451</v>
      </c>
      <c r="B4447">
        <v>0.99472303558308395</v>
      </c>
      <c r="C4447">
        <v>0.91211790724587105</v>
      </c>
      <c r="D4447">
        <v>0.74831775637500997</v>
      </c>
      <c r="E4447">
        <v>0.65597635601292903</v>
      </c>
      <c r="F4447">
        <v>0.47553696701975501</v>
      </c>
      <c r="G4447">
        <v>0.187810071439837</v>
      </c>
      <c r="H4447">
        <v>8.0847406695150295E-2</v>
      </c>
      <c r="I4447">
        <v>4.3083294529491702E-2</v>
      </c>
      <c r="J4447">
        <v>5.2385148612888503E-2</v>
      </c>
      <c r="K4447">
        <v>4.49616154542231E-2</v>
      </c>
      <c r="L4447">
        <v>593.22485260246799</v>
      </c>
      <c r="M4447">
        <v>12.2345207969118</v>
      </c>
      <c r="N4447">
        <v>48.487788197273503</v>
      </c>
      <c r="O4447">
        <v>47.246949294852001</v>
      </c>
      <c r="P4447">
        <v>-6.4751571962888804E-2</v>
      </c>
      <c r="Q4447">
        <v>0</v>
      </c>
      <c r="R4447">
        <v>0.98523498462409498</v>
      </c>
      <c r="S4447" t="s">
        <v>11015</v>
      </c>
      <c r="T4447" t="s">
        <v>13134</v>
      </c>
      <c r="U4447" t="s">
        <v>13134</v>
      </c>
      <c r="V4447" t="s">
        <v>13134</v>
      </c>
      <c r="W4447" t="s">
        <v>17520</v>
      </c>
      <c r="X4447">
        <v>14</v>
      </c>
      <c r="Y4447" t="s">
        <v>23895</v>
      </c>
      <c r="Z4447" t="s">
        <v>30415</v>
      </c>
      <c r="AA4447">
        <v>0.41264950422915098</v>
      </c>
      <c r="AB4447" t="str">
        <f>HYPERLINK("Melting_Curves/meltCurve_Q8IXB1_DNAJC10.pdf", "Melting_Curves/meltCurve_Q8IXB1_DNAJC10.pdf")</f>
        <v>Melting_Curves/meltCurve_Q8IXB1_DNAJC10.pdf</v>
      </c>
    </row>
    <row r="4448" spans="1:28" x14ac:dyDescent="0.25">
      <c r="A4448" t="s">
        <v>4452</v>
      </c>
      <c r="B4448">
        <v>0.99472303558308395</v>
      </c>
      <c r="C4448">
        <v>1.02704695036965</v>
      </c>
      <c r="D4448">
        <v>0.85939642660858095</v>
      </c>
      <c r="E4448">
        <v>0.72874277847162505</v>
      </c>
      <c r="F4448">
        <v>0.32954229857022299</v>
      </c>
      <c r="G4448">
        <v>0.11725719350722701</v>
      </c>
      <c r="H4448">
        <v>8.3188261650801495E-2</v>
      </c>
      <c r="I4448">
        <v>5.8339623943739302E-2</v>
      </c>
      <c r="J4448">
        <v>6.9590297965525696E-2</v>
      </c>
      <c r="K4448">
        <v>5.2845846021320801E-2</v>
      </c>
      <c r="L4448">
        <v>1033.2968365593499</v>
      </c>
      <c r="M4448">
        <v>21.427608309006601</v>
      </c>
      <c r="N4448">
        <v>48.456359100969998</v>
      </c>
      <c r="O4448">
        <v>47.808591900989398</v>
      </c>
      <c r="P4448">
        <v>-0.106551800908488</v>
      </c>
      <c r="Q4448">
        <v>4.9084063528730501E-2</v>
      </c>
      <c r="R4448">
        <v>0.994210631881003</v>
      </c>
      <c r="S4448" t="s">
        <v>11016</v>
      </c>
      <c r="T4448" t="s">
        <v>13134</v>
      </c>
      <c r="U4448" t="s">
        <v>13134</v>
      </c>
      <c r="V4448" t="s">
        <v>13134</v>
      </c>
      <c r="W4448" t="s">
        <v>17521</v>
      </c>
      <c r="X4448">
        <v>9</v>
      </c>
      <c r="Y4448" t="s">
        <v>23896</v>
      </c>
      <c r="Z4448" t="s">
        <v>30416</v>
      </c>
      <c r="AA4448">
        <v>0.41578344109096799</v>
      </c>
      <c r="AB4448" t="str">
        <f>HYPERLINK("Melting_Curves/meltCurve_Q8IXI1_RHOT2.pdf", "Melting_Curves/meltCurve_Q8IXI1_RHOT2.pdf")</f>
        <v>Melting_Curves/meltCurve_Q8IXI1_RHOT2.pdf</v>
      </c>
    </row>
    <row r="4449" spans="1:28" x14ac:dyDescent="0.25">
      <c r="A4449" t="s">
        <v>4453</v>
      </c>
      <c r="B4449">
        <v>0.99472303558308395</v>
      </c>
      <c r="C4449">
        <v>0.96154558572994298</v>
      </c>
      <c r="D4449">
        <v>0.90912679468895596</v>
      </c>
      <c r="E4449">
        <v>0.86092963809810397</v>
      </c>
      <c r="F4449">
        <v>0.63291077998120804</v>
      </c>
      <c r="G4449">
        <v>0.308486960381532</v>
      </c>
      <c r="H4449">
        <v>9.7439380415871205E-2</v>
      </c>
      <c r="I4449">
        <v>4.5537104445694303E-2</v>
      </c>
      <c r="J4449">
        <v>7.6943300681600005E-2</v>
      </c>
      <c r="K4449">
        <v>3.6814994058757697E-2</v>
      </c>
      <c r="L4449">
        <v>965.25506397097604</v>
      </c>
      <c r="M4449">
        <v>18.824777945680701</v>
      </c>
      <c r="N4449">
        <v>51.378539565186401</v>
      </c>
      <c r="O4449">
        <v>50.707654089329701</v>
      </c>
      <c r="P4449">
        <v>-9.1099323017154205E-2</v>
      </c>
      <c r="Q4449">
        <v>1.8476200916524799E-2</v>
      </c>
      <c r="R4449">
        <v>0.99405199954225298</v>
      </c>
      <c r="S4449" t="s">
        <v>11017</v>
      </c>
      <c r="T4449" t="s">
        <v>13134</v>
      </c>
      <c r="U4449" t="s">
        <v>13134</v>
      </c>
      <c r="V4449" t="s">
        <v>13134</v>
      </c>
      <c r="W4449" t="s">
        <v>17522</v>
      </c>
      <c r="X4449">
        <v>7</v>
      </c>
      <c r="Y4449" t="s">
        <v>23897</v>
      </c>
      <c r="Z4449" t="s">
        <v>30417</v>
      </c>
      <c r="AA4449">
        <v>0.49966566986761701</v>
      </c>
      <c r="AB4449" t="str">
        <f>HYPERLINK("Melting_Curves/meltCurve_Q8IXI2_2_RHOT1.pdf", "Melting_Curves/meltCurve_Q8IXI2_2_RHOT1.pdf")</f>
        <v>Melting_Curves/meltCurve_Q8IXI2_2_RHOT1.pdf</v>
      </c>
    </row>
    <row r="4450" spans="1:28" x14ac:dyDescent="0.25">
      <c r="A4450" t="s">
        <v>4454</v>
      </c>
      <c r="B4450">
        <v>0.99472303558308395</v>
      </c>
      <c r="C4450">
        <v>0.98849365118563504</v>
      </c>
      <c r="D4450">
        <v>1.0148396749581401</v>
      </c>
      <c r="E4450">
        <v>0.95492342390262797</v>
      </c>
      <c r="F4450">
        <v>0.65829540635915595</v>
      </c>
      <c r="G4450">
        <v>0.17708872080157201</v>
      </c>
      <c r="H4450">
        <v>5.2540201674055403E-2</v>
      </c>
      <c r="I4450">
        <v>3.8486822573612897E-2</v>
      </c>
      <c r="J4450">
        <v>3.9590262298655803E-2</v>
      </c>
      <c r="K4450">
        <v>4.9101925849879803E-2</v>
      </c>
      <c r="L4450">
        <v>1769.9252464912299</v>
      </c>
      <c r="M4450">
        <v>34.674347450229298</v>
      </c>
      <c r="N4450">
        <v>51.163304796640197</v>
      </c>
      <c r="O4450">
        <v>50.875324015947299</v>
      </c>
      <c r="P4450">
        <v>-0.163784143106394</v>
      </c>
      <c r="Q4450">
        <v>3.8765615993959897E-2</v>
      </c>
      <c r="R4450">
        <v>0.99962770452253003</v>
      </c>
      <c r="S4450" t="s">
        <v>11018</v>
      </c>
      <c r="T4450" t="s">
        <v>13134</v>
      </c>
      <c r="U4450" t="s">
        <v>13134</v>
      </c>
      <c r="V4450" t="s">
        <v>13134</v>
      </c>
      <c r="W4450" t="s">
        <v>17523</v>
      </c>
      <c r="X4450">
        <v>7</v>
      </c>
      <c r="Y4450" t="s">
        <v>23898</v>
      </c>
      <c r="Z4450" t="s">
        <v>30418</v>
      </c>
      <c r="AA4450">
        <v>0.49326397499944702</v>
      </c>
      <c r="AB4450" t="str">
        <f>HYPERLINK("Melting_Curves/meltCurve_Q8IXJ6_2_SIRT2.pdf", "Melting_Curves/meltCurve_Q8IXJ6_2_SIRT2.pdf")</f>
        <v>Melting_Curves/meltCurve_Q8IXJ6_2_SIRT2.pdf</v>
      </c>
    </row>
    <row r="4451" spans="1:28" x14ac:dyDescent="0.25">
      <c r="A4451" t="s">
        <v>4455</v>
      </c>
      <c r="B4451">
        <v>0.99472303558308395</v>
      </c>
      <c r="C4451">
        <v>0.80399290622984299</v>
      </c>
      <c r="D4451">
        <v>0.86613554380416302</v>
      </c>
      <c r="E4451">
        <v>0.68450853805091005</v>
      </c>
      <c r="F4451">
        <v>0.423503892664711</v>
      </c>
      <c r="G4451">
        <v>0.25038481794604001</v>
      </c>
      <c r="H4451">
        <v>0.103225356700864</v>
      </c>
      <c r="I4451">
        <v>0.110198258925117</v>
      </c>
      <c r="J4451">
        <v>0.14281471080406299</v>
      </c>
      <c r="K4451">
        <v>0.106457350542251</v>
      </c>
      <c r="L4451">
        <v>619.89011379253202</v>
      </c>
      <c r="M4451">
        <v>12.824914355736</v>
      </c>
      <c r="N4451">
        <v>48.822532953256598</v>
      </c>
      <c r="O4451">
        <v>47.204904561156098</v>
      </c>
      <c r="P4451">
        <v>-6.3849850172299702E-2</v>
      </c>
      <c r="Q4451">
        <v>6.0121919536427898E-2</v>
      </c>
      <c r="R4451">
        <v>0.97479674824182205</v>
      </c>
      <c r="S4451" t="s">
        <v>11019</v>
      </c>
      <c r="T4451" t="s">
        <v>13134</v>
      </c>
      <c r="U4451" t="s">
        <v>13134</v>
      </c>
      <c r="V4451" t="s">
        <v>13134</v>
      </c>
      <c r="W4451" t="s">
        <v>17524</v>
      </c>
      <c r="X4451">
        <v>3</v>
      </c>
      <c r="Y4451" t="s">
        <v>23899</v>
      </c>
      <c r="Z4451" t="s">
        <v>30419</v>
      </c>
      <c r="AA4451">
        <v>0.44150282636537891</v>
      </c>
      <c r="AB4451" t="str">
        <f>HYPERLINK("Melting_Curves/meltCurve_Q8IXJ9_2_ASXL1.pdf", "Melting_Curves/meltCurve_Q8IXJ9_2_ASXL1.pdf")</f>
        <v>Melting_Curves/meltCurve_Q8IXJ9_2_ASXL1.pdf</v>
      </c>
    </row>
    <row r="4452" spans="1:28" x14ac:dyDescent="0.25">
      <c r="A4452" t="s">
        <v>4456</v>
      </c>
      <c r="B4452">
        <v>0.99472303558308395</v>
      </c>
      <c r="C4452">
        <v>0.96794751230033305</v>
      </c>
      <c r="D4452">
        <v>0.76884426556574603</v>
      </c>
      <c r="E4452">
        <v>0.628970266898492</v>
      </c>
      <c r="F4452">
        <v>0.33093530365745799</v>
      </c>
      <c r="G4452">
        <v>0.120236661792494</v>
      </c>
      <c r="H4452">
        <v>9.8962539480019193E-2</v>
      </c>
      <c r="I4452">
        <v>6.9192360482974002E-2</v>
      </c>
      <c r="J4452">
        <v>6.8409145755701006E-2</v>
      </c>
      <c r="K4452">
        <v>6.5106831051872802E-2</v>
      </c>
      <c r="L4452">
        <v>728.30931782071195</v>
      </c>
      <c r="M4452">
        <v>15.3776594278945</v>
      </c>
      <c r="N4452">
        <v>47.613708473126501</v>
      </c>
      <c r="O4452">
        <v>46.582260071070898</v>
      </c>
      <c r="P4452">
        <v>-7.9309122142541294E-2</v>
      </c>
      <c r="Q4452">
        <v>3.9110001289134597E-2</v>
      </c>
      <c r="R4452">
        <v>0.99269066157147201</v>
      </c>
      <c r="S4452" t="s">
        <v>11020</v>
      </c>
      <c r="T4452" t="s">
        <v>13134</v>
      </c>
      <c r="U4452" t="s">
        <v>13134</v>
      </c>
      <c r="V4452" t="s">
        <v>13134</v>
      </c>
      <c r="W4452" t="s">
        <v>17525</v>
      </c>
      <c r="X4452">
        <v>5</v>
      </c>
      <c r="Y4452" t="s">
        <v>23900</v>
      </c>
      <c r="Z4452" t="s">
        <v>30420</v>
      </c>
      <c r="AA4452">
        <v>0.39152606531515971</v>
      </c>
      <c r="AB4452" t="str">
        <f>HYPERLINK("Melting_Curves/meltCurve_Q8IXK2_GALNT12.pdf", "Melting_Curves/meltCurve_Q8IXK2_GALNT12.pdf")</f>
        <v>Melting_Curves/meltCurve_Q8IXK2_GALNT12.pdf</v>
      </c>
    </row>
    <row r="4453" spans="1:28" x14ac:dyDescent="0.25">
      <c r="A4453" t="s">
        <v>4457</v>
      </c>
      <c r="B4453">
        <v>0.99472303558308395</v>
      </c>
      <c r="C4453">
        <v>1.2098104336451101</v>
      </c>
      <c r="D4453">
        <v>0.96559831483438996</v>
      </c>
      <c r="E4453">
        <v>0.89839249335302096</v>
      </c>
      <c r="F4453">
        <v>0.76111610980655098</v>
      </c>
      <c r="G4453">
        <v>0.53096652409386103</v>
      </c>
      <c r="H4453">
        <v>0.31493512522015898</v>
      </c>
      <c r="I4453">
        <v>0.256163568056746</v>
      </c>
      <c r="J4453">
        <v>0.27826651011896397</v>
      </c>
      <c r="K4453">
        <v>0.242785844373963</v>
      </c>
      <c r="L4453">
        <v>1006.9995824287799</v>
      </c>
      <c r="M4453">
        <v>19.290173690773599</v>
      </c>
      <c r="N4453">
        <v>53.9245717706861</v>
      </c>
      <c r="O4453">
        <v>51.6514208876998</v>
      </c>
      <c r="P4453">
        <v>-7.1901524385729804E-2</v>
      </c>
      <c r="Q4453">
        <v>0.22993406112379899</v>
      </c>
      <c r="R4453">
        <v>0.95887682720108103</v>
      </c>
      <c r="S4453" t="s">
        <v>11021</v>
      </c>
      <c r="T4453" t="s">
        <v>13134</v>
      </c>
      <c r="U4453" t="s">
        <v>13134</v>
      </c>
      <c r="V4453" t="s">
        <v>13134</v>
      </c>
      <c r="W4453" t="s">
        <v>17526</v>
      </c>
      <c r="X4453">
        <v>1</v>
      </c>
      <c r="Y4453" t="s">
        <v>23901</v>
      </c>
      <c r="Z4453" t="s">
        <v>30421</v>
      </c>
      <c r="AA4453">
        <v>0.63063446158598402</v>
      </c>
      <c r="AB4453" t="str">
        <f>HYPERLINK("Melting_Curves/meltCurve_Q8IXM6_2_NRM.pdf", "Melting_Curves/meltCurve_Q8IXM6_2_NRM.pdf")</f>
        <v>Melting_Curves/meltCurve_Q8IXM6_2_NRM.pdf</v>
      </c>
    </row>
    <row r="4454" spans="1:28" x14ac:dyDescent="0.25">
      <c r="A4454" t="s">
        <v>4458</v>
      </c>
      <c r="B4454">
        <v>0.99472303558308395</v>
      </c>
      <c r="C4454">
        <v>1.4781231999283899</v>
      </c>
      <c r="D4454">
        <v>0.89465103165043802</v>
      </c>
      <c r="E4454">
        <v>0.93734049042944401</v>
      </c>
      <c r="F4454">
        <v>0.86552111618995498</v>
      </c>
      <c r="G4454">
        <v>0.370111745021241</v>
      </c>
      <c r="H4454">
        <v>0.22704915572418999</v>
      </c>
      <c r="I4454">
        <v>0.18829482904533701</v>
      </c>
      <c r="J4454">
        <v>0.32297329851697398</v>
      </c>
      <c r="K4454">
        <v>0.24241245958395899</v>
      </c>
      <c r="L4454">
        <v>2347.7864644864499</v>
      </c>
      <c r="M4454">
        <v>45.261691927057299</v>
      </c>
      <c r="N4454">
        <v>52.646084177373403</v>
      </c>
      <c r="O4454">
        <v>51.770431959444899</v>
      </c>
      <c r="P4454">
        <v>-0.16542866421778299</v>
      </c>
      <c r="Q4454">
        <v>0.24313019053551799</v>
      </c>
      <c r="R4454">
        <v>0.85421034071347801</v>
      </c>
      <c r="S4454" t="s">
        <v>11022</v>
      </c>
      <c r="T4454" t="s">
        <v>13134</v>
      </c>
      <c r="U4454" t="s">
        <v>13134</v>
      </c>
      <c r="V4454" t="s">
        <v>13134</v>
      </c>
      <c r="W4454" t="s">
        <v>17527</v>
      </c>
      <c r="X4454">
        <v>4</v>
      </c>
      <c r="Y4454" t="s">
        <v>23902</v>
      </c>
      <c r="Z4454" t="s">
        <v>30422</v>
      </c>
      <c r="AA4454">
        <v>0.62043426969378535</v>
      </c>
      <c r="AB4454" t="str">
        <f>HYPERLINK("Melting_Curves/meltCurve_Q8IXQ3_C9orf40.pdf", "Melting_Curves/meltCurve_Q8IXQ3_C9orf40.pdf")</f>
        <v>Melting_Curves/meltCurve_Q8IXQ3_C9orf40.pdf</v>
      </c>
    </row>
    <row r="4455" spans="1:28" x14ac:dyDescent="0.25">
      <c r="A4455" t="s">
        <v>4459</v>
      </c>
      <c r="B4455">
        <v>0.99472303558308395</v>
      </c>
      <c r="C4455">
        <v>0.94839489745647698</v>
      </c>
      <c r="D4455">
        <v>0.98983883933005401</v>
      </c>
      <c r="E4455">
        <v>0.975650710786794</v>
      </c>
      <c r="F4455">
        <v>0.77463200969924695</v>
      </c>
      <c r="G4455">
        <v>0.68938606988879902</v>
      </c>
      <c r="H4455">
        <v>0.69697575716514504</v>
      </c>
      <c r="I4455">
        <v>0.82088587288322801</v>
      </c>
      <c r="J4455">
        <v>1.17002174358021</v>
      </c>
      <c r="K4455">
        <v>0.82562533037687602</v>
      </c>
      <c r="L4455">
        <v>11733.485440975401</v>
      </c>
      <c r="M4455">
        <v>250</v>
      </c>
      <c r="O4455">
        <v>46.930937973321903</v>
      </c>
      <c r="P4455">
        <v>-0.226945446156539</v>
      </c>
      <c r="Q4455">
        <v>0.82958779649233605</v>
      </c>
      <c r="R4455">
        <v>0.241959147974452</v>
      </c>
      <c r="S4455" t="s">
        <v>11023</v>
      </c>
      <c r="T4455" t="s">
        <v>13134</v>
      </c>
      <c r="U4455" t="s">
        <v>13134</v>
      </c>
      <c r="V4455" t="s">
        <v>13134</v>
      </c>
      <c r="W4455" t="s">
        <v>17528</v>
      </c>
      <c r="X4455">
        <v>16</v>
      </c>
      <c r="Y4455" t="s">
        <v>23903</v>
      </c>
      <c r="Z4455" t="s">
        <v>30423</v>
      </c>
      <c r="AA4455">
        <v>0.8860306632456445</v>
      </c>
      <c r="AB4455" t="str">
        <f>HYPERLINK("Melting_Curves/meltCurve_Q8IXQ4_KIAA1704.pdf", "Melting_Curves/meltCurve_Q8IXQ4_KIAA1704.pdf")</f>
        <v>Melting_Curves/meltCurve_Q8IXQ4_KIAA1704.pdf</v>
      </c>
    </row>
    <row r="4456" spans="1:28" x14ac:dyDescent="0.25">
      <c r="A4456" t="s">
        <v>4460</v>
      </c>
      <c r="B4456">
        <v>0.99472303558308395</v>
      </c>
      <c r="C4456">
        <v>0.813611381395838</v>
      </c>
      <c r="D4456">
        <v>0.78721156700055195</v>
      </c>
      <c r="E4456">
        <v>0.73160316254241298</v>
      </c>
      <c r="F4456">
        <v>1.0426999349097901</v>
      </c>
      <c r="G4456">
        <v>0.62073949529536698</v>
      </c>
      <c r="H4456">
        <v>0.25098929471958498</v>
      </c>
      <c r="I4456">
        <v>0.1144600733941</v>
      </c>
      <c r="J4456">
        <v>5.19113608710721E-2</v>
      </c>
      <c r="K4456">
        <v>8.2471543115062496E-2</v>
      </c>
      <c r="L4456">
        <v>1774.81037433488</v>
      </c>
      <c r="M4456">
        <v>32.493806600754702</v>
      </c>
      <c r="N4456">
        <v>54.8852715862186</v>
      </c>
      <c r="O4456">
        <v>54.414336073781499</v>
      </c>
      <c r="P4456">
        <v>-0.13843838925766999</v>
      </c>
      <c r="Q4456">
        <v>7.2685220299063005E-2</v>
      </c>
      <c r="R4456">
        <v>0.88077102098634896</v>
      </c>
      <c r="S4456" t="s">
        <v>11024</v>
      </c>
      <c r="T4456" t="s">
        <v>13134</v>
      </c>
      <c r="U4456" t="s">
        <v>13134</v>
      </c>
      <c r="V4456" t="s">
        <v>13134</v>
      </c>
      <c r="W4456" t="s">
        <v>17529</v>
      </c>
      <c r="X4456">
        <v>2</v>
      </c>
      <c r="Y4456" t="s">
        <v>23904</v>
      </c>
      <c r="Z4456" t="s">
        <v>30424</v>
      </c>
      <c r="AA4456">
        <v>0.6224491338551934</v>
      </c>
      <c r="AB4456" t="str">
        <f>HYPERLINK("Melting_Curves/meltCurve_Q8IXS8_FAM126B.pdf", "Melting_Curves/meltCurve_Q8IXS8_FAM126B.pdf")</f>
        <v>Melting_Curves/meltCurve_Q8IXS8_FAM126B.pdf</v>
      </c>
    </row>
    <row r="4457" spans="1:28" x14ac:dyDescent="0.25">
      <c r="A4457" t="s">
        <v>4461</v>
      </c>
      <c r="B4457">
        <v>0.99472303558308395</v>
      </c>
      <c r="C4457">
        <v>0.90821429352345695</v>
      </c>
      <c r="D4457">
        <v>0.59515191877731999</v>
      </c>
      <c r="E4457">
        <v>0.532969702127985</v>
      </c>
      <c r="F4457">
        <v>0.30959341026444398</v>
      </c>
      <c r="G4457">
        <v>0.104084894801067</v>
      </c>
      <c r="H4457">
        <v>3.3754540224109397E-2</v>
      </c>
      <c r="I4457">
        <v>2.4271091909547099E-2</v>
      </c>
      <c r="J4457">
        <v>6.5626896807871704E-2</v>
      </c>
      <c r="K4457">
        <v>3.8723608927945401E-2</v>
      </c>
      <c r="L4457">
        <v>563.59147266953403</v>
      </c>
      <c r="M4457">
        <v>12.2343306511879</v>
      </c>
      <c r="N4457">
        <v>46.066392080021501</v>
      </c>
      <c r="O4457">
        <v>44.887464417597698</v>
      </c>
      <c r="P4457">
        <v>-6.8154115478785193E-2</v>
      </c>
      <c r="Q4457">
        <v>0</v>
      </c>
      <c r="R4457">
        <v>0.97783422636683104</v>
      </c>
      <c r="S4457" t="s">
        <v>11025</v>
      </c>
      <c r="T4457" t="s">
        <v>13134</v>
      </c>
      <c r="U4457" t="s">
        <v>13134</v>
      </c>
      <c r="V4457" t="s">
        <v>13134</v>
      </c>
      <c r="W4457" t="s">
        <v>17530</v>
      </c>
      <c r="X4457">
        <v>4</v>
      </c>
      <c r="Y4457" t="s">
        <v>23905</v>
      </c>
      <c r="Z4457" t="s">
        <v>30425</v>
      </c>
      <c r="AA4457">
        <v>0.33548047931442959</v>
      </c>
      <c r="AB4457" t="str">
        <f>HYPERLINK("Melting_Curves/meltCurve_Q8IY17_3_PNPLA6.pdf", "Melting_Curves/meltCurve_Q8IY17_3_PNPLA6.pdf")</f>
        <v>Melting_Curves/meltCurve_Q8IY17_3_PNPLA6.pdf</v>
      </c>
    </row>
    <row r="4458" spans="1:28" x14ac:dyDescent="0.25">
      <c r="A4458" t="s">
        <v>4462</v>
      </c>
      <c r="B4458">
        <v>0.99472303558308395</v>
      </c>
      <c r="C4458">
        <v>0.93807547350413001</v>
      </c>
      <c r="D4458">
        <v>0.87656248915873203</v>
      </c>
      <c r="E4458">
        <v>0.72538733815097201</v>
      </c>
      <c r="F4458">
        <v>0.56082329789988195</v>
      </c>
      <c r="G4458">
        <v>0.111576431935329</v>
      </c>
      <c r="H4458">
        <v>7.5836780648410304E-2</v>
      </c>
      <c r="I4458">
        <v>5.9820216757187898E-2</v>
      </c>
      <c r="J4458">
        <v>3.4773737334911202E-2</v>
      </c>
      <c r="K4458">
        <v>3.01335222601587E-2</v>
      </c>
      <c r="L4458">
        <v>832.28063745788302</v>
      </c>
      <c r="M4458">
        <v>16.764823152363199</v>
      </c>
      <c r="N4458">
        <v>49.644462690524399</v>
      </c>
      <c r="O4458">
        <v>48.954257410565702</v>
      </c>
      <c r="P4458">
        <v>-8.5620349661036696E-2</v>
      </c>
      <c r="Q4458">
        <v>0</v>
      </c>
      <c r="R4458">
        <v>0.98153706136583996</v>
      </c>
      <c r="S4458" t="s">
        <v>11026</v>
      </c>
      <c r="T4458" t="s">
        <v>13134</v>
      </c>
      <c r="U4458" t="s">
        <v>13134</v>
      </c>
      <c r="V4458" t="s">
        <v>13134</v>
      </c>
      <c r="W4458" t="s">
        <v>17531</v>
      </c>
      <c r="X4458">
        <v>6</v>
      </c>
      <c r="Y4458" t="s">
        <v>23906</v>
      </c>
      <c r="Z4458" t="s">
        <v>30426</v>
      </c>
      <c r="AA4458">
        <v>0.43926423950837062</v>
      </c>
      <c r="AB4458" t="str">
        <f>HYPERLINK("Melting_Curves/meltCurve_Q8IY18_SMC5.pdf", "Melting_Curves/meltCurve_Q8IY18_SMC5.pdf")</f>
        <v>Melting_Curves/meltCurve_Q8IY18_SMC5.pdf</v>
      </c>
    </row>
    <row r="4459" spans="1:28" x14ac:dyDescent="0.25">
      <c r="A4459" t="s">
        <v>4463</v>
      </c>
      <c r="B4459">
        <v>0.99472303558308395</v>
      </c>
      <c r="C4459">
        <v>0.88751383215433099</v>
      </c>
      <c r="D4459">
        <v>0.69268374305532598</v>
      </c>
      <c r="E4459">
        <v>0.26007078026150499</v>
      </c>
      <c r="F4459">
        <v>0.13767326093645399</v>
      </c>
      <c r="G4459">
        <v>6.7907562408402997E-2</v>
      </c>
      <c r="H4459">
        <v>5.6448214889104703E-2</v>
      </c>
      <c r="I4459">
        <v>3.7826559738479301E-2</v>
      </c>
      <c r="J4459">
        <v>5.0179057693211099E-2</v>
      </c>
      <c r="K4459">
        <v>3.7269870519997299E-2</v>
      </c>
      <c r="L4459">
        <v>951.12192899669003</v>
      </c>
      <c r="M4459">
        <v>21.491171176185201</v>
      </c>
      <c r="N4459">
        <v>44.451616911509298</v>
      </c>
      <c r="O4459">
        <v>43.878565219226203</v>
      </c>
      <c r="P4459">
        <v>-0.116935563780303</v>
      </c>
      <c r="Q4459">
        <v>4.5033139495587397E-2</v>
      </c>
      <c r="R4459">
        <v>0.99771666112740398</v>
      </c>
      <c r="S4459" t="s">
        <v>11027</v>
      </c>
      <c r="T4459" t="s">
        <v>13134</v>
      </c>
      <c r="U4459" t="s">
        <v>13134</v>
      </c>
      <c r="V4459" t="s">
        <v>13134</v>
      </c>
      <c r="W4459" t="s">
        <v>17532</v>
      </c>
      <c r="X4459">
        <v>8</v>
      </c>
      <c r="Y4459" t="s">
        <v>23907</v>
      </c>
      <c r="Z4459" t="s">
        <v>30427</v>
      </c>
      <c r="AA4459">
        <v>0.28688303733501469</v>
      </c>
      <c r="AB4459" t="str">
        <f>HYPERLINK("Melting_Curves/meltCurve_Q8IY22_3_CMIP.pdf", "Melting_Curves/meltCurve_Q8IY22_3_CMIP.pdf")</f>
        <v>Melting_Curves/meltCurve_Q8IY22_3_CMIP.pdf</v>
      </c>
    </row>
    <row r="4460" spans="1:28" x14ac:dyDescent="0.25">
      <c r="A4460" t="s">
        <v>4464</v>
      </c>
      <c r="B4460">
        <v>0.99472303558308395</v>
      </c>
      <c r="C4460">
        <v>0.99031148869102004</v>
      </c>
      <c r="D4460">
        <v>0.85387993724538702</v>
      </c>
      <c r="E4460">
        <v>0.659406922045921</v>
      </c>
      <c r="F4460">
        <v>0.51972627919567704</v>
      </c>
      <c r="G4460">
        <v>0.41440996745613501</v>
      </c>
      <c r="H4460">
        <v>0.322272917949323</v>
      </c>
      <c r="I4460">
        <v>0.24788521826420901</v>
      </c>
      <c r="J4460">
        <v>0.26095598374507101</v>
      </c>
      <c r="K4460">
        <v>0.17894298831713101</v>
      </c>
      <c r="L4460">
        <v>556.99923943959902</v>
      </c>
      <c r="M4460">
        <v>11.4287730199788</v>
      </c>
      <c r="N4460">
        <v>50.759156915723402</v>
      </c>
      <c r="O4460">
        <v>47.316038907987803</v>
      </c>
      <c r="P4460">
        <v>-4.93549636437789E-2</v>
      </c>
      <c r="Q4460">
        <v>0.18290393844873201</v>
      </c>
      <c r="R4460">
        <v>0.99160503532547795</v>
      </c>
      <c r="S4460" t="s">
        <v>11028</v>
      </c>
      <c r="T4460" t="s">
        <v>13134</v>
      </c>
      <c r="U4460" t="s">
        <v>13134</v>
      </c>
      <c r="V4460" t="s">
        <v>13134</v>
      </c>
      <c r="W4460" t="s">
        <v>17533</v>
      </c>
      <c r="X4460">
        <v>2</v>
      </c>
      <c r="Y4460" t="s">
        <v>23908</v>
      </c>
      <c r="Z4460" t="s">
        <v>30428</v>
      </c>
      <c r="AA4460">
        <v>0.52885815382370294</v>
      </c>
      <c r="AB4460" t="str">
        <f>HYPERLINK("Melting_Curves/meltCurve_Q8IY26_PPAPDC2.pdf", "Melting_Curves/meltCurve_Q8IY26_PPAPDC2.pdf")</f>
        <v>Melting_Curves/meltCurve_Q8IY26_PPAPDC2.pdf</v>
      </c>
    </row>
    <row r="4461" spans="1:28" x14ac:dyDescent="0.25">
      <c r="A4461" t="s">
        <v>4465</v>
      </c>
      <c r="B4461">
        <v>0.99472303558308395</v>
      </c>
      <c r="C4461">
        <v>1.0556775340032001</v>
      </c>
      <c r="D4461">
        <v>1.0171119061907701</v>
      </c>
      <c r="E4461">
        <v>0.82404516257939298</v>
      </c>
      <c r="F4461">
        <v>0.44463741904724802</v>
      </c>
      <c r="G4461">
        <v>0.17972879977651299</v>
      </c>
      <c r="H4461">
        <v>8.6568265581790593E-2</v>
      </c>
      <c r="I4461">
        <v>6.0838502449227602E-2</v>
      </c>
      <c r="J4461">
        <v>7.8493086036938997E-2</v>
      </c>
      <c r="K4461">
        <v>6.1968909805738603E-2</v>
      </c>
      <c r="L4461">
        <v>1253.2112176428</v>
      </c>
      <c r="M4461">
        <v>25.343706136232001</v>
      </c>
      <c r="N4461">
        <v>49.717481410561398</v>
      </c>
      <c r="O4461">
        <v>49.143853082397897</v>
      </c>
      <c r="P4461">
        <v>-0.120671446287843</v>
      </c>
      <c r="Q4461">
        <v>6.4038783295112395E-2</v>
      </c>
      <c r="R4461">
        <v>0.99699500329142499</v>
      </c>
      <c r="S4461" t="s">
        <v>11029</v>
      </c>
      <c r="T4461" t="s">
        <v>13134</v>
      </c>
      <c r="U4461" t="s">
        <v>13134</v>
      </c>
      <c r="V4461" t="s">
        <v>13134</v>
      </c>
      <c r="W4461" t="s">
        <v>17534</v>
      </c>
      <c r="X4461">
        <v>18</v>
      </c>
      <c r="Y4461" t="s">
        <v>23909</v>
      </c>
      <c r="Z4461" t="s">
        <v>30429</v>
      </c>
      <c r="AA4461">
        <v>0.4603418883824123</v>
      </c>
      <c r="AB4461" t="str">
        <f>HYPERLINK("Melting_Curves/meltCurve_Q8IY33_MICALL2.pdf", "Melting_Curves/meltCurve_Q8IY33_MICALL2.pdf")</f>
        <v>Melting_Curves/meltCurve_Q8IY33_MICALL2.pdf</v>
      </c>
    </row>
    <row r="4462" spans="1:28" x14ac:dyDescent="0.25">
      <c r="A4462" t="s">
        <v>4466</v>
      </c>
      <c r="B4462">
        <v>0.99472303558308395</v>
      </c>
      <c r="C4462">
        <v>0.87088555735808404</v>
      </c>
      <c r="D4462">
        <v>0.79485286061997795</v>
      </c>
      <c r="E4462">
        <v>0.45044445124642302</v>
      </c>
      <c r="F4462">
        <v>0.28873139106111301</v>
      </c>
      <c r="G4462">
        <v>0.151011561864585</v>
      </c>
      <c r="H4462">
        <v>0.103989048375629</v>
      </c>
      <c r="I4462">
        <v>0.102133639746034</v>
      </c>
      <c r="J4462">
        <v>0.11619236074899</v>
      </c>
      <c r="K4462">
        <v>9.3547728585705994E-2</v>
      </c>
      <c r="L4462">
        <v>729.21894924909304</v>
      </c>
      <c r="M4462">
        <v>15.947652224608699</v>
      </c>
      <c r="N4462">
        <v>46.283505320979202</v>
      </c>
      <c r="O4462">
        <v>45.024933033944301</v>
      </c>
      <c r="P4462">
        <v>-8.0814785632515804E-2</v>
      </c>
      <c r="Q4462">
        <v>8.7416651909702603E-2</v>
      </c>
      <c r="R4462">
        <v>0.99473766395383101</v>
      </c>
      <c r="S4462" t="s">
        <v>11030</v>
      </c>
      <c r="T4462" t="s">
        <v>13134</v>
      </c>
      <c r="U4462" t="s">
        <v>13134</v>
      </c>
      <c r="V4462" t="s">
        <v>13134</v>
      </c>
      <c r="W4462" t="s">
        <v>17535</v>
      </c>
      <c r="X4462">
        <v>6</v>
      </c>
      <c r="Y4462" t="s">
        <v>23910</v>
      </c>
      <c r="Z4462" t="s">
        <v>30430</v>
      </c>
      <c r="AA4462">
        <v>0.37167722971541017</v>
      </c>
      <c r="AB4462" t="str">
        <f>HYPERLINK("Melting_Curves/meltCurve_Q8IY37_DHX37.pdf", "Melting_Curves/meltCurve_Q8IY37_DHX37.pdf")</f>
        <v>Melting_Curves/meltCurve_Q8IY37_DHX37.pdf</v>
      </c>
    </row>
    <row r="4463" spans="1:28" x14ac:dyDescent="0.25">
      <c r="A4463" t="s">
        <v>4467</v>
      </c>
      <c r="B4463">
        <v>0.99472303558308395</v>
      </c>
      <c r="C4463">
        <v>1.02596590291434</v>
      </c>
      <c r="D4463">
        <v>1.0063323934789401</v>
      </c>
      <c r="E4463">
        <v>0.91608520217636402</v>
      </c>
      <c r="F4463">
        <v>0.78256329052861295</v>
      </c>
      <c r="G4463">
        <v>0.30824649731772402</v>
      </c>
      <c r="H4463">
        <v>9.0375383241055401E-2</v>
      </c>
      <c r="I4463">
        <v>8.6571150695889901E-2</v>
      </c>
      <c r="J4463">
        <v>4.9781854964255898E-2</v>
      </c>
      <c r="K4463">
        <v>5.4646014100958498E-2</v>
      </c>
      <c r="L4463">
        <v>1572.5537552506</v>
      </c>
      <c r="M4463">
        <v>30.2072920659256</v>
      </c>
      <c r="N4463">
        <v>52.2529661010241</v>
      </c>
      <c r="O4463">
        <v>51.832192276706301</v>
      </c>
      <c r="P4463">
        <v>-0.137961576379248</v>
      </c>
      <c r="Q4463">
        <v>5.3102066698422302E-2</v>
      </c>
      <c r="R4463">
        <v>0.99715508906737804</v>
      </c>
      <c r="S4463" t="s">
        <v>11031</v>
      </c>
      <c r="T4463" t="s">
        <v>13134</v>
      </c>
      <c r="U4463" t="s">
        <v>13134</v>
      </c>
      <c r="V4463" t="s">
        <v>13134</v>
      </c>
      <c r="W4463" t="s">
        <v>17536</v>
      </c>
      <c r="X4463">
        <v>3</v>
      </c>
      <c r="Y4463" t="s">
        <v>23911</v>
      </c>
      <c r="Z4463" t="s">
        <v>30431</v>
      </c>
      <c r="AA4463">
        <v>0.53430516582490384</v>
      </c>
      <c r="AB4463" t="str">
        <f>HYPERLINK("Melting_Curves/meltCurve_Q8IY47_KBTBD2.pdf", "Melting_Curves/meltCurve_Q8IY47_KBTBD2.pdf")</f>
        <v>Melting_Curves/meltCurve_Q8IY47_KBTBD2.pdf</v>
      </c>
    </row>
    <row r="4464" spans="1:28" x14ac:dyDescent="0.25">
      <c r="A4464" t="s">
        <v>4468</v>
      </c>
      <c r="B4464">
        <v>0.99472303558308395</v>
      </c>
      <c r="C4464">
        <v>0.89334151744691004</v>
      </c>
      <c r="D4464">
        <v>0.75240414548447698</v>
      </c>
      <c r="E4464">
        <v>0.48477534405854</v>
      </c>
      <c r="F4464">
        <v>0.26461974295138502</v>
      </c>
      <c r="G4464">
        <v>0.17779825967555901</v>
      </c>
      <c r="H4464">
        <v>0.124147396828708</v>
      </c>
      <c r="I4464">
        <v>0.106675867557636</v>
      </c>
      <c r="J4464">
        <v>0.1290132117874</v>
      </c>
      <c r="K4464">
        <v>0.13145520600754901</v>
      </c>
      <c r="L4464">
        <v>728.374152590584</v>
      </c>
      <c r="M4464">
        <v>15.995042047120901</v>
      </c>
      <c r="N4464">
        <v>46.237974190123403</v>
      </c>
      <c r="O4464">
        <v>44.843543464591498</v>
      </c>
      <c r="P4464">
        <v>-7.9583159455709304E-2</v>
      </c>
      <c r="Q4464">
        <v>0.107595809293439</v>
      </c>
      <c r="R4464">
        <v>0.998223213415804</v>
      </c>
      <c r="S4464" t="s">
        <v>11032</v>
      </c>
      <c r="T4464" t="s">
        <v>13134</v>
      </c>
      <c r="U4464" t="s">
        <v>13134</v>
      </c>
      <c r="V4464" t="s">
        <v>13134</v>
      </c>
      <c r="W4464" t="s">
        <v>17537</v>
      </c>
      <c r="X4464">
        <v>6</v>
      </c>
      <c r="Y4464" t="s">
        <v>23912</v>
      </c>
      <c r="Z4464" t="s">
        <v>30432</v>
      </c>
      <c r="AA4464">
        <v>0.37994318972855051</v>
      </c>
      <c r="AB4464" t="str">
        <f>HYPERLINK("Melting_Curves/meltCurve_Q8IY63_2_AMOTL1.pdf", "Melting_Curves/meltCurve_Q8IY63_2_AMOTL1.pdf")</f>
        <v>Melting_Curves/meltCurve_Q8IY63_2_AMOTL1.pdf</v>
      </c>
    </row>
    <row r="4465" spans="1:28" x14ac:dyDescent="0.25">
      <c r="A4465" t="s">
        <v>4469</v>
      </c>
      <c r="B4465">
        <v>0.99472303558308395</v>
      </c>
      <c r="C4465">
        <v>1.0355862393967701</v>
      </c>
      <c r="D4465">
        <v>0.97571530647111304</v>
      </c>
      <c r="E4465">
        <v>0.88522637517199498</v>
      </c>
      <c r="F4465">
        <v>0.60904024339367202</v>
      </c>
      <c r="G4465">
        <v>0.49847640552807998</v>
      </c>
      <c r="H4465">
        <v>0.39366450542318399</v>
      </c>
      <c r="I4465">
        <v>0.29622652911573599</v>
      </c>
      <c r="J4465">
        <v>0.35982510331363299</v>
      </c>
      <c r="K4465">
        <v>0.29516093281049</v>
      </c>
      <c r="L4465">
        <v>921.09067342834896</v>
      </c>
      <c r="M4465">
        <v>18.3748956857576</v>
      </c>
      <c r="N4465">
        <v>52.949316644854903</v>
      </c>
      <c r="O4465">
        <v>49.545274623290801</v>
      </c>
      <c r="P4465">
        <v>-6.3774834156668306E-2</v>
      </c>
      <c r="Q4465">
        <v>0.312192543257027</v>
      </c>
      <c r="R4465">
        <v>0.989264781661641</v>
      </c>
      <c r="S4465" t="s">
        <v>11033</v>
      </c>
      <c r="T4465" t="s">
        <v>13134</v>
      </c>
      <c r="U4465" t="s">
        <v>13134</v>
      </c>
      <c r="V4465" t="s">
        <v>13134</v>
      </c>
      <c r="W4465" t="s">
        <v>17538</v>
      </c>
      <c r="X4465">
        <v>6</v>
      </c>
      <c r="Y4465" t="s">
        <v>23913</v>
      </c>
      <c r="Z4465" t="s">
        <v>30433</v>
      </c>
      <c r="AA4465">
        <v>0.62362704164946414</v>
      </c>
      <c r="AB4465" t="str">
        <f>HYPERLINK("Melting_Curves/meltCurve_Q8IY95_2_TMEM192.pdf", "Melting_Curves/meltCurve_Q8IY95_2_TMEM192.pdf")</f>
        <v>Melting_Curves/meltCurve_Q8IY95_2_TMEM192.pdf</v>
      </c>
    </row>
    <row r="4466" spans="1:28" x14ac:dyDescent="0.25">
      <c r="A4466" t="s">
        <v>4470</v>
      </c>
      <c r="B4466">
        <v>0.99472303558308395</v>
      </c>
      <c r="C4466">
        <v>1.0013282553570499</v>
      </c>
      <c r="D4466">
        <v>0.916720797276662</v>
      </c>
      <c r="E4466">
        <v>0.82537711572600003</v>
      </c>
      <c r="F4466">
        <v>0.57932029936959395</v>
      </c>
      <c r="G4466">
        <v>0.22868167568290401</v>
      </c>
      <c r="H4466">
        <v>9.0214302610717501E-2</v>
      </c>
      <c r="I4466">
        <v>7.1855476539999505E-2</v>
      </c>
      <c r="J4466">
        <v>8.4040686827713304E-2</v>
      </c>
      <c r="K4466">
        <v>6.9453366992007506E-2</v>
      </c>
      <c r="L4466">
        <v>1025.7210003703999</v>
      </c>
      <c r="M4466">
        <v>20.373091406211099</v>
      </c>
      <c r="N4466">
        <v>50.605956249095399</v>
      </c>
      <c r="O4466">
        <v>49.869325303648303</v>
      </c>
      <c r="P4466">
        <v>-9.7076983754800297E-2</v>
      </c>
      <c r="Q4466">
        <v>4.9527596804947699E-2</v>
      </c>
      <c r="R4466">
        <v>0.99530795340936795</v>
      </c>
      <c r="S4466" t="s">
        <v>11034</v>
      </c>
      <c r="T4466" t="s">
        <v>13134</v>
      </c>
      <c r="U4466" t="s">
        <v>13134</v>
      </c>
      <c r="V4466" t="s">
        <v>13134</v>
      </c>
      <c r="W4466" t="s">
        <v>17539</v>
      </c>
      <c r="X4466">
        <v>7</v>
      </c>
      <c r="Y4466" t="s">
        <v>23914</v>
      </c>
      <c r="Z4466" t="s">
        <v>30434</v>
      </c>
      <c r="AA4466">
        <v>0.48449514196652432</v>
      </c>
      <c r="AB4466" t="str">
        <f>HYPERLINK("Melting_Curves/meltCurve_Q8IYB5_3_SMAP1.pdf", "Melting_Curves/meltCurve_Q8IYB5_3_SMAP1.pdf")</f>
        <v>Melting_Curves/meltCurve_Q8IYB5_3_SMAP1.pdf</v>
      </c>
    </row>
    <row r="4467" spans="1:28" x14ac:dyDescent="0.25">
      <c r="A4467" t="s">
        <v>4471</v>
      </c>
      <c r="B4467">
        <v>0.99472303558308395</v>
      </c>
      <c r="C4467">
        <v>1.1255712357218499</v>
      </c>
      <c r="D4467">
        <v>0.86139307586146596</v>
      </c>
      <c r="E4467">
        <v>0.56921883324224798</v>
      </c>
      <c r="F4467">
        <v>0.43280990540120701</v>
      </c>
      <c r="G4467">
        <v>0.16098360276506599</v>
      </c>
      <c r="H4467">
        <v>3.2978273635975802E-2</v>
      </c>
      <c r="I4467">
        <v>0</v>
      </c>
      <c r="J4467">
        <v>0.100853864143459</v>
      </c>
      <c r="K4467">
        <v>0</v>
      </c>
      <c r="L4467">
        <v>782.25689006973698</v>
      </c>
      <c r="M4467">
        <v>16.205278668019499</v>
      </c>
      <c r="N4467">
        <v>48.316199685180898</v>
      </c>
      <c r="O4467">
        <v>47.554630588879398</v>
      </c>
      <c r="P4467">
        <v>-8.4568732024377993E-2</v>
      </c>
      <c r="Q4467">
        <v>7.4016627288483704E-3</v>
      </c>
      <c r="R4467">
        <v>0.97281657922966402</v>
      </c>
      <c r="S4467" t="s">
        <v>11035</v>
      </c>
      <c r="T4467" t="s">
        <v>13134</v>
      </c>
      <c r="U4467" t="s">
        <v>13134</v>
      </c>
      <c r="V4467" t="s">
        <v>13134</v>
      </c>
      <c r="W4467" t="s">
        <v>17540</v>
      </c>
      <c r="X4467">
        <v>6</v>
      </c>
      <c r="Y4467" t="s">
        <v>23915</v>
      </c>
      <c r="Z4467" t="s">
        <v>30435</v>
      </c>
      <c r="AA4467">
        <v>0.39941720381693069</v>
      </c>
      <c r="AB4467" t="str">
        <f>HYPERLINK("Melting_Curves/meltCurve_Q8IYB7_DIS3L2.pdf", "Melting_Curves/meltCurve_Q8IYB7_DIS3L2.pdf")</f>
        <v>Melting_Curves/meltCurve_Q8IYB7_DIS3L2.pdf</v>
      </c>
    </row>
    <row r="4468" spans="1:28" x14ac:dyDescent="0.25">
      <c r="A4468" t="s">
        <v>4472</v>
      </c>
      <c r="B4468">
        <v>0.99472303558308395</v>
      </c>
      <c r="C4468">
        <v>0.91360582702181303</v>
      </c>
      <c r="D4468">
        <v>0.98442167016057103</v>
      </c>
      <c r="E4468">
        <v>0.89770861159947501</v>
      </c>
      <c r="F4468">
        <v>0.67520304159565703</v>
      </c>
      <c r="G4468">
        <v>0.40098639279034498</v>
      </c>
      <c r="H4468">
        <v>0.10581193058635099</v>
      </c>
      <c r="I4468">
        <v>5.69396494560723E-2</v>
      </c>
      <c r="J4468">
        <v>5.8765964870777697E-2</v>
      </c>
      <c r="K4468">
        <v>4.2818401580308502E-2</v>
      </c>
      <c r="L4468">
        <v>1013.73002550177</v>
      </c>
      <c r="M4468">
        <v>19.4516730337137</v>
      </c>
      <c r="N4468">
        <v>52.196227041095902</v>
      </c>
      <c r="O4468">
        <v>51.573883796470298</v>
      </c>
      <c r="P4468">
        <v>-9.2893285903251396E-2</v>
      </c>
      <c r="Q4468">
        <v>1.4852249027618E-2</v>
      </c>
      <c r="R4468">
        <v>0.99250276279652305</v>
      </c>
      <c r="S4468" t="s">
        <v>11036</v>
      </c>
      <c r="T4468" t="s">
        <v>13134</v>
      </c>
      <c r="U4468" t="s">
        <v>13134</v>
      </c>
      <c r="V4468" t="s">
        <v>13134</v>
      </c>
      <c r="W4468" t="s">
        <v>17541</v>
      </c>
      <c r="X4468">
        <v>22</v>
      </c>
      <c r="Y4468" t="s">
        <v>23916</v>
      </c>
      <c r="Z4468" t="s">
        <v>30436</v>
      </c>
      <c r="AA4468">
        <v>0.52446017247770993</v>
      </c>
      <c r="AB4468" t="str">
        <f>HYPERLINK("Melting_Curves/meltCurve_Q8IYB8_SUPV3L1.pdf", "Melting_Curves/meltCurve_Q8IYB8_SUPV3L1.pdf")</f>
        <v>Melting_Curves/meltCurve_Q8IYB8_SUPV3L1.pdf</v>
      </c>
    </row>
    <row r="4469" spans="1:28" x14ac:dyDescent="0.25">
      <c r="A4469" t="s">
        <v>4473</v>
      </c>
      <c r="B4469">
        <v>0.99472303558308395</v>
      </c>
      <c r="C4469">
        <v>0.94878527597256301</v>
      </c>
      <c r="D4469">
        <v>0.93491386325846004</v>
      </c>
      <c r="E4469">
        <v>0.81744878985443004</v>
      </c>
      <c r="F4469">
        <v>0.57785170600244196</v>
      </c>
      <c r="G4469">
        <v>0.27873870779072102</v>
      </c>
      <c r="H4469">
        <v>0.23216269645082399</v>
      </c>
      <c r="I4469">
        <v>0.12411315716047901</v>
      </c>
      <c r="J4469">
        <v>0.17856062380461399</v>
      </c>
      <c r="K4469">
        <v>0.20547819291325201</v>
      </c>
      <c r="L4469">
        <v>978.84583929261203</v>
      </c>
      <c r="M4469">
        <v>19.6628806191565</v>
      </c>
      <c r="N4469">
        <v>50.758164002826597</v>
      </c>
      <c r="O4469">
        <v>49.275083645957103</v>
      </c>
      <c r="P4469">
        <v>-8.4049880631426294E-2</v>
      </c>
      <c r="Q4469">
        <v>0.157514958455193</v>
      </c>
      <c r="R4469">
        <v>0.99100293051366195</v>
      </c>
      <c r="S4469" t="s">
        <v>11037</v>
      </c>
      <c r="T4469" t="s">
        <v>13134</v>
      </c>
      <c r="U4469" t="s">
        <v>13134</v>
      </c>
      <c r="V4469" t="s">
        <v>13134</v>
      </c>
      <c r="W4469" t="s">
        <v>17542</v>
      </c>
      <c r="X4469">
        <v>5</v>
      </c>
      <c r="Y4469" t="s">
        <v>23917</v>
      </c>
      <c r="Z4469" t="s">
        <v>30437</v>
      </c>
      <c r="AA4469">
        <v>0.52789011754162007</v>
      </c>
      <c r="AB4469" t="str">
        <f>HYPERLINK("Melting_Curves/meltCurve_Q8IYB9_ZNF595.pdf", "Melting_Curves/meltCurve_Q8IYB9_ZNF595.pdf")</f>
        <v>Melting_Curves/meltCurve_Q8IYB9_ZNF595.pdf</v>
      </c>
    </row>
    <row r="4470" spans="1:28" x14ac:dyDescent="0.25">
      <c r="A4470" t="s">
        <v>4474</v>
      </c>
      <c r="B4470">
        <v>0.99472303558308395</v>
      </c>
      <c r="C4470">
        <v>1.02637922447288</v>
      </c>
      <c r="D4470">
        <v>1.0071089991690501</v>
      </c>
      <c r="E4470">
        <v>0.79294895486488004</v>
      </c>
      <c r="F4470">
        <v>0.499794099826673</v>
      </c>
      <c r="G4470">
        <v>0.21840044623256899</v>
      </c>
      <c r="H4470">
        <v>0.11825384804335699</v>
      </c>
      <c r="I4470">
        <v>7.6460166116989595E-2</v>
      </c>
      <c r="J4470">
        <v>0.16712282875871801</v>
      </c>
      <c r="K4470">
        <v>0.100840926977646</v>
      </c>
      <c r="L4470">
        <v>1134.2490921353599</v>
      </c>
      <c r="M4470">
        <v>22.9292888402566</v>
      </c>
      <c r="N4470">
        <v>49.969226911374598</v>
      </c>
      <c r="O4470">
        <v>49.095609736419803</v>
      </c>
      <c r="P4470">
        <v>-0.104750002399371</v>
      </c>
      <c r="Q4470">
        <v>0.102864846511072</v>
      </c>
      <c r="R4470">
        <v>0.99408834069306495</v>
      </c>
      <c r="S4470" t="s">
        <v>11038</v>
      </c>
      <c r="T4470" t="s">
        <v>13134</v>
      </c>
      <c r="U4470" t="s">
        <v>13134</v>
      </c>
      <c r="V4470" t="s">
        <v>13134</v>
      </c>
      <c r="W4470" t="s">
        <v>17543</v>
      </c>
      <c r="X4470">
        <v>25</v>
      </c>
      <c r="Y4470" t="s">
        <v>23918</v>
      </c>
      <c r="Z4470" t="s">
        <v>30438</v>
      </c>
      <c r="AA4470">
        <v>0.48488743838738019</v>
      </c>
      <c r="AB4470" t="str">
        <f>HYPERLINK("Melting_Curves/meltCurve_Q8IYD1_GSPT2.pdf", "Melting_Curves/meltCurve_Q8IYD1_GSPT2.pdf")</f>
        <v>Melting_Curves/meltCurve_Q8IYD1_GSPT2.pdf</v>
      </c>
    </row>
    <row r="4471" spans="1:28" x14ac:dyDescent="0.25">
      <c r="A4471" t="s">
        <v>4475</v>
      </c>
      <c r="B4471">
        <v>0.99472303558308395</v>
      </c>
      <c r="C4471">
        <v>0.90655823819185</v>
      </c>
      <c r="D4471">
        <v>0.70527970267833195</v>
      </c>
      <c r="E4471">
        <v>0.58221596542133602</v>
      </c>
      <c r="F4471">
        <v>0.43127597787195299</v>
      </c>
      <c r="G4471">
        <v>0.314980628347512</v>
      </c>
      <c r="H4471">
        <v>0.27807879356334397</v>
      </c>
      <c r="I4471">
        <v>0.22965266826502301</v>
      </c>
      <c r="J4471">
        <v>0.34752520493241201</v>
      </c>
      <c r="K4471">
        <v>0.26425032175280899</v>
      </c>
      <c r="L4471">
        <v>612.45580299116898</v>
      </c>
      <c r="M4471">
        <v>13.567573949933699</v>
      </c>
      <c r="N4471">
        <v>47.733561270968401</v>
      </c>
      <c r="O4471">
        <v>44.194341661820602</v>
      </c>
      <c r="P4471">
        <v>-5.6749995752550797E-2</v>
      </c>
      <c r="Q4471">
        <v>0.26069210543619598</v>
      </c>
      <c r="R4471">
        <v>0.98072100483729396</v>
      </c>
      <c r="S4471" t="s">
        <v>11039</v>
      </c>
      <c r="T4471" t="s">
        <v>13134</v>
      </c>
      <c r="U4471" t="s">
        <v>13134</v>
      </c>
      <c r="V4471" t="s">
        <v>13134</v>
      </c>
      <c r="W4471" t="s">
        <v>17544</v>
      </c>
      <c r="X4471">
        <v>4</v>
      </c>
      <c r="Y4471" t="s">
        <v>23919</v>
      </c>
      <c r="Z4471" t="s">
        <v>30439</v>
      </c>
      <c r="AA4471">
        <v>0.48258422989932531</v>
      </c>
      <c r="AB4471" t="str">
        <f>HYPERLINK("Melting_Curves/meltCurve_Q8IYH5_4_ZZZ3.pdf", "Melting_Curves/meltCurve_Q8IYH5_4_ZZZ3.pdf")</f>
        <v>Melting_Curves/meltCurve_Q8IYH5_4_ZZZ3.pdf</v>
      </c>
    </row>
    <row r="4472" spans="1:28" x14ac:dyDescent="0.25">
      <c r="A4472" t="s">
        <v>4476</v>
      </c>
      <c r="B4472">
        <v>0.99472303558308395</v>
      </c>
      <c r="C4472">
        <v>0.96420483437799598</v>
      </c>
      <c r="D4472">
        <v>0.80697768317636698</v>
      </c>
      <c r="E4472">
        <v>0.51925477498013195</v>
      </c>
      <c r="F4472">
        <v>0.21841373224820701</v>
      </c>
      <c r="G4472">
        <v>0.11265587985726599</v>
      </c>
      <c r="H4472">
        <v>7.2652261390901293E-2</v>
      </c>
      <c r="I4472">
        <v>4.4832601130352902E-2</v>
      </c>
      <c r="J4472">
        <v>5.16258744760104E-2</v>
      </c>
      <c r="K4472">
        <v>4.7500541385278303E-2</v>
      </c>
      <c r="L4472">
        <v>862.339943380828</v>
      </c>
      <c r="M4472">
        <v>18.575522137453799</v>
      </c>
      <c r="N4472">
        <v>46.641270697451503</v>
      </c>
      <c r="O4472">
        <v>45.8954829141217</v>
      </c>
      <c r="P4472">
        <v>-9.6984344104504697E-2</v>
      </c>
      <c r="Q4472">
        <v>4.1545665465241098E-2</v>
      </c>
      <c r="R4472">
        <v>0.99943016002764196</v>
      </c>
      <c r="S4472" t="s">
        <v>11040</v>
      </c>
      <c r="T4472" t="s">
        <v>13134</v>
      </c>
      <c r="U4472" t="s">
        <v>13134</v>
      </c>
      <c r="V4472" t="s">
        <v>13134</v>
      </c>
      <c r="W4472" t="s">
        <v>17545</v>
      </c>
      <c r="X4472">
        <v>13</v>
      </c>
      <c r="Y4472" t="s">
        <v>23920</v>
      </c>
      <c r="Z4472" t="s">
        <v>30440</v>
      </c>
      <c r="AA4472">
        <v>0.35712246427098021</v>
      </c>
      <c r="AB4472" t="str">
        <f>HYPERLINK("Melting_Curves/meltCurve_Q8IYI6_EXOC8.pdf", "Melting_Curves/meltCurve_Q8IYI6_EXOC8.pdf")</f>
        <v>Melting_Curves/meltCurve_Q8IYI6_EXOC8.pdf</v>
      </c>
    </row>
    <row r="4473" spans="1:28" x14ac:dyDescent="0.25">
      <c r="A4473" t="s">
        <v>4477</v>
      </c>
      <c r="B4473">
        <v>0.99472303558308395</v>
      </c>
      <c r="C4473">
        <v>0.91166360717393702</v>
      </c>
      <c r="D4473">
        <v>0.84395767488736195</v>
      </c>
      <c r="E4473">
        <v>0.66543698077704805</v>
      </c>
      <c r="F4473">
        <v>0.40491051989327997</v>
      </c>
      <c r="G4473">
        <v>0.12128404258334199</v>
      </c>
      <c r="H4473">
        <v>7.3183278073287603E-2</v>
      </c>
      <c r="I4473">
        <v>5.7947002107945102E-2</v>
      </c>
      <c r="J4473">
        <v>5.7918428341956901E-2</v>
      </c>
      <c r="K4473">
        <v>6.0451872315836701E-2</v>
      </c>
      <c r="L4473">
        <v>756.49532542314898</v>
      </c>
      <c r="M4473">
        <v>15.684400066414</v>
      </c>
      <c r="N4473">
        <v>48.369231137998902</v>
      </c>
      <c r="O4473">
        <v>47.468688143630203</v>
      </c>
      <c r="P4473">
        <v>-8.0817540286392195E-2</v>
      </c>
      <c r="Q4473">
        <v>2.1708901305003199E-2</v>
      </c>
      <c r="R4473">
        <v>0.992147713935838</v>
      </c>
      <c r="S4473" t="s">
        <v>11041</v>
      </c>
      <c r="T4473" t="s">
        <v>13134</v>
      </c>
      <c r="U4473" t="s">
        <v>13134</v>
      </c>
      <c r="V4473" t="s">
        <v>13134</v>
      </c>
      <c r="W4473" t="s">
        <v>17546</v>
      </c>
      <c r="X4473">
        <v>6</v>
      </c>
      <c r="Y4473" t="s">
        <v>23921</v>
      </c>
      <c r="Z4473" t="s">
        <v>30441</v>
      </c>
      <c r="AA4473">
        <v>0.40788166914795471</v>
      </c>
      <c r="AB4473" t="str">
        <f>HYPERLINK("Melting_Curves/meltCurve_Q8IYK4_COLGALT2.pdf", "Melting_Curves/meltCurve_Q8IYK4_COLGALT2.pdf")</f>
        <v>Melting_Curves/meltCurve_Q8IYK4_COLGALT2.pdf</v>
      </c>
    </row>
    <row r="4474" spans="1:28" x14ac:dyDescent="0.25">
      <c r="A4474" t="s">
        <v>4478</v>
      </c>
      <c r="B4474">
        <v>0.99472303558308395</v>
      </c>
      <c r="C4474">
        <v>0.99136078925326498</v>
      </c>
      <c r="D4474">
        <v>0.83961019297885797</v>
      </c>
      <c r="E4474">
        <v>0.74133437594488505</v>
      </c>
      <c r="F4474">
        <v>0.61782441930439103</v>
      </c>
      <c r="G4474">
        <v>0.49780634864676598</v>
      </c>
      <c r="H4474">
        <v>0.58380675363168599</v>
      </c>
      <c r="I4474">
        <v>0.63575636012650605</v>
      </c>
      <c r="J4474">
        <v>0.77874155235520404</v>
      </c>
      <c r="K4474">
        <v>0.55000050687734403</v>
      </c>
      <c r="L4474">
        <v>1033.3573439755701</v>
      </c>
      <c r="M4474">
        <v>23.373350722294099</v>
      </c>
      <c r="O4474">
        <v>43.891129609562299</v>
      </c>
      <c r="P4474">
        <v>-5.1947041666073099E-2</v>
      </c>
      <c r="Q4474">
        <v>0.60981659602306104</v>
      </c>
      <c r="R4474">
        <v>0.82091708729143997</v>
      </c>
      <c r="S4474" t="s">
        <v>11042</v>
      </c>
      <c r="T4474" t="s">
        <v>13134</v>
      </c>
      <c r="U4474" t="s">
        <v>13134</v>
      </c>
      <c r="V4474" t="s">
        <v>13134</v>
      </c>
      <c r="W4474" t="s">
        <v>17547</v>
      </c>
      <c r="X4474">
        <v>2</v>
      </c>
      <c r="Y4474" t="s">
        <v>23922</v>
      </c>
      <c r="Z4474" t="s">
        <v>30442</v>
      </c>
      <c r="AA4474">
        <v>0.70730381162018463</v>
      </c>
      <c r="AB4474" t="str">
        <f>HYPERLINK("Melting_Curves/meltCurve_Q8IYL3_C1orf174.pdf", "Melting_Curves/meltCurve_Q8IYL3_C1orf174.pdf")</f>
        <v>Melting_Curves/meltCurve_Q8IYL3_C1orf174.pdf</v>
      </c>
    </row>
    <row r="4475" spans="1:28" x14ac:dyDescent="0.25">
      <c r="A4475" t="s">
        <v>4479</v>
      </c>
      <c r="B4475">
        <v>0.99472303558308395</v>
      </c>
      <c r="C4475">
        <v>1.0375849095993701</v>
      </c>
      <c r="D4475">
        <v>0.88937433170271796</v>
      </c>
      <c r="E4475">
        <v>0.68854311609351704</v>
      </c>
      <c r="F4475">
        <v>0.41600367719707698</v>
      </c>
      <c r="G4475">
        <v>0.270625914078712</v>
      </c>
      <c r="H4475">
        <v>0.209421919255876</v>
      </c>
      <c r="I4475">
        <v>0.13675327968088499</v>
      </c>
      <c r="J4475">
        <v>0.180616004624226</v>
      </c>
      <c r="K4475">
        <v>0.164132384870257</v>
      </c>
      <c r="L4475">
        <v>868.50782189803704</v>
      </c>
      <c r="M4475">
        <v>18.0977284942926</v>
      </c>
      <c r="N4475">
        <v>49.0035418133684</v>
      </c>
      <c r="O4475">
        <v>47.415450869242498</v>
      </c>
      <c r="P4475">
        <v>-8.0526093763851295E-2</v>
      </c>
      <c r="Q4475">
        <v>0.156137939936665</v>
      </c>
      <c r="R4475">
        <v>0.99535392719507798</v>
      </c>
      <c r="S4475" t="s">
        <v>11043</v>
      </c>
      <c r="T4475" t="s">
        <v>13134</v>
      </c>
      <c r="U4475" t="s">
        <v>13134</v>
      </c>
      <c r="V4475" t="s">
        <v>13134</v>
      </c>
      <c r="W4475" t="s">
        <v>17548</v>
      </c>
      <c r="X4475">
        <v>3</v>
      </c>
      <c r="Y4475" t="s">
        <v>23923</v>
      </c>
      <c r="Z4475" t="s">
        <v>30443</v>
      </c>
      <c r="AA4475">
        <v>0.47862515218229662</v>
      </c>
      <c r="AB4475" t="str">
        <f>HYPERLINK("Melting_Curves/meltCurve_Q8IYN2_TCEAL8.pdf", "Melting_Curves/meltCurve_Q8IYN2_TCEAL8.pdf")</f>
        <v>Melting_Curves/meltCurve_Q8IYN2_TCEAL8.pdf</v>
      </c>
    </row>
    <row r="4476" spans="1:28" x14ac:dyDescent="0.25">
      <c r="A4476" t="s">
        <v>4480</v>
      </c>
      <c r="B4476">
        <v>0.99472303558308395</v>
      </c>
      <c r="C4476">
        <v>0.96341463446034803</v>
      </c>
      <c r="D4476">
        <v>0.94763949014944204</v>
      </c>
      <c r="E4476">
        <v>0.84819295925717997</v>
      </c>
      <c r="F4476">
        <v>0.68391578516992402</v>
      </c>
      <c r="G4476">
        <v>0.32827873838899801</v>
      </c>
      <c r="H4476">
        <v>0.167698132574013</v>
      </c>
      <c r="I4476">
        <v>0.10450381510194801</v>
      </c>
      <c r="J4476">
        <v>0.117364010562368</v>
      </c>
      <c r="K4476">
        <v>0.135295088330247</v>
      </c>
      <c r="L4476">
        <v>1031.2554033594499</v>
      </c>
      <c r="M4476">
        <v>20.1327780053977</v>
      </c>
      <c r="N4476">
        <v>51.759368038590303</v>
      </c>
      <c r="O4476">
        <v>50.725376296098901</v>
      </c>
      <c r="P4476">
        <v>-8.9880780897482804E-2</v>
      </c>
      <c r="Q4476">
        <v>9.4195208174324196E-2</v>
      </c>
      <c r="R4476">
        <v>0.99377379924853404</v>
      </c>
      <c r="S4476" t="s">
        <v>11044</v>
      </c>
      <c r="T4476" t="s">
        <v>13134</v>
      </c>
      <c r="U4476" t="s">
        <v>13134</v>
      </c>
      <c r="V4476" t="s">
        <v>13134</v>
      </c>
      <c r="W4476" t="s">
        <v>17549</v>
      </c>
      <c r="X4476">
        <v>11</v>
      </c>
      <c r="Y4476" t="s">
        <v>23924</v>
      </c>
      <c r="Z4476" t="s">
        <v>30444</v>
      </c>
      <c r="AA4476">
        <v>0.53533256141839236</v>
      </c>
      <c r="AB4476" t="str">
        <f>HYPERLINK("Melting_Curves/meltCurve_Q8IYQ7_THNSL1.pdf", "Melting_Curves/meltCurve_Q8IYQ7_THNSL1.pdf")</f>
        <v>Melting_Curves/meltCurve_Q8IYQ7_THNSL1.pdf</v>
      </c>
    </row>
    <row r="4477" spans="1:28" x14ac:dyDescent="0.25">
      <c r="A4477" t="s">
        <v>4481</v>
      </c>
      <c r="B4477">
        <v>0.99472303558308395</v>
      </c>
      <c r="C4477">
        <v>1.03460075486083</v>
      </c>
      <c r="D4477">
        <v>0.91673051368495895</v>
      </c>
      <c r="E4477">
        <v>0.62301810449527195</v>
      </c>
      <c r="F4477">
        <v>0.41619171550298201</v>
      </c>
      <c r="G4477">
        <v>0.24426666239410499</v>
      </c>
      <c r="H4477">
        <v>0.15466392035683099</v>
      </c>
      <c r="I4477">
        <v>8.1022926833533598E-2</v>
      </c>
      <c r="J4477">
        <v>0.103284756069511</v>
      </c>
      <c r="K4477">
        <v>0.118233893072598</v>
      </c>
      <c r="L4477">
        <v>811.99655539059302</v>
      </c>
      <c r="M4477">
        <v>16.870876147950099</v>
      </c>
      <c r="N4477">
        <v>48.728776434668802</v>
      </c>
      <c r="O4477">
        <v>47.469107422323297</v>
      </c>
      <c r="P4477">
        <v>-8.0540047041577606E-2</v>
      </c>
      <c r="Q4477">
        <v>9.3604706884214905E-2</v>
      </c>
      <c r="R4477">
        <v>0.99343109698623</v>
      </c>
      <c r="S4477" t="s">
        <v>11045</v>
      </c>
      <c r="T4477" t="s">
        <v>13134</v>
      </c>
      <c r="U4477" t="s">
        <v>13134</v>
      </c>
      <c r="V4477" t="s">
        <v>13134</v>
      </c>
      <c r="W4477" t="s">
        <v>17550</v>
      </c>
      <c r="X4477">
        <v>1</v>
      </c>
      <c r="Y4477" t="s">
        <v>23925</v>
      </c>
      <c r="Z4477" t="s">
        <v>30445</v>
      </c>
      <c r="AA4477">
        <v>0.44614230969497742</v>
      </c>
      <c r="AB4477" t="str">
        <f>HYPERLINK("Melting_Curves/meltCurve_Q8IYS1_PM20D2.pdf", "Melting_Curves/meltCurve_Q8IYS1_PM20D2.pdf")</f>
        <v>Melting_Curves/meltCurve_Q8IYS1_PM20D2.pdf</v>
      </c>
    </row>
    <row r="4478" spans="1:28" x14ac:dyDescent="0.25">
      <c r="A4478" t="s">
        <v>4482</v>
      </c>
      <c r="B4478">
        <v>0.99472303558308395</v>
      </c>
      <c r="C4478">
        <v>0.97043014722035204</v>
      </c>
      <c r="D4478">
        <v>0.76421479533959902</v>
      </c>
      <c r="E4478">
        <v>0.62500914284198705</v>
      </c>
      <c r="F4478">
        <v>0.47540425318463703</v>
      </c>
      <c r="G4478">
        <v>0.23689603857046401</v>
      </c>
      <c r="H4478">
        <v>0.14061586148206701</v>
      </c>
      <c r="I4478">
        <v>0.101808255190367</v>
      </c>
      <c r="J4478">
        <v>8.8952689330677501E-2</v>
      </c>
      <c r="K4478">
        <v>9.5301235565132605E-2</v>
      </c>
      <c r="L4478">
        <v>571.14558647866602</v>
      </c>
      <c r="M4478">
        <v>11.791656383688199</v>
      </c>
      <c r="N4478">
        <v>48.735277157526703</v>
      </c>
      <c r="O4478">
        <v>47.106321901971398</v>
      </c>
      <c r="P4478">
        <v>-6.0412876070675997E-2</v>
      </c>
      <c r="Q4478">
        <v>3.48788134698131E-2</v>
      </c>
      <c r="R4478">
        <v>0.99106422127760296</v>
      </c>
      <c r="S4478" t="s">
        <v>11046</v>
      </c>
      <c r="T4478" t="s">
        <v>13134</v>
      </c>
      <c r="U4478" t="s">
        <v>13134</v>
      </c>
      <c r="V4478" t="s">
        <v>13134</v>
      </c>
      <c r="W4478" t="s">
        <v>17551</v>
      </c>
      <c r="X4478">
        <v>6</v>
      </c>
      <c r="Y4478" t="s">
        <v>23926</v>
      </c>
      <c r="Z4478" t="s">
        <v>30446</v>
      </c>
      <c r="AA4478">
        <v>0.43308448764867652</v>
      </c>
      <c r="AB4478" t="str">
        <f>HYPERLINK("Melting_Curves/meltCurve_Q8IYS2_KIAA2013.pdf", "Melting_Curves/meltCurve_Q8IYS2_KIAA2013.pdf")</f>
        <v>Melting_Curves/meltCurve_Q8IYS2_KIAA2013.pdf</v>
      </c>
    </row>
    <row r="4479" spans="1:28" x14ac:dyDescent="0.25">
      <c r="A4479" t="s">
        <v>4483</v>
      </c>
      <c r="B4479">
        <v>0.99472303558308395</v>
      </c>
      <c r="C4479">
        <v>0.87654798446745597</v>
      </c>
      <c r="D4479">
        <v>0.89808433829821899</v>
      </c>
      <c r="E4479">
        <v>0.49037471562581703</v>
      </c>
      <c r="F4479">
        <v>0.24977442097691999</v>
      </c>
      <c r="G4479">
        <v>0.16172194916864999</v>
      </c>
      <c r="H4479">
        <v>0.12304502888626399</v>
      </c>
      <c r="I4479">
        <v>8.9833178148229803E-2</v>
      </c>
      <c r="J4479">
        <v>0.120735614171759</v>
      </c>
      <c r="K4479">
        <v>6.7094081203234707E-2</v>
      </c>
      <c r="L4479">
        <v>941.01594306914797</v>
      </c>
      <c r="M4479">
        <v>20.3375647701213</v>
      </c>
      <c r="N4479">
        <v>46.757230689703</v>
      </c>
      <c r="O4479">
        <v>45.829458437948297</v>
      </c>
      <c r="P4479">
        <v>-0.100348040842061</v>
      </c>
      <c r="Q4479">
        <v>9.5514861962067196E-2</v>
      </c>
      <c r="R4479">
        <v>0.98919146940962999</v>
      </c>
      <c r="S4479" t="s">
        <v>11047</v>
      </c>
      <c r="T4479" t="s">
        <v>13134</v>
      </c>
      <c r="U4479" t="s">
        <v>13134</v>
      </c>
      <c r="V4479" t="s">
        <v>13134</v>
      </c>
      <c r="W4479" t="s">
        <v>17552</v>
      </c>
      <c r="X4479">
        <v>2</v>
      </c>
      <c r="Y4479" t="s">
        <v>23927</v>
      </c>
      <c r="Z4479" t="s">
        <v>30447</v>
      </c>
      <c r="AA4479">
        <v>0.38642886797193671</v>
      </c>
      <c r="AB4479" t="str">
        <f>HYPERLINK("Melting_Curves/meltCurve_Q8IYT2_FTSJD1.pdf", "Melting_Curves/meltCurve_Q8IYT2_FTSJD1.pdf")</f>
        <v>Melting_Curves/meltCurve_Q8IYT2_FTSJD1.pdf</v>
      </c>
    </row>
    <row r="4480" spans="1:28" x14ac:dyDescent="0.25">
      <c r="A4480" t="s">
        <v>4484</v>
      </c>
      <c r="B4480">
        <v>0.99472303558308395</v>
      </c>
      <c r="C4480">
        <v>1.0275892066494601</v>
      </c>
      <c r="D4480">
        <v>0.92578528390015102</v>
      </c>
      <c r="E4480">
        <v>0.78420254407435896</v>
      </c>
      <c r="F4480">
        <v>0.38485481243365</v>
      </c>
      <c r="G4480">
        <v>0.113653927066487</v>
      </c>
      <c r="H4480">
        <v>6.8497051412312895E-2</v>
      </c>
      <c r="I4480">
        <v>5.28917609374214E-2</v>
      </c>
      <c r="J4480">
        <v>6.6535708072128497E-2</v>
      </c>
      <c r="K4480">
        <v>5.4720712065494101E-2</v>
      </c>
      <c r="L4480">
        <v>1207.63099573364</v>
      </c>
      <c r="M4480">
        <v>24.713589720297701</v>
      </c>
      <c r="N4480">
        <v>49.067443627065202</v>
      </c>
      <c r="O4480">
        <v>48.548480833624097</v>
      </c>
      <c r="P4480">
        <v>-0.121097572244719</v>
      </c>
      <c r="Q4480">
        <v>4.84554490883366E-2</v>
      </c>
      <c r="R4480">
        <v>0.99773438470087805</v>
      </c>
      <c r="S4480" t="s">
        <v>11048</v>
      </c>
      <c r="T4480" t="s">
        <v>13134</v>
      </c>
      <c r="U4480" t="s">
        <v>13134</v>
      </c>
      <c r="V4480" t="s">
        <v>13134</v>
      </c>
      <c r="W4480" t="s">
        <v>17553</v>
      </c>
      <c r="X4480">
        <v>8</v>
      </c>
      <c r="Y4480" t="s">
        <v>23928</v>
      </c>
      <c r="Z4480" t="s">
        <v>30448</v>
      </c>
      <c r="AA4480">
        <v>0.43318716034709498</v>
      </c>
      <c r="AB4480" t="str">
        <f>HYPERLINK("Melting_Curves/meltCurve_Q8IYU8_MICU2.pdf", "Melting_Curves/meltCurve_Q8IYU8_MICU2.pdf")</f>
        <v>Melting_Curves/meltCurve_Q8IYU8_MICU2.pdf</v>
      </c>
    </row>
    <row r="4481" spans="1:28" x14ac:dyDescent="0.25">
      <c r="A4481" t="s">
        <v>4485</v>
      </c>
      <c r="B4481">
        <v>0.99472303558308395</v>
      </c>
      <c r="C4481">
        <v>1.0430926563077001</v>
      </c>
      <c r="D4481">
        <v>0.93854758718162901</v>
      </c>
      <c r="E4481">
        <v>0.82637885542379697</v>
      </c>
      <c r="F4481">
        <v>0.382909385057221</v>
      </c>
      <c r="G4481">
        <v>0.30511396706084798</v>
      </c>
      <c r="H4481">
        <v>0.161923055514649</v>
      </c>
      <c r="I4481">
        <v>8.2936047165950905E-2</v>
      </c>
      <c r="J4481">
        <v>0.107655588522708</v>
      </c>
      <c r="K4481">
        <v>3.37366490158258E-2</v>
      </c>
      <c r="L4481">
        <v>947.11891015386095</v>
      </c>
      <c r="M4481">
        <v>19.185087047300399</v>
      </c>
      <c r="N4481">
        <v>49.8024512554381</v>
      </c>
      <c r="O4481">
        <v>48.840469222859298</v>
      </c>
      <c r="P4481">
        <v>-9.0630774703251898E-2</v>
      </c>
      <c r="Q4481">
        <v>7.7141585928965001E-2</v>
      </c>
      <c r="R4481">
        <v>0.98642303154340905</v>
      </c>
      <c r="S4481" t="s">
        <v>11049</v>
      </c>
      <c r="T4481" t="s">
        <v>13134</v>
      </c>
      <c r="U4481" t="s">
        <v>13134</v>
      </c>
      <c r="V4481" t="s">
        <v>13134</v>
      </c>
      <c r="W4481" t="s">
        <v>17554</v>
      </c>
      <c r="X4481">
        <v>5</v>
      </c>
      <c r="Y4481" t="s">
        <v>23929</v>
      </c>
      <c r="Z4481" t="s">
        <v>30449</v>
      </c>
      <c r="AA4481">
        <v>0.47068633089590572</v>
      </c>
      <c r="AB4481" t="str">
        <f>HYPERLINK("Melting_Curves/meltCurve_Q8IYW5_RNF168.pdf", "Melting_Curves/meltCurve_Q8IYW5_RNF168.pdf")</f>
        <v>Melting_Curves/meltCurve_Q8IYW5_RNF168.pdf</v>
      </c>
    </row>
    <row r="4482" spans="1:28" x14ac:dyDescent="0.25">
      <c r="A4482" t="s">
        <v>4486</v>
      </c>
      <c r="B4482">
        <v>0.99472303558308395</v>
      </c>
      <c r="C4482">
        <v>0.99719302222316197</v>
      </c>
      <c r="D4482">
        <v>0.89145403566762405</v>
      </c>
      <c r="E4482">
        <v>0.75265915965202601</v>
      </c>
      <c r="F4482">
        <v>0.41004428736790199</v>
      </c>
      <c r="G4482">
        <v>0.15088268614726399</v>
      </c>
      <c r="H4482">
        <v>9.2795078901821995E-2</v>
      </c>
      <c r="I4482">
        <v>5.48760386349628E-2</v>
      </c>
      <c r="J4482">
        <v>6.2691430664423994E-2</v>
      </c>
      <c r="K4482">
        <v>5.4901267352267698E-2</v>
      </c>
      <c r="L4482">
        <v>965.57697051810806</v>
      </c>
      <c r="M4482">
        <v>19.755895706601301</v>
      </c>
      <c r="N4482">
        <v>49.097009851778999</v>
      </c>
      <c r="O4482">
        <v>48.382866679740502</v>
      </c>
      <c r="P4482">
        <v>-9.7729700766095301E-2</v>
      </c>
      <c r="Q4482">
        <v>4.2659126766983198E-2</v>
      </c>
      <c r="R4482">
        <v>0.99760499423391102</v>
      </c>
      <c r="S4482" t="s">
        <v>11050</v>
      </c>
      <c r="T4482" t="s">
        <v>13134</v>
      </c>
      <c r="U4482" t="s">
        <v>13134</v>
      </c>
      <c r="V4482" t="s">
        <v>13134</v>
      </c>
      <c r="W4482" t="s">
        <v>17555</v>
      </c>
      <c r="X4482">
        <v>9</v>
      </c>
      <c r="Y4482" t="s">
        <v>23930</v>
      </c>
      <c r="Z4482" t="s">
        <v>30450</v>
      </c>
      <c r="AA4482">
        <v>0.43451499784959441</v>
      </c>
      <c r="AB4482" t="str">
        <f>HYPERLINK("Melting_Curves/meltCurve_Q8IZ07_ANKRD13A.pdf", "Melting_Curves/meltCurve_Q8IZ07_ANKRD13A.pdf")</f>
        <v>Melting_Curves/meltCurve_Q8IZ07_ANKRD13A.pdf</v>
      </c>
    </row>
    <row r="4483" spans="1:28" x14ac:dyDescent="0.25">
      <c r="A4483" t="s">
        <v>4487</v>
      </c>
      <c r="B4483">
        <v>0.99472303558308395</v>
      </c>
      <c r="C4483">
        <v>1.0247295993552701</v>
      </c>
      <c r="D4483">
        <v>0.93210674129332105</v>
      </c>
      <c r="E4483">
        <v>0.899977054077575</v>
      </c>
      <c r="F4483">
        <v>0.71143740138544198</v>
      </c>
      <c r="G4483">
        <v>0.53544867499256898</v>
      </c>
      <c r="H4483">
        <v>0.44796560636677801</v>
      </c>
      <c r="I4483">
        <v>0.46810728305890897</v>
      </c>
      <c r="J4483">
        <v>0.700150546879307</v>
      </c>
      <c r="K4483">
        <v>0.55585712468540804</v>
      </c>
      <c r="L4483">
        <v>1419.3208511478999</v>
      </c>
      <c r="M4483">
        <v>29.039608636817299</v>
      </c>
      <c r="O4483">
        <v>48.6453486424248</v>
      </c>
      <c r="P4483">
        <v>-6.90090681575357E-2</v>
      </c>
      <c r="Q4483">
        <v>0.53760478240516596</v>
      </c>
      <c r="R4483">
        <v>0.89446676914943701</v>
      </c>
      <c r="S4483" t="s">
        <v>11051</v>
      </c>
      <c r="T4483" t="s">
        <v>13134</v>
      </c>
      <c r="U4483" t="s">
        <v>13134</v>
      </c>
      <c r="V4483" t="s">
        <v>13134</v>
      </c>
      <c r="W4483" t="s">
        <v>17556</v>
      </c>
      <c r="X4483">
        <v>18</v>
      </c>
      <c r="Y4483" t="s">
        <v>23931</v>
      </c>
      <c r="Z4483" t="s">
        <v>30451</v>
      </c>
      <c r="AA4483">
        <v>0.7236107294279287</v>
      </c>
      <c r="AB4483" t="str">
        <f>HYPERLINK("Melting_Curves/meltCurve_Q8IZ21_3_PHACTR4.pdf", "Melting_Curves/meltCurve_Q8IZ21_3_PHACTR4.pdf")</f>
        <v>Melting_Curves/meltCurve_Q8IZ21_3_PHACTR4.pdf</v>
      </c>
    </row>
    <row r="4484" spans="1:28" x14ac:dyDescent="0.25">
      <c r="A4484" t="s">
        <v>4488</v>
      </c>
      <c r="B4484">
        <v>0.99472303558308395</v>
      </c>
      <c r="C4484">
        <v>1.0003533000296201</v>
      </c>
      <c r="D4484">
        <v>0.77843413931621197</v>
      </c>
      <c r="E4484">
        <v>0.70770844757460205</v>
      </c>
      <c r="F4484">
        <v>0.430027460495155</v>
      </c>
      <c r="G4484">
        <v>0.18315054547474599</v>
      </c>
      <c r="H4484">
        <v>0.102143901714879</v>
      </c>
      <c r="I4484">
        <v>0.107872593309394</v>
      </c>
      <c r="J4484">
        <v>0.122003516843521</v>
      </c>
      <c r="K4484">
        <v>9.9767086975900199E-2</v>
      </c>
      <c r="L4484">
        <v>736.112690392574</v>
      </c>
      <c r="M4484">
        <v>15.255377543967301</v>
      </c>
      <c r="N4484">
        <v>48.727328149415399</v>
      </c>
      <c r="O4484">
        <v>47.446324739618298</v>
      </c>
      <c r="P4484">
        <v>-7.4839410741777496E-2</v>
      </c>
      <c r="Q4484">
        <v>6.9044553508790699E-2</v>
      </c>
      <c r="R4484">
        <v>0.98529588053008799</v>
      </c>
      <c r="S4484" t="s">
        <v>11052</v>
      </c>
      <c r="T4484" t="s">
        <v>13134</v>
      </c>
      <c r="U4484" t="s">
        <v>13134</v>
      </c>
      <c r="V4484" t="s">
        <v>13134</v>
      </c>
      <c r="W4484" t="s">
        <v>17557</v>
      </c>
      <c r="X4484">
        <v>5</v>
      </c>
      <c r="Y4484" t="s">
        <v>23932</v>
      </c>
      <c r="Z4484" t="s">
        <v>30452</v>
      </c>
      <c r="AA4484">
        <v>0.43805992253314069</v>
      </c>
      <c r="AB4484" t="str">
        <f>HYPERLINK("Melting_Curves/meltCurve_Q8IZ52_CHPF.pdf", "Melting_Curves/meltCurve_Q8IZ52_CHPF.pdf")</f>
        <v>Melting_Curves/meltCurve_Q8IZ52_CHPF.pdf</v>
      </c>
    </row>
    <row r="4485" spans="1:28" x14ac:dyDescent="0.25">
      <c r="A4485" t="s">
        <v>4489</v>
      </c>
      <c r="B4485">
        <v>0.99472303558308395</v>
      </c>
      <c r="C4485">
        <v>0.94915141177301099</v>
      </c>
      <c r="D4485">
        <v>0.79364036648270597</v>
      </c>
      <c r="E4485">
        <v>0.66934729364615497</v>
      </c>
      <c r="F4485">
        <v>0.413533547244754</v>
      </c>
      <c r="G4485">
        <v>0.24058382945016199</v>
      </c>
      <c r="H4485">
        <v>0.111795889365279</v>
      </c>
      <c r="I4485">
        <v>7.0315841053565198E-2</v>
      </c>
      <c r="J4485">
        <v>9.3783356372380097E-2</v>
      </c>
      <c r="K4485">
        <v>5.9878568392966798E-2</v>
      </c>
      <c r="L4485">
        <v>618.85952972888299</v>
      </c>
      <c r="M4485">
        <v>12.754786325104201</v>
      </c>
      <c r="N4485">
        <v>48.697955092617399</v>
      </c>
      <c r="O4485">
        <v>47.373484468336997</v>
      </c>
      <c r="P4485">
        <v>-6.57878076224888E-2</v>
      </c>
      <c r="Q4485">
        <v>2.27963691466367E-2</v>
      </c>
      <c r="R4485">
        <v>0.99556602486096102</v>
      </c>
      <c r="S4485" t="s">
        <v>11053</v>
      </c>
      <c r="T4485" t="s">
        <v>13134</v>
      </c>
      <c r="U4485" t="s">
        <v>13134</v>
      </c>
      <c r="V4485" t="s">
        <v>13134</v>
      </c>
      <c r="W4485" t="s">
        <v>17558</v>
      </c>
      <c r="X4485">
        <v>10</v>
      </c>
      <c r="Y4485" t="s">
        <v>23933</v>
      </c>
      <c r="Z4485" t="s">
        <v>30453</v>
      </c>
      <c r="AA4485">
        <v>0.42535199374753019</v>
      </c>
      <c r="AB4485" t="str">
        <f>HYPERLINK("Melting_Curves/meltCurve_Q8IZ68_MTX2.pdf", "Melting_Curves/meltCurve_Q8IZ68_MTX2.pdf")</f>
        <v>Melting_Curves/meltCurve_Q8IZ68_MTX2.pdf</v>
      </c>
    </row>
    <row r="4486" spans="1:28" x14ac:dyDescent="0.25">
      <c r="A4486" t="s">
        <v>4490</v>
      </c>
      <c r="B4486">
        <v>0.99472303558308395</v>
      </c>
      <c r="C4486">
        <v>1.0425783613923101</v>
      </c>
      <c r="D4486">
        <v>0.97094916839301604</v>
      </c>
      <c r="E4486">
        <v>0.89482087992258996</v>
      </c>
      <c r="F4486">
        <v>0.62743997971822296</v>
      </c>
      <c r="G4486">
        <v>0.42536596785801101</v>
      </c>
      <c r="H4486">
        <v>0.15534319996439</v>
      </c>
      <c r="I4486">
        <v>7.3572946468197301E-2</v>
      </c>
      <c r="J4486">
        <v>8.5985863169659102E-2</v>
      </c>
      <c r="K4486">
        <v>7.9885051760915704E-2</v>
      </c>
      <c r="L4486">
        <v>922.91222866256498</v>
      </c>
      <c r="M4486">
        <v>17.791165400589001</v>
      </c>
      <c r="N4486">
        <v>52.131324990124</v>
      </c>
      <c r="O4486">
        <v>51.232677167926603</v>
      </c>
      <c r="P4486">
        <v>-8.3180543194888504E-2</v>
      </c>
      <c r="Q4486">
        <v>4.19195929236056E-2</v>
      </c>
      <c r="R4486">
        <v>0.99448649697027003</v>
      </c>
      <c r="S4486" t="s">
        <v>11054</v>
      </c>
      <c r="T4486" t="s">
        <v>13134</v>
      </c>
      <c r="U4486" t="s">
        <v>13134</v>
      </c>
      <c r="V4486" t="s">
        <v>13134</v>
      </c>
      <c r="W4486" t="s">
        <v>17559</v>
      </c>
      <c r="X4486">
        <v>13</v>
      </c>
      <c r="Y4486" t="s">
        <v>23934</v>
      </c>
      <c r="Z4486" t="s">
        <v>30454</v>
      </c>
      <c r="AA4486">
        <v>0.53174756514023203</v>
      </c>
      <c r="AB4486" t="str">
        <f>HYPERLINK("Melting_Curves/meltCurve_Q8IZ73_RPUSD2.pdf", "Melting_Curves/meltCurve_Q8IZ73_RPUSD2.pdf")</f>
        <v>Melting_Curves/meltCurve_Q8IZ73_RPUSD2.pdf</v>
      </c>
    </row>
    <row r="4487" spans="1:28" x14ac:dyDescent="0.25">
      <c r="A4487" t="s">
        <v>4491</v>
      </c>
      <c r="B4487">
        <v>0.99472303558308395</v>
      </c>
      <c r="C4487">
        <v>0.93257395257571496</v>
      </c>
      <c r="D4487">
        <v>0.68760273041810205</v>
      </c>
      <c r="E4487">
        <v>0.50997217926228899</v>
      </c>
      <c r="F4487">
        <v>0.407721172797816</v>
      </c>
      <c r="G4487">
        <v>0.19547953018168199</v>
      </c>
      <c r="H4487">
        <v>0.13063945246334499</v>
      </c>
      <c r="I4487">
        <v>7.1250562534472803E-2</v>
      </c>
      <c r="J4487">
        <v>5.4877474283428797E-2</v>
      </c>
      <c r="K4487">
        <v>5.5682949651012302E-2</v>
      </c>
      <c r="L4487">
        <v>518.816491267473</v>
      </c>
      <c r="M4487">
        <v>11.004797877024499</v>
      </c>
      <c r="N4487">
        <v>47.2277620526093</v>
      </c>
      <c r="O4487">
        <v>45.668079177292498</v>
      </c>
      <c r="P4487">
        <v>-5.9685232884448297E-2</v>
      </c>
      <c r="Q4487">
        <v>9.5988931848960297E-3</v>
      </c>
      <c r="R4487">
        <v>0.98925256784572901</v>
      </c>
      <c r="S4487" t="s">
        <v>11055</v>
      </c>
      <c r="T4487" t="s">
        <v>13134</v>
      </c>
      <c r="U4487" t="s">
        <v>13134</v>
      </c>
      <c r="V4487" t="s">
        <v>13134</v>
      </c>
      <c r="W4487" t="s">
        <v>17560</v>
      </c>
      <c r="X4487">
        <v>14</v>
      </c>
      <c r="Y4487" t="s">
        <v>23935</v>
      </c>
      <c r="Z4487" t="s">
        <v>30455</v>
      </c>
      <c r="AA4487">
        <v>0.38139592452921051</v>
      </c>
      <c r="AB4487" t="str">
        <f>HYPERLINK("Melting_Curves/meltCurve_Q8IZ83_ALDH16A1.pdf", "Melting_Curves/meltCurve_Q8IZ83_ALDH16A1.pdf")</f>
        <v>Melting_Curves/meltCurve_Q8IZ83_ALDH16A1.pdf</v>
      </c>
    </row>
    <row r="4488" spans="1:28" x14ac:dyDescent="0.25">
      <c r="A4488" t="s">
        <v>4492</v>
      </c>
      <c r="B4488">
        <v>0.99472303558308395</v>
      </c>
      <c r="C4488">
        <v>0.885829132838301</v>
      </c>
      <c r="D4488">
        <v>0.78074757175798104</v>
      </c>
      <c r="E4488">
        <v>0.47940569556559298</v>
      </c>
      <c r="F4488">
        <v>0.241735300645157</v>
      </c>
      <c r="G4488">
        <v>0.12623066005790001</v>
      </c>
      <c r="H4488">
        <v>8.4737661683039603E-2</v>
      </c>
      <c r="I4488">
        <v>4.9078208742414302E-2</v>
      </c>
      <c r="J4488">
        <v>7.2895834171369703E-2</v>
      </c>
      <c r="K4488">
        <v>5.4687568283886497E-2</v>
      </c>
      <c r="L4488">
        <v>729.60165722656097</v>
      </c>
      <c r="M4488">
        <v>15.850938394668001</v>
      </c>
      <c r="N4488">
        <v>46.302487375411999</v>
      </c>
      <c r="O4488">
        <v>45.3149982878017</v>
      </c>
      <c r="P4488">
        <v>-8.3546542302301796E-2</v>
      </c>
      <c r="Q4488">
        <v>4.4699176483428103E-2</v>
      </c>
      <c r="R4488">
        <v>0.99808292803706999</v>
      </c>
      <c r="S4488" t="s">
        <v>11056</v>
      </c>
      <c r="T4488" t="s">
        <v>13134</v>
      </c>
      <c r="U4488" t="s">
        <v>13134</v>
      </c>
      <c r="V4488" t="s">
        <v>13134</v>
      </c>
      <c r="W4488" t="s">
        <v>17561</v>
      </c>
      <c r="X4488">
        <v>10</v>
      </c>
      <c r="Y4488" t="s">
        <v>23936</v>
      </c>
      <c r="Z4488" t="s">
        <v>30456</v>
      </c>
      <c r="AA4488">
        <v>0.35202185973216488</v>
      </c>
      <c r="AB4488" t="str">
        <f>HYPERLINK("Melting_Curves/meltCurve_Q8IZH2_2_XRN1.pdf", "Melting_Curves/meltCurve_Q8IZH2_2_XRN1.pdf")</f>
        <v>Melting_Curves/meltCurve_Q8IZH2_2_XRN1.pdf</v>
      </c>
    </row>
    <row r="4489" spans="1:28" x14ac:dyDescent="0.25">
      <c r="A4489" t="s">
        <v>4493</v>
      </c>
      <c r="B4489">
        <v>0.99472303558308395</v>
      </c>
      <c r="C4489">
        <v>1.0099415088274999</v>
      </c>
      <c r="D4489">
        <v>0.98012031937913702</v>
      </c>
      <c r="E4489">
        <v>0.86455203962278004</v>
      </c>
      <c r="F4489">
        <v>0.65812110804509305</v>
      </c>
      <c r="G4489">
        <v>0.52028455746398306</v>
      </c>
      <c r="H4489">
        <v>0.25770071515020399</v>
      </c>
      <c r="I4489">
        <v>0.16194998283599499</v>
      </c>
      <c r="J4489">
        <v>0.16121946412461899</v>
      </c>
      <c r="K4489">
        <v>0.15498255557923599</v>
      </c>
      <c r="L4489">
        <v>777.34139123517605</v>
      </c>
      <c r="M4489">
        <v>14.8500193500411</v>
      </c>
      <c r="N4489">
        <v>53.124689925874797</v>
      </c>
      <c r="O4489">
        <v>51.424406713119602</v>
      </c>
      <c r="P4489">
        <v>-6.5140742275985097E-2</v>
      </c>
      <c r="Q4489">
        <v>9.7786546863074003E-2</v>
      </c>
      <c r="R4489">
        <v>0.993547319589415</v>
      </c>
      <c r="S4489" t="s">
        <v>11057</v>
      </c>
      <c r="T4489" t="s">
        <v>13134</v>
      </c>
      <c r="U4489" t="s">
        <v>13134</v>
      </c>
      <c r="V4489" t="s">
        <v>13134</v>
      </c>
      <c r="W4489" t="s">
        <v>17562</v>
      </c>
      <c r="X4489">
        <v>5</v>
      </c>
      <c r="Y4489" t="s">
        <v>23937</v>
      </c>
      <c r="Z4489" t="s">
        <v>30457</v>
      </c>
      <c r="AA4489">
        <v>0.57638317566692721</v>
      </c>
      <c r="AB4489" t="str">
        <f>HYPERLINK("Melting_Curves/meltCurve_Q8IZQ5_SELH.pdf", "Melting_Curves/meltCurve_Q8IZQ5_SELH.pdf")</f>
        <v>Melting_Curves/meltCurve_Q8IZQ5_SELH.pdf</v>
      </c>
    </row>
    <row r="4490" spans="1:28" x14ac:dyDescent="0.25">
      <c r="A4490" t="s">
        <v>4494</v>
      </c>
      <c r="B4490">
        <v>0.99472303558308395</v>
      </c>
      <c r="C4490">
        <v>0.87198199965401002</v>
      </c>
      <c r="D4490">
        <v>0.95469301873101897</v>
      </c>
      <c r="E4490">
        <v>0.754871623732152</v>
      </c>
      <c r="F4490">
        <v>0.52657469790127198</v>
      </c>
      <c r="G4490">
        <v>0.38397179886011101</v>
      </c>
      <c r="H4490">
        <v>0.27889848158974501</v>
      </c>
      <c r="I4490">
        <v>0.26279157917237</v>
      </c>
      <c r="J4490">
        <v>0.40676667471605699</v>
      </c>
      <c r="K4490">
        <v>0.37818782467967099</v>
      </c>
      <c r="L4490">
        <v>997.42134561248099</v>
      </c>
      <c r="M4490">
        <v>20.845421507841799</v>
      </c>
      <c r="N4490">
        <v>50.401419483513102</v>
      </c>
      <c r="O4490">
        <v>47.414641623325302</v>
      </c>
      <c r="P4490">
        <v>-7.4075440227596101E-2</v>
      </c>
      <c r="Q4490">
        <v>0.32605567254055701</v>
      </c>
      <c r="R4490">
        <v>0.95575554627610804</v>
      </c>
      <c r="S4490" t="s">
        <v>11058</v>
      </c>
      <c r="T4490" t="s">
        <v>13134</v>
      </c>
      <c r="U4490" t="s">
        <v>13134</v>
      </c>
      <c r="V4490" t="s">
        <v>13134</v>
      </c>
      <c r="W4490" t="s">
        <v>17563</v>
      </c>
      <c r="X4490">
        <v>2</v>
      </c>
      <c r="Y4490" t="s">
        <v>23938</v>
      </c>
      <c r="Z4490" t="s">
        <v>30458</v>
      </c>
      <c r="AA4490">
        <v>0.5779406398688971</v>
      </c>
      <c r="AB4490" t="str">
        <f>HYPERLINK("Melting_Curves/meltCurve_Q8IZR5_3_CMTM4.pdf", "Melting_Curves/meltCurve_Q8IZR5_3_CMTM4.pdf")</f>
        <v>Melting_Curves/meltCurve_Q8IZR5_3_CMTM4.pdf</v>
      </c>
    </row>
    <row r="4491" spans="1:28" x14ac:dyDescent="0.25">
      <c r="A4491" t="s">
        <v>4495</v>
      </c>
      <c r="B4491">
        <v>0.99472303558308395</v>
      </c>
      <c r="C4491">
        <v>0.96505901634815305</v>
      </c>
      <c r="D4491">
        <v>0.94085755856602604</v>
      </c>
      <c r="E4491">
        <v>0.83576019809193403</v>
      </c>
      <c r="F4491">
        <v>0.69645928448672101</v>
      </c>
      <c r="G4491">
        <v>0.50500947813854302</v>
      </c>
      <c r="H4491">
        <v>0.26834407707881303</v>
      </c>
      <c r="I4491">
        <v>0.133022376714625</v>
      </c>
      <c r="J4491">
        <v>0.108935166418068</v>
      </c>
      <c r="K4491">
        <v>8.89074092990145E-2</v>
      </c>
      <c r="L4491">
        <v>674.57314731142105</v>
      </c>
      <c r="M4491">
        <v>12.658817356383601</v>
      </c>
      <c r="N4491">
        <v>53.288796746202401</v>
      </c>
      <c r="O4491">
        <v>52.011418797161902</v>
      </c>
      <c r="P4491">
        <v>-6.0858239099957599E-2</v>
      </c>
      <c r="Q4491">
        <v>0</v>
      </c>
      <c r="R4491">
        <v>0.99648797485456098</v>
      </c>
      <c r="S4491" t="s">
        <v>11059</v>
      </c>
      <c r="T4491" t="s">
        <v>13134</v>
      </c>
      <c r="U4491" t="s">
        <v>13134</v>
      </c>
      <c r="V4491" t="s">
        <v>13134</v>
      </c>
      <c r="W4491" t="s">
        <v>17564</v>
      </c>
      <c r="X4491">
        <v>9</v>
      </c>
      <c r="Y4491" t="s">
        <v>23939</v>
      </c>
      <c r="Z4491" t="s">
        <v>30459</v>
      </c>
      <c r="AA4491">
        <v>0.56265476539018533</v>
      </c>
      <c r="AB4491" t="str">
        <f>HYPERLINK("Melting_Curves/meltCurve_Q8IZV5_RDH10.pdf", "Melting_Curves/meltCurve_Q8IZV5_RDH10.pdf")</f>
        <v>Melting_Curves/meltCurve_Q8IZV5_RDH10.pdf</v>
      </c>
    </row>
    <row r="4492" spans="1:28" x14ac:dyDescent="0.25">
      <c r="A4492" t="s">
        <v>4496</v>
      </c>
      <c r="B4492">
        <v>0.99472303558308395</v>
      </c>
      <c r="C4492">
        <v>0.870751885370735</v>
      </c>
      <c r="D4492">
        <v>1.0219572672030199</v>
      </c>
      <c r="E4492">
        <v>0.83841027238773302</v>
      </c>
      <c r="F4492">
        <v>0.59078663457394498</v>
      </c>
      <c r="G4492">
        <v>0.45780148488730199</v>
      </c>
      <c r="H4492">
        <v>0.43672968866696599</v>
      </c>
      <c r="I4492">
        <v>0.43129945937700498</v>
      </c>
      <c r="J4492">
        <v>0.38862832970321598</v>
      </c>
      <c r="K4492">
        <v>0.28446568096283198</v>
      </c>
      <c r="L4492">
        <v>962.70925425979203</v>
      </c>
      <c r="M4492">
        <v>19.634340752076302</v>
      </c>
      <c r="N4492">
        <v>52.581986771212797</v>
      </c>
      <c r="O4492">
        <v>48.531785226929699</v>
      </c>
      <c r="P4492">
        <v>-6.4006703490435607E-2</v>
      </c>
      <c r="Q4492">
        <v>0.36718000576225002</v>
      </c>
      <c r="R4492">
        <v>0.95468122947170897</v>
      </c>
      <c r="S4492" t="s">
        <v>11060</v>
      </c>
      <c r="T4492" t="s">
        <v>13134</v>
      </c>
      <c r="U4492" t="s">
        <v>13134</v>
      </c>
      <c r="V4492" t="s">
        <v>13134</v>
      </c>
      <c r="W4492" t="s">
        <v>17565</v>
      </c>
      <c r="X4492">
        <v>5</v>
      </c>
      <c r="Y4492" t="s">
        <v>23940</v>
      </c>
      <c r="Z4492" t="s">
        <v>30460</v>
      </c>
      <c r="AA4492">
        <v>0.62960264504901842</v>
      </c>
      <c r="AB4492" t="str">
        <f>HYPERLINK("Melting_Curves/meltCurve_Q8N0T1_C8orf59.pdf", "Melting_Curves/meltCurve_Q8N0T1_C8orf59.pdf")</f>
        <v>Melting_Curves/meltCurve_Q8N0T1_C8orf59.pdf</v>
      </c>
    </row>
    <row r="4493" spans="1:28" x14ac:dyDescent="0.25">
      <c r="A4493" t="s">
        <v>4497</v>
      </c>
      <c r="B4493">
        <v>0.99472303558308395</v>
      </c>
      <c r="C4493">
        <v>0.96528598378777997</v>
      </c>
      <c r="D4493">
        <v>1.0180949482560899</v>
      </c>
      <c r="E4493">
        <v>0.96206386255360599</v>
      </c>
      <c r="F4493">
        <v>0.83811918427235199</v>
      </c>
      <c r="G4493">
        <v>0.65274549475182897</v>
      </c>
      <c r="H4493">
        <v>0.50399705895387803</v>
      </c>
      <c r="I4493">
        <v>0.56629602223307796</v>
      </c>
      <c r="J4493">
        <v>0.69311418103435396</v>
      </c>
      <c r="K4493">
        <v>0.78649522942517902</v>
      </c>
      <c r="L4493">
        <v>2480.1431818779902</v>
      </c>
      <c r="M4493">
        <v>49.231120897530502</v>
      </c>
      <c r="O4493">
        <v>50.294636412196802</v>
      </c>
      <c r="P4493">
        <v>-8.8686847881582195E-2</v>
      </c>
      <c r="Q4493">
        <v>0.63758951390996699</v>
      </c>
      <c r="R4493">
        <v>0.83865079166801004</v>
      </c>
      <c r="S4493" t="s">
        <v>11061</v>
      </c>
      <c r="T4493" t="s">
        <v>13134</v>
      </c>
      <c r="U4493" t="s">
        <v>13134</v>
      </c>
      <c r="V4493" t="s">
        <v>13134</v>
      </c>
      <c r="W4493" t="s">
        <v>17566</v>
      </c>
      <c r="X4493">
        <v>4</v>
      </c>
      <c r="Y4493" t="s">
        <v>23941</v>
      </c>
      <c r="Z4493" t="s">
        <v>30461</v>
      </c>
      <c r="AA4493">
        <v>0.80002570037035015</v>
      </c>
      <c r="AB4493" t="str">
        <f>HYPERLINK("Melting_Curves/meltCurve_Q8N0U8_VKORC1L1.pdf", "Melting_Curves/meltCurve_Q8N0U8_VKORC1L1.pdf")</f>
        <v>Melting_Curves/meltCurve_Q8N0U8_VKORC1L1.pdf</v>
      </c>
    </row>
    <row r="4494" spans="1:28" x14ac:dyDescent="0.25">
      <c r="A4494" t="s">
        <v>4498</v>
      </c>
      <c r="B4494">
        <v>0.99472303558308395</v>
      </c>
      <c r="C4494">
        <v>1.0105086333398301</v>
      </c>
      <c r="D4494">
        <v>0.89525353139499098</v>
      </c>
      <c r="E4494">
        <v>0.70305444279273099</v>
      </c>
      <c r="F4494">
        <v>0.74902957424331496</v>
      </c>
      <c r="G4494">
        <v>0.441369217563019</v>
      </c>
      <c r="H4494">
        <v>0.28932890487521001</v>
      </c>
      <c r="I4494">
        <v>0.19946152022907901</v>
      </c>
      <c r="J4494">
        <v>0.158247333386105</v>
      </c>
      <c r="K4494">
        <v>0.165645501614747</v>
      </c>
      <c r="L4494">
        <v>554.31815352301601</v>
      </c>
      <c r="M4494">
        <v>10.5706164041117</v>
      </c>
      <c r="N4494">
        <v>52.905802065615902</v>
      </c>
      <c r="O4494">
        <v>50.667127123295501</v>
      </c>
      <c r="P4494">
        <v>-4.9856983999556299E-2</v>
      </c>
      <c r="Q4494">
        <v>4.4476841058516098E-2</v>
      </c>
      <c r="R4494">
        <v>0.97451773217413096</v>
      </c>
      <c r="S4494" t="s">
        <v>11062</v>
      </c>
      <c r="T4494" t="s">
        <v>13134</v>
      </c>
      <c r="U4494" t="s">
        <v>13134</v>
      </c>
      <c r="V4494" t="s">
        <v>13134</v>
      </c>
      <c r="W4494" t="s">
        <v>17567</v>
      </c>
      <c r="X4494">
        <v>9</v>
      </c>
      <c r="Y4494" t="s">
        <v>23942</v>
      </c>
      <c r="Z4494" t="s">
        <v>30462</v>
      </c>
      <c r="AA4494">
        <v>0.55946246504399288</v>
      </c>
      <c r="AB4494" t="str">
        <f>HYPERLINK("Melting_Curves/meltCurve_Q8N0W3_FUK.pdf", "Melting_Curves/meltCurve_Q8N0W3_FUK.pdf")</f>
        <v>Melting_Curves/meltCurve_Q8N0W3_FUK.pdf</v>
      </c>
    </row>
    <row r="4495" spans="1:28" x14ac:dyDescent="0.25">
      <c r="A4495" t="s">
        <v>4499</v>
      </c>
      <c r="B4495">
        <v>0.99472303558308395</v>
      </c>
      <c r="C4495">
        <v>1.1073243287144801</v>
      </c>
      <c r="D4495">
        <v>0.84723710550088305</v>
      </c>
      <c r="E4495">
        <v>0.76795690476256395</v>
      </c>
      <c r="F4495">
        <v>0.61315199504455198</v>
      </c>
      <c r="G4495">
        <v>0.61199737949085198</v>
      </c>
      <c r="H4495">
        <v>0.39216387866214802</v>
      </c>
      <c r="I4495">
        <v>0.49978734623315402</v>
      </c>
      <c r="J4495">
        <v>0.48619564695755102</v>
      </c>
      <c r="K4495">
        <v>0.45281321846634498</v>
      </c>
      <c r="L4495">
        <v>744.65087897646799</v>
      </c>
      <c r="M4495">
        <v>15.6773616896932</v>
      </c>
      <c r="N4495">
        <v>56.359842534041299</v>
      </c>
      <c r="O4495">
        <v>46.745798789157902</v>
      </c>
      <c r="P4495">
        <v>-4.5489712670247401E-2</v>
      </c>
      <c r="Q4495">
        <v>0.457492412609175</v>
      </c>
      <c r="R4495">
        <v>0.92568951134489297</v>
      </c>
      <c r="S4495" t="s">
        <v>11063</v>
      </c>
      <c r="T4495" t="s">
        <v>13134</v>
      </c>
      <c r="U4495" t="s">
        <v>13134</v>
      </c>
      <c r="V4495" t="s">
        <v>13134</v>
      </c>
      <c r="W4495" t="s">
        <v>17568</v>
      </c>
      <c r="X4495">
        <v>2</v>
      </c>
      <c r="Y4495" t="s">
        <v>23943</v>
      </c>
      <c r="Z4495" t="s">
        <v>30463</v>
      </c>
      <c r="AA4495">
        <v>0.65852140366451251</v>
      </c>
      <c r="AB4495" t="str">
        <f>HYPERLINK("Melting_Curves/meltCurve_Q8N0W7_FMR1NB.pdf", "Melting_Curves/meltCurve_Q8N0W7_FMR1NB.pdf")</f>
        <v>Melting_Curves/meltCurve_Q8N0W7_FMR1NB.pdf</v>
      </c>
    </row>
    <row r="4496" spans="1:28" x14ac:dyDescent="0.25">
      <c r="A4496" t="s">
        <v>4500</v>
      </c>
      <c r="B4496">
        <v>0.99472303558308395</v>
      </c>
      <c r="C4496">
        <v>1.0018768712580399</v>
      </c>
      <c r="D4496">
        <v>0.85435835056166598</v>
      </c>
      <c r="E4496">
        <v>0.60884009140175899</v>
      </c>
      <c r="F4496">
        <v>0.26500522962728401</v>
      </c>
      <c r="G4496">
        <v>0.12064815676163899</v>
      </c>
      <c r="H4496">
        <v>6.8853296928445398E-2</v>
      </c>
      <c r="I4496">
        <v>3.9670990491155397E-2</v>
      </c>
      <c r="J4496">
        <v>4.3027959455895597E-2</v>
      </c>
      <c r="K4496">
        <v>4.3000221407596802E-2</v>
      </c>
      <c r="L4496">
        <v>919.54603251877904</v>
      </c>
      <c r="M4496">
        <v>19.420574745537699</v>
      </c>
      <c r="N4496">
        <v>47.525070301084497</v>
      </c>
      <c r="O4496">
        <v>46.855596900541897</v>
      </c>
      <c r="P4496">
        <v>-0.10002748721919</v>
      </c>
      <c r="Q4496">
        <v>3.4698742058158601E-2</v>
      </c>
      <c r="R4496">
        <v>0.99876029521431597</v>
      </c>
      <c r="S4496" t="s">
        <v>11064</v>
      </c>
      <c r="T4496" t="s">
        <v>13134</v>
      </c>
      <c r="U4496" t="s">
        <v>13134</v>
      </c>
      <c r="V4496" t="s">
        <v>13134</v>
      </c>
      <c r="W4496" t="s">
        <v>17569</v>
      </c>
      <c r="X4496">
        <v>14</v>
      </c>
      <c r="Y4496" t="s">
        <v>23944</v>
      </c>
      <c r="Z4496" t="s">
        <v>30464</v>
      </c>
      <c r="AA4496">
        <v>0.38108770629719241</v>
      </c>
      <c r="AB4496" t="str">
        <f>HYPERLINK("Melting_Curves/meltCurve_Q8N0X7_SPG20.pdf", "Melting_Curves/meltCurve_Q8N0X7_SPG20.pdf")</f>
        <v>Melting_Curves/meltCurve_Q8N0X7_SPG20.pdf</v>
      </c>
    </row>
    <row r="4497" spans="1:28" x14ac:dyDescent="0.25">
      <c r="A4497" t="s">
        <v>4501</v>
      </c>
      <c r="B4497">
        <v>0.99472303558308395</v>
      </c>
      <c r="C4497">
        <v>1.0228176177261601</v>
      </c>
      <c r="D4497">
        <v>0.936245240834503</v>
      </c>
      <c r="E4497">
        <v>0.80155914333564504</v>
      </c>
      <c r="F4497">
        <v>0.43288903767512799</v>
      </c>
      <c r="G4497">
        <v>0.187448243125731</v>
      </c>
      <c r="H4497">
        <v>9.9195001836749702E-2</v>
      </c>
      <c r="I4497">
        <v>8.1676994710242395E-2</v>
      </c>
      <c r="J4497">
        <v>0.11434356097893</v>
      </c>
      <c r="K4497">
        <v>8.2542326253158799E-2</v>
      </c>
      <c r="L4497">
        <v>1138.91599973352</v>
      </c>
      <c r="M4497">
        <v>23.186312606343801</v>
      </c>
      <c r="N4497">
        <v>49.506371851001298</v>
      </c>
      <c r="O4497">
        <v>48.7591807608529</v>
      </c>
      <c r="P4497">
        <v>-0.109049095766298</v>
      </c>
      <c r="Q4497">
        <v>8.2726388130795497E-2</v>
      </c>
      <c r="R4497">
        <v>0.99814683990157405</v>
      </c>
      <c r="S4497" t="s">
        <v>11065</v>
      </c>
      <c r="T4497" t="s">
        <v>13134</v>
      </c>
      <c r="U4497" t="s">
        <v>13134</v>
      </c>
      <c r="V4497" t="s">
        <v>13134</v>
      </c>
      <c r="W4497" t="s">
        <v>17570</v>
      </c>
      <c r="X4497">
        <v>8</v>
      </c>
      <c r="Y4497" t="s">
        <v>23945</v>
      </c>
      <c r="Z4497" t="s">
        <v>30465</v>
      </c>
      <c r="AA4497">
        <v>0.46248707836613911</v>
      </c>
      <c r="AB4497" t="str">
        <f>HYPERLINK("Melting_Curves/meltCurve_Q8N108_17_MIER1.pdf", "Melting_Curves/meltCurve_Q8N108_17_MIER1.pdf")</f>
        <v>Melting_Curves/meltCurve_Q8N108_17_MIER1.pdf</v>
      </c>
    </row>
    <row r="4498" spans="1:28" x14ac:dyDescent="0.25">
      <c r="A4498" t="s">
        <v>4502</v>
      </c>
      <c r="B4498">
        <v>0.99472303558308395</v>
      </c>
      <c r="C4498">
        <v>0.977472673081482</v>
      </c>
      <c r="D4498">
        <v>0.95720539714088304</v>
      </c>
      <c r="E4498">
        <v>0.84539313162752905</v>
      </c>
      <c r="F4498">
        <v>0.68887177055694904</v>
      </c>
      <c r="G4498">
        <v>0.51545595059625304</v>
      </c>
      <c r="H4498">
        <v>0.389991757665475</v>
      </c>
      <c r="I4498">
        <v>0.38000106165585801</v>
      </c>
      <c r="J4498">
        <v>0.44036603417351</v>
      </c>
      <c r="K4498">
        <v>0.37853900049970701</v>
      </c>
      <c r="L4498">
        <v>880.94761564824205</v>
      </c>
      <c r="M4498">
        <v>17.678505647583499</v>
      </c>
      <c r="N4498">
        <v>54.118121112785403</v>
      </c>
      <c r="O4498">
        <v>49.207061005057398</v>
      </c>
      <c r="P4498">
        <v>-5.5982741611695301E-2</v>
      </c>
      <c r="Q4498">
        <v>0.37673459140597598</v>
      </c>
      <c r="R4498">
        <v>0.99088700047498601</v>
      </c>
      <c r="S4498" t="s">
        <v>11066</v>
      </c>
      <c r="T4498" t="s">
        <v>13134</v>
      </c>
      <c r="U4498" t="s">
        <v>13134</v>
      </c>
      <c r="V4498" t="s">
        <v>13134</v>
      </c>
      <c r="W4498" t="s">
        <v>17571</v>
      </c>
      <c r="X4498">
        <v>3</v>
      </c>
      <c r="Y4498" t="s">
        <v>23946</v>
      </c>
      <c r="Z4498" t="s">
        <v>30466</v>
      </c>
      <c r="AA4498">
        <v>0.65345339884790876</v>
      </c>
      <c r="AB4498" t="str">
        <f>HYPERLINK("Melting_Curves/meltCurve_Q8N129_CNPY4.pdf", "Melting_Curves/meltCurve_Q8N129_CNPY4.pdf")</f>
        <v>Melting_Curves/meltCurve_Q8N129_CNPY4.pdf</v>
      </c>
    </row>
    <row r="4499" spans="1:28" x14ac:dyDescent="0.25">
      <c r="A4499" t="s">
        <v>4503</v>
      </c>
      <c r="B4499">
        <v>0.99472303558308395</v>
      </c>
      <c r="C4499">
        <v>0.83766245410476103</v>
      </c>
      <c r="D4499">
        <v>0.63995239207524202</v>
      </c>
      <c r="E4499">
        <v>0.60664152413322003</v>
      </c>
      <c r="F4499">
        <v>1.4274357544333001</v>
      </c>
      <c r="G4499">
        <v>0.65548361633917895</v>
      </c>
      <c r="H4499">
        <v>1.34441126266449</v>
      </c>
      <c r="I4499">
        <v>0.35598664975794497</v>
      </c>
      <c r="J4499">
        <v>1.0585842573153199</v>
      </c>
      <c r="K4499">
        <v>1.2664858006194899</v>
      </c>
      <c r="S4499" t="s">
        <v>11067</v>
      </c>
      <c r="T4499" t="s">
        <v>13134</v>
      </c>
      <c r="U4499" t="s">
        <v>13135</v>
      </c>
      <c r="V4499" t="s">
        <v>13134</v>
      </c>
      <c r="W4499" t="s">
        <v>17572</v>
      </c>
      <c r="X4499">
        <v>1</v>
      </c>
      <c r="Y4499" t="s">
        <v>23947</v>
      </c>
      <c r="Z4499" t="s">
        <v>30467</v>
      </c>
      <c r="AB4499" t="str">
        <f>HYPERLINK("Melting_Curves/meltCurve_Q8N137_4_CNTROB.pdf", "Melting_Curves/meltCurve_Q8N137_4_CNTROB.pdf")</f>
        <v>Melting_Curves/meltCurve_Q8N137_4_CNTROB.pdf</v>
      </c>
    </row>
    <row r="4500" spans="1:28" x14ac:dyDescent="0.25">
      <c r="A4500" t="s">
        <v>4504</v>
      </c>
      <c r="B4500">
        <v>0.99472303558308395</v>
      </c>
      <c r="C4500">
        <v>0.88369363250080801</v>
      </c>
      <c r="D4500">
        <v>0.70365626272746196</v>
      </c>
      <c r="E4500">
        <v>0.73374158048021598</v>
      </c>
      <c r="F4500">
        <v>0.86992661398245597</v>
      </c>
      <c r="G4500">
        <v>0.55793404283459203</v>
      </c>
      <c r="H4500">
        <v>0.32724005871772899</v>
      </c>
      <c r="I4500">
        <v>8.0980862430813705E-2</v>
      </c>
      <c r="J4500">
        <v>6.1325652065054102E-2</v>
      </c>
      <c r="K4500">
        <v>0.16686456526615601</v>
      </c>
      <c r="L4500">
        <v>571.93689555779497</v>
      </c>
      <c r="M4500">
        <v>10.6649428355535</v>
      </c>
      <c r="N4500">
        <v>53.627766067540797</v>
      </c>
      <c r="O4500">
        <v>51.845378376395303</v>
      </c>
      <c r="P4500">
        <v>-5.1446233056628501E-2</v>
      </c>
      <c r="Q4500">
        <v>0</v>
      </c>
      <c r="R4500">
        <v>0.87247035400893402</v>
      </c>
      <c r="S4500" t="s">
        <v>11068</v>
      </c>
      <c r="T4500" t="s">
        <v>13134</v>
      </c>
      <c r="U4500" t="s">
        <v>13134</v>
      </c>
      <c r="V4500" t="s">
        <v>13134</v>
      </c>
      <c r="W4500" t="s">
        <v>17573</v>
      </c>
      <c r="X4500">
        <v>6</v>
      </c>
      <c r="Y4500" t="s">
        <v>23948</v>
      </c>
      <c r="Z4500" t="s">
        <v>30468</v>
      </c>
      <c r="AA4500">
        <v>0.57379491866397658</v>
      </c>
      <c r="AB4500" t="str">
        <f>HYPERLINK("Melting_Curves/meltCurve_Q8N142_ADSSL1.pdf", "Melting_Curves/meltCurve_Q8N142_ADSSL1.pdf")</f>
        <v>Melting_Curves/meltCurve_Q8N142_ADSSL1.pdf</v>
      </c>
    </row>
    <row r="4501" spans="1:28" x14ac:dyDescent="0.25">
      <c r="A4501" t="s">
        <v>4505</v>
      </c>
      <c r="B4501">
        <v>0.99472303558308395</v>
      </c>
      <c r="C4501">
        <v>0.91466224949941699</v>
      </c>
      <c r="D4501">
        <v>0.78355818094139396</v>
      </c>
      <c r="E4501">
        <v>0.65427896876887603</v>
      </c>
      <c r="F4501">
        <v>0.562344959121723</v>
      </c>
      <c r="G4501">
        <v>0.137807792568027</v>
      </c>
      <c r="H4501">
        <v>0.15721143641240301</v>
      </c>
      <c r="I4501">
        <v>9.3690919888984495E-2</v>
      </c>
      <c r="J4501">
        <v>0.12335149311147101</v>
      </c>
      <c r="K4501">
        <v>0.18737512014784999</v>
      </c>
      <c r="L4501">
        <v>629.00633033895997</v>
      </c>
      <c r="M4501">
        <v>13.034520726400601</v>
      </c>
      <c r="N4501">
        <v>48.907723355804997</v>
      </c>
      <c r="O4501">
        <v>47.163488377647099</v>
      </c>
      <c r="P4501">
        <v>-6.3602594961495298E-2</v>
      </c>
      <c r="Q4501">
        <v>7.9614655269801202E-2</v>
      </c>
      <c r="R4501">
        <v>0.95657400128821801</v>
      </c>
      <c r="S4501" t="s">
        <v>11069</v>
      </c>
      <c r="T4501" t="s">
        <v>13134</v>
      </c>
      <c r="U4501" t="s">
        <v>13134</v>
      </c>
      <c r="V4501" t="s">
        <v>13134</v>
      </c>
      <c r="W4501" t="s">
        <v>17574</v>
      </c>
      <c r="X4501">
        <v>3</v>
      </c>
      <c r="Y4501" t="s">
        <v>23949</v>
      </c>
      <c r="Z4501" t="s">
        <v>30469</v>
      </c>
      <c r="AA4501">
        <v>0.45015768580899618</v>
      </c>
      <c r="AB4501" t="str">
        <f>HYPERLINK("Melting_Curves/meltCurve_Q8N157_2_AHI1.pdf", "Melting_Curves/meltCurve_Q8N157_2_AHI1.pdf")</f>
        <v>Melting_Curves/meltCurve_Q8N157_2_AHI1.pdf</v>
      </c>
    </row>
    <row r="4502" spans="1:28" x14ac:dyDescent="0.25">
      <c r="A4502" t="s">
        <v>4506</v>
      </c>
      <c r="B4502">
        <v>0.99472303558308395</v>
      </c>
      <c r="C4502">
        <v>0.81325918047119405</v>
      </c>
      <c r="D4502">
        <v>0.44820606418381997</v>
      </c>
      <c r="E4502">
        <v>0.224005928924153</v>
      </c>
      <c r="F4502">
        <v>9.3801690004445895E-2</v>
      </c>
      <c r="G4502">
        <v>5.5782056109040801E-2</v>
      </c>
      <c r="H4502">
        <v>3.5479945313697102E-2</v>
      </c>
      <c r="I4502">
        <v>2.2942460817611501E-2</v>
      </c>
      <c r="J4502">
        <v>2.6091650787277099E-2</v>
      </c>
      <c r="K4502">
        <v>2.36314605723081E-2</v>
      </c>
      <c r="L4502">
        <v>829.27333047860498</v>
      </c>
      <c r="M4502">
        <v>19.420469140435898</v>
      </c>
      <c r="N4502">
        <v>42.845694734236098</v>
      </c>
      <c r="O4502">
        <v>42.255964343540299</v>
      </c>
      <c r="P4502">
        <v>-0.111255057830403</v>
      </c>
      <c r="Q4502">
        <v>3.1739590616694298E-2</v>
      </c>
      <c r="R4502">
        <v>0.99609518077432702</v>
      </c>
      <c r="S4502" t="s">
        <v>11070</v>
      </c>
      <c r="T4502" t="s">
        <v>13134</v>
      </c>
      <c r="U4502" t="s">
        <v>13134</v>
      </c>
      <c r="V4502" t="s">
        <v>13134</v>
      </c>
      <c r="W4502" t="s">
        <v>17575</v>
      </c>
      <c r="X4502">
        <v>26</v>
      </c>
      <c r="Y4502" t="s">
        <v>23950</v>
      </c>
      <c r="Z4502" t="s">
        <v>30470</v>
      </c>
      <c r="AA4502">
        <v>0.2304603747284141</v>
      </c>
      <c r="AB4502" t="str">
        <f>HYPERLINK("Melting_Curves/meltCurve_Q8N163_KIAA1967.pdf", "Melting_Curves/meltCurve_Q8N163_KIAA1967.pdf")</f>
        <v>Melting_Curves/meltCurve_Q8N163_KIAA1967.pdf</v>
      </c>
    </row>
    <row r="4503" spans="1:28" x14ac:dyDescent="0.25">
      <c r="A4503" t="s">
        <v>4507</v>
      </c>
      <c r="B4503">
        <v>0.99472303558308395</v>
      </c>
      <c r="C4503">
        <v>0.98863910234433205</v>
      </c>
      <c r="D4503">
        <v>0.94799594367291096</v>
      </c>
      <c r="E4503">
        <v>0.83604784055735204</v>
      </c>
      <c r="F4503">
        <v>0.61505853162553603</v>
      </c>
      <c r="G4503">
        <v>0.48164887367620102</v>
      </c>
      <c r="H4503">
        <v>0.39579320678598601</v>
      </c>
      <c r="I4503">
        <v>0.452173915807629</v>
      </c>
      <c r="J4503">
        <v>0.57766765091216499</v>
      </c>
      <c r="K4503">
        <v>0.47176841456194701</v>
      </c>
      <c r="L4503">
        <v>1252.0273997861</v>
      </c>
      <c r="M4503">
        <v>26.079424781906098</v>
      </c>
      <c r="N4503">
        <v>53.845184274019097</v>
      </c>
      <c r="O4503">
        <v>47.728636326036799</v>
      </c>
      <c r="P4503">
        <v>-7.2344656524397005E-2</v>
      </c>
      <c r="Q4503">
        <v>0.47040664085601103</v>
      </c>
      <c r="R4503">
        <v>0.96163895314247605</v>
      </c>
      <c r="S4503" t="s">
        <v>11071</v>
      </c>
      <c r="T4503" t="s">
        <v>13134</v>
      </c>
      <c r="U4503" t="s">
        <v>13134</v>
      </c>
      <c r="V4503" t="s">
        <v>13134</v>
      </c>
      <c r="W4503" t="s">
        <v>17576</v>
      </c>
      <c r="X4503">
        <v>17</v>
      </c>
      <c r="Y4503" t="s">
        <v>23951</v>
      </c>
      <c r="Z4503" t="s">
        <v>30471</v>
      </c>
      <c r="AA4503">
        <v>0.66888705812932658</v>
      </c>
      <c r="AB4503" t="str">
        <f>HYPERLINK("Melting_Curves/meltCurve_Q8N183_NDUFAF2.pdf", "Melting_Curves/meltCurve_Q8N183_NDUFAF2.pdf")</f>
        <v>Melting_Curves/meltCurve_Q8N183_NDUFAF2.pdf</v>
      </c>
    </row>
    <row r="4504" spans="1:28" x14ac:dyDescent="0.25">
      <c r="A4504" t="s">
        <v>4508</v>
      </c>
      <c r="B4504">
        <v>0.99472303558308395</v>
      </c>
      <c r="C4504">
        <v>1.0435458679616001</v>
      </c>
      <c r="D4504">
        <v>0.85013387814081298</v>
      </c>
      <c r="E4504">
        <v>0.92951278485104405</v>
      </c>
      <c r="F4504">
        <v>0.34150982254884199</v>
      </c>
      <c r="G4504">
        <v>0.19498268257572901</v>
      </c>
      <c r="H4504">
        <v>6.5379819708207595E-2</v>
      </c>
      <c r="I4504">
        <v>0</v>
      </c>
      <c r="J4504">
        <v>2.4094272913528201E-2</v>
      </c>
      <c r="K4504">
        <v>5.3138947775528703E-2</v>
      </c>
      <c r="L4504">
        <v>1566.2879604434499</v>
      </c>
      <c r="M4504">
        <v>31.775855056839099</v>
      </c>
      <c r="N4504">
        <v>49.443558624690901</v>
      </c>
      <c r="O4504">
        <v>49.097769409183101</v>
      </c>
      <c r="P4504">
        <v>-0.15428036997775799</v>
      </c>
      <c r="Q4504">
        <v>4.6473095552171301E-2</v>
      </c>
      <c r="R4504">
        <v>0.978794034987998</v>
      </c>
      <c r="S4504" t="s">
        <v>11072</v>
      </c>
      <c r="T4504" t="s">
        <v>13134</v>
      </c>
      <c r="U4504" t="s">
        <v>13134</v>
      </c>
      <c r="V4504" t="s">
        <v>13134</v>
      </c>
      <c r="W4504" t="s">
        <v>17577</v>
      </c>
      <c r="X4504">
        <v>2</v>
      </c>
      <c r="Y4504" t="s">
        <v>23952</v>
      </c>
      <c r="Z4504" t="s">
        <v>30472</v>
      </c>
      <c r="AA4504">
        <v>0.44231235800447549</v>
      </c>
      <c r="AB4504" t="str">
        <f>HYPERLINK("Melting_Curves/meltCurve_Q8N1A6_C4orf33.pdf", "Melting_Curves/meltCurve_Q8N1A6_C4orf33.pdf")</f>
        <v>Melting_Curves/meltCurve_Q8N1A6_C4orf33.pdf</v>
      </c>
    </row>
    <row r="4505" spans="1:28" x14ac:dyDescent="0.25">
      <c r="A4505" t="s">
        <v>4509</v>
      </c>
      <c r="B4505">
        <v>0.99472303558308395</v>
      </c>
      <c r="C4505">
        <v>0.93407388372716504</v>
      </c>
      <c r="D4505">
        <v>0.80758899757347402</v>
      </c>
      <c r="E4505">
        <v>0.608929882099148</v>
      </c>
      <c r="F4505">
        <v>0.25356755754815102</v>
      </c>
      <c r="G4505">
        <v>0.14904687078856699</v>
      </c>
      <c r="H4505">
        <v>0.10333817979372099</v>
      </c>
      <c r="I4505">
        <v>7.8213120895222199E-2</v>
      </c>
      <c r="J4505">
        <v>9.8918817349686897E-2</v>
      </c>
      <c r="K4505">
        <v>8.9657655093728805E-2</v>
      </c>
      <c r="L4505">
        <v>827.55697729276994</v>
      </c>
      <c r="M4505">
        <v>17.671114759481</v>
      </c>
      <c r="N4505">
        <v>47.251033759345702</v>
      </c>
      <c r="O4505">
        <v>46.2436638459682</v>
      </c>
      <c r="P4505">
        <v>-8.8594432102275494E-2</v>
      </c>
      <c r="Q4505">
        <v>7.2675434424323199E-2</v>
      </c>
      <c r="R4505">
        <v>0.99507908804706902</v>
      </c>
      <c r="S4505" t="s">
        <v>11073</v>
      </c>
      <c r="T4505" t="s">
        <v>13134</v>
      </c>
      <c r="U4505" t="s">
        <v>13134</v>
      </c>
      <c r="V4505" t="s">
        <v>13134</v>
      </c>
      <c r="W4505" t="s">
        <v>17578</v>
      </c>
      <c r="X4505">
        <v>9</v>
      </c>
      <c r="Y4505" t="s">
        <v>23953</v>
      </c>
      <c r="Z4505" t="s">
        <v>30473</v>
      </c>
      <c r="AA4505">
        <v>0.39199779741669172</v>
      </c>
      <c r="AB4505" t="str">
        <f>HYPERLINK("Melting_Curves/meltCurve_Q8N1B4_VPS52.pdf", "Melting_Curves/meltCurve_Q8N1B4_VPS52.pdf")</f>
        <v>Melting_Curves/meltCurve_Q8N1B4_VPS52.pdf</v>
      </c>
    </row>
    <row r="4506" spans="1:28" x14ac:dyDescent="0.25">
      <c r="A4506" t="s">
        <v>4510</v>
      </c>
      <c r="B4506">
        <v>0.99472303558308395</v>
      </c>
      <c r="C4506">
        <v>0.87215221057112902</v>
      </c>
      <c r="D4506">
        <v>0.66678093408324002</v>
      </c>
      <c r="E4506">
        <v>0.35576325394471298</v>
      </c>
      <c r="F4506">
        <v>0.19366261262114101</v>
      </c>
      <c r="G4506">
        <v>8.7399278929607305E-2</v>
      </c>
      <c r="H4506">
        <v>5.3921198008835103E-2</v>
      </c>
      <c r="I4506">
        <v>4.33189895291217E-2</v>
      </c>
      <c r="J4506">
        <v>5.6740773173749599E-2</v>
      </c>
      <c r="K4506">
        <v>3.7243795874223003E-2</v>
      </c>
      <c r="L4506">
        <v>726.42324371540201</v>
      </c>
      <c r="M4506">
        <v>16.2562597924973</v>
      </c>
      <c r="N4506">
        <v>44.896141517732403</v>
      </c>
      <c r="O4506">
        <v>44.025964482070798</v>
      </c>
      <c r="P4506">
        <v>-8.8931743171532504E-2</v>
      </c>
      <c r="Q4506">
        <v>3.6674589569108802E-2</v>
      </c>
      <c r="R4506">
        <v>0.99879164765553896</v>
      </c>
      <c r="S4506" t="s">
        <v>11074</v>
      </c>
      <c r="T4506" t="s">
        <v>13134</v>
      </c>
      <c r="U4506" t="s">
        <v>13134</v>
      </c>
      <c r="V4506" t="s">
        <v>13134</v>
      </c>
      <c r="W4506" t="s">
        <v>17579</v>
      </c>
      <c r="X4506">
        <v>30</v>
      </c>
      <c r="Y4506" t="s">
        <v>23954</v>
      </c>
      <c r="Z4506" t="s">
        <v>30474</v>
      </c>
      <c r="AA4506">
        <v>0.30314230840119383</v>
      </c>
      <c r="AB4506" t="str">
        <f>HYPERLINK("Melting_Curves/meltCurve_Q8N1F7_NUP93.pdf", "Melting_Curves/meltCurve_Q8N1F7_NUP93.pdf")</f>
        <v>Melting_Curves/meltCurve_Q8N1F7_NUP93.pdf</v>
      </c>
    </row>
    <row r="4507" spans="1:28" x14ac:dyDescent="0.25">
      <c r="A4507" t="s">
        <v>4511</v>
      </c>
      <c r="B4507">
        <v>0.99472303558308395</v>
      </c>
      <c r="C4507">
        <v>0.92526472124887704</v>
      </c>
      <c r="D4507">
        <v>0.59153604251017</v>
      </c>
      <c r="E4507">
        <v>0.31095874005386398</v>
      </c>
      <c r="F4507">
        <v>0.32909378101440301</v>
      </c>
      <c r="G4507">
        <v>0.15150542919728299</v>
      </c>
      <c r="H4507">
        <v>0.119033278663463</v>
      </c>
      <c r="I4507">
        <v>0.104666478989798</v>
      </c>
      <c r="J4507">
        <v>0.20585489658533601</v>
      </c>
      <c r="K4507">
        <v>0.40850135510961499</v>
      </c>
      <c r="L4507">
        <v>1087.0201811162101</v>
      </c>
      <c r="M4507">
        <v>25.274293504739099</v>
      </c>
      <c r="N4507">
        <v>43.979951003826997</v>
      </c>
      <c r="O4507">
        <v>42.742387208135597</v>
      </c>
      <c r="P4507">
        <v>-0.116220170831663</v>
      </c>
      <c r="Q4507">
        <v>0.21383147124987101</v>
      </c>
      <c r="R4507">
        <v>0.92206464450437897</v>
      </c>
      <c r="S4507" t="s">
        <v>11075</v>
      </c>
      <c r="T4507" t="s">
        <v>13134</v>
      </c>
      <c r="U4507" t="s">
        <v>13134</v>
      </c>
      <c r="V4507" t="s">
        <v>13134</v>
      </c>
      <c r="W4507" t="s">
        <v>17580</v>
      </c>
      <c r="X4507">
        <v>3</v>
      </c>
      <c r="Y4507" t="s">
        <v>23955</v>
      </c>
      <c r="Z4507" t="s">
        <v>30475</v>
      </c>
      <c r="AA4507">
        <v>0.37772774844698292</v>
      </c>
      <c r="AB4507" t="str">
        <f>HYPERLINK("Melting_Curves/meltCurve_Q8N1G0_ZNF687.pdf", "Melting_Curves/meltCurve_Q8N1G0_ZNF687.pdf")</f>
        <v>Melting_Curves/meltCurve_Q8N1G0_ZNF687.pdf</v>
      </c>
    </row>
    <row r="4508" spans="1:28" x14ac:dyDescent="0.25">
      <c r="A4508" t="s">
        <v>4512</v>
      </c>
      <c r="B4508">
        <v>0.99472303558308395</v>
      </c>
      <c r="C4508">
        <v>1.1248523690153001</v>
      </c>
      <c r="D4508">
        <v>0.70544318027136199</v>
      </c>
      <c r="E4508">
        <v>0.60628875829824302</v>
      </c>
      <c r="F4508">
        <v>0.69307628028902002</v>
      </c>
      <c r="G4508">
        <v>0.35952403184154202</v>
      </c>
      <c r="H4508">
        <v>0.174355155444574</v>
      </c>
      <c r="I4508">
        <v>9.4873948767909097E-2</v>
      </c>
      <c r="J4508">
        <v>8.1194842988096094E-2</v>
      </c>
      <c r="K4508">
        <v>6.5486171946930405E-2</v>
      </c>
      <c r="L4508">
        <v>534.24861090458899</v>
      </c>
      <c r="M4508">
        <v>10.5618798455153</v>
      </c>
      <c r="N4508">
        <v>50.582718951977</v>
      </c>
      <c r="O4508">
        <v>48.870402445869303</v>
      </c>
      <c r="P4508">
        <v>-5.4051356470835199E-2</v>
      </c>
      <c r="Q4508">
        <v>0</v>
      </c>
      <c r="R4508">
        <v>0.924321111254372</v>
      </c>
      <c r="S4508" t="s">
        <v>11076</v>
      </c>
      <c r="T4508" t="s">
        <v>13134</v>
      </c>
      <c r="U4508" t="s">
        <v>13134</v>
      </c>
      <c r="V4508" t="s">
        <v>13134</v>
      </c>
      <c r="W4508" t="s">
        <v>17581</v>
      </c>
      <c r="X4508">
        <v>3</v>
      </c>
      <c r="Y4508" t="s">
        <v>23956</v>
      </c>
      <c r="Z4508" t="s">
        <v>30476</v>
      </c>
      <c r="AA4508">
        <v>0.48324130012669542</v>
      </c>
      <c r="AB4508" t="str">
        <f>HYPERLINK("Melting_Curves/meltCurve_Q8N1G1_REXO1.pdf", "Melting_Curves/meltCurve_Q8N1G1_REXO1.pdf")</f>
        <v>Melting_Curves/meltCurve_Q8N1G1_REXO1.pdf</v>
      </c>
    </row>
    <row r="4509" spans="1:28" x14ac:dyDescent="0.25">
      <c r="A4509" t="s">
        <v>4513</v>
      </c>
      <c r="B4509">
        <v>0.99472303558308395</v>
      </c>
      <c r="C4509">
        <v>0.92890127642192</v>
      </c>
      <c r="D4509">
        <v>0.95433749520025302</v>
      </c>
      <c r="E4509">
        <v>0.82493036534027797</v>
      </c>
      <c r="F4509">
        <v>0.48614549843839699</v>
      </c>
      <c r="G4509">
        <v>0.118991729008341</v>
      </c>
      <c r="H4509">
        <v>6.5444827172488299E-2</v>
      </c>
      <c r="I4509">
        <v>4.8757960345133897E-2</v>
      </c>
      <c r="J4509">
        <v>5.1683253692577903E-2</v>
      </c>
      <c r="K4509">
        <v>4.1030940166978502E-2</v>
      </c>
      <c r="L4509">
        <v>1225.10760741221</v>
      </c>
      <c r="M4509">
        <v>24.6625635420747</v>
      </c>
      <c r="N4509">
        <v>49.816950800472704</v>
      </c>
      <c r="O4509">
        <v>49.351645850986699</v>
      </c>
      <c r="P4509">
        <v>-0.120689311113026</v>
      </c>
      <c r="Q4509">
        <v>3.39801289094235E-2</v>
      </c>
      <c r="R4509">
        <v>0.994828399038724</v>
      </c>
      <c r="S4509" t="s">
        <v>11077</v>
      </c>
      <c r="T4509" t="s">
        <v>13134</v>
      </c>
      <c r="U4509" t="s">
        <v>13134</v>
      </c>
      <c r="V4509" t="s">
        <v>13134</v>
      </c>
      <c r="W4509" t="s">
        <v>17582</v>
      </c>
      <c r="X4509">
        <v>29</v>
      </c>
      <c r="Y4509" t="s">
        <v>23957</v>
      </c>
      <c r="Z4509" t="s">
        <v>30477</v>
      </c>
      <c r="AA4509">
        <v>0.45075644061622538</v>
      </c>
      <c r="AB4509" t="str">
        <f>HYPERLINK("Melting_Curves/meltCurve_Q8N1G2_FTSJD2.pdf", "Melting_Curves/meltCurve_Q8N1G2_FTSJD2.pdf")</f>
        <v>Melting_Curves/meltCurve_Q8N1G2_FTSJD2.pdf</v>
      </c>
    </row>
    <row r="4510" spans="1:28" x14ac:dyDescent="0.25">
      <c r="A4510" t="s">
        <v>4514</v>
      </c>
      <c r="B4510">
        <v>0.99472303558308395</v>
      </c>
      <c r="C4510">
        <v>0.87375151998615597</v>
      </c>
      <c r="D4510">
        <v>1.08079132423414</v>
      </c>
      <c r="E4510">
        <v>0.83691110731959895</v>
      </c>
      <c r="F4510">
        <v>0.53950518008991599</v>
      </c>
      <c r="G4510">
        <v>0.33856423467608598</v>
      </c>
      <c r="H4510">
        <v>0.100843801341615</v>
      </c>
      <c r="I4510">
        <v>5.4092356045336902E-2</v>
      </c>
      <c r="J4510">
        <v>5.9348421375272402E-2</v>
      </c>
      <c r="K4510">
        <v>4.7651000205826403E-2</v>
      </c>
      <c r="L4510">
        <v>948.47431303503504</v>
      </c>
      <c r="M4510">
        <v>18.6545798860273</v>
      </c>
      <c r="N4510">
        <v>51.007081563678597</v>
      </c>
      <c r="O4510">
        <v>50.270574717159199</v>
      </c>
      <c r="P4510">
        <v>-9.0089812762179602E-2</v>
      </c>
      <c r="Q4510">
        <v>2.89413905082452E-2</v>
      </c>
      <c r="R4510">
        <v>0.97988260900147395</v>
      </c>
      <c r="S4510" t="s">
        <v>11078</v>
      </c>
      <c r="T4510" t="s">
        <v>13134</v>
      </c>
      <c r="U4510" t="s">
        <v>13134</v>
      </c>
      <c r="V4510" t="s">
        <v>13134</v>
      </c>
      <c r="W4510" t="s">
        <v>17583</v>
      </c>
      <c r="X4510">
        <v>27</v>
      </c>
      <c r="Y4510" t="s">
        <v>23958</v>
      </c>
      <c r="Z4510" t="s">
        <v>30478</v>
      </c>
      <c r="AA4510">
        <v>0.49132833499380418</v>
      </c>
      <c r="AB4510" t="str">
        <f>HYPERLINK("Melting_Curves/meltCurve_Q8N1G4_LRRC47.pdf", "Melting_Curves/meltCurve_Q8N1G4_LRRC47.pdf")</f>
        <v>Melting_Curves/meltCurve_Q8N1G4_LRRC47.pdf</v>
      </c>
    </row>
    <row r="4511" spans="1:28" x14ac:dyDescent="0.25">
      <c r="A4511" t="s">
        <v>4515</v>
      </c>
      <c r="B4511">
        <v>0.99472303558308395</v>
      </c>
      <c r="C4511">
        <v>1.02749651788193</v>
      </c>
      <c r="D4511">
        <v>1.1838162611822201</v>
      </c>
      <c r="E4511">
        <v>1.0036724965444901</v>
      </c>
      <c r="F4511">
        <v>0.52279014567882098</v>
      </c>
      <c r="G4511">
        <v>0.217351050860072</v>
      </c>
      <c r="H4511">
        <v>9.14809274129081E-2</v>
      </c>
      <c r="I4511">
        <v>6.8595062959464201E-2</v>
      </c>
      <c r="J4511">
        <v>7.1379848144761407E-2</v>
      </c>
      <c r="K4511">
        <v>8.8811212832397096E-2</v>
      </c>
      <c r="L4511">
        <v>1850.91893224419</v>
      </c>
      <c r="M4511">
        <v>36.838857361526699</v>
      </c>
      <c r="N4511">
        <v>50.507725551077499</v>
      </c>
      <c r="O4511">
        <v>50.0962844475388</v>
      </c>
      <c r="P4511">
        <v>-0.16773683084556801</v>
      </c>
      <c r="Q4511">
        <v>8.7597246039249302E-2</v>
      </c>
      <c r="R4511">
        <v>0.97891425796389897</v>
      </c>
      <c r="S4511" t="s">
        <v>11079</v>
      </c>
      <c r="T4511" t="s">
        <v>13134</v>
      </c>
      <c r="U4511" t="s">
        <v>13134</v>
      </c>
      <c r="V4511" t="s">
        <v>13134</v>
      </c>
      <c r="W4511" t="s">
        <v>17584</v>
      </c>
      <c r="X4511">
        <v>3</v>
      </c>
      <c r="Y4511" t="s">
        <v>23959</v>
      </c>
      <c r="Z4511" t="s">
        <v>30479</v>
      </c>
      <c r="AA4511">
        <v>0.49411729664059673</v>
      </c>
      <c r="AB4511" t="str">
        <f>HYPERLINK("Melting_Curves/meltCurve_Q8N1Q1_CA13.pdf", "Melting_Curves/meltCurve_Q8N1Q1_CA13.pdf")</f>
        <v>Melting_Curves/meltCurve_Q8N1Q1_CA13.pdf</v>
      </c>
    </row>
    <row r="4512" spans="1:28" x14ac:dyDescent="0.25">
      <c r="A4512" t="s">
        <v>4516</v>
      </c>
      <c r="B4512">
        <v>0.99472303558308395</v>
      </c>
      <c r="C4512">
        <v>0.89171123056273405</v>
      </c>
      <c r="D4512">
        <v>0.66546810293591196</v>
      </c>
      <c r="E4512">
        <v>0.62032773247006201</v>
      </c>
      <c r="F4512">
        <v>0.387660523078871</v>
      </c>
      <c r="G4512">
        <v>0.23529321533196801</v>
      </c>
      <c r="H4512">
        <v>0.18357676183101099</v>
      </c>
      <c r="I4512">
        <v>6.8161052670507205E-2</v>
      </c>
      <c r="J4512">
        <v>0</v>
      </c>
      <c r="K4512">
        <v>4.1262473006375401E-2</v>
      </c>
      <c r="L4512">
        <v>494.15189888850199</v>
      </c>
      <c r="M4512">
        <v>10.352131764999999</v>
      </c>
      <c r="N4512">
        <v>47.7343252690453</v>
      </c>
      <c r="O4512">
        <v>46.056084325893899</v>
      </c>
      <c r="P4512">
        <v>-5.62170137478906E-2</v>
      </c>
      <c r="Q4512">
        <v>0</v>
      </c>
      <c r="R4512">
        <v>0.982985031488252</v>
      </c>
      <c r="S4512" t="s">
        <v>11080</v>
      </c>
      <c r="T4512" t="s">
        <v>13134</v>
      </c>
      <c r="U4512" t="s">
        <v>13134</v>
      </c>
      <c r="V4512" t="s">
        <v>13134</v>
      </c>
      <c r="W4512" t="s">
        <v>17585</v>
      </c>
      <c r="X4512">
        <v>1</v>
      </c>
      <c r="Y4512" t="s">
        <v>23960</v>
      </c>
      <c r="Z4512" t="s">
        <v>30480</v>
      </c>
      <c r="AA4512">
        <v>0.39693378252291028</v>
      </c>
      <c r="AB4512" t="str">
        <f>HYPERLINK("Melting_Curves/meltCurve_Q8N2A8_PLD6.pdf", "Melting_Curves/meltCurve_Q8N2A8_PLD6.pdf")</f>
        <v>Melting_Curves/meltCurve_Q8N2A8_PLD6.pdf</v>
      </c>
    </row>
    <row r="4513" spans="1:28" x14ac:dyDescent="0.25">
      <c r="A4513" t="s">
        <v>4517</v>
      </c>
      <c r="B4513">
        <v>0.99472303558308395</v>
      </c>
      <c r="C4513">
        <v>0.98875310567824004</v>
      </c>
      <c r="D4513">
        <v>0.85998537896765503</v>
      </c>
      <c r="E4513">
        <v>0.63508106847231405</v>
      </c>
      <c r="F4513">
        <v>0.13510355521412701</v>
      </c>
      <c r="G4513">
        <v>8.8621086215474806E-2</v>
      </c>
      <c r="H4513">
        <v>4.9039328986037599E-2</v>
      </c>
      <c r="I4513">
        <v>4.0252486405535803E-2</v>
      </c>
      <c r="J4513">
        <v>5.49986163024338E-2</v>
      </c>
      <c r="K4513">
        <v>4.6858562231424698E-2</v>
      </c>
      <c r="L4513">
        <v>1314.75033715478</v>
      </c>
      <c r="M4513">
        <v>27.920666125465701</v>
      </c>
      <c r="N4513">
        <v>47.238739659085901</v>
      </c>
      <c r="O4513">
        <v>46.849211045194203</v>
      </c>
      <c r="P4513">
        <v>-0.14267502114598299</v>
      </c>
      <c r="Q4513">
        <v>4.2407479264513402E-2</v>
      </c>
      <c r="R4513">
        <v>0.99319376444582697</v>
      </c>
      <c r="S4513" t="s">
        <v>11081</v>
      </c>
      <c r="T4513" t="s">
        <v>13134</v>
      </c>
      <c r="U4513" t="s">
        <v>13134</v>
      </c>
      <c r="V4513" t="s">
        <v>13134</v>
      </c>
      <c r="W4513" t="s">
        <v>17586</v>
      </c>
      <c r="X4513">
        <v>6</v>
      </c>
      <c r="Y4513" t="s">
        <v>23961</v>
      </c>
      <c r="Z4513" t="s">
        <v>30481</v>
      </c>
      <c r="AA4513">
        <v>0.37088462904980329</v>
      </c>
      <c r="AB4513" t="str">
        <f>HYPERLINK("Melting_Curves/meltCurve_Q8N2F6_3_ARMC10.pdf", "Melting_Curves/meltCurve_Q8N2F6_3_ARMC10.pdf")</f>
        <v>Melting_Curves/meltCurve_Q8N2F6_3_ARMC10.pdf</v>
      </c>
    </row>
    <row r="4514" spans="1:28" x14ac:dyDescent="0.25">
      <c r="A4514" t="s">
        <v>4518</v>
      </c>
      <c r="B4514">
        <v>0.99472303558308395</v>
      </c>
      <c r="C4514">
        <v>0.97363045151684602</v>
      </c>
      <c r="D4514">
        <v>0.979695179566899</v>
      </c>
      <c r="E4514">
        <v>0.85806886132494298</v>
      </c>
      <c r="F4514">
        <v>0.59520345023110199</v>
      </c>
      <c r="G4514">
        <v>0.30684256188589598</v>
      </c>
      <c r="H4514">
        <v>0.133440921394788</v>
      </c>
      <c r="I4514">
        <v>7.2063518527943002E-2</v>
      </c>
      <c r="J4514">
        <v>7.0549313369357103E-2</v>
      </c>
      <c r="K4514">
        <v>7.4038671189800107E-2</v>
      </c>
      <c r="L4514">
        <v>990.22249140343797</v>
      </c>
      <c r="M4514">
        <v>19.4415357344649</v>
      </c>
      <c r="N4514">
        <v>51.209918445087098</v>
      </c>
      <c r="O4514">
        <v>50.403650398561403</v>
      </c>
      <c r="P4514">
        <v>-9.1626848002498401E-2</v>
      </c>
      <c r="Q4514">
        <v>4.9836490548348898E-2</v>
      </c>
      <c r="R4514">
        <v>0.999176761150804</v>
      </c>
      <c r="S4514" t="s">
        <v>11082</v>
      </c>
      <c r="T4514" t="s">
        <v>13134</v>
      </c>
      <c r="U4514" t="s">
        <v>13134</v>
      </c>
      <c r="V4514" t="s">
        <v>13134</v>
      </c>
      <c r="W4514" t="s">
        <v>17587</v>
      </c>
      <c r="X4514">
        <v>10</v>
      </c>
      <c r="Y4514" t="s">
        <v>23962</v>
      </c>
      <c r="Z4514" t="s">
        <v>30482</v>
      </c>
      <c r="AA4514">
        <v>0.504180791802466</v>
      </c>
      <c r="AB4514" t="str">
        <f>HYPERLINK("Melting_Curves/meltCurve_Q8N2G8_3_GHDC.pdf", "Melting_Curves/meltCurve_Q8N2G8_3_GHDC.pdf")</f>
        <v>Melting_Curves/meltCurve_Q8N2G8_3_GHDC.pdf</v>
      </c>
    </row>
    <row r="4515" spans="1:28" x14ac:dyDescent="0.25">
      <c r="A4515" t="s">
        <v>4519</v>
      </c>
      <c r="B4515">
        <v>0.99472303558308395</v>
      </c>
      <c r="C4515">
        <v>1.0481711405743701</v>
      </c>
      <c r="D4515">
        <v>0.87477203820323801</v>
      </c>
      <c r="E4515">
        <v>0.67778113013071295</v>
      </c>
      <c r="F4515">
        <v>0.395318009919366</v>
      </c>
      <c r="G4515">
        <v>0.26298083916856801</v>
      </c>
      <c r="H4515">
        <v>0.17333244158132199</v>
      </c>
      <c r="I4515">
        <v>8.3694966336266399E-2</v>
      </c>
      <c r="J4515">
        <v>0.14028165735134299</v>
      </c>
      <c r="K4515">
        <v>0.12884145165447</v>
      </c>
      <c r="L4515">
        <v>825.39239778670799</v>
      </c>
      <c r="M4515">
        <v>17.147516740736702</v>
      </c>
      <c r="N4515">
        <v>48.854538091929797</v>
      </c>
      <c r="O4515">
        <v>47.494440131813903</v>
      </c>
      <c r="P4515">
        <v>-8.0190684606135404E-2</v>
      </c>
      <c r="Q4515">
        <v>0.111618060011259</v>
      </c>
      <c r="R4515">
        <v>0.99263090390131603</v>
      </c>
      <c r="S4515" t="s">
        <v>11083</v>
      </c>
      <c r="T4515" t="s">
        <v>13134</v>
      </c>
      <c r="U4515" t="s">
        <v>13134</v>
      </c>
      <c r="V4515" t="s">
        <v>13134</v>
      </c>
      <c r="W4515" t="s">
        <v>17588</v>
      </c>
      <c r="X4515">
        <v>1</v>
      </c>
      <c r="Y4515" t="s">
        <v>23963</v>
      </c>
      <c r="Z4515" t="s">
        <v>30483</v>
      </c>
      <c r="AA4515">
        <v>0.45683541124440191</v>
      </c>
      <c r="AB4515" t="str">
        <f>HYPERLINK("Melting_Curves/meltCurve_Q8N2I9_3_STK40.pdf", "Melting_Curves/meltCurve_Q8N2I9_3_STK40.pdf")</f>
        <v>Melting_Curves/meltCurve_Q8N2I9_3_STK40.pdf</v>
      </c>
    </row>
    <row r="4516" spans="1:28" x14ac:dyDescent="0.25">
      <c r="A4516" t="s">
        <v>4520</v>
      </c>
      <c r="B4516">
        <v>0.99472303558308395</v>
      </c>
      <c r="C4516">
        <v>1.13261785409782</v>
      </c>
      <c r="D4516">
        <v>1.02936657828098</v>
      </c>
      <c r="E4516">
        <v>0.85197199365629905</v>
      </c>
      <c r="F4516">
        <v>0.51258777121906196</v>
      </c>
      <c r="G4516">
        <v>0.15421802862162601</v>
      </c>
      <c r="H4516">
        <v>6.6810627630655497E-2</v>
      </c>
      <c r="I4516">
        <v>5.2857119636074597E-2</v>
      </c>
      <c r="J4516">
        <v>6.3109439259292993E-2</v>
      </c>
      <c r="K4516">
        <v>4.7862579294076397E-2</v>
      </c>
      <c r="L4516">
        <v>1348.76910260828</v>
      </c>
      <c r="M4516">
        <v>26.9868221366605</v>
      </c>
      <c r="N4516">
        <v>50.159824604214002</v>
      </c>
      <c r="O4516">
        <v>49.706791250209299</v>
      </c>
      <c r="P4516">
        <v>-0.12943348187190001</v>
      </c>
      <c r="Q4516">
        <v>4.6399886656360502E-2</v>
      </c>
      <c r="R4516">
        <v>0.98909646494918801</v>
      </c>
      <c r="S4516" t="s">
        <v>11084</v>
      </c>
      <c r="T4516" t="s">
        <v>13134</v>
      </c>
      <c r="U4516" t="s">
        <v>13134</v>
      </c>
      <c r="V4516" t="s">
        <v>13134</v>
      </c>
      <c r="W4516" t="s">
        <v>17589</v>
      </c>
      <c r="X4516">
        <v>9</v>
      </c>
      <c r="Y4516" t="s">
        <v>23964</v>
      </c>
      <c r="Z4516" t="s">
        <v>30484</v>
      </c>
      <c r="AA4516">
        <v>0.46614961006784822</v>
      </c>
      <c r="AB4516" t="str">
        <f>HYPERLINK("Melting_Curves/meltCurve_Q8N2K0_ABHD12.pdf", "Melting_Curves/meltCurve_Q8N2K0_ABHD12.pdf")</f>
        <v>Melting_Curves/meltCurve_Q8N2K0_ABHD12.pdf</v>
      </c>
    </row>
    <row r="4517" spans="1:28" x14ac:dyDescent="0.25">
      <c r="A4517" t="s">
        <v>4521</v>
      </c>
      <c r="B4517">
        <v>0.99472303558308395</v>
      </c>
      <c r="C4517">
        <v>0.93626227727433797</v>
      </c>
      <c r="D4517">
        <v>0.81433721297819806</v>
      </c>
      <c r="E4517">
        <v>0.47942458346866801</v>
      </c>
      <c r="F4517">
        <v>0.37589143416609699</v>
      </c>
      <c r="G4517">
        <v>0.19825005931846101</v>
      </c>
      <c r="H4517">
        <v>0.13167163473448401</v>
      </c>
      <c r="I4517">
        <v>0.12818741906744599</v>
      </c>
      <c r="J4517">
        <v>0.13265023132926199</v>
      </c>
      <c r="K4517">
        <v>9.9318661326477098E-2</v>
      </c>
      <c r="L4517">
        <v>700.420562552099</v>
      </c>
      <c r="M4517">
        <v>15.1026091211347</v>
      </c>
      <c r="N4517">
        <v>47.105155879187102</v>
      </c>
      <c r="O4517">
        <v>45.5871350394372</v>
      </c>
      <c r="P4517">
        <v>-7.4212636335379403E-2</v>
      </c>
      <c r="Q4517">
        <v>0.10404662270534901</v>
      </c>
      <c r="R4517">
        <v>0.99312566217657405</v>
      </c>
      <c r="S4517" t="s">
        <v>11085</v>
      </c>
      <c r="T4517" t="s">
        <v>13134</v>
      </c>
      <c r="U4517" t="s">
        <v>13134</v>
      </c>
      <c r="V4517" t="s">
        <v>13134</v>
      </c>
      <c r="W4517" t="s">
        <v>17590</v>
      </c>
      <c r="X4517">
        <v>5</v>
      </c>
      <c r="Y4517" t="s">
        <v>23965</v>
      </c>
      <c r="Z4517" t="s">
        <v>30485</v>
      </c>
      <c r="AA4517">
        <v>0.40431180434470898</v>
      </c>
      <c r="AB4517" t="str">
        <f>HYPERLINK("Melting_Curves/meltCurve_Q8N2W9_PIAS4.pdf", "Melting_Curves/meltCurve_Q8N2W9_PIAS4.pdf")</f>
        <v>Melting_Curves/meltCurve_Q8N2W9_PIAS4.pdf</v>
      </c>
    </row>
    <row r="4518" spans="1:28" x14ac:dyDescent="0.25">
      <c r="A4518" t="s">
        <v>4522</v>
      </c>
      <c r="B4518">
        <v>0.99472303558308395</v>
      </c>
      <c r="C4518">
        <v>0.97964313954172899</v>
      </c>
      <c r="D4518">
        <v>0.89763470123817901</v>
      </c>
      <c r="E4518">
        <v>0.93694082262475997</v>
      </c>
      <c r="F4518">
        <v>0.70187619076463803</v>
      </c>
      <c r="G4518">
        <v>0.285330971346546</v>
      </c>
      <c r="H4518">
        <v>0.15884970998679099</v>
      </c>
      <c r="I4518">
        <v>0.14924776324615399</v>
      </c>
      <c r="J4518">
        <v>0.16580933439644299</v>
      </c>
      <c r="K4518">
        <v>0.18136648926325499</v>
      </c>
      <c r="L4518">
        <v>1653.1293623645199</v>
      </c>
      <c r="M4518">
        <v>32.386091670531101</v>
      </c>
      <c r="N4518">
        <v>51.642173411082901</v>
      </c>
      <c r="O4518">
        <v>50.850985490790798</v>
      </c>
      <c r="P4518">
        <v>-0.13433377804083199</v>
      </c>
      <c r="Q4518">
        <v>0.15630794071062501</v>
      </c>
      <c r="R4518">
        <v>0.99062223685663597</v>
      </c>
      <c r="S4518" t="s">
        <v>11086</v>
      </c>
      <c r="T4518" t="s">
        <v>13134</v>
      </c>
      <c r="U4518" t="s">
        <v>13134</v>
      </c>
      <c r="V4518" t="s">
        <v>13134</v>
      </c>
      <c r="W4518" t="s">
        <v>17591</v>
      </c>
      <c r="X4518">
        <v>3</v>
      </c>
      <c r="Y4518" t="s">
        <v>23966</v>
      </c>
      <c r="Z4518" t="s">
        <v>30486</v>
      </c>
      <c r="AA4518">
        <v>0.55580687951839136</v>
      </c>
      <c r="AB4518" t="str">
        <f>HYPERLINK("Melting_Curves/meltCurve_Q8N2Z9_APITD1.pdf", "Melting_Curves/meltCurve_Q8N2Z9_APITD1.pdf")</f>
        <v>Melting_Curves/meltCurve_Q8N2Z9_APITD1.pdf</v>
      </c>
    </row>
    <row r="4519" spans="1:28" x14ac:dyDescent="0.25">
      <c r="A4519" t="s">
        <v>4523</v>
      </c>
      <c r="B4519">
        <v>0.99472303558308395</v>
      </c>
      <c r="C4519">
        <v>0.99996653395562296</v>
      </c>
      <c r="D4519">
        <v>1.0975853947558301</v>
      </c>
      <c r="E4519">
        <v>0.908660765354255</v>
      </c>
      <c r="F4519">
        <v>0.77302691665371404</v>
      </c>
      <c r="G4519">
        <v>0.620417811998766</v>
      </c>
      <c r="H4519">
        <v>0.52482364274340698</v>
      </c>
      <c r="I4519">
        <v>0.546119346081399</v>
      </c>
      <c r="J4519">
        <v>0.69340638285520195</v>
      </c>
      <c r="K4519">
        <v>0.59799164239118596</v>
      </c>
      <c r="L4519">
        <v>1494.8444467968</v>
      </c>
      <c r="M4519">
        <v>30.1870984072109</v>
      </c>
      <c r="O4519">
        <v>49.303530622125002</v>
      </c>
      <c r="P4519">
        <v>-6.2770668049303494E-2</v>
      </c>
      <c r="Q4519">
        <v>0.58991810800046796</v>
      </c>
      <c r="R4519">
        <v>0.92450162320158202</v>
      </c>
      <c r="S4519" t="s">
        <v>11087</v>
      </c>
      <c r="T4519" t="s">
        <v>13134</v>
      </c>
      <c r="U4519" t="s">
        <v>13134</v>
      </c>
      <c r="V4519" t="s">
        <v>13134</v>
      </c>
      <c r="W4519" t="s">
        <v>17592</v>
      </c>
      <c r="X4519">
        <v>2</v>
      </c>
      <c r="Y4519" t="s">
        <v>23967</v>
      </c>
      <c r="Z4519" t="s">
        <v>30487</v>
      </c>
      <c r="AA4519">
        <v>0.76351499439266535</v>
      </c>
      <c r="AB4519" t="str">
        <f>HYPERLINK("Melting_Curves/meltCurve_Q8N300_CCDC23.pdf", "Melting_Curves/meltCurve_Q8N300_CCDC23.pdf")</f>
        <v>Melting_Curves/meltCurve_Q8N300_CCDC23.pdf</v>
      </c>
    </row>
    <row r="4520" spans="1:28" x14ac:dyDescent="0.25">
      <c r="A4520" t="s">
        <v>4524</v>
      </c>
      <c r="B4520">
        <v>0.99472303558308395</v>
      </c>
      <c r="C4520">
        <v>0.99171176494132296</v>
      </c>
      <c r="D4520">
        <v>0.97509625869669503</v>
      </c>
      <c r="E4520">
        <v>0.82983072031576499</v>
      </c>
      <c r="F4520">
        <v>0.69801688753804603</v>
      </c>
      <c r="G4520">
        <v>0.42764408676197901</v>
      </c>
      <c r="H4520">
        <v>0.121308146831657</v>
      </c>
      <c r="I4520">
        <v>8.0180440340995404E-2</v>
      </c>
      <c r="J4520">
        <v>6.5057424218205595E-2</v>
      </c>
      <c r="K4520">
        <v>6.4073063501480496E-2</v>
      </c>
      <c r="L4520">
        <v>895.41368219225103</v>
      </c>
      <c r="M4520">
        <v>17.1419949797559</v>
      </c>
      <c r="N4520">
        <v>52.323203577380603</v>
      </c>
      <c r="O4520">
        <v>51.539765311588802</v>
      </c>
      <c r="P4520">
        <v>-8.1971275500971802E-2</v>
      </c>
      <c r="Q4520">
        <v>1.4227324437722301E-2</v>
      </c>
      <c r="R4520">
        <v>0.99264731935336503</v>
      </c>
      <c r="S4520" t="s">
        <v>11088</v>
      </c>
      <c r="T4520" t="s">
        <v>13134</v>
      </c>
      <c r="U4520" t="s">
        <v>13134</v>
      </c>
      <c r="V4520" t="s">
        <v>13134</v>
      </c>
      <c r="W4520" t="s">
        <v>17593</v>
      </c>
      <c r="X4520">
        <v>11</v>
      </c>
      <c r="Y4520" t="s">
        <v>23968</v>
      </c>
      <c r="Z4520" t="s">
        <v>30488</v>
      </c>
      <c r="AA4520">
        <v>0.53064296095079844</v>
      </c>
      <c r="AB4520" t="str">
        <f>HYPERLINK("Melting_Curves/meltCurve_Q8N335_GPD1L.pdf", "Melting_Curves/meltCurve_Q8N335_GPD1L.pdf")</f>
        <v>Melting_Curves/meltCurve_Q8N335_GPD1L.pdf</v>
      </c>
    </row>
    <row r="4521" spans="1:28" x14ac:dyDescent="0.25">
      <c r="A4521" t="s">
        <v>4525</v>
      </c>
      <c r="B4521">
        <v>0.99472303558308395</v>
      </c>
      <c r="C4521">
        <v>0.79594038299904601</v>
      </c>
      <c r="D4521">
        <v>0.78551903345340401</v>
      </c>
      <c r="E4521">
        <v>0.70916073244952504</v>
      </c>
      <c r="F4521">
        <v>0.658326501829396</v>
      </c>
      <c r="G4521">
        <v>0.32778199482686998</v>
      </c>
      <c r="H4521">
        <v>0.35414609345522002</v>
      </c>
      <c r="I4521">
        <v>0.23261691255398501</v>
      </c>
      <c r="J4521">
        <v>0.40027036810494099</v>
      </c>
      <c r="K4521">
        <v>0.26522842425471699</v>
      </c>
      <c r="L4521">
        <v>410.56547093269899</v>
      </c>
      <c r="M4521">
        <v>8.4493902412424404</v>
      </c>
      <c r="N4521">
        <v>51.640027517292197</v>
      </c>
      <c r="O4521">
        <v>46.098340651979797</v>
      </c>
      <c r="P4521">
        <v>-3.6857505069822598E-2</v>
      </c>
      <c r="Q4521">
        <v>0.196389173009833</v>
      </c>
      <c r="R4521">
        <v>0.90798637694075901</v>
      </c>
      <c r="S4521" t="s">
        <v>11089</v>
      </c>
      <c r="T4521" t="s">
        <v>13134</v>
      </c>
      <c r="U4521" t="s">
        <v>13134</v>
      </c>
      <c r="V4521" t="s">
        <v>13134</v>
      </c>
      <c r="W4521" t="s">
        <v>17594</v>
      </c>
      <c r="X4521">
        <v>3</v>
      </c>
      <c r="Y4521" t="s">
        <v>23969</v>
      </c>
      <c r="Z4521" t="s">
        <v>30489</v>
      </c>
      <c r="AA4521">
        <v>0.54395641752500057</v>
      </c>
      <c r="AB4521" t="str">
        <f>HYPERLINK("Melting_Curves/meltCurve_Q8N350_DOS.pdf", "Melting_Curves/meltCurve_Q8N350_DOS.pdf")</f>
        <v>Melting_Curves/meltCurve_Q8N350_DOS.pdf</v>
      </c>
    </row>
    <row r="4522" spans="1:28" x14ac:dyDescent="0.25">
      <c r="A4522" t="s">
        <v>4526</v>
      </c>
      <c r="B4522">
        <v>0.99472303558308395</v>
      </c>
      <c r="C4522">
        <v>0.97192305052575401</v>
      </c>
      <c r="D4522">
        <v>1.0245893498094001</v>
      </c>
      <c r="E4522">
        <v>0.87157050670512204</v>
      </c>
      <c r="F4522">
        <v>0.64764225359999394</v>
      </c>
      <c r="G4522">
        <v>0.38341356091224199</v>
      </c>
      <c r="H4522">
        <v>9.1246009468249095E-2</v>
      </c>
      <c r="I4522">
        <v>6.1940593426211298E-2</v>
      </c>
      <c r="J4522">
        <v>9.2057751142317498E-2</v>
      </c>
      <c r="K4522">
        <v>4.7138124613015697E-2</v>
      </c>
      <c r="L4522">
        <v>1021.68725646389</v>
      </c>
      <c r="M4522">
        <v>19.765842256139901</v>
      </c>
      <c r="N4522">
        <v>51.867776906602003</v>
      </c>
      <c r="O4522">
        <v>51.169179873841401</v>
      </c>
      <c r="P4522">
        <v>-9.3403405943064996E-2</v>
      </c>
      <c r="Q4522">
        <v>3.2833989441074303E-2</v>
      </c>
      <c r="R4522">
        <v>0.99344978850529098</v>
      </c>
      <c r="S4522" t="s">
        <v>11090</v>
      </c>
      <c r="T4522" t="s">
        <v>13134</v>
      </c>
      <c r="U4522" t="s">
        <v>13134</v>
      </c>
      <c r="V4522" t="s">
        <v>13134</v>
      </c>
      <c r="W4522" t="s">
        <v>17595</v>
      </c>
      <c r="X4522">
        <v>4</v>
      </c>
      <c r="Y4522" t="s">
        <v>23970</v>
      </c>
      <c r="Z4522" t="s">
        <v>30490</v>
      </c>
      <c r="AA4522">
        <v>0.51920201336661487</v>
      </c>
      <c r="AB4522" t="str">
        <f>HYPERLINK("Melting_Curves/meltCurve_Q8N371_KDM8.pdf", "Melting_Curves/meltCurve_Q8N371_KDM8.pdf")</f>
        <v>Melting_Curves/meltCurve_Q8N371_KDM8.pdf</v>
      </c>
    </row>
    <row r="4523" spans="1:28" x14ac:dyDescent="0.25">
      <c r="A4523" t="s">
        <v>4527</v>
      </c>
      <c r="B4523">
        <v>0.99472303558308395</v>
      </c>
      <c r="C4523">
        <v>0.99467184454857105</v>
      </c>
      <c r="D4523">
        <v>0.94115209355333296</v>
      </c>
      <c r="E4523">
        <v>0.74616376797500605</v>
      </c>
      <c r="F4523">
        <v>0.18109064412096301</v>
      </c>
      <c r="G4523">
        <v>0.100831993918634</v>
      </c>
      <c r="H4523">
        <v>6.9150148459319397E-2</v>
      </c>
      <c r="I4523">
        <v>4.8619604587594199E-2</v>
      </c>
      <c r="J4523">
        <v>6.4939749227514498E-2</v>
      </c>
      <c r="K4523">
        <v>7.0923041132472303E-2</v>
      </c>
      <c r="L4523">
        <v>1818.9744345065801</v>
      </c>
      <c r="M4523">
        <v>38.092883852466201</v>
      </c>
      <c r="N4523">
        <v>47.930072535876299</v>
      </c>
      <c r="O4523">
        <v>47.620020694413803</v>
      </c>
      <c r="P4523">
        <v>-0.18672160022958401</v>
      </c>
      <c r="Q4523">
        <v>6.6317948174626898E-2</v>
      </c>
      <c r="R4523">
        <v>0.99817945441294498</v>
      </c>
      <c r="S4523" t="s">
        <v>11091</v>
      </c>
      <c r="T4523" t="s">
        <v>13134</v>
      </c>
      <c r="U4523" t="s">
        <v>13134</v>
      </c>
      <c r="V4523" t="s">
        <v>13134</v>
      </c>
      <c r="W4523" t="s">
        <v>17596</v>
      </c>
      <c r="X4523">
        <v>25</v>
      </c>
      <c r="Y4523" t="s">
        <v>23971</v>
      </c>
      <c r="Z4523" t="s">
        <v>30491</v>
      </c>
      <c r="AA4523">
        <v>0.40432047720350039</v>
      </c>
      <c r="AB4523" t="str">
        <f>HYPERLINK("Melting_Curves/meltCurve_Q8N392_ARHGAP18.pdf", "Melting_Curves/meltCurve_Q8N392_ARHGAP18.pdf")</f>
        <v>Melting_Curves/meltCurve_Q8N392_ARHGAP18.pdf</v>
      </c>
    </row>
    <row r="4524" spans="1:28" x14ac:dyDescent="0.25">
      <c r="A4524" t="s">
        <v>4528</v>
      </c>
      <c r="B4524">
        <v>0.99472303558308395</v>
      </c>
      <c r="C4524">
        <v>0.83767405464600198</v>
      </c>
      <c r="D4524">
        <v>0.67959228488430701</v>
      </c>
      <c r="E4524">
        <v>0.41228182216846399</v>
      </c>
      <c r="F4524">
        <v>0.26074632604561099</v>
      </c>
      <c r="G4524">
        <v>0.126265328665014</v>
      </c>
      <c r="H4524">
        <v>9.3257478570587596E-2</v>
      </c>
      <c r="I4524">
        <v>6.0206984759478901E-2</v>
      </c>
      <c r="J4524">
        <v>6.0514471115508499E-2</v>
      </c>
      <c r="K4524">
        <v>8.3400216453455897E-2</v>
      </c>
      <c r="L4524">
        <v>619.81587996771896</v>
      </c>
      <c r="M4524">
        <v>13.7557016439217</v>
      </c>
      <c r="N4524">
        <v>45.406959653225996</v>
      </c>
      <c r="O4524">
        <v>44.138564828263704</v>
      </c>
      <c r="P4524">
        <v>-7.4023189312479504E-2</v>
      </c>
      <c r="Q4524">
        <v>5.00478804193219E-2</v>
      </c>
      <c r="R4524">
        <v>0.99653760272005398</v>
      </c>
      <c r="S4524" t="s">
        <v>11092</v>
      </c>
      <c r="T4524" t="s">
        <v>13134</v>
      </c>
      <c r="U4524" t="s">
        <v>13134</v>
      </c>
      <c r="V4524" t="s">
        <v>13134</v>
      </c>
      <c r="W4524" t="s">
        <v>17597</v>
      </c>
      <c r="X4524">
        <v>2</v>
      </c>
      <c r="Y4524" t="s">
        <v>23972</v>
      </c>
      <c r="Z4524" t="s">
        <v>30492</v>
      </c>
      <c r="AA4524">
        <v>0.33194101243733137</v>
      </c>
      <c r="AB4524" t="str">
        <f>HYPERLINK("Melting_Curves/meltCurve_Q8N3C0_ASCC3.pdf", "Melting_Curves/meltCurve_Q8N3C0_ASCC3.pdf")</f>
        <v>Melting_Curves/meltCurve_Q8N3C0_ASCC3.pdf</v>
      </c>
    </row>
    <row r="4525" spans="1:28" x14ac:dyDescent="0.25">
      <c r="A4525" t="s">
        <v>4529</v>
      </c>
      <c r="B4525">
        <v>0.99472303558308395</v>
      </c>
      <c r="C4525">
        <v>0.98373458795830504</v>
      </c>
      <c r="D4525">
        <v>0.86003944598424498</v>
      </c>
      <c r="E4525">
        <v>0.40927447595890398</v>
      </c>
      <c r="F4525">
        <v>0.14371232530106301</v>
      </c>
      <c r="G4525">
        <v>7.5765026119265499E-2</v>
      </c>
      <c r="H4525">
        <v>4.6933514344055398E-2</v>
      </c>
      <c r="I4525">
        <v>3.2749094979243602E-2</v>
      </c>
      <c r="J4525">
        <v>4.1892662625094203E-2</v>
      </c>
      <c r="K4525">
        <v>3.3871673120092302E-2</v>
      </c>
      <c r="L4525">
        <v>1185.3341025969</v>
      </c>
      <c r="M4525">
        <v>25.8672270181758</v>
      </c>
      <c r="N4525">
        <v>45.978533254182103</v>
      </c>
      <c r="O4525">
        <v>45.5525449609164</v>
      </c>
      <c r="P4525">
        <v>-0.136046770348244</v>
      </c>
      <c r="Q4525">
        <v>4.1690363471613E-2</v>
      </c>
      <c r="R4525">
        <v>0.99957071872698899</v>
      </c>
      <c r="S4525" t="s">
        <v>11093</v>
      </c>
      <c r="T4525" t="s">
        <v>13134</v>
      </c>
      <c r="U4525" t="s">
        <v>13134</v>
      </c>
      <c r="V4525" t="s">
        <v>13134</v>
      </c>
      <c r="W4525" t="s">
        <v>17598</v>
      </c>
      <c r="X4525">
        <v>31</v>
      </c>
      <c r="Y4525" t="s">
        <v>23973</v>
      </c>
      <c r="Z4525" t="s">
        <v>30493</v>
      </c>
      <c r="AA4525">
        <v>0.33094140202526379</v>
      </c>
      <c r="AB4525" t="str">
        <f>HYPERLINK("Melting_Curves/meltCurve_Q8N3D4_EHBP1L1.pdf", "Melting_Curves/meltCurve_Q8N3D4_EHBP1L1.pdf")</f>
        <v>Melting_Curves/meltCurve_Q8N3D4_EHBP1L1.pdf</v>
      </c>
    </row>
    <row r="4526" spans="1:28" x14ac:dyDescent="0.25">
      <c r="A4526" t="s">
        <v>4530</v>
      </c>
      <c r="B4526">
        <v>0.99472303558308395</v>
      </c>
      <c r="C4526">
        <v>1.12442385430307</v>
      </c>
      <c r="D4526">
        <v>1.0090014344484901</v>
      </c>
      <c r="E4526">
        <v>0.68358598716000296</v>
      </c>
      <c r="F4526">
        <v>0.17206950015127601</v>
      </c>
      <c r="G4526">
        <v>8.8251440318732499E-2</v>
      </c>
      <c r="H4526">
        <v>3.9031015847648502E-2</v>
      </c>
      <c r="I4526">
        <v>4.8581311133852799E-2</v>
      </c>
      <c r="J4526">
        <v>5.14791914620083E-2</v>
      </c>
      <c r="K4526">
        <v>2.35535646064952E-2</v>
      </c>
      <c r="L4526">
        <v>1720.69173573904</v>
      </c>
      <c r="M4526">
        <v>36.194626305382499</v>
      </c>
      <c r="N4526">
        <v>47.670230825552103</v>
      </c>
      <c r="O4526">
        <v>47.395557951501097</v>
      </c>
      <c r="P4526">
        <v>-0.181928595727605</v>
      </c>
      <c r="Q4526">
        <v>4.7087201899861097E-2</v>
      </c>
      <c r="R4526">
        <v>0.99091913897850703</v>
      </c>
      <c r="S4526" t="s">
        <v>11094</v>
      </c>
      <c r="T4526" t="s">
        <v>13134</v>
      </c>
      <c r="U4526" t="s">
        <v>13134</v>
      </c>
      <c r="V4526" t="s">
        <v>13134</v>
      </c>
      <c r="W4526" t="s">
        <v>17599</v>
      </c>
      <c r="X4526">
        <v>11</v>
      </c>
      <c r="Y4526" t="s">
        <v>23974</v>
      </c>
      <c r="Z4526" t="s">
        <v>30494</v>
      </c>
      <c r="AA4526">
        <v>0.38570799061981142</v>
      </c>
      <c r="AB4526" t="str">
        <f>HYPERLINK("Melting_Curves/meltCurve_Q8N3F8_MICALL1.pdf", "Melting_Curves/meltCurve_Q8N3F8_MICALL1.pdf")</f>
        <v>Melting_Curves/meltCurve_Q8N3F8_MICALL1.pdf</v>
      </c>
    </row>
    <row r="4527" spans="1:28" x14ac:dyDescent="0.25">
      <c r="A4527" t="s">
        <v>4531</v>
      </c>
      <c r="B4527">
        <v>0.99472303558308395</v>
      </c>
      <c r="C4527">
        <v>0.97658489071243204</v>
      </c>
      <c r="D4527">
        <v>0.81355393908039098</v>
      </c>
      <c r="E4527">
        <v>0.68821581595204795</v>
      </c>
      <c r="F4527">
        <v>0.621041066033444</v>
      </c>
      <c r="G4527">
        <v>0.455449658713038</v>
      </c>
      <c r="H4527">
        <v>0.35675666849676901</v>
      </c>
      <c r="I4527">
        <v>0.28588637186118199</v>
      </c>
      <c r="J4527">
        <v>0.35176555676898902</v>
      </c>
      <c r="K4527">
        <v>0.309633283332232</v>
      </c>
      <c r="L4527">
        <v>526.89128175271105</v>
      </c>
      <c r="M4527">
        <v>10.8532925740369</v>
      </c>
      <c r="N4527">
        <v>52.1536993412656</v>
      </c>
      <c r="O4527">
        <v>46.985760569833197</v>
      </c>
      <c r="P4527">
        <v>-4.2519472267637803E-2</v>
      </c>
      <c r="Q4527">
        <v>0.26396522223908803</v>
      </c>
      <c r="R4527">
        <v>0.98226834989388301</v>
      </c>
      <c r="S4527" t="s">
        <v>11095</v>
      </c>
      <c r="T4527" t="s">
        <v>13134</v>
      </c>
      <c r="U4527" t="s">
        <v>13134</v>
      </c>
      <c r="V4527" t="s">
        <v>13134</v>
      </c>
      <c r="W4527" t="s">
        <v>17600</v>
      </c>
      <c r="X4527">
        <v>11</v>
      </c>
      <c r="Y4527" t="s">
        <v>23975</v>
      </c>
      <c r="Z4527" t="s">
        <v>30495</v>
      </c>
      <c r="AA4527">
        <v>0.57288289431616135</v>
      </c>
      <c r="AB4527" t="str">
        <f>HYPERLINK("Melting_Curves/meltCurve_Q8N3X1_FNBP4.pdf", "Melting_Curves/meltCurve_Q8N3X1_FNBP4.pdf")</f>
        <v>Melting_Curves/meltCurve_Q8N3X1_FNBP4.pdf</v>
      </c>
    </row>
    <row r="4528" spans="1:28" x14ac:dyDescent="0.25">
      <c r="A4528" t="s">
        <v>4532</v>
      </c>
      <c r="B4528">
        <v>0.99472303558308395</v>
      </c>
      <c r="C4528">
        <v>1.01247823331469</v>
      </c>
      <c r="D4528">
        <v>0.90121675041076699</v>
      </c>
      <c r="E4528">
        <v>0.75891053944607501</v>
      </c>
      <c r="F4528">
        <v>0.201330881861295</v>
      </c>
      <c r="G4528">
        <v>7.02597296472042E-2</v>
      </c>
      <c r="H4528">
        <v>5.1701827481026301E-2</v>
      </c>
      <c r="I4528">
        <v>2.9141705774150602E-2</v>
      </c>
      <c r="J4528">
        <v>3.3974300391552199E-2</v>
      </c>
      <c r="K4528">
        <v>5.7393336671054E-2</v>
      </c>
      <c r="L4528">
        <v>1627.9361864894099</v>
      </c>
      <c r="M4528">
        <v>33.936792398920801</v>
      </c>
      <c r="N4528">
        <v>48.091539173952299</v>
      </c>
      <c r="O4528">
        <v>47.804010773840503</v>
      </c>
      <c r="P4528">
        <v>-0.17016595674287199</v>
      </c>
      <c r="Q4528">
        <v>4.1207873802973E-2</v>
      </c>
      <c r="R4528">
        <v>0.99565415456589001</v>
      </c>
      <c r="S4528" t="s">
        <v>11096</v>
      </c>
      <c r="T4528" t="s">
        <v>13134</v>
      </c>
      <c r="U4528" t="s">
        <v>13134</v>
      </c>
      <c r="V4528" t="s">
        <v>13134</v>
      </c>
      <c r="W4528" t="s">
        <v>17601</v>
      </c>
      <c r="X4528">
        <v>5</v>
      </c>
      <c r="Y4528" t="s">
        <v>23976</v>
      </c>
      <c r="Z4528" t="s">
        <v>30496</v>
      </c>
      <c r="AA4528">
        <v>0.3962233114805388</v>
      </c>
      <c r="AB4528" t="str">
        <f>HYPERLINK("Melting_Curves/meltCurve_Q8N442_GUF1.pdf", "Melting_Curves/meltCurve_Q8N442_GUF1.pdf")</f>
        <v>Melting_Curves/meltCurve_Q8N442_GUF1.pdf</v>
      </c>
    </row>
    <row r="4529" spans="1:28" x14ac:dyDescent="0.25">
      <c r="A4529" t="s">
        <v>4533</v>
      </c>
      <c r="B4529">
        <v>0.99472303558308395</v>
      </c>
      <c r="C4529">
        <v>0.98853605285642099</v>
      </c>
      <c r="D4529">
        <v>0.88723910349940704</v>
      </c>
      <c r="E4529">
        <v>0.77213500270566304</v>
      </c>
      <c r="F4529">
        <v>0.53128717596270802</v>
      </c>
      <c r="G4529">
        <v>0.34861196627408197</v>
      </c>
      <c r="H4529">
        <v>0.202582231862698</v>
      </c>
      <c r="I4529">
        <v>0.15215312040470899</v>
      </c>
      <c r="J4529">
        <v>0.10812979632186499</v>
      </c>
      <c r="K4529">
        <v>0.147998476567165</v>
      </c>
      <c r="L4529">
        <v>704.00978373526505</v>
      </c>
      <c r="M4529">
        <v>14.0818915945291</v>
      </c>
      <c r="N4529">
        <v>50.720433464502598</v>
      </c>
      <c r="O4529">
        <v>49.018167789884103</v>
      </c>
      <c r="P4529">
        <v>-6.5269166051608596E-2</v>
      </c>
      <c r="Q4529">
        <v>9.1326298203318695E-2</v>
      </c>
      <c r="R4529">
        <v>0.99742329993511103</v>
      </c>
      <c r="S4529" t="s">
        <v>11097</v>
      </c>
      <c r="T4529" t="s">
        <v>13134</v>
      </c>
      <c r="U4529" t="s">
        <v>13134</v>
      </c>
      <c r="V4529" t="s">
        <v>13134</v>
      </c>
      <c r="W4529" t="s">
        <v>17602</v>
      </c>
      <c r="X4529">
        <v>4</v>
      </c>
      <c r="Y4529" t="s">
        <v>23977</v>
      </c>
      <c r="Z4529" t="s">
        <v>30497</v>
      </c>
      <c r="AA4529">
        <v>0.50566806117058649</v>
      </c>
      <c r="AB4529" t="str">
        <f>HYPERLINK("Melting_Curves/meltCurve_Q8N465_D2HGDH.pdf", "Melting_Curves/meltCurve_Q8N465_D2HGDH.pdf")</f>
        <v>Melting_Curves/meltCurve_Q8N465_D2HGDH.pdf</v>
      </c>
    </row>
    <row r="4530" spans="1:28" x14ac:dyDescent="0.25">
      <c r="A4530" t="s">
        <v>4534</v>
      </c>
      <c r="B4530">
        <v>0.99472303558308395</v>
      </c>
      <c r="C4530">
        <v>1.09395481201893</v>
      </c>
      <c r="D4530">
        <v>0.86192598713512403</v>
      </c>
      <c r="E4530">
        <v>0.83596574804266899</v>
      </c>
      <c r="F4530">
        <v>0.60313492321509299</v>
      </c>
      <c r="G4530">
        <v>0.46051618603134697</v>
      </c>
      <c r="H4530">
        <v>0.35474858229130402</v>
      </c>
      <c r="I4530">
        <v>0.42359746855430003</v>
      </c>
      <c r="J4530">
        <v>0.63885020606459897</v>
      </c>
      <c r="K4530">
        <v>0.52292261838013598</v>
      </c>
      <c r="L4530">
        <v>1199.97535527994</v>
      </c>
      <c r="M4530">
        <v>25.212673791112</v>
      </c>
      <c r="N4530">
        <v>54.192385868522599</v>
      </c>
      <c r="O4530">
        <v>47.297737309909301</v>
      </c>
      <c r="P4530">
        <v>-6.9727566237085106E-2</v>
      </c>
      <c r="Q4530">
        <v>0.476784694787449</v>
      </c>
      <c r="R4530">
        <v>0.87691198972559703</v>
      </c>
      <c r="S4530" t="s">
        <v>11098</v>
      </c>
      <c r="T4530" t="s">
        <v>13134</v>
      </c>
      <c r="U4530" t="s">
        <v>13134</v>
      </c>
      <c r="V4530" t="s">
        <v>13134</v>
      </c>
      <c r="W4530" t="s">
        <v>17603</v>
      </c>
      <c r="X4530">
        <v>3</v>
      </c>
      <c r="Y4530" t="s">
        <v>23978</v>
      </c>
      <c r="Z4530" t="s">
        <v>30498</v>
      </c>
      <c r="AA4530">
        <v>0.66590992536355265</v>
      </c>
      <c r="AB4530" t="str">
        <f>HYPERLINK("Melting_Curves/meltCurve_Q8N488_RYBP.pdf", "Melting_Curves/meltCurve_Q8N488_RYBP.pdf")</f>
        <v>Melting_Curves/meltCurve_Q8N488_RYBP.pdf</v>
      </c>
    </row>
    <row r="4531" spans="1:28" x14ac:dyDescent="0.25">
      <c r="A4531" t="s">
        <v>4535</v>
      </c>
      <c r="B4531">
        <v>0.99472303558308395</v>
      </c>
      <c r="C4531">
        <v>1.0546936018231099</v>
      </c>
      <c r="D4531">
        <v>0.96213848925799905</v>
      </c>
      <c r="E4531">
        <v>0.69891903352629703</v>
      </c>
      <c r="F4531">
        <v>0.26199258813946003</v>
      </c>
      <c r="G4531">
        <v>0.247145841605835</v>
      </c>
      <c r="H4531">
        <v>0.17138786257465399</v>
      </c>
      <c r="I4531">
        <v>0.16789396044184099</v>
      </c>
      <c r="J4531">
        <v>0.19179926361497601</v>
      </c>
      <c r="K4531">
        <v>0.18363914673219001</v>
      </c>
      <c r="L4531">
        <v>1695.75408026778</v>
      </c>
      <c r="M4531">
        <v>35.884988296009801</v>
      </c>
      <c r="N4531">
        <v>47.883135383831501</v>
      </c>
      <c r="O4531">
        <v>47.109219126872397</v>
      </c>
      <c r="P4531">
        <v>-0.15469614859661199</v>
      </c>
      <c r="Q4531">
        <v>0.18767241201750401</v>
      </c>
      <c r="R4531">
        <v>0.99495024257151499</v>
      </c>
      <c r="S4531" t="s">
        <v>11099</v>
      </c>
      <c r="T4531" t="s">
        <v>13134</v>
      </c>
      <c r="U4531" t="s">
        <v>13134</v>
      </c>
      <c r="V4531" t="s">
        <v>13134</v>
      </c>
      <c r="W4531" t="s">
        <v>17604</v>
      </c>
      <c r="X4531">
        <v>2</v>
      </c>
      <c r="Y4531" t="s">
        <v>23979</v>
      </c>
      <c r="Z4531" t="s">
        <v>30499</v>
      </c>
      <c r="AA4531">
        <v>0.46866377895269778</v>
      </c>
      <c r="AB4531" t="str">
        <f>HYPERLINK("Melting_Curves/meltCurve_Q8N490_2_PNKD.pdf", "Melting_Curves/meltCurve_Q8N490_2_PNKD.pdf")</f>
        <v>Melting_Curves/meltCurve_Q8N490_2_PNKD.pdf</v>
      </c>
    </row>
    <row r="4532" spans="1:28" x14ac:dyDescent="0.25">
      <c r="A4532" t="s">
        <v>4536</v>
      </c>
      <c r="B4532">
        <v>0.99472303558308395</v>
      </c>
      <c r="C4532">
        <v>0.92165488611939395</v>
      </c>
      <c r="D4532">
        <v>0.94126128424569</v>
      </c>
      <c r="E4532">
        <v>0.71191265650723101</v>
      </c>
      <c r="F4532">
        <v>0.43243495724870701</v>
      </c>
      <c r="G4532">
        <v>0.377460130737233</v>
      </c>
      <c r="H4532">
        <v>0.29451345146005098</v>
      </c>
      <c r="I4532">
        <v>0.14333584654304299</v>
      </c>
      <c r="J4532">
        <v>0.112270557100812</v>
      </c>
      <c r="K4532">
        <v>6.2302932657646803E-2</v>
      </c>
      <c r="L4532">
        <v>555.67600533381199</v>
      </c>
      <c r="M4532">
        <v>11.065348855643601</v>
      </c>
      <c r="N4532">
        <v>50.544207061281597</v>
      </c>
      <c r="O4532">
        <v>48.6612009911765</v>
      </c>
      <c r="P4532">
        <v>-5.49059228966748E-2</v>
      </c>
      <c r="Q4532">
        <v>3.4496827159045597E-2</v>
      </c>
      <c r="R4532">
        <v>0.98351544477033204</v>
      </c>
      <c r="S4532" t="s">
        <v>11100</v>
      </c>
      <c r="T4532" t="s">
        <v>13134</v>
      </c>
      <c r="U4532" t="s">
        <v>13134</v>
      </c>
      <c r="V4532" t="s">
        <v>13134</v>
      </c>
      <c r="W4532" t="s">
        <v>17605</v>
      </c>
      <c r="X4532">
        <v>3</v>
      </c>
      <c r="Y4532" t="s">
        <v>23979</v>
      </c>
      <c r="Z4532" t="s">
        <v>30500</v>
      </c>
      <c r="AA4532">
        <v>0.48896366198524938</v>
      </c>
      <c r="AB4532" t="str">
        <f>HYPERLINK("Melting_Curves/meltCurve_Q8N490_4_PNKD.pdf", "Melting_Curves/meltCurve_Q8N490_4_PNKD.pdf")</f>
        <v>Melting_Curves/meltCurve_Q8N490_4_PNKD.pdf</v>
      </c>
    </row>
    <row r="4533" spans="1:28" x14ac:dyDescent="0.25">
      <c r="A4533" t="s">
        <v>4537</v>
      </c>
      <c r="B4533">
        <v>0.99472303558308395</v>
      </c>
      <c r="C4533">
        <v>1.09831269407543</v>
      </c>
      <c r="D4533">
        <v>0.72306325223011902</v>
      </c>
      <c r="E4533">
        <v>0.65773791710606</v>
      </c>
      <c r="F4533">
        <v>0.62224435604508899</v>
      </c>
      <c r="G4533">
        <v>0.21250442142350701</v>
      </c>
      <c r="H4533">
        <v>0.110232440992244</v>
      </c>
      <c r="I4533">
        <v>5.5432303684150697E-2</v>
      </c>
      <c r="J4533">
        <v>6.8498031010994706E-2</v>
      </c>
      <c r="K4533">
        <v>6.0709043673610297E-2</v>
      </c>
      <c r="L4533">
        <v>620.914148347999</v>
      </c>
      <c r="M4533">
        <v>12.5007109310103</v>
      </c>
      <c r="N4533">
        <v>49.670324856027598</v>
      </c>
      <c r="O4533">
        <v>48.450599497909302</v>
      </c>
      <c r="P4533">
        <v>-6.4515623579477197E-2</v>
      </c>
      <c r="Q4533">
        <v>0</v>
      </c>
      <c r="R4533">
        <v>0.94826325639133102</v>
      </c>
      <c r="S4533" t="s">
        <v>11101</v>
      </c>
      <c r="T4533" t="s">
        <v>13134</v>
      </c>
      <c r="U4533" t="s">
        <v>13134</v>
      </c>
      <c r="V4533" t="s">
        <v>13134</v>
      </c>
      <c r="W4533" t="s">
        <v>17606</v>
      </c>
      <c r="X4533">
        <v>2</v>
      </c>
      <c r="Y4533" t="s">
        <v>23980</v>
      </c>
      <c r="Z4533" t="s">
        <v>30501</v>
      </c>
      <c r="AA4533">
        <v>0.44950610952530118</v>
      </c>
      <c r="AB4533" t="str">
        <f>HYPERLINK("Melting_Curves/meltCurve_Q8N4B1_2_FAM109A.pdf", "Melting_Curves/meltCurve_Q8N4B1_2_FAM109A.pdf")</f>
        <v>Melting_Curves/meltCurve_Q8N4B1_2_FAM109A.pdf</v>
      </c>
    </row>
    <row r="4534" spans="1:28" x14ac:dyDescent="0.25">
      <c r="A4534" t="s">
        <v>4538</v>
      </c>
      <c r="B4534">
        <v>0.99472303558308395</v>
      </c>
      <c r="C4534">
        <v>1.0641557477591199</v>
      </c>
      <c r="D4534">
        <v>0.90870695283842795</v>
      </c>
      <c r="E4534">
        <v>0.70438334621313403</v>
      </c>
      <c r="F4534">
        <v>0.31763357983895002</v>
      </c>
      <c r="G4534">
        <v>0.110130722894298</v>
      </c>
      <c r="H4534">
        <v>7.4335433315873695E-2</v>
      </c>
      <c r="I4534">
        <v>5.8862852371012998E-2</v>
      </c>
      <c r="J4534">
        <v>8.3695179443485798E-2</v>
      </c>
      <c r="K4534">
        <v>4.5866637505116298E-2</v>
      </c>
      <c r="L4534">
        <v>1130.9254980467001</v>
      </c>
      <c r="M4534">
        <v>23.5152797817398</v>
      </c>
      <c r="N4534">
        <v>48.333872058525799</v>
      </c>
      <c r="O4534">
        <v>47.7494852016601</v>
      </c>
      <c r="P4534">
        <v>-0.1163179664516</v>
      </c>
      <c r="Q4534">
        <v>5.52482578117005E-2</v>
      </c>
      <c r="R4534">
        <v>0.99543017853664395</v>
      </c>
      <c r="S4534" t="s">
        <v>11102</v>
      </c>
      <c r="T4534" t="s">
        <v>13134</v>
      </c>
      <c r="U4534" t="s">
        <v>13134</v>
      </c>
      <c r="V4534" t="s">
        <v>13134</v>
      </c>
      <c r="W4534" t="s">
        <v>17607</v>
      </c>
      <c r="X4534">
        <v>13</v>
      </c>
      <c r="Y4534" t="s">
        <v>23981</v>
      </c>
      <c r="Z4534" t="s">
        <v>30502</v>
      </c>
      <c r="AA4534">
        <v>0.41368601425427548</v>
      </c>
      <c r="AB4534" t="str">
        <f>HYPERLINK("Melting_Curves/meltCurve_Q8N4C8_5_MINK1.pdf", "Melting_Curves/meltCurve_Q8N4C8_5_MINK1.pdf")</f>
        <v>Melting_Curves/meltCurve_Q8N4C8_5_MINK1.pdf</v>
      </c>
    </row>
    <row r="4535" spans="1:28" x14ac:dyDescent="0.25">
      <c r="A4535" t="s">
        <v>4539</v>
      </c>
      <c r="B4535">
        <v>0.99472303558308395</v>
      </c>
      <c r="C4535">
        <v>0.97615640479531696</v>
      </c>
      <c r="D4535">
        <v>0.88751264536123398</v>
      </c>
      <c r="E4535">
        <v>0.70175220957419504</v>
      </c>
      <c r="F4535">
        <v>0.55853725912801</v>
      </c>
      <c r="G4535">
        <v>0.34931803670999401</v>
      </c>
      <c r="H4535">
        <v>0.27389324914331398</v>
      </c>
      <c r="I4535">
        <v>0.26793176532641999</v>
      </c>
      <c r="J4535">
        <v>0.27462609024101903</v>
      </c>
      <c r="K4535">
        <v>0.47048072784737099</v>
      </c>
      <c r="L4535">
        <v>853.68533041524302</v>
      </c>
      <c r="M4535">
        <v>17.982419251006601</v>
      </c>
      <c r="N4535">
        <v>50.182014646256299</v>
      </c>
      <c r="O4535">
        <v>46.897919426856497</v>
      </c>
      <c r="P4535">
        <v>-6.6090736458582405E-2</v>
      </c>
      <c r="Q4535">
        <v>0.310578963274804</v>
      </c>
      <c r="R4535">
        <v>0.95055524550048598</v>
      </c>
      <c r="S4535" t="s">
        <v>11103</v>
      </c>
      <c r="T4535" t="s">
        <v>13134</v>
      </c>
      <c r="U4535" t="s">
        <v>13134</v>
      </c>
      <c r="V4535" t="s">
        <v>13134</v>
      </c>
      <c r="W4535" t="s">
        <v>17608</v>
      </c>
      <c r="X4535">
        <v>8</v>
      </c>
      <c r="Y4535" t="s">
        <v>23982</v>
      </c>
      <c r="Z4535" t="s">
        <v>30503</v>
      </c>
      <c r="AA4535">
        <v>0.56232758277793193</v>
      </c>
      <c r="AB4535" t="str">
        <f>HYPERLINK("Melting_Curves/meltCurve_Q8N4H5_TOMM5.pdf", "Melting_Curves/meltCurve_Q8N4H5_TOMM5.pdf")</f>
        <v>Melting_Curves/meltCurve_Q8N4H5_TOMM5.pdf</v>
      </c>
    </row>
    <row r="4536" spans="1:28" x14ac:dyDescent="0.25">
      <c r="A4536" t="s">
        <v>4540</v>
      </c>
      <c r="B4536">
        <v>0.99472303558308395</v>
      </c>
      <c r="C4536">
        <v>0.99123983976015795</v>
      </c>
      <c r="D4536">
        <v>0.82009564164187898</v>
      </c>
      <c r="E4536">
        <v>0.67366098513231398</v>
      </c>
      <c r="F4536">
        <v>0.30273912071432502</v>
      </c>
      <c r="G4536">
        <v>0.13154018224337999</v>
      </c>
      <c r="H4536">
        <v>6.90879022704185E-2</v>
      </c>
      <c r="I4536">
        <v>6.6582207532056903E-2</v>
      </c>
      <c r="J4536">
        <v>9.2074099525034106E-2</v>
      </c>
      <c r="K4536">
        <v>6.77382313998936E-2</v>
      </c>
      <c r="L4536">
        <v>894.44045223869603</v>
      </c>
      <c r="M4536">
        <v>18.778443834201799</v>
      </c>
      <c r="N4536">
        <v>47.922913117392902</v>
      </c>
      <c r="O4536">
        <v>47.100934075383499</v>
      </c>
      <c r="P4536">
        <v>-9.4292874022426698E-2</v>
      </c>
      <c r="Q4536">
        <v>5.4001053258427398E-2</v>
      </c>
      <c r="R4536">
        <v>0.99337743308315296</v>
      </c>
      <c r="S4536" t="s">
        <v>11104</v>
      </c>
      <c r="T4536" t="s">
        <v>13134</v>
      </c>
      <c r="U4536" t="s">
        <v>13134</v>
      </c>
      <c r="V4536" t="s">
        <v>13134</v>
      </c>
      <c r="W4536" t="s">
        <v>17609</v>
      </c>
      <c r="X4536">
        <v>8</v>
      </c>
      <c r="Y4536" t="s">
        <v>23983</v>
      </c>
      <c r="Z4536" t="s">
        <v>30504</v>
      </c>
      <c r="AA4536">
        <v>0.40322988435934709</v>
      </c>
      <c r="AB4536" t="str">
        <f>HYPERLINK("Melting_Curves/meltCurve_Q8N4N3_2_KLHL36.pdf", "Melting_Curves/meltCurve_Q8N4N3_2_KLHL36.pdf")</f>
        <v>Melting_Curves/meltCurve_Q8N4N3_2_KLHL36.pdf</v>
      </c>
    </row>
    <row r="4537" spans="1:28" x14ac:dyDescent="0.25">
      <c r="A4537" t="s">
        <v>4541</v>
      </c>
      <c r="B4537">
        <v>0.99472303558308395</v>
      </c>
      <c r="C4537">
        <v>0.86703978318310904</v>
      </c>
      <c r="D4537">
        <v>0.91843166713815205</v>
      </c>
      <c r="E4537">
        <v>0.66454211351361003</v>
      </c>
      <c r="F4537">
        <v>0.412910475939747</v>
      </c>
      <c r="G4537">
        <v>0.41150137508852402</v>
      </c>
      <c r="H4537">
        <v>0.36179677432986501</v>
      </c>
      <c r="I4537">
        <v>0.28408048713773898</v>
      </c>
      <c r="J4537">
        <v>0.154371302248689</v>
      </c>
      <c r="K4537">
        <v>0.121974825188377</v>
      </c>
      <c r="L4537">
        <v>468.63956582710102</v>
      </c>
      <c r="M4537">
        <v>9.47065938205807</v>
      </c>
      <c r="N4537">
        <v>50.652789104973401</v>
      </c>
      <c r="O4537">
        <v>47.427688752585603</v>
      </c>
      <c r="P4537">
        <v>-4.5046091849238898E-2</v>
      </c>
      <c r="Q4537">
        <v>9.8202585499989795E-2</v>
      </c>
      <c r="R4537">
        <v>0.961188265471286</v>
      </c>
      <c r="S4537" t="s">
        <v>11105</v>
      </c>
      <c r="T4537" t="s">
        <v>13134</v>
      </c>
      <c r="U4537" t="s">
        <v>13134</v>
      </c>
      <c r="V4537" t="s">
        <v>13134</v>
      </c>
      <c r="W4537" t="s">
        <v>17610</v>
      </c>
      <c r="X4537">
        <v>8</v>
      </c>
      <c r="Y4537" t="s">
        <v>23984</v>
      </c>
      <c r="Z4537" t="s">
        <v>30505</v>
      </c>
      <c r="AA4537">
        <v>0.50737400234577779</v>
      </c>
      <c r="AB4537" t="str">
        <f>HYPERLINK("Melting_Curves/meltCurve_Q8N4P3_HDDC3.pdf", "Melting_Curves/meltCurve_Q8N4P3_HDDC3.pdf")</f>
        <v>Melting_Curves/meltCurve_Q8N4P3_HDDC3.pdf</v>
      </c>
    </row>
    <row r="4538" spans="1:28" x14ac:dyDescent="0.25">
      <c r="A4538" t="s">
        <v>4542</v>
      </c>
      <c r="B4538">
        <v>0.99472303558308395</v>
      </c>
      <c r="C4538">
        <v>0.97970469586713804</v>
      </c>
      <c r="D4538">
        <v>0.96563366627274705</v>
      </c>
      <c r="E4538">
        <v>0.85265114714357604</v>
      </c>
      <c r="F4538">
        <v>0.654131765666497</v>
      </c>
      <c r="G4538">
        <v>0.38517802369328402</v>
      </c>
      <c r="H4538">
        <v>0.171290064604289</v>
      </c>
      <c r="I4538">
        <v>9.6699313895411101E-2</v>
      </c>
      <c r="J4538">
        <v>8.6952639152959199E-2</v>
      </c>
      <c r="K4538">
        <v>7.71064155737375E-2</v>
      </c>
      <c r="L4538">
        <v>873.91777036036297</v>
      </c>
      <c r="M4538">
        <v>16.8924709918712</v>
      </c>
      <c r="N4538">
        <v>52.0097810422184</v>
      </c>
      <c r="O4538">
        <v>51.025469296278402</v>
      </c>
      <c r="P4538">
        <v>-7.9226319256490499E-2</v>
      </c>
      <c r="Q4538">
        <v>4.2815238139941397E-2</v>
      </c>
      <c r="R4538">
        <v>0.99867276861472398</v>
      </c>
      <c r="S4538" t="s">
        <v>11106</v>
      </c>
      <c r="T4538" t="s">
        <v>13134</v>
      </c>
      <c r="U4538" t="s">
        <v>13134</v>
      </c>
      <c r="V4538" t="s">
        <v>13134</v>
      </c>
      <c r="W4538" t="s">
        <v>17611</v>
      </c>
      <c r="X4538">
        <v>7</v>
      </c>
      <c r="Y4538" t="s">
        <v>23985</v>
      </c>
      <c r="Z4538" t="s">
        <v>30506</v>
      </c>
      <c r="AA4538">
        <v>0.52888662998689207</v>
      </c>
      <c r="AB4538" t="str">
        <f>HYPERLINK("Melting_Curves/meltCurve_Q8N4Q0_ZADH2.pdf", "Melting_Curves/meltCurve_Q8N4Q0_ZADH2.pdf")</f>
        <v>Melting_Curves/meltCurve_Q8N4Q0_ZADH2.pdf</v>
      </c>
    </row>
    <row r="4539" spans="1:28" x14ac:dyDescent="0.25">
      <c r="A4539" t="s">
        <v>4543</v>
      </c>
      <c r="B4539">
        <v>0.99472303558308395</v>
      </c>
      <c r="C4539">
        <v>1.14721317886189</v>
      </c>
      <c r="D4539">
        <v>0.79095756117557303</v>
      </c>
      <c r="E4539">
        <v>0.93409165253113202</v>
      </c>
      <c r="F4539">
        <v>0.79527108064402896</v>
      </c>
      <c r="G4539">
        <v>0.43151187433422</v>
      </c>
      <c r="H4539">
        <v>0.29847829383454699</v>
      </c>
      <c r="I4539">
        <v>0.369222994254716</v>
      </c>
      <c r="J4539">
        <v>0.80856373168879803</v>
      </c>
      <c r="K4539">
        <v>0.584754296938093</v>
      </c>
      <c r="L4539">
        <v>12568.636907439901</v>
      </c>
      <c r="M4539">
        <v>250</v>
      </c>
      <c r="N4539">
        <v>51.471428632269898</v>
      </c>
      <c r="O4539">
        <v>50.271330391660001</v>
      </c>
      <c r="P4539">
        <v>-0.62348380736415099</v>
      </c>
      <c r="Q4539">
        <v>0.49850623300102898</v>
      </c>
      <c r="R4539">
        <v>0.67624250191785995</v>
      </c>
      <c r="S4539" t="s">
        <v>11107</v>
      </c>
      <c r="T4539" t="s">
        <v>13134</v>
      </c>
      <c r="U4539" t="s">
        <v>13134</v>
      </c>
      <c r="V4539" t="s">
        <v>13134</v>
      </c>
      <c r="W4539" t="s">
        <v>17612</v>
      </c>
      <c r="X4539">
        <v>2</v>
      </c>
      <c r="Y4539" t="s">
        <v>23986</v>
      </c>
      <c r="Z4539" t="s">
        <v>30507</v>
      </c>
      <c r="AA4539">
        <v>0.7204539101904941</v>
      </c>
      <c r="AB4539" t="str">
        <f>HYPERLINK("Melting_Curves/meltCurve_Q8N4Q1_CHCHD4.pdf", "Melting_Curves/meltCurve_Q8N4Q1_CHCHD4.pdf")</f>
        <v>Melting_Curves/meltCurve_Q8N4Q1_CHCHD4.pdf</v>
      </c>
    </row>
    <row r="4540" spans="1:28" x14ac:dyDescent="0.25">
      <c r="A4540" t="s">
        <v>4544</v>
      </c>
      <c r="B4540">
        <v>0.99472303558308395</v>
      </c>
      <c r="C4540">
        <v>1.02957617878442</v>
      </c>
      <c r="D4540">
        <v>0.74968926660291402</v>
      </c>
      <c r="E4540">
        <v>0.68477700131858299</v>
      </c>
      <c r="F4540">
        <v>0.597359799216715</v>
      </c>
      <c r="G4540">
        <v>0.28755647415059599</v>
      </c>
      <c r="H4540">
        <v>0.11701744380133799</v>
      </c>
      <c r="I4540">
        <v>9.7829874209690901E-2</v>
      </c>
      <c r="J4540">
        <v>0.132473968632596</v>
      </c>
      <c r="K4540">
        <v>0.13150684392022599</v>
      </c>
      <c r="L4540">
        <v>591.41691755771103</v>
      </c>
      <c r="M4540">
        <v>11.929124540543</v>
      </c>
      <c r="N4540">
        <v>49.944248425474598</v>
      </c>
      <c r="O4540">
        <v>48.245972206644403</v>
      </c>
      <c r="P4540">
        <v>-5.9236968484826402E-2</v>
      </c>
      <c r="Q4540">
        <v>4.1928352460753097E-2</v>
      </c>
      <c r="R4540">
        <v>0.96419200222201895</v>
      </c>
      <c r="S4540" t="s">
        <v>11108</v>
      </c>
      <c r="T4540" t="s">
        <v>13134</v>
      </c>
      <c r="U4540" t="s">
        <v>13134</v>
      </c>
      <c r="V4540" t="s">
        <v>13134</v>
      </c>
      <c r="W4540" t="s">
        <v>17613</v>
      </c>
      <c r="X4540">
        <v>2</v>
      </c>
      <c r="Y4540" t="s">
        <v>23987</v>
      </c>
      <c r="Z4540" t="s">
        <v>30508</v>
      </c>
      <c r="AA4540">
        <v>0.47134366311398751</v>
      </c>
      <c r="AB4540" t="str">
        <f>HYPERLINK("Melting_Curves/meltCurve_Q8N4V1_MMGT1.pdf", "Melting_Curves/meltCurve_Q8N4V1_MMGT1.pdf")</f>
        <v>Melting_Curves/meltCurve_Q8N4V1_MMGT1.pdf</v>
      </c>
    </row>
    <row r="4541" spans="1:28" x14ac:dyDescent="0.25">
      <c r="A4541" t="s">
        <v>4545</v>
      </c>
      <c r="B4541">
        <v>0.99472303558308395</v>
      </c>
      <c r="C4541">
        <v>1.0080523265608501</v>
      </c>
      <c r="D4541">
        <v>0.925119822399318</v>
      </c>
      <c r="E4541">
        <v>0.87189798063472002</v>
      </c>
      <c r="F4541">
        <v>0.90944426105040299</v>
      </c>
      <c r="G4541">
        <v>0.73799714644111003</v>
      </c>
      <c r="H4541">
        <v>0.61816969851480197</v>
      </c>
      <c r="I4541">
        <v>0.60693447497749098</v>
      </c>
      <c r="J4541">
        <v>0.66279741062200503</v>
      </c>
      <c r="K4541">
        <v>0.50517069243524204</v>
      </c>
      <c r="L4541">
        <v>512.52990222429901</v>
      </c>
      <c r="M4541">
        <v>9.4505344518904497</v>
      </c>
      <c r="O4541">
        <v>51.971020463817297</v>
      </c>
      <c r="P4541">
        <v>-2.3722695765215799E-2</v>
      </c>
      <c r="Q4541">
        <v>0.47848482555556998</v>
      </c>
      <c r="R4541">
        <v>0.92594664752312805</v>
      </c>
      <c r="S4541" t="s">
        <v>11109</v>
      </c>
      <c r="T4541" t="s">
        <v>13134</v>
      </c>
      <c r="U4541" t="s">
        <v>13134</v>
      </c>
      <c r="V4541" t="s">
        <v>13134</v>
      </c>
      <c r="W4541" t="s">
        <v>17614</v>
      </c>
      <c r="X4541">
        <v>3</v>
      </c>
      <c r="Y4541" t="s">
        <v>23988</v>
      </c>
      <c r="Z4541" t="s">
        <v>30509</v>
      </c>
      <c r="AA4541">
        <v>0.78628325466052817</v>
      </c>
      <c r="AB4541" t="str">
        <f>HYPERLINK("Melting_Curves/meltCurve_Q8N567_ZCCHC9.pdf", "Melting_Curves/meltCurve_Q8N567_ZCCHC9.pdf")</f>
        <v>Melting_Curves/meltCurve_Q8N567_ZCCHC9.pdf</v>
      </c>
    </row>
    <row r="4542" spans="1:28" x14ac:dyDescent="0.25">
      <c r="A4542" t="s">
        <v>4546</v>
      </c>
      <c r="B4542">
        <v>0.99472303558308395</v>
      </c>
      <c r="C4542">
        <v>0.96899594457558003</v>
      </c>
      <c r="D4542">
        <v>0.912200377786895</v>
      </c>
      <c r="E4542">
        <v>0.86143985313327598</v>
      </c>
      <c r="F4542">
        <v>0.64146103280300903</v>
      </c>
      <c r="G4542">
        <v>0.33125911984371398</v>
      </c>
      <c r="H4542">
        <v>0.11555127528496099</v>
      </c>
      <c r="I4542">
        <v>7.8546207511032695E-2</v>
      </c>
      <c r="J4542">
        <v>5.8445339363546699E-2</v>
      </c>
      <c r="K4542">
        <v>8.8500737503513296E-2</v>
      </c>
      <c r="L4542">
        <v>959.56808906216395</v>
      </c>
      <c r="M4542">
        <v>18.705661493629101</v>
      </c>
      <c r="N4542">
        <v>51.529924753879399</v>
      </c>
      <c r="O4542">
        <v>50.722774712352297</v>
      </c>
      <c r="P4542">
        <v>-8.8481425717910206E-2</v>
      </c>
      <c r="Q4542">
        <v>4.0326249367362503E-2</v>
      </c>
      <c r="R4542">
        <v>0.99436619872411303</v>
      </c>
      <c r="S4542" t="s">
        <v>11110</v>
      </c>
      <c r="T4542" t="s">
        <v>13134</v>
      </c>
      <c r="U4542" t="s">
        <v>13134</v>
      </c>
      <c r="V4542" t="s">
        <v>13134</v>
      </c>
      <c r="W4542" t="s">
        <v>17615</v>
      </c>
      <c r="X4542">
        <v>10</v>
      </c>
      <c r="Y4542" t="s">
        <v>23989</v>
      </c>
      <c r="Z4542" t="s">
        <v>30510</v>
      </c>
      <c r="AA4542">
        <v>0.51165561469680398</v>
      </c>
      <c r="AB4542" t="str">
        <f>HYPERLINK("Melting_Curves/meltCurve_Q8N573_2_OXR1.pdf", "Melting_Curves/meltCurve_Q8N573_2_OXR1.pdf")</f>
        <v>Melting_Curves/meltCurve_Q8N573_2_OXR1.pdf</v>
      </c>
    </row>
    <row r="4543" spans="1:28" x14ac:dyDescent="0.25">
      <c r="A4543" t="s">
        <v>4547</v>
      </c>
      <c r="B4543">
        <v>0.99472303558308395</v>
      </c>
      <c r="C4543">
        <v>0.96984653956913303</v>
      </c>
      <c r="D4543">
        <v>0.89265836784587704</v>
      </c>
      <c r="E4543">
        <v>0.82128344518698904</v>
      </c>
      <c r="F4543">
        <v>0.61923375125312996</v>
      </c>
      <c r="G4543">
        <v>0.34397040575420601</v>
      </c>
      <c r="H4543">
        <v>9.6014946760354894E-2</v>
      </c>
      <c r="I4543">
        <v>5.3291881378119799E-2</v>
      </c>
      <c r="J4543">
        <v>5.9553136904149297E-2</v>
      </c>
      <c r="K4543">
        <v>5.8394873744572202E-2</v>
      </c>
      <c r="L4543">
        <v>817.63278872870501</v>
      </c>
      <c r="M4543">
        <v>15.943152886529599</v>
      </c>
      <c r="N4543">
        <v>51.299636611908397</v>
      </c>
      <c r="O4543">
        <v>50.497765897873599</v>
      </c>
      <c r="P4543">
        <v>-7.87481035268498E-2</v>
      </c>
      <c r="Q4543">
        <v>2.3837716081564E-3</v>
      </c>
      <c r="R4543">
        <v>0.99234049793235302</v>
      </c>
      <c r="S4543" t="s">
        <v>11111</v>
      </c>
      <c r="T4543" t="s">
        <v>13134</v>
      </c>
      <c r="U4543" t="s">
        <v>13134</v>
      </c>
      <c r="V4543" t="s">
        <v>13134</v>
      </c>
      <c r="W4543" t="s">
        <v>17616</v>
      </c>
      <c r="X4543">
        <v>10</v>
      </c>
      <c r="Y4543" t="s">
        <v>23989</v>
      </c>
      <c r="Z4543" t="s">
        <v>30511</v>
      </c>
      <c r="AA4543">
        <v>0.49569484203455561</v>
      </c>
      <c r="AB4543" t="str">
        <f>HYPERLINK("Melting_Curves/meltCurve_Q8N573_8_OXR1.pdf", "Melting_Curves/meltCurve_Q8N573_8_OXR1.pdf")</f>
        <v>Melting_Curves/meltCurve_Q8N573_8_OXR1.pdf</v>
      </c>
    </row>
    <row r="4544" spans="1:28" x14ac:dyDescent="0.25">
      <c r="A4544" t="s">
        <v>4548</v>
      </c>
      <c r="B4544">
        <v>0.99472303558308395</v>
      </c>
      <c r="C4544">
        <v>0.949627167807927</v>
      </c>
      <c r="D4544">
        <v>0.63111550092115098</v>
      </c>
      <c r="E4544">
        <v>0.29973926027799302</v>
      </c>
      <c r="F4544">
        <v>0.19286468781914901</v>
      </c>
      <c r="G4544">
        <v>0.100315024335466</v>
      </c>
      <c r="H4544">
        <v>7.1082450649311096E-2</v>
      </c>
      <c r="I4544">
        <v>7.4414526793651598E-2</v>
      </c>
      <c r="J4544">
        <v>0.10569222815323299</v>
      </c>
      <c r="K4544">
        <v>7.1563943475911995E-2</v>
      </c>
      <c r="L4544">
        <v>935.13382569632199</v>
      </c>
      <c r="M4544">
        <v>21.237829426591901</v>
      </c>
      <c r="N4544">
        <v>44.424322557827303</v>
      </c>
      <c r="O4544">
        <v>43.646707168434098</v>
      </c>
      <c r="P4544">
        <v>-0.111235583393599</v>
      </c>
      <c r="Q4544">
        <v>8.5604806988439405E-2</v>
      </c>
      <c r="R4544">
        <v>0.99541693012261301</v>
      </c>
      <c r="S4544" t="s">
        <v>11112</v>
      </c>
      <c r="T4544" t="s">
        <v>13134</v>
      </c>
      <c r="U4544" t="s">
        <v>13134</v>
      </c>
      <c r="V4544" t="s">
        <v>13134</v>
      </c>
      <c r="W4544" t="s">
        <v>17617</v>
      </c>
      <c r="X4544">
        <v>4</v>
      </c>
      <c r="Y4544" t="s">
        <v>23990</v>
      </c>
      <c r="Z4544" t="s">
        <v>30512</v>
      </c>
      <c r="AA4544">
        <v>0.31064316740279307</v>
      </c>
      <c r="AB4544" t="str">
        <f>HYPERLINK("Melting_Curves/meltCurve_Q8N5A5_3_ZGPAT.pdf", "Melting_Curves/meltCurve_Q8N5A5_3_ZGPAT.pdf")</f>
        <v>Melting_Curves/meltCurve_Q8N5A5_3_ZGPAT.pdf</v>
      </c>
    </row>
    <row r="4545" spans="1:28" x14ac:dyDescent="0.25">
      <c r="A4545" t="s">
        <v>4549</v>
      </c>
      <c r="B4545">
        <v>0.99472303558308395</v>
      </c>
      <c r="C4545">
        <v>0.86271368642725599</v>
      </c>
      <c r="D4545">
        <v>0.819914274686809</v>
      </c>
      <c r="E4545">
        <v>0.49617325712384402</v>
      </c>
      <c r="F4545">
        <v>0.24963585683888201</v>
      </c>
      <c r="G4545">
        <v>0.138584213546568</v>
      </c>
      <c r="H4545">
        <v>6.9338738499444302E-2</v>
      </c>
      <c r="I4545">
        <v>7.4324002229514796E-2</v>
      </c>
      <c r="J4545">
        <v>3.8537567834843398E-2</v>
      </c>
      <c r="K4545">
        <v>4.0884615587188998E-2</v>
      </c>
      <c r="L4545">
        <v>718.646178333884</v>
      </c>
      <c r="M4545">
        <v>15.4882233591026</v>
      </c>
      <c r="N4545">
        <v>46.599232539558301</v>
      </c>
      <c r="O4545">
        <v>45.646664315441797</v>
      </c>
      <c r="P4545">
        <v>-8.2110124874545901E-2</v>
      </c>
      <c r="Q4545">
        <v>3.2111249730776302E-2</v>
      </c>
      <c r="R4545">
        <v>0.99490248067648701</v>
      </c>
      <c r="S4545" t="s">
        <v>11113</v>
      </c>
      <c r="T4545" t="s">
        <v>13134</v>
      </c>
      <c r="U4545" t="s">
        <v>13134</v>
      </c>
      <c r="V4545" t="s">
        <v>13134</v>
      </c>
      <c r="W4545" t="s">
        <v>17618</v>
      </c>
      <c r="X4545">
        <v>6</v>
      </c>
      <c r="Y4545" t="s">
        <v>23991</v>
      </c>
      <c r="Z4545" t="s">
        <v>30513</v>
      </c>
      <c r="AA4545">
        <v>0.35618138483501749</v>
      </c>
      <c r="AB4545" t="str">
        <f>HYPERLINK("Melting_Curves/meltCurve_Q8N5C6_SRBD1.pdf", "Melting_Curves/meltCurve_Q8N5C6_SRBD1.pdf")</f>
        <v>Melting_Curves/meltCurve_Q8N5C6_SRBD1.pdf</v>
      </c>
    </row>
    <row r="4546" spans="1:28" x14ac:dyDescent="0.25">
      <c r="A4546" t="s">
        <v>4550</v>
      </c>
      <c r="B4546">
        <v>0.99472303558308395</v>
      </c>
      <c r="C4546">
        <v>0.99605535453079797</v>
      </c>
      <c r="D4546">
        <v>0.872706687277504</v>
      </c>
      <c r="E4546">
        <v>0.79735044387917497</v>
      </c>
      <c r="F4546">
        <v>0.51385201887713905</v>
      </c>
      <c r="G4546">
        <v>0.131852746558839</v>
      </c>
      <c r="H4546">
        <v>7.7343464300109493E-2</v>
      </c>
      <c r="I4546">
        <v>7.3386940820423005E-2</v>
      </c>
      <c r="J4546">
        <v>9.2347633127671899E-2</v>
      </c>
      <c r="K4546">
        <v>6.1526441318418001E-2</v>
      </c>
      <c r="L4546">
        <v>1054.4571363578</v>
      </c>
      <c r="M4546">
        <v>21.287021923186099</v>
      </c>
      <c r="N4546">
        <v>49.780699632423101</v>
      </c>
      <c r="O4546">
        <v>49.104262639870903</v>
      </c>
      <c r="P4546">
        <v>-0.102979293703444</v>
      </c>
      <c r="Q4546">
        <v>4.9825798991448497E-2</v>
      </c>
      <c r="R4546">
        <v>0.98866817879839797</v>
      </c>
      <c r="S4546" t="s">
        <v>11114</v>
      </c>
      <c r="T4546" t="s">
        <v>13134</v>
      </c>
      <c r="U4546" t="s">
        <v>13134</v>
      </c>
      <c r="V4546" t="s">
        <v>13134</v>
      </c>
      <c r="W4546" t="s">
        <v>17619</v>
      </c>
      <c r="X4546">
        <v>6</v>
      </c>
      <c r="Y4546" t="s">
        <v>23992</v>
      </c>
      <c r="Z4546" t="s">
        <v>30514</v>
      </c>
      <c r="AA4546">
        <v>0.45803292909059279</v>
      </c>
      <c r="AB4546" t="str">
        <f>HYPERLINK("Melting_Curves/meltCurve_Q8N5C7_DTWD1.pdf", "Melting_Curves/meltCurve_Q8N5C7_DTWD1.pdf")</f>
        <v>Melting_Curves/meltCurve_Q8N5C7_DTWD1.pdf</v>
      </c>
    </row>
    <row r="4547" spans="1:28" x14ac:dyDescent="0.25">
      <c r="A4547" t="s">
        <v>4551</v>
      </c>
      <c r="B4547">
        <v>0.99472303558308395</v>
      </c>
      <c r="C4547">
        <v>1.05076272982579</v>
      </c>
      <c r="D4547">
        <v>0.809573690853714</v>
      </c>
      <c r="E4547">
        <v>0.67409141903525605</v>
      </c>
      <c r="F4547">
        <v>0.38663929154668197</v>
      </c>
      <c r="G4547">
        <v>9.9549518462736505E-2</v>
      </c>
      <c r="H4547">
        <v>7.1088028978914197E-2</v>
      </c>
      <c r="I4547">
        <v>6.2199504358522603E-2</v>
      </c>
      <c r="J4547">
        <v>7.5367170371469103E-2</v>
      </c>
      <c r="K4547">
        <v>7.0334723054443701E-2</v>
      </c>
      <c r="L4547">
        <v>861.07689707528903</v>
      </c>
      <c r="M4547">
        <v>17.920770536631299</v>
      </c>
      <c r="N4547">
        <v>48.282006841145503</v>
      </c>
      <c r="O4547">
        <v>47.462798665486297</v>
      </c>
      <c r="P4547">
        <v>-9.0489675853078697E-2</v>
      </c>
      <c r="Q4547">
        <v>4.1408234749084498E-2</v>
      </c>
      <c r="R4547">
        <v>0.98638423071152503</v>
      </c>
      <c r="S4547" t="s">
        <v>11115</v>
      </c>
      <c r="T4547" t="s">
        <v>13134</v>
      </c>
      <c r="U4547" t="s">
        <v>13134</v>
      </c>
      <c r="V4547" t="s">
        <v>13134</v>
      </c>
      <c r="W4547" t="s">
        <v>17620</v>
      </c>
      <c r="X4547">
        <v>4</v>
      </c>
      <c r="Y4547" t="s">
        <v>23993</v>
      </c>
      <c r="Z4547" t="s">
        <v>30515</v>
      </c>
      <c r="AA4547">
        <v>0.40990312168293658</v>
      </c>
      <c r="AB4547" t="str">
        <f>HYPERLINK("Melting_Curves/meltCurve_Q8N5D0_4_WDTC1.pdf", "Melting_Curves/meltCurve_Q8N5D0_4_WDTC1.pdf")</f>
        <v>Melting_Curves/meltCurve_Q8N5D0_4_WDTC1.pdf</v>
      </c>
    </row>
    <row r="4548" spans="1:28" x14ac:dyDescent="0.25">
      <c r="A4548" t="s">
        <v>4552</v>
      </c>
      <c r="B4548">
        <v>0.99472303558308395</v>
      </c>
      <c r="C4548">
        <v>0.91588977836031704</v>
      </c>
      <c r="D4548">
        <v>0.78139346582000002</v>
      </c>
      <c r="E4548">
        <v>0.56202355404818205</v>
      </c>
      <c r="F4548">
        <v>0.40463241354075702</v>
      </c>
      <c r="G4548">
        <v>0.225769285100758</v>
      </c>
      <c r="H4548">
        <v>0.15361594495386499</v>
      </c>
      <c r="I4548">
        <v>0.113969233787833</v>
      </c>
      <c r="J4548">
        <v>0.17049924998060401</v>
      </c>
      <c r="K4548">
        <v>0.15027585407340799</v>
      </c>
      <c r="L4548">
        <v>631.94025039924702</v>
      </c>
      <c r="M4548">
        <v>13.5118200233554</v>
      </c>
      <c r="N4548">
        <v>47.685276311545202</v>
      </c>
      <c r="O4548">
        <v>45.780657406653603</v>
      </c>
      <c r="P4548">
        <v>-6.5363082789384894E-2</v>
      </c>
      <c r="Q4548">
        <v>0.114283622432558</v>
      </c>
      <c r="R4548">
        <v>0.99426248541125495</v>
      </c>
      <c r="S4548" t="s">
        <v>11116</v>
      </c>
      <c r="T4548" t="s">
        <v>13134</v>
      </c>
      <c r="U4548" t="s">
        <v>13134</v>
      </c>
      <c r="V4548" t="s">
        <v>13134</v>
      </c>
      <c r="W4548" t="s">
        <v>17621</v>
      </c>
      <c r="X4548">
        <v>6</v>
      </c>
      <c r="Y4548" t="s">
        <v>23994</v>
      </c>
      <c r="Z4548" t="s">
        <v>30516</v>
      </c>
      <c r="AA4548">
        <v>0.42684002116794489</v>
      </c>
      <c r="AB4548" t="str">
        <f>HYPERLINK("Melting_Curves/meltCurve_Q8N5F7_NKAP.pdf", "Melting_Curves/meltCurve_Q8N5F7_NKAP.pdf")</f>
        <v>Melting_Curves/meltCurve_Q8N5F7_NKAP.pdf</v>
      </c>
    </row>
    <row r="4549" spans="1:28" x14ac:dyDescent="0.25">
      <c r="A4549" t="s">
        <v>4553</v>
      </c>
      <c r="B4549">
        <v>0.99472303558308395</v>
      </c>
      <c r="C4549">
        <v>0.98925542602888505</v>
      </c>
      <c r="D4549">
        <v>0.91068567520995503</v>
      </c>
      <c r="E4549">
        <v>0.79868291095379695</v>
      </c>
      <c r="F4549">
        <v>0.61609169514833195</v>
      </c>
      <c r="G4549">
        <v>0.43480408197335302</v>
      </c>
      <c r="H4549">
        <v>0.34748586044313701</v>
      </c>
      <c r="I4549">
        <v>0.39185490183488297</v>
      </c>
      <c r="J4549">
        <v>0.44658802770827499</v>
      </c>
      <c r="K4549">
        <v>0.50749746305349097</v>
      </c>
      <c r="L4549">
        <v>1015.47677340008</v>
      </c>
      <c r="M4549">
        <v>21.177014165657798</v>
      </c>
      <c r="N4549">
        <v>52.347555237367203</v>
      </c>
      <c r="O4549">
        <v>47.530385623622202</v>
      </c>
      <c r="P4549">
        <v>-6.5103296706634103E-2</v>
      </c>
      <c r="Q4549">
        <v>0.41553517501755599</v>
      </c>
      <c r="R4549">
        <v>0.96349482636864603</v>
      </c>
      <c r="S4549" t="s">
        <v>11117</v>
      </c>
      <c r="T4549" t="s">
        <v>13134</v>
      </c>
      <c r="U4549" t="s">
        <v>13134</v>
      </c>
      <c r="V4549" t="s">
        <v>13134</v>
      </c>
      <c r="W4549" t="s">
        <v>17622</v>
      </c>
      <c r="X4549">
        <v>3</v>
      </c>
      <c r="Y4549" t="s">
        <v>23995</v>
      </c>
      <c r="Z4549" t="s">
        <v>30517</v>
      </c>
      <c r="AA4549">
        <v>0.63578435008774536</v>
      </c>
      <c r="AB4549" t="str">
        <f>HYPERLINK("Melting_Curves/meltCurve_Q8N5G0_2_SMIM20.pdf", "Melting_Curves/meltCurve_Q8N5G0_2_SMIM20.pdf")</f>
        <v>Melting_Curves/meltCurve_Q8N5G0_2_SMIM20.pdf</v>
      </c>
    </row>
    <row r="4550" spans="1:28" x14ac:dyDescent="0.25">
      <c r="A4550" t="s">
        <v>4554</v>
      </c>
      <c r="B4550">
        <v>0.99472303558308395</v>
      </c>
      <c r="C4550">
        <v>0.97522250528860599</v>
      </c>
      <c r="D4550">
        <v>0.83100643490112203</v>
      </c>
      <c r="E4550">
        <v>0.61948726067028104</v>
      </c>
      <c r="F4550">
        <v>0.55516974015989595</v>
      </c>
      <c r="G4550">
        <v>0.29731120670357303</v>
      </c>
      <c r="H4550">
        <v>0.17096750951610001</v>
      </c>
      <c r="I4550">
        <v>0.12114773118890899</v>
      </c>
      <c r="J4550">
        <v>0.17650389786999601</v>
      </c>
      <c r="K4550">
        <v>0.15273835537583</v>
      </c>
      <c r="L4550">
        <v>597.401401225114</v>
      </c>
      <c r="M4550">
        <v>12.260239620656201</v>
      </c>
      <c r="N4550">
        <v>49.5785020224465</v>
      </c>
      <c r="O4550">
        <v>47.484784596506998</v>
      </c>
      <c r="P4550">
        <v>-5.8431417541701898E-2</v>
      </c>
      <c r="Q4550">
        <v>9.4964530954755697E-2</v>
      </c>
      <c r="R4550">
        <v>0.98345688385526397</v>
      </c>
      <c r="S4550" t="s">
        <v>11118</v>
      </c>
      <c r="T4550" t="s">
        <v>13134</v>
      </c>
      <c r="U4550" t="s">
        <v>13134</v>
      </c>
      <c r="V4550" t="s">
        <v>13134</v>
      </c>
      <c r="W4550" t="s">
        <v>17623</v>
      </c>
      <c r="X4550">
        <v>5</v>
      </c>
      <c r="Y4550" t="s">
        <v>23996</v>
      </c>
      <c r="Z4550" t="s">
        <v>30518</v>
      </c>
      <c r="AA4550">
        <v>0.47523985183863993</v>
      </c>
      <c r="AB4550" t="str">
        <f>HYPERLINK("Melting_Curves/meltCurve_Q8N5G2_TMEM57.pdf", "Melting_Curves/meltCurve_Q8N5G2_TMEM57.pdf")</f>
        <v>Melting_Curves/meltCurve_Q8N5G2_TMEM57.pdf</v>
      </c>
    </row>
    <row r="4551" spans="1:28" x14ac:dyDescent="0.25">
      <c r="A4551" t="s">
        <v>4555</v>
      </c>
      <c r="B4551">
        <v>0.99472303558308395</v>
      </c>
      <c r="C4551">
        <v>0.88936266423238997</v>
      </c>
      <c r="D4551">
        <v>1.0545026241523701</v>
      </c>
      <c r="E4551">
        <v>0.97978156687031903</v>
      </c>
      <c r="F4551">
        <v>0.80132553439663101</v>
      </c>
      <c r="G4551">
        <v>0.34632948573940098</v>
      </c>
      <c r="H4551">
        <v>4.2714387622262699E-2</v>
      </c>
      <c r="I4551">
        <v>4.1744327028580497E-2</v>
      </c>
      <c r="J4551">
        <v>4.0237132118665801E-2</v>
      </c>
      <c r="K4551">
        <v>6.2702470583697198E-2</v>
      </c>
      <c r="L4551">
        <v>1705.9366148592601</v>
      </c>
      <c r="M4551">
        <v>32.546852052312801</v>
      </c>
      <c r="N4551">
        <v>52.527382319934901</v>
      </c>
      <c r="O4551">
        <v>52.218128079110301</v>
      </c>
      <c r="P4551">
        <v>-0.15057288641854299</v>
      </c>
      <c r="Q4551">
        <v>3.3689096425448199E-2</v>
      </c>
      <c r="R4551">
        <v>0.98992713944053501</v>
      </c>
      <c r="S4551" t="s">
        <v>11119</v>
      </c>
      <c r="T4551" t="s">
        <v>13134</v>
      </c>
      <c r="U4551" t="s">
        <v>13134</v>
      </c>
      <c r="V4551" t="s">
        <v>13134</v>
      </c>
      <c r="W4551" t="s">
        <v>17624</v>
      </c>
      <c r="X4551">
        <v>4</v>
      </c>
      <c r="Y4551" t="s">
        <v>23997</v>
      </c>
      <c r="Z4551" t="s">
        <v>30519</v>
      </c>
      <c r="AA4551">
        <v>0.53544189146643195</v>
      </c>
      <c r="AB4551" t="str">
        <f>HYPERLINK("Melting_Curves/meltCurve_Q8N5I2_ARRDC1.pdf", "Melting_Curves/meltCurve_Q8N5I2_ARRDC1.pdf")</f>
        <v>Melting_Curves/meltCurve_Q8N5I2_ARRDC1.pdf</v>
      </c>
    </row>
    <row r="4552" spans="1:28" x14ac:dyDescent="0.25">
      <c r="A4552" t="s">
        <v>4556</v>
      </c>
      <c r="B4552">
        <v>0.99472303558308395</v>
      </c>
      <c r="C4552">
        <v>0.98699741759684301</v>
      </c>
      <c r="D4552">
        <v>0.89984024822416897</v>
      </c>
      <c r="E4552">
        <v>0.76480722262068102</v>
      </c>
      <c r="F4552">
        <v>0.61105067759575704</v>
      </c>
      <c r="G4552">
        <v>0.401378182402929</v>
      </c>
      <c r="H4552">
        <v>0.36721797735564898</v>
      </c>
      <c r="I4552">
        <v>0.35894379662266301</v>
      </c>
      <c r="J4552">
        <v>0.51049406253571405</v>
      </c>
      <c r="K4552">
        <v>0.374483744775991</v>
      </c>
      <c r="L4552">
        <v>892.78176770321102</v>
      </c>
      <c r="M4552">
        <v>18.693233696484601</v>
      </c>
      <c r="N4552">
        <v>51.914068130146902</v>
      </c>
      <c r="O4552">
        <v>47.223108943779202</v>
      </c>
      <c r="P4552">
        <v>-6.05694330168738E-2</v>
      </c>
      <c r="Q4552">
        <v>0.38798041698841801</v>
      </c>
      <c r="R4552">
        <v>0.96195584214701801</v>
      </c>
      <c r="S4552" t="s">
        <v>11120</v>
      </c>
      <c r="T4552" t="s">
        <v>13134</v>
      </c>
      <c r="U4552" t="s">
        <v>13134</v>
      </c>
      <c r="V4552" t="s">
        <v>13134</v>
      </c>
      <c r="W4552" t="s">
        <v>17625</v>
      </c>
      <c r="X4552">
        <v>7</v>
      </c>
      <c r="Y4552" t="s">
        <v>23998</v>
      </c>
      <c r="Z4552" t="s">
        <v>30520</v>
      </c>
      <c r="AA4552">
        <v>0.61661174360443771</v>
      </c>
      <c r="AB4552" t="str">
        <f>HYPERLINK("Melting_Curves/meltCurve_Q8N5I9_C12orf45.pdf", "Melting_Curves/meltCurve_Q8N5I9_C12orf45.pdf")</f>
        <v>Melting_Curves/meltCurve_Q8N5I9_C12orf45.pdf</v>
      </c>
    </row>
    <row r="4553" spans="1:28" x14ac:dyDescent="0.25">
      <c r="A4553" t="s">
        <v>4557</v>
      </c>
      <c r="B4553">
        <v>0.99472303558308395</v>
      </c>
      <c r="C4553">
        <v>1.2753354460000399</v>
      </c>
      <c r="D4553">
        <v>1.0637208964227101</v>
      </c>
      <c r="E4553">
        <v>0.89397978648438903</v>
      </c>
      <c r="F4553">
        <v>0.74148817878551199</v>
      </c>
      <c r="G4553">
        <v>0.20877501535961501</v>
      </c>
      <c r="H4553">
        <v>0.126742885806721</v>
      </c>
      <c r="I4553">
        <v>0.13094968748868799</v>
      </c>
      <c r="J4553">
        <v>0</v>
      </c>
      <c r="K4553">
        <v>0</v>
      </c>
      <c r="L4553">
        <v>1602.7951978932399</v>
      </c>
      <c r="M4553">
        <v>31.102991002595999</v>
      </c>
      <c r="N4553">
        <v>51.691519196733701</v>
      </c>
      <c r="O4553">
        <v>51.3202361209893</v>
      </c>
      <c r="P4553">
        <v>-0.14457618056198099</v>
      </c>
      <c r="Q4553">
        <v>4.5796750899140502E-2</v>
      </c>
      <c r="R4553">
        <v>0.95479490437373804</v>
      </c>
      <c r="S4553" t="s">
        <v>11121</v>
      </c>
      <c r="T4553" t="s">
        <v>13134</v>
      </c>
      <c r="U4553" t="s">
        <v>13134</v>
      </c>
      <c r="V4553" t="s">
        <v>13134</v>
      </c>
      <c r="W4553" t="s">
        <v>17626</v>
      </c>
      <c r="X4553">
        <v>2</v>
      </c>
      <c r="Y4553" t="s">
        <v>23999</v>
      </c>
      <c r="Z4553" t="s">
        <v>30521</v>
      </c>
      <c r="AA4553">
        <v>0.51359078045711548</v>
      </c>
      <c r="AB4553" t="str">
        <f>HYPERLINK("Melting_Curves/meltCurve_Q8N5J2_2_FAM63A.pdf", "Melting_Curves/meltCurve_Q8N5J2_2_FAM63A.pdf")</f>
        <v>Melting_Curves/meltCurve_Q8N5J2_2_FAM63A.pdf</v>
      </c>
    </row>
    <row r="4554" spans="1:28" x14ac:dyDescent="0.25">
      <c r="A4554" t="s">
        <v>4558</v>
      </c>
      <c r="B4554">
        <v>0.99472303558308395</v>
      </c>
      <c r="C4554">
        <v>0.93997805748556695</v>
      </c>
      <c r="D4554">
        <v>0.91203425796604598</v>
      </c>
      <c r="E4554">
        <v>0.76447380419276401</v>
      </c>
      <c r="F4554">
        <v>0.555289464512979</v>
      </c>
      <c r="G4554">
        <v>0.32704873459529799</v>
      </c>
      <c r="H4554">
        <v>0.198464678360914</v>
      </c>
      <c r="I4554">
        <v>0.24765911388269499</v>
      </c>
      <c r="J4554">
        <v>0.32695592297124099</v>
      </c>
      <c r="K4554">
        <v>0.50731245459474605</v>
      </c>
      <c r="L4554">
        <v>1069.81044626319</v>
      </c>
      <c r="M4554">
        <v>22.2838639263116</v>
      </c>
      <c r="N4554">
        <v>50.224447494839303</v>
      </c>
      <c r="O4554">
        <v>47.626714012210201</v>
      </c>
      <c r="P4554">
        <v>-8.0366095984657895E-2</v>
      </c>
      <c r="Q4554">
        <v>0.31295751191417998</v>
      </c>
      <c r="R4554">
        <v>0.91731665537533502</v>
      </c>
      <c r="S4554" t="s">
        <v>11122</v>
      </c>
      <c r="T4554" t="s">
        <v>13134</v>
      </c>
      <c r="U4554" t="s">
        <v>13134</v>
      </c>
      <c r="V4554" t="s">
        <v>13134</v>
      </c>
      <c r="W4554" t="s">
        <v>17627</v>
      </c>
      <c r="X4554">
        <v>11</v>
      </c>
      <c r="Y4554" t="s">
        <v>24000</v>
      </c>
      <c r="Z4554" t="s">
        <v>30522</v>
      </c>
      <c r="AA4554">
        <v>0.57239999179629519</v>
      </c>
      <c r="AB4554" t="str">
        <f>HYPERLINK("Melting_Curves/meltCurve_Q8N5K1_CISD2.pdf", "Melting_Curves/meltCurve_Q8N5K1_CISD2.pdf")</f>
        <v>Melting_Curves/meltCurve_Q8N5K1_CISD2.pdf</v>
      </c>
    </row>
    <row r="4555" spans="1:28" x14ac:dyDescent="0.25">
      <c r="A4555" t="s">
        <v>4559</v>
      </c>
      <c r="B4555">
        <v>0.99472303558308395</v>
      </c>
      <c r="C4555">
        <v>1.2950657399978101</v>
      </c>
      <c r="D4555">
        <v>0.918185968700307</v>
      </c>
      <c r="E4555">
        <v>0.87419881897046703</v>
      </c>
      <c r="F4555">
        <v>0.81062319635115299</v>
      </c>
      <c r="G4555">
        <v>0.36237017787285097</v>
      </c>
      <c r="H4555">
        <v>0.124869759822634</v>
      </c>
      <c r="I4555">
        <v>2.85051057206278E-2</v>
      </c>
      <c r="J4555">
        <v>5.7272398116741403E-2</v>
      </c>
      <c r="K4555">
        <v>6.0759731716025299E-2</v>
      </c>
      <c r="L4555">
        <v>1372.8808957229101</v>
      </c>
      <c r="M4555">
        <v>26.149139081164801</v>
      </c>
      <c r="N4555">
        <v>52.649938442838199</v>
      </c>
      <c r="O4555">
        <v>52.197766015580598</v>
      </c>
      <c r="P4555">
        <v>-0.12080461275194899</v>
      </c>
      <c r="Q4555">
        <v>3.5430970938554601E-2</v>
      </c>
      <c r="R4555">
        <v>0.94841394947389901</v>
      </c>
      <c r="S4555" t="s">
        <v>11123</v>
      </c>
      <c r="T4555" t="s">
        <v>13134</v>
      </c>
      <c r="U4555" t="s">
        <v>13134</v>
      </c>
      <c r="V4555" t="s">
        <v>13134</v>
      </c>
      <c r="W4555" t="s">
        <v>17628</v>
      </c>
      <c r="X4555">
        <v>2</v>
      </c>
      <c r="Y4555" t="s">
        <v>24001</v>
      </c>
      <c r="Z4555" t="s">
        <v>30523</v>
      </c>
      <c r="AA4555">
        <v>0.54174064722596926</v>
      </c>
      <c r="AB4555" t="str">
        <f>HYPERLINK("Melting_Curves/meltCurve_Q8N5L8_RPP25L.pdf", "Melting_Curves/meltCurve_Q8N5L8_RPP25L.pdf")</f>
        <v>Melting_Curves/meltCurve_Q8N5L8_RPP25L.pdf</v>
      </c>
    </row>
    <row r="4556" spans="1:28" x14ac:dyDescent="0.25">
      <c r="A4556" t="s">
        <v>4560</v>
      </c>
      <c r="B4556">
        <v>0.99472303558308395</v>
      </c>
      <c r="C4556">
        <v>0.95825540499665196</v>
      </c>
      <c r="D4556">
        <v>0.88504970429270902</v>
      </c>
      <c r="E4556">
        <v>0.83631456884534505</v>
      </c>
      <c r="F4556">
        <v>0.78194845547441605</v>
      </c>
      <c r="G4556">
        <v>0.575164395082149</v>
      </c>
      <c r="H4556">
        <v>0.48875765531055099</v>
      </c>
      <c r="I4556">
        <v>0.25401640450481</v>
      </c>
      <c r="J4556">
        <v>0.19330917255709901</v>
      </c>
      <c r="K4556">
        <v>0.122100768204257</v>
      </c>
      <c r="L4556">
        <v>557.44059987319099</v>
      </c>
      <c r="M4556">
        <v>10.0299695505985</v>
      </c>
      <c r="N4556">
        <v>55.577488176571499</v>
      </c>
      <c r="O4556">
        <v>53.503766963725901</v>
      </c>
      <c r="P4556">
        <v>-4.68882520968808E-2</v>
      </c>
      <c r="Q4556">
        <v>0</v>
      </c>
      <c r="R4556">
        <v>0.98513669871821297</v>
      </c>
      <c r="S4556" t="s">
        <v>11124</v>
      </c>
      <c r="T4556" t="s">
        <v>13134</v>
      </c>
      <c r="U4556" t="s">
        <v>13134</v>
      </c>
      <c r="V4556" t="s">
        <v>13134</v>
      </c>
      <c r="W4556" t="s">
        <v>17629</v>
      </c>
      <c r="X4556">
        <v>1</v>
      </c>
      <c r="Y4556" t="s">
        <v>24002</v>
      </c>
      <c r="Z4556" t="s">
        <v>30524</v>
      </c>
      <c r="AA4556">
        <v>0.6280454755122824</v>
      </c>
      <c r="AB4556" t="str">
        <f>HYPERLINK("Melting_Curves/meltCurve_Q8N5M1_ATPAF2.pdf", "Melting_Curves/meltCurve_Q8N5M1_ATPAF2.pdf")</f>
        <v>Melting_Curves/meltCurve_Q8N5M1_ATPAF2.pdf</v>
      </c>
    </row>
    <row r="4557" spans="1:28" x14ac:dyDescent="0.25">
      <c r="A4557" t="s">
        <v>4561</v>
      </c>
      <c r="B4557">
        <v>0.99472303558308395</v>
      </c>
      <c r="C4557">
        <v>0.89794361331633099</v>
      </c>
      <c r="D4557">
        <v>1.3162349441950401</v>
      </c>
      <c r="E4557">
        <v>0.79418349388603804</v>
      </c>
      <c r="F4557">
        <v>0.48717560464477599</v>
      </c>
      <c r="G4557">
        <v>0.50627185157166199</v>
      </c>
      <c r="H4557">
        <v>0.32310462567371001</v>
      </c>
      <c r="I4557">
        <v>0.27346020315414599</v>
      </c>
      <c r="J4557">
        <v>0.34717886812404097</v>
      </c>
      <c r="K4557">
        <v>0.29831313922018599</v>
      </c>
      <c r="L4557">
        <v>1503.6304061748001</v>
      </c>
      <c r="M4557">
        <v>31.077947764009298</v>
      </c>
      <c r="N4557">
        <v>50.208939779759199</v>
      </c>
      <c r="O4557">
        <v>48.183553273025503</v>
      </c>
      <c r="P4557">
        <v>-0.10665590274024001</v>
      </c>
      <c r="Q4557">
        <v>0.33856240520201297</v>
      </c>
      <c r="R4557">
        <v>0.87145997779130702</v>
      </c>
      <c r="S4557" t="s">
        <v>11125</v>
      </c>
      <c r="T4557" t="s">
        <v>13134</v>
      </c>
      <c r="U4557" t="s">
        <v>13134</v>
      </c>
      <c r="V4557" t="s">
        <v>13134</v>
      </c>
      <c r="W4557" t="s">
        <v>17630</v>
      </c>
      <c r="X4557">
        <v>2</v>
      </c>
      <c r="Y4557" t="s">
        <v>24003</v>
      </c>
      <c r="Z4557" t="s">
        <v>30525</v>
      </c>
      <c r="AA4557">
        <v>0.59319974338490988</v>
      </c>
      <c r="AB4557" t="str">
        <f>HYPERLINK("Melting_Curves/meltCurve_Q8N5M9_JAGN1.pdf", "Melting_Curves/meltCurve_Q8N5M9_JAGN1.pdf")</f>
        <v>Melting_Curves/meltCurve_Q8N5M9_JAGN1.pdf</v>
      </c>
    </row>
    <row r="4558" spans="1:28" x14ac:dyDescent="0.25">
      <c r="A4558" t="s">
        <v>4562</v>
      </c>
      <c r="B4558">
        <v>0.99472303558308395</v>
      </c>
      <c r="C4558">
        <v>0.97615299027233604</v>
      </c>
      <c r="D4558">
        <v>0.82884971322951995</v>
      </c>
      <c r="E4558">
        <v>0.69301032081718705</v>
      </c>
      <c r="F4558">
        <v>0.79393663558004302</v>
      </c>
      <c r="G4558">
        <v>0.86938652965798602</v>
      </c>
      <c r="H4558">
        <v>1.1495181506387799</v>
      </c>
      <c r="I4558">
        <v>1.12853673790943</v>
      </c>
      <c r="J4558">
        <v>0.89693221706238802</v>
      </c>
      <c r="K4558">
        <v>0.61231593319371802</v>
      </c>
      <c r="L4558">
        <v>10033.9885373384</v>
      </c>
      <c r="M4558">
        <v>250</v>
      </c>
      <c r="O4558">
        <v>40.133385653381801</v>
      </c>
      <c r="P4558">
        <v>-0.20001928938517</v>
      </c>
      <c r="Q4558">
        <v>0.87156077949076705</v>
      </c>
      <c r="R4558">
        <v>7.6869263853315301E-2</v>
      </c>
      <c r="S4558" t="s">
        <v>11126</v>
      </c>
      <c r="T4558" t="s">
        <v>13134</v>
      </c>
      <c r="U4558" t="s">
        <v>13134</v>
      </c>
      <c r="V4558" t="s">
        <v>13134</v>
      </c>
      <c r="W4558" t="s">
        <v>17631</v>
      </c>
      <c r="X4558">
        <v>5</v>
      </c>
      <c r="Y4558" t="s">
        <v>24004</v>
      </c>
      <c r="Z4558" t="s">
        <v>30526</v>
      </c>
      <c r="AA4558">
        <v>0.88499581003969019</v>
      </c>
      <c r="AB4558" t="str">
        <f>HYPERLINK("Melting_Curves/meltCurve_Q8N5N7_MRPL50.pdf", "Melting_Curves/meltCurve_Q8N5N7_MRPL50.pdf")</f>
        <v>Melting_Curves/meltCurve_Q8N5N7_MRPL50.pdf</v>
      </c>
    </row>
    <row r="4559" spans="1:28" x14ac:dyDescent="0.25">
      <c r="A4559" t="s">
        <v>4563</v>
      </c>
      <c r="B4559">
        <v>0.99472303558308395</v>
      </c>
      <c r="C4559">
        <v>0.952289382102257</v>
      </c>
      <c r="D4559">
        <v>0.97866518317434903</v>
      </c>
      <c r="E4559">
        <v>0.75469616826414199</v>
      </c>
      <c r="F4559">
        <v>0.54495895310231901</v>
      </c>
      <c r="G4559">
        <v>0.38061001255607801</v>
      </c>
      <c r="H4559">
        <v>0.27709320318084801</v>
      </c>
      <c r="I4559">
        <v>0.312902614894492</v>
      </c>
      <c r="J4559">
        <v>0.447040281950212</v>
      </c>
      <c r="K4559">
        <v>0.41999469299040298</v>
      </c>
      <c r="L4559">
        <v>1172.102714999</v>
      </c>
      <c r="M4559">
        <v>24.549077796732298</v>
      </c>
      <c r="N4559">
        <v>50.3834160849947</v>
      </c>
      <c r="O4559">
        <v>47.431860754597899</v>
      </c>
      <c r="P4559">
        <v>-8.2587484208160006E-2</v>
      </c>
      <c r="Q4559">
        <v>0.36173237768572603</v>
      </c>
      <c r="R4559">
        <v>0.96452902411086905</v>
      </c>
      <c r="S4559" t="s">
        <v>11127</v>
      </c>
      <c r="T4559" t="s">
        <v>13134</v>
      </c>
      <c r="U4559" t="s">
        <v>13134</v>
      </c>
      <c r="V4559" t="s">
        <v>13134</v>
      </c>
      <c r="W4559" t="s">
        <v>17632</v>
      </c>
      <c r="X4559">
        <v>6</v>
      </c>
      <c r="Y4559" t="s">
        <v>24005</v>
      </c>
      <c r="Z4559" t="s">
        <v>30527</v>
      </c>
      <c r="AA4559">
        <v>0.59596290964446175</v>
      </c>
      <c r="AB4559" t="str">
        <f>HYPERLINK("Melting_Curves/meltCurve_Q8N5P1_ZC3H8.pdf", "Melting_Curves/meltCurve_Q8N5P1_ZC3H8.pdf")</f>
        <v>Melting_Curves/meltCurve_Q8N5P1_ZC3H8.pdf</v>
      </c>
    </row>
    <row r="4560" spans="1:28" x14ac:dyDescent="0.25">
      <c r="A4560" t="s">
        <v>4564</v>
      </c>
      <c r="B4560">
        <v>0.99472303558308395</v>
      </c>
      <c r="C4560">
        <v>0.88371930749789496</v>
      </c>
      <c r="D4560">
        <v>0.93089535997177797</v>
      </c>
      <c r="E4560">
        <v>0.81293191913251395</v>
      </c>
      <c r="F4560">
        <v>0.52241636673871905</v>
      </c>
      <c r="G4560">
        <v>0.29268064769456198</v>
      </c>
      <c r="H4560">
        <v>0.10529142536464201</v>
      </c>
      <c r="I4560">
        <v>5.2578249849104898E-2</v>
      </c>
      <c r="J4560">
        <v>5.25483476559351E-2</v>
      </c>
      <c r="K4560">
        <v>5.7377043064839497E-2</v>
      </c>
      <c r="L4560">
        <v>814.86750661017402</v>
      </c>
      <c r="M4560">
        <v>16.1604597373227</v>
      </c>
      <c r="N4560">
        <v>50.516373934852503</v>
      </c>
      <c r="O4560">
        <v>49.6703872850549</v>
      </c>
      <c r="P4560">
        <v>-8.0154509946399805E-2</v>
      </c>
      <c r="Q4560">
        <v>1.46306689763578E-2</v>
      </c>
      <c r="R4560">
        <v>0.99092259067883803</v>
      </c>
      <c r="S4560" t="s">
        <v>11128</v>
      </c>
      <c r="T4560" t="s">
        <v>13134</v>
      </c>
      <c r="U4560" t="s">
        <v>13134</v>
      </c>
      <c r="V4560" t="s">
        <v>13134</v>
      </c>
      <c r="W4560" t="s">
        <v>17633</v>
      </c>
      <c r="X4560">
        <v>13</v>
      </c>
      <c r="Y4560" t="s">
        <v>24006</v>
      </c>
      <c r="Z4560" t="s">
        <v>30528</v>
      </c>
      <c r="AA4560">
        <v>0.47377222494055432</v>
      </c>
      <c r="AB4560" t="str">
        <f>HYPERLINK("Melting_Curves/meltCurve_Q8N684_2_CPSF7.pdf", "Melting_Curves/meltCurve_Q8N684_2_CPSF7.pdf")</f>
        <v>Melting_Curves/meltCurve_Q8N684_2_CPSF7.pdf</v>
      </c>
    </row>
    <row r="4561" spans="1:28" x14ac:dyDescent="0.25">
      <c r="A4561" t="s">
        <v>4565</v>
      </c>
      <c r="B4561">
        <v>0.99472303558308395</v>
      </c>
      <c r="C4561">
        <v>0.99344757843151399</v>
      </c>
      <c r="D4561">
        <v>0.96149347414580399</v>
      </c>
      <c r="E4561">
        <v>0.89522328594852196</v>
      </c>
      <c r="F4561">
        <v>0.64207152122392697</v>
      </c>
      <c r="G4561">
        <v>0.52865782131943295</v>
      </c>
      <c r="H4561">
        <v>0.308718399820472</v>
      </c>
      <c r="I4561">
        <v>0.48633849731895801</v>
      </c>
      <c r="J4561">
        <v>0.569931893993739</v>
      </c>
      <c r="K4561">
        <v>0.56949562856992997</v>
      </c>
      <c r="L4561">
        <v>1524.7204212520501</v>
      </c>
      <c r="M4561">
        <v>31.305702076781301</v>
      </c>
      <c r="N4561">
        <v>55.246704518944497</v>
      </c>
      <c r="O4561">
        <v>48.506793895480399</v>
      </c>
      <c r="P4561">
        <v>-8.2653972921199304E-2</v>
      </c>
      <c r="Q4561">
        <v>0.48772814228594102</v>
      </c>
      <c r="R4561">
        <v>0.911133016892132</v>
      </c>
      <c r="S4561" t="s">
        <v>11129</v>
      </c>
      <c r="T4561" t="s">
        <v>13134</v>
      </c>
      <c r="U4561" t="s">
        <v>13134</v>
      </c>
      <c r="V4561" t="s">
        <v>13134</v>
      </c>
      <c r="W4561" t="s">
        <v>17634</v>
      </c>
      <c r="X4561">
        <v>5</v>
      </c>
      <c r="Y4561" t="s">
        <v>24007</v>
      </c>
      <c r="Z4561" t="s">
        <v>30529</v>
      </c>
      <c r="AA4561">
        <v>0.69040901104184116</v>
      </c>
      <c r="AB4561" t="str">
        <f>HYPERLINK("Melting_Curves/meltCurve_Q8N697_SLC15A4.pdf", "Melting_Curves/meltCurve_Q8N697_SLC15A4.pdf")</f>
        <v>Melting_Curves/meltCurve_Q8N697_SLC15A4.pdf</v>
      </c>
    </row>
    <row r="4562" spans="1:28" x14ac:dyDescent="0.25">
      <c r="A4562" t="s">
        <v>4566</v>
      </c>
      <c r="B4562">
        <v>0.99472303558308395</v>
      </c>
      <c r="C4562">
        <v>0.91232449138823701</v>
      </c>
      <c r="D4562">
        <v>0.94634775414106298</v>
      </c>
      <c r="E4562">
        <v>0.72044476683915104</v>
      </c>
      <c r="F4562">
        <v>0.404382037876099</v>
      </c>
      <c r="G4562">
        <v>0.1071824865548</v>
      </c>
      <c r="H4562">
        <v>6.1727448823110702E-2</v>
      </c>
      <c r="I4562">
        <v>3.9056846881398398E-2</v>
      </c>
      <c r="J4562">
        <v>5.29161805318192E-2</v>
      </c>
      <c r="K4562">
        <v>3.79960015207053E-2</v>
      </c>
      <c r="L4562">
        <v>1006.72482071557</v>
      </c>
      <c r="M4562">
        <v>20.646470008440499</v>
      </c>
      <c r="N4562">
        <v>48.887648618983597</v>
      </c>
      <c r="O4562">
        <v>48.3096337630232</v>
      </c>
      <c r="P4562">
        <v>-0.10404682915869801</v>
      </c>
      <c r="Q4562">
        <v>2.6212372781859099E-2</v>
      </c>
      <c r="R4562">
        <v>0.99407495307876204</v>
      </c>
      <c r="S4562" t="s">
        <v>11130</v>
      </c>
      <c r="T4562" t="s">
        <v>13134</v>
      </c>
      <c r="U4562" t="s">
        <v>13134</v>
      </c>
      <c r="V4562" t="s">
        <v>13134</v>
      </c>
      <c r="W4562" t="s">
        <v>17635</v>
      </c>
      <c r="X4562">
        <v>18</v>
      </c>
      <c r="Y4562" t="s">
        <v>24008</v>
      </c>
      <c r="Z4562" t="s">
        <v>30530</v>
      </c>
      <c r="AA4562">
        <v>0.42003209562941252</v>
      </c>
      <c r="AB4562" t="str">
        <f>HYPERLINK("Melting_Curves/meltCurve_Q8N6H7_ARFGAP2.pdf", "Melting_Curves/meltCurve_Q8N6H7_ARFGAP2.pdf")</f>
        <v>Melting_Curves/meltCurve_Q8N6H7_ARFGAP2.pdf</v>
      </c>
    </row>
    <row r="4563" spans="1:28" x14ac:dyDescent="0.25">
      <c r="A4563" t="s">
        <v>4567</v>
      </c>
      <c r="B4563">
        <v>0.99472303558308395</v>
      </c>
      <c r="C4563">
        <v>0.98217711230508098</v>
      </c>
      <c r="D4563">
        <v>0.94924014856255601</v>
      </c>
      <c r="E4563">
        <v>0.45935386323261201</v>
      </c>
      <c r="F4563">
        <v>0.176471445556901</v>
      </c>
      <c r="G4563">
        <v>9.0108960337538194E-2</v>
      </c>
      <c r="H4563">
        <v>5.7611576421454501E-2</v>
      </c>
      <c r="I4563">
        <v>4.8126929877010199E-2</v>
      </c>
      <c r="J4563">
        <v>5.0664001451918302E-2</v>
      </c>
      <c r="K4563">
        <v>3.9763071844235102E-2</v>
      </c>
      <c r="L4563">
        <v>1385.1886769719599</v>
      </c>
      <c r="M4563">
        <v>29.919428498308701</v>
      </c>
      <c r="N4563">
        <v>46.4885301482174</v>
      </c>
      <c r="O4563">
        <v>46.091951087231003</v>
      </c>
      <c r="P4563">
        <v>-0.15288631231595001</v>
      </c>
      <c r="Q4563">
        <v>5.7898880545768402E-2</v>
      </c>
      <c r="R4563">
        <v>0.99755449759574299</v>
      </c>
      <c r="S4563" t="s">
        <v>11131</v>
      </c>
      <c r="T4563" t="s">
        <v>13134</v>
      </c>
      <c r="U4563" t="s">
        <v>13134</v>
      </c>
      <c r="V4563" t="s">
        <v>13134</v>
      </c>
      <c r="W4563" t="s">
        <v>17636</v>
      </c>
      <c r="X4563">
        <v>16</v>
      </c>
      <c r="Y4563" t="s">
        <v>24009</v>
      </c>
      <c r="Z4563" t="s">
        <v>30531</v>
      </c>
      <c r="AA4563">
        <v>0.35529920229476369</v>
      </c>
      <c r="AB4563" t="str">
        <f>HYPERLINK("Melting_Curves/meltCurve_Q8N6M0_OTUD6B.pdf", "Melting_Curves/meltCurve_Q8N6M0_OTUD6B.pdf")</f>
        <v>Melting_Curves/meltCurve_Q8N6M0_OTUD6B.pdf</v>
      </c>
    </row>
    <row r="4564" spans="1:28" x14ac:dyDescent="0.25">
      <c r="A4564" t="s">
        <v>4568</v>
      </c>
      <c r="B4564">
        <v>0.99472303558308395</v>
      </c>
      <c r="C4564">
        <v>0.96875401050688204</v>
      </c>
      <c r="D4564">
        <v>0.96529088712451505</v>
      </c>
      <c r="E4564">
        <v>0.882689273711601</v>
      </c>
      <c r="F4564">
        <v>0.72708728378507403</v>
      </c>
      <c r="G4564">
        <v>0.66443196081340805</v>
      </c>
      <c r="H4564">
        <v>0.61147382109160897</v>
      </c>
      <c r="I4564">
        <v>0.70143694315669503</v>
      </c>
      <c r="J4564">
        <v>0.97877429603989796</v>
      </c>
      <c r="K4564">
        <v>0.73977976057442996</v>
      </c>
      <c r="L4564">
        <v>11660.043394928</v>
      </c>
      <c r="M4564">
        <v>250</v>
      </c>
      <c r="O4564">
        <v>46.637177992143897</v>
      </c>
      <c r="P4564">
        <v>-0.35223498141603798</v>
      </c>
      <c r="Q4564">
        <v>0.73716401013325705</v>
      </c>
      <c r="R4564">
        <v>0.58387300552368604</v>
      </c>
      <c r="S4564" t="s">
        <v>11132</v>
      </c>
      <c r="T4564" t="s">
        <v>13134</v>
      </c>
      <c r="U4564" t="s">
        <v>13134</v>
      </c>
      <c r="V4564" t="s">
        <v>13134</v>
      </c>
      <c r="W4564" t="s">
        <v>17637</v>
      </c>
      <c r="X4564">
        <v>9</v>
      </c>
      <c r="Y4564" t="s">
        <v>24010</v>
      </c>
      <c r="Z4564" t="s">
        <v>30532</v>
      </c>
      <c r="AA4564">
        <v>0.82164500949973884</v>
      </c>
      <c r="AB4564" t="str">
        <f>HYPERLINK("Melting_Curves/meltCurve_Q8N6N3_C1orf52.pdf", "Melting_Curves/meltCurve_Q8N6N3_C1orf52.pdf")</f>
        <v>Melting_Curves/meltCurve_Q8N6N3_C1orf52.pdf</v>
      </c>
    </row>
    <row r="4565" spans="1:28" x14ac:dyDescent="0.25">
      <c r="A4565" t="s">
        <v>4569</v>
      </c>
      <c r="B4565">
        <v>0.99472303558308395</v>
      </c>
      <c r="C4565">
        <v>1.06493164889061</v>
      </c>
      <c r="D4565">
        <v>0.93489050226850201</v>
      </c>
      <c r="E4565">
        <v>0.95311297976439502</v>
      </c>
      <c r="F4565">
        <v>0.72815701791488496</v>
      </c>
      <c r="G4565">
        <v>0.496061893591006</v>
      </c>
      <c r="H4565">
        <v>0.30629767996087498</v>
      </c>
      <c r="I4565">
        <v>0.40051740717798601</v>
      </c>
      <c r="J4565">
        <v>0.375031426669997</v>
      </c>
      <c r="K4565">
        <v>0.401793051857251</v>
      </c>
      <c r="L4565">
        <v>1471.77170122081</v>
      </c>
      <c r="M4565">
        <v>29.024927741905898</v>
      </c>
      <c r="N4565">
        <v>53.172805059303002</v>
      </c>
      <c r="O4565">
        <v>50.4682884227324</v>
      </c>
      <c r="P4565">
        <v>-9.0602966904287596E-2</v>
      </c>
      <c r="Q4565">
        <v>0.36984612544392198</v>
      </c>
      <c r="R4565">
        <v>0.97831389448337003</v>
      </c>
      <c r="S4565" t="s">
        <v>11133</v>
      </c>
      <c r="T4565" t="s">
        <v>13134</v>
      </c>
      <c r="U4565" t="s">
        <v>13134</v>
      </c>
      <c r="V4565" t="s">
        <v>13134</v>
      </c>
      <c r="W4565" t="s">
        <v>17638</v>
      </c>
      <c r="X4565">
        <v>1</v>
      </c>
      <c r="Y4565" t="s">
        <v>24011</v>
      </c>
      <c r="Z4565" t="s">
        <v>30533</v>
      </c>
      <c r="AA4565">
        <v>0.66193660238621777</v>
      </c>
      <c r="AB4565" t="str">
        <f>HYPERLINK("Melting_Curves/meltCurve_Q8N6N7_ACBD7.pdf", "Melting_Curves/meltCurve_Q8N6N7_ACBD7.pdf")</f>
        <v>Melting_Curves/meltCurve_Q8N6N7_ACBD7.pdf</v>
      </c>
    </row>
    <row r="4566" spans="1:28" x14ac:dyDescent="0.25">
      <c r="A4566" t="s">
        <v>4570</v>
      </c>
      <c r="B4566">
        <v>0.99472303558308395</v>
      </c>
      <c r="C4566">
        <v>1.02327045736031</v>
      </c>
      <c r="D4566">
        <v>0.96919776725039297</v>
      </c>
      <c r="E4566">
        <v>0.83431833186708604</v>
      </c>
      <c r="F4566">
        <v>0.25054296557717998</v>
      </c>
      <c r="G4566">
        <v>0.11124072809299999</v>
      </c>
      <c r="H4566">
        <v>6.6378553893741601E-2</v>
      </c>
      <c r="I4566">
        <v>4.7381075370837397E-2</v>
      </c>
      <c r="J4566">
        <v>6.6421581579910002E-2</v>
      </c>
      <c r="K4566">
        <v>6.1707362431535302E-2</v>
      </c>
      <c r="L4566">
        <v>1846.4971832101101</v>
      </c>
      <c r="M4566">
        <v>38.1294875299577</v>
      </c>
      <c r="N4566">
        <v>48.604182896053501</v>
      </c>
      <c r="O4566">
        <v>48.294383377000699</v>
      </c>
      <c r="P4566">
        <v>-0.184574796110859</v>
      </c>
      <c r="Q4566">
        <v>6.4880837137170994E-2</v>
      </c>
      <c r="R4566">
        <v>0.99876927904772905</v>
      </c>
      <c r="S4566" t="s">
        <v>11134</v>
      </c>
      <c r="T4566" t="s">
        <v>13134</v>
      </c>
      <c r="U4566" t="s">
        <v>13134</v>
      </c>
      <c r="V4566" t="s">
        <v>13134</v>
      </c>
      <c r="W4566" t="s">
        <v>17639</v>
      </c>
      <c r="X4566">
        <v>13</v>
      </c>
      <c r="Y4566" t="s">
        <v>24012</v>
      </c>
      <c r="Z4566" t="s">
        <v>30534</v>
      </c>
      <c r="AA4566">
        <v>0.42451516304611459</v>
      </c>
      <c r="AB4566" t="str">
        <f>HYPERLINK("Melting_Curves/meltCurve_Q8N6T3_ARFGAP1.pdf", "Melting_Curves/meltCurve_Q8N6T3_ARFGAP1.pdf")</f>
        <v>Melting_Curves/meltCurve_Q8N6T3_ARFGAP1.pdf</v>
      </c>
    </row>
    <row r="4567" spans="1:28" x14ac:dyDescent="0.25">
      <c r="A4567" t="s">
        <v>4571</v>
      </c>
      <c r="B4567">
        <v>0.99472303558308395</v>
      </c>
      <c r="C4567">
        <v>0.99442314038571999</v>
      </c>
      <c r="D4567">
        <v>0.79489350669524395</v>
      </c>
      <c r="E4567">
        <v>0.72665687775968602</v>
      </c>
      <c r="F4567">
        <v>0.65784069797509104</v>
      </c>
      <c r="G4567">
        <v>0.273818654187935</v>
      </c>
      <c r="H4567">
        <v>9.1958390556869093E-2</v>
      </c>
      <c r="I4567">
        <v>4.8087122795067501E-2</v>
      </c>
      <c r="J4567">
        <v>4.9790905611612903E-2</v>
      </c>
      <c r="K4567">
        <v>4.8298022796615298E-2</v>
      </c>
      <c r="L4567">
        <v>701.14357838038302</v>
      </c>
      <c r="M4567">
        <v>13.8689343748221</v>
      </c>
      <c r="N4567">
        <v>50.554973727934602</v>
      </c>
      <c r="O4567">
        <v>49.538670501444301</v>
      </c>
      <c r="P4567">
        <v>-7.00000292757606E-2</v>
      </c>
      <c r="Q4567">
        <v>0</v>
      </c>
      <c r="R4567">
        <v>0.97127700594339195</v>
      </c>
      <c r="S4567" t="s">
        <v>11135</v>
      </c>
      <c r="T4567" t="s">
        <v>13134</v>
      </c>
      <c r="U4567" t="s">
        <v>13134</v>
      </c>
      <c r="V4567" t="s">
        <v>13134</v>
      </c>
      <c r="W4567" t="s">
        <v>17640</v>
      </c>
      <c r="X4567">
        <v>18</v>
      </c>
      <c r="Y4567" t="s">
        <v>24013</v>
      </c>
      <c r="Z4567" t="s">
        <v>30535</v>
      </c>
      <c r="AA4567">
        <v>0.47456823577394919</v>
      </c>
      <c r="AB4567" t="str">
        <f>HYPERLINK("Melting_Curves/meltCurve_Q8N766_3_EMC1.pdf", "Melting_Curves/meltCurve_Q8N766_3_EMC1.pdf")</f>
        <v>Melting_Curves/meltCurve_Q8N766_3_EMC1.pdf</v>
      </c>
    </row>
    <row r="4568" spans="1:28" x14ac:dyDescent="0.25">
      <c r="A4568" t="s">
        <v>4572</v>
      </c>
      <c r="B4568">
        <v>0.99472303558308395</v>
      </c>
      <c r="C4568">
        <v>0.97709965393278997</v>
      </c>
      <c r="D4568">
        <v>1.0038671774731101</v>
      </c>
      <c r="E4568">
        <v>0.85323350686140897</v>
      </c>
      <c r="F4568">
        <v>0.45717129904023701</v>
      </c>
      <c r="G4568">
        <v>0.135632189854484</v>
      </c>
      <c r="H4568">
        <v>8.9203837486312901E-2</v>
      </c>
      <c r="I4568">
        <v>6.4324048053314001E-2</v>
      </c>
      <c r="J4568">
        <v>7.09052704356328E-2</v>
      </c>
      <c r="K4568">
        <v>5.6768680963579503E-2</v>
      </c>
      <c r="L4568">
        <v>1393.3704077243699</v>
      </c>
      <c r="M4568">
        <v>28.1177826658081</v>
      </c>
      <c r="N4568">
        <v>49.784627369056899</v>
      </c>
      <c r="O4568">
        <v>49.306155397027602</v>
      </c>
      <c r="P4568">
        <v>-0.133889735731272</v>
      </c>
      <c r="Q4568">
        <v>6.0874442164221498E-2</v>
      </c>
      <c r="R4568">
        <v>0.99912588861074103</v>
      </c>
      <c r="S4568" t="s">
        <v>11136</v>
      </c>
      <c r="T4568" t="s">
        <v>13134</v>
      </c>
      <c r="U4568" t="s">
        <v>13134</v>
      </c>
      <c r="V4568" t="s">
        <v>13134</v>
      </c>
      <c r="W4568" t="s">
        <v>17641</v>
      </c>
      <c r="X4568">
        <v>11</v>
      </c>
      <c r="Y4568" t="s">
        <v>24014</v>
      </c>
      <c r="Z4568" t="s">
        <v>30536</v>
      </c>
      <c r="AA4568">
        <v>0.46039205833464453</v>
      </c>
      <c r="AB4568" t="str">
        <f>HYPERLINK("Melting_Curves/meltCurve_Q8N806_UBR7.pdf", "Melting_Curves/meltCurve_Q8N806_UBR7.pdf")</f>
        <v>Melting_Curves/meltCurve_Q8N806_UBR7.pdf</v>
      </c>
    </row>
    <row r="4569" spans="1:28" x14ac:dyDescent="0.25">
      <c r="A4569" t="s">
        <v>4573</v>
      </c>
      <c r="B4569">
        <v>0.99472303558308395</v>
      </c>
      <c r="C4569">
        <v>1.1453637960785901</v>
      </c>
      <c r="D4569">
        <v>1.06591443860015</v>
      </c>
      <c r="E4569">
        <v>1.01980254752757</v>
      </c>
      <c r="F4569">
        <v>0.80317067993284297</v>
      </c>
      <c r="G4569">
        <v>0.51456592208941498</v>
      </c>
      <c r="H4569">
        <v>0.38568482017987399</v>
      </c>
      <c r="I4569">
        <v>0.44788479422238198</v>
      </c>
      <c r="J4569">
        <v>0.56054543019650904</v>
      </c>
      <c r="K4569">
        <v>0.41005524479872102</v>
      </c>
      <c r="L4569">
        <v>2308.7457328401701</v>
      </c>
      <c r="M4569">
        <v>45.3714897915495</v>
      </c>
      <c r="N4569">
        <v>53.707794253611297</v>
      </c>
      <c r="O4569">
        <v>50.786829185833298</v>
      </c>
      <c r="P4569">
        <v>-0.12196218689852099</v>
      </c>
      <c r="Q4569">
        <v>0.45392447931609398</v>
      </c>
      <c r="R4569">
        <v>0.94504594377237405</v>
      </c>
      <c r="S4569" t="s">
        <v>11137</v>
      </c>
      <c r="T4569" t="s">
        <v>13134</v>
      </c>
      <c r="U4569" t="s">
        <v>13134</v>
      </c>
      <c r="V4569" t="s">
        <v>13134</v>
      </c>
      <c r="W4569" t="s">
        <v>17642</v>
      </c>
      <c r="X4569">
        <v>3</v>
      </c>
      <c r="Y4569" t="s">
        <v>24015</v>
      </c>
      <c r="Z4569" t="s">
        <v>30537</v>
      </c>
      <c r="AA4569">
        <v>0.708163104748741</v>
      </c>
      <c r="AB4569" t="str">
        <f>HYPERLINK("Melting_Curves/meltCurve_Q8N8J7_C4orf32.pdf", "Melting_Curves/meltCurve_Q8N8J7_C4orf32.pdf")</f>
        <v>Melting_Curves/meltCurve_Q8N8J7_C4orf32.pdf</v>
      </c>
    </row>
    <row r="4570" spans="1:28" x14ac:dyDescent="0.25">
      <c r="A4570" t="s">
        <v>4574</v>
      </c>
      <c r="B4570">
        <v>0.99472303558308395</v>
      </c>
      <c r="C4570">
        <v>1.1878597764540999</v>
      </c>
      <c r="D4570">
        <v>1.15560390025761</v>
      </c>
      <c r="E4570">
        <v>0.75158112237030394</v>
      </c>
      <c r="F4570">
        <v>0.18221707861929101</v>
      </c>
      <c r="G4570">
        <v>0.162748637878464</v>
      </c>
      <c r="H4570">
        <v>8.67589285214342E-2</v>
      </c>
      <c r="I4570">
        <v>6.9543350543614907E-2</v>
      </c>
      <c r="J4570">
        <v>9.7292969975182997E-2</v>
      </c>
      <c r="K4570">
        <v>6.9252069741424199E-2</v>
      </c>
      <c r="L4570">
        <v>2231.3354683702401</v>
      </c>
      <c r="M4570">
        <v>46.854391863269399</v>
      </c>
      <c r="N4570">
        <v>47.8445844102188</v>
      </c>
      <c r="O4570">
        <v>47.536239595540899</v>
      </c>
      <c r="P4570">
        <v>-0.222356336622996</v>
      </c>
      <c r="Q4570">
        <v>9.7632066652846405E-2</v>
      </c>
      <c r="R4570">
        <v>0.96841789279859103</v>
      </c>
      <c r="S4570" t="s">
        <v>11138</v>
      </c>
      <c r="T4570" t="s">
        <v>13134</v>
      </c>
      <c r="U4570" t="s">
        <v>13134</v>
      </c>
      <c r="V4570" t="s">
        <v>13134</v>
      </c>
      <c r="W4570" t="s">
        <v>17643</v>
      </c>
      <c r="X4570">
        <v>5</v>
      </c>
      <c r="Y4570" t="s">
        <v>24016</v>
      </c>
      <c r="Z4570" t="s">
        <v>30538</v>
      </c>
      <c r="AA4570">
        <v>0.41931360729989631</v>
      </c>
      <c r="AB4570" t="str">
        <f>HYPERLINK("Melting_Curves/meltCurve_Q8N8N7_PTGR2.pdf", "Melting_Curves/meltCurve_Q8N8N7_PTGR2.pdf")</f>
        <v>Melting_Curves/meltCurve_Q8N8N7_PTGR2.pdf</v>
      </c>
    </row>
    <row r="4571" spans="1:28" x14ac:dyDescent="0.25">
      <c r="A4571" t="s">
        <v>4575</v>
      </c>
      <c r="B4571">
        <v>0.99472303558308395</v>
      </c>
      <c r="C4571">
        <v>1.00517126423327</v>
      </c>
      <c r="D4571">
        <v>0.94786040605391897</v>
      </c>
      <c r="E4571">
        <v>0.85314639189532504</v>
      </c>
      <c r="F4571">
        <v>0.713587459276252</v>
      </c>
      <c r="G4571">
        <v>0.47351329041384299</v>
      </c>
      <c r="H4571">
        <v>0.107737672544041</v>
      </c>
      <c r="I4571">
        <v>6.2560673568880898E-2</v>
      </c>
      <c r="J4571">
        <v>5.6808995574256602E-2</v>
      </c>
      <c r="K4571">
        <v>4.5919467809741703E-2</v>
      </c>
      <c r="L4571">
        <v>934.10398926523203</v>
      </c>
      <c r="M4571">
        <v>17.736729953024099</v>
      </c>
      <c r="N4571">
        <v>52.664967338399698</v>
      </c>
      <c r="O4571">
        <v>52.0091730756481</v>
      </c>
      <c r="P4571">
        <v>-8.5262158631386697E-2</v>
      </c>
      <c r="Q4571">
        <v>0</v>
      </c>
      <c r="R4571">
        <v>0.98977322212958696</v>
      </c>
      <c r="S4571" t="s">
        <v>11139</v>
      </c>
      <c r="T4571" t="s">
        <v>13134</v>
      </c>
      <c r="U4571" t="s">
        <v>13134</v>
      </c>
      <c r="V4571" t="s">
        <v>13134</v>
      </c>
      <c r="W4571" t="s">
        <v>17644</v>
      </c>
      <c r="X4571">
        <v>5</v>
      </c>
      <c r="Y4571" t="s">
        <v>24017</v>
      </c>
      <c r="Z4571" t="s">
        <v>30539</v>
      </c>
      <c r="AA4571">
        <v>0.5372148128947235</v>
      </c>
      <c r="AB4571" t="str">
        <f>HYPERLINK("Melting_Curves/meltCurve_Q8N8R5_C2orf69.pdf", "Melting_Curves/meltCurve_Q8N8R5_C2orf69.pdf")</f>
        <v>Melting_Curves/meltCurve_Q8N8R5_C2orf69.pdf</v>
      </c>
    </row>
    <row r="4572" spans="1:28" x14ac:dyDescent="0.25">
      <c r="A4572" t="s">
        <v>4576</v>
      </c>
      <c r="B4572">
        <v>0.99472303558308395</v>
      </c>
      <c r="C4572">
        <v>0.99096701618398497</v>
      </c>
      <c r="D4572">
        <v>0.846761662187829</v>
      </c>
      <c r="E4572">
        <v>0.42722368604615601</v>
      </c>
      <c r="F4572">
        <v>0.19016011127661001</v>
      </c>
      <c r="G4572">
        <v>9.3257571241277801E-2</v>
      </c>
      <c r="H4572">
        <v>6.6844865105091897E-2</v>
      </c>
      <c r="I4572">
        <v>4.9330839725759398E-2</v>
      </c>
      <c r="J4572">
        <v>6.5533802380594502E-2</v>
      </c>
      <c r="K4572">
        <v>7.8870121620416303E-2</v>
      </c>
      <c r="L4572">
        <v>1103.0919657878001</v>
      </c>
      <c r="M4572">
        <v>24.070018972863501</v>
      </c>
      <c r="N4572">
        <v>46.099449239114897</v>
      </c>
      <c r="O4572">
        <v>45.515630733019698</v>
      </c>
      <c r="P4572">
        <v>-0.1234878219042</v>
      </c>
      <c r="Q4572">
        <v>6.5968193367393999E-2</v>
      </c>
      <c r="R4572">
        <v>0.99896210283821396</v>
      </c>
      <c r="S4572" t="s">
        <v>11140</v>
      </c>
      <c r="T4572" t="s">
        <v>13134</v>
      </c>
      <c r="U4572" t="s">
        <v>13134</v>
      </c>
      <c r="V4572" t="s">
        <v>13134</v>
      </c>
      <c r="W4572" t="s">
        <v>17645</v>
      </c>
      <c r="X4572">
        <v>3</v>
      </c>
      <c r="Y4572" t="s">
        <v>24018</v>
      </c>
      <c r="Z4572" t="s">
        <v>30540</v>
      </c>
      <c r="AA4572">
        <v>0.34918754215157288</v>
      </c>
      <c r="AB4572" t="str">
        <f>HYPERLINK("Melting_Curves/meltCurve_Q8N8R7_ARL14EP.pdf", "Melting_Curves/meltCurve_Q8N8R7_ARL14EP.pdf")</f>
        <v>Melting_Curves/meltCurve_Q8N8R7_ARL14EP.pdf</v>
      </c>
    </row>
    <row r="4573" spans="1:28" x14ac:dyDescent="0.25">
      <c r="A4573" t="s">
        <v>4577</v>
      </c>
      <c r="B4573">
        <v>0.99472303558308395</v>
      </c>
      <c r="C4573">
        <v>0.95672960974743204</v>
      </c>
      <c r="D4573">
        <v>0.74718172287948703</v>
      </c>
      <c r="E4573">
        <v>0.66850341523224199</v>
      </c>
      <c r="F4573">
        <v>0.96029557479252903</v>
      </c>
      <c r="G4573">
        <v>1.0807133122700801</v>
      </c>
      <c r="H4573">
        <v>0.446539179004595</v>
      </c>
      <c r="I4573">
        <v>0.22463045937992099</v>
      </c>
      <c r="J4573">
        <v>0.20038787264636901</v>
      </c>
      <c r="K4573">
        <v>0.17701510713596999</v>
      </c>
      <c r="L4573">
        <v>14303.4243505918</v>
      </c>
      <c r="M4573">
        <v>250</v>
      </c>
      <c r="N4573">
        <v>57.331377774166299</v>
      </c>
      <c r="O4573">
        <v>57.210036133787099</v>
      </c>
      <c r="P4573">
        <v>-0.87323211294718805</v>
      </c>
      <c r="Q4573">
        <v>0.20067774957772599</v>
      </c>
      <c r="R4573">
        <v>0.83954042429812603</v>
      </c>
      <c r="S4573" t="s">
        <v>11141</v>
      </c>
      <c r="T4573" t="s">
        <v>13134</v>
      </c>
      <c r="U4573" t="s">
        <v>13134</v>
      </c>
      <c r="V4573" t="s">
        <v>13134</v>
      </c>
      <c r="W4573" t="s">
        <v>17646</v>
      </c>
      <c r="X4573">
        <v>3</v>
      </c>
      <c r="Y4573" t="s">
        <v>24019</v>
      </c>
      <c r="Z4573" t="s">
        <v>30541</v>
      </c>
      <c r="AA4573">
        <v>0.73933327874477051</v>
      </c>
      <c r="AB4573" t="str">
        <f>HYPERLINK("Melting_Curves/meltCurve_Q8N954_GPATCH11.pdf", "Melting_Curves/meltCurve_Q8N954_GPATCH11.pdf")</f>
        <v>Melting_Curves/meltCurve_Q8N954_GPATCH11.pdf</v>
      </c>
    </row>
    <row r="4574" spans="1:28" x14ac:dyDescent="0.25">
      <c r="A4574" t="s">
        <v>4578</v>
      </c>
      <c r="B4574">
        <v>0.99472303558308395</v>
      </c>
      <c r="C4574">
        <v>1.06055538363963</v>
      </c>
      <c r="D4574">
        <v>0.83278304327918495</v>
      </c>
      <c r="E4574">
        <v>0.64808809878954798</v>
      </c>
      <c r="F4574">
        <v>0.49984386727180502</v>
      </c>
      <c r="G4574">
        <v>0.22555351416472499</v>
      </c>
      <c r="H4574">
        <v>0.158696677799191</v>
      </c>
      <c r="I4574">
        <v>7.3814715706259096E-2</v>
      </c>
      <c r="J4574">
        <v>6.0222357688204997E-2</v>
      </c>
      <c r="K4574">
        <v>6.2494520190654997E-2</v>
      </c>
      <c r="L4574">
        <v>661.87433147101103</v>
      </c>
      <c r="M4574">
        <v>13.463109167119899</v>
      </c>
      <c r="N4574">
        <v>49.3361640147074</v>
      </c>
      <c r="O4574">
        <v>48.1154333662749</v>
      </c>
      <c r="P4574">
        <v>-6.8339899685859407E-2</v>
      </c>
      <c r="Q4574">
        <v>2.3198264626638598E-2</v>
      </c>
      <c r="R4574">
        <v>0.98730915928272001</v>
      </c>
      <c r="S4574" t="s">
        <v>11142</v>
      </c>
      <c r="T4574" t="s">
        <v>13134</v>
      </c>
      <c r="U4574" t="s">
        <v>13134</v>
      </c>
      <c r="V4574" t="s">
        <v>13134</v>
      </c>
      <c r="W4574" t="s">
        <v>17647</v>
      </c>
      <c r="X4574">
        <v>5</v>
      </c>
      <c r="Y4574" t="s">
        <v>24020</v>
      </c>
      <c r="Z4574" t="s">
        <v>30542</v>
      </c>
      <c r="AA4574">
        <v>0.443780878473857</v>
      </c>
      <c r="AB4574" t="str">
        <f>HYPERLINK("Melting_Curves/meltCurve_Q8N999_3_C12orf29.pdf", "Melting_Curves/meltCurve_Q8N999_3_C12orf29.pdf")</f>
        <v>Melting_Curves/meltCurve_Q8N999_3_C12orf29.pdf</v>
      </c>
    </row>
    <row r="4575" spans="1:28" x14ac:dyDescent="0.25">
      <c r="A4575" t="s">
        <v>4579</v>
      </c>
      <c r="B4575">
        <v>0.99472303558308395</v>
      </c>
      <c r="C4575">
        <v>1.0143788056820799</v>
      </c>
      <c r="D4575">
        <v>1.02027264919894</v>
      </c>
      <c r="E4575">
        <v>0.86967698651291803</v>
      </c>
      <c r="F4575">
        <v>0.45312617533438698</v>
      </c>
      <c r="G4575">
        <v>0.197947703178737</v>
      </c>
      <c r="H4575">
        <v>0.12619903424024601</v>
      </c>
      <c r="I4575">
        <v>7.6670680940391797E-2</v>
      </c>
      <c r="J4575">
        <v>5.7195700598074099E-2</v>
      </c>
      <c r="K4575">
        <v>6.1865560244779599E-2</v>
      </c>
      <c r="L4575">
        <v>1311.36975656293</v>
      </c>
      <c r="M4575">
        <v>26.410958517256699</v>
      </c>
      <c r="N4575">
        <v>49.952458001805098</v>
      </c>
      <c r="O4575">
        <v>49.370453702142797</v>
      </c>
      <c r="P4575">
        <v>-0.123932986792642</v>
      </c>
      <c r="Q4575">
        <v>7.3329964284245902E-2</v>
      </c>
      <c r="R4575">
        <v>0.99796174454264397</v>
      </c>
      <c r="S4575" t="s">
        <v>11143</v>
      </c>
      <c r="T4575" t="s">
        <v>13134</v>
      </c>
      <c r="U4575" t="s">
        <v>13134</v>
      </c>
      <c r="V4575" t="s">
        <v>13134</v>
      </c>
      <c r="W4575" t="s">
        <v>17648</v>
      </c>
      <c r="X4575">
        <v>8</v>
      </c>
      <c r="Y4575" t="s">
        <v>24021</v>
      </c>
      <c r="Z4575" t="s">
        <v>30543</v>
      </c>
      <c r="AA4575">
        <v>0.47141306136814698</v>
      </c>
      <c r="AB4575" t="str">
        <f>HYPERLINK("Melting_Curves/meltCurve_Q8N9F7_GDPD1.pdf", "Melting_Curves/meltCurve_Q8N9F7_GDPD1.pdf")</f>
        <v>Melting_Curves/meltCurve_Q8N9F7_GDPD1.pdf</v>
      </c>
    </row>
    <row r="4576" spans="1:28" x14ac:dyDescent="0.25">
      <c r="A4576" t="s">
        <v>4580</v>
      </c>
      <c r="B4576">
        <v>0.99472303558308395</v>
      </c>
      <c r="C4576">
        <v>1.10283153688984</v>
      </c>
      <c r="D4576">
        <v>0.78519979336012702</v>
      </c>
      <c r="E4576">
        <v>0.283966337055086</v>
      </c>
      <c r="F4576">
        <v>0.15050571327085799</v>
      </c>
      <c r="G4576">
        <v>9.9760884482423803E-2</v>
      </c>
      <c r="H4576">
        <v>8.23427324951502E-2</v>
      </c>
      <c r="I4576">
        <v>4.9637150267539502E-2</v>
      </c>
      <c r="J4576">
        <v>9.8804336106318794E-2</v>
      </c>
      <c r="K4576">
        <v>9.1928011857476497E-2</v>
      </c>
      <c r="L4576">
        <v>1467.33329798462</v>
      </c>
      <c r="M4576">
        <v>32.814567048216396</v>
      </c>
      <c r="N4576">
        <v>44.989629742637298</v>
      </c>
      <c r="O4576">
        <v>44.550810534484299</v>
      </c>
      <c r="P4576">
        <v>-0.167479960559827</v>
      </c>
      <c r="Q4576">
        <v>9.0484838345012794E-2</v>
      </c>
      <c r="R4576">
        <v>0.98851611999118805</v>
      </c>
      <c r="S4576" t="s">
        <v>11144</v>
      </c>
      <c r="T4576" t="s">
        <v>13134</v>
      </c>
      <c r="U4576" t="s">
        <v>13134</v>
      </c>
      <c r="V4576" t="s">
        <v>13134</v>
      </c>
      <c r="W4576" t="s">
        <v>17649</v>
      </c>
      <c r="X4576">
        <v>4</v>
      </c>
      <c r="Y4576" t="s">
        <v>24022</v>
      </c>
      <c r="Z4576" t="s">
        <v>30544</v>
      </c>
      <c r="AA4576">
        <v>0.3286329919929597</v>
      </c>
      <c r="AB4576" t="str">
        <f>HYPERLINK("Melting_Curves/meltCurve_Q8N9M1_3_C19orf47.pdf", "Melting_Curves/meltCurve_Q8N9M1_3_C19orf47.pdf")</f>
        <v>Melting_Curves/meltCurve_Q8N9M1_3_C19orf47.pdf</v>
      </c>
    </row>
    <row r="4577" spans="1:28" x14ac:dyDescent="0.25">
      <c r="A4577" t="s">
        <v>4581</v>
      </c>
      <c r="B4577">
        <v>0.99472303558308395</v>
      </c>
      <c r="C4577">
        <v>0.91336119172195995</v>
      </c>
      <c r="D4577">
        <v>1.0446767459851101</v>
      </c>
      <c r="E4577">
        <v>0.90506203380862205</v>
      </c>
      <c r="F4577">
        <v>0.60587414526329098</v>
      </c>
      <c r="G4577">
        <v>0.38247582350636999</v>
      </c>
      <c r="H4577">
        <v>8.8080861691138795E-2</v>
      </c>
      <c r="I4577">
        <v>6.1752082029901199E-2</v>
      </c>
      <c r="J4577">
        <v>7.8486473079216607E-2</v>
      </c>
      <c r="K4577">
        <v>6.5327589221350194E-2</v>
      </c>
      <c r="L4577">
        <v>1053.7787046630101</v>
      </c>
      <c r="M4577">
        <v>20.473671597855901</v>
      </c>
      <c r="N4577">
        <v>51.688167341079698</v>
      </c>
      <c r="O4577">
        <v>50.986461072543399</v>
      </c>
      <c r="P4577">
        <v>-9.6234198321233297E-2</v>
      </c>
      <c r="Q4577">
        <v>4.1403982777511603E-2</v>
      </c>
      <c r="R4577">
        <v>0.98763151342932698</v>
      </c>
      <c r="S4577" t="s">
        <v>11145</v>
      </c>
      <c r="T4577" t="s">
        <v>13134</v>
      </c>
      <c r="U4577" t="s">
        <v>13134</v>
      </c>
      <c r="V4577" t="s">
        <v>13134</v>
      </c>
      <c r="W4577" t="s">
        <v>17650</v>
      </c>
      <c r="X4577">
        <v>11</v>
      </c>
      <c r="Y4577" t="s">
        <v>24023</v>
      </c>
      <c r="Z4577" t="s">
        <v>30545</v>
      </c>
      <c r="AA4577">
        <v>0.51578086406140744</v>
      </c>
      <c r="AB4577" t="str">
        <f>HYPERLINK("Melting_Curves/meltCurve_Q8N9N7_LRRC57.pdf", "Melting_Curves/meltCurve_Q8N9N7_LRRC57.pdf")</f>
        <v>Melting_Curves/meltCurve_Q8N9N7_LRRC57.pdf</v>
      </c>
    </row>
    <row r="4578" spans="1:28" x14ac:dyDescent="0.25">
      <c r="A4578" t="s">
        <v>4582</v>
      </c>
      <c r="B4578">
        <v>0.99472303558308395</v>
      </c>
      <c r="C4578">
        <v>1.01022190227258</v>
      </c>
      <c r="D4578">
        <v>0.91090094359026996</v>
      </c>
      <c r="E4578">
        <v>0.73267694460887201</v>
      </c>
      <c r="F4578">
        <v>0.48866767907171499</v>
      </c>
      <c r="G4578">
        <v>0.35440050972750797</v>
      </c>
      <c r="H4578">
        <v>0.25419940348721798</v>
      </c>
      <c r="I4578">
        <v>0.14305007884351501</v>
      </c>
      <c r="J4578">
        <v>0.19378864393670001</v>
      </c>
      <c r="K4578">
        <v>0.114812122137322</v>
      </c>
      <c r="L4578">
        <v>699.36363533682197</v>
      </c>
      <c r="M4578">
        <v>14.155450265098001</v>
      </c>
      <c r="N4578">
        <v>50.409963177713003</v>
      </c>
      <c r="O4578">
        <v>48.451305689540298</v>
      </c>
      <c r="P4578">
        <v>-6.4075779709459296E-2</v>
      </c>
      <c r="Q4578">
        <v>0.122836303452951</v>
      </c>
      <c r="R4578">
        <v>0.99424027190667896</v>
      </c>
      <c r="S4578" t="s">
        <v>11146</v>
      </c>
      <c r="T4578" t="s">
        <v>13134</v>
      </c>
      <c r="U4578" t="s">
        <v>13134</v>
      </c>
      <c r="V4578" t="s">
        <v>13134</v>
      </c>
      <c r="W4578" t="s">
        <v>17651</v>
      </c>
      <c r="X4578">
        <v>3</v>
      </c>
      <c r="Y4578" t="s">
        <v>24024</v>
      </c>
      <c r="Z4578" t="s">
        <v>30546</v>
      </c>
      <c r="AA4578">
        <v>0.50591931763443287</v>
      </c>
      <c r="AB4578" t="str">
        <f>HYPERLINK("Melting_Curves/meltCurve_Q8N9Q2_SREK1IP1.pdf", "Melting_Curves/meltCurve_Q8N9Q2_SREK1IP1.pdf")</f>
        <v>Melting_Curves/meltCurve_Q8N9Q2_SREK1IP1.pdf</v>
      </c>
    </row>
    <row r="4579" spans="1:28" x14ac:dyDescent="0.25">
      <c r="A4579" t="s">
        <v>4583</v>
      </c>
      <c r="B4579">
        <v>0.99472303558308395</v>
      </c>
      <c r="C4579">
        <v>1.0111776723146</v>
      </c>
      <c r="D4579">
        <v>1.00350425632064</v>
      </c>
      <c r="E4579">
        <v>0.84867017174000703</v>
      </c>
      <c r="F4579">
        <v>0.69682730729521203</v>
      </c>
      <c r="G4579">
        <v>0.442261328731894</v>
      </c>
      <c r="H4579">
        <v>0.29357724982128303</v>
      </c>
      <c r="I4579">
        <v>0.19772124848599201</v>
      </c>
      <c r="J4579">
        <v>0.17640916036229201</v>
      </c>
      <c r="K4579">
        <v>0.13764309553270801</v>
      </c>
      <c r="L4579">
        <v>811.913989901175</v>
      </c>
      <c r="M4579">
        <v>15.600774108233001</v>
      </c>
      <c r="N4579">
        <v>52.983387290019799</v>
      </c>
      <c r="O4579">
        <v>51.210573974565598</v>
      </c>
      <c r="P4579">
        <v>-6.6957211799426805E-2</v>
      </c>
      <c r="Q4579">
        <v>0.12091021821555201</v>
      </c>
      <c r="R4579">
        <v>0.99756596489569005</v>
      </c>
      <c r="S4579" t="s">
        <v>11147</v>
      </c>
      <c r="T4579" t="s">
        <v>13134</v>
      </c>
      <c r="U4579" t="s">
        <v>13134</v>
      </c>
      <c r="V4579" t="s">
        <v>13134</v>
      </c>
      <c r="W4579" t="s">
        <v>17652</v>
      </c>
      <c r="X4579">
        <v>7</v>
      </c>
      <c r="Y4579" t="s">
        <v>24025</v>
      </c>
      <c r="Z4579" t="s">
        <v>30547</v>
      </c>
      <c r="AA4579">
        <v>0.57774247253950839</v>
      </c>
      <c r="AB4579" t="str">
        <f>HYPERLINK("Melting_Curves/meltCurve_Q8N9V3_2_WDSUB1.pdf", "Melting_Curves/meltCurve_Q8N9V3_2_WDSUB1.pdf")</f>
        <v>Melting_Curves/meltCurve_Q8N9V3_2_WDSUB1.pdf</v>
      </c>
    </row>
    <row r="4580" spans="1:28" x14ac:dyDescent="0.25">
      <c r="A4580" t="s">
        <v>4584</v>
      </c>
      <c r="B4580">
        <v>0.99472303558308395</v>
      </c>
      <c r="C4580">
        <v>0.94451433348375302</v>
      </c>
      <c r="D4580">
        <v>0.68982089543912495</v>
      </c>
      <c r="E4580">
        <v>0.34770234946459599</v>
      </c>
      <c r="F4580">
        <v>0.157946008867063</v>
      </c>
      <c r="G4580">
        <v>8.9218289759615599E-2</v>
      </c>
      <c r="H4580">
        <v>4.9653920861260803E-2</v>
      </c>
      <c r="I4580">
        <v>4.1813718949905002E-2</v>
      </c>
      <c r="J4580">
        <v>4.5989920991009202E-2</v>
      </c>
      <c r="K4580">
        <v>4.8084395454743703E-2</v>
      </c>
      <c r="L4580">
        <v>876.57833294453701</v>
      </c>
      <c r="M4580">
        <v>19.579405705308801</v>
      </c>
      <c r="N4580">
        <v>44.987220135977402</v>
      </c>
      <c r="O4580">
        <v>44.311232123929003</v>
      </c>
      <c r="P4580">
        <v>-0.105495839008963</v>
      </c>
      <c r="Q4580">
        <v>4.5019744369847799E-2</v>
      </c>
      <c r="R4580">
        <v>0.99904908262694803</v>
      </c>
      <c r="S4580" t="s">
        <v>11148</v>
      </c>
      <c r="T4580" t="s">
        <v>13134</v>
      </c>
      <c r="U4580" t="s">
        <v>13134</v>
      </c>
      <c r="V4580" t="s">
        <v>13134</v>
      </c>
      <c r="W4580" t="s">
        <v>17653</v>
      </c>
      <c r="X4580">
        <v>4</v>
      </c>
      <c r="Y4580" t="s">
        <v>24026</v>
      </c>
      <c r="Z4580" t="s">
        <v>30548</v>
      </c>
      <c r="AA4580">
        <v>0.30553752785398358</v>
      </c>
      <c r="AB4580" t="str">
        <f>HYPERLINK("Melting_Curves/meltCurve_Q8N9Z2_CCDC71L.pdf", "Melting_Curves/meltCurve_Q8N9Z2_CCDC71L.pdf")</f>
        <v>Melting_Curves/meltCurve_Q8N9Z2_CCDC71L.pdf</v>
      </c>
    </row>
    <row r="4581" spans="1:28" x14ac:dyDescent="0.25">
      <c r="A4581" t="s">
        <v>4585</v>
      </c>
      <c r="B4581">
        <v>0.99472303558308395</v>
      </c>
      <c r="C4581">
        <v>0.93234987152905202</v>
      </c>
      <c r="D4581">
        <v>0.92295240065481798</v>
      </c>
      <c r="E4581">
        <v>0.76602438262567096</v>
      </c>
      <c r="F4581">
        <v>0.60584487684056998</v>
      </c>
      <c r="G4581">
        <v>0.17408969947573899</v>
      </c>
      <c r="H4581">
        <v>0.128095373053146</v>
      </c>
      <c r="I4581">
        <v>0.10036723279752501</v>
      </c>
      <c r="J4581">
        <v>0.162709009418425</v>
      </c>
      <c r="K4581">
        <v>0.13102205798087299</v>
      </c>
      <c r="L4581">
        <v>1003.24830480886</v>
      </c>
      <c r="M4581">
        <v>20.1742364856077</v>
      </c>
      <c r="N4581">
        <v>50.287512153233102</v>
      </c>
      <c r="O4581">
        <v>49.248303233690201</v>
      </c>
      <c r="P4581">
        <v>-9.2138048125381705E-2</v>
      </c>
      <c r="Q4581">
        <v>0.100337765254655</v>
      </c>
      <c r="R4581">
        <v>0.97788480669327904</v>
      </c>
      <c r="S4581" t="s">
        <v>11149</v>
      </c>
      <c r="T4581" t="s">
        <v>13134</v>
      </c>
      <c r="U4581" t="s">
        <v>13134</v>
      </c>
      <c r="V4581" t="s">
        <v>13134</v>
      </c>
      <c r="W4581" t="s">
        <v>17654</v>
      </c>
      <c r="X4581">
        <v>5</v>
      </c>
      <c r="Y4581" t="s">
        <v>24027</v>
      </c>
      <c r="Z4581" t="s">
        <v>30549</v>
      </c>
      <c r="AA4581">
        <v>0.49374310798626692</v>
      </c>
      <c r="AB4581" t="str">
        <f>HYPERLINK("Melting_Curves/meltCurve_Q8NAF0_ZNF579.pdf", "Melting_Curves/meltCurve_Q8NAF0_ZNF579.pdf")</f>
        <v>Melting_Curves/meltCurve_Q8NAF0_ZNF579.pdf</v>
      </c>
    </row>
    <row r="4582" spans="1:28" x14ac:dyDescent="0.25">
      <c r="A4582" t="s">
        <v>4586</v>
      </c>
      <c r="B4582">
        <v>0.99472303558308395</v>
      </c>
      <c r="C4582">
        <v>0.92091539309347603</v>
      </c>
      <c r="D4582">
        <v>0.80086721707389297</v>
      </c>
      <c r="E4582">
        <v>0.69731762568206601</v>
      </c>
      <c r="F4582">
        <v>0.56748536098588298</v>
      </c>
      <c r="G4582">
        <v>0.278542505322319</v>
      </c>
      <c r="H4582">
        <v>0.202524686677374</v>
      </c>
      <c r="I4582">
        <v>6.6282634176303798E-2</v>
      </c>
      <c r="J4582">
        <v>5.17486618433863E-2</v>
      </c>
      <c r="K4582">
        <v>6.38008395783735E-2</v>
      </c>
      <c r="L4582">
        <v>563.02315655055304</v>
      </c>
      <c r="M4582">
        <v>11.2580988004687</v>
      </c>
      <c r="N4582">
        <v>50.010497123954302</v>
      </c>
      <c r="O4582">
        <v>48.510485748759201</v>
      </c>
      <c r="P4582">
        <v>-5.8036791812535703E-2</v>
      </c>
      <c r="Q4582">
        <v>0</v>
      </c>
      <c r="R4582">
        <v>0.987955508655328</v>
      </c>
      <c r="S4582" t="s">
        <v>11150</v>
      </c>
      <c r="T4582" t="s">
        <v>13134</v>
      </c>
      <c r="U4582" t="s">
        <v>13134</v>
      </c>
      <c r="V4582" t="s">
        <v>13134</v>
      </c>
      <c r="W4582" t="s">
        <v>17655</v>
      </c>
      <c r="X4582">
        <v>2</v>
      </c>
      <c r="Y4582" t="s">
        <v>24028</v>
      </c>
      <c r="Z4582" t="s">
        <v>30550</v>
      </c>
      <c r="AA4582">
        <v>0.46374321050408168</v>
      </c>
      <c r="AB4582" t="str">
        <f>HYPERLINK("Melting_Curves/meltCurve_Q8NAT1_GTDC2.pdf", "Melting_Curves/meltCurve_Q8NAT1_GTDC2.pdf")</f>
        <v>Melting_Curves/meltCurve_Q8NAT1_GTDC2.pdf</v>
      </c>
    </row>
    <row r="4583" spans="1:28" x14ac:dyDescent="0.25">
      <c r="A4583" t="s">
        <v>4587</v>
      </c>
      <c r="B4583">
        <v>0.99472303558308395</v>
      </c>
      <c r="C4583">
        <v>0.87410968112499698</v>
      </c>
      <c r="D4583">
        <v>0.84968346857977795</v>
      </c>
      <c r="E4583">
        <v>0.68203889775971305</v>
      </c>
      <c r="F4583">
        <v>0.320859872786738</v>
      </c>
      <c r="G4583">
        <v>0.132853305930584</v>
      </c>
      <c r="H4583">
        <v>8.2934754581103207E-2</v>
      </c>
      <c r="I4583">
        <v>6.43400942183604E-2</v>
      </c>
      <c r="J4583">
        <v>7.9298152099021899E-2</v>
      </c>
      <c r="K4583">
        <v>4.9387397517390901E-2</v>
      </c>
      <c r="L4583">
        <v>807.98938423106199</v>
      </c>
      <c r="M4583">
        <v>16.887729478407099</v>
      </c>
      <c r="N4583">
        <v>48.068342943424597</v>
      </c>
      <c r="O4583">
        <v>47.188968729287403</v>
      </c>
      <c r="P4583">
        <v>-8.6094607306231002E-2</v>
      </c>
      <c r="Q4583">
        <v>3.7772364403462197E-2</v>
      </c>
      <c r="R4583">
        <v>0.98914399023775801</v>
      </c>
      <c r="S4583" t="s">
        <v>11151</v>
      </c>
      <c r="T4583" t="s">
        <v>13134</v>
      </c>
      <c r="U4583" t="s">
        <v>13134</v>
      </c>
      <c r="V4583" t="s">
        <v>13134</v>
      </c>
      <c r="W4583" t="s">
        <v>17656</v>
      </c>
      <c r="X4583">
        <v>7</v>
      </c>
      <c r="Y4583" t="s">
        <v>24029</v>
      </c>
      <c r="Z4583" t="s">
        <v>30551</v>
      </c>
      <c r="AA4583">
        <v>0.40289299932577288</v>
      </c>
      <c r="AB4583" t="str">
        <f>HYPERLINK("Melting_Curves/meltCurve_Q8NAV1_PRPF38A.pdf", "Melting_Curves/meltCurve_Q8NAV1_PRPF38A.pdf")</f>
        <v>Melting_Curves/meltCurve_Q8NAV1_PRPF38A.pdf</v>
      </c>
    </row>
    <row r="4584" spans="1:28" x14ac:dyDescent="0.25">
      <c r="A4584" t="s">
        <v>4588</v>
      </c>
      <c r="B4584">
        <v>0.99472303558308395</v>
      </c>
      <c r="C4584">
        <v>1.1001470370574</v>
      </c>
      <c r="D4584">
        <v>0.77796669365535898</v>
      </c>
      <c r="E4584">
        <v>0.64063386005812895</v>
      </c>
      <c r="F4584">
        <v>0.25906725168712003</v>
      </c>
      <c r="G4584">
        <v>0.11293262234444799</v>
      </c>
      <c r="H4584">
        <v>7.1300526004293305E-2</v>
      </c>
      <c r="I4584">
        <v>2.13594027265421E-2</v>
      </c>
      <c r="J4584">
        <v>2.0187923708294302E-2</v>
      </c>
      <c r="K4584">
        <v>1.51442453029903E-2</v>
      </c>
      <c r="L4584">
        <v>868.03945580508901</v>
      </c>
      <c r="M4584">
        <v>18.266738792184999</v>
      </c>
      <c r="N4584">
        <v>47.581598356220603</v>
      </c>
      <c r="O4584">
        <v>46.9616864812903</v>
      </c>
      <c r="P4584">
        <v>-9.6114971387578393E-2</v>
      </c>
      <c r="Q4584">
        <v>1.1643848467660801E-2</v>
      </c>
      <c r="R4584">
        <v>0.98281836577520298</v>
      </c>
      <c r="S4584" t="s">
        <v>11152</v>
      </c>
      <c r="T4584" t="s">
        <v>13134</v>
      </c>
      <c r="U4584" t="s">
        <v>13134</v>
      </c>
      <c r="V4584" t="s">
        <v>13134</v>
      </c>
      <c r="W4584" t="s">
        <v>17657</v>
      </c>
      <c r="X4584">
        <v>1</v>
      </c>
      <c r="Y4584" t="s">
        <v>24030</v>
      </c>
      <c r="Z4584" t="s">
        <v>30552</v>
      </c>
      <c r="AA4584">
        <v>0.37363432181412631</v>
      </c>
      <c r="AB4584" t="str">
        <f>HYPERLINK("Melting_Curves/meltCurve_Q8NB15_2_ZNF511.pdf", "Melting_Curves/meltCurve_Q8NB15_2_ZNF511.pdf")</f>
        <v>Melting_Curves/meltCurve_Q8NB15_2_ZNF511.pdf</v>
      </c>
    </row>
    <row r="4585" spans="1:28" x14ac:dyDescent="0.25">
      <c r="A4585" t="s">
        <v>4589</v>
      </c>
      <c r="B4585">
        <v>0.99472303558308395</v>
      </c>
      <c r="C4585">
        <v>1.0024702048054399</v>
      </c>
      <c r="D4585">
        <v>0.88508110558614705</v>
      </c>
      <c r="E4585">
        <v>0.849433064702102</v>
      </c>
      <c r="F4585">
        <v>0.77495042800457303</v>
      </c>
      <c r="G4585">
        <v>0.57334993823473801</v>
      </c>
      <c r="H4585">
        <v>0.41901135257983002</v>
      </c>
      <c r="I4585">
        <v>0.32061065938540001</v>
      </c>
      <c r="J4585">
        <v>0.32458048529656103</v>
      </c>
      <c r="K4585">
        <v>0.22027290726354901</v>
      </c>
      <c r="L4585">
        <v>543.42979058217804</v>
      </c>
      <c r="M4585">
        <v>10.024914956103601</v>
      </c>
      <c r="N4585">
        <v>55.805185986862398</v>
      </c>
      <c r="O4585">
        <v>52.183384663517998</v>
      </c>
      <c r="P4585">
        <v>-4.20576367474342E-2</v>
      </c>
      <c r="Q4585">
        <v>0.12471968948096</v>
      </c>
      <c r="R4585">
        <v>0.98842965161084295</v>
      </c>
      <c r="S4585" t="s">
        <v>11153</v>
      </c>
      <c r="T4585" t="s">
        <v>13134</v>
      </c>
      <c r="U4585" t="s">
        <v>13134</v>
      </c>
      <c r="V4585" t="s">
        <v>13134</v>
      </c>
      <c r="W4585" t="s">
        <v>17658</v>
      </c>
      <c r="X4585">
        <v>6</v>
      </c>
      <c r="Y4585" t="s">
        <v>24031</v>
      </c>
      <c r="Z4585" t="s">
        <v>30553</v>
      </c>
      <c r="AA4585">
        <v>0.64125389467427096</v>
      </c>
      <c r="AB4585" t="str">
        <f>HYPERLINK("Melting_Curves/meltCurve_Q8NB37_PDDC1.pdf", "Melting_Curves/meltCurve_Q8NB37_PDDC1.pdf")</f>
        <v>Melting_Curves/meltCurve_Q8NB37_PDDC1.pdf</v>
      </c>
    </row>
    <row r="4586" spans="1:28" x14ac:dyDescent="0.25">
      <c r="A4586" t="s">
        <v>4590</v>
      </c>
      <c r="B4586">
        <v>0.99472303558308395</v>
      </c>
      <c r="C4586">
        <v>0.99068489461914699</v>
      </c>
      <c r="D4586">
        <v>0.85220154290845296</v>
      </c>
      <c r="E4586">
        <v>0.53289877630807703</v>
      </c>
      <c r="F4586">
        <v>0.35627716613041299</v>
      </c>
      <c r="G4586">
        <v>0.12385458509271</v>
      </c>
      <c r="H4586">
        <v>0.11612985972158001</v>
      </c>
      <c r="I4586">
        <v>6.61938279188726E-2</v>
      </c>
      <c r="J4586">
        <v>0.113617946182273</v>
      </c>
      <c r="K4586">
        <v>8.8019789421587502E-2</v>
      </c>
      <c r="L4586">
        <v>831.36616381123895</v>
      </c>
      <c r="M4586">
        <v>17.716032760763099</v>
      </c>
      <c r="N4586">
        <v>47.382741708152203</v>
      </c>
      <c r="O4586">
        <v>46.341660314615801</v>
      </c>
      <c r="P4586">
        <v>-8.8095824437149597E-2</v>
      </c>
      <c r="Q4586">
        <v>7.8282922340202704E-2</v>
      </c>
      <c r="R4586">
        <v>0.993696435467182</v>
      </c>
      <c r="S4586" t="s">
        <v>11154</v>
      </c>
      <c r="T4586" t="s">
        <v>13134</v>
      </c>
      <c r="U4586" t="s">
        <v>13134</v>
      </c>
      <c r="V4586" t="s">
        <v>13134</v>
      </c>
      <c r="W4586" t="s">
        <v>17659</v>
      </c>
      <c r="X4586">
        <v>6</v>
      </c>
      <c r="Y4586" t="s">
        <v>24032</v>
      </c>
      <c r="Z4586" t="s">
        <v>30554</v>
      </c>
      <c r="AA4586">
        <v>0.39854824026409541</v>
      </c>
      <c r="AB4586" t="str">
        <f>HYPERLINK("Melting_Curves/meltCurve_Q8NB46_ANKRD52.pdf", "Melting_Curves/meltCurve_Q8NB46_ANKRD52.pdf")</f>
        <v>Melting_Curves/meltCurve_Q8NB46_ANKRD52.pdf</v>
      </c>
    </row>
    <row r="4587" spans="1:28" x14ac:dyDescent="0.25">
      <c r="A4587" t="s">
        <v>4591</v>
      </c>
      <c r="B4587">
        <v>0.99472303558308395</v>
      </c>
      <c r="C4587">
        <v>1.01463572880204</v>
      </c>
      <c r="D4587">
        <v>0.90021089690585598</v>
      </c>
      <c r="E4587">
        <v>0.83369630987422105</v>
      </c>
      <c r="F4587">
        <v>0.68831443851543195</v>
      </c>
      <c r="G4587">
        <v>0.43205696108638703</v>
      </c>
      <c r="H4587">
        <v>0.17903343289816101</v>
      </c>
      <c r="I4587">
        <v>7.4222613827308298E-2</v>
      </c>
      <c r="J4587">
        <v>8.4477627463310306E-2</v>
      </c>
      <c r="K4587">
        <v>7.3709747860607605E-2</v>
      </c>
      <c r="L4587">
        <v>776.08140379202405</v>
      </c>
      <c r="M4587">
        <v>14.824397981684101</v>
      </c>
      <c r="N4587">
        <v>52.393738273937402</v>
      </c>
      <c r="O4587">
        <v>51.426691354767399</v>
      </c>
      <c r="P4587">
        <v>-7.1646504979865494E-2</v>
      </c>
      <c r="Q4587">
        <v>5.9218200608538796E-3</v>
      </c>
      <c r="R4587">
        <v>0.99217000496533303</v>
      </c>
      <c r="S4587" t="s">
        <v>11155</v>
      </c>
      <c r="T4587" t="s">
        <v>13134</v>
      </c>
      <c r="U4587" t="s">
        <v>13134</v>
      </c>
      <c r="V4587" t="s">
        <v>13134</v>
      </c>
      <c r="W4587" t="s">
        <v>17660</v>
      </c>
      <c r="X4587">
        <v>13</v>
      </c>
      <c r="Y4587" t="s">
        <v>24033</v>
      </c>
      <c r="Z4587" t="s">
        <v>30555</v>
      </c>
      <c r="AA4587">
        <v>0.53345917417642175</v>
      </c>
      <c r="AB4587" t="str">
        <f>HYPERLINK("Melting_Curves/meltCurve_Q8NB49_3_ATP11C.pdf", "Melting_Curves/meltCurve_Q8NB49_3_ATP11C.pdf")</f>
        <v>Melting_Curves/meltCurve_Q8NB49_3_ATP11C.pdf</v>
      </c>
    </row>
    <row r="4588" spans="1:28" x14ac:dyDescent="0.25">
      <c r="A4588" t="s">
        <v>4592</v>
      </c>
      <c r="B4588">
        <v>0.99472303558308395</v>
      </c>
      <c r="C4588">
        <v>0.85592565713348601</v>
      </c>
      <c r="D4588">
        <v>0.76848848151315896</v>
      </c>
      <c r="E4588">
        <v>0.65289788686435302</v>
      </c>
      <c r="F4588">
        <v>0.71088017133912795</v>
      </c>
      <c r="G4588">
        <v>0.443978675467117</v>
      </c>
      <c r="H4588">
        <v>0.24534735441365699</v>
      </c>
      <c r="I4588">
        <v>8.9564989756870994E-2</v>
      </c>
      <c r="J4588">
        <v>8.6396267870684801E-2</v>
      </c>
      <c r="K4588">
        <v>0.100697584199496</v>
      </c>
      <c r="L4588">
        <v>470.72915583554902</v>
      </c>
      <c r="M4588">
        <v>9.1893455426865192</v>
      </c>
      <c r="N4588">
        <v>51.225536315994802</v>
      </c>
      <c r="O4588">
        <v>48.974734787212903</v>
      </c>
      <c r="P4588">
        <v>-4.6940084768890999E-2</v>
      </c>
      <c r="Q4588">
        <v>0</v>
      </c>
      <c r="R4588">
        <v>0.94503488339692299</v>
      </c>
      <c r="S4588" t="s">
        <v>11156</v>
      </c>
      <c r="T4588" t="s">
        <v>13134</v>
      </c>
      <c r="U4588" t="s">
        <v>13134</v>
      </c>
      <c r="V4588" t="s">
        <v>13134</v>
      </c>
      <c r="W4588" t="s">
        <v>17661</v>
      </c>
      <c r="X4588">
        <v>19</v>
      </c>
      <c r="Y4588" t="s">
        <v>24034</v>
      </c>
      <c r="Z4588" t="s">
        <v>30556</v>
      </c>
      <c r="AA4588">
        <v>0.50545756229444661</v>
      </c>
      <c r="AB4588" t="str">
        <f>HYPERLINK("Melting_Curves/meltCurve_Q8NB90_SPATA5.pdf", "Melting_Curves/meltCurve_Q8NB90_SPATA5.pdf")</f>
        <v>Melting_Curves/meltCurve_Q8NB90_SPATA5.pdf</v>
      </c>
    </row>
    <row r="4589" spans="1:28" x14ac:dyDescent="0.25">
      <c r="A4589" t="s">
        <v>4593</v>
      </c>
      <c r="B4589">
        <v>0.99472303558308395</v>
      </c>
      <c r="C4589">
        <v>0.97967115154425199</v>
      </c>
      <c r="D4589">
        <v>0.92130651040564204</v>
      </c>
      <c r="E4589">
        <v>0.66761350738798797</v>
      </c>
      <c r="F4589">
        <v>0.215988446201269</v>
      </c>
      <c r="G4589">
        <v>8.7008531858875304E-2</v>
      </c>
      <c r="H4589">
        <v>4.9165840113982603E-2</v>
      </c>
      <c r="I4589">
        <v>3.77489082664028E-2</v>
      </c>
      <c r="J4589">
        <v>4.1888812348156897E-2</v>
      </c>
      <c r="K4589">
        <v>2.3286569942603599E-2</v>
      </c>
      <c r="L4589">
        <v>1255.6913218332099</v>
      </c>
      <c r="M4589">
        <v>26.3711088113843</v>
      </c>
      <c r="N4589">
        <v>47.744064440836198</v>
      </c>
      <c r="O4589">
        <v>47.344893036107401</v>
      </c>
      <c r="P4589">
        <v>-0.13450302526886501</v>
      </c>
      <c r="Q4589">
        <v>3.4100214848654803E-2</v>
      </c>
      <c r="R4589">
        <v>0.99905068871303204</v>
      </c>
      <c r="S4589" t="s">
        <v>11157</v>
      </c>
      <c r="T4589" t="s">
        <v>13134</v>
      </c>
      <c r="U4589" t="s">
        <v>13134</v>
      </c>
      <c r="V4589" t="s">
        <v>13134</v>
      </c>
      <c r="W4589" t="s">
        <v>17662</v>
      </c>
      <c r="X4589">
        <v>5</v>
      </c>
      <c r="Y4589" t="s">
        <v>24035</v>
      </c>
      <c r="Z4589" t="s">
        <v>30557</v>
      </c>
      <c r="AA4589">
        <v>0.38326328919691249</v>
      </c>
      <c r="AB4589" t="str">
        <f>HYPERLINK("Melting_Curves/meltCurve_Q8NBA8_DTWD2.pdf", "Melting_Curves/meltCurve_Q8NBA8_DTWD2.pdf")</f>
        <v>Melting_Curves/meltCurve_Q8NBA8_DTWD2.pdf</v>
      </c>
    </row>
    <row r="4590" spans="1:28" x14ac:dyDescent="0.25">
      <c r="A4590" t="s">
        <v>4594</v>
      </c>
      <c r="B4590">
        <v>0.99472303558308395</v>
      </c>
      <c r="C4590">
        <v>0.91655581014034804</v>
      </c>
      <c r="D4590">
        <v>0.88167628815625299</v>
      </c>
      <c r="E4590">
        <v>0.769621044495294</v>
      </c>
      <c r="F4590">
        <v>0.48657958106674298</v>
      </c>
      <c r="G4590">
        <v>0.19243004658926199</v>
      </c>
      <c r="H4590">
        <v>0.122321854534347</v>
      </c>
      <c r="I4590">
        <v>6.52302164535076E-2</v>
      </c>
      <c r="J4590">
        <v>6.8112526737564294E-2</v>
      </c>
      <c r="K4590">
        <v>5.47011426941095E-2</v>
      </c>
      <c r="L4590">
        <v>812.39088568409204</v>
      </c>
      <c r="M4590">
        <v>16.4108990457059</v>
      </c>
      <c r="N4590">
        <v>49.695018686133501</v>
      </c>
      <c r="O4590">
        <v>48.785585372826802</v>
      </c>
      <c r="P4590">
        <v>-8.1521229646075305E-2</v>
      </c>
      <c r="Q4590">
        <v>3.0698099435467498E-2</v>
      </c>
      <c r="R4590">
        <v>0.99310253948170102</v>
      </c>
      <c r="S4590" t="s">
        <v>11158</v>
      </c>
      <c r="T4590" t="s">
        <v>13134</v>
      </c>
      <c r="U4590" t="s">
        <v>13134</v>
      </c>
      <c r="V4590" t="s">
        <v>13134</v>
      </c>
      <c r="W4590" t="s">
        <v>17663</v>
      </c>
      <c r="X4590">
        <v>9</v>
      </c>
      <c r="Y4590" t="s">
        <v>24036</v>
      </c>
      <c r="Z4590" t="s">
        <v>30558</v>
      </c>
      <c r="AA4590">
        <v>0.45255768967827442</v>
      </c>
      <c r="AB4590" t="str">
        <f>HYPERLINK("Melting_Curves/meltCurve_Q8NBF2_NHLRC2.pdf", "Melting_Curves/meltCurve_Q8NBF2_NHLRC2.pdf")</f>
        <v>Melting_Curves/meltCurve_Q8NBF2_NHLRC2.pdf</v>
      </c>
    </row>
    <row r="4591" spans="1:28" x14ac:dyDescent="0.25">
      <c r="A4591" t="s">
        <v>4595</v>
      </c>
      <c r="B4591">
        <v>0.99472303558308395</v>
      </c>
      <c r="C4591">
        <v>0.90980355558788095</v>
      </c>
      <c r="D4591">
        <v>0.97360288477328805</v>
      </c>
      <c r="E4591">
        <v>0.85158221155064995</v>
      </c>
      <c r="F4591">
        <v>0.60142054151542801</v>
      </c>
      <c r="G4591">
        <v>0.335424183521981</v>
      </c>
      <c r="H4591">
        <v>8.4729565353456507E-2</v>
      </c>
      <c r="I4591">
        <v>4.1092430445980203E-2</v>
      </c>
      <c r="J4591">
        <v>4.2800165144603101E-2</v>
      </c>
      <c r="K4591">
        <v>3.33839361566566E-2</v>
      </c>
      <c r="L4591">
        <v>921.19426788019098</v>
      </c>
      <c r="M4591">
        <v>17.945370822178099</v>
      </c>
      <c r="N4591">
        <v>51.333786096117599</v>
      </c>
      <c r="O4591">
        <v>50.708536316960803</v>
      </c>
      <c r="P4591">
        <v>-8.8469304986288105E-2</v>
      </c>
      <c r="Q4591">
        <v>9.30876602917278E-5</v>
      </c>
      <c r="R4591">
        <v>0.99313299243317299</v>
      </c>
      <c r="S4591" t="s">
        <v>11159</v>
      </c>
      <c r="T4591" t="s">
        <v>13134</v>
      </c>
      <c r="U4591" t="s">
        <v>13134</v>
      </c>
      <c r="V4591" t="s">
        <v>13134</v>
      </c>
      <c r="W4591" t="s">
        <v>17664</v>
      </c>
      <c r="X4591">
        <v>8</v>
      </c>
      <c r="Y4591" t="s">
        <v>24037</v>
      </c>
      <c r="Z4591" t="s">
        <v>30559</v>
      </c>
      <c r="AA4591">
        <v>0.49329073373802712</v>
      </c>
      <c r="AB4591" t="str">
        <f>HYPERLINK("Melting_Curves/meltCurve_Q8NBF6_AVL9.pdf", "Melting_Curves/meltCurve_Q8NBF6_AVL9.pdf")</f>
        <v>Melting_Curves/meltCurve_Q8NBF6_AVL9.pdf</v>
      </c>
    </row>
    <row r="4592" spans="1:28" x14ac:dyDescent="0.25">
      <c r="A4592" t="s">
        <v>4596</v>
      </c>
      <c r="B4592">
        <v>0.99472303558308395</v>
      </c>
      <c r="C4592">
        <v>0.88060886706973995</v>
      </c>
      <c r="D4592">
        <v>0.818497615474297</v>
      </c>
      <c r="E4592">
        <v>0.73038653405035003</v>
      </c>
      <c r="F4592">
        <v>0.73215852742725296</v>
      </c>
      <c r="G4592">
        <v>0.43517122832473698</v>
      </c>
      <c r="H4592">
        <v>0.27098754565760402</v>
      </c>
      <c r="I4592">
        <v>0.26845395421371299</v>
      </c>
      <c r="J4592">
        <v>0.30077801513833302</v>
      </c>
      <c r="K4592">
        <v>0.30263595967548601</v>
      </c>
      <c r="L4592">
        <v>478.81640873540601</v>
      </c>
      <c r="M4592">
        <v>9.5148454180999504</v>
      </c>
      <c r="N4592">
        <v>52.754250405324001</v>
      </c>
      <c r="O4592">
        <v>48.250649423096498</v>
      </c>
      <c r="P4592">
        <v>-4.0572584608711201E-2</v>
      </c>
      <c r="Q4592">
        <v>0.17749451268656899</v>
      </c>
      <c r="R4592">
        <v>0.94339037004300397</v>
      </c>
      <c r="S4592" t="s">
        <v>11160</v>
      </c>
      <c r="T4592" t="s">
        <v>13134</v>
      </c>
      <c r="U4592" t="s">
        <v>13134</v>
      </c>
      <c r="V4592" t="s">
        <v>13134</v>
      </c>
      <c r="W4592" t="s">
        <v>17665</v>
      </c>
      <c r="X4592">
        <v>6</v>
      </c>
      <c r="Y4592" t="s">
        <v>24038</v>
      </c>
      <c r="Z4592" t="s">
        <v>30560</v>
      </c>
      <c r="AA4592">
        <v>0.57096423852792255</v>
      </c>
      <c r="AB4592" t="str">
        <f>HYPERLINK("Melting_Curves/meltCurve_Q8NBI5_SLC43A3.pdf", "Melting_Curves/meltCurve_Q8NBI5_SLC43A3.pdf")</f>
        <v>Melting_Curves/meltCurve_Q8NBI5_SLC43A3.pdf</v>
      </c>
    </row>
    <row r="4593" spans="1:28" x14ac:dyDescent="0.25">
      <c r="A4593" t="s">
        <v>4597</v>
      </c>
      <c r="B4593">
        <v>0.99472303558308395</v>
      </c>
      <c r="C4593">
        <v>0.96443034317251897</v>
      </c>
      <c r="D4593">
        <v>0.80889288267542603</v>
      </c>
      <c r="E4593">
        <v>0.76816536193162599</v>
      </c>
      <c r="F4593">
        <v>0.60831683490913302</v>
      </c>
      <c r="G4593">
        <v>0.34565871918355101</v>
      </c>
      <c r="H4593">
        <v>0.24826488582911099</v>
      </c>
      <c r="I4593">
        <v>0.15148960578717899</v>
      </c>
      <c r="J4593">
        <v>0.275195844290688</v>
      </c>
      <c r="K4593">
        <v>0.21494256478367099</v>
      </c>
      <c r="L4593">
        <v>635.23278345808399</v>
      </c>
      <c r="M4593">
        <v>12.829830156837399</v>
      </c>
      <c r="N4593">
        <v>51.046790259040499</v>
      </c>
      <c r="O4593">
        <v>48.355559503915003</v>
      </c>
      <c r="P4593">
        <v>-5.57273127699284E-2</v>
      </c>
      <c r="Q4593">
        <v>0.160012458190463</v>
      </c>
      <c r="R4593">
        <v>0.97216150724009798</v>
      </c>
      <c r="S4593" t="s">
        <v>11161</v>
      </c>
      <c r="T4593" t="s">
        <v>13134</v>
      </c>
      <c r="U4593" t="s">
        <v>13134</v>
      </c>
      <c r="V4593" t="s">
        <v>13134</v>
      </c>
      <c r="W4593" t="s">
        <v>17666</v>
      </c>
      <c r="X4593">
        <v>5</v>
      </c>
      <c r="Y4593" t="s">
        <v>24039</v>
      </c>
      <c r="Z4593" t="s">
        <v>30561</v>
      </c>
      <c r="AA4593">
        <v>0.53259039665600483</v>
      </c>
      <c r="AB4593" t="str">
        <f>HYPERLINK("Melting_Curves/meltCurve_Q8NBI6_XXYLT1.pdf", "Melting_Curves/meltCurve_Q8NBI6_XXYLT1.pdf")</f>
        <v>Melting_Curves/meltCurve_Q8NBI6_XXYLT1.pdf</v>
      </c>
    </row>
    <row r="4594" spans="1:28" x14ac:dyDescent="0.25">
      <c r="A4594" t="s">
        <v>4598</v>
      </c>
      <c r="B4594">
        <v>0.99472303558308395</v>
      </c>
      <c r="C4594">
        <v>0.91721323231019103</v>
      </c>
      <c r="D4594">
        <v>0.82993867320297998</v>
      </c>
      <c r="E4594">
        <v>0.70157454771652905</v>
      </c>
      <c r="F4594">
        <v>0.50458033804833702</v>
      </c>
      <c r="G4594">
        <v>0.136972166942539</v>
      </c>
      <c r="H4594">
        <v>6.2742876595025504E-2</v>
      </c>
      <c r="I4594">
        <v>4.4610868235050102E-2</v>
      </c>
      <c r="J4594">
        <v>4.8252534995718799E-2</v>
      </c>
      <c r="K4594">
        <v>4.4116785676176898E-2</v>
      </c>
      <c r="L4594">
        <v>729.8246990852</v>
      </c>
      <c r="M4594">
        <v>14.866946505573001</v>
      </c>
      <c r="N4594">
        <v>49.090443251519403</v>
      </c>
      <c r="O4594">
        <v>48.227912613760701</v>
      </c>
      <c r="P4594">
        <v>-7.7074151830998999E-2</v>
      </c>
      <c r="Q4594">
        <v>0</v>
      </c>
      <c r="R4594">
        <v>0.98447204951906397</v>
      </c>
      <c r="S4594" t="s">
        <v>11162</v>
      </c>
      <c r="T4594" t="s">
        <v>13134</v>
      </c>
      <c r="U4594" t="s">
        <v>13134</v>
      </c>
      <c r="V4594" t="s">
        <v>13134</v>
      </c>
      <c r="W4594" t="s">
        <v>17667</v>
      </c>
      <c r="X4594">
        <v>19</v>
      </c>
      <c r="Y4594" t="s">
        <v>24040</v>
      </c>
      <c r="Z4594" t="s">
        <v>30562</v>
      </c>
      <c r="AA4594">
        <v>0.42477549255177638</v>
      </c>
      <c r="AB4594" t="str">
        <f>HYPERLINK("Melting_Curves/meltCurve_Q8NBJ5_COLGALT1.pdf", "Melting_Curves/meltCurve_Q8NBJ5_COLGALT1.pdf")</f>
        <v>Melting_Curves/meltCurve_Q8NBJ5_COLGALT1.pdf</v>
      </c>
    </row>
    <row r="4595" spans="1:28" x14ac:dyDescent="0.25">
      <c r="A4595" t="s">
        <v>4599</v>
      </c>
      <c r="B4595">
        <v>0.99472303558308395</v>
      </c>
      <c r="C4595">
        <v>1.1025059630015499</v>
      </c>
      <c r="D4595">
        <v>0.93156954424133498</v>
      </c>
      <c r="E4595">
        <v>0.89082777810240799</v>
      </c>
      <c r="F4595">
        <v>0.88070098327694701</v>
      </c>
      <c r="G4595">
        <v>0.58135424123882296</v>
      </c>
      <c r="H4595">
        <v>0.115162902637055</v>
      </c>
      <c r="I4595">
        <v>7.2624045140779706E-2</v>
      </c>
      <c r="J4595">
        <v>7.0542770106978694E-2</v>
      </c>
      <c r="K4595">
        <v>4.2181841700653998E-2</v>
      </c>
      <c r="L4595">
        <v>1705.41414769573</v>
      </c>
      <c r="M4595">
        <v>31.597054902375401</v>
      </c>
      <c r="N4595">
        <v>54.117551925802097</v>
      </c>
      <c r="O4595">
        <v>53.759019130901002</v>
      </c>
      <c r="P4595">
        <v>-0.14102628423871499</v>
      </c>
      <c r="Q4595">
        <v>4.02403688532069E-2</v>
      </c>
      <c r="R4595">
        <v>0.98210909994518203</v>
      </c>
      <c r="S4595" t="s">
        <v>11163</v>
      </c>
      <c r="T4595" t="s">
        <v>13134</v>
      </c>
      <c r="U4595" t="s">
        <v>13134</v>
      </c>
      <c r="V4595" t="s">
        <v>13134</v>
      </c>
      <c r="W4595" t="s">
        <v>17668</v>
      </c>
      <c r="X4595">
        <v>3</v>
      </c>
      <c r="Y4595" t="s">
        <v>24041</v>
      </c>
      <c r="Z4595" t="s">
        <v>30563</v>
      </c>
      <c r="AA4595">
        <v>0.58884143341548334</v>
      </c>
      <c r="AB4595" t="str">
        <f>HYPERLINK("Melting_Curves/meltCurve_Q8NBK3_4_SUMF1.pdf", "Melting_Curves/meltCurve_Q8NBK3_4_SUMF1.pdf")</f>
        <v>Melting_Curves/meltCurve_Q8NBK3_4_SUMF1.pdf</v>
      </c>
    </row>
    <row r="4596" spans="1:28" x14ac:dyDescent="0.25">
      <c r="A4596" t="s">
        <v>4600</v>
      </c>
      <c r="B4596">
        <v>0.99472303558308395</v>
      </c>
      <c r="C4596">
        <v>1.04018900564201</v>
      </c>
      <c r="D4596">
        <v>0.92206423888018896</v>
      </c>
      <c r="E4596">
        <v>0.82729949457503904</v>
      </c>
      <c r="F4596">
        <v>0.75710759974397102</v>
      </c>
      <c r="G4596">
        <v>0.26652192350938803</v>
      </c>
      <c r="H4596">
        <v>0.19473015392377799</v>
      </c>
      <c r="I4596">
        <v>0.13301787784282099</v>
      </c>
      <c r="J4596">
        <v>0.15055697754043401</v>
      </c>
      <c r="K4596">
        <v>0.30143945163325098</v>
      </c>
      <c r="L4596">
        <v>1736.6140503551001</v>
      </c>
      <c r="M4596">
        <v>33.998277492851599</v>
      </c>
      <c r="N4596">
        <v>51.775419955899203</v>
      </c>
      <c r="O4596">
        <v>50.903712101131397</v>
      </c>
      <c r="P4596">
        <v>-0.13634973802779901</v>
      </c>
      <c r="Q4596">
        <v>0.18340786124224001</v>
      </c>
      <c r="R4596">
        <v>0.96165956349848902</v>
      </c>
      <c r="S4596" t="s">
        <v>11164</v>
      </c>
      <c r="T4596" t="s">
        <v>13134</v>
      </c>
      <c r="U4596" t="s">
        <v>13134</v>
      </c>
      <c r="V4596" t="s">
        <v>13134</v>
      </c>
      <c r="W4596" t="s">
        <v>17669</v>
      </c>
      <c r="X4596">
        <v>6</v>
      </c>
      <c r="Y4596" t="s">
        <v>24042</v>
      </c>
      <c r="Z4596" t="s">
        <v>30564</v>
      </c>
      <c r="AA4596">
        <v>0.57062962336786005</v>
      </c>
      <c r="AB4596" t="str">
        <f>HYPERLINK("Melting_Curves/meltCurve_Q8NBL1_POGLUT1.pdf", "Melting_Curves/meltCurve_Q8NBL1_POGLUT1.pdf")</f>
        <v>Melting_Curves/meltCurve_Q8NBL1_POGLUT1.pdf</v>
      </c>
    </row>
    <row r="4597" spans="1:28" x14ac:dyDescent="0.25">
      <c r="A4597" t="s">
        <v>4601</v>
      </c>
      <c r="B4597">
        <v>0.99472303558308395</v>
      </c>
      <c r="C4597">
        <v>0.94406002534342603</v>
      </c>
      <c r="D4597">
        <v>0.70562964212930401</v>
      </c>
      <c r="E4597">
        <v>0.65946239835869402</v>
      </c>
      <c r="F4597">
        <v>0.39667432376581502</v>
      </c>
      <c r="G4597">
        <v>0.20277876886635801</v>
      </c>
      <c r="H4597">
        <v>7.5675099224005601E-2</v>
      </c>
      <c r="I4597">
        <v>0.161061596088867</v>
      </c>
      <c r="J4597">
        <v>0.15305000232126001</v>
      </c>
      <c r="K4597">
        <v>0.17973629478494599</v>
      </c>
      <c r="L4597">
        <v>641.191676021332</v>
      </c>
      <c r="M4597">
        <v>13.648756142790299</v>
      </c>
      <c r="N4597">
        <v>47.836162601148899</v>
      </c>
      <c r="O4597">
        <v>46.003987822632098</v>
      </c>
      <c r="P4597">
        <v>-6.6127190512158499E-2</v>
      </c>
      <c r="Q4597">
        <v>0.10858690551675</v>
      </c>
      <c r="R4597">
        <v>0.96983073419334698</v>
      </c>
      <c r="S4597" t="s">
        <v>11165</v>
      </c>
      <c r="T4597" t="s">
        <v>13134</v>
      </c>
      <c r="U4597" t="s">
        <v>13134</v>
      </c>
      <c r="V4597" t="s">
        <v>13134</v>
      </c>
      <c r="W4597" t="s">
        <v>17670</v>
      </c>
      <c r="X4597">
        <v>3</v>
      </c>
      <c r="Y4597" t="s">
        <v>24043</v>
      </c>
      <c r="Z4597" t="s">
        <v>30565</v>
      </c>
      <c r="AA4597">
        <v>0.428767222235032</v>
      </c>
      <c r="AB4597" t="str">
        <f>HYPERLINK("Melting_Curves/meltCurve_Q8NBM4_4_UBAC2.pdf", "Melting_Curves/meltCurve_Q8NBM4_4_UBAC2.pdf")</f>
        <v>Melting_Curves/meltCurve_Q8NBM4_4_UBAC2.pdf</v>
      </c>
    </row>
    <row r="4598" spans="1:28" x14ac:dyDescent="0.25">
      <c r="A4598" t="s">
        <v>4602</v>
      </c>
      <c r="B4598">
        <v>0.99472303558308395</v>
      </c>
      <c r="C4598">
        <v>0.87099240565006697</v>
      </c>
      <c r="D4598">
        <v>0.96496085704343404</v>
      </c>
      <c r="E4598">
        <v>0.93237631583238201</v>
      </c>
      <c r="F4598">
        <v>0.80862828063363901</v>
      </c>
      <c r="G4598">
        <v>0.57682835883572203</v>
      </c>
      <c r="H4598">
        <v>0.215016760926377</v>
      </c>
      <c r="I4598">
        <v>0.288463817196487</v>
      </c>
      <c r="J4598">
        <v>0.138070473352531</v>
      </c>
      <c r="K4598">
        <v>0.14027090633546099</v>
      </c>
      <c r="L4598">
        <v>1073.3876950415799</v>
      </c>
      <c r="M4598">
        <v>20.106509112342799</v>
      </c>
      <c r="N4598">
        <v>54.226598162820302</v>
      </c>
      <c r="O4598">
        <v>52.865413700095999</v>
      </c>
      <c r="P4598">
        <v>-8.2343412238310806E-2</v>
      </c>
      <c r="Q4598">
        <v>0.13401564414930001</v>
      </c>
      <c r="R4598">
        <v>0.96937376904030903</v>
      </c>
      <c r="S4598" t="s">
        <v>11166</v>
      </c>
      <c r="T4598" t="s">
        <v>13134</v>
      </c>
      <c r="U4598" t="s">
        <v>13134</v>
      </c>
      <c r="V4598" t="s">
        <v>13134</v>
      </c>
      <c r="W4598" t="s">
        <v>17671</v>
      </c>
      <c r="X4598">
        <v>4</v>
      </c>
      <c r="Y4598" t="s">
        <v>24044</v>
      </c>
      <c r="Z4598" t="s">
        <v>30566</v>
      </c>
      <c r="AA4598">
        <v>0.61767272652645433</v>
      </c>
      <c r="AB4598" t="str">
        <f>HYPERLINK("Melting_Curves/meltCurve_Q8NBM8_PCYOX1L.pdf", "Melting_Curves/meltCurve_Q8NBM8_PCYOX1L.pdf")</f>
        <v>Melting_Curves/meltCurve_Q8NBM8_PCYOX1L.pdf</v>
      </c>
    </row>
    <row r="4599" spans="1:28" x14ac:dyDescent="0.25">
      <c r="A4599" t="s">
        <v>4603</v>
      </c>
      <c r="B4599">
        <v>0.99472303558308395</v>
      </c>
      <c r="C4599">
        <v>0.98784535355208103</v>
      </c>
      <c r="D4599">
        <v>0.84704236040457603</v>
      </c>
      <c r="E4599">
        <v>0.80112924132185204</v>
      </c>
      <c r="F4599">
        <v>0.72133794155251796</v>
      </c>
      <c r="G4599">
        <v>0.49130078977483599</v>
      </c>
      <c r="H4599">
        <v>0.39013019768221302</v>
      </c>
      <c r="I4599">
        <v>0.30778519799030402</v>
      </c>
      <c r="J4599">
        <v>0.26296359254348201</v>
      </c>
      <c r="K4599">
        <v>0.33492144967148202</v>
      </c>
      <c r="L4599">
        <v>562.93413277447098</v>
      </c>
      <c r="M4599">
        <v>10.9795205305699</v>
      </c>
      <c r="N4599">
        <v>54.1226257658262</v>
      </c>
      <c r="O4599">
        <v>49.658507236230598</v>
      </c>
      <c r="P4599">
        <v>-4.3150727110343498E-2</v>
      </c>
      <c r="Q4599">
        <v>0.21961151892258199</v>
      </c>
      <c r="R4599">
        <v>0.97891257253614405</v>
      </c>
      <c r="S4599" t="s">
        <v>11167</v>
      </c>
      <c r="T4599" t="s">
        <v>13134</v>
      </c>
      <c r="U4599" t="s">
        <v>13134</v>
      </c>
      <c r="V4599" t="s">
        <v>13134</v>
      </c>
      <c r="W4599" t="s">
        <v>17672</v>
      </c>
      <c r="X4599">
        <v>4</v>
      </c>
      <c r="Y4599" t="s">
        <v>24045</v>
      </c>
      <c r="Z4599" t="s">
        <v>30567</v>
      </c>
      <c r="AA4599">
        <v>0.61231601725620333</v>
      </c>
      <c r="AB4599" t="str">
        <f>HYPERLINK("Melting_Curves/meltCurve_Q8NBN3_TMEM87A.pdf", "Melting_Curves/meltCurve_Q8NBN3_TMEM87A.pdf")</f>
        <v>Melting_Curves/meltCurve_Q8NBN3_TMEM87A.pdf</v>
      </c>
    </row>
    <row r="4600" spans="1:28" x14ac:dyDescent="0.25">
      <c r="A4600" t="s">
        <v>4604</v>
      </c>
      <c r="B4600">
        <v>0.99472303558308395</v>
      </c>
      <c r="C4600">
        <v>1.0070606537761999</v>
      </c>
      <c r="D4600">
        <v>0.95097144458417504</v>
      </c>
      <c r="E4600">
        <v>0.83883664229173505</v>
      </c>
      <c r="F4600">
        <v>0.28793648342008299</v>
      </c>
      <c r="G4600">
        <v>0.144028181681715</v>
      </c>
      <c r="H4600">
        <v>8.6577977523196306E-2</v>
      </c>
      <c r="I4600">
        <v>8.7076789167770396E-2</v>
      </c>
      <c r="J4600">
        <v>9.0650697791386306E-2</v>
      </c>
      <c r="K4600">
        <v>7.8669010460773306E-2</v>
      </c>
      <c r="L4600">
        <v>1740.8132012900601</v>
      </c>
      <c r="M4600">
        <v>35.891574258631302</v>
      </c>
      <c r="N4600">
        <v>48.771397492115703</v>
      </c>
      <c r="O4600">
        <v>48.3521754015364</v>
      </c>
      <c r="P4600">
        <v>-0.16888771665487501</v>
      </c>
      <c r="Q4600">
        <v>8.9918761256424604E-2</v>
      </c>
      <c r="R4600">
        <v>0.99827378963108904</v>
      </c>
      <c r="S4600" t="s">
        <v>11168</v>
      </c>
      <c r="T4600" t="s">
        <v>13134</v>
      </c>
      <c r="U4600" t="s">
        <v>13134</v>
      </c>
      <c r="V4600" t="s">
        <v>13134</v>
      </c>
      <c r="W4600" t="s">
        <v>17673</v>
      </c>
      <c r="X4600">
        <v>12</v>
      </c>
      <c r="Y4600" t="s">
        <v>24046</v>
      </c>
      <c r="Z4600" t="s">
        <v>30568</v>
      </c>
      <c r="AA4600">
        <v>0.44263900274611578</v>
      </c>
      <c r="AB4600" t="str">
        <f>HYPERLINK("Melting_Curves/meltCurve_Q8NBN7_RDH13.pdf", "Melting_Curves/meltCurve_Q8NBN7_RDH13.pdf")</f>
        <v>Melting_Curves/meltCurve_Q8NBN7_RDH13.pdf</v>
      </c>
    </row>
    <row r="4601" spans="1:28" x14ac:dyDescent="0.25">
      <c r="A4601" t="s">
        <v>4605</v>
      </c>
      <c r="B4601">
        <v>0.99472303558308395</v>
      </c>
      <c r="C4601">
        <v>1.0359382374260699</v>
      </c>
      <c r="D4601">
        <v>0.92090549045055203</v>
      </c>
      <c r="E4601">
        <v>0.72397824692744495</v>
      </c>
      <c r="F4601">
        <v>0.34848593743458001</v>
      </c>
      <c r="G4601">
        <v>0.102539448895765</v>
      </c>
      <c r="H4601">
        <v>4.3139549251192899E-2</v>
      </c>
      <c r="I4601">
        <v>3.3421929805850598E-2</v>
      </c>
      <c r="J4601">
        <v>2.8404794133928098E-2</v>
      </c>
      <c r="K4601">
        <v>2.5711855712840601E-2</v>
      </c>
      <c r="L4601">
        <v>1078.8322638326799</v>
      </c>
      <c r="M4601">
        <v>22.220388021910299</v>
      </c>
      <c r="N4601">
        <v>48.634348066889203</v>
      </c>
      <c r="O4601">
        <v>48.163357198001002</v>
      </c>
      <c r="P4601">
        <v>-0.113197947849613</v>
      </c>
      <c r="Q4601">
        <v>1.8581280107111599E-2</v>
      </c>
      <c r="R4601">
        <v>0.99821110676358105</v>
      </c>
      <c r="S4601" t="s">
        <v>11169</v>
      </c>
      <c r="T4601" t="s">
        <v>13134</v>
      </c>
      <c r="U4601" t="s">
        <v>13134</v>
      </c>
      <c r="V4601" t="s">
        <v>13134</v>
      </c>
      <c r="W4601" t="s">
        <v>17674</v>
      </c>
      <c r="X4601">
        <v>8</v>
      </c>
      <c r="Y4601" t="s">
        <v>24047</v>
      </c>
      <c r="Z4601" t="s">
        <v>30569</v>
      </c>
      <c r="AA4601">
        <v>0.40706745372740522</v>
      </c>
      <c r="AB4601" t="str">
        <f>HYPERLINK("Melting_Curves/meltCurve_Q8NBU5_ATAD1.pdf", "Melting_Curves/meltCurve_Q8NBU5_ATAD1.pdf")</f>
        <v>Melting_Curves/meltCurve_Q8NBU5_ATAD1.pdf</v>
      </c>
    </row>
    <row r="4602" spans="1:28" x14ac:dyDescent="0.25">
      <c r="A4602" t="s">
        <v>4606</v>
      </c>
      <c r="B4602">
        <v>0.99472303558308395</v>
      </c>
      <c r="C4602">
        <v>0.93978505429906301</v>
      </c>
      <c r="D4602">
        <v>1.0267481407230701</v>
      </c>
      <c r="E4602">
        <v>0.93982816189309704</v>
      </c>
      <c r="F4602">
        <v>0.66615815373760601</v>
      </c>
      <c r="G4602">
        <v>0.37583298519201203</v>
      </c>
      <c r="H4602">
        <v>0.14854301071468801</v>
      </c>
      <c r="I4602">
        <v>7.3559011672189603E-2</v>
      </c>
      <c r="J4602">
        <v>7.8798018068132497E-2</v>
      </c>
      <c r="K4602">
        <v>7.8401361587615404E-2</v>
      </c>
      <c r="L4602">
        <v>1128.69415711088</v>
      </c>
      <c r="M4602">
        <v>21.776917734894099</v>
      </c>
      <c r="N4602">
        <v>52.129304287964899</v>
      </c>
      <c r="O4602">
        <v>51.3987208463423</v>
      </c>
      <c r="P4602">
        <v>-9.9696068307115901E-2</v>
      </c>
      <c r="Q4602">
        <v>5.8795859613126E-2</v>
      </c>
      <c r="R4602">
        <v>0.99565146237082103</v>
      </c>
      <c r="S4602" t="s">
        <v>11170</v>
      </c>
      <c r="T4602" t="s">
        <v>13134</v>
      </c>
      <c r="U4602" t="s">
        <v>13134</v>
      </c>
      <c r="V4602" t="s">
        <v>13134</v>
      </c>
      <c r="W4602" t="s">
        <v>17675</v>
      </c>
      <c r="X4602">
        <v>13</v>
      </c>
      <c r="Y4602" t="s">
        <v>24048</v>
      </c>
      <c r="Z4602" t="s">
        <v>30570</v>
      </c>
      <c r="AA4602">
        <v>0.53466893457634468</v>
      </c>
      <c r="AB4602" t="str">
        <f>HYPERLINK("Melting_Curves/meltCurve_Q8NBX0_SCCPDH.pdf", "Melting_Curves/meltCurve_Q8NBX0_SCCPDH.pdf")</f>
        <v>Melting_Curves/meltCurve_Q8NBX0_SCCPDH.pdf</v>
      </c>
    </row>
    <row r="4603" spans="1:28" x14ac:dyDescent="0.25">
      <c r="A4603" t="s">
        <v>4607</v>
      </c>
      <c r="B4603">
        <v>0.99472303558308395</v>
      </c>
      <c r="C4603">
        <v>0.99569886261429696</v>
      </c>
      <c r="D4603">
        <v>1.00930376985173</v>
      </c>
      <c r="E4603">
        <v>0.82092485619778299</v>
      </c>
      <c r="F4603">
        <v>0.34089803013577202</v>
      </c>
      <c r="G4603">
        <v>0.10034120737431</v>
      </c>
      <c r="H4603">
        <v>5.3574634192996601E-2</v>
      </c>
      <c r="I4603">
        <v>4.0070129250047E-2</v>
      </c>
      <c r="J4603">
        <v>4.9189810406297302E-2</v>
      </c>
      <c r="K4603">
        <v>3.9922335570695397E-2</v>
      </c>
      <c r="L4603">
        <v>1493.3823473826801</v>
      </c>
      <c r="M4603">
        <v>30.547104142882201</v>
      </c>
      <c r="N4603">
        <v>49.031777852811402</v>
      </c>
      <c r="O4603">
        <v>48.679772401292801</v>
      </c>
      <c r="P4603">
        <v>-0.15015155315058801</v>
      </c>
      <c r="Q4603">
        <v>4.2881567425307902E-2</v>
      </c>
      <c r="R4603">
        <v>0.99962266450485804</v>
      </c>
      <c r="S4603" t="s">
        <v>11171</v>
      </c>
      <c r="T4603" t="s">
        <v>13134</v>
      </c>
      <c r="U4603" t="s">
        <v>13134</v>
      </c>
      <c r="V4603" t="s">
        <v>13134</v>
      </c>
      <c r="W4603" t="s">
        <v>17676</v>
      </c>
      <c r="X4603">
        <v>19</v>
      </c>
      <c r="Y4603" t="s">
        <v>24049</v>
      </c>
      <c r="Z4603" t="s">
        <v>30571</v>
      </c>
      <c r="AA4603">
        <v>0.42770842248496921</v>
      </c>
      <c r="AB4603" t="str">
        <f>HYPERLINK("Melting_Curves/meltCurve_Q8NBY1_MST4.pdf", "Melting_Curves/meltCurve_Q8NBY1_MST4.pdf")</f>
        <v>Melting_Curves/meltCurve_Q8NBY1_MST4.pdf</v>
      </c>
    </row>
    <row r="4604" spans="1:28" x14ac:dyDescent="0.25">
      <c r="A4604" t="s">
        <v>4608</v>
      </c>
      <c r="B4604">
        <v>0.99472303558308395</v>
      </c>
      <c r="C4604">
        <v>0.85440815252428404</v>
      </c>
      <c r="D4604">
        <v>1.08479441210601</v>
      </c>
      <c r="E4604">
        <v>0.86852119241033798</v>
      </c>
      <c r="F4604">
        <v>0.65451908091649802</v>
      </c>
      <c r="G4604">
        <v>0.60415406783523795</v>
      </c>
      <c r="H4604">
        <v>0.66997550415952101</v>
      </c>
      <c r="I4604">
        <v>1.1146761762777699</v>
      </c>
      <c r="J4604">
        <v>1.52242013900058</v>
      </c>
      <c r="K4604">
        <v>1.3235706822906701</v>
      </c>
      <c r="L4604">
        <v>15000</v>
      </c>
      <c r="M4604">
        <v>244.912719558167</v>
      </c>
      <c r="O4604">
        <v>61.242249690547403</v>
      </c>
      <c r="P4604">
        <v>0.42290012931008703</v>
      </c>
      <c r="Q4604">
        <v>1.42299713691255</v>
      </c>
      <c r="R4604">
        <v>0.44522822385385702</v>
      </c>
      <c r="S4604" t="s">
        <v>11172</v>
      </c>
      <c r="T4604" t="s">
        <v>13134</v>
      </c>
      <c r="U4604" t="s">
        <v>13134</v>
      </c>
      <c r="V4604" t="s">
        <v>13134</v>
      </c>
      <c r="W4604" t="s">
        <v>17677</v>
      </c>
      <c r="X4604">
        <v>23</v>
      </c>
      <c r="Y4604" t="s">
        <v>24050</v>
      </c>
      <c r="Z4604" t="s">
        <v>30572</v>
      </c>
      <c r="AA4604">
        <v>1.081079124453479</v>
      </c>
      <c r="AB4604" t="str">
        <f>HYPERLINK("Melting_Curves/meltCurve_Q8NC51_2_SERBP1.pdf", "Melting_Curves/meltCurve_Q8NC51_2_SERBP1.pdf")</f>
        <v>Melting_Curves/meltCurve_Q8NC51_2_SERBP1.pdf</v>
      </c>
    </row>
    <row r="4605" spans="1:28" x14ac:dyDescent="0.25">
      <c r="A4605" t="s">
        <v>4609</v>
      </c>
      <c r="B4605">
        <v>0.99472303558308395</v>
      </c>
      <c r="C4605">
        <v>0.92770461175475305</v>
      </c>
      <c r="D4605">
        <v>0.79381275592310596</v>
      </c>
      <c r="E4605">
        <v>0.60656497950572597</v>
      </c>
      <c r="F4605">
        <v>0.32076123021706199</v>
      </c>
      <c r="G4605">
        <v>0.17602662612300099</v>
      </c>
      <c r="H4605">
        <v>0.15041455767629799</v>
      </c>
      <c r="I4605">
        <v>0.12126404557607801</v>
      </c>
      <c r="J4605">
        <v>0.171410233536165</v>
      </c>
      <c r="K4605">
        <v>0.13144282256894099</v>
      </c>
      <c r="L4605">
        <v>759.29394189740503</v>
      </c>
      <c r="M4605">
        <v>16.276716686016101</v>
      </c>
      <c r="N4605">
        <v>47.441603951707798</v>
      </c>
      <c r="O4605">
        <v>45.961990860981899</v>
      </c>
      <c r="P4605">
        <v>-7.8000583995838105E-2</v>
      </c>
      <c r="Q4605">
        <v>0.119036264972567</v>
      </c>
      <c r="R4605">
        <v>0.994227390033257</v>
      </c>
      <c r="S4605" t="s">
        <v>11173</v>
      </c>
      <c r="T4605" t="s">
        <v>13134</v>
      </c>
      <c r="U4605" t="s">
        <v>13134</v>
      </c>
      <c r="V4605" t="s">
        <v>13134</v>
      </c>
      <c r="W4605" t="s">
        <v>17678</v>
      </c>
      <c r="X4605">
        <v>7</v>
      </c>
      <c r="Y4605" t="s">
        <v>24051</v>
      </c>
      <c r="Z4605" t="s">
        <v>30573</v>
      </c>
      <c r="AA4605">
        <v>0.41956388132307071</v>
      </c>
      <c r="AB4605" t="str">
        <f>HYPERLINK("Melting_Curves/meltCurve_Q8NC56_LEMD2.pdf", "Melting_Curves/meltCurve_Q8NC56_LEMD2.pdf")</f>
        <v>Melting_Curves/meltCurve_Q8NC56_LEMD2.pdf</v>
      </c>
    </row>
    <row r="4606" spans="1:28" x14ac:dyDescent="0.25">
      <c r="A4606" t="s">
        <v>4610</v>
      </c>
      <c r="B4606">
        <v>0.99472303558308395</v>
      </c>
      <c r="C4606">
        <v>1.0053148553327</v>
      </c>
      <c r="D4606">
        <v>0.83112121254736904</v>
      </c>
      <c r="E4606">
        <v>0.66686045753009604</v>
      </c>
      <c r="F4606">
        <v>0.302459749929269</v>
      </c>
      <c r="G4606">
        <v>9.3943849438412094E-2</v>
      </c>
      <c r="H4606">
        <v>6.5125454510236699E-2</v>
      </c>
      <c r="I4606">
        <v>3.4228644992577599E-2</v>
      </c>
      <c r="J4606">
        <v>4.3254455022144797E-2</v>
      </c>
      <c r="K4606">
        <v>4.3067919595713398E-2</v>
      </c>
      <c r="L4606">
        <v>909.765414105437</v>
      </c>
      <c r="M4606">
        <v>19.034264221490002</v>
      </c>
      <c r="N4606">
        <v>47.9199249240366</v>
      </c>
      <c r="O4606">
        <v>47.278026869897403</v>
      </c>
      <c r="P4606">
        <v>-9.8241090444472101E-2</v>
      </c>
      <c r="Q4606">
        <v>2.39791745623304E-2</v>
      </c>
      <c r="R4606">
        <v>0.99498246131346302</v>
      </c>
      <c r="S4606" t="s">
        <v>11174</v>
      </c>
      <c r="T4606" t="s">
        <v>13134</v>
      </c>
      <c r="U4606" t="s">
        <v>13134</v>
      </c>
      <c r="V4606" t="s">
        <v>13134</v>
      </c>
      <c r="W4606" t="s">
        <v>17679</v>
      </c>
      <c r="X4606">
        <v>6</v>
      </c>
      <c r="Y4606" t="s">
        <v>24052</v>
      </c>
      <c r="Z4606" t="s">
        <v>30574</v>
      </c>
      <c r="AA4606">
        <v>0.38929457768444492</v>
      </c>
      <c r="AB4606" t="str">
        <f>HYPERLINK("Melting_Curves/meltCurve_Q8NC60_NOA1.pdf", "Melting_Curves/meltCurve_Q8NC60_NOA1.pdf")</f>
        <v>Melting_Curves/meltCurve_Q8NC60_NOA1.pdf</v>
      </c>
    </row>
    <row r="4607" spans="1:28" x14ac:dyDescent="0.25">
      <c r="A4607" t="s">
        <v>4611</v>
      </c>
      <c r="B4607">
        <v>0.99472303558308395</v>
      </c>
      <c r="C4607">
        <v>1.08023096340061</v>
      </c>
      <c r="D4607">
        <v>0.86575203094532704</v>
      </c>
      <c r="E4607">
        <v>0.77875121009580905</v>
      </c>
      <c r="F4607">
        <v>0.61565409978505603</v>
      </c>
      <c r="G4607">
        <v>0.29573173760883897</v>
      </c>
      <c r="H4607">
        <v>0.390224720279643</v>
      </c>
      <c r="I4607">
        <v>9.2275302713134194E-2</v>
      </c>
      <c r="J4607">
        <v>0.16814042587627101</v>
      </c>
      <c r="K4607">
        <v>9.7320339992200203E-2</v>
      </c>
      <c r="L4607">
        <v>636.19019454426098</v>
      </c>
      <c r="M4607">
        <v>12.4652006327872</v>
      </c>
      <c r="N4607">
        <v>51.642675864262202</v>
      </c>
      <c r="O4607">
        <v>49.777153936975303</v>
      </c>
      <c r="P4607">
        <v>-5.8361725916782799E-2</v>
      </c>
      <c r="Q4607">
        <v>6.7972598726488795E-2</v>
      </c>
      <c r="R4607">
        <v>0.96042558347739704</v>
      </c>
      <c r="S4607" t="s">
        <v>11175</v>
      </c>
      <c r="T4607" t="s">
        <v>13134</v>
      </c>
      <c r="U4607" t="s">
        <v>13134</v>
      </c>
      <c r="V4607" t="s">
        <v>13134</v>
      </c>
      <c r="W4607" t="s">
        <v>17680</v>
      </c>
      <c r="X4607">
        <v>4</v>
      </c>
      <c r="Y4607" t="s">
        <v>24053</v>
      </c>
      <c r="Z4607" t="s">
        <v>30575</v>
      </c>
      <c r="AA4607">
        <v>0.527353316144201</v>
      </c>
      <c r="AB4607" t="str">
        <f>HYPERLINK("Melting_Curves/meltCurve_Q8NC96_NECAP1.pdf", "Melting_Curves/meltCurve_Q8NC96_NECAP1.pdf")</f>
        <v>Melting_Curves/meltCurve_Q8NC96_NECAP1.pdf</v>
      </c>
    </row>
    <row r="4608" spans="1:28" x14ac:dyDescent="0.25">
      <c r="A4608" t="s">
        <v>4612</v>
      </c>
      <c r="B4608">
        <v>0.99472303558308395</v>
      </c>
      <c r="C4608">
        <v>0.93307056816825595</v>
      </c>
      <c r="D4608">
        <v>0.81188490681865</v>
      </c>
      <c r="E4608">
        <v>0.68514484256355501</v>
      </c>
      <c r="F4608">
        <v>0.61290754054284702</v>
      </c>
      <c r="G4608">
        <v>0.17930941339842599</v>
      </c>
      <c r="H4608">
        <v>8.8886171288403398E-2</v>
      </c>
      <c r="I4608">
        <v>7.1316750311398502E-2</v>
      </c>
      <c r="J4608">
        <v>6.1156060546794899E-2</v>
      </c>
      <c r="K4608">
        <v>5.6765540743118403E-2</v>
      </c>
      <c r="L4608">
        <v>655.15581353397999</v>
      </c>
      <c r="M4608">
        <v>13.184471708529401</v>
      </c>
      <c r="N4608">
        <v>49.691490093275803</v>
      </c>
      <c r="O4608">
        <v>48.590027413459502</v>
      </c>
      <c r="P4608">
        <v>-6.7846620683281497E-2</v>
      </c>
      <c r="Q4608">
        <v>0</v>
      </c>
      <c r="R4608">
        <v>0.97132773863382404</v>
      </c>
      <c r="S4608" t="s">
        <v>11176</v>
      </c>
      <c r="T4608" t="s">
        <v>13134</v>
      </c>
      <c r="U4608" t="s">
        <v>13134</v>
      </c>
      <c r="V4608" t="s">
        <v>13134</v>
      </c>
      <c r="W4608" t="s">
        <v>17681</v>
      </c>
      <c r="X4608">
        <v>8</v>
      </c>
      <c r="Y4608" t="s">
        <v>24054</v>
      </c>
      <c r="Z4608" t="s">
        <v>30576</v>
      </c>
      <c r="AA4608">
        <v>0.44836413710227352</v>
      </c>
      <c r="AB4608" t="str">
        <f>HYPERLINK("Melting_Curves/meltCurve_Q8NCA5_2_FAM98A.pdf", "Melting_Curves/meltCurve_Q8NCA5_2_FAM98A.pdf")</f>
        <v>Melting_Curves/meltCurve_Q8NCA5_2_FAM98A.pdf</v>
      </c>
    </row>
    <row r="4609" spans="1:28" x14ac:dyDescent="0.25">
      <c r="A4609" t="s">
        <v>4613</v>
      </c>
      <c r="B4609">
        <v>0.99472303558308395</v>
      </c>
      <c r="C4609">
        <v>0.975859454629315</v>
      </c>
      <c r="D4609">
        <v>1.0000724725697401</v>
      </c>
      <c r="E4609">
        <v>0.86649842762435703</v>
      </c>
      <c r="F4609">
        <v>0.740868778542498</v>
      </c>
      <c r="G4609">
        <v>0.61378732538268499</v>
      </c>
      <c r="H4609">
        <v>0.493972404619068</v>
      </c>
      <c r="I4609">
        <v>0.58463825242358902</v>
      </c>
      <c r="J4609">
        <v>0.73647957517748697</v>
      </c>
      <c r="K4609">
        <v>0.61644305804015898</v>
      </c>
      <c r="L4609">
        <v>1273.4744039831601</v>
      </c>
      <c r="M4609">
        <v>26.422429623898498</v>
      </c>
      <c r="O4609">
        <v>47.923185393828703</v>
      </c>
      <c r="P4609">
        <v>-5.4169078567723003E-2</v>
      </c>
      <c r="Q4609">
        <v>0.60701164933329999</v>
      </c>
      <c r="R4609">
        <v>0.89250384526892701</v>
      </c>
      <c r="S4609" t="s">
        <v>11177</v>
      </c>
      <c r="T4609" t="s">
        <v>13134</v>
      </c>
      <c r="U4609" t="s">
        <v>13134</v>
      </c>
      <c r="V4609" t="s">
        <v>13134</v>
      </c>
      <c r="W4609" t="s">
        <v>17682</v>
      </c>
      <c r="X4609">
        <v>5</v>
      </c>
      <c r="Y4609" t="s">
        <v>24055</v>
      </c>
      <c r="Z4609" t="s">
        <v>30577</v>
      </c>
      <c r="AA4609">
        <v>0.7566944093346184</v>
      </c>
      <c r="AB4609" t="str">
        <f>HYPERLINK("Melting_Curves/meltCurve_Q8NCC3_PLA2G15.pdf", "Melting_Curves/meltCurve_Q8NCC3_PLA2G15.pdf")</f>
        <v>Melting_Curves/meltCurve_Q8NCC3_PLA2G15.pdf</v>
      </c>
    </row>
    <row r="4610" spans="1:28" x14ac:dyDescent="0.25">
      <c r="A4610" t="s">
        <v>4614</v>
      </c>
      <c r="B4610">
        <v>0.99472303558308395</v>
      </c>
      <c r="C4610">
        <v>0.88200663746984498</v>
      </c>
      <c r="D4610">
        <v>0.82376893197578105</v>
      </c>
      <c r="E4610">
        <v>0.91381171823601703</v>
      </c>
      <c r="F4610">
        <v>0.79350806848130095</v>
      </c>
      <c r="G4610">
        <v>0.18583438155551901</v>
      </c>
      <c r="H4610">
        <v>0.17071206914897299</v>
      </c>
      <c r="I4610">
        <v>0</v>
      </c>
      <c r="J4610">
        <v>4.7991168481815401E-2</v>
      </c>
      <c r="K4610">
        <v>0.21765301985636101</v>
      </c>
      <c r="L4610">
        <v>2468.8172037828199</v>
      </c>
      <c r="M4610">
        <v>48.026061169201498</v>
      </c>
      <c r="N4610">
        <v>51.658647127658902</v>
      </c>
      <c r="O4610">
        <v>51.316902806108402</v>
      </c>
      <c r="P4610">
        <v>-0.209460639801966</v>
      </c>
      <c r="Q4610">
        <v>0.10474793077361901</v>
      </c>
      <c r="R4610">
        <v>0.94493505826239499</v>
      </c>
      <c r="S4610" t="s">
        <v>11178</v>
      </c>
      <c r="T4610" t="s">
        <v>13134</v>
      </c>
      <c r="U4610" t="s">
        <v>13134</v>
      </c>
      <c r="V4610" t="s">
        <v>13134</v>
      </c>
      <c r="W4610" t="s">
        <v>17683</v>
      </c>
      <c r="X4610">
        <v>3</v>
      </c>
      <c r="Y4610" t="s">
        <v>24056</v>
      </c>
      <c r="Z4610" t="s">
        <v>30578</v>
      </c>
      <c r="AA4610">
        <v>0.53684200568171769</v>
      </c>
      <c r="AB4610" t="str">
        <f>HYPERLINK("Melting_Curves/meltCurve_Q8NCE2_3_MTMR14.pdf", "Melting_Curves/meltCurve_Q8NCE2_3_MTMR14.pdf")</f>
        <v>Melting_Curves/meltCurve_Q8NCE2_3_MTMR14.pdf</v>
      </c>
    </row>
    <row r="4611" spans="1:28" x14ac:dyDescent="0.25">
      <c r="A4611" t="s">
        <v>4615</v>
      </c>
      <c r="B4611">
        <v>0.99472303558308395</v>
      </c>
      <c r="C4611">
        <v>0.942005682076831</v>
      </c>
      <c r="D4611">
        <v>0.92548617401783095</v>
      </c>
      <c r="E4611">
        <v>0.74364087887070096</v>
      </c>
      <c r="F4611">
        <v>0.42678204674715398</v>
      </c>
      <c r="G4611">
        <v>0.210537171844149</v>
      </c>
      <c r="H4611">
        <v>0.145114827198422</v>
      </c>
      <c r="I4611">
        <v>0.107129845422512</v>
      </c>
      <c r="J4611">
        <v>0.130406146894294</v>
      </c>
      <c r="K4611">
        <v>0.13472194268624599</v>
      </c>
      <c r="L4611">
        <v>967.66657158655096</v>
      </c>
      <c r="M4611">
        <v>19.908666236391898</v>
      </c>
      <c r="N4611">
        <v>49.227407141327902</v>
      </c>
      <c r="O4611">
        <v>48.122865072320899</v>
      </c>
      <c r="P4611">
        <v>-9.1926128087828907E-2</v>
      </c>
      <c r="Q4611">
        <v>0.111220818399918</v>
      </c>
      <c r="R4611">
        <v>0.99724513349223098</v>
      </c>
      <c r="S4611" t="s">
        <v>11179</v>
      </c>
      <c r="T4611" t="s">
        <v>13134</v>
      </c>
      <c r="U4611" t="s">
        <v>13134</v>
      </c>
      <c r="V4611" t="s">
        <v>13134</v>
      </c>
      <c r="W4611" t="s">
        <v>17684</v>
      </c>
      <c r="X4611">
        <v>3</v>
      </c>
      <c r="Y4611" t="s">
        <v>24057</v>
      </c>
      <c r="Z4611" t="s">
        <v>30579</v>
      </c>
      <c r="AA4611">
        <v>0.46683805555716462</v>
      </c>
      <c r="AB4611" t="str">
        <f>HYPERLINK("Melting_Curves/meltCurve_Q8NCF5_NFATC2IP.pdf", "Melting_Curves/meltCurve_Q8NCF5_NFATC2IP.pdf")</f>
        <v>Melting_Curves/meltCurve_Q8NCF5_NFATC2IP.pdf</v>
      </c>
    </row>
    <row r="4612" spans="1:28" x14ac:dyDescent="0.25">
      <c r="A4612" t="s">
        <v>4616</v>
      </c>
      <c r="B4612">
        <v>0.99472303558308395</v>
      </c>
      <c r="C4612">
        <v>0.77321970793591099</v>
      </c>
      <c r="D4612">
        <v>0.80810383865249502</v>
      </c>
      <c r="E4612">
        <v>0.60745061343990603</v>
      </c>
      <c r="F4612">
        <v>0.48895699792251501</v>
      </c>
      <c r="G4612">
        <v>0.16996422529503599</v>
      </c>
      <c r="H4612">
        <v>0.14072176510397699</v>
      </c>
      <c r="I4612">
        <v>5.1352585397581502E-2</v>
      </c>
      <c r="J4612">
        <v>6.51164593554594E-2</v>
      </c>
      <c r="K4612">
        <v>0</v>
      </c>
      <c r="L4612">
        <v>532.84020154623897</v>
      </c>
      <c r="M4612">
        <v>11.050932548938899</v>
      </c>
      <c r="N4612">
        <v>48.216763580228701</v>
      </c>
      <c r="O4612">
        <v>46.718615590670403</v>
      </c>
      <c r="P4612">
        <v>-5.9155199918266801E-2</v>
      </c>
      <c r="Q4612">
        <v>0</v>
      </c>
      <c r="R4612">
        <v>0.96939467545423597</v>
      </c>
      <c r="S4612" t="s">
        <v>11180</v>
      </c>
      <c r="T4612" t="s">
        <v>13134</v>
      </c>
      <c r="U4612" t="s">
        <v>13134</v>
      </c>
      <c r="V4612" t="s">
        <v>13134</v>
      </c>
      <c r="W4612" t="s">
        <v>17685</v>
      </c>
      <c r="X4612">
        <v>1</v>
      </c>
      <c r="Y4612" t="s">
        <v>24058</v>
      </c>
      <c r="Z4612" t="s">
        <v>30580</v>
      </c>
      <c r="AA4612">
        <v>0.40862047509030203</v>
      </c>
      <c r="AB4612" t="str">
        <f>HYPERLINK("Melting_Curves/meltCurve_Q8NCH0_CHST14.pdf", "Melting_Curves/meltCurve_Q8NCH0_CHST14.pdf")</f>
        <v>Melting_Curves/meltCurve_Q8NCH0_CHST14.pdf</v>
      </c>
    </row>
    <row r="4613" spans="1:28" x14ac:dyDescent="0.25">
      <c r="A4613" t="s">
        <v>4617</v>
      </c>
      <c r="B4613">
        <v>0.99472303558308395</v>
      </c>
      <c r="C4613">
        <v>1.1217669415401901</v>
      </c>
      <c r="D4613">
        <v>0.76414344873546702</v>
      </c>
      <c r="E4613">
        <v>0.69598272163587205</v>
      </c>
      <c r="F4613">
        <v>0.449734217431628</v>
      </c>
      <c r="G4613">
        <v>0.127668386747885</v>
      </c>
      <c r="H4613">
        <v>4.73877003336153E-2</v>
      </c>
      <c r="I4613">
        <v>2.6229154479592499E-2</v>
      </c>
      <c r="J4613">
        <v>3.1585693419105103E-2</v>
      </c>
      <c r="K4613">
        <v>2.3858051022698199E-2</v>
      </c>
      <c r="L4613">
        <v>791.41189004545799</v>
      </c>
      <c r="M4613">
        <v>16.228883996046001</v>
      </c>
      <c r="N4613">
        <v>48.765632196484198</v>
      </c>
      <c r="O4613">
        <v>48.043233195181699</v>
      </c>
      <c r="P4613">
        <v>-8.4455638744612704E-2</v>
      </c>
      <c r="Q4613">
        <v>0</v>
      </c>
      <c r="R4613">
        <v>0.97162630356936497</v>
      </c>
      <c r="S4613" t="s">
        <v>11181</v>
      </c>
      <c r="T4613" t="s">
        <v>13134</v>
      </c>
      <c r="U4613" t="s">
        <v>13134</v>
      </c>
      <c r="V4613" t="s">
        <v>13134</v>
      </c>
      <c r="W4613" t="s">
        <v>17686</v>
      </c>
      <c r="X4613">
        <v>3</v>
      </c>
      <c r="Y4613" t="s">
        <v>24059</v>
      </c>
      <c r="Z4613" t="s">
        <v>30581</v>
      </c>
      <c r="AA4613">
        <v>0.41121284429403182</v>
      </c>
      <c r="AB4613" t="str">
        <f>HYPERLINK("Melting_Curves/meltCurve_Q8NCL4_GALNT6.pdf", "Melting_Curves/meltCurve_Q8NCL4_GALNT6.pdf")</f>
        <v>Melting_Curves/meltCurve_Q8NCL4_GALNT6.pdf</v>
      </c>
    </row>
    <row r="4614" spans="1:28" x14ac:dyDescent="0.25">
      <c r="A4614" t="s">
        <v>4618</v>
      </c>
      <c r="B4614">
        <v>0.99472303558308395</v>
      </c>
      <c r="C4614">
        <v>0.93390490882154598</v>
      </c>
      <c r="D4614">
        <v>0.79183857414857595</v>
      </c>
      <c r="E4614">
        <v>0.54798539843893501</v>
      </c>
      <c r="F4614">
        <v>0.389242858303189</v>
      </c>
      <c r="G4614">
        <v>0.25013123567888301</v>
      </c>
      <c r="H4614">
        <v>0.14923865470297801</v>
      </c>
      <c r="I4614">
        <v>0.124636643217012</v>
      </c>
      <c r="J4614">
        <v>0.126582716981888</v>
      </c>
      <c r="K4614">
        <v>0.10123517937769599</v>
      </c>
      <c r="L4614">
        <v>613.249382186807</v>
      </c>
      <c r="M4614">
        <v>13.029434110685999</v>
      </c>
      <c r="N4614">
        <v>47.768953020321703</v>
      </c>
      <c r="O4614">
        <v>45.999161220355901</v>
      </c>
      <c r="P4614">
        <v>-6.4650823747191097E-2</v>
      </c>
      <c r="Q4614">
        <v>8.7185843916427794E-2</v>
      </c>
      <c r="R4614">
        <v>0.997839205803983</v>
      </c>
      <c r="S4614" t="s">
        <v>11182</v>
      </c>
      <c r="T4614" t="s">
        <v>13134</v>
      </c>
      <c r="U4614" t="s">
        <v>13134</v>
      </c>
      <c r="V4614" t="s">
        <v>13134</v>
      </c>
      <c r="W4614" t="s">
        <v>17687</v>
      </c>
      <c r="X4614">
        <v>6</v>
      </c>
      <c r="Y4614" t="s">
        <v>24060</v>
      </c>
      <c r="Z4614" t="s">
        <v>30582</v>
      </c>
      <c r="AA4614">
        <v>0.41964126807797542</v>
      </c>
      <c r="AB4614" t="str">
        <f>HYPERLINK("Melting_Curves/meltCurve_Q8NCN4_RNF169.pdf", "Melting_Curves/meltCurve_Q8NCN4_RNF169.pdf")</f>
        <v>Melting_Curves/meltCurve_Q8NCN4_RNF169.pdf</v>
      </c>
    </row>
    <row r="4615" spans="1:28" x14ac:dyDescent="0.25">
      <c r="A4615" t="s">
        <v>4619</v>
      </c>
      <c r="B4615">
        <v>0.99472303558308395</v>
      </c>
      <c r="C4615">
        <v>0.99487252420480699</v>
      </c>
      <c r="D4615">
        <v>0.99303989116235902</v>
      </c>
      <c r="E4615">
        <v>0.904575165796764</v>
      </c>
      <c r="F4615">
        <v>0.75185873308296303</v>
      </c>
      <c r="G4615">
        <v>0.61373461289955999</v>
      </c>
      <c r="H4615">
        <v>0.47255748272152698</v>
      </c>
      <c r="I4615">
        <v>0.55281755727509296</v>
      </c>
      <c r="J4615">
        <v>0.69953065401196501</v>
      </c>
      <c r="K4615">
        <v>0.43007882123012098</v>
      </c>
      <c r="L4615">
        <v>1180.41714635311</v>
      </c>
      <c r="M4615">
        <v>23.7630303822252</v>
      </c>
      <c r="O4615">
        <v>49.326746832666799</v>
      </c>
      <c r="P4615">
        <v>-5.5825690212553902E-2</v>
      </c>
      <c r="Q4615">
        <v>0.53648097145748097</v>
      </c>
      <c r="R4615">
        <v>0.89830333947459495</v>
      </c>
      <c r="S4615" t="s">
        <v>11183</v>
      </c>
      <c r="T4615" t="s">
        <v>13134</v>
      </c>
      <c r="U4615" t="s">
        <v>13134</v>
      </c>
      <c r="V4615" t="s">
        <v>13134</v>
      </c>
      <c r="W4615" t="s">
        <v>17688</v>
      </c>
      <c r="X4615">
        <v>12</v>
      </c>
      <c r="Y4615" t="s">
        <v>24061</v>
      </c>
      <c r="Z4615" t="s">
        <v>30583</v>
      </c>
      <c r="AA4615">
        <v>0.73675959607880714</v>
      </c>
      <c r="AB4615" t="str">
        <f>HYPERLINK("Melting_Curves/meltCurve_Q8NCW5_APOA1BP.pdf", "Melting_Curves/meltCurve_Q8NCW5_APOA1BP.pdf")</f>
        <v>Melting_Curves/meltCurve_Q8NCW5_APOA1BP.pdf</v>
      </c>
    </row>
    <row r="4616" spans="1:28" x14ac:dyDescent="0.25">
      <c r="A4616" t="s">
        <v>4620</v>
      </c>
      <c r="B4616">
        <v>0.99472303558308395</v>
      </c>
      <c r="C4616">
        <v>0.890621989554502</v>
      </c>
      <c r="D4616">
        <v>0.81302555504534502</v>
      </c>
      <c r="E4616">
        <v>0.504435416778792</v>
      </c>
      <c r="F4616">
        <v>0.226677231566877</v>
      </c>
      <c r="G4616">
        <v>0.135528363496424</v>
      </c>
      <c r="H4616">
        <v>9.9071182671164201E-2</v>
      </c>
      <c r="I4616">
        <v>7.8914145729241006E-2</v>
      </c>
      <c r="J4616">
        <v>9.9845198767989293E-2</v>
      </c>
      <c r="K4616">
        <v>8.4196381272415702E-2</v>
      </c>
      <c r="L4616">
        <v>824.280967591278</v>
      </c>
      <c r="M4616">
        <v>17.899167472401899</v>
      </c>
      <c r="N4616">
        <v>46.476934347535398</v>
      </c>
      <c r="O4616">
        <v>45.488083552167701</v>
      </c>
      <c r="P4616">
        <v>-9.0941864522532806E-2</v>
      </c>
      <c r="Q4616">
        <v>7.5585506880532505E-2</v>
      </c>
      <c r="R4616">
        <v>0.99654875031663603</v>
      </c>
      <c r="S4616" t="s">
        <v>11184</v>
      </c>
      <c r="T4616" t="s">
        <v>13134</v>
      </c>
      <c r="U4616" t="s">
        <v>13134</v>
      </c>
      <c r="V4616" t="s">
        <v>13134</v>
      </c>
      <c r="W4616" t="s">
        <v>17689</v>
      </c>
      <c r="X4616">
        <v>13</v>
      </c>
      <c r="Y4616" t="s">
        <v>24062</v>
      </c>
      <c r="Z4616" t="s">
        <v>30584</v>
      </c>
      <c r="AA4616">
        <v>0.36959399638356089</v>
      </c>
      <c r="AB4616" t="str">
        <f>HYPERLINK("Melting_Curves/meltCurve_Q8ND04_SMG8.pdf", "Melting_Curves/meltCurve_Q8ND04_SMG8.pdf")</f>
        <v>Melting_Curves/meltCurve_Q8ND04_SMG8.pdf</v>
      </c>
    </row>
    <row r="4617" spans="1:28" x14ac:dyDescent="0.25">
      <c r="A4617" t="s">
        <v>4621</v>
      </c>
      <c r="B4617">
        <v>0.99472303558308395</v>
      </c>
      <c r="C4617">
        <v>0.99359366222433598</v>
      </c>
      <c r="D4617">
        <v>0.936722013544386</v>
      </c>
      <c r="E4617">
        <v>0.57971085328886496</v>
      </c>
      <c r="F4617">
        <v>0.17665203731437201</v>
      </c>
      <c r="G4617">
        <v>9.6097518059053894E-2</v>
      </c>
      <c r="H4617">
        <v>6.1655369084216399E-2</v>
      </c>
      <c r="I4617">
        <v>6.3808534699181199E-2</v>
      </c>
      <c r="J4617">
        <v>8.0255956318910707E-2</v>
      </c>
      <c r="K4617">
        <v>6.9610054403649493E-2</v>
      </c>
      <c r="L4617">
        <v>1404.3626066178899</v>
      </c>
      <c r="M4617">
        <v>29.9537712198203</v>
      </c>
      <c r="N4617">
        <v>47.1166495389134</v>
      </c>
      <c r="O4617">
        <v>46.676837324086797</v>
      </c>
      <c r="P4617">
        <v>-0.149419033155551</v>
      </c>
      <c r="Q4617">
        <v>6.8649513585725699E-2</v>
      </c>
      <c r="R4617">
        <v>0.99973225010614097</v>
      </c>
      <c r="S4617" t="s">
        <v>11185</v>
      </c>
      <c r="T4617" t="s">
        <v>13134</v>
      </c>
      <c r="U4617" t="s">
        <v>13134</v>
      </c>
      <c r="V4617" t="s">
        <v>13134</v>
      </c>
      <c r="W4617" t="s">
        <v>17690</v>
      </c>
      <c r="X4617">
        <v>18</v>
      </c>
      <c r="Y4617" t="s">
        <v>24063</v>
      </c>
      <c r="Z4617" t="s">
        <v>30585</v>
      </c>
      <c r="AA4617">
        <v>0.38092695782127067</v>
      </c>
      <c r="AB4617" t="str">
        <f>HYPERLINK("Melting_Curves/meltCurve_Q8ND24_RNF214.pdf", "Melting_Curves/meltCurve_Q8ND24_RNF214.pdf")</f>
        <v>Melting_Curves/meltCurve_Q8ND24_RNF214.pdf</v>
      </c>
    </row>
    <row r="4618" spans="1:28" x14ac:dyDescent="0.25">
      <c r="A4618" t="s">
        <v>4622</v>
      </c>
      <c r="B4618">
        <v>0.99472303558308395</v>
      </c>
      <c r="C4618">
        <v>1.01220026776492</v>
      </c>
      <c r="D4618">
        <v>0.870348880300437</v>
      </c>
      <c r="E4618">
        <v>0.76118530772664805</v>
      </c>
      <c r="F4618">
        <v>0.44508198504383101</v>
      </c>
      <c r="G4618">
        <v>0.16965470588127399</v>
      </c>
      <c r="H4618">
        <v>8.1567267737572599E-2</v>
      </c>
      <c r="I4618">
        <v>6.1323227138113501E-2</v>
      </c>
      <c r="J4618">
        <v>7.1336074960315105E-2</v>
      </c>
      <c r="K4618">
        <v>4.87405809973381E-2</v>
      </c>
      <c r="L4618">
        <v>911.46301029201595</v>
      </c>
      <c r="M4618">
        <v>18.548224625332001</v>
      </c>
      <c r="N4618">
        <v>49.341915038411898</v>
      </c>
      <c r="O4618">
        <v>48.579668050885999</v>
      </c>
      <c r="P4618">
        <v>-9.1971087196733595E-2</v>
      </c>
      <c r="Q4618">
        <v>3.6516067811603499E-2</v>
      </c>
      <c r="R4618">
        <v>0.99528910236866697</v>
      </c>
      <c r="S4618" t="s">
        <v>11186</v>
      </c>
      <c r="T4618" t="s">
        <v>13134</v>
      </c>
      <c r="U4618" t="s">
        <v>13134</v>
      </c>
      <c r="V4618" t="s">
        <v>13134</v>
      </c>
      <c r="W4618" t="s">
        <v>17691</v>
      </c>
      <c r="X4618">
        <v>11</v>
      </c>
      <c r="Y4618" t="s">
        <v>24064</v>
      </c>
      <c r="Z4618" t="s">
        <v>30586</v>
      </c>
      <c r="AA4618">
        <v>0.44093551960402361</v>
      </c>
      <c r="AB4618" t="str">
        <f>HYPERLINK("Melting_Curves/meltCurve_Q8ND56_2_LSM14A.pdf", "Melting_Curves/meltCurve_Q8ND56_2_LSM14A.pdf")</f>
        <v>Melting_Curves/meltCurve_Q8ND56_2_LSM14A.pdf</v>
      </c>
    </row>
    <row r="4619" spans="1:28" x14ac:dyDescent="0.25">
      <c r="A4619" t="s">
        <v>4623</v>
      </c>
      <c r="B4619">
        <v>0.99472303558308395</v>
      </c>
      <c r="C4619">
        <v>1.1044260457778099</v>
      </c>
      <c r="D4619">
        <v>0.977311359369471</v>
      </c>
      <c r="E4619">
        <v>0.83865265647082099</v>
      </c>
      <c r="F4619">
        <v>0.21119666163507</v>
      </c>
      <c r="G4619">
        <v>0.10639045782089</v>
      </c>
      <c r="H4619">
        <v>5.2818548262844697E-2</v>
      </c>
      <c r="I4619">
        <v>5.38983027249441E-2</v>
      </c>
      <c r="J4619">
        <v>7.2986403194827507E-2</v>
      </c>
      <c r="K4619">
        <v>3.9595735031502703E-2</v>
      </c>
      <c r="L4619">
        <v>2055.3117058887101</v>
      </c>
      <c r="M4619">
        <v>42.558667949483002</v>
      </c>
      <c r="N4619">
        <v>48.443134448452803</v>
      </c>
      <c r="O4619">
        <v>48.1873495358996</v>
      </c>
      <c r="P4619">
        <v>-0.20720833540577999</v>
      </c>
      <c r="Q4619">
        <v>6.1549205024591998E-2</v>
      </c>
      <c r="R4619">
        <v>0.993258476855436</v>
      </c>
      <c r="S4619" t="s">
        <v>11187</v>
      </c>
      <c r="T4619" t="s">
        <v>13134</v>
      </c>
      <c r="U4619" t="s">
        <v>13134</v>
      </c>
      <c r="V4619" t="s">
        <v>13134</v>
      </c>
      <c r="W4619" t="s">
        <v>17692</v>
      </c>
      <c r="X4619">
        <v>6</v>
      </c>
      <c r="Y4619" t="s">
        <v>24065</v>
      </c>
      <c r="Z4619" t="s">
        <v>30587</v>
      </c>
      <c r="AA4619">
        <v>0.41759727749920378</v>
      </c>
      <c r="AB4619" t="str">
        <f>HYPERLINK("Melting_Curves/meltCurve_Q8ND76_CCNY.pdf", "Melting_Curves/meltCurve_Q8ND76_CCNY.pdf")</f>
        <v>Melting_Curves/meltCurve_Q8ND76_CCNY.pdf</v>
      </c>
    </row>
    <row r="4620" spans="1:28" x14ac:dyDescent="0.25">
      <c r="A4620" t="s">
        <v>4624</v>
      </c>
      <c r="B4620">
        <v>0.99472303558308395</v>
      </c>
      <c r="C4620">
        <v>0.76489188355739002</v>
      </c>
      <c r="D4620">
        <v>0.95259523094239695</v>
      </c>
      <c r="E4620">
        <v>0.35082076408967999</v>
      </c>
      <c r="F4620">
        <v>0.398853367938658</v>
      </c>
      <c r="G4620">
        <v>8.69079576259561E-2</v>
      </c>
      <c r="H4620">
        <v>8.8172965849090304E-2</v>
      </c>
      <c r="I4620">
        <v>0</v>
      </c>
      <c r="J4620">
        <v>0</v>
      </c>
      <c r="K4620">
        <v>0</v>
      </c>
      <c r="L4620">
        <v>659.90706745077796</v>
      </c>
      <c r="M4620">
        <v>14.1254925922973</v>
      </c>
      <c r="N4620">
        <v>46.717453715607</v>
      </c>
      <c r="O4620">
        <v>45.811038647591403</v>
      </c>
      <c r="P4620">
        <v>-7.7095490293466101E-2</v>
      </c>
      <c r="Q4620">
        <v>0</v>
      </c>
      <c r="R4620">
        <v>0.93016876254883596</v>
      </c>
      <c r="S4620" t="s">
        <v>11188</v>
      </c>
      <c r="T4620" t="s">
        <v>13134</v>
      </c>
      <c r="U4620" t="s">
        <v>13134</v>
      </c>
      <c r="V4620" t="s">
        <v>13134</v>
      </c>
      <c r="W4620" t="s">
        <v>17693</v>
      </c>
      <c r="X4620">
        <v>1</v>
      </c>
      <c r="Y4620" t="s">
        <v>24066</v>
      </c>
      <c r="Z4620" t="s">
        <v>30588</v>
      </c>
      <c r="AA4620">
        <v>0.34915559051928652</v>
      </c>
      <c r="AB4620" t="str">
        <f>HYPERLINK("Melting_Curves/meltCurve_Q8ND90_PNMA1.pdf", "Melting_Curves/meltCurve_Q8ND90_PNMA1.pdf")</f>
        <v>Melting_Curves/meltCurve_Q8ND90_PNMA1.pdf</v>
      </c>
    </row>
    <row r="4621" spans="1:28" x14ac:dyDescent="0.25">
      <c r="A4621" t="s">
        <v>4625</v>
      </c>
      <c r="B4621">
        <v>0.99472303558308395</v>
      </c>
      <c r="C4621">
        <v>0.95861127034891602</v>
      </c>
      <c r="D4621">
        <v>0.89538702418483596</v>
      </c>
      <c r="E4621">
        <v>0.79255270406138001</v>
      </c>
      <c r="F4621">
        <v>0.60058870506651396</v>
      </c>
      <c r="G4621">
        <v>0.43687676361067601</v>
      </c>
      <c r="H4621">
        <v>0.32379890326493799</v>
      </c>
      <c r="I4621">
        <v>0.28941766937558899</v>
      </c>
      <c r="J4621">
        <v>0.44654857880793802</v>
      </c>
      <c r="K4621">
        <v>0.31221519270903603</v>
      </c>
      <c r="L4621">
        <v>788.59216588792106</v>
      </c>
      <c r="M4621">
        <v>16.199215680742501</v>
      </c>
      <c r="N4621">
        <v>51.988847031861901</v>
      </c>
      <c r="O4621">
        <v>47.957156920489403</v>
      </c>
      <c r="P4621">
        <v>-5.7290346767305399E-2</v>
      </c>
      <c r="Q4621">
        <v>0.32162718180899502</v>
      </c>
      <c r="R4621">
        <v>0.97076362806595795</v>
      </c>
      <c r="S4621" t="s">
        <v>11189</v>
      </c>
      <c r="T4621" t="s">
        <v>13134</v>
      </c>
      <c r="U4621" t="s">
        <v>13134</v>
      </c>
      <c r="V4621" t="s">
        <v>13134</v>
      </c>
      <c r="W4621" t="s">
        <v>17694</v>
      </c>
      <c r="X4621">
        <v>1</v>
      </c>
      <c r="Y4621" t="s">
        <v>24067</v>
      </c>
      <c r="Z4621" t="s">
        <v>30589</v>
      </c>
      <c r="AA4621">
        <v>0.59872323932742844</v>
      </c>
      <c r="AB4621" t="str">
        <f>HYPERLINK("Melting_Curves/meltCurve_Q8NDC0_MAPK1IP1L.pdf", "Melting_Curves/meltCurve_Q8NDC0_MAPK1IP1L.pdf")</f>
        <v>Melting_Curves/meltCurve_Q8NDC0_MAPK1IP1L.pdf</v>
      </c>
    </row>
    <row r="4622" spans="1:28" x14ac:dyDescent="0.25">
      <c r="A4622" t="s">
        <v>4626</v>
      </c>
      <c r="B4622">
        <v>0.99472303558308395</v>
      </c>
      <c r="C4622">
        <v>1.1520793257200099</v>
      </c>
      <c r="D4622">
        <v>1.37204622084998</v>
      </c>
      <c r="E4622">
        <v>1.32673321547467</v>
      </c>
      <c r="F4622">
        <v>1.16529843562637</v>
      </c>
      <c r="G4622">
        <v>0.86454859250401095</v>
      </c>
      <c r="H4622">
        <v>0.68437294966115902</v>
      </c>
      <c r="I4622">
        <v>0.63066735798329898</v>
      </c>
      <c r="J4622">
        <v>0.82089057588103198</v>
      </c>
      <c r="K4622">
        <v>0.60728113790059102</v>
      </c>
      <c r="L4622">
        <v>13464.921468841199</v>
      </c>
      <c r="M4622">
        <v>250</v>
      </c>
      <c r="O4622">
        <v>53.856239180702801</v>
      </c>
      <c r="P4622">
        <v>-0.36462466473733801</v>
      </c>
      <c r="Q4622">
        <v>0.68580298969709397</v>
      </c>
      <c r="R4622">
        <v>0.55235152120888398</v>
      </c>
      <c r="S4622" t="s">
        <v>11190</v>
      </c>
      <c r="T4622" t="s">
        <v>13134</v>
      </c>
      <c r="U4622" t="s">
        <v>13134</v>
      </c>
      <c r="V4622" t="s">
        <v>13134</v>
      </c>
      <c r="W4622" t="s">
        <v>17695</v>
      </c>
      <c r="X4622">
        <v>9</v>
      </c>
      <c r="Y4622" t="s">
        <v>24068</v>
      </c>
      <c r="Z4622" t="s">
        <v>30590</v>
      </c>
      <c r="AA4622">
        <v>0.86240811840249365</v>
      </c>
      <c r="AB4622" t="str">
        <f>HYPERLINK("Melting_Curves/meltCurve_Q8NDD1_2_C1orf131.pdf", "Melting_Curves/meltCurve_Q8NDD1_2_C1orf131.pdf")</f>
        <v>Melting_Curves/meltCurve_Q8NDD1_2_C1orf131.pdf</v>
      </c>
    </row>
    <row r="4623" spans="1:28" x14ac:dyDescent="0.25">
      <c r="A4623" t="s">
        <v>4627</v>
      </c>
      <c r="B4623">
        <v>0.99472303558308395</v>
      </c>
      <c r="C4623">
        <v>0.96257041652275399</v>
      </c>
      <c r="D4623">
        <v>0.82454711408682801</v>
      </c>
      <c r="E4623">
        <v>0.39080643231075402</v>
      </c>
      <c r="F4623">
        <v>0.21565848773732599</v>
      </c>
      <c r="G4623">
        <v>0.102297527977189</v>
      </c>
      <c r="H4623">
        <v>7.8137986348741695E-2</v>
      </c>
      <c r="I4623">
        <v>6.1377869854700298E-2</v>
      </c>
      <c r="J4623">
        <v>9.2111430157595098E-2</v>
      </c>
      <c r="K4623">
        <v>8.0412665206920794E-2</v>
      </c>
      <c r="L4623">
        <v>1041.4278469271001</v>
      </c>
      <c r="M4623">
        <v>22.890920416115399</v>
      </c>
      <c r="N4623">
        <v>45.842431999645001</v>
      </c>
      <c r="O4623">
        <v>45.152296819402501</v>
      </c>
      <c r="P4623">
        <v>-0.116658116113372</v>
      </c>
      <c r="Q4623">
        <v>7.9585928039673806E-2</v>
      </c>
      <c r="R4623">
        <v>0.99763476940274098</v>
      </c>
      <c r="S4623" t="s">
        <v>11191</v>
      </c>
      <c r="T4623" t="s">
        <v>13134</v>
      </c>
      <c r="U4623" t="s">
        <v>13134</v>
      </c>
      <c r="V4623" t="s">
        <v>13134</v>
      </c>
      <c r="W4623" t="s">
        <v>17696</v>
      </c>
      <c r="X4623">
        <v>11</v>
      </c>
      <c r="Y4623" t="s">
        <v>24069</v>
      </c>
      <c r="Z4623" t="s">
        <v>30591</v>
      </c>
      <c r="AA4623">
        <v>0.34933124703777102</v>
      </c>
      <c r="AB4623" t="str">
        <f>HYPERLINK("Melting_Curves/meltCurve_Q8NDI1_3_EHBP1.pdf", "Melting_Curves/meltCurve_Q8NDI1_3_EHBP1.pdf")</f>
        <v>Melting_Curves/meltCurve_Q8NDI1_3_EHBP1.pdf</v>
      </c>
    </row>
    <row r="4624" spans="1:28" x14ac:dyDescent="0.25">
      <c r="A4624" t="s">
        <v>4628</v>
      </c>
      <c r="B4624">
        <v>0.99472303558308395</v>
      </c>
      <c r="C4624">
        <v>0.95889914339965299</v>
      </c>
      <c r="D4624">
        <v>0.87589852356303799</v>
      </c>
      <c r="E4624">
        <v>0.72108903949900804</v>
      </c>
      <c r="F4624">
        <v>0.47040124016671903</v>
      </c>
      <c r="G4624">
        <v>0.18466644484815301</v>
      </c>
      <c r="H4624">
        <v>8.8461507878653395E-2</v>
      </c>
      <c r="I4624">
        <v>5.0599398679286603E-2</v>
      </c>
      <c r="J4624">
        <v>7.0584883572376897E-2</v>
      </c>
      <c r="K4624">
        <v>5.64955019958783E-2</v>
      </c>
      <c r="L4624">
        <v>794.88613591113096</v>
      </c>
      <c r="M4624">
        <v>16.168592604319599</v>
      </c>
      <c r="N4624">
        <v>49.316438656776597</v>
      </c>
      <c r="O4624">
        <v>48.428761900297502</v>
      </c>
      <c r="P4624">
        <v>-8.1416156891588307E-2</v>
      </c>
      <c r="Q4624">
        <v>2.4630640033826801E-2</v>
      </c>
      <c r="R4624">
        <v>0.99587592347361897</v>
      </c>
      <c r="S4624" t="s">
        <v>11192</v>
      </c>
      <c r="T4624" t="s">
        <v>13134</v>
      </c>
      <c r="U4624" t="s">
        <v>13134</v>
      </c>
      <c r="V4624" t="s">
        <v>13134</v>
      </c>
      <c r="W4624" t="s">
        <v>17697</v>
      </c>
      <c r="X4624">
        <v>3</v>
      </c>
      <c r="Y4624" t="s">
        <v>24070</v>
      </c>
      <c r="Z4624" t="s">
        <v>30592</v>
      </c>
      <c r="AA4624">
        <v>0.43860336476986361</v>
      </c>
      <c r="AB4624" t="str">
        <f>HYPERLINK("Melting_Curves/meltCurve_Q8NDZ4_C3orf58.pdf", "Melting_Curves/meltCurve_Q8NDZ4_C3orf58.pdf")</f>
        <v>Melting_Curves/meltCurve_Q8NDZ4_C3orf58.pdf</v>
      </c>
    </row>
    <row r="4625" spans="1:28" x14ac:dyDescent="0.25">
      <c r="A4625" t="s">
        <v>4629</v>
      </c>
      <c r="B4625">
        <v>0.99472303558308395</v>
      </c>
      <c r="C4625">
        <v>1.03406897606129</v>
      </c>
      <c r="D4625">
        <v>0.91727876410301701</v>
      </c>
      <c r="E4625">
        <v>0.78640092545118701</v>
      </c>
      <c r="F4625">
        <v>0.57148287053161595</v>
      </c>
      <c r="G4625">
        <v>0.201870434015605</v>
      </c>
      <c r="H4625">
        <v>0.106220659257239</v>
      </c>
      <c r="I4625">
        <v>6.9214614783655995E-2</v>
      </c>
      <c r="J4625">
        <v>0.10080646261620201</v>
      </c>
      <c r="K4625">
        <v>7.7621683965008501E-2</v>
      </c>
      <c r="L4625">
        <v>981.77775416466602</v>
      </c>
      <c r="M4625">
        <v>19.629119128286298</v>
      </c>
      <c r="N4625">
        <v>50.325861509812803</v>
      </c>
      <c r="O4625">
        <v>49.5059599757965</v>
      </c>
      <c r="P4625">
        <v>-9.3493004990511802E-2</v>
      </c>
      <c r="Q4625">
        <v>5.6850452655598002E-2</v>
      </c>
      <c r="R4625">
        <v>0.99213340187847099</v>
      </c>
      <c r="S4625" t="s">
        <v>11193</v>
      </c>
      <c r="T4625" t="s">
        <v>13134</v>
      </c>
      <c r="U4625" t="s">
        <v>13134</v>
      </c>
      <c r="V4625" t="s">
        <v>13134</v>
      </c>
      <c r="W4625" t="s">
        <v>17698</v>
      </c>
      <c r="X4625">
        <v>6</v>
      </c>
      <c r="Y4625" t="s">
        <v>24071</v>
      </c>
      <c r="Z4625" t="s">
        <v>30593</v>
      </c>
      <c r="AA4625">
        <v>0.47889507652003832</v>
      </c>
      <c r="AB4625" t="str">
        <f>HYPERLINK("Melting_Curves/meltCurve_Q8NE01_2_CNNM3.pdf", "Melting_Curves/meltCurve_Q8NE01_2_CNNM3.pdf")</f>
        <v>Melting_Curves/meltCurve_Q8NE01_2_CNNM3.pdf</v>
      </c>
    </row>
    <row r="4626" spans="1:28" x14ac:dyDescent="0.25">
      <c r="A4626" t="s">
        <v>4630</v>
      </c>
      <c r="B4626">
        <v>0.99472303558308395</v>
      </c>
      <c r="C4626">
        <v>1.0043128886867001</v>
      </c>
      <c r="D4626">
        <v>0.99011212382151703</v>
      </c>
      <c r="E4626">
        <v>0.90449530713752702</v>
      </c>
      <c r="F4626">
        <v>0.68294576085041103</v>
      </c>
      <c r="G4626">
        <v>0.41296611245651799</v>
      </c>
      <c r="H4626">
        <v>0.10491946987482099</v>
      </c>
      <c r="I4626">
        <v>5.7220769802563798E-2</v>
      </c>
      <c r="J4626">
        <v>6.4114713380433105E-2</v>
      </c>
      <c r="K4626">
        <v>5.31092518963652E-2</v>
      </c>
      <c r="L4626">
        <v>1054.23095213632</v>
      </c>
      <c r="M4626">
        <v>20.204456106677</v>
      </c>
      <c r="N4626">
        <v>52.302173349161997</v>
      </c>
      <c r="O4626">
        <v>51.675076430861999</v>
      </c>
      <c r="P4626">
        <v>-9.5464019807865397E-2</v>
      </c>
      <c r="Q4626">
        <v>2.3392693480549401E-2</v>
      </c>
      <c r="R4626">
        <v>0.996257722615701</v>
      </c>
      <c r="S4626" t="s">
        <v>11194</v>
      </c>
      <c r="T4626" t="s">
        <v>13134</v>
      </c>
      <c r="U4626" t="s">
        <v>13134</v>
      </c>
      <c r="V4626" t="s">
        <v>13134</v>
      </c>
      <c r="W4626" t="s">
        <v>17699</v>
      </c>
      <c r="X4626">
        <v>55</v>
      </c>
      <c r="Y4626" t="s">
        <v>24072</v>
      </c>
      <c r="Z4626" t="s">
        <v>30594</v>
      </c>
      <c r="AA4626">
        <v>0.52986665900536645</v>
      </c>
      <c r="AB4626" t="str">
        <f>HYPERLINK("Melting_Curves/meltCurve_Q8NE71_ABCF1.pdf", "Melting_Curves/meltCurve_Q8NE71_ABCF1.pdf")</f>
        <v>Melting_Curves/meltCurve_Q8NE71_ABCF1.pdf</v>
      </c>
    </row>
    <row r="4627" spans="1:28" x14ac:dyDescent="0.25">
      <c r="A4627" t="s">
        <v>4631</v>
      </c>
      <c r="B4627">
        <v>0.99472303558308395</v>
      </c>
      <c r="C4627">
        <v>1.0664519672481101</v>
      </c>
      <c r="D4627">
        <v>0.83442270256152196</v>
      </c>
      <c r="E4627">
        <v>0.67964913131125904</v>
      </c>
      <c r="F4627">
        <v>0.46874340689977001</v>
      </c>
      <c r="G4627">
        <v>0.26721083430520798</v>
      </c>
      <c r="H4627">
        <v>0.20655044688317001</v>
      </c>
      <c r="I4627">
        <v>0.19093046796163701</v>
      </c>
      <c r="J4627">
        <v>0.28853202000332101</v>
      </c>
      <c r="K4627">
        <v>0.144231765026058</v>
      </c>
      <c r="L4627">
        <v>805.16727266905696</v>
      </c>
      <c r="M4627">
        <v>16.8522748594003</v>
      </c>
      <c r="N4627">
        <v>49.134112699038504</v>
      </c>
      <c r="O4627">
        <v>47.120407945993598</v>
      </c>
      <c r="P4627">
        <v>-7.2787041610943098E-2</v>
      </c>
      <c r="Q4627">
        <v>0.185976783708136</v>
      </c>
      <c r="R4627">
        <v>0.97711494037155899</v>
      </c>
      <c r="S4627" t="s">
        <v>11195</v>
      </c>
      <c r="T4627" t="s">
        <v>13134</v>
      </c>
      <c r="U4627" t="s">
        <v>13134</v>
      </c>
      <c r="V4627" t="s">
        <v>13134</v>
      </c>
      <c r="W4627" t="s">
        <v>17700</v>
      </c>
      <c r="X4627">
        <v>5</v>
      </c>
      <c r="Y4627" t="s">
        <v>24073</v>
      </c>
      <c r="Z4627" t="s">
        <v>30595</v>
      </c>
      <c r="AA4627">
        <v>0.49311314520292943</v>
      </c>
      <c r="AB4627" t="str">
        <f>HYPERLINK("Melting_Curves/meltCurve_Q8NE86_3_MCU.pdf", "Melting_Curves/meltCurve_Q8NE86_3_MCU.pdf")</f>
        <v>Melting_Curves/meltCurve_Q8NE86_3_MCU.pdf</v>
      </c>
    </row>
    <row r="4628" spans="1:28" x14ac:dyDescent="0.25">
      <c r="A4628" t="s">
        <v>4632</v>
      </c>
      <c r="B4628">
        <v>0.99472303558308395</v>
      </c>
      <c r="C4628">
        <v>0.94661755763065003</v>
      </c>
      <c r="D4628">
        <v>0.76570625408723703</v>
      </c>
      <c r="E4628">
        <v>0.610358190468409</v>
      </c>
      <c r="F4628">
        <v>0.44344911564892597</v>
      </c>
      <c r="G4628">
        <v>0.14026278350431901</v>
      </c>
      <c r="H4628">
        <v>8.3024978734645205E-2</v>
      </c>
      <c r="I4628">
        <v>5.2309431365324698E-2</v>
      </c>
      <c r="J4628">
        <v>6.6962571284079897E-2</v>
      </c>
      <c r="K4628">
        <v>4.4320438745138302E-2</v>
      </c>
      <c r="L4628">
        <v>615.01686180546801</v>
      </c>
      <c r="M4628">
        <v>12.7860716082842</v>
      </c>
      <c r="N4628">
        <v>48.100533274380297</v>
      </c>
      <c r="O4628">
        <v>46.969489116422501</v>
      </c>
      <c r="P4628">
        <v>-6.8068023183196005E-2</v>
      </c>
      <c r="Q4628">
        <v>0</v>
      </c>
      <c r="R4628">
        <v>0.98880537604876095</v>
      </c>
      <c r="S4628" t="s">
        <v>11196</v>
      </c>
      <c r="T4628" t="s">
        <v>13134</v>
      </c>
      <c r="U4628" t="s">
        <v>13134</v>
      </c>
      <c r="V4628" t="s">
        <v>13134</v>
      </c>
      <c r="W4628" t="s">
        <v>17701</v>
      </c>
      <c r="X4628">
        <v>12</v>
      </c>
      <c r="Y4628" t="s">
        <v>24074</v>
      </c>
      <c r="Z4628" t="s">
        <v>30596</v>
      </c>
      <c r="AA4628">
        <v>0.39837101888383247</v>
      </c>
      <c r="AB4628" t="str">
        <f>HYPERLINK("Melting_Curves/meltCurve_Q8NEB9_PIK3C3.pdf", "Melting_Curves/meltCurve_Q8NEB9_PIK3C3.pdf")</f>
        <v>Melting_Curves/meltCurve_Q8NEB9_PIK3C3.pdf</v>
      </c>
    </row>
    <row r="4629" spans="1:28" x14ac:dyDescent="0.25">
      <c r="A4629" t="s">
        <v>4633</v>
      </c>
      <c r="B4629">
        <v>0.99472303558308395</v>
      </c>
      <c r="C4629">
        <v>1.0226839102898999</v>
      </c>
      <c r="D4629">
        <v>0.85450348012138799</v>
      </c>
      <c r="E4629">
        <v>0.47370699879212902</v>
      </c>
      <c r="F4629">
        <v>0.23304654404811601</v>
      </c>
      <c r="G4629">
        <v>0.135846648707518</v>
      </c>
      <c r="H4629">
        <v>7.7374105083050704E-2</v>
      </c>
      <c r="I4629">
        <v>5.8600509311711499E-2</v>
      </c>
      <c r="J4629">
        <v>3.5700432433741498E-2</v>
      </c>
      <c r="K4629">
        <v>4.8999421232861898E-2</v>
      </c>
      <c r="L4629">
        <v>973.89581329846396</v>
      </c>
      <c r="M4629">
        <v>21.013234372551</v>
      </c>
      <c r="N4629">
        <v>46.614713702866801</v>
      </c>
      <c r="O4629">
        <v>45.933183269951101</v>
      </c>
      <c r="P4629">
        <v>-0.107865559384278</v>
      </c>
      <c r="Q4629">
        <v>5.6885064366734503E-2</v>
      </c>
      <c r="R4629">
        <v>0.99628238700683902</v>
      </c>
      <c r="S4629" t="s">
        <v>11197</v>
      </c>
      <c r="T4629" t="s">
        <v>13134</v>
      </c>
      <c r="U4629" t="s">
        <v>13134</v>
      </c>
      <c r="V4629" t="s">
        <v>13134</v>
      </c>
      <c r="W4629" t="s">
        <v>17702</v>
      </c>
      <c r="X4629">
        <v>7</v>
      </c>
      <c r="Y4629" t="s">
        <v>24075</v>
      </c>
      <c r="Z4629" t="s">
        <v>30597</v>
      </c>
      <c r="AA4629">
        <v>0.36188560435635592</v>
      </c>
      <c r="AB4629" t="str">
        <f>HYPERLINK("Melting_Curves/meltCurve_Q8NEC7_GSTCD.pdf", "Melting_Curves/meltCurve_Q8NEC7_GSTCD.pdf")</f>
        <v>Melting_Curves/meltCurve_Q8NEC7_GSTCD.pdf</v>
      </c>
    </row>
    <row r="4630" spans="1:28" x14ac:dyDescent="0.25">
      <c r="A4630" t="s">
        <v>4634</v>
      </c>
      <c r="B4630">
        <v>0.99472303558308395</v>
      </c>
      <c r="C4630">
        <v>1.0806443933243</v>
      </c>
      <c r="D4630">
        <v>0.87855091360254201</v>
      </c>
      <c r="E4630">
        <v>0.67024892516939105</v>
      </c>
      <c r="F4630">
        <v>0.48073324439600501</v>
      </c>
      <c r="G4630">
        <v>0.25073697160973402</v>
      </c>
      <c r="H4630">
        <v>0.140659711476495</v>
      </c>
      <c r="I4630">
        <v>0.158867248330296</v>
      </c>
      <c r="J4630">
        <v>0.16294419862281501</v>
      </c>
      <c r="K4630">
        <v>0.155423927188899</v>
      </c>
      <c r="L4630">
        <v>832.03653294105004</v>
      </c>
      <c r="M4630">
        <v>17.215279659216201</v>
      </c>
      <c r="N4630">
        <v>49.220654620633397</v>
      </c>
      <c r="O4630">
        <v>47.693266273554599</v>
      </c>
      <c r="P4630">
        <v>-7.8182142195549101E-2</v>
      </c>
      <c r="Q4630">
        <v>0.13366671432176899</v>
      </c>
      <c r="R4630">
        <v>0.98646904947473202</v>
      </c>
      <c r="S4630" t="s">
        <v>11198</v>
      </c>
      <c r="T4630" t="s">
        <v>13134</v>
      </c>
      <c r="U4630" t="s">
        <v>13134</v>
      </c>
      <c r="V4630" t="s">
        <v>13134</v>
      </c>
      <c r="W4630" t="s">
        <v>17703</v>
      </c>
      <c r="X4630">
        <v>2</v>
      </c>
      <c r="Y4630" t="s">
        <v>24076</v>
      </c>
      <c r="Z4630" t="s">
        <v>30598</v>
      </c>
      <c r="AA4630">
        <v>0.47585899283166078</v>
      </c>
      <c r="AB4630" t="str">
        <f>HYPERLINK("Melting_Curves/meltCurve_Q8NEJ9_2_NGDN.pdf", "Melting_Curves/meltCurve_Q8NEJ9_2_NGDN.pdf")</f>
        <v>Melting_Curves/meltCurve_Q8NEJ9_2_NGDN.pdf</v>
      </c>
    </row>
    <row r="4631" spans="1:28" x14ac:dyDescent="0.25">
      <c r="A4631" t="s">
        <v>4635</v>
      </c>
      <c r="B4631">
        <v>0.99472303558308395</v>
      </c>
      <c r="C4631">
        <v>0.83942807347646398</v>
      </c>
      <c r="D4631">
        <v>0.54269875322212602</v>
      </c>
      <c r="E4631">
        <v>0.26597285853346703</v>
      </c>
      <c r="F4631">
        <v>0.155386306981245</v>
      </c>
      <c r="G4631">
        <v>8.2845924698911E-2</v>
      </c>
      <c r="H4631">
        <v>6.0295206812465398E-2</v>
      </c>
      <c r="I4631">
        <v>4.4659449487334898E-2</v>
      </c>
      <c r="J4631">
        <v>6.2888707413990497E-2</v>
      </c>
      <c r="K4631">
        <v>3.6689745887158301E-2</v>
      </c>
      <c r="L4631">
        <v>776.280743838793</v>
      </c>
      <c r="M4631">
        <v>17.902624356455899</v>
      </c>
      <c r="N4631">
        <v>43.626906893636402</v>
      </c>
      <c r="O4631">
        <v>42.831113466708999</v>
      </c>
      <c r="P4631">
        <v>-9.9104784333847507E-2</v>
      </c>
      <c r="Q4631">
        <v>5.1635323250943298E-2</v>
      </c>
      <c r="R4631">
        <v>0.99739779388193295</v>
      </c>
      <c r="S4631" t="s">
        <v>11199</v>
      </c>
      <c r="T4631" t="s">
        <v>13134</v>
      </c>
      <c r="U4631" t="s">
        <v>13134</v>
      </c>
      <c r="V4631" t="s">
        <v>13134</v>
      </c>
      <c r="W4631" t="s">
        <v>17704</v>
      </c>
      <c r="X4631">
        <v>6</v>
      </c>
      <c r="Y4631" t="s">
        <v>24077</v>
      </c>
      <c r="Z4631" t="s">
        <v>30599</v>
      </c>
      <c r="AA4631">
        <v>0.26936636010855403</v>
      </c>
      <c r="AB4631" t="str">
        <f>HYPERLINK("Melting_Curves/meltCurve_Q8NEM2_SHCBP1.pdf", "Melting_Curves/meltCurve_Q8NEM2_SHCBP1.pdf")</f>
        <v>Melting_Curves/meltCurve_Q8NEM2_SHCBP1.pdf</v>
      </c>
    </row>
    <row r="4632" spans="1:28" x14ac:dyDescent="0.25">
      <c r="A4632" t="s">
        <v>4636</v>
      </c>
      <c r="B4632">
        <v>0.99472303558308395</v>
      </c>
      <c r="C4632">
        <v>1.01148835684546</v>
      </c>
      <c r="D4632">
        <v>0.90837064737700102</v>
      </c>
      <c r="E4632">
        <v>0.83654768546417102</v>
      </c>
      <c r="F4632">
        <v>0.53059578181508005</v>
      </c>
      <c r="G4632">
        <v>0.12976570409830901</v>
      </c>
      <c r="H4632">
        <v>6.7228112218895103E-2</v>
      </c>
      <c r="I4632">
        <v>4.1699825925196998E-2</v>
      </c>
      <c r="J4632">
        <v>4.5391697294653102E-2</v>
      </c>
      <c r="K4632">
        <v>1.6999753145648101E-2</v>
      </c>
      <c r="L4632">
        <v>1174.3775036849099</v>
      </c>
      <c r="M4632">
        <v>23.4696751589115</v>
      </c>
      <c r="N4632">
        <v>50.123155910800001</v>
      </c>
      <c r="O4632">
        <v>49.679056432793502</v>
      </c>
      <c r="P4632">
        <v>-0.115802319128915</v>
      </c>
      <c r="Q4632">
        <v>1.9526290186645499E-2</v>
      </c>
      <c r="R4632">
        <v>0.99428718334878297</v>
      </c>
      <c r="S4632" t="s">
        <v>11200</v>
      </c>
      <c r="T4632" t="s">
        <v>13134</v>
      </c>
      <c r="U4632" t="s">
        <v>13134</v>
      </c>
      <c r="V4632" t="s">
        <v>13134</v>
      </c>
      <c r="W4632" t="s">
        <v>17705</v>
      </c>
      <c r="X4632">
        <v>7</v>
      </c>
      <c r="Y4632" t="s">
        <v>24078</v>
      </c>
      <c r="Z4632" t="s">
        <v>30600</v>
      </c>
      <c r="AA4632">
        <v>0.45530624755662102</v>
      </c>
      <c r="AB4632" t="str">
        <f>HYPERLINK("Melting_Curves/meltCurve_Q8NEN9_PDZD8.pdf", "Melting_Curves/meltCurve_Q8NEN9_PDZD8.pdf")</f>
        <v>Melting_Curves/meltCurve_Q8NEN9_PDZD8.pdf</v>
      </c>
    </row>
    <row r="4633" spans="1:28" x14ac:dyDescent="0.25">
      <c r="A4633" t="s">
        <v>4637</v>
      </c>
      <c r="B4633">
        <v>0.99472303558308395</v>
      </c>
      <c r="C4633">
        <v>0.92130330133268801</v>
      </c>
      <c r="D4633">
        <v>0.68058959489256199</v>
      </c>
      <c r="E4633">
        <v>0.40024919506151502</v>
      </c>
      <c r="F4633">
        <v>0.26611601358140202</v>
      </c>
      <c r="G4633">
        <v>0.24661214257574701</v>
      </c>
      <c r="H4633">
        <v>1.0779024824257599</v>
      </c>
      <c r="I4633">
        <v>1.23411460833094</v>
      </c>
      <c r="J4633">
        <v>0.50271359651379699</v>
      </c>
      <c r="K4633">
        <v>0.26974627191408701</v>
      </c>
      <c r="L4633">
        <v>1775.3764463619</v>
      </c>
      <c r="M4633">
        <v>42.729162578789698</v>
      </c>
      <c r="O4633">
        <v>41.458809573200398</v>
      </c>
      <c r="P4633">
        <v>-0.109937607722231</v>
      </c>
      <c r="Q4633">
        <v>0.57332398923313699</v>
      </c>
      <c r="R4633">
        <v>0.18598749065628001</v>
      </c>
      <c r="S4633" t="s">
        <v>11201</v>
      </c>
      <c r="T4633" t="s">
        <v>13134</v>
      </c>
      <c r="U4633" t="s">
        <v>13134</v>
      </c>
      <c r="V4633" t="s">
        <v>13134</v>
      </c>
      <c r="W4633" t="s">
        <v>17706</v>
      </c>
      <c r="X4633">
        <v>4</v>
      </c>
      <c r="Y4633" t="s">
        <v>24079</v>
      </c>
      <c r="Z4633" t="s">
        <v>30601</v>
      </c>
      <c r="AA4633">
        <v>0.63915770676205574</v>
      </c>
      <c r="AB4633" t="str">
        <f>HYPERLINK("Melting_Curves/meltCurve_Q8NEY1_7_NAV1.pdf", "Melting_Curves/meltCurve_Q8NEY1_7_NAV1.pdf")</f>
        <v>Melting_Curves/meltCurve_Q8NEY1_7_NAV1.pdf</v>
      </c>
    </row>
    <row r="4634" spans="1:28" x14ac:dyDescent="0.25">
      <c r="A4634" t="s">
        <v>4638</v>
      </c>
      <c r="B4634">
        <v>0.99472303558308395</v>
      </c>
      <c r="C4634">
        <v>1.06917502335208</v>
      </c>
      <c r="D4634">
        <v>0.81553162718953498</v>
      </c>
      <c r="E4634">
        <v>0.745276072873159</v>
      </c>
      <c r="F4634">
        <v>0.57427632683069796</v>
      </c>
      <c r="G4634">
        <v>0.377178764225027</v>
      </c>
      <c r="H4634">
        <v>0.41648521925354998</v>
      </c>
      <c r="I4634">
        <v>0.37478444511535502</v>
      </c>
      <c r="J4634">
        <v>0.60588596894037505</v>
      </c>
      <c r="K4634">
        <v>0.411277646076252</v>
      </c>
      <c r="L4634">
        <v>906.93224269975701</v>
      </c>
      <c r="M4634">
        <v>19.540076673203298</v>
      </c>
      <c r="N4634">
        <v>51.787609046777597</v>
      </c>
      <c r="O4634">
        <v>45.936029027671204</v>
      </c>
      <c r="P4634">
        <v>-6.0174671207904401E-2</v>
      </c>
      <c r="Q4634">
        <v>0.434170697554566</v>
      </c>
      <c r="R4634">
        <v>0.89742344139291197</v>
      </c>
      <c r="S4634" t="s">
        <v>11202</v>
      </c>
      <c r="T4634" t="s">
        <v>13134</v>
      </c>
      <c r="U4634" t="s">
        <v>13134</v>
      </c>
      <c r="V4634" t="s">
        <v>13134</v>
      </c>
      <c r="W4634" t="s">
        <v>17707</v>
      </c>
      <c r="X4634">
        <v>3</v>
      </c>
      <c r="Y4634" t="s">
        <v>20419</v>
      </c>
      <c r="Z4634" t="s">
        <v>30602</v>
      </c>
      <c r="AA4634">
        <v>0.61947643575356659</v>
      </c>
      <c r="AB4634" t="str">
        <f>HYPERLINK("Melting_Curves/meltCurve_Q8NEY8_3_PPHLN1.pdf", "Melting_Curves/meltCurve_Q8NEY8_3_PPHLN1.pdf")</f>
        <v>Melting_Curves/meltCurve_Q8NEY8_3_PPHLN1.pdf</v>
      </c>
    </row>
    <row r="4635" spans="1:28" x14ac:dyDescent="0.25">
      <c r="A4635" t="s">
        <v>4639</v>
      </c>
      <c r="B4635">
        <v>0.99472303558308395</v>
      </c>
      <c r="C4635">
        <v>1.08460439397206</v>
      </c>
      <c r="D4635">
        <v>0.83872902977481001</v>
      </c>
      <c r="E4635">
        <v>0.61401604652856201</v>
      </c>
      <c r="F4635">
        <v>0.11819722540807</v>
      </c>
      <c r="G4635">
        <v>6.5058080296559503E-2</v>
      </c>
      <c r="H4635">
        <v>3.3199977658372598E-2</v>
      </c>
      <c r="I4635">
        <v>2.3003220102023901E-2</v>
      </c>
      <c r="J4635">
        <v>3.2061717665937302E-2</v>
      </c>
      <c r="K4635">
        <v>2.8791897320415601E-2</v>
      </c>
      <c r="L4635">
        <v>1288.28868733946</v>
      </c>
      <c r="M4635">
        <v>27.411669620317902</v>
      </c>
      <c r="N4635">
        <v>47.078479542087898</v>
      </c>
      <c r="O4635">
        <v>46.749827832422397</v>
      </c>
      <c r="P4635">
        <v>-0.143225745938029</v>
      </c>
      <c r="Q4635">
        <v>2.2939258435645701E-2</v>
      </c>
      <c r="R4635">
        <v>0.98806465570635305</v>
      </c>
      <c r="S4635" t="s">
        <v>11203</v>
      </c>
      <c r="T4635" t="s">
        <v>13134</v>
      </c>
      <c r="U4635" t="s">
        <v>13134</v>
      </c>
      <c r="V4635" t="s">
        <v>13134</v>
      </c>
      <c r="W4635" t="s">
        <v>17708</v>
      </c>
      <c r="X4635">
        <v>3</v>
      </c>
      <c r="Y4635" t="s">
        <v>24080</v>
      </c>
      <c r="Z4635" t="s">
        <v>30603</v>
      </c>
      <c r="AA4635">
        <v>0.3553698955244689</v>
      </c>
      <c r="AB4635" t="str">
        <f>HYPERLINK("Melting_Curves/meltCurve_Q8NEZ2_2_VPS37A.pdf", "Melting_Curves/meltCurve_Q8NEZ2_2_VPS37A.pdf")</f>
        <v>Melting_Curves/meltCurve_Q8NEZ2_2_VPS37A.pdf</v>
      </c>
    </row>
    <row r="4636" spans="1:28" x14ac:dyDescent="0.25">
      <c r="A4636" t="s">
        <v>4640</v>
      </c>
      <c r="B4636">
        <v>0.99472303558308395</v>
      </c>
      <c r="C4636">
        <v>0.91088812133856401</v>
      </c>
      <c r="D4636">
        <v>0.90814670609447601</v>
      </c>
      <c r="E4636">
        <v>0.62818605559310503</v>
      </c>
      <c r="F4636">
        <v>0.449197175642013</v>
      </c>
      <c r="G4636">
        <v>0.25330521749696999</v>
      </c>
      <c r="H4636">
        <v>0.28488574451936999</v>
      </c>
      <c r="I4636">
        <v>0.18473209469215801</v>
      </c>
      <c r="J4636">
        <v>0.40265893216777399</v>
      </c>
      <c r="K4636">
        <v>0.65892019310956595</v>
      </c>
      <c r="L4636">
        <v>1217.18409059394</v>
      </c>
      <c r="M4636">
        <v>26.500042713574199</v>
      </c>
      <c r="N4636">
        <v>48.2465226452642</v>
      </c>
      <c r="O4636">
        <v>45.6722140264716</v>
      </c>
      <c r="P4636">
        <v>-9.2864061505734993E-2</v>
      </c>
      <c r="Q4636">
        <v>0.35981024737022099</v>
      </c>
      <c r="R4636">
        <v>0.81192676385893603</v>
      </c>
      <c r="S4636" t="s">
        <v>11204</v>
      </c>
      <c r="T4636" t="s">
        <v>13134</v>
      </c>
      <c r="U4636" t="s">
        <v>13134</v>
      </c>
      <c r="V4636" t="s">
        <v>13134</v>
      </c>
      <c r="W4636" t="s">
        <v>17709</v>
      </c>
      <c r="X4636">
        <v>4</v>
      </c>
      <c r="Y4636" t="s">
        <v>24081</v>
      </c>
      <c r="Z4636" t="s">
        <v>30604</v>
      </c>
      <c r="AA4636">
        <v>0.55510611691530454</v>
      </c>
      <c r="AB4636" t="str">
        <f>HYPERLINK("Melting_Curves/meltCurve_Q8NEZ4_MLL3.pdf", "Melting_Curves/meltCurve_Q8NEZ4_MLL3.pdf")</f>
        <v>Melting_Curves/meltCurve_Q8NEZ4_MLL3.pdf</v>
      </c>
    </row>
    <row r="4637" spans="1:28" x14ac:dyDescent="0.25">
      <c r="A4637" t="s">
        <v>4641</v>
      </c>
      <c r="B4637">
        <v>0.99472303558308395</v>
      </c>
      <c r="C4637">
        <v>1.00127995919599</v>
      </c>
      <c r="D4637">
        <v>0.96035890817037495</v>
      </c>
      <c r="E4637">
        <v>0.82748639645171296</v>
      </c>
      <c r="F4637">
        <v>0.51647890376846795</v>
      </c>
      <c r="G4637">
        <v>0.214620233363957</v>
      </c>
      <c r="H4637">
        <v>9.2950819674234603E-2</v>
      </c>
      <c r="I4637">
        <v>4.7985034754286102E-2</v>
      </c>
      <c r="J4637">
        <v>0.14901049075403899</v>
      </c>
      <c r="K4637">
        <v>5.1819076585823597E-2</v>
      </c>
      <c r="L4637">
        <v>1115.9980631276601</v>
      </c>
      <c r="M4637">
        <v>22.377234723978201</v>
      </c>
      <c r="N4637">
        <v>50.2007551845333</v>
      </c>
      <c r="O4637">
        <v>49.478851755929199</v>
      </c>
      <c r="P4637">
        <v>-0.105361411910985</v>
      </c>
      <c r="Q4637">
        <v>6.8150400571685199E-2</v>
      </c>
      <c r="R4637">
        <v>0.99472814056144998</v>
      </c>
      <c r="S4637" t="s">
        <v>11205</v>
      </c>
      <c r="T4637" t="s">
        <v>13134</v>
      </c>
      <c r="U4637" t="s">
        <v>13134</v>
      </c>
      <c r="V4637" t="s">
        <v>13134</v>
      </c>
      <c r="W4637" t="s">
        <v>17710</v>
      </c>
      <c r="X4637">
        <v>8</v>
      </c>
      <c r="Y4637" t="s">
        <v>24082</v>
      </c>
      <c r="Z4637" t="s">
        <v>30605</v>
      </c>
      <c r="AA4637">
        <v>0.47800015630349502</v>
      </c>
      <c r="AB4637" t="str">
        <f>HYPERLINK("Melting_Curves/meltCurve_Q8NEZ5_FBXO22.pdf", "Melting_Curves/meltCurve_Q8NEZ5_FBXO22.pdf")</f>
        <v>Melting_Curves/meltCurve_Q8NEZ5_FBXO22.pdf</v>
      </c>
    </row>
    <row r="4638" spans="1:28" x14ac:dyDescent="0.25">
      <c r="A4638" t="s">
        <v>4642</v>
      </c>
      <c r="B4638">
        <v>0.99472303558308395</v>
      </c>
      <c r="C4638">
        <v>0.815876923546761</v>
      </c>
      <c r="D4638">
        <v>0.85001661429667197</v>
      </c>
      <c r="E4638">
        <v>0.69974812047148005</v>
      </c>
      <c r="F4638">
        <v>0.65866098897160197</v>
      </c>
      <c r="G4638">
        <v>0.227495397153269</v>
      </c>
      <c r="H4638">
        <v>5.5597603113556597E-2</v>
      </c>
      <c r="I4638">
        <v>3.7709830012176301E-2</v>
      </c>
      <c r="J4638">
        <v>2.9680110710380601E-2</v>
      </c>
      <c r="K4638">
        <v>3.6039116607806301E-2</v>
      </c>
      <c r="L4638">
        <v>708.06073104672203</v>
      </c>
      <c r="M4638">
        <v>14.1246914683058</v>
      </c>
      <c r="N4638">
        <v>50.129295317955098</v>
      </c>
      <c r="O4638">
        <v>49.156546634945002</v>
      </c>
      <c r="P4638">
        <v>-7.1844402583021605E-2</v>
      </c>
      <c r="Q4638">
        <v>0</v>
      </c>
      <c r="R4638">
        <v>0.95113546122830095</v>
      </c>
      <c r="S4638" t="s">
        <v>11206</v>
      </c>
      <c r="T4638" t="s">
        <v>13134</v>
      </c>
      <c r="U4638" t="s">
        <v>13134</v>
      </c>
      <c r="V4638" t="s">
        <v>13134</v>
      </c>
      <c r="W4638" t="s">
        <v>17711</v>
      </c>
      <c r="X4638">
        <v>6</v>
      </c>
      <c r="Y4638" t="s">
        <v>24083</v>
      </c>
      <c r="Z4638" t="s">
        <v>30606</v>
      </c>
      <c r="AA4638">
        <v>0.46027412903232162</v>
      </c>
      <c r="AB4638" t="str">
        <f>HYPERLINK("Melting_Curves/meltCurve_Q8NF37_LPCAT1.pdf", "Melting_Curves/meltCurve_Q8NF37_LPCAT1.pdf")</f>
        <v>Melting_Curves/meltCurve_Q8NF37_LPCAT1.pdf</v>
      </c>
    </row>
    <row r="4639" spans="1:28" x14ac:dyDescent="0.25">
      <c r="A4639" t="s">
        <v>4643</v>
      </c>
      <c r="B4639">
        <v>0.99472303558308395</v>
      </c>
      <c r="C4639">
        <v>0.87617280440732603</v>
      </c>
      <c r="D4639">
        <v>0.64774235309862505</v>
      </c>
      <c r="E4639">
        <v>0.29477801651357199</v>
      </c>
      <c r="F4639">
        <v>0.15501380692747499</v>
      </c>
      <c r="G4639">
        <v>7.9896296280843396E-2</v>
      </c>
      <c r="H4639">
        <v>5.4800797373848902E-2</v>
      </c>
      <c r="I4639">
        <v>4.0987926549043499E-2</v>
      </c>
      <c r="J4639">
        <v>3.6968844831634699E-2</v>
      </c>
      <c r="K4639">
        <v>3.7932889148390297E-2</v>
      </c>
      <c r="L4639">
        <v>810.24427069824696</v>
      </c>
      <c r="M4639">
        <v>18.324700171917101</v>
      </c>
      <c r="N4639">
        <v>44.415363552474702</v>
      </c>
      <c r="O4639">
        <v>43.699484250850901</v>
      </c>
      <c r="P4639">
        <v>-0.100698736863645</v>
      </c>
      <c r="Q4639">
        <v>3.9486487343509E-2</v>
      </c>
      <c r="R4639">
        <v>0.999059340894635</v>
      </c>
      <c r="S4639" t="s">
        <v>11207</v>
      </c>
      <c r="T4639" t="s">
        <v>13134</v>
      </c>
      <c r="U4639" t="s">
        <v>13134</v>
      </c>
      <c r="V4639" t="s">
        <v>13134</v>
      </c>
      <c r="W4639" t="s">
        <v>17712</v>
      </c>
      <c r="X4639">
        <v>20</v>
      </c>
      <c r="Y4639" t="s">
        <v>24084</v>
      </c>
      <c r="Z4639" t="s">
        <v>30607</v>
      </c>
      <c r="AA4639">
        <v>0.28597275680306639</v>
      </c>
      <c r="AB4639" t="str">
        <f>HYPERLINK("Melting_Curves/meltCurve_Q8NF50_4_DOCK8.pdf", "Melting_Curves/meltCurve_Q8NF50_4_DOCK8.pdf")</f>
        <v>Melting_Curves/meltCurve_Q8NF50_4_DOCK8.pdf</v>
      </c>
    </row>
    <row r="4640" spans="1:28" x14ac:dyDescent="0.25">
      <c r="A4640" t="s">
        <v>4644</v>
      </c>
      <c r="B4640">
        <v>0.99472303558308395</v>
      </c>
      <c r="C4640">
        <v>0.95045282598070502</v>
      </c>
      <c r="D4640">
        <v>0.720572998120518</v>
      </c>
      <c r="E4640">
        <v>0.41267689467557001</v>
      </c>
      <c r="F4640">
        <v>0.203073301411311</v>
      </c>
      <c r="G4640">
        <v>9.0582591929955006E-2</v>
      </c>
      <c r="H4640">
        <v>6.5418916396165303E-2</v>
      </c>
      <c r="I4640">
        <v>5.7478492002284803E-2</v>
      </c>
      <c r="J4640">
        <v>6.0318461747526697E-2</v>
      </c>
      <c r="K4640">
        <v>5.5328020990002003E-2</v>
      </c>
      <c r="L4640">
        <v>821.39136296206595</v>
      </c>
      <c r="M4640">
        <v>18.126245554563202</v>
      </c>
      <c r="N4640">
        <v>45.582706370918402</v>
      </c>
      <c r="O4640">
        <v>44.774300203591501</v>
      </c>
      <c r="P4640">
        <v>-9.6103890080849796E-2</v>
      </c>
      <c r="Q4640">
        <v>5.0486907096916001E-2</v>
      </c>
      <c r="R4640">
        <v>0.99886450366077495</v>
      </c>
      <c r="S4640" t="s">
        <v>11208</v>
      </c>
      <c r="T4640" t="s">
        <v>13134</v>
      </c>
      <c r="U4640" t="s">
        <v>13134</v>
      </c>
      <c r="V4640" t="s">
        <v>13134</v>
      </c>
      <c r="W4640" t="s">
        <v>17713</v>
      </c>
      <c r="X4640">
        <v>9</v>
      </c>
      <c r="Y4640" t="s">
        <v>24085</v>
      </c>
      <c r="Z4640" t="s">
        <v>30608</v>
      </c>
      <c r="AA4640">
        <v>0.3289163067855877</v>
      </c>
      <c r="AB4640" t="str">
        <f>HYPERLINK("Melting_Curves/meltCurve_Q8NFA0_USP32.pdf", "Melting_Curves/meltCurve_Q8NFA0_USP32.pdf")</f>
        <v>Melting_Curves/meltCurve_Q8NFA0_USP32.pdf</v>
      </c>
    </row>
    <row r="4641" spans="1:28" x14ac:dyDescent="0.25">
      <c r="A4641" t="s">
        <v>4645</v>
      </c>
      <c r="B4641">
        <v>0.99472303558308395</v>
      </c>
      <c r="C4641">
        <v>0.99560400869645604</v>
      </c>
      <c r="D4641">
        <v>0.78735592082869199</v>
      </c>
      <c r="E4641">
        <v>0.80316387216846596</v>
      </c>
      <c r="F4641">
        <v>0.73061964733303097</v>
      </c>
      <c r="G4641">
        <v>0.60499680650568399</v>
      </c>
      <c r="H4641">
        <v>0.50160905940362099</v>
      </c>
      <c r="I4641">
        <v>0.50027121331054603</v>
      </c>
      <c r="J4641">
        <v>0.65573945077245699</v>
      </c>
      <c r="K4641">
        <v>0.578821345901818</v>
      </c>
      <c r="L4641">
        <v>572.02593016153503</v>
      </c>
      <c r="M4641">
        <v>12.323833141220099</v>
      </c>
      <c r="O4641">
        <v>45.244850514584499</v>
      </c>
      <c r="P4641">
        <v>-3.0874097474578598E-2</v>
      </c>
      <c r="Q4641">
        <v>0.54670263487392001</v>
      </c>
      <c r="R4641">
        <v>0.87759159696545996</v>
      </c>
      <c r="S4641" t="s">
        <v>11209</v>
      </c>
      <c r="T4641" t="s">
        <v>13134</v>
      </c>
      <c r="U4641" t="s">
        <v>13134</v>
      </c>
      <c r="V4641" t="s">
        <v>13134</v>
      </c>
      <c r="W4641" t="s">
        <v>17714</v>
      </c>
      <c r="X4641">
        <v>64</v>
      </c>
      <c r="Y4641" t="s">
        <v>24086</v>
      </c>
      <c r="Z4641" t="s">
        <v>30609</v>
      </c>
      <c r="AA4641">
        <v>0.70363422857729485</v>
      </c>
      <c r="AB4641" t="str">
        <f>HYPERLINK("Melting_Curves/meltCurve_Q8NFC6_BOD1L1.pdf", "Melting_Curves/meltCurve_Q8NFC6_BOD1L1.pdf")</f>
        <v>Melting_Curves/meltCurve_Q8NFC6_BOD1L1.pdf</v>
      </c>
    </row>
    <row r="4642" spans="1:28" x14ac:dyDescent="0.25">
      <c r="A4642" t="s">
        <v>4646</v>
      </c>
      <c r="B4642">
        <v>0.99472303558308395</v>
      </c>
      <c r="C4642">
        <v>1.02617783785801</v>
      </c>
      <c r="D4642">
        <v>0.95941959390833098</v>
      </c>
      <c r="E4642">
        <v>0.85075688195447197</v>
      </c>
      <c r="F4642">
        <v>0.49421030570618402</v>
      </c>
      <c r="G4642">
        <v>0.11095020246052301</v>
      </c>
      <c r="H4642">
        <v>6.0583475217803398E-2</v>
      </c>
      <c r="I4642">
        <v>5.7412921702256398E-2</v>
      </c>
      <c r="J4642">
        <v>5.7991082835770598E-2</v>
      </c>
      <c r="K4642">
        <v>4.8004535491800698E-2</v>
      </c>
      <c r="L4642">
        <v>1377.9505854940401</v>
      </c>
      <c r="M4642">
        <v>27.680220275712099</v>
      </c>
      <c r="N4642">
        <v>49.940761783219997</v>
      </c>
      <c r="O4642">
        <v>49.5234071515926</v>
      </c>
      <c r="P4642">
        <v>-0.133815523161114</v>
      </c>
      <c r="Q4642">
        <v>4.2357160461818401E-2</v>
      </c>
      <c r="R4642">
        <v>0.99733021847661796</v>
      </c>
      <c r="S4642" t="s">
        <v>11210</v>
      </c>
      <c r="T4642" t="s">
        <v>13134</v>
      </c>
      <c r="U4642" t="s">
        <v>13134</v>
      </c>
      <c r="V4642" t="s">
        <v>13134</v>
      </c>
      <c r="W4642" t="s">
        <v>17715</v>
      </c>
      <c r="X4642">
        <v>14</v>
      </c>
      <c r="Y4642" t="s">
        <v>24087</v>
      </c>
      <c r="Z4642" t="s">
        <v>30610</v>
      </c>
      <c r="AA4642">
        <v>0.45720613913416669</v>
      </c>
      <c r="AB4642" t="str">
        <f>HYPERLINK("Melting_Curves/meltCurve_Q8NFF5_2_FLAD1.pdf", "Melting_Curves/meltCurve_Q8NFF5_2_FLAD1.pdf")</f>
        <v>Melting_Curves/meltCurve_Q8NFF5_2_FLAD1.pdf</v>
      </c>
    </row>
    <row r="4643" spans="1:28" x14ac:dyDescent="0.25">
      <c r="A4643" t="s">
        <v>4647</v>
      </c>
      <c r="B4643">
        <v>0.99472303558308395</v>
      </c>
      <c r="C4643">
        <v>0.896440710560934</v>
      </c>
      <c r="D4643">
        <v>0.718682763457962</v>
      </c>
      <c r="E4643">
        <v>0.47613716744774098</v>
      </c>
      <c r="F4643">
        <v>0.30642301844598502</v>
      </c>
      <c r="G4643">
        <v>0.11239566203993</v>
      </c>
      <c r="H4643">
        <v>8.82680022852909E-2</v>
      </c>
      <c r="I4643">
        <v>4.4769762639601703E-2</v>
      </c>
      <c r="J4643">
        <v>5.8618455876823398E-2</v>
      </c>
      <c r="K4643">
        <v>4.8328849700104301E-2</v>
      </c>
      <c r="L4643">
        <v>625.36786257438303</v>
      </c>
      <c r="M4643">
        <v>13.5553444013647</v>
      </c>
      <c r="N4643">
        <v>46.306670195634197</v>
      </c>
      <c r="O4643">
        <v>45.1650924920867</v>
      </c>
      <c r="P4643">
        <v>-7.31983480023497E-2</v>
      </c>
      <c r="Q4643">
        <v>2.4587235295735602E-2</v>
      </c>
      <c r="R4643">
        <v>0.99662944347804205</v>
      </c>
      <c r="S4643" t="s">
        <v>11211</v>
      </c>
      <c r="T4643" t="s">
        <v>13134</v>
      </c>
      <c r="U4643" t="s">
        <v>13134</v>
      </c>
      <c r="V4643" t="s">
        <v>13134</v>
      </c>
      <c r="W4643" t="s">
        <v>17716</v>
      </c>
      <c r="X4643">
        <v>6</v>
      </c>
      <c r="Y4643" t="s">
        <v>24088</v>
      </c>
      <c r="Z4643" t="s">
        <v>30611</v>
      </c>
      <c r="AA4643">
        <v>0.34859647743308347</v>
      </c>
      <c r="AB4643" t="str">
        <f>HYPERLINK("Melting_Curves/meltCurve_Q8NFG4_FLCN.pdf", "Melting_Curves/meltCurve_Q8NFG4_FLCN.pdf")</f>
        <v>Melting_Curves/meltCurve_Q8NFG4_FLCN.pdf</v>
      </c>
    </row>
    <row r="4644" spans="1:28" x14ac:dyDescent="0.25">
      <c r="A4644" t="s">
        <v>4648</v>
      </c>
      <c r="B4644">
        <v>0.99472303558308395</v>
      </c>
      <c r="C4644">
        <v>1.0384112408168999</v>
      </c>
      <c r="D4644">
        <v>0.96593592758313995</v>
      </c>
      <c r="E4644">
        <v>0.86497301668939097</v>
      </c>
      <c r="F4644">
        <v>0.73686277525745003</v>
      </c>
      <c r="G4644">
        <v>0.57128450884966697</v>
      </c>
      <c r="H4644">
        <v>0.42938123002243</v>
      </c>
      <c r="I4644">
        <v>0.35765959690974403</v>
      </c>
      <c r="J4644">
        <v>0.25385045276470802</v>
      </c>
      <c r="K4644">
        <v>0.130655681756354</v>
      </c>
      <c r="L4644">
        <v>530.76752777053605</v>
      </c>
      <c r="M4644">
        <v>9.4893109889613694</v>
      </c>
      <c r="N4644">
        <v>55.933194660287199</v>
      </c>
      <c r="O4644">
        <v>53.618153199653797</v>
      </c>
      <c r="P4644">
        <v>-4.4271149919124703E-2</v>
      </c>
      <c r="Q4644">
        <v>0</v>
      </c>
      <c r="R4644">
        <v>0.99078856314185904</v>
      </c>
      <c r="S4644" t="s">
        <v>11212</v>
      </c>
      <c r="T4644" t="s">
        <v>13134</v>
      </c>
      <c r="U4644" t="s">
        <v>13134</v>
      </c>
      <c r="V4644" t="s">
        <v>13134</v>
      </c>
      <c r="W4644" t="s">
        <v>17717</v>
      </c>
      <c r="X4644">
        <v>9</v>
      </c>
      <c r="Y4644" t="s">
        <v>24089</v>
      </c>
      <c r="Z4644" t="s">
        <v>30612</v>
      </c>
      <c r="AA4644">
        <v>0.63611837450688724</v>
      </c>
      <c r="AB4644" t="str">
        <f>HYPERLINK("Melting_Curves/meltCurve_Q8NFH3_NUP43.pdf", "Melting_Curves/meltCurve_Q8NFH3_NUP43.pdf")</f>
        <v>Melting_Curves/meltCurve_Q8NFH3_NUP43.pdf</v>
      </c>
    </row>
    <row r="4645" spans="1:28" x14ac:dyDescent="0.25">
      <c r="A4645" t="s">
        <v>4649</v>
      </c>
      <c r="B4645">
        <v>0.99472303558308395</v>
      </c>
      <c r="C4645">
        <v>1.0198917339360001</v>
      </c>
      <c r="D4645">
        <v>0.96208327898308299</v>
      </c>
      <c r="E4645">
        <v>0.81428804024715395</v>
      </c>
      <c r="F4645">
        <v>0.60984626918277796</v>
      </c>
      <c r="G4645">
        <v>0.58101234124716605</v>
      </c>
      <c r="H4645">
        <v>0.39747584858214702</v>
      </c>
      <c r="I4645">
        <v>0.17636380475427499</v>
      </c>
      <c r="J4645">
        <v>0.12564570504842601</v>
      </c>
      <c r="K4645">
        <v>0.10251119854316899</v>
      </c>
      <c r="L4645">
        <v>573.88866012723395</v>
      </c>
      <c r="M4645">
        <v>10.6451580034069</v>
      </c>
      <c r="N4645">
        <v>53.910769552812702</v>
      </c>
      <c r="O4645">
        <v>52.112680629473097</v>
      </c>
      <c r="P4645">
        <v>-5.1087530506181103E-2</v>
      </c>
      <c r="Q4645">
        <v>0</v>
      </c>
      <c r="R4645">
        <v>0.98235203970003904</v>
      </c>
      <c r="S4645" t="s">
        <v>11213</v>
      </c>
      <c r="T4645" t="s">
        <v>13134</v>
      </c>
      <c r="U4645" t="s">
        <v>13134</v>
      </c>
      <c r="V4645" t="s">
        <v>13134</v>
      </c>
      <c r="W4645" t="s">
        <v>17718</v>
      </c>
      <c r="X4645">
        <v>8</v>
      </c>
      <c r="Y4645" t="s">
        <v>24090</v>
      </c>
      <c r="Z4645" t="s">
        <v>30613</v>
      </c>
      <c r="AA4645">
        <v>0.58199713861139268</v>
      </c>
      <c r="AB4645" t="str">
        <f>HYPERLINK("Melting_Curves/meltCurve_Q8NFH4_NUP37.pdf", "Melting_Curves/meltCurve_Q8NFH4_NUP37.pdf")</f>
        <v>Melting_Curves/meltCurve_Q8NFH4_NUP37.pdf</v>
      </c>
    </row>
    <row r="4646" spans="1:28" x14ac:dyDescent="0.25">
      <c r="A4646" t="s">
        <v>4650</v>
      </c>
      <c r="B4646">
        <v>0.99472303558308395</v>
      </c>
      <c r="C4646">
        <v>0.987760367346736</v>
      </c>
      <c r="D4646">
        <v>0.92859460240991598</v>
      </c>
      <c r="E4646">
        <v>0.78676478016890095</v>
      </c>
      <c r="F4646">
        <v>0.68840133214840804</v>
      </c>
      <c r="G4646">
        <v>0.37040450210536102</v>
      </c>
      <c r="H4646">
        <v>0.122986955455852</v>
      </c>
      <c r="I4646">
        <v>6.7646230664676801E-2</v>
      </c>
      <c r="J4646">
        <v>7.0707841026075594E-2</v>
      </c>
      <c r="K4646">
        <v>7.4124411445055993E-2</v>
      </c>
      <c r="L4646">
        <v>816.48916627533401</v>
      </c>
      <c r="M4646">
        <v>15.7861041996045</v>
      </c>
      <c r="N4646">
        <v>51.793615977986597</v>
      </c>
      <c r="O4646">
        <v>50.913359700180798</v>
      </c>
      <c r="P4646">
        <v>-7.6684279486613896E-2</v>
      </c>
      <c r="Q4646">
        <v>1.0792921869582601E-2</v>
      </c>
      <c r="R4646">
        <v>0.98951777457793899</v>
      </c>
      <c r="S4646" t="s">
        <v>11214</v>
      </c>
      <c r="T4646" t="s">
        <v>13134</v>
      </c>
      <c r="U4646" t="s">
        <v>13134</v>
      </c>
      <c r="V4646" t="s">
        <v>13134</v>
      </c>
      <c r="W4646" t="s">
        <v>17719</v>
      </c>
      <c r="X4646">
        <v>12</v>
      </c>
      <c r="Y4646" t="s">
        <v>24091</v>
      </c>
      <c r="Z4646" t="s">
        <v>30614</v>
      </c>
      <c r="AA4646">
        <v>0.51428211898246967</v>
      </c>
      <c r="AB4646" t="str">
        <f>HYPERLINK("Melting_Curves/meltCurve_Q8NFI3_ENGASE.pdf", "Melting_Curves/meltCurve_Q8NFI3_ENGASE.pdf")</f>
        <v>Melting_Curves/meltCurve_Q8NFI3_ENGASE.pdf</v>
      </c>
    </row>
    <row r="4647" spans="1:28" x14ac:dyDescent="0.25">
      <c r="A4647" t="s">
        <v>4651</v>
      </c>
      <c r="B4647">
        <v>0.99472303558308395</v>
      </c>
      <c r="C4647">
        <v>1.08795608386309</v>
      </c>
      <c r="D4647">
        <v>1.0497504172266601</v>
      </c>
      <c r="E4647">
        <v>0.92579300913805196</v>
      </c>
      <c r="F4647">
        <v>0.55055582859630903</v>
      </c>
      <c r="G4647">
        <v>0.22563757076871299</v>
      </c>
      <c r="H4647">
        <v>9.5573810054939506E-2</v>
      </c>
      <c r="I4647">
        <v>5.9775215414023398E-2</v>
      </c>
      <c r="J4647">
        <v>7.5895058164902093E-2</v>
      </c>
      <c r="K4647">
        <v>7.4595981468699196E-2</v>
      </c>
      <c r="L4647">
        <v>1425.4139153093799</v>
      </c>
      <c r="M4647">
        <v>28.2660197045712</v>
      </c>
      <c r="N4647">
        <v>50.698223637545297</v>
      </c>
      <c r="O4647">
        <v>50.178153356872301</v>
      </c>
      <c r="P4647">
        <v>-0.130999325230818</v>
      </c>
      <c r="Q4647">
        <v>6.9801863075230605E-2</v>
      </c>
      <c r="R4647">
        <v>0.993516688056991</v>
      </c>
      <c r="S4647" t="s">
        <v>11215</v>
      </c>
      <c r="T4647" t="s">
        <v>13134</v>
      </c>
      <c r="U4647" t="s">
        <v>13134</v>
      </c>
      <c r="V4647" t="s">
        <v>13134</v>
      </c>
      <c r="W4647" t="s">
        <v>17720</v>
      </c>
      <c r="X4647">
        <v>9</v>
      </c>
      <c r="Y4647" t="s">
        <v>24092</v>
      </c>
      <c r="Z4647" t="s">
        <v>30615</v>
      </c>
      <c r="AA4647">
        <v>0.49263082894931431</v>
      </c>
      <c r="AB4647" t="str">
        <f>HYPERLINK("Melting_Curves/meltCurve_Q8NFQ8_TOR1AIP2.pdf", "Melting_Curves/meltCurve_Q8NFQ8_TOR1AIP2.pdf")</f>
        <v>Melting_Curves/meltCurve_Q8NFQ8_TOR1AIP2.pdf</v>
      </c>
    </row>
    <row r="4648" spans="1:28" x14ac:dyDescent="0.25">
      <c r="A4648" t="s">
        <v>4652</v>
      </c>
      <c r="B4648">
        <v>0.99472303558308395</v>
      </c>
      <c r="C4648">
        <v>0.89854412788801497</v>
      </c>
      <c r="D4648">
        <v>0.90933227823360097</v>
      </c>
      <c r="E4648">
        <v>0.73626853288988103</v>
      </c>
      <c r="F4648">
        <v>0.37362687092583402</v>
      </c>
      <c r="G4648">
        <v>3.46013601232497E-2</v>
      </c>
      <c r="H4648">
        <v>0</v>
      </c>
      <c r="I4648">
        <v>0</v>
      </c>
      <c r="J4648">
        <v>0</v>
      </c>
      <c r="K4648">
        <v>0</v>
      </c>
      <c r="L4648">
        <v>1129.8529027333</v>
      </c>
      <c r="M4648">
        <v>23.2110315959311</v>
      </c>
      <c r="N4648">
        <v>48.677411276379701</v>
      </c>
      <c r="O4648">
        <v>48.320397595676297</v>
      </c>
      <c r="P4648">
        <v>-0.120091335392031</v>
      </c>
      <c r="Q4648">
        <v>0</v>
      </c>
      <c r="R4648">
        <v>0.98963731520784803</v>
      </c>
      <c r="S4648" t="s">
        <v>11216</v>
      </c>
      <c r="T4648" t="s">
        <v>13134</v>
      </c>
      <c r="U4648" t="s">
        <v>13134</v>
      </c>
      <c r="V4648" t="s">
        <v>13134</v>
      </c>
      <c r="W4648" t="s">
        <v>17721</v>
      </c>
      <c r="X4648">
        <v>1</v>
      </c>
      <c r="Y4648" t="s">
        <v>24093</v>
      </c>
      <c r="Z4648" t="s">
        <v>30616</v>
      </c>
      <c r="AA4648">
        <v>0.39918516195511561</v>
      </c>
      <c r="AB4648" t="str">
        <f>HYPERLINK("Melting_Curves/meltCurve_Q8NFU5_IPMK.pdf", "Melting_Curves/meltCurve_Q8NFU5_IPMK.pdf")</f>
        <v>Melting_Curves/meltCurve_Q8NFU5_IPMK.pdf</v>
      </c>
    </row>
    <row r="4649" spans="1:28" x14ac:dyDescent="0.25">
      <c r="A4649" t="s">
        <v>4653</v>
      </c>
      <c r="B4649">
        <v>0.99472303558308395</v>
      </c>
      <c r="C4649">
        <v>0.90195948262562897</v>
      </c>
      <c r="D4649">
        <v>1.05820651980379</v>
      </c>
      <c r="E4649">
        <v>0.71655752691910402</v>
      </c>
      <c r="F4649">
        <v>0.300107561795938</v>
      </c>
      <c r="G4649">
        <v>0.15182636264177601</v>
      </c>
      <c r="H4649">
        <v>7.3278389672104399E-2</v>
      </c>
      <c r="I4649">
        <v>7.3006948415655096E-2</v>
      </c>
      <c r="J4649">
        <v>7.5457733879154207E-2</v>
      </c>
      <c r="K4649">
        <v>6.8521691530968307E-2</v>
      </c>
      <c r="L4649">
        <v>1352.9515588356201</v>
      </c>
      <c r="M4649">
        <v>28.106201171275799</v>
      </c>
      <c r="N4649">
        <v>48.4214796996758</v>
      </c>
      <c r="O4649">
        <v>47.895412768014999</v>
      </c>
      <c r="P4649">
        <v>-0.135546278471285</v>
      </c>
      <c r="Q4649">
        <v>7.6077207735344404E-2</v>
      </c>
      <c r="R4649">
        <v>0.98847099944262096</v>
      </c>
      <c r="S4649" t="s">
        <v>11217</v>
      </c>
      <c r="T4649" t="s">
        <v>13134</v>
      </c>
      <c r="U4649" t="s">
        <v>13134</v>
      </c>
      <c r="V4649" t="s">
        <v>13134</v>
      </c>
      <c r="W4649" t="s">
        <v>17722</v>
      </c>
      <c r="X4649">
        <v>10</v>
      </c>
      <c r="Y4649" t="s">
        <v>24094</v>
      </c>
      <c r="Z4649" t="s">
        <v>30617</v>
      </c>
      <c r="AA4649">
        <v>0.42532292769393337</v>
      </c>
      <c r="AB4649" t="str">
        <f>HYPERLINK("Melting_Curves/meltCurve_Q8NFV4_ABHD11.pdf", "Melting_Curves/meltCurve_Q8NFV4_ABHD11.pdf")</f>
        <v>Melting_Curves/meltCurve_Q8NFV4_ABHD11.pdf</v>
      </c>
    </row>
    <row r="4650" spans="1:28" x14ac:dyDescent="0.25">
      <c r="A4650" t="s">
        <v>4654</v>
      </c>
      <c r="B4650">
        <v>0.99472303558308395</v>
      </c>
      <c r="C4650">
        <v>0.92196490484356997</v>
      </c>
      <c r="D4650">
        <v>0.80700586868472202</v>
      </c>
      <c r="E4650">
        <v>0.71286897134476201</v>
      </c>
      <c r="F4650">
        <v>0.43324981402139701</v>
      </c>
      <c r="G4650">
        <v>8.3579076060489005E-2</v>
      </c>
      <c r="H4650">
        <v>6.0555945613653302E-2</v>
      </c>
      <c r="I4650">
        <v>4.0110403250860197E-2</v>
      </c>
      <c r="J4650">
        <v>4.3751670652402097E-2</v>
      </c>
      <c r="K4650">
        <v>4.3518893857759498E-2</v>
      </c>
      <c r="L4650">
        <v>773.14182910563204</v>
      </c>
      <c r="M4650">
        <v>15.9033643698892</v>
      </c>
      <c r="N4650">
        <v>48.614985585537902</v>
      </c>
      <c r="O4650">
        <v>47.865787535753199</v>
      </c>
      <c r="P4650">
        <v>-8.3068944220167806E-2</v>
      </c>
      <c r="Q4650">
        <v>0</v>
      </c>
      <c r="R4650">
        <v>0.98313245321603204</v>
      </c>
      <c r="S4650" t="s">
        <v>11218</v>
      </c>
      <c r="T4650" t="s">
        <v>13134</v>
      </c>
      <c r="U4650" t="s">
        <v>13134</v>
      </c>
      <c r="V4650" t="s">
        <v>13134</v>
      </c>
      <c r="W4650" t="s">
        <v>17723</v>
      </c>
      <c r="X4650">
        <v>10</v>
      </c>
      <c r="Y4650" t="s">
        <v>24095</v>
      </c>
      <c r="Z4650" t="s">
        <v>30618</v>
      </c>
      <c r="AA4650">
        <v>0.40689538334923198</v>
      </c>
      <c r="AB4650" t="str">
        <f>HYPERLINK("Melting_Curves/meltCurve_Q8NFW8_CMAS.pdf", "Melting_Curves/meltCurve_Q8NFW8_CMAS.pdf")</f>
        <v>Melting_Curves/meltCurve_Q8NFW8_CMAS.pdf</v>
      </c>
    </row>
    <row r="4651" spans="1:28" x14ac:dyDescent="0.25">
      <c r="A4651" t="s">
        <v>4655</v>
      </c>
      <c r="B4651">
        <v>0.99472303558308395</v>
      </c>
      <c r="C4651">
        <v>0.99582303987315401</v>
      </c>
      <c r="D4651">
        <v>0.922312985057546</v>
      </c>
      <c r="E4651">
        <v>0.80475700362335201</v>
      </c>
      <c r="F4651">
        <v>0.50951097869459006</v>
      </c>
      <c r="G4651">
        <v>0.177750422243487</v>
      </c>
      <c r="H4651">
        <v>9.5987267787823904E-2</v>
      </c>
      <c r="I4651">
        <v>7.4917259868130706E-2</v>
      </c>
      <c r="J4651">
        <v>7.5023686361809006E-2</v>
      </c>
      <c r="K4651">
        <v>7.5091675010216102E-2</v>
      </c>
      <c r="L4651">
        <v>1052.5726961615401</v>
      </c>
      <c r="M4651">
        <v>21.186872025095401</v>
      </c>
      <c r="N4651">
        <v>49.963299630280197</v>
      </c>
      <c r="O4651">
        <v>49.244182034015701</v>
      </c>
      <c r="P4651">
        <v>-0.10148364389061</v>
      </c>
      <c r="Q4651">
        <v>5.6519615776837201E-2</v>
      </c>
      <c r="R4651">
        <v>0.99696368071083497</v>
      </c>
      <c r="S4651" t="s">
        <v>11219</v>
      </c>
      <c r="T4651" t="s">
        <v>13134</v>
      </c>
      <c r="U4651" t="s">
        <v>13134</v>
      </c>
      <c r="V4651" t="s">
        <v>13134</v>
      </c>
      <c r="W4651" t="s">
        <v>17724</v>
      </c>
      <c r="X4651">
        <v>6</v>
      </c>
      <c r="Y4651" t="s">
        <v>24096</v>
      </c>
      <c r="Z4651" t="s">
        <v>30619</v>
      </c>
      <c r="AA4651">
        <v>0.46651917943474852</v>
      </c>
      <c r="AB4651" t="str">
        <f>HYPERLINK("Melting_Curves/meltCurve_Q8NFY9_KBTBD8.pdf", "Melting_Curves/meltCurve_Q8NFY9_KBTBD8.pdf")</f>
        <v>Melting_Curves/meltCurve_Q8NFY9_KBTBD8.pdf</v>
      </c>
    </row>
    <row r="4652" spans="1:28" x14ac:dyDescent="0.25">
      <c r="A4652" t="s">
        <v>4656</v>
      </c>
      <c r="B4652">
        <v>0.99472303558308395</v>
      </c>
      <c r="C4652">
        <v>0.98412793838038304</v>
      </c>
      <c r="D4652">
        <v>0.84420817210941101</v>
      </c>
      <c r="E4652">
        <v>0.70758797586124</v>
      </c>
      <c r="F4652">
        <v>0.49408061903282802</v>
      </c>
      <c r="G4652">
        <v>0.23783702758071701</v>
      </c>
      <c r="H4652">
        <v>0.110440102788424</v>
      </c>
      <c r="I4652">
        <v>7.9865582547948205E-2</v>
      </c>
      <c r="J4652">
        <v>0.11459942567383199</v>
      </c>
      <c r="K4652">
        <v>7.2995084715007E-2</v>
      </c>
      <c r="L4652">
        <v>708.92476940889003</v>
      </c>
      <c r="M4652">
        <v>14.4146503756594</v>
      </c>
      <c r="N4652">
        <v>49.4884531679022</v>
      </c>
      <c r="O4652">
        <v>48.263375823994799</v>
      </c>
      <c r="P4652">
        <v>-7.1475600106377005E-2</v>
      </c>
      <c r="Q4652">
        <v>4.2849862002155001E-2</v>
      </c>
      <c r="R4652">
        <v>0.99375149857202705</v>
      </c>
      <c r="S4652" t="s">
        <v>11220</v>
      </c>
      <c r="T4652" t="s">
        <v>13134</v>
      </c>
      <c r="U4652" t="s">
        <v>13134</v>
      </c>
      <c r="V4652" t="s">
        <v>13134</v>
      </c>
      <c r="W4652" t="s">
        <v>17725</v>
      </c>
      <c r="X4652">
        <v>8</v>
      </c>
      <c r="Y4652" t="s">
        <v>24097</v>
      </c>
      <c r="Z4652" t="s">
        <v>30620</v>
      </c>
      <c r="AA4652">
        <v>0.45325736071517048</v>
      </c>
      <c r="AB4652" t="str">
        <f>HYPERLINK("Melting_Curves/meltCurve_Q8NFZ0_FBXO18.pdf", "Melting_Curves/meltCurve_Q8NFZ0_FBXO18.pdf")</f>
        <v>Melting_Curves/meltCurve_Q8NFZ0_FBXO18.pdf</v>
      </c>
    </row>
    <row r="4653" spans="1:28" x14ac:dyDescent="0.25">
      <c r="A4653" t="s">
        <v>4657</v>
      </c>
      <c r="B4653">
        <v>0.99472303558308395</v>
      </c>
      <c r="C4653">
        <v>0.591274405012854</v>
      </c>
      <c r="D4653">
        <v>0.37830587291900503</v>
      </c>
      <c r="E4653">
        <v>0.18067016548363199</v>
      </c>
      <c r="F4653">
        <v>0</v>
      </c>
      <c r="G4653">
        <v>0</v>
      </c>
      <c r="H4653">
        <v>2.5083395686190699E-2</v>
      </c>
      <c r="I4653">
        <v>0</v>
      </c>
      <c r="J4653">
        <v>0</v>
      </c>
      <c r="K4653">
        <v>0</v>
      </c>
      <c r="L4653">
        <v>727.54285926195303</v>
      </c>
      <c r="M4653">
        <v>17.513886271987801</v>
      </c>
      <c r="N4653">
        <v>41.540898336749599</v>
      </c>
      <c r="O4653">
        <v>41.010668118426601</v>
      </c>
      <c r="P4653">
        <v>-0.106770030067582</v>
      </c>
      <c r="Q4653">
        <v>0</v>
      </c>
      <c r="R4653">
        <v>0.97861318779423001</v>
      </c>
      <c r="S4653" t="s">
        <v>11221</v>
      </c>
      <c r="T4653" t="s">
        <v>13134</v>
      </c>
      <c r="U4653" t="s">
        <v>13134</v>
      </c>
      <c r="V4653" t="s">
        <v>13134</v>
      </c>
      <c r="W4653" t="s">
        <v>17726</v>
      </c>
      <c r="X4653">
        <v>1</v>
      </c>
      <c r="Y4653" t="s">
        <v>24098</v>
      </c>
      <c r="Z4653" t="s">
        <v>30621</v>
      </c>
      <c r="AA4653">
        <v>0.17291953154181541</v>
      </c>
      <c r="AB4653" t="str">
        <f>HYPERLINK("Melting_Curves/meltCurve_Q8NG06_TRIM58.pdf", "Melting_Curves/meltCurve_Q8NG06_TRIM58.pdf")</f>
        <v>Melting_Curves/meltCurve_Q8NG06_TRIM58.pdf</v>
      </c>
    </row>
    <row r="4654" spans="1:28" x14ac:dyDescent="0.25">
      <c r="A4654" t="s">
        <v>4658</v>
      </c>
      <c r="B4654">
        <v>0.99472303558308395</v>
      </c>
      <c r="C4654">
        <v>0.93556605607865695</v>
      </c>
      <c r="D4654">
        <v>0.84773190813340804</v>
      </c>
      <c r="E4654">
        <v>0.77969214021818001</v>
      </c>
      <c r="F4654">
        <v>0.69336471547992096</v>
      </c>
      <c r="G4654">
        <v>0.41312946892073199</v>
      </c>
      <c r="H4654">
        <v>0.192817061146278</v>
      </c>
      <c r="I4654">
        <v>6.7396623088425298E-2</v>
      </c>
      <c r="J4654">
        <v>7.3531313503772094E-2</v>
      </c>
      <c r="K4654">
        <v>7.4725776431717503E-2</v>
      </c>
      <c r="L4654">
        <v>669.95473796325302</v>
      </c>
      <c r="M4654">
        <v>12.8893910492615</v>
      </c>
      <c r="N4654">
        <v>51.9772352795732</v>
      </c>
      <c r="O4654">
        <v>50.773792031856999</v>
      </c>
      <c r="P4654">
        <v>-6.34763757091234E-2</v>
      </c>
      <c r="Q4654">
        <v>0</v>
      </c>
      <c r="R4654">
        <v>0.98198354429707901</v>
      </c>
      <c r="S4654" t="s">
        <v>11222</v>
      </c>
      <c r="T4654" t="s">
        <v>13134</v>
      </c>
      <c r="U4654" t="s">
        <v>13134</v>
      </c>
      <c r="V4654" t="s">
        <v>13134</v>
      </c>
      <c r="W4654" t="s">
        <v>17727</v>
      </c>
      <c r="X4654">
        <v>8</v>
      </c>
      <c r="Y4654" t="s">
        <v>24099</v>
      </c>
      <c r="Z4654" t="s">
        <v>30622</v>
      </c>
      <c r="AA4654">
        <v>0.52165046084201583</v>
      </c>
      <c r="AB4654" t="str">
        <f>HYPERLINK("Melting_Curves/meltCurve_Q8NG08_HELB.pdf", "Melting_Curves/meltCurve_Q8NG08_HELB.pdf")</f>
        <v>Melting_Curves/meltCurve_Q8NG08_HELB.pdf</v>
      </c>
    </row>
    <row r="4655" spans="1:28" x14ac:dyDescent="0.25">
      <c r="A4655" t="s">
        <v>4659</v>
      </c>
      <c r="B4655">
        <v>0.99472303558308395</v>
      </c>
      <c r="C4655">
        <v>0.97004503865665304</v>
      </c>
      <c r="D4655">
        <v>0.88687459556603598</v>
      </c>
      <c r="E4655">
        <v>0.83888616411665196</v>
      </c>
      <c r="F4655">
        <v>0.64827566632958</v>
      </c>
      <c r="G4655">
        <v>0.47537425327451199</v>
      </c>
      <c r="H4655">
        <v>0.40241311827557602</v>
      </c>
      <c r="I4655">
        <v>0.407700011043657</v>
      </c>
      <c r="J4655">
        <v>0.50987383165351596</v>
      </c>
      <c r="K4655">
        <v>0.42720340067318902</v>
      </c>
      <c r="L4655">
        <v>879.28762687968697</v>
      </c>
      <c r="M4655">
        <v>18.1353138836289</v>
      </c>
      <c r="N4655">
        <v>54.003206421015797</v>
      </c>
      <c r="O4655">
        <v>47.9068314931272</v>
      </c>
      <c r="P4655">
        <v>-5.4738592635227602E-2</v>
      </c>
      <c r="Q4655">
        <v>0.42163075145463502</v>
      </c>
      <c r="R4655">
        <v>0.96942450574545902</v>
      </c>
      <c r="S4655" t="s">
        <v>11223</v>
      </c>
      <c r="T4655" t="s">
        <v>13134</v>
      </c>
      <c r="U4655" t="s">
        <v>13134</v>
      </c>
      <c r="V4655" t="s">
        <v>13134</v>
      </c>
      <c r="W4655" t="s">
        <v>17728</v>
      </c>
      <c r="X4655">
        <v>5</v>
      </c>
      <c r="Y4655" t="s">
        <v>24100</v>
      </c>
      <c r="Z4655" t="s">
        <v>30623</v>
      </c>
      <c r="AA4655">
        <v>0.65214737112062338</v>
      </c>
      <c r="AB4655" t="str">
        <f>HYPERLINK("Melting_Curves/meltCurve_Q8NG11_2_TSPAN14.pdf", "Melting_Curves/meltCurve_Q8NG11_2_TSPAN14.pdf")</f>
        <v>Melting_Curves/meltCurve_Q8NG11_2_TSPAN14.pdf</v>
      </c>
    </row>
    <row r="4656" spans="1:28" x14ac:dyDescent="0.25">
      <c r="A4656" t="s">
        <v>4660</v>
      </c>
      <c r="B4656">
        <v>0.99472303558308395</v>
      </c>
      <c r="C4656">
        <v>0.77244055815160495</v>
      </c>
      <c r="D4656">
        <v>0.64090152566792302</v>
      </c>
      <c r="E4656">
        <v>0.50652994251695105</v>
      </c>
      <c r="F4656">
        <v>0.20490686947779599</v>
      </c>
      <c r="G4656">
        <v>6.9960468308193899E-2</v>
      </c>
      <c r="H4656">
        <v>6.2497106462238397E-2</v>
      </c>
      <c r="I4656">
        <v>3.2043269701760503E-2</v>
      </c>
      <c r="J4656">
        <v>6.6104721545272901E-2</v>
      </c>
      <c r="K4656">
        <v>5.5922713859145101E-2</v>
      </c>
      <c r="L4656">
        <v>560.47050561569301</v>
      </c>
      <c r="M4656">
        <v>12.3865657796875</v>
      </c>
      <c r="N4656">
        <v>45.307862855157502</v>
      </c>
      <c r="O4656">
        <v>44.117410747011</v>
      </c>
      <c r="P4656">
        <v>-6.9638494159528705E-2</v>
      </c>
      <c r="Q4656">
        <v>8.0817220739532996E-3</v>
      </c>
      <c r="R4656">
        <v>0.98005600987971397</v>
      </c>
      <c r="S4656" t="s">
        <v>11224</v>
      </c>
      <c r="T4656" t="s">
        <v>13134</v>
      </c>
      <c r="U4656" t="s">
        <v>13134</v>
      </c>
      <c r="V4656" t="s">
        <v>13134</v>
      </c>
      <c r="W4656" t="s">
        <v>17729</v>
      </c>
      <c r="X4656">
        <v>2</v>
      </c>
      <c r="Y4656" t="s">
        <v>24101</v>
      </c>
      <c r="Z4656" t="s">
        <v>30624</v>
      </c>
      <c r="AA4656">
        <v>0.31441715679094012</v>
      </c>
      <c r="AB4656" t="str">
        <f>HYPERLINK("Melting_Curves/meltCurve_Q8NG31_3_CASC5.pdf", "Melting_Curves/meltCurve_Q8NG31_3_CASC5.pdf")</f>
        <v>Melting_Curves/meltCurve_Q8NG31_3_CASC5.pdf</v>
      </c>
    </row>
    <row r="4657" spans="1:28" x14ac:dyDescent="0.25">
      <c r="A4657" t="s">
        <v>4661</v>
      </c>
      <c r="B4657">
        <v>0.99472303558308395</v>
      </c>
      <c r="C4657">
        <v>0.95978718241552097</v>
      </c>
      <c r="D4657">
        <v>0.91517365898437197</v>
      </c>
      <c r="E4657">
        <v>0.75502581758458898</v>
      </c>
      <c r="F4657">
        <v>0.56386666983551703</v>
      </c>
      <c r="G4657">
        <v>0.16258543589456001</v>
      </c>
      <c r="H4657">
        <v>5.3162908363390403E-2</v>
      </c>
      <c r="I4657">
        <v>2.99511875722362E-2</v>
      </c>
      <c r="J4657">
        <v>6.3220453414537706E-2</v>
      </c>
      <c r="K4657">
        <v>3.4441860210162302E-2</v>
      </c>
      <c r="L4657">
        <v>924.47052964807494</v>
      </c>
      <c r="M4657">
        <v>18.4968780610739</v>
      </c>
      <c r="N4657">
        <v>50.019278389993197</v>
      </c>
      <c r="O4657">
        <v>49.406618628233502</v>
      </c>
      <c r="P4657">
        <v>-9.2921353010756699E-2</v>
      </c>
      <c r="Q4657">
        <v>7.2429247654286297E-3</v>
      </c>
      <c r="R4657">
        <v>0.98959098114904598</v>
      </c>
      <c r="S4657" t="s">
        <v>11225</v>
      </c>
      <c r="T4657" t="s">
        <v>13134</v>
      </c>
      <c r="U4657" t="s">
        <v>13134</v>
      </c>
      <c r="V4657" t="s">
        <v>13134</v>
      </c>
      <c r="W4657" t="s">
        <v>17730</v>
      </c>
      <c r="X4657">
        <v>4</v>
      </c>
      <c r="Y4657" t="s">
        <v>24102</v>
      </c>
      <c r="Z4657" t="s">
        <v>30625</v>
      </c>
      <c r="AA4657">
        <v>0.4517201200765934</v>
      </c>
      <c r="AB4657" t="str">
        <f>HYPERLINK("Melting_Curves/meltCurve_Q8NG68_TTL.pdf", "Melting_Curves/meltCurve_Q8NG68_TTL.pdf")</f>
        <v>Melting_Curves/meltCurve_Q8NG68_TTL.pdf</v>
      </c>
    </row>
    <row r="4658" spans="1:28" x14ac:dyDescent="0.25">
      <c r="A4658" t="s">
        <v>4662</v>
      </c>
      <c r="B4658">
        <v>0.99472303558308395</v>
      </c>
      <c r="C4658">
        <v>1.10431761526501</v>
      </c>
      <c r="D4658">
        <v>1.01967157153419</v>
      </c>
      <c r="E4658">
        <v>0.92626017553062501</v>
      </c>
      <c r="F4658">
        <v>0.83561016102457497</v>
      </c>
      <c r="G4658">
        <v>0.61148256660457301</v>
      </c>
      <c r="H4658">
        <v>0.57481926210083401</v>
      </c>
      <c r="I4658">
        <v>0.68628081030922605</v>
      </c>
      <c r="J4658">
        <v>0.87576846095583405</v>
      </c>
      <c r="K4658">
        <v>0.85530977640501304</v>
      </c>
      <c r="L4658">
        <v>1827.6686587176</v>
      </c>
      <c r="M4658">
        <v>37.503088720823897</v>
      </c>
      <c r="O4658">
        <v>48.595872531188199</v>
      </c>
      <c r="P4658">
        <v>-5.3049025663130502E-2</v>
      </c>
      <c r="Q4658">
        <v>0.72504059044355196</v>
      </c>
      <c r="R4658">
        <v>0.66877887461178298</v>
      </c>
      <c r="S4658" t="s">
        <v>11226</v>
      </c>
      <c r="T4658" t="s">
        <v>13134</v>
      </c>
      <c r="U4658" t="s">
        <v>13134</v>
      </c>
      <c r="V4658" t="s">
        <v>13134</v>
      </c>
      <c r="W4658" t="s">
        <v>17731</v>
      </c>
      <c r="X4658">
        <v>4</v>
      </c>
      <c r="Y4658" t="s">
        <v>24103</v>
      </c>
      <c r="Z4658" t="s">
        <v>30626</v>
      </c>
      <c r="AA4658">
        <v>0.83363913878728702</v>
      </c>
      <c r="AB4658" t="str">
        <f>HYPERLINK("Melting_Curves/meltCurve_Q8NHG7_SVIP.pdf", "Melting_Curves/meltCurve_Q8NHG7_SVIP.pdf")</f>
        <v>Melting_Curves/meltCurve_Q8NHG7_SVIP.pdf</v>
      </c>
    </row>
    <row r="4659" spans="1:28" x14ac:dyDescent="0.25">
      <c r="A4659" t="s">
        <v>4663</v>
      </c>
      <c r="B4659">
        <v>0.99472303558308395</v>
      </c>
      <c r="C4659">
        <v>1.0417464952092499</v>
      </c>
      <c r="D4659">
        <v>0.99129406969933698</v>
      </c>
      <c r="E4659">
        <v>0.89692439085369502</v>
      </c>
      <c r="F4659">
        <v>0.78268178669446997</v>
      </c>
      <c r="G4659">
        <v>0.50051723085047095</v>
      </c>
      <c r="H4659">
        <v>0.36857433204354001</v>
      </c>
      <c r="I4659">
        <v>0.35421053124332103</v>
      </c>
      <c r="J4659">
        <v>0.42199878828611798</v>
      </c>
      <c r="K4659">
        <v>0.36830742384787901</v>
      </c>
      <c r="L4659">
        <v>1296.0949402876199</v>
      </c>
      <c r="M4659">
        <v>25.3599688995462</v>
      </c>
      <c r="N4659">
        <v>53.913587815572697</v>
      </c>
      <c r="O4659">
        <v>50.793295060306001</v>
      </c>
      <c r="P4659">
        <v>-7.9086929423843794E-2</v>
      </c>
      <c r="Q4659">
        <v>0.36639756361374998</v>
      </c>
      <c r="R4659">
        <v>0.98742409371808704</v>
      </c>
      <c r="S4659" t="s">
        <v>11227</v>
      </c>
      <c r="T4659" t="s">
        <v>13134</v>
      </c>
      <c r="U4659" t="s">
        <v>13134</v>
      </c>
      <c r="V4659" t="s">
        <v>13134</v>
      </c>
      <c r="W4659" t="s">
        <v>17732</v>
      </c>
      <c r="X4659">
        <v>5</v>
      </c>
      <c r="Y4659" t="s">
        <v>24104</v>
      </c>
      <c r="Z4659" t="s">
        <v>30627</v>
      </c>
      <c r="AA4659">
        <v>0.66980514253338319</v>
      </c>
      <c r="AB4659" t="str">
        <f>HYPERLINK("Melting_Curves/meltCurve_Q8NHG8_ZNRF2.pdf", "Melting_Curves/meltCurve_Q8NHG8_ZNRF2.pdf")</f>
        <v>Melting_Curves/meltCurve_Q8NHG8_ZNRF2.pdf</v>
      </c>
    </row>
    <row r="4660" spans="1:28" x14ac:dyDescent="0.25">
      <c r="A4660" t="s">
        <v>4664</v>
      </c>
      <c r="B4660">
        <v>0.99472303558308395</v>
      </c>
      <c r="C4660">
        <v>0.92635196064020198</v>
      </c>
      <c r="D4660">
        <v>0.99029076300004903</v>
      </c>
      <c r="E4660">
        <v>0.90277858267852096</v>
      </c>
      <c r="F4660">
        <v>0.62771920846598495</v>
      </c>
      <c r="G4660">
        <v>0.13533930509178099</v>
      </c>
      <c r="H4660">
        <v>6.1466306022365802E-2</v>
      </c>
      <c r="I4660">
        <v>3.9107666627474197E-2</v>
      </c>
      <c r="J4660">
        <v>4.4657193641671998E-2</v>
      </c>
      <c r="K4660">
        <v>3.2216247222798797E-2</v>
      </c>
      <c r="L4660">
        <v>1686.85425313678</v>
      </c>
      <c r="M4660">
        <v>33.230099868251003</v>
      </c>
      <c r="N4660">
        <v>50.870032220586303</v>
      </c>
      <c r="O4660">
        <v>50.580081975843299</v>
      </c>
      <c r="P4660">
        <v>-0.15869207781824701</v>
      </c>
      <c r="Q4660">
        <v>3.3813326385149903E-2</v>
      </c>
      <c r="R4660">
        <v>0.99481787286254797</v>
      </c>
      <c r="S4660" t="s">
        <v>11228</v>
      </c>
      <c r="T4660" t="s">
        <v>13134</v>
      </c>
      <c r="U4660" t="s">
        <v>13134</v>
      </c>
      <c r="V4660" t="s">
        <v>13134</v>
      </c>
      <c r="W4660" t="s">
        <v>17733</v>
      </c>
      <c r="X4660">
        <v>16</v>
      </c>
      <c r="Y4660" t="s">
        <v>24105</v>
      </c>
      <c r="Z4660" t="s">
        <v>30628</v>
      </c>
      <c r="AA4660">
        <v>0.48196637230663691</v>
      </c>
      <c r="AB4660" t="str">
        <f>HYPERLINK("Melting_Curves/meltCurve_Q8NHH9_ATL2.pdf", "Melting_Curves/meltCurve_Q8NHH9_ATL2.pdf")</f>
        <v>Melting_Curves/meltCurve_Q8NHH9_ATL2.pdf</v>
      </c>
    </row>
    <row r="4661" spans="1:28" x14ac:dyDescent="0.25">
      <c r="A4661" t="s">
        <v>4665</v>
      </c>
      <c r="B4661">
        <v>0.99472303558308395</v>
      </c>
      <c r="C4661">
        <v>1.1697815861987599</v>
      </c>
      <c r="D4661">
        <v>1.02097308655185</v>
      </c>
      <c r="E4661">
        <v>0.89686496636309498</v>
      </c>
      <c r="F4661">
        <v>0.792333853433972</v>
      </c>
      <c r="G4661">
        <v>0.45810167616362901</v>
      </c>
      <c r="H4661">
        <v>0.33731539149422302</v>
      </c>
      <c r="I4661">
        <v>0.33869009440085801</v>
      </c>
      <c r="J4661">
        <v>0.32358986564255998</v>
      </c>
      <c r="K4661">
        <v>0.23206011998535001</v>
      </c>
      <c r="L4661">
        <v>1240.03196143582</v>
      </c>
      <c r="M4661">
        <v>24.0157883642439</v>
      </c>
      <c r="N4661">
        <v>53.503583336939101</v>
      </c>
      <c r="O4661">
        <v>51.2800190497572</v>
      </c>
      <c r="P4661">
        <v>-8.3835736926836907E-2</v>
      </c>
      <c r="Q4661">
        <v>0.28396599804042799</v>
      </c>
      <c r="R4661">
        <v>0.96455997017246797</v>
      </c>
      <c r="S4661" t="s">
        <v>11229</v>
      </c>
      <c r="T4661" t="s">
        <v>13134</v>
      </c>
      <c r="U4661" t="s">
        <v>13134</v>
      </c>
      <c r="V4661" t="s">
        <v>13134</v>
      </c>
      <c r="W4661" t="s">
        <v>17734</v>
      </c>
      <c r="X4661">
        <v>2</v>
      </c>
      <c r="Y4661" t="s">
        <v>24106</v>
      </c>
      <c r="Z4661" t="s">
        <v>30629</v>
      </c>
      <c r="AA4661">
        <v>0.6400627631616439</v>
      </c>
      <c r="AB4661" t="str">
        <f>HYPERLINK("Melting_Curves/meltCurve_Q8NHM4_TRY6.pdf", "Melting_Curves/meltCurve_Q8NHM4_TRY6.pdf")</f>
        <v>Melting_Curves/meltCurve_Q8NHM4_TRY6.pdf</v>
      </c>
    </row>
    <row r="4662" spans="1:28" x14ac:dyDescent="0.25">
      <c r="A4662" t="s">
        <v>4666</v>
      </c>
      <c r="B4662">
        <v>0.99472303558308395</v>
      </c>
      <c r="C4662">
        <v>0.92304640817939698</v>
      </c>
      <c r="D4662">
        <v>0.92169913752836496</v>
      </c>
      <c r="E4662">
        <v>0.53553692132438002</v>
      </c>
      <c r="F4662">
        <v>0.28393841077953502</v>
      </c>
      <c r="G4662">
        <v>0.19731279041831501</v>
      </c>
      <c r="H4662">
        <v>0.13770066622256399</v>
      </c>
      <c r="I4662">
        <v>0.12768037276014699</v>
      </c>
      <c r="J4662">
        <v>0.21539047564060701</v>
      </c>
      <c r="K4662">
        <v>0.13267325680732101</v>
      </c>
      <c r="L4662">
        <v>1115.58866458442</v>
      </c>
      <c r="M4662">
        <v>24.0567434660285</v>
      </c>
      <c r="N4662">
        <v>47.098191096838299</v>
      </c>
      <c r="O4662">
        <v>46.056348190985702</v>
      </c>
      <c r="P4662">
        <v>-0.110378689387561</v>
      </c>
      <c r="Q4662">
        <v>0.154738558984097</v>
      </c>
      <c r="R4662">
        <v>0.99088505408634298</v>
      </c>
      <c r="S4662" t="s">
        <v>11230</v>
      </c>
      <c r="T4662" t="s">
        <v>13134</v>
      </c>
      <c r="U4662" t="s">
        <v>13134</v>
      </c>
      <c r="V4662" t="s">
        <v>13134</v>
      </c>
      <c r="W4662" t="s">
        <v>17735</v>
      </c>
      <c r="X4662">
        <v>2</v>
      </c>
      <c r="Y4662" t="s">
        <v>24107</v>
      </c>
      <c r="Z4662" t="s">
        <v>30630</v>
      </c>
      <c r="AA4662">
        <v>0.42644217209255408</v>
      </c>
      <c r="AB4662" t="str">
        <f>HYPERLINK("Melting_Curves/meltCurve_Q8NHM5_4_KDM2B.pdf", "Melting_Curves/meltCurve_Q8NHM5_4_KDM2B.pdf")</f>
        <v>Melting_Curves/meltCurve_Q8NHM5_4_KDM2B.pdf</v>
      </c>
    </row>
    <row r="4663" spans="1:28" x14ac:dyDescent="0.25">
      <c r="A4663" t="s">
        <v>4667</v>
      </c>
      <c r="B4663">
        <v>0.99472303558308395</v>
      </c>
      <c r="C4663">
        <v>0.97644305983447699</v>
      </c>
      <c r="D4663">
        <v>0.93138322905008397</v>
      </c>
      <c r="E4663">
        <v>0.82985282172313501</v>
      </c>
      <c r="F4663">
        <v>0.67208980554017705</v>
      </c>
      <c r="G4663">
        <v>0.49031365686023998</v>
      </c>
      <c r="H4663">
        <v>0.357849256662229</v>
      </c>
      <c r="I4663">
        <v>0.32831060352039199</v>
      </c>
      <c r="J4663">
        <v>0.33395455080596498</v>
      </c>
      <c r="K4663">
        <v>0.22449423405204899</v>
      </c>
      <c r="L4663">
        <v>659.97548577098803</v>
      </c>
      <c r="M4663">
        <v>12.912241670259901</v>
      </c>
      <c r="N4663">
        <v>53.6979090058487</v>
      </c>
      <c r="O4663">
        <v>49.933007478680302</v>
      </c>
      <c r="P4663">
        <v>-4.96915116863463E-2</v>
      </c>
      <c r="Q4663">
        <v>0.23149004696368</v>
      </c>
      <c r="R4663">
        <v>0.99368857646358899</v>
      </c>
      <c r="S4663" t="s">
        <v>11231</v>
      </c>
      <c r="T4663" t="s">
        <v>13134</v>
      </c>
      <c r="U4663" t="s">
        <v>13134</v>
      </c>
      <c r="V4663" t="s">
        <v>13134</v>
      </c>
      <c r="W4663" t="s">
        <v>17736</v>
      </c>
      <c r="X4663">
        <v>6</v>
      </c>
      <c r="Y4663" t="s">
        <v>24108</v>
      </c>
      <c r="Z4663" t="s">
        <v>30631</v>
      </c>
      <c r="AA4663">
        <v>0.61139675642360769</v>
      </c>
      <c r="AB4663" t="str">
        <f>HYPERLINK("Melting_Curves/meltCurve_Q8NHP8_PLBD2.pdf", "Melting_Curves/meltCurve_Q8NHP8_PLBD2.pdf")</f>
        <v>Melting_Curves/meltCurve_Q8NHP8_PLBD2.pdf</v>
      </c>
    </row>
    <row r="4664" spans="1:28" x14ac:dyDescent="0.25">
      <c r="A4664" t="s">
        <v>4668</v>
      </c>
      <c r="B4664">
        <v>0.99472303558308395</v>
      </c>
      <c r="C4664">
        <v>0.95542371535326998</v>
      </c>
      <c r="D4664">
        <v>0.90433884112998697</v>
      </c>
      <c r="E4664">
        <v>0.50837134080595303</v>
      </c>
      <c r="F4664">
        <v>0.20187637956902699</v>
      </c>
      <c r="G4664">
        <v>0.114677240877361</v>
      </c>
      <c r="H4664">
        <v>8.5015808775183097E-2</v>
      </c>
      <c r="I4664">
        <v>5.2817475311422897E-2</v>
      </c>
      <c r="J4664">
        <v>4.8400222527577703E-2</v>
      </c>
      <c r="K4664">
        <v>5.6847224327941301E-2</v>
      </c>
      <c r="L4664">
        <v>1105.83611012293</v>
      </c>
      <c r="M4664">
        <v>23.774601188659201</v>
      </c>
      <c r="N4664">
        <v>46.7675989430562</v>
      </c>
      <c r="O4664">
        <v>46.188007592085199</v>
      </c>
      <c r="P4664">
        <v>-0.12088446592192501</v>
      </c>
      <c r="Q4664">
        <v>6.0624249445277001E-2</v>
      </c>
      <c r="R4664">
        <v>0.998543792186533</v>
      </c>
      <c r="S4664" t="s">
        <v>11232</v>
      </c>
      <c r="T4664" t="s">
        <v>13134</v>
      </c>
      <c r="U4664" t="s">
        <v>13134</v>
      </c>
      <c r="V4664" t="s">
        <v>13134</v>
      </c>
      <c r="W4664" t="s">
        <v>17737</v>
      </c>
      <c r="X4664">
        <v>4</v>
      </c>
      <c r="Y4664" t="s">
        <v>24109</v>
      </c>
      <c r="Z4664" t="s">
        <v>30632</v>
      </c>
      <c r="AA4664">
        <v>0.36718675464026068</v>
      </c>
      <c r="AB4664" t="str">
        <f>HYPERLINK("Melting_Curves/meltCurve_Q8NHU6_2_TDRD7.pdf", "Melting_Curves/meltCurve_Q8NHU6_2_TDRD7.pdf")</f>
        <v>Melting_Curves/meltCurve_Q8NHU6_2_TDRD7.pdf</v>
      </c>
    </row>
    <row r="4665" spans="1:28" x14ac:dyDescent="0.25">
      <c r="A4665" t="s">
        <v>4669</v>
      </c>
      <c r="B4665">
        <v>0.99472303558308395</v>
      </c>
      <c r="C4665">
        <v>0.92861396859057499</v>
      </c>
      <c r="D4665">
        <v>0.889717523824886</v>
      </c>
      <c r="E4665">
        <v>0.82293113421022701</v>
      </c>
      <c r="F4665">
        <v>0.69235947392295505</v>
      </c>
      <c r="G4665">
        <v>0.47331488710359698</v>
      </c>
      <c r="H4665">
        <v>0.217491896262062</v>
      </c>
      <c r="I4665">
        <v>0.15504345257721899</v>
      </c>
      <c r="J4665">
        <v>0.15161098168364201</v>
      </c>
      <c r="K4665">
        <v>9.9384802142316098E-2</v>
      </c>
      <c r="L4665">
        <v>634.31986594928799</v>
      </c>
      <c r="M4665">
        <v>12.050438015068099</v>
      </c>
      <c r="N4665">
        <v>52.802084104846003</v>
      </c>
      <c r="O4665">
        <v>51.252001059316299</v>
      </c>
      <c r="P4665">
        <v>-5.77185505686535E-2</v>
      </c>
      <c r="Q4665">
        <v>1.8296335679215701E-2</v>
      </c>
      <c r="R4665">
        <v>0.98865996553590696</v>
      </c>
      <c r="S4665" t="s">
        <v>11233</v>
      </c>
      <c r="T4665" t="s">
        <v>13134</v>
      </c>
      <c r="U4665" t="s">
        <v>13134</v>
      </c>
      <c r="V4665" t="s">
        <v>13134</v>
      </c>
      <c r="W4665" t="s">
        <v>17738</v>
      </c>
      <c r="X4665">
        <v>8</v>
      </c>
      <c r="Y4665" t="s">
        <v>24110</v>
      </c>
      <c r="Z4665" t="s">
        <v>30633</v>
      </c>
      <c r="AA4665">
        <v>0.55168558266240375</v>
      </c>
      <c r="AB4665" t="str">
        <f>HYPERLINK("Melting_Curves/meltCurve_Q8NHV4_2_NEDD1.pdf", "Melting_Curves/meltCurve_Q8NHV4_2_NEDD1.pdf")</f>
        <v>Melting_Curves/meltCurve_Q8NHV4_2_NEDD1.pdf</v>
      </c>
    </row>
    <row r="4666" spans="1:28" x14ac:dyDescent="0.25">
      <c r="A4666" t="s">
        <v>4670</v>
      </c>
      <c r="B4666">
        <v>0.99472303558308395</v>
      </c>
      <c r="C4666">
        <v>0.97864311729422804</v>
      </c>
      <c r="D4666">
        <v>0.92100100529994799</v>
      </c>
      <c r="E4666">
        <v>0.83029301030136404</v>
      </c>
      <c r="F4666">
        <v>0.42225638159419598</v>
      </c>
      <c r="G4666">
        <v>0.171318524649931</v>
      </c>
      <c r="H4666">
        <v>9.46328089771062E-2</v>
      </c>
      <c r="I4666">
        <v>5.9987974189770997E-2</v>
      </c>
      <c r="J4666">
        <v>8.5285912911493303E-2</v>
      </c>
      <c r="K4666">
        <v>6.4488006900703304E-2</v>
      </c>
      <c r="L4666">
        <v>1185.3315136857</v>
      </c>
      <c r="M4666">
        <v>24.064504942718699</v>
      </c>
      <c r="N4666">
        <v>49.540620760405297</v>
      </c>
      <c r="O4666">
        <v>48.9200746153086</v>
      </c>
      <c r="P4666">
        <v>-0.11505187585245499</v>
      </c>
      <c r="Q4666">
        <v>6.4471566790778798E-2</v>
      </c>
      <c r="R4666">
        <v>0.99751926129337998</v>
      </c>
      <c r="S4666" t="s">
        <v>11234</v>
      </c>
      <c r="T4666" t="s">
        <v>13134</v>
      </c>
      <c r="U4666" t="s">
        <v>13134</v>
      </c>
      <c r="V4666" t="s">
        <v>13134</v>
      </c>
      <c r="W4666" t="s">
        <v>17739</v>
      </c>
      <c r="X4666">
        <v>3</v>
      </c>
      <c r="Y4666" t="s">
        <v>24111</v>
      </c>
      <c r="Z4666" t="s">
        <v>30634</v>
      </c>
      <c r="AA4666">
        <v>0.45540870615128592</v>
      </c>
      <c r="AB4666" t="str">
        <f>HYPERLINK("Melting_Curves/meltCurve_Q8NI08_2_NCOA7.pdf", "Melting_Curves/meltCurve_Q8NI08_2_NCOA7.pdf")</f>
        <v>Melting_Curves/meltCurve_Q8NI08_2_NCOA7.pdf</v>
      </c>
    </row>
    <row r="4667" spans="1:28" x14ac:dyDescent="0.25">
      <c r="A4667" t="s">
        <v>4671</v>
      </c>
      <c r="B4667">
        <v>0.99472303558308395</v>
      </c>
      <c r="C4667">
        <v>0.93213458328287802</v>
      </c>
      <c r="D4667">
        <v>0.93355060504194898</v>
      </c>
      <c r="E4667">
        <v>0.87417924011315895</v>
      </c>
      <c r="F4667">
        <v>0.85646470257238205</v>
      </c>
      <c r="G4667">
        <v>0.556534480701385</v>
      </c>
      <c r="H4667">
        <v>0.57749838548682797</v>
      </c>
      <c r="I4667">
        <v>0.49874481211222799</v>
      </c>
      <c r="J4667">
        <v>0.65181094070753398</v>
      </c>
      <c r="K4667">
        <v>0.56781185819772895</v>
      </c>
      <c r="L4667">
        <v>1089.3065843249501</v>
      </c>
      <c r="M4667">
        <v>21.764926044768501</v>
      </c>
      <c r="O4667">
        <v>49.631959362826301</v>
      </c>
      <c r="P4667">
        <v>-4.864518429432E-2</v>
      </c>
      <c r="Q4667">
        <v>0.55629538057378802</v>
      </c>
      <c r="R4667">
        <v>0.88775351128853996</v>
      </c>
      <c r="S4667" t="s">
        <v>11235</v>
      </c>
      <c r="T4667" t="s">
        <v>13134</v>
      </c>
      <c r="U4667" t="s">
        <v>13134</v>
      </c>
      <c r="V4667" t="s">
        <v>13134</v>
      </c>
      <c r="W4667" t="s">
        <v>17740</v>
      </c>
      <c r="X4667">
        <v>1</v>
      </c>
      <c r="Y4667" t="s">
        <v>24112</v>
      </c>
      <c r="Z4667" t="s">
        <v>30635</v>
      </c>
      <c r="AA4667">
        <v>0.7543130295585101</v>
      </c>
      <c r="AB4667" t="str">
        <f>HYPERLINK("Melting_Curves/meltCurve_Q8NI22_2_MCFD2.pdf", "Melting_Curves/meltCurve_Q8NI22_2_MCFD2.pdf")</f>
        <v>Melting_Curves/meltCurve_Q8NI22_2_MCFD2.pdf</v>
      </c>
    </row>
    <row r="4668" spans="1:28" x14ac:dyDescent="0.25">
      <c r="A4668" t="s">
        <v>4672</v>
      </c>
      <c r="B4668">
        <v>0.99472303558308395</v>
      </c>
      <c r="C4668">
        <v>0.89503967408899299</v>
      </c>
      <c r="D4668">
        <v>0.66044719274130803</v>
      </c>
      <c r="E4668">
        <v>0.41520795601490801</v>
      </c>
      <c r="F4668">
        <v>0.19926644803486801</v>
      </c>
      <c r="G4668">
        <v>9.2970689885830293E-2</v>
      </c>
      <c r="H4668">
        <v>6.7289613018870501E-2</v>
      </c>
      <c r="I4668">
        <v>5.4191873577032798E-2</v>
      </c>
      <c r="J4668">
        <v>7.1566912903992905E-2</v>
      </c>
      <c r="K4668">
        <v>5.0148152403893503E-2</v>
      </c>
      <c r="L4668">
        <v>712.13752463979597</v>
      </c>
      <c r="M4668">
        <v>15.8404608113515</v>
      </c>
      <c r="N4668">
        <v>45.222926600666099</v>
      </c>
      <c r="O4668">
        <v>44.258672802287897</v>
      </c>
      <c r="P4668">
        <v>-8.5502490197831696E-2</v>
      </c>
      <c r="Q4668">
        <v>4.4492911557724002E-2</v>
      </c>
      <c r="R4668">
        <v>0.99782267998206697</v>
      </c>
      <c r="S4668" t="s">
        <v>11236</v>
      </c>
      <c r="T4668" t="s">
        <v>13134</v>
      </c>
      <c r="U4668" t="s">
        <v>13134</v>
      </c>
      <c r="V4668" t="s">
        <v>13134</v>
      </c>
      <c r="W4668" t="s">
        <v>17741</v>
      </c>
      <c r="X4668">
        <v>21</v>
      </c>
      <c r="Y4668" t="s">
        <v>24113</v>
      </c>
      <c r="Z4668" t="s">
        <v>30636</v>
      </c>
      <c r="AA4668">
        <v>0.31831800028992829</v>
      </c>
      <c r="AB4668" t="str">
        <f>HYPERLINK("Melting_Curves/meltCurve_Q8NI27_THOC2.pdf", "Melting_Curves/meltCurve_Q8NI27_THOC2.pdf")</f>
        <v>Melting_Curves/meltCurve_Q8NI27_THOC2.pdf</v>
      </c>
    </row>
    <row r="4669" spans="1:28" x14ac:dyDescent="0.25">
      <c r="A4669" t="s">
        <v>4673</v>
      </c>
      <c r="B4669">
        <v>0.99472303558308395</v>
      </c>
      <c r="C4669">
        <v>1.0098728762147999</v>
      </c>
      <c r="D4669">
        <v>0.94014049943358302</v>
      </c>
      <c r="E4669">
        <v>1.0127734093243199</v>
      </c>
      <c r="F4669">
        <v>0.45341073002641102</v>
      </c>
      <c r="G4669">
        <v>0.139562038227355</v>
      </c>
      <c r="H4669">
        <v>8.9623968545854998E-2</v>
      </c>
      <c r="I4669">
        <v>7.3993528479767298E-2</v>
      </c>
      <c r="J4669">
        <v>9.2087529003330504E-2</v>
      </c>
      <c r="K4669">
        <v>6.9661713911969805E-2</v>
      </c>
      <c r="L4669">
        <v>2915.2735715441499</v>
      </c>
      <c r="M4669">
        <v>58.463242399767097</v>
      </c>
      <c r="N4669">
        <v>50.034733780259202</v>
      </c>
      <c r="O4669">
        <v>49.8068364596461</v>
      </c>
      <c r="P4669">
        <v>-0.26706225355337398</v>
      </c>
      <c r="Q4669">
        <v>8.9922737237995196E-2</v>
      </c>
      <c r="R4669">
        <v>0.99635842245205397</v>
      </c>
      <c r="S4669" t="s">
        <v>11237</v>
      </c>
      <c r="T4669" t="s">
        <v>13134</v>
      </c>
      <c r="U4669" t="s">
        <v>13134</v>
      </c>
      <c r="V4669" t="s">
        <v>13134</v>
      </c>
      <c r="W4669" t="s">
        <v>17742</v>
      </c>
      <c r="X4669">
        <v>16</v>
      </c>
      <c r="Y4669" t="s">
        <v>24114</v>
      </c>
      <c r="Z4669" t="s">
        <v>30637</v>
      </c>
      <c r="AA4669">
        <v>0.48165821439414508</v>
      </c>
      <c r="AB4669" t="str">
        <f>HYPERLINK("Melting_Curves/meltCurve_Q8NI36_WDR36.pdf", "Melting_Curves/meltCurve_Q8NI36_WDR36.pdf")</f>
        <v>Melting_Curves/meltCurve_Q8NI36_WDR36.pdf</v>
      </c>
    </row>
    <row r="4670" spans="1:28" x14ac:dyDescent="0.25">
      <c r="A4670" t="s">
        <v>4674</v>
      </c>
      <c r="B4670">
        <v>0.99472303558308395</v>
      </c>
      <c r="C4670">
        <v>0.94767187343738701</v>
      </c>
      <c r="D4670">
        <v>0.92995289419843896</v>
      </c>
      <c r="E4670">
        <v>0.81302052266555302</v>
      </c>
      <c r="F4670">
        <v>0.61008067907389896</v>
      </c>
      <c r="G4670">
        <v>0.46154977112529599</v>
      </c>
      <c r="H4670">
        <v>0.34532118529510403</v>
      </c>
      <c r="I4670">
        <v>0.31602352722398602</v>
      </c>
      <c r="J4670">
        <v>0.37628356775855198</v>
      </c>
      <c r="K4670">
        <v>0.257346456019723</v>
      </c>
      <c r="L4670">
        <v>729.53692710578196</v>
      </c>
      <c r="M4670">
        <v>14.6971929884857</v>
      </c>
      <c r="N4670">
        <v>52.621808227086603</v>
      </c>
      <c r="O4670">
        <v>48.746051064699898</v>
      </c>
      <c r="P4670">
        <v>-5.4071907196264903E-2</v>
      </c>
      <c r="Q4670">
        <v>0.28271921498963698</v>
      </c>
      <c r="R4670">
        <v>0.98912246597469899</v>
      </c>
      <c r="S4670" t="s">
        <v>11238</v>
      </c>
      <c r="T4670" t="s">
        <v>13134</v>
      </c>
      <c r="U4670" t="s">
        <v>13134</v>
      </c>
      <c r="V4670" t="s">
        <v>13134</v>
      </c>
      <c r="W4670" t="s">
        <v>17743</v>
      </c>
      <c r="X4670">
        <v>7</v>
      </c>
      <c r="Y4670" t="s">
        <v>24115</v>
      </c>
      <c r="Z4670" t="s">
        <v>30638</v>
      </c>
      <c r="AA4670">
        <v>0.60050923093682551</v>
      </c>
      <c r="AB4670" t="str">
        <f>HYPERLINK("Melting_Curves/meltCurve_Q8TA86_RP9.pdf", "Melting_Curves/meltCurve_Q8TA86_RP9.pdf")</f>
        <v>Melting_Curves/meltCurve_Q8TA86_RP9.pdf</v>
      </c>
    </row>
    <row r="4671" spans="1:28" x14ac:dyDescent="0.25">
      <c r="A4671" t="s">
        <v>4675</v>
      </c>
      <c r="B4671">
        <v>0.99472303558308395</v>
      </c>
      <c r="C4671">
        <v>1.01822378533643</v>
      </c>
      <c r="D4671">
        <v>0.94753239362814401</v>
      </c>
      <c r="E4671">
        <v>0.46162410149847</v>
      </c>
      <c r="F4671">
        <v>0.170627351664454</v>
      </c>
      <c r="G4671">
        <v>0.100981831589241</v>
      </c>
      <c r="H4671">
        <v>7.0020873014459306E-2</v>
      </c>
      <c r="I4671">
        <v>5.8968727488449703E-2</v>
      </c>
      <c r="J4671">
        <v>5.69117373170945E-2</v>
      </c>
      <c r="K4671">
        <v>5.0157097112980699E-2</v>
      </c>
      <c r="L4671">
        <v>1466.0144258166199</v>
      </c>
      <c r="M4671">
        <v>31.695252843892</v>
      </c>
      <c r="N4671">
        <v>46.470407406120202</v>
      </c>
      <c r="O4671">
        <v>46.070482804044097</v>
      </c>
      <c r="P4671">
        <v>-0.16016599806521101</v>
      </c>
      <c r="Q4671">
        <v>6.8770801646733506E-2</v>
      </c>
      <c r="R4671">
        <v>0.99783387130766599</v>
      </c>
      <c r="S4671" t="s">
        <v>11239</v>
      </c>
      <c r="T4671" t="s">
        <v>13134</v>
      </c>
      <c r="U4671" t="s">
        <v>13134</v>
      </c>
      <c r="V4671" t="s">
        <v>13134</v>
      </c>
      <c r="W4671" t="s">
        <v>17744</v>
      </c>
      <c r="X4671">
        <v>6</v>
      </c>
      <c r="Y4671" t="s">
        <v>24116</v>
      </c>
      <c r="Z4671" t="s">
        <v>30639</v>
      </c>
      <c r="AA4671">
        <v>0.36077941791878382</v>
      </c>
      <c r="AB4671" t="str">
        <f>HYPERLINK("Melting_Curves/meltCurve_Q8TAA5_GRPEL2.pdf", "Melting_Curves/meltCurve_Q8TAA5_GRPEL2.pdf")</f>
        <v>Melting_Curves/meltCurve_Q8TAA5_GRPEL2.pdf</v>
      </c>
    </row>
    <row r="4672" spans="1:28" x14ac:dyDescent="0.25">
      <c r="A4672" t="s">
        <v>4676</v>
      </c>
      <c r="B4672">
        <v>0.99472303558308395</v>
      </c>
      <c r="C4672">
        <v>1.0073294115890099</v>
      </c>
      <c r="D4672">
        <v>0.69610620242127297</v>
      </c>
      <c r="E4672">
        <v>0.69801781292343501</v>
      </c>
      <c r="F4672">
        <v>0.65690808043095505</v>
      </c>
      <c r="G4672">
        <v>0.35362569587725701</v>
      </c>
      <c r="H4672">
        <v>0.1980828039494</v>
      </c>
      <c r="I4672">
        <v>0.14390856123663001</v>
      </c>
      <c r="J4672">
        <v>9.25069251438497E-2</v>
      </c>
      <c r="K4672">
        <v>8.2757133090427995E-2</v>
      </c>
      <c r="L4672">
        <v>498.96847957619798</v>
      </c>
      <c r="M4672">
        <v>9.8290572951779307</v>
      </c>
      <c r="N4672">
        <v>50.764631672986702</v>
      </c>
      <c r="O4672">
        <v>48.797211716476099</v>
      </c>
      <c r="P4672">
        <v>-5.0382814539400703E-2</v>
      </c>
      <c r="Q4672">
        <v>0</v>
      </c>
      <c r="R4672">
        <v>0.95730162005100805</v>
      </c>
      <c r="S4672" t="s">
        <v>11240</v>
      </c>
      <c r="T4672" t="s">
        <v>13134</v>
      </c>
      <c r="U4672" t="s">
        <v>13134</v>
      </c>
      <c r="V4672" t="s">
        <v>13134</v>
      </c>
      <c r="W4672" t="s">
        <v>17745</v>
      </c>
      <c r="X4672">
        <v>3</v>
      </c>
      <c r="Y4672" t="s">
        <v>24117</v>
      </c>
      <c r="Z4672" t="s">
        <v>30640</v>
      </c>
      <c r="AA4672">
        <v>0.49056718934589921</v>
      </c>
      <c r="AB4672" t="str">
        <f>HYPERLINK("Melting_Curves/meltCurve_Q8TAA9_2_VANGL1.pdf", "Melting_Curves/meltCurve_Q8TAA9_2_VANGL1.pdf")</f>
        <v>Melting_Curves/meltCurve_Q8TAA9_2_VANGL1.pdf</v>
      </c>
    </row>
    <row r="4673" spans="1:28" x14ac:dyDescent="0.25">
      <c r="A4673" t="s">
        <v>4677</v>
      </c>
      <c r="B4673">
        <v>0.99472303558308395</v>
      </c>
      <c r="C4673">
        <v>1.0005507593438301</v>
      </c>
      <c r="D4673">
        <v>0.94281889330730695</v>
      </c>
      <c r="E4673">
        <v>0.88467741748676998</v>
      </c>
      <c r="F4673">
        <v>0.70728769013964299</v>
      </c>
      <c r="G4673">
        <v>0.53222023830620901</v>
      </c>
      <c r="H4673">
        <v>0.39797834327978798</v>
      </c>
      <c r="I4673">
        <v>0.31256257775752899</v>
      </c>
      <c r="J4673">
        <v>0.16791985189177</v>
      </c>
      <c r="K4673">
        <v>0.14381114653322999</v>
      </c>
      <c r="L4673">
        <v>568.97124442690802</v>
      </c>
      <c r="M4673">
        <v>10.4047559738489</v>
      </c>
      <c r="N4673">
        <v>54.910403757168702</v>
      </c>
      <c r="O4673">
        <v>52.779502649660003</v>
      </c>
      <c r="P4673">
        <v>-4.8268389521479403E-2</v>
      </c>
      <c r="Q4673">
        <v>2.10178467784853E-2</v>
      </c>
      <c r="R4673">
        <v>0.99594219076399804</v>
      </c>
      <c r="S4673" t="s">
        <v>11241</v>
      </c>
      <c r="T4673" t="s">
        <v>13134</v>
      </c>
      <c r="U4673" t="s">
        <v>13134</v>
      </c>
      <c r="V4673" t="s">
        <v>13134</v>
      </c>
      <c r="W4673" t="s">
        <v>17746</v>
      </c>
      <c r="X4673">
        <v>10</v>
      </c>
      <c r="Y4673" t="s">
        <v>24118</v>
      </c>
      <c r="Z4673" t="s">
        <v>30641</v>
      </c>
      <c r="AA4673">
        <v>0.61223322793610035</v>
      </c>
      <c r="AB4673" t="str">
        <f>HYPERLINK("Melting_Curves/meltCurve_Q8TAC1_RFESD.pdf", "Melting_Curves/meltCurve_Q8TAC1_RFESD.pdf")</f>
        <v>Melting_Curves/meltCurve_Q8TAC1_RFESD.pdf</v>
      </c>
    </row>
    <row r="4674" spans="1:28" x14ac:dyDescent="0.25">
      <c r="A4674" t="s">
        <v>4678</v>
      </c>
      <c r="B4674">
        <v>0.99472303558308395</v>
      </c>
      <c r="C4674">
        <v>0.88125703405326405</v>
      </c>
      <c r="D4674">
        <v>0.78340133849656701</v>
      </c>
      <c r="E4674">
        <v>0.351179880462413</v>
      </c>
      <c r="F4674">
        <v>0.202838384735541</v>
      </c>
      <c r="G4674">
        <v>0.124742193643803</v>
      </c>
      <c r="H4674">
        <v>9.5233882922014304E-2</v>
      </c>
      <c r="I4674">
        <v>9.5135229573473604E-2</v>
      </c>
      <c r="J4674">
        <v>0.144190248315583</v>
      </c>
      <c r="K4674">
        <v>9.3259107305784406E-2</v>
      </c>
      <c r="L4674">
        <v>966.51292242366696</v>
      </c>
      <c r="M4674">
        <v>21.561761026460399</v>
      </c>
      <c r="N4674">
        <v>45.316402827624501</v>
      </c>
      <c r="O4674">
        <v>44.445095357630997</v>
      </c>
      <c r="P4674">
        <v>-0.10865010913237</v>
      </c>
      <c r="Q4674">
        <v>0.104183055985605</v>
      </c>
      <c r="R4674">
        <v>0.99301880456262104</v>
      </c>
      <c r="S4674" t="s">
        <v>11242</v>
      </c>
      <c r="T4674" t="s">
        <v>13134</v>
      </c>
      <c r="U4674" t="s">
        <v>13134</v>
      </c>
      <c r="V4674" t="s">
        <v>13134</v>
      </c>
      <c r="W4674" t="s">
        <v>17747</v>
      </c>
      <c r="X4674">
        <v>3</v>
      </c>
      <c r="Y4674" t="s">
        <v>24119</v>
      </c>
      <c r="Z4674" t="s">
        <v>30642</v>
      </c>
      <c r="AA4674">
        <v>0.34790624555095878</v>
      </c>
      <c r="AB4674" t="str">
        <f>HYPERLINK("Melting_Curves/meltCurve_Q8TAD8_SNIP1.pdf", "Melting_Curves/meltCurve_Q8TAD8_SNIP1.pdf")</f>
        <v>Melting_Curves/meltCurve_Q8TAD8_SNIP1.pdf</v>
      </c>
    </row>
    <row r="4675" spans="1:28" x14ac:dyDescent="0.25">
      <c r="A4675" t="s">
        <v>4679</v>
      </c>
      <c r="B4675">
        <v>0.99472303558308395</v>
      </c>
      <c r="C4675">
        <v>0.95898404303447704</v>
      </c>
      <c r="D4675">
        <v>0.77985001250058505</v>
      </c>
      <c r="E4675">
        <v>0.77603950505975605</v>
      </c>
      <c r="F4675">
        <v>0.66612095826455497</v>
      </c>
      <c r="G4675">
        <v>0.60395958585465104</v>
      </c>
      <c r="H4675">
        <v>0.51041944071655698</v>
      </c>
      <c r="I4675">
        <v>0.30154606323953398</v>
      </c>
      <c r="J4675">
        <v>0.25838077618312</v>
      </c>
      <c r="K4675">
        <v>0.24004250867037599</v>
      </c>
      <c r="L4675">
        <v>368.112186954496</v>
      </c>
      <c r="M4675">
        <v>6.6303601583977603</v>
      </c>
      <c r="N4675">
        <v>55.519197759032302</v>
      </c>
      <c r="O4675">
        <v>51.120786627522797</v>
      </c>
      <c r="P4675">
        <v>-3.2498263558254102E-2</v>
      </c>
      <c r="Q4675">
        <v>0</v>
      </c>
      <c r="R4675">
        <v>0.96944584426934899</v>
      </c>
      <c r="S4675" t="s">
        <v>11243</v>
      </c>
      <c r="T4675" t="s">
        <v>13134</v>
      </c>
      <c r="U4675" t="s">
        <v>13134</v>
      </c>
      <c r="V4675" t="s">
        <v>13134</v>
      </c>
      <c r="W4675" t="s">
        <v>17748</v>
      </c>
      <c r="X4675">
        <v>7</v>
      </c>
      <c r="Y4675" t="s">
        <v>24120</v>
      </c>
      <c r="Z4675" t="s">
        <v>30643</v>
      </c>
      <c r="AA4675">
        <v>0.61172297314145252</v>
      </c>
      <c r="AB4675" t="str">
        <f>HYPERLINK("Melting_Curves/meltCurve_Q8TAE8_GADD45GIP1.pdf", "Melting_Curves/meltCurve_Q8TAE8_GADD45GIP1.pdf")</f>
        <v>Melting_Curves/meltCurve_Q8TAE8_GADD45GIP1.pdf</v>
      </c>
    </row>
    <row r="4676" spans="1:28" x14ac:dyDescent="0.25">
      <c r="A4676" t="s">
        <v>4680</v>
      </c>
      <c r="B4676">
        <v>0.99472303558308395</v>
      </c>
      <c r="C4676">
        <v>0.98476882992293302</v>
      </c>
      <c r="D4676">
        <v>0.91377530959164799</v>
      </c>
      <c r="E4676">
        <v>0.73842955452497805</v>
      </c>
      <c r="F4676">
        <v>0.55001552708830903</v>
      </c>
      <c r="G4676">
        <v>0.44438031593960597</v>
      </c>
      <c r="H4676">
        <v>0.29583623534683601</v>
      </c>
      <c r="I4676">
        <v>0.13695817200591701</v>
      </c>
      <c r="J4676">
        <v>9.2868901084269997E-2</v>
      </c>
      <c r="K4676">
        <v>8.5974430007671701E-2</v>
      </c>
      <c r="L4676">
        <v>546.95081793199302</v>
      </c>
      <c r="M4676">
        <v>10.561255179794699</v>
      </c>
      <c r="N4676">
        <v>51.7884293273857</v>
      </c>
      <c r="O4676">
        <v>50.035100215864297</v>
      </c>
      <c r="P4676">
        <v>-5.27900519378472E-2</v>
      </c>
      <c r="Q4676">
        <v>0</v>
      </c>
      <c r="R4676">
        <v>0.99407967090397797</v>
      </c>
      <c r="S4676" t="s">
        <v>11244</v>
      </c>
      <c r="T4676" t="s">
        <v>13134</v>
      </c>
      <c r="U4676" t="s">
        <v>13134</v>
      </c>
      <c r="V4676" t="s">
        <v>13134</v>
      </c>
      <c r="W4676" t="s">
        <v>17749</v>
      </c>
      <c r="X4676">
        <v>16</v>
      </c>
      <c r="Y4676" t="s">
        <v>24121</v>
      </c>
      <c r="Z4676" t="s">
        <v>30644</v>
      </c>
      <c r="AA4676">
        <v>0.51958594328149899</v>
      </c>
      <c r="AB4676" t="str">
        <f>HYPERLINK("Melting_Curves/meltCurve_Q8TAF3_WDR48.pdf", "Melting_Curves/meltCurve_Q8TAF3_WDR48.pdf")</f>
        <v>Melting_Curves/meltCurve_Q8TAF3_WDR48.pdf</v>
      </c>
    </row>
    <row r="4677" spans="1:28" x14ac:dyDescent="0.25">
      <c r="A4677" t="s">
        <v>4681</v>
      </c>
      <c r="B4677">
        <v>0.99472303558308395</v>
      </c>
      <c r="C4677">
        <v>0.85334966931408696</v>
      </c>
      <c r="D4677">
        <v>0.768924164755595</v>
      </c>
      <c r="E4677">
        <v>0.430889684586231</v>
      </c>
      <c r="F4677">
        <v>0.19162357266323499</v>
      </c>
      <c r="G4677">
        <v>0.123160627968027</v>
      </c>
      <c r="H4677">
        <v>8.4188578912869003E-2</v>
      </c>
      <c r="I4677">
        <v>4.9847061594457301E-2</v>
      </c>
      <c r="J4677">
        <v>5.6980712920341403E-2</v>
      </c>
      <c r="K4677">
        <v>6.1356687468683502E-2</v>
      </c>
      <c r="L4677">
        <v>748.94932453715001</v>
      </c>
      <c r="M4677">
        <v>16.4694398077824</v>
      </c>
      <c r="N4677">
        <v>45.7500310187365</v>
      </c>
      <c r="O4677">
        <v>44.820504671008301</v>
      </c>
      <c r="P4677">
        <v>-8.7541133307626903E-2</v>
      </c>
      <c r="Q4677">
        <v>4.7116806501424302E-2</v>
      </c>
      <c r="R4677">
        <v>0.99530412592468198</v>
      </c>
      <c r="S4677" t="s">
        <v>11245</v>
      </c>
      <c r="T4677" t="s">
        <v>13134</v>
      </c>
      <c r="U4677" t="s">
        <v>13134</v>
      </c>
      <c r="V4677" t="s">
        <v>13134</v>
      </c>
      <c r="W4677" t="s">
        <v>17750</v>
      </c>
      <c r="X4677">
        <v>10</v>
      </c>
      <c r="Y4677" t="s">
        <v>24122</v>
      </c>
      <c r="Z4677" t="s">
        <v>30645</v>
      </c>
      <c r="AA4677">
        <v>0.33485558691574913</v>
      </c>
      <c r="AB4677" t="str">
        <f>HYPERLINK("Melting_Curves/meltCurve_Q8TAG9_EXOC6.pdf", "Melting_Curves/meltCurve_Q8TAG9_EXOC6.pdf")</f>
        <v>Melting_Curves/meltCurve_Q8TAG9_EXOC6.pdf</v>
      </c>
    </row>
    <row r="4678" spans="1:28" x14ac:dyDescent="0.25">
      <c r="A4678" t="s">
        <v>4682</v>
      </c>
      <c r="B4678">
        <v>0.99472303558308395</v>
      </c>
      <c r="C4678">
        <v>1.00744585591078</v>
      </c>
      <c r="D4678">
        <v>0.93393955822003105</v>
      </c>
      <c r="E4678">
        <v>0.83358991202933197</v>
      </c>
      <c r="F4678">
        <v>0.67263688289057799</v>
      </c>
      <c r="G4678">
        <v>0.42565320791795302</v>
      </c>
      <c r="H4678">
        <v>0.264663703305836</v>
      </c>
      <c r="I4678">
        <v>0.223167417118492</v>
      </c>
      <c r="J4678">
        <v>0.26114946334467098</v>
      </c>
      <c r="K4678">
        <v>0.17108567260947999</v>
      </c>
      <c r="L4678">
        <v>811.10210789800601</v>
      </c>
      <c r="M4678">
        <v>15.891622032230901</v>
      </c>
      <c r="N4678">
        <v>52.469997358577601</v>
      </c>
      <c r="O4678">
        <v>50.251907103620802</v>
      </c>
      <c r="P4678">
        <v>-6.5166975970370994E-2</v>
      </c>
      <c r="Q4678">
        <v>0.17579184477257001</v>
      </c>
      <c r="R4678">
        <v>0.993651190951504</v>
      </c>
      <c r="S4678" t="s">
        <v>11246</v>
      </c>
      <c r="T4678" t="s">
        <v>13134</v>
      </c>
      <c r="U4678" t="s">
        <v>13134</v>
      </c>
      <c r="V4678" t="s">
        <v>13134</v>
      </c>
      <c r="W4678" t="s">
        <v>17751</v>
      </c>
      <c r="X4678">
        <v>3</v>
      </c>
      <c r="Y4678" t="s">
        <v>24123</v>
      </c>
      <c r="Z4678" t="s">
        <v>30646</v>
      </c>
      <c r="AA4678">
        <v>0.57683821452889428</v>
      </c>
      <c r="AB4678" t="str">
        <f>HYPERLINK("Melting_Curves/meltCurve_Q8TAP6_2_CEP76.pdf", "Melting_Curves/meltCurve_Q8TAP6_2_CEP76.pdf")</f>
        <v>Melting_Curves/meltCurve_Q8TAP6_2_CEP76.pdf</v>
      </c>
    </row>
    <row r="4679" spans="1:28" x14ac:dyDescent="0.25">
      <c r="A4679" t="s">
        <v>4683</v>
      </c>
      <c r="B4679">
        <v>0.99472303558308395</v>
      </c>
      <c r="C4679">
        <v>1.02537159914431</v>
      </c>
      <c r="D4679">
        <v>0.83798424581224396</v>
      </c>
      <c r="E4679">
        <v>0.71488260405701598</v>
      </c>
      <c r="F4679">
        <v>0.70855567273772502</v>
      </c>
      <c r="G4679">
        <v>0.34557815387812402</v>
      </c>
      <c r="H4679">
        <v>0.22072473724870201</v>
      </c>
      <c r="I4679">
        <v>0.19964707236035301</v>
      </c>
      <c r="J4679">
        <v>0.263390199940923</v>
      </c>
      <c r="K4679">
        <v>0.20526730615255401</v>
      </c>
      <c r="L4679">
        <v>655.27841405928302</v>
      </c>
      <c r="M4679">
        <v>13.093559188174799</v>
      </c>
      <c r="N4679">
        <v>51.535761802483599</v>
      </c>
      <c r="O4679">
        <v>48.921672928055102</v>
      </c>
      <c r="P4679">
        <v>-5.6377528310975103E-2</v>
      </c>
      <c r="Q4679">
        <v>0.157567721672072</v>
      </c>
      <c r="R4679">
        <v>0.95837797219727106</v>
      </c>
      <c r="S4679" t="s">
        <v>11247</v>
      </c>
      <c r="T4679" t="s">
        <v>13134</v>
      </c>
      <c r="U4679" t="s">
        <v>13134</v>
      </c>
      <c r="V4679" t="s">
        <v>13134</v>
      </c>
      <c r="W4679" t="s">
        <v>17752</v>
      </c>
      <c r="X4679">
        <v>4</v>
      </c>
      <c r="Y4679" t="s">
        <v>24124</v>
      </c>
      <c r="Z4679" t="s">
        <v>30647</v>
      </c>
      <c r="AA4679">
        <v>0.54505316719954111</v>
      </c>
      <c r="AB4679" t="str">
        <f>HYPERLINK("Melting_Curves/meltCurve_Q8TAP8_PPP1R35.pdf", "Melting_Curves/meltCurve_Q8TAP8_PPP1R35.pdf")</f>
        <v>Melting_Curves/meltCurve_Q8TAP8_PPP1R35.pdf</v>
      </c>
    </row>
    <row r="4680" spans="1:28" x14ac:dyDescent="0.25">
      <c r="A4680" t="s">
        <v>4684</v>
      </c>
      <c r="B4680">
        <v>0.99472303558308395</v>
      </c>
      <c r="C4680">
        <v>0.82000944775967699</v>
      </c>
      <c r="D4680">
        <v>1.1706949804953799</v>
      </c>
      <c r="E4680">
        <v>0.80068040943343499</v>
      </c>
      <c r="F4680">
        <v>0.45507598065875299</v>
      </c>
      <c r="G4680">
        <v>0.55599551848791096</v>
      </c>
      <c r="H4680">
        <v>0.352395682280357</v>
      </c>
      <c r="I4680">
        <v>0.49441097525293598</v>
      </c>
      <c r="J4680">
        <v>0.62187833841892104</v>
      </c>
      <c r="K4680">
        <v>0.46096791451640001</v>
      </c>
      <c r="L4680">
        <v>11670.665540780599</v>
      </c>
      <c r="M4680">
        <v>250</v>
      </c>
      <c r="N4680">
        <v>47.4271112182184</v>
      </c>
      <c r="O4680">
        <v>46.679674928711997</v>
      </c>
      <c r="P4680">
        <v>-0.68268372486069895</v>
      </c>
      <c r="Q4680">
        <v>0.49012073250600502</v>
      </c>
      <c r="R4680">
        <v>0.83507227506783599</v>
      </c>
      <c r="S4680" t="s">
        <v>11248</v>
      </c>
      <c r="T4680" t="s">
        <v>13134</v>
      </c>
      <c r="U4680" t="s">
        <v>13134</v>
      </c>
      <c r="V4680" t="s">
        <v>13134</v>
      </c>
      <c r="W4680" t="s">
        <v>17753</v>
      </c>
      <c r="X4680">
        <v>2</v>
      </c>
      <c r="Y4680" t="s">
        <v>24125</v>
      </c>
      <c r="Z4680" t="s">
        <v>30648</v>
      </c>
      <c r="AA4680">
        <v>0.65472879526509919</v>
      </c>
      <c r="AB4680" t="str">
        <f>HYPERLINK("Melting_Curves/meltCurve_Q8TAP9_MPLKIP.pdf", "Melting_Curves/meltCurve_Q8TAP9_MPLKIP.pdf")</f>
        <v>Melting_Curves/meltCurve_Q8TAP9_MPLKIP.pdf</v>
      </c>
    </row>
    <row r="4681" spans="1:28" x14ac:dyDescent="0.25">
      <c r="A4681" t="s">
        <v>4685</v>
      </c>
      <c r="B4681">
        <v>0.99472303558308395</v>
      </c>
      <c r="C4681">
        <v>0.88249068473343295</v>
      </c>
      <c r="D4681">
        <v>0.653505851513007</v>
      </c>
      <c r="E4681">
        <v>0.33169013984081203</v>
      </c>
      <c r="F4681">
        <v>0.14188074158542799</v>
      </c>
      <c r="G4681">
        <v>7.73493925252247E-2</v>
      </c>
      <c r="H4681">
        <v>4.78527334220646E-2</v>
      </c>
      <c r="I4681">
        <v>4.1259152208924697E-2</v>
      </c>
      <c r="J4681">
        <v>4.3940868840764202E-2</v>
      </c>
      <c r="K4681">
        <v>3.3335444798229197E-2</v>
      </c>
      <c r="L4681">
        <v>794.12850783738202</v>
      </c>
      <c r="M4681">
        <v>17.873230507756901</v>
      </c>
      <c r="N4681">
        <v>44.6090434069392</v>
      </c>
      <c r="O4681">
        <v>43.886161984977697</v>
      </c>
      <c r="P4681">
        <v>-9.8319229893986698E-2</v>
      </c>
      <c r="Q4681">
        <v>3.4391685571695502E-2</v>
      </c>
      <c r="R4681">
        <v>0.99957292409259302</v>
      </c>
      <c r="S4681" t="s">
        <v>11249</v>
      </c>
      <c r="T4681" t="s">
        <v>13134</v>
      </c>
      <c r="U4681" t="s">
        <v>13134</v>
      </c>
      <c r="V4681" t="s">
        <v>13134</v>
      </c>
      <c r="W4681" t="s">
        <v>17754</v>
      </c>
      <c r="X4681">
        <v>29</v>
      </c>
      <c r="Y4681" t="s">
        <v>24126</v>
      </c>
      <c r="Z4681" t="s">
        <v>30649</v>
      </c>
      <c r="AA4681">
        <v>0.28986096206276118</v>
      </c>
      <c r="AB4681" t="str">
        <f>HYPERLINK("Melting_Curves/meltCurve_Q8TAQ2_SMARCC2.pdf", "Melting_Curves/meltCurve_Q8TAQ2_SMARCC2.pdf")</f>
        <v>Melting_Curves/meltCurve_Q8TAQ2_SMARCC2.pdf</v>
      </c>
    </row>
    <row r="4682" spans="1:28" x14ac:dyDescent="0.25">
      <c r="A4682" t="s">
        <v>4686</v>
      </c>
      <c r="B4682">
        <v>0.99472303558308395</v>
      </c>
      <c r="C4682">
        <v>0.95753897751365102</v>
      </c>
      <c r="D4682">
        <v>0.98153847194963695</v>
      </c>
      <c r="E4682">
        <v>0.83206118925976602</v>
      </c>
      <c r="F4682">
        <v>0.59389394677059903</v>
      </c>
      <c r="G4682">
        <v>0.258671977356215</v>
      </c>
      <c r="H4682">
        <v>0.100937130958593</v>
      </c>
      <c r="I4682">
        <v>6.7276318326598403E-2</v>
      </c>
      <c r="J4682">
        <v>7.7735150520744395E-2</v>
      </c>
      <c r="K4682">
        <v>6.24726334026302E-2</v>
      </c>
      <c r="L4682">
        <v>1035.9893995569</v>
      </c>
      <c r="M4682">
        <v>20.457235934446501</v>
      </c>
      <c r="N4682">
        <v>50.884130861983003</v>
      </c>
      <c r="O4682">
        <v>50.1652490051884</v>
      </c>
      <c r="P4682">
        <v>-9.7218554143295693E-2</v>
      </c>
      <c r="Q4682">
        <v>4.6430747078438001E-2</v>
      </c>
      <c r="R4682">
        <v>0.99724098843495901</v>
      </c>
      <c r="S4682" t="s">
        <v>11250</v>
      </c>
      <c r="T4682" t="s">
        <v>13134</v>
      </c>
      <c r="U4682" t="s">
        <v>13134</v>
      </c>
      <c r="V4682" t="s">
        <v>13134</v>
      </c>
      <c r="W4682" t="s">
        <v>17755</v>
      </c>
      <c r="X4682">
        <v>25</v>
      </c>
      <c r="Y4682" t="s">
        <v>24127</v>
      </c>
      <c r="Z4682" t="s">
        <v>30650</v>
      </c>
      <c r="AA4682">
        <v>0.49208731561462538</v>
      </c>
      <c r="AB4682" t="str">
        <f>HYPERLINK("Melting_Curves/meltCurve_Q8TAT6_NPLOC4.pdf", "Melting_Curves/meltCurve_Q8TAT6_NPLOC4.pdf")</f>
        <v>Melting_Curves/meltCurve_Q8TAT6_NPLOC4.pdf</v>
      </c>
    </row>
    <row r="4683" spans="1:28" x14ac:dyDescent="0.25">
      <c r="A4683" t="s">
        <v>4687</v>
      </c>
      <c r="B4683">
        <v>0.99472303558308395</v>
      </c>
      <c r="C4683">
        <v>0.94549889577602098</v>
      </c>
      <c r="D4683">
        <v>0.98873726299030695</v>
      </c>
      <c r="E4683">
        <v>0.83849643916005601</v>
      </c>
      <c r="F4683">
        <v>0.49823102347512299</v>
      </c>
      <c r="G4683">
        <v>0.198480428987065</v>
      </c>
      <c r="H4683">
        <v>9.0756157518419298E-2</v>
      </c>
      <c r="I4683">
        <v>7.4310553646211502E-2</v>
      </c>
      <c r="J4683">
        <v>8.6494451544217102E-2</v>
      </c>
      <c r="K4683">
        <v>5.3006498235081301E-2</v>
      </c>
      <c r="L4683">
        <v>1167.2832202039101</v>
      </c>
      <c r="M4683">
        <v>23.421283180815699</v>
      </c>
      <c r="N4683">
        <v>50.115651080919697</v>
      </c>
      <c r="O4683">
        <v>49.479509321162404</v>
      </c>
      <c r="P4683">
        <v>-0.11115354738800801</v>
      </c>
      <c r="Q4683">
        <v>6.0730024083662501E-2</v>
      </c>
      <c r="R4683">
        <v>0.99775276943822999</v>
      </c>
      <c r="S4683" t="s">
        <v>11251</v>
      </c>
      <c r="T4683" t="s">
        <v>13134</v>
      </c>
      <c r="U4683" t="s">
        <v>13134</v>
      </c>
      <c r="V4683" t="s">
        <v>13134</v>
      </c>
      <c r="W4683" t="s">
        <v>17756</v>
      </c>
      <c r="X4683">
        <v>6</v>
      </c>
      <c r="Y4683" t="s">
        <v>24128</v>
      </c>
      <c r="Z4683" t="s">
        <v>30651</v>
      </c>
      <c r="AA4683">
        <v>0.4719714924750395</v>
      </c>
      <c r="AB4683" t="str">
        <f>HYPERLINK("Melting_Curves/meltCurve_Q8TAV0_FAM76A.pdf", "Melting_Curves/meltCurve_Q8TAV0_FAM76A.pdf")</f>
        <v>Melting_Curves/meltCurve_Q8TAV0_FAM76A.pdf</v>
      </c>
    </row>
    <row r="4684" spans="1:28" x14ac:dyDescent="0.25">
      <c r="A4684" t="s">
        <v>4688</v>
      </c>
      <c r="B4684">
        <v>0.99472303558308395</v>
      </c>
      <c r="C4684">
        <v>0.967909098676349</v>
      </c>
      <c r="D4684">
        <v>1.00825393993899</v>
      </c>
      <c r="E4684">
        <v>0.91808174550046495</v>
      </c>
      <c r="F4684">
        <v>0.63868857851212801</v>
      </c>
      <c r="G4684">
        <v>0.174209355453042</v>
      </c>
      <c r="H4684">
        <v>9.3136641719075E-2</v>
      </c>
      <c r="I4684">
        <v>4.4773094637916802E-2</v>
      </c>
      <c r="J4684">
        <v>4.0254137375763797E-2</v>
      </c>
      <c r="K4684">
        <v>4.6394154530476198E-2</v>
      </c>
      <c r="L4684">
        <v>1578.5939885914199</v>
      </c>
      <c r="M4684">
        <v>31.015850313742199</v>
      </c>
      <c r="N4684">
        <v>51.047673604988603</v>
      </c>
      <c r="O4684">
        <v>50.686187220344202</v>
      </c>
      <c r="P4684">
        <v>-0.14626212595653301</v>
      </c>
      <c r="Q4684">
        <v>4.3917591159864301E-2</v>
      </c>
      <c r="R4684">
        <v>0.99819549477494995</v>
      </c>
      <c r="S4684" t="s">
        <v>11252</v>
      </c>
      <c r="T4684" t="s">
        <v>13134</v>
      </c>
      <c r="U4684" t="s">
        <v>13134</v>
      </c>
      <c r="V4684" t="s">
        <v>13134</v>
      </c>
      <c r="W4684" t="s">
        <v>17757</v>
      </c>
      <c r="X4684">
        <v>6</v>
      </c>
      <c r="Y4684" t="s">
        <v>24129</v>
      </c>
      <c r="Z4684" t="s">
        <v>30652</v>
      </c>
      <c r="AA4684">
        <v>0.49235881093309503</v>
      </c>
      <c r="AB4684" t="str">
        <f>HYPERLINK("Melting_Curves/meltCurve_Q8TB03_CXorf38.pdf", "Melting_Curves/meltCurve_Q8TB03_CXorf38.pdf")</f>
        <v>Melting_Curves/meltCurve_Q8TB03_CXorf38.pdf</v>
      </c>
    </row>
    <row r="4685" spans="1:28" x14ac:dyDescent="0.25">
      <c r="A4685" t="s">
        <v>4689</v>
      </c>
      <c r="B4685">
        <v>0.99472303558308395</v>
      </c>
      <c r="C4685">
        <v>1.0394461931321799</v>
      </c>
      <c r="D4685">
        <v>0.97621790181968804</v>
      </c>
      <c r="E4685">
        <v>0.88523388269520298</v>
      </c>
      <c r="F4685">
        <v>0.59410275118560696</v>
      </c>
      <c r="G4685">
        <v>0.401933064749874</v>
      </c>
      <c r="H4685">
        <v>0.14088298792530901</v>
      </c>
      <c r="I4685">
        <v>5.2536216268274198E-2</v>
      </c>
      <c r="J4685">
        <v>5.4165740204959498E-2</v>
      </c>
      <c r="K4685">
        <v>6.4306358609244704E-2</v>
      </c>
      <c r="L4685">
        <v>902.28070329900902</v>
      </c>
      <c r="M4685">
        <v>17.4593524208464</v>
      </c>
      <c r="N4685">
        <v>51.801154992899001</v>
      </c>
      <c r="O4685">
        <v>51.015263468304397</v>
      </c>
      <c r="P4685">
        <v>-8.3837639578704604E-2</v>
      </c>
      <c r="Q4685">
        <v>2.0178711294408201E-2</v>
      </c>
      <c r="R4685">
        <v>0.99451042722768401</v>
      </c>
      <c r="S4685" t="s">
        <v>11253</v>
      </c>
      <c r="T4685" t="s">
        <v>13134</v>
      </c>
      <c r="U4685" t="s">
        <v>13134</v>
      </c>
      <c r="V4685" t="s">
        <v>13134</v>
      </c>
      <c r="W4685" t="s">
        <v>17758</v>
      </c>
      <c r="X4685">
        <v>3</v>
      </c>
      <c r="Y4685" t="s">
        <v>24130</v>
      </c>
      <c r="Z4685" t="s">
        <v>30653</v>
      </c>
      <c r="AA4685">
        <v>0.51523327796625862</v>
      </c>
      <c r="AB4685" t="str">
        <f>HYPERLINK("Melting_Curves/meltCurve_Q8TB36_2_GDAP1.pdf", "Melting_Curves/meltCurve_Q8TB36_2_GDAP1.pdf")</f>
        <v>Melting_Curves/meltCurve_Q8TB36_2_GDAP1.pdf</v>
      </c>
    </row>
    <row r="4686" spans="1:28" x14ac:dyDescent="0.25">
      <c r="A4686" t="s">
        <v>4690</v>
      </c>
      <c r="B4686">
        <v>0.99472303558308395</v>
      </c>
      <c r="C4686">
        <v>1.07051615071948</v>
      </c>
      <c r="D4686">
        <v>0.92586320085735796</v>
      </c>
      <c r="E4686">
        <v>0.90385981757273404</v>
      </c>
      <c r="F4686">
        <v>0.82486975249795202</v>
      </c>
      <c r="G4686">
        <v>0.54096041784568605</v>
      </c>
      <c r="H4686">
        <v>0.33563582987678497</v>
      </c>
      <c r="I4686">
        <v>0.119716759781994</v>
      </c>
      <c r="J4686">
        <v>0.112639609308987</v>
      </c>
      <c r="K4686">
        <v>0.117013574988242</v>
      </c>
      <c r="L4686">
        <v>921.58718953963</v>
      </c>
      <c r="M4686">
        <v>17.040286854644101</v>
      </c>
      <c r="N4686">
        <v>54.436142332919403</v>
      </c>
      <c r="O4686">
        <v>53.354494795907598</v>
      </c>
      <c r="P4686">
        <v>-7.5669528095709301E-2</v>
      </c>
      <c r="Q4686">
        <v>5.2348776145325099E-2</v>
      </c>
      <c r="R4686">
        <v>0.98878384829421995</v>
      </c>
      <c r="S4686" t="s">
        <v>11254</v>
      </c>
      <c r="T4686" t="s">
        <v>13134</v>
      </c>
      <c r="U4686" t="s">
        <v>13134</v>
      </c>
      <c r="V4686" t="s">
        <v>13134</v>
      </c>
      <c r="W4686" t="s">
        <v>17759</v>
      </c>
      <c r="X4686">
        <v>4</v>
      </c>
      <c r="Y4686" t="s">
        <v>24131</v>
      </c>
      <c r="Z4686" t="s">
        <v>30654</v>
      </c>
      <c r="AA4686">
        <v>0.60563319342609245</v>
      </c>
      <c r="AB4686" t="str">
        <f>HYPERLINK("Melting_Curves/meltCurve_Q8TB37_NUBPL.pdf", "Melting_Curves/meltCurve_Q8TB37_NUBPL.pdf")</f>
        <v>Melting_Curves/meltCurve_Q8TB37_NUBPL.pdf</v>
      </c>
    </row>
    <row r="4687" spans="1:28" x14ac:dyDescent="0.25">
      <c r="A4687" t="s">
        <v>4691</v>
      </c>
      <c r="B4687">
        <v>0.99472303558308395</v>
      </c>
      <c r="C4687">
        <v>0.84612399667095195</v>
      </c>
      <c r="D4687">
        <v>0.81723245252050603</v>
      </c>
      <c r="E4687">
        <v>0.63660100362220895</v>
      </c>
      <c r="F4687">
        <v>0.34388822770974398</v>
      </c>
      <c r="G4687">
        <v>0.11786610591721799</v>
      </c>
      <c r="H4687">
        <v>6.2426611317835501E-2</v>
      </c>
      <c r="I4687">
        <v>2.80684727312287E-2</v>
      </c>
      <c r="J4687">
        <v>4.3879015285459198E-2</v>
      </c>
      <c r="K4687">
        <v>3.7471421639013701E-2</v>
      </c>
      <c r="L4687">
        <v>679.74571331143898</v>
      </c>
      <c r="M4687">
        <v>14.239239697695</v>
      </c>
      <c r="N4687">
        <v>47.737514852611</v>
      </c>
      <c r="O4687">
        <v>46.825566416686101</v>
      </c>
      <c r="P4687">
        <v>-7.6032199876732404E-2</v>
      </c>
      <c r="Q4687">
        <v>0</v>
      </c>
      <c r="R4687">
        <v>0.98829713755334603</v>
      </c>
      <c r="S4687" t="s">
        <v>11255</v>
      </c>
      <c r="T4687" t="s">
        <v>13134</v>
      </c>
      <c r="U4687" t="s">
        <v>13134</v>
      </c>
      <c r="V4687" t="s">
        <v>13134</v>
      </c>
      <c r="W4687" t="s">
        <v>17760</v>
      </c>
      <c r="X4687">
        <v>12</v>
      </c>
      <c r="Y4687" t="s">
        <v>24132</v>
      </c>
      <c r="Z4687" t="s">
        <v>30655</v>
      </c>
      <c r="AA4687">
        <v>0.38210398835915532</v>
      </c>
      <c r="AB4687" t="str">
        <f>HYPERLINK("Melting_Curves/meltCurve_Q8TB52_FBXO30.pdf", "Melting_Curves/meltCurve_Q8TB52_FBXO30.pdf")</f>
        <v>Melting_Curves/meltCurve_Q8TB52_FBXO30.pdf</v>
      </c>
    </row>
    <row r="4688" spans="1:28" x14ac:dyDescent="0.25">
      <c r="A4688" t="s">
        <v>4692</v>
      </c>
      <c r="B4688">
        <v>0.99472303558308395</v>
      </c>
      <c r="C4688">
        <v>0.96407814541789105</v>
      </c>
      <c r="D4688">
        <v>0.78185745525310701</v>
      </c>
      <c r="E4688">
        <v>0.68540475402920198</v>
      </c>
      <c r="F4688">
        <v>0.55710329733370501</v>
      </c>
      <c r="G4688">
        <v>0.36005950949230198</v>
      </c>
      <c r="H4688">
        <v>0.24630495058855201</v>
      </c>
      <c r="I4688">
        <v>0.19115711008171801</v>
      </c>
      <c r="J4688">
        <v>0.15347005670560801</v>
      </c>
      <c r="K4688">
        <v>0.15222717208679101</v>
      </c>
      <c r="L4688">
        <v>494.39243896329702</v>
      </c>
      <c r="M4688">
        <v>9.9248814987933596</v>
      </c>
      <c r="N4688">
        <v>50.545126628754602</v>
      </c>
      <c r="O4688">
        <v>47.917670046837401</v>
      </c>
      <c r="P4688">
        <v>-4.8340309624662202E-2</v>
      </c>
      <c r="Q4688">
        <v>6.6912384424064594E-2</v>
      </c>
      <c r="R4688">
        <v>0.992167409268633</v>
      </c>
      <c r="S4688" t="s">
        <v>11256</v>
      </c>
      <c r="T4688" t="s">
        <v>13134</v>
      </c>
      <c r="U4688" t="s">
        <v>13134</v>
      </c>
      <c r="V4688" t="s">
        <v>13134</v>
      </c>
      <c r="W4688" t="s">
        <v>17761</v>
      </c>
      <c r="X4688">
        <v>7</v>
      </c>
      <c r="Y4688" t="s">
        <v>24133</v>
      </c>
      <c r="Z4688" t="s">
        <v>30656</v>
      </c>
      <c r="AA4688">
        <v>0.49792277327572199</v>
      </c>
      <c r="AB4688" t="str">
        <f>HYPERLINK("Melting_Curves/meltCurve_Q8TB61_3_SLC35B2.pdf", "Melting_Curves/meltCurve_Q8TB61_3_SLC35B2.pdf")</f>
        <v>Melting_Curves/meltCurve_Q8TB61_3_SLC35B2.pdf</v>
      </c>
    </row>
    <row r="4689" spans="1:28" x14ac:dyDescent="0.25">
      <c r="A4689" t="s">
        <v>4693</v>
      </c>
      <c r="B4689">
        <v>0.99472303558308395</v>
      </c>
      <c r="C4689">
        <v>0.97005037802513105</v>
      </c>
      <c r="D4689">
        <v>0.83837728828841895</v>
      </c>
      <c r="E4689">
        <v>0.66290960782157204</v>
      </c>
      <c r="F4689">
        <v>0.55491931171359998</v>
      </c>
      <c r="G4689">
        <v>0.177549404607517</v>
      </c>
      <c r="H4689">
        <v>0.118102320508029</v>
      </c>
      <c r="I4689">
        <v>8.5782778800574E-2</v>
      </c>
      <c r="J4689">
        <v>0.12117426709658299</v>
      </c>
      <c r="K4689">
        <v>0.10069081703138499</v>
      </c>
      <c r="L4689">
        <v>693.66878966453703</v>
      </c>
      <c r="M4689">
        <v>14.169131955924801</v>
      </c>
      <c r="N4689">
        <v>49.3341877241904</v>
      </c>
      <c r="O4689">
        <v>48.012135888202103</v>
      </c>
      <c r="P4689">
        <v>-6.9994017936465897E-2</v>
      </c>
      <c r="Q4689">
        <v>5.14202101920102E-2</v>
      </c>
      <c r="R4689">
        <v>0.98041653550327101</v>
      </c>
      <c r="S4689" t="s">
        <v>11257</v>
      </c>
      <c r="T4689" t="s">
        <v>13134</v>
      </c>
      <c r="U4689" t="s">
        <v>13134</v>
      </c>
      <c r="V4689" t="s">
        <v>13134</v>
      </c>
      <c r="W4689" t="s">
        <v>17762</v>
      </c>
      <c r="X4689">
        <v>6</v>
      </c>
      <c r="Y4689" t="s">
        <v>24134</v>
      </c>
      <c r="Z4689" t="s">
        <v>30657</v>
      </c>
      <c r="AA4689">
        <v>0.45177970294618303</v>
      </c>
      <c r="AB4689" t="str">
        <f>HYPERLINK("Melting_Curves/meltCurve_Q8TB70_TXNDC9.pdf", "Melting_Curves/meltCurve_Q8TB70_TXNDC9.pdf")</f>
        <v>Melting_Curves/meltCurve_Q8TB70_TXNDC9.pdf</v>
      </c>
    </row>
    <row r="4690" spans="1:28" x14ac:dyDescent="0.25">
      <c r="A4690" t="s">
        <v>4694</v>
      </c>
      <c r="B4690">
        <v>0.99472303558308395</v>
      </c>
      <c r="C4690">
        <v>1.2503481691566301</v>
      </c>
      <c r="D4690">
        <v>1.0808688227381</v>
      </c>
      <c r="E4690">
        <v>0.909588147849414</v>
      </c>
      <c r="F4690">
        <v>0.82722984577149405</v>
      </c>
      <c r="G4690">
        <v>0.49761762078197203</v>
      </c>
      <c r="H4690">
        <v>0.12646129926062799</v>
      </c>
      <c r="I4690">
        <v>7.6281947090488605E-2</v>
      </c>
      <c r="J4690">
        <v>4.1164232805229503E-2</v>
      </c>
      <c r="K4690">
        <v>0</v>
      </c>
      <c r="L4690">
        <v>1286.388187495</v>
      </c>
      <c r="M4690">
        <v>24.037789550991</v>
      </c>
      <c r="N4690">
        <v>53.540422193677102</v>
      </c>
      <c r="O4690">
        <v>53.148986441470797</v>
      </c>
      <c r="P4690">
        <v>-0.11243425660859301</v>
      </c>
      <c r="Q4690">
        <v>5.62003994156305E-3</v>
      </c>
      <c r="R4690">
        <v>0.96381282740866603</v>
      </c>
      <c r="S4690" t="s">
        <v>11258</v>
      </c>
      <c r="T4690" t="s">
        <v>13134</v>
      </c>
      <c r="U4690" t="s">
        <v>13134</v>
      </c>
      <c r="V4690" t="s">
        <v>13134</v>
      </c>
      <c r="W4690" t="s">
        <v>17763</v>
      </c>
      <c r="X4690">
        <v>8</v>
      </c>
      <c r="Y4690" t="s">
        <v>19849</v>
      </c>
      <c r="Z4690" t="s">
        <v>30658</v>
      </c>
      <c r="AA4690">
        <v>0.56236326138592052</v>
      </c>
      <c r="AB4690" t="str">
        <f>HYPERLINK("Melting_Curves/meltCurve_Q8TB72_2_PUM2.pdf", "Melting_Curves/meltCurve_Q8TB72_2_PUM2.pdf")</f>
        <v>Melting_Curves/meltCurve_Q8TB72_2_PUM2.pdf</v>
      </c>
    </row>
    <row r="4691" spans="1:28" x14ac:dyDescent="0.25">
      <c r="A4691" t="s">
        <v>4695</v>
      </c>
      <c r="B4691">
        <v>0.99472303558308395</v>
      </c>
      <c r="C4691">
        <v>0.99086385687743495</v>
      </c>
      <c r="D4691">
        <v>0.89522647879191697</v>
      </c>
      <c r="E4691">
        <v>0.72099989718004198</v>
      </c>
      <c r="F4691">
        <v>0.59688421465184904</v>
      </c>
      <c r="G4691">
        <v>0.30250522021148601</v>
      </c>
      <c r="H4691">
        <v>0.17687368647198301</v>
      </c>
      <c r="I4691">
        <v>0.140144476117053</v>
      </c>
      <c r="J4691">
        <v>0.16363504136061599</v>
      </c>
      <c r="K4691">
        <v>0.15207698832330399</v>
      </c>
      <c r="L4691">
        <v>728.07984672948999</v>
      </c>
      <c r="M4691">
        <v>14.6335212469385</v>
      </c>
      <c r="N4691">
        <v>50.577964135744097</v>
      </c>
      <c r="O4691">
        <v>48.852804621404097</v>
      </c>
      <c r="P4691">
        <v>-6.6953422811372496E-2</v>
      </c>
      <c r="Q4691">
        <v>0.10602557538677</v>
      </c>
      <c r="R4691">
        <v>0.990404307473854</v>
      </c>
      <c r="S4691" t="s">
        <v>11259</v>
      </c>
      <c r="T4691" t="s">
        <v>13134</v>
      </c>
      <c r="U4691" t="s">
        <v>13134</v>
      </c>
      <c r="V4691" t="s">
        <v>13134</v>
      </c>
      <c r="W4691" t="s">
        <v>17764</v>
      </c>
      <c r="X4691">
        <v>14</v>
      </c>
      <c r="Y4691" t="s">
        <v>24135</v>
      </c>
      <c r="Z4691" t="s">
        <v>30659</v>
      </c>
      <c r="AA4691">
        <v>0.50561709810596789</v>
      </c>
      <c r="AB4691" t="str">
        <f>HYPERLINK("Melting_Curves/meltCurve_Q8TBA6_2_GOLGA5.pdf", "Melting_Curves/meltCurve_Q8TBA6_2_GOLGA5.pdf")</f>
        <v>Melting_Curves/meltCurve_Q8TBA6_2_GOLGA5.pdf</v>
      </c>
    </row>
    <row r="4692" spans="1:28" x14ac:dyDescent="0.25">
      <c r="A4692" t="s">
        <v>4696</v>
      </c>
      <c r="B4692">
        <v>0.99472303558308395</v>
      </c>
      <c r="C4692">
        <v>1.18937786648263</v>
      </c>
      <c r="D4692">
        <v>0.96537508766920499</v>
      </c>
      <c r="E4692">
        <v>0.82697328930175196</v>
      </c>
      <c r="F4692">
        <v>0.420257499286048</v>
      </c>
      <c r="G4692">
        <v>0.20742405404383399</v>
      </c>
      <c r="H4692">
        <v>0.117364153778971</v>
      </c>
      <c r="I4692">
        <v>6.7501433366218194E-2</v>
      </c>
      <c r="J4692">
        <v>6.1774453287929597E-2</v>
      </c>
      <c r="K4692">
        <v>5.6387975577027301E-2</v>
      </c>
      <c r="L4692">
        <v>1181.8003679453</v>
      </c>
      <c r="M4692">
        <v>23.942019114731998</v>
      </c>
      <c r="N4692">
        <v>49.660253529225699</v>
      </c>
      <c r="O4692">
        <v>49.020438723569903</v>
      </c>
      <c r="P4692">
        <v>-0.113900076288727</v>
      </c>
      <c r="Q4692">
        <v>6.7189364812800606E-2</v>
      </c>
      <c r="R4692">
        <v>0.97895090789475503</v>
      </c>
      <c r="S4692" t="s">
        <v>11260</v>
      </c>
      <c r="T4692" t="s">
        <v>13134</v>
      </c>
      <c r="U4692" t="s">
        <v>13134</v>
      </c>
      <c r="V4692" t="s">
        <v>13134</v>
      </c>
      <c r="W4692" t="s">
        <v>17765</v>
      </c>
      <c r="X4692">
        <v>8</v>
      </c>
      <c r="Y4692" t="s">
        <v>24136</v>
      </c>
      <c r="Z4692" t="s">
        <v>30660</v>
      </c>
      <c r="AA4692">
        <v>0.46033568023796118</v>
      </c>
      <c r="AB4692" t="str">
        <f>HYPERLINK("Melting_Curves/meltCurve_Q8TBB5_3_KLHDC4.pdf", "Melting_Curves/meltCurve_Q8TBB5_3_KLHDC4.pdf")</f>
        <v>Melting_Curves/meltCurve_Q8TBB5_3_KLHDC4.pdf</v>
      </c>
    </row>
    <row r="4693" spans="1:28" x14ac:dyDescent="0.25">
      <c r="A4693" t="s">
        <v>4697</v>
      </c>
      <c r="B4693">
        <v>0.99472303558308395</v>
      </c>
      <c r="C4693">
        <v>0.96727056260109101</v>
      </c>
      <c r="D4693">
        <v>0.92069517801733503</v>
      </c>
      <c r="E4693">
        <v>0.81645836123901105</v>
      </c>
      <c r="F4693">
        <v>0.33152693157727697</v>
      </c>
      <c r="G4693">
        <v>0.10343810455934099</v>
      </c>
      <c r="H4693">
        <v>5.3411784214398003E-2</v>
      </c>
      <c r="I4693">
        <v>4.1473128799228202E-2</v>
      </c>
      <c r="J4693">
        <v>4.6905433438096798E-2</v>
      </c>
      <c r="K4693">
        <v>4.1769795487714999E-2</v>
      </c>
      <c r="L4693">
        <v>1383.6063421004401</v>
      </c>
      <c r="M4693">
        <v>28.360201240063098</v>
      </c>
      <c r="N4693">
        <v>48.932747112430903</v>
      </c>
      <c r="O4693">
        <v>48.546278119103903</v>
      </c>
      <c r="P4693">
        <v>-0.14012956961494999</v>
      </c>
      <c r="Q4693">
        <v>4.0527036643196998E-2</v>
      </c>
      <c r="R4693">
        <v>0.99718493679445497</v>
      </c>
      <c r="S4693" t="s">
        <v>11261</v>
      </c>
      <c r="T4693" t="s">
        <v>13134</v>
      </c>
      <c r="U4693" t="s">
        <v>13134</v>
      </c>
      <c r="V4693" t="s">
        <v>13134</v>
      </c>
      <c r="W4693" t="s">
        <v>17766</v>
      </c>
      <c r="X4693">
        <v>14</v>
      </c>
      <c r="Y4693" t="s">
        <v>24137</v>
      </c>
      <c r="Z4693" t="s">
        <v>30661</v>
      </c>
      <c r="AA4693">
        <v>0.42394902454838518</v>
      </c>
      <c r="AB4693" t="str">
        <f>HYPERLINK("Melting_Curves/meltCurve_Q8TBC4_UBA3.pdf", "Melting_Curves/meltCurve_Q8TBC4_UBA3.pdf")</f>
        <v>Melting_Curves/meltCurve_Q8TBC4_UBA3.pdf</v>
      </c>
    </row>
    <row r="4694" spans="1:28" x14ac:dyDescent="0.25">
      <c r="A4694" t="s">
        <v>4698</v>
      </c>
      <c r="B4694">
        <v>0.99472303558308395</v>
      </c>
      <c r="C4694">
        <v>0.83555230907350497</v>
      </c>
      <c r="D4694">
        <v>0.82421637046288898</v>
      </c>
      <c r="E4694">
        <v>0.54568129151961897</v>
      </c>
      <c r="F4694">
        <v>0.48129897235480701</v>
      </c>
      <c r="G4694">
        <v>0.28521855352766901</v>
      </c>
      <c r="H4694">
        <v>0.28531072616137998</v>
      </c>
      <c r="I4694">
        <v>0.27193057238101098</v>
      </c>
      <c r="J4694">
        <v>0.473523744909983</v>
      </c>
      <c r="K4694">
        <v>0.350654958129409</v>
      </c>
      <c r="L4694">
        <v>721.95096733589503</v>
      </c>
      <c r="M4694">
        <v>16.118158249914899</v>
      </c>
      <c r="N4694">
        <v>47.956242380526497</v>
      </c>
      <c r="O4694">
        <v>44.118709096135198</v>
      </c>
      <c r="P4694">
        <v>-6.1433457136087298E-2</v>
      </c>
      <c r="Q4694">
        <v>0.32742729741408499</v>
      </c>
      <c r="R4694">
        <v>0.92231445408455803</v>
      </c>
      <c r="S4694" t="s">
        <v>11262</v>
      </c>
      <c r="T4694" t="s">
        <v>13134</v>
      </c>
      <c r="U4694" t="s">
        <v>13134</v>
      </c>
      <c r="V4694" t="s">
        <v>13134</v>
      </c>
      <c r="W4694" t="s">
        <v>17767</v>
      </c>
      <c r="X4694">
        <v>1</v>
      </c>
      <c r="Y4694" t="s">
        <v>24138</v>
      </c>
      <c r="Z4694" t="s">
        <v>30662</v>
      </c>
      <c r="AA4694">
        <v>0.51602792807282949</v>
      </c>
      <c r="AB4694" t="str">
        <f>HYPERLINK("Melting_Curves/meltCurve_Q8TBE0_3_BAHD1.pdf", "Melting_Curves/meltCurve_Q8TBE0_3_BAHD1.pdf")</f>
        <v>Melting_Curves/meltCurve_Q8TBE0_3_BAHD1.pdf</v>
      </c>
    </row>
    <row r="4695" spans="1:28" x14ac:dyDescent="0.25">
      <c r="A4695" t="s">
        <v>4699</v>
      </c>
      <c r="B4695">
        <v>0.99472303558308395</v>
      </c>
      <c r="C4695">
        <v>1.0432280024731999</v>
      </c>
      <c r="D4695">
        <v>0.97111128992037998</v>
      </c>
      <c r="E4695">
        <v>0.91268364987181705</v>
      </c>
      <c r="F4695">
        <v>0.62768638469763904</v>
      </c>
      <c r="G4695">
        <v>0.25492412006443899</v>
      </c>
      <c r="H4695">
        <v>0.13842573980433401</v>
      </c>
      <c r="I4695">
        <v>9.0309720560921805E-2</v>
      </c>
      <c r="J4695">
        <v>0.10590224068649</v>
      </c>
      <c r="K4695">
        <v>8.8321241950515703E-2</v>
      </c>
      <c r="L4695">
        <v>1324.7125252025701</v>
      </c>
      <c r="M4695">
        <v>26.059360681476999</v>
      </c>
      <c r="N4695">
        <v>51.220400810579797</v>
      </c>
      <c r="O4695">
        <v>50.537904312069898</v>
      </c>
      <c r="P4695">
        <v>-0.117419283195765</v>
      </c>
      <c r="Q4695">
        <v>8.9147799343894205E-2</v>
      </c>
      <c r="R4695">
        <v>0.99818331451547904</v>
      </c>
      <c r="S4695" t="s">
        <v>11263</v>
      </c>
      <c r="T4695" t="s">
        <v>13134</v>
      </c>
      <c r="U4695" t="s">
        <v>13134</v>
      </c>
      <c r="V4695" t="s">
        <v>13134</v>
      </c>
      <c r="W4695" t="s">
        <v>17768</v>
      </c>
      <c r="X4695">
        <v>6</v>
      </c>
      <c r="Y4695" t="s">
        <v>24139</v>
      </c>
      <c r="Z4695" t="s">
        <v>30663</v>
      </c>
      <c r="AA4695">
        <v>0.51660938990097638</v>
      </c>
      <c r="AB4695" t="str">
        <f>HYPERLINK("Melting_Curves/meltCurve_Q8TBE9_NANP.pdf", "Melting_Curves/meltCurve_Q8TBE9_NANP.pdf")</f>
        <v>Melting_Curves/meltCurve_Q8TBE9_NANP.pdf</v>
      </c>
    </row>
    <row r="4696" spans="1:28" x14ac:dyDescent="0.25">
      <c r="A4696" t="s">
        <v>4700</v>
      </c>
      <c r="B4696">
        <v>0.99472303558308395</v>
      </c>
      <c r="C4696">
        <v>0.83723017552864198</v>
      </c>
      <c r="D4696">
        <v>0.79220322096821205</v>
      </c>
      <c r="E4696">
        <v>0.58929589083317402</v>
      </c>
      <c r="F4696">
        <v>0.49038501108488303</v>
      </c>
      <c r="G4696">
        <v>0.21434419546713199</v>
      </c>
      <c r="H4696">
        <v>0.14270845451391101</v>
      </c>
      <c r="I4696">
        <v>8.9423382148380096E-2</v>
      </c>
      <c r="J4696">
        <v>8.10099220480405E-2</v>
      </c>
      <c r="K4696">
        <v>7.2721543554678802E-2</v>
      </c>
      <c r="L4696">
        <v>498.92668704430002</v>
      </c>
      <c r="M4696">
        <v>10.299967592021501</v>
      </c>
      <c r="N4696">
        <v>48.439636611742998</v>
      </c>
      <c r="O4696">
        <v>46.720323222108703</v>
      </c>
      <c r="P4696">
        <v>-5.5138969374198099E-2</v>
      </c>
      <c r="Q4696">
        <v>0</v>
      </c>
      <c r="R4696">
        <v>0.98645407240984295</v>
      </c>
      <c r="S4696" t="s">
        <v>11264</v>
      </c>
      <c r="T4696" t="s">
        <v>13134</v>
      </c>
      <c r="U4696" t="s">
        <v>13134</v>
      </c>
      <c r="V4696" t="s">
        <v>13134</v>
      </c>
      <c r="W4696" t="s">
        <v>17769</v>
      </c>
      <c r="X4696">
        <v>2</v>
      </c>
      <c r="Y4696" t="s">
        <v>24140</v>
      </c>
      <c r="Z4696" t="s">
        <v>30664</v>
      </c>
      <c r="AA4696">
        <v>0.41878559083832589</v>
      </c>
      <c r="AB4696" t="str">
        <f>HYPERLINK("Melting_Curves/meltCurve_Q8TBM8_2_DNAJB14.pdf", "Melting_Curves/meltCurve_Q8TBM8_2_DNAJB14.pdf")</f>
        <v>Melting_Curves/meltCurve_Q8TBM8_2_DNAJB14.pdf</v>
      </c>
    </row>
    <row r="4697" spans="1:28" x14ac:dyDescent="0.25">
      <c r="A4697" t="s">
        <v>4701</v>
      </c>
      <c r="B4697">
        <v>0.99472303558308395</v>
      </c>
      <c r="C4697">
        <v>1.0811709032119601</v>
      </c>
      <c r="D4697">
        <v>0.96040505920811303</v>
      </c>
      <c r="E4697">
        <v>0.89871991052364697</v>
      </c>
      <c r="F4697">
        <v>0.57989426827254598</v>
      </c>
      <c r="G4697">
        <v>0.22696779455961799</v>
      </c>
      <c r="H4697">
        <v>8.0707042887978905E-2</v>
      </c>
      <c r="I4697">
        <v>5.4204117613857197E-2</v>
      </c>
      <c r="J4697">
        <v>5.1793144933138802E-2</v>
      </c>
      <c r="K4697">
        <v>5.40419251463721E-2</v>
      </c>
      <c r="L4697">
        <v>1260.0369087629899</v>
      </c>
      <c r="M4697">
        <v>24.869893364579699</v>
      </c>
      <c r="N4697">
        <v>50.850463343716697</v>
      </c>
      <c r="O4697">
        <v>50.340997046790001</v>
      </c>
      <c r="P4697">
        <v>-0.118158079635348</v>
      </c>
      <c r="Q4697">
        <v>4.3323280426189902E-2</v>
      </c>
      <c r="R4697">
        <v>0.99565221275330495</v>
      </c>
      <c r="S4697" t="s">
        <v>11265</v>
      </c>
      <c r="T4697" t="s">
        <v>13134</v>
      </c>
      <c r="U4697" t="s">
        <v>13134</v>
      </c>
      <c r="V4697" t="s">
        <v>13134</v>
      </c>
      <c r="W4697" t="s">
        <v>17770</v>
      </c>
      <c r="X4697">
        <v>11</v>
      </c>
      <c r="Y4697" t="s">
        <v>24141</v>
      </c>
      <c r="Z4697" t="s">
        <v>30665</v>
      </c>
      <c r="AA4697">
        <v>0.48759628806054089</v>
      </c>
      <c r="AB4697" t="str">
        <f>HYPERLINK("Melting_Curves/meltCurve_Q8TBN0_RAB3IL1.pdf", "Melting_Curves/meltCurve_Q8TBN0_RAB3IL1.pdf")</f>
        <v>Melting_Curves/meltCurve_Q8TBN0_RAB3IL1.pdf</v>
      </c>
    </row>
    <row r="4698" spans="1:28" x14ac:dyDescent="0.25">
      <c r="A4698" t="s">
        <v>4702</v>
      </c>
      <c r="B4698">
        <v>0.99472303558308395</v>
      </c>
      <c r="C4698">
        <v>0.91391640149412001</v>
      </c>
      <c r="D4698">
        <v>0.95533951501780601</v>
      </c>
      <c r="E4698">
        <v>0.74310332542325097</v>
      </c>
      <c r="F4698">
        <v>0.53664611655815098</v>
      </c>
      <c r="G4698">
        <v>0.24757432934806101</v>
      </c>
      <c r="H4698">
        <v>9.8076894657102703E-2</v>
      </c>
      <c r="I4698">
        <v>4.9143062496068701E-2</v>
      </c>
      <c r="J4698">
        <v>6.2076421089688298E-2</v>
      </c>
      <c r="K4698">
        <v>8.57261962989153E-2</v>
      </c>
      <c r="L4698">
        <v>829.27117438764503</v>
      </c>
      <c r="M4698">
        <v>16.607082950634599</v>
      </c>
      <c r="N4698">
        <v>50.127364528979001</v>
      </c>
      <c r="O4698">
        <v>49.2276067407062</v>
      </c>
      <c r="P4698">
        <v>-8.1737607103829699E-2</v>
      </c>
      <c r="Q4698">
        <v>3.0901949080844999E-2</v>
      </c>
      <c r="R4698">
        <v>0.99195871344129405</v>
      </c>
      <c r="S4698" t="s">
        <v>11266</v>
      </c>
      <c r="T4698" t="s">
        <v>13134</v>
      </c>
      <c r="U4698" t="s">
        <v>13134</v>
      </c>
      <c r="V4698" t="s">
        <v>13134</v>
      </c>
      <c r="W4698" t="s">
        <v>17771</v>
      </c>
      <c r="X4698">
        <v>11</v>
      </c>
      <c r="Y4698" t="s">
        <v>24141</v>
      </c>
      <c r="Z4698" t="s">
        <v>30666</v>
      </c>
      <c r="AA4698">
        <v>0.46613911724776441</v>
      </c>
      <c r="AB4698" t="str">
        <f>HYPERLINK("Melting_Curves/meltCurve_Q8TBN0_2_RAB3IL1.pdf", "Melting_Curves/meltCurve_Q8TBN0_2_RAB3IL1.pdf")</f>
        <v>Melting_Curves/meltCurve_Q8TBN0_2_RAB3IL1.pdf</v>
      </c>
    </row>
    <row r="4699" spans="1:28" x14ac:dyDescent="0.25">
      <c r="A4699" t="s">
        <v>4703</v>
      </c>
      <c r="B4699">
        <v>0.99472303558308395</v>
      </c>
      <c r="C4699">
        <v>0.98904116418872801</v>
      </c>
      <c r="D4699">
        <v>0.75140508240908199</v>
      </c>
      <c r="E4699">
        <v>0.66396105965156804</v>
      </c>
      <c r="F4699">
        <v>0.48254945553132</v>
      </c>
      <c r="G4699">
        <v>0.37271357597229499</v>
      </c>
      <c r="H4699">
        <v>0.32562043171191701</v>
      </c>
      <c r="I4699">
        <v>0.232046247772006</v>
      </c>
      <c r="J4699">
        <v>0.29170681616725902</v>
      </c>
      <c r="K4699">
        <v>0.24349050507193201</v>
      </c>
      <c r="L4699">
        <v>579.17762124373701</v>
      </c>
      <c r="M4699">
        <v>12.2826445654217</v>
      </c>
      <c r="N4699">
        <v>49.673393105200098</v>
      </c>
      <c r="O4699">
        <v>45.956479527948801</v>
      </c>
      <c r="P4699">
        <v>-5.13389141656675E-2</v>
      </c>
      <c r="Q4699">
        <v>0.231814881217418</v>
      </c>
      <c r="R4699">
        <v>0.98369241893872905</v>
      </c>
      <c r="S4699" t="s">
        <v>11267</v>
      </c>
      <c r="T4699" t="s">
        <v>13134</v>
      </c>
      <c r="U4699" t="s">
        <v>13134</v>
      </c>
      <c r="V4699" t="s">
        <v>13134</v>
      </c>
      <c r="W4699" t="s">
        <v>17772</v>
      </c>
      <c r="X4699">
        <v>3</v>
      </c>
      <c r="Y4699" t="s">
        <v>24142</v>
      </c>
      <c r="Z4699" t="s">
        <v>30667</v>
      </c>
      <c r="AA4699">
        <v>0.51597372485913051</v>
      </c>
      <c r="AB4699" t="str">
        <f>HYPERLINK("Melting_Curves/meltCurve_Q8TBP6_SLC25A40.pdf", "Melting_Curves/meltCurve_Q8TBP6_SLC25A40.pdf")</f>
        <v>Melting_Curves/meltCurve_Q8TBP6_SLC25A40.pdf</v>
      </c>
    </row>
    <row r="4700" spans="1:28" x14ac:dyDescent="0.25">
      <c r="A4700" t="s">
        <v>4704</v>
      </c>
      <c r="B4700">
        <v>0.99472303558308395</v>
      </c>
      <c r="C4700">
        <v>0.89063109761361803</v>
      </c>
      <c r="D4700">
        <v>0.91816431548763899</v>
      </c>
      <c r="E4700">
        <v>0.74323162124685505</v>
      </c>
      <c r="F4700">
        <v>0.36645836839229301</v>
      </c>
      <c r="G4700">
        <v>0.146313639186675</v>
      </c>
      <c r="H4700">
        <v>9.4190788707565198E-2</v>
      </c>
      <c r="I4700">
        <v>7.1258066036748197E-2</v>
      </c>
      <c r="J4700">
        <v>9.2190646991955005E-2</v>
      </c>
      <c r="K4700">
        <v>8.1507744872636401E-2</v>
      </c>
      <c r="L4700">
        <v>1043.69173436136</v>
      </c>
      <c r="M4700">
        <v>21.544864142386199</v>
      </c>
      <c r="N4700">
        <v>48.778602088161499</v>
      </c>
      <c r="O4700">
        <v>48.031182948364901</v>
      </c>
      <c r="P4700">
        <v>-0.10441220135203599</v>
      </c>
      <c r="Q4700">
        <v>6.8934802011155399E-2</v>
      </c>
      <c r="R4700">
        <v>0.99152854132673496</v>
      </c>
      <c r="S4700" t="s">
        <v>11268</v>
      </c>
      <c r="T4700" t="s">
        <v>13134</v>
      </c>
      <c r="U4700" t="s">
        <v>13134</v>
      </c>
      <c r="V4700" t="s">
        <v>13134</v>
      </c>
      <c r="W4700" t="s">
        <v>17773</v>
      </c>
      <c r="X4700">
        <v>16</v>
      </c>
      <c r="Y4700" t="s">
        <v>24143</v>
      </c>
      <c r="Z4700" t="s">
        <v>30668</v>
      </c>
      <c r="AA4700">
        <v>0.43471425996095431</v>
      </c>
      <c r="AB4700" t="str">
        <f>HYPERLINK("Melting_Curves/meltCurve_Q8TBX8_PIP4K2C.pdf", "Melting_Curves/meltCurve_Q8TBX8_PIP4K2C.pdf")</f>
        <v>Melting_Curves/meltCurve_Q8TBX8_PIP4K2C.pdf</v>
      </c>
    </row>
    <row r="4701" spans="1:28" x14ac:dyDescent="0.25">
      <c r="A4701" t="s">
        <v>4705</v>
      </c>
      <c r="B4701">
        <v>0.99472303558308395</v>
      </c>
      <c r="C4701">
        <v>0.96738260289014</v>
      </c>
      <c r="D4701">
        <v>0.83564026890705401</v>
      </c>
      <c r="E4701">
        <v>0.774579300143451</v>
      </c>
      <c r="F4701">
        <v>0.62891301976320901</v>
      </c>
      <c r="G4701">
        <v>0.38346608134580301</v>
      </c>
      <c r="H4701">
        <v>0.14142860556384601</v>
      </c>
      <c r="I4701">
        <v>7.9749834009195206E-2</v>
      </c>
      <c r="J4701">
        <v>7.0187691535810406E-2</v>
      </c>
      <c r="K4701">
        <v>4.6170694952991899E-2</v>
      </c>
      <c r="L4701">
        <v>667.95890873622102</v>
      </c>
      <c r="M4701">
        <v>13.020936400075501</v>
      </c>
      <c r="N4701">
        <v>51.298838357922698</v>
      </c>
      <c r="O4701">
        <v>50.134077164281301</v>
      </c>
      <c r="P4701">
        <v>-6.4941939462784495E-2</v>
      </c>
      <c r="Q4701">
        <v>0</v>
      </c>
      <c r="R4701">
        <v>0.98760112478251405</v>
      </c>
      <c r="S4701" t="s">
        <v>11269</v>
      </c>
      <c r="T4701" t="s">
        <v>13134</v>
      </c>
      <c r="U4701" t="s">
        <v>13134</v>
      </c>
      <c r="V4701" t="s">
        <v>13134</v>
      </c>
      <c r="W4701" t="s">
        <v>17774</v>
      </c>
      <c r="X4701">
        <v>4</v>
      </c>
      <c r="Y4701" t="s">
        <v>24144</v>
      </c>
      <c r="Z4701" t="s">
        <v>30669</v>
      </c>
      <c r="AA4701">
        <v>0.50003534100438174</v>
      </c>
      <c r="AB4701" t="str">
        <f>HYPERLINK("Melting_Curves/meltCurve_Q8TBZ3_WDR20.pdf", "Melting_Curves/meltCurve_Q8TBZ3_WDR20.pdf")</f>
        <v>Melting_Curves/meltCurve_Q8TBZ3_WDR20.pdf</v>
      </c>
    </row>
    <row r="4702" spans="1:28" x14ac:dyDescent="0.25">
      <c r="A4702" t="s">
        <v>4706</v>
      </c>
      <c r="B4702">
        <v>0.99472303558308395</v>
      </c>
      <c r="C4702">
        <v>1.07786127201142</v>
      </c>
      <c r="D4702">
        <v>0.90345282906940005</v>
      </c>
      <c r="E4702">
        <v>0.85853930262667799</v>
      </c>
      <c r="F4702">
        <v>0.50364713598246602</v>
      </c>
      <c r="G4702">
        <v>0.16319201504561101</v>
      </c>
      <c r="H4702">
        <v>0.112598080091721</v>
      </c>
      <c r="I4702">
        <v>0.109479350949464</v>
      </c>
      <c r="J4702">
        <v>0.103325205025776</v>
      </c>
      <c r="K4702">
        <v>3.0133782255759699E-2</v>
      </c>
      <c r="L4702">
        <v>1234.21624714106</v>
      </c>
      <c r="M4702">
        <v>24.798788420649899</v>
      </c>
      <c r="N4702">
        <v>50.081455163305698</v>
      </c>
      <c r="O4702">
        <v>49.448971870125398</v>
      </c>
      <c r="P4702">
        <v>-0.116397159399636</v>
      </c>
      <c r="Q4702">
        <v>7.1625680636821801E-2</v>
      </c>
      <c r="R4702">
        <v>0.98949215402840196</v>
      </c>
      <c r="S4702" t="s">
        <v>11270</v>
      </c>
      <c r="T4702" t="s">
        <v>13134</v>
      </c>
      <c r="U4702" t="s">
        <v>13134</v>
      </c>
      <c r="V4702" t="s">
        <v>13134</v>
      </c>
      <c r="W4702" t="s">
        <v>17775</v>
      </c>
      <c r="X4702">
        <v>4</v>
      </c>
      <c r="Y4702" t="s">
        <v>24145</v>
      </c>
      <c r="Z4702" t="s">
        <v>30670</v>
      </c>
      <c r="AA4702">
        <v>0.47500402834210032</v>
      </c>
      <c r="AB4702" t="str">
        <f>HYPERLINK("Melting_Curves/meltCurve_Q8TBZ6_TRMT10A.pdf", "Melting_Curves/meltCurve_Q8TBZ6_TRMT10A.pdf")</f>
        <v>Melting_Curves/meltCurve_Q8TBZ6_TRMT10A.pdf</v>
      </c>
    </row>
    <row r="4703" spans="1:28" x14ac:dyDescent="0.25">
      <c r="A4703" t="s">
        <v>4707</v>
      </c>
      <c r="B4703">
        <v>0.99472303558308395</v>
      </c>
      <c r="C4703">
        <v>0.95251961713942501</v>
      </c>
      <c r="D4703">
        <v>0.91616657364480403</v>
      </c>
      <c r="E4703">
        <v>0.60902563585865899</v>
      </c>
      <c r="F4703">
        <v>0.16882441038576201</v>
      </c>
      <c r="G4703">
        <v>9.3782249998465697E-2</v>
      </c>
      <c r="H4703">
        <v>5.8171775809519301E-2</v>
      </c>
      <c r="I4703">
        <v>4.8089831037172397E-2</v>
      </c>
      <c r="J4703">
        <v>5.12383381731219E-2</v>
      </c>
      <c r="K4703">
        <v>4.2771756615744103E-2</v>
      </c>
      <c r="L4703">
        <v>1304.86617291516</v>
      </c>
      <c r="M4703">
        <v>27.712812034081299</v>
      </c>
      <c r="N4703">
        <v>47.257919585101902</v>
      </c>
      <c r="O4703">
        <v>46.842168914137403</v>
      </c>
      <c r="P4703">
        <v>-0.14078707664559501</v>
      </c>
      <c r="Q4703">
        <v>4.8134985005175997E-2</v>
      </c>
      <c r="R4703">
        <v>0.99795047576574503</v>
      </c>
      <c r="S4703" t="s">
        <v>11271</v>
      </c>
      <c r="T4703" t="s">
        <v>13134</v>
      </c>
      <c r="U4703" t="s">
        <v>13134</v>
      </c>
      <c r="V4703" t="s">
        <v>13134</v>
      </c>
      <c r="W4703" t="s">
        <v>17776</v>
      </c>
      <c r="X4703">
        <v>17</v>
      </c>
      <c r="Y4703" t="s">
        <v>24146</v>
      </c>
      <c r="Z4703" t="s">
        <v>30671</v>
      </c>
      <c r="AA4703">
        <v>0.37463387957041061</v>
      </c>
      <c r="AB4703" t="str">
        <f>HYPERLINK("Melting_Curves/meltCurve_Q8TC07_2_TBC1D15.pdf", "Melting_Curves/meltCurve_Q8TC07_2_TBC1D15.pdf")</f>
        <v>Melting_Curves/meltCurve_Q8TC07_2_TBC1D15.pdf</v>
      </c>
    </row>
    <row r="4704" spans="1:28" x14ac:dyDescent="0.25">
      <c r="A4704" t="s">
        <v>4708</v>
      </c>
      <c r="B4704">
        <v>0.99472303558308395</v>
      </c>
      <c r="C4704">
        <v>0.93920937279744499</v>
      </c>
      <c r="D4704">
        <v>1.0329971671867</v>
      </c>
      <c r="E4704">
        <v>0.75532983042032098</v>
      </c>
      <c r="F4704">
        <v>0.13910621631266101</v>
      </c>
      <c r="G4704">
        <v>7.3957303964360094E-2</v>
      </c>
      <c r="H4704">
        <v>4.3532889625081797E-2</v>
      </c>
      <c r="I4704">
        <v>3.1024502125406899E-2</v>
      </c>
      <c r="J4704">
        <v>3.9637790588459502E-2</v>
      </c>
      <c r="K4704">
        <v>2.8649790415960202E-2</v>
      </c>
      <c r="L4704">
        <v>2121.93843234408</v>
      </c>
      <c r="M4704">
        <v>44.451501404389397</v>
      </c>
      <c r="N4704">
        <v>47.830167998573401</v>
      </c>
      <c r="O4704">
        <v>47.639725141783899</v>
      </c>
      <c r="P4704">
        <v>-0.22349965968216601</v>
      </c>
      <c r="Q4704">
        <v>4.18818225675162E-2</v>
      </c>
      <c r="R4704">
        <v>0.99665172464018803</v>
      </c>
      <c r="S4704" t="s">
        <v>11272</v>
      </c>
      <c r="T4704" t="s">
        <v>13134</v>
      </c>
      <c r="U4704" t="s">
        <v>13134</v>
      </c>
      <c r="V4704" t="s">
        <v>13134</v>
      </c>
      <c r="W4704" t="s">
        <v>17777</v>
      </c>
      <c r="X4704">
        <v>6</v>
      </c>
      <c r="Y4704" t="s">
        <v>24147</v>
      </c>
      <c r="Z4704" t="s">
        <v>30672</v>
      </c>
      <c r="AA4704">
        <v>0.38731772827684369</v>
      </c>
      <c r="AB4704" t="str">
        <f>HYPERLINK("Melting_Curves/meltCurve_Q8TC12_RDH11.pdf", "Melting_Curves/meltCurve_Q8TC12_RDH11.pdf")</f>
        <v>Melting_Curves/meltCurve_Q8TC12_RDH11.pdf</v>
      </c>
    </row>
    <row r="4705" spans="1:28" x14ac:dyDescent="0.25">
      <c r="A4705" t="s">
        <v>4709</v>
      </c>
      <c r="B4705">
        <v>0.99472303558308395</v>
      </c>
      <c r="C4705">
        <v>0.83079562344634195</v>
      </c>
      <c r="D4705">
        <v>1.1491216017750601</v>
      </c>
      <c r="E4705">
        <v>1.0296457445892599</v>
      </c>
      <c r="F4705">
        <v>0.81612515029356603</v>
      </c>
      <c r="G4705">
        <v>0.731866593951081</v>
      </c>
      <c r="H4705">
        <v>0.101904135301278</v>
      </c>
      <c r="I4705">
        <v>7.4232272640705699E-2</v>
      </c>
      <c r="J4705">
        <v>4.9544975990298598E-2</v>
      </c>
      <c r="K4705">
        <v>4.88613585866087E-2</v>
      </c>
      <c r="L4705">
        <v>2701.8679299014798</v>
      </c>
      <c r="M4705">
        <v>49.388784300994203</v>
      </c>
      <c r="N4705">
        <v>54.816575186098902</v>
      </c>
      <c r="O4705">
        <v>54.616637990005501</v>
      </c>
      <c r="P4705">
        <v>-0.21536251971029799</v>
      </c>
      <c r="Q4705">
        <v>4.7365394150505398E-2</v>
      </c>
      <c r="R4705">
        <v>0.95579521790940802</v>
      </c>
      <c r="S4705" t="s">
        <v>11273</v>
      </c>
      <c r="T4705" t="s">
        <v>13134</v>
      </c>
      <c r="U4705" t="s">
        <v>13134</v>
      </c>
      <c r="V4705" t="s">
        <v>13134</v>
      </c>
      <c r="W4705" t="s">
        <v>17778</v>
      </c>
      <c r="X4705">
        <v>5</v>
      </c>
      <c r="Y4705" t="s">
        <v>24148</v>
      </c>
      <c r="Z4705" t="s">
        <v>30673</v>
      </c>
      <c r="AA4705">
        <v>0.61196356390344697</v>
      </c>
      <c r="AB4705" t="str">
        <f>HYPERLINK("Melting_Curves/meltCurve_Q8TCA0_LRRC20.pdf", "Melting_Curves/meltCurve_Q8TCA0_LRRC20.pdf")</f>
        <v>Melting_Curves/meltCurve_Q8TCA0_LRRC20.pdf</v>
      </c>
    </row>
    <row r="4706" spans="1:28" x14ac:dyDescent="0.25">
      <c r="A4706" t="s">
        <v>4710</v>
      </c>
      <c r="B4706">
        <v>0.99472303558308395</v>
      </c>
      <c r="C4706">
        <v>1.03954249750446</v>
      </c>
      <c r="D4706">
        <v>0.97498414130268896</v>
      </c>
      <c r="E4706">
        <v>0.83746520992867002</v>
      </c>
      <c r="F4706">
        <v>0.56819174580090903</v>
      </c>
      <c r="G4706">
        <v>0.362640776512068</v>
      </c>
      <c r="H4706">
        <v>0.236125799944017</v>
      </c>
      <c r="I4706">
        <v>0.19161895048429201</v>
      </c>
      <c r="J4706">
        <v>0.32456583636683201</v>
      </c>
      <c r="K4706">
        <v>0.268167969664104</v>
      </c>
      <c r="L4706">
        <v>1141.5334460203301</v>
      </c>
      <c r="M4706">
        <v>23.095111877033801</v>
      </c>
      <c r="N4706">
        <v>50.9435664900153</v>
      </c>
      <c r="O4706">
        <v>49.061388430753702</v>
      </c>
      <c r="P4706">
        <v>-8.8437502313803804E-2</v>
      </c>
      <c r="Q4706">
        <v>0.24853592698385801</v>
      </c>
      <c r="R4706">
        <v>0.98709301530763205</v>
      </c>
      <c r="S4706" t="s">
        <v>11274</v>
      </c>
      <c r="T4706" t="s">
        <v>13134</v>
      </c>
      <c r="U4706" t="s">
        <v>13134</v>
      </c>
      <c r="V4706" t="s">
        <v>13134</v>
      </c>
      <c r="W4706" t="s">
        <v>17779</v>
      </c>
      <c r="X4706">
        <v>1</v>
      </c>
      <c r="Y4706" t="s">
        <v>24149</v>
      </c>
      <c r="Z4706" t="s">
        <v>30674</v>
      </c>
      <c r="AA4706">
        <v>0.5674254328299978</v>
      </c>
      <c r="AB4706" t="str">
        <f>HYPERLINK("Melting_Curves/meltCurve_Q8TCB7_METTL6.pdf", "Melting_Curves/meltCurve_Q8TCB7_METTL6.pdf")</f>
        <v>Melting_Curves/meltCurve_Q8TCB7_METTL6.pdf</v>
      </c>
    </row>
    <row r="4707" spans="1:28" x14ac:dyDescent="0.25">
      <c r="A4707" t="s">
        <v>4711</v>
      </c>
      <c r="B4707">
        <v>0.99472303558308395</v>
      </c>
      <c r="C4707">
        <v>1.0947284439716001</v>
      </c>
      <c r="D4707">
        <v>0.94577428822371001</v>
      </c>
      <c r="E4707">
        <v>0.95118742699514303</v>
      </c>
      <c r="F4707">
        <v>0.75540746964967698</v>
      </c>
      <c r="G4707">
        <v>0.61869424834891595</v>
      </c>
      <c r="H4707">
        <v>0.495971593537815</v>
      </c>
      <c r="I4707">
        <v>0.63218664595387697</v>
      </c>
      <c r="J4707">
        <v>0.77913249791536199</v>
      </c>
      <c r="K4707">
        <v>0.69700951860236704</v>
      </c>
      <c r="L4707">
        <v>1999.16847281782</v>
      </c>
      <c r="M4707">
        <v>40.778895519193597</v>
      </c>
      <c r="O4707">
        <v>48.9071325219249</v>
      </c>
      <c r="P4707">
        <v>-7.4147467210824297E-2</v>
      </c>
      <c r="Q4707">
        <v>0.64429315722038005</v>
      </c>
      <c r="R4707">
        <v>0.83093318092258495</v>
      </c>
      <c r="S4707" t="s">
        <v>11275</v>
      </c>
      <c r="T4707" t="s">
        <v>13134</v>
      </c>
      <c r="U4707" t="s">
        <v>13134</v>
      </c>
      <c r="V4707" t="s">
        <v>13134</v>
      </c>
      <c r="W4707" t="s">
        <v>17780</v>
      </c>
      <c r="X4707">
        <v>1</v>
      </c>
      <c r="Y4707" t="s">
        <v>24150</v>
      </c>
      <c r="Z4707" t="s">
        <v>30675</v>
      </c>
      <c r="AA4707">
        <v>0.78802664225833507</v>
      </c>
      <c r="AB4707" t="str">
        <f>HYPERLINK("Melting_Curves/meltCurve_Q8TCD1_C18orf32.pdf", "Melting_Curves/meltCurve_Q8TCD1_C18orf32.pdf")</f>
        <v>Melting_Curves/meltCurve_Q8TCD1_C18orf32.pdf</v>
      </c>
    </row>
    <row r="4708" spans="1:28" x14ac:dyDescent="0.25">
      <c r="A4708" t="s">
        <v>4712</v>
      </c>
      <c r="B4708">
        <v>0.99472303558308395</v>
      </c>
      <c r="C4708">
        <v>0.92689137087386997</v>
      </c>
      <c r="D4708">
        <v>0.93845588797610502</v>
      </c>
      <c r="E4708">
        <v>0.75173183777600205</v>
      </c>
      <c r="F4708">
        <v>0.63086060869726801</v>
      </c>
      <c r="G4708">
        <v>0.48765112028770702</v>
      </c>
      <c r="H4708">
        <v>0.42537290179403098</v>
      </c>
      <c r="I4708">
        <v>0.376556779313382</v>
      </c>
      <c r="J4708">
        <v>0.387650985905305</v>
      </c>
      <c r="K4708">
        <v>0.17546316870122</v>
      </c>
      <c r="L4708">
        <v>459.751964805174</v>
      </c>
      <c r="M4708">
        <v>8.8880536792349005</v>
      </c>
      <c r="N4708">
        <v>54.352326909457503</v>
      </c>
      <c r="O4708">
        <v>49.309348539715103</v>
      </c>
      <c r="P4708">
        <v>-3.7226523525223397E-2</v>
      </c>
      <c r="Q4708">
        <v>0.174523896321787</v>
      </c>
      <c r="R4708">
        <v>0.96796880256993101</v>
      </c>
      <c r="S4708" t="s">
        <v>11276</v>
      </c>
      <c r="T4708" t="s">
        <v>13134</v>
      </c>
      <c r="U4708" t="s">
        <v>13134</v>
      </c>
      <c r="V4708" t="s">
        <v>13134</v>
      </c>
      <c r="W4708" t="s">
        <v>14372</v>
      </c>
      <c r="X4708">
        <v>9</v>
      </c>
      <c r="Y4708" t="s">
        <v>20859</v>
      </c>
      <c r="Z4708" t="s">
        <v>30676</v>
      </c>
      <c r="AA4708">
        <v>0.60395993870633935</v>
      </c>
      <c r="AB4708" t="str">
        <f>HYPERLINK("Melting_Curves/meltCurve_Q8TCD5_NT5C.pdf", "Melting_Curves/meltCurve_Q8TCD5_NT5C.pdf")</f>
        <v>Melting_Curves/meltCurve_Q8TCD5_NT5C.pdf</v>
      </c>
    </row>
    <row r="4709" spans="1:28" x14ac:dyDescent="0.25">
      <c r="A4709" t="s">
        <v>4713</v>
      </c>
      <c r="B4709">
        <v>0.99472303558308395</v>
      </c>
      <c r="C4709">
        <v>0.79985273437191196</v>
      </c>
      <c r="D4709">
        <v>0.64668386804407296</v>
      </c>
      <c r="E4709">
        <v>0.31713434082095898</v>
      </c>
      <c r="F4709">
        <v>0.19468654885954501</v>
      </c>
      <c r="G4709">
        <v>8.9262910466273895E-2</v>
      </c>
      <c r="H4709">
        <v>6.6046864461039106E-2</v>
      </c>
      <c r="I4709">
        <v>4.8320934476391998E-2</v>
      </c>
      <c r="J4709">
        <v>6.3146431899463798E-2</v>
      </c>
      <c r="K4709">
        <v>6.4710172255813006E-2</v>
      </c>
      <c r="L4709">
        <v>683.93030489094895</v>
      </c>
      <c r="M4709">
        <v>15.5054098566695</v>
      </c>
      <c r="N4709">
        <v>44.395200914955304</v>
      </c>
      <c r="O4709">
        <v>43.3949643566501</v>
      </c>
      <c r="P4709">
        <v>-8.5088132437694003E-2</v>
      </c>
      <c r="Q4709">
        <v>4.7539954227805901E-2</v>
      </c>
      <c r="R4709">
        <v>0.99473688394041704</v>
      </c>
      <c r="S4709" t="s">
        <v>11277</v>
      </c>
      <c r="T4709" t="s">
        <v>13134</v>
      </c>
      <c r="U4709" t="s">
        <v>13134</v>
      </c>
      <c r="V4709" t="s">
        <v>13134</v>
      </c>
      <c r="W4709" t="s">
        <v>17781</v>
      </c>
      <c r="X4709">
        <v>15</v>
      </c>
      <c r="Y4709" t="s">
        <v>24151</v>
      </c>
      <c r="Z4709" t="s">
        <v>30677</v>
      </c>
      <c r="AA4709">
        <v>0.29520627705493963</v>
      </c>
      <c r="AB4709" t="str">
        <f>HYPERLINK("Melting_Curves/meltCurve_Q8TCG1_KIAA1524.pdf", "Melting_Curves/meltCurve_Q8TCG1_KIAA1524.pdf")</f>
        <v>Melting_Curves/meltCurve_Q8TCG1_KIAA1524.pdf</v>
      </c>
    </row>
    <row r="4710" spans="1:28" x14ac:dyDescent="0.25">
      <c r="A4710" t="s">
        <v>4714</v>
      </c>
      <c r="B4710">
        <v>0.99472303558308395</v>
      </c>
      <c r="C4710">
        <v>0.91371695874393899</v>
      </c>
      <c r="D4710">
        <v>0.878366752654968</v>
      </c>
      <c r="E4710">
        <v>0.80106487042385599</v>
      </c>
      <c r="F4710">
        <v>0.67422211927773501</v>
      </c>
      <c r="G4710">
        <v>0.24317107609734601</v>
      </c>
      <c r="H4710">
        <v>0.133087093278249</v>
      </c>
      <c r="I4710">
        <v>0.118364417794424</v>
      </c>
      <c r="J4710">
        <v>0.117678745671801</v>
      </c>
      <c r="K4710">
        <v>0.123071731907946</v>
      </c>
      <c r="L4710">
        <v>933.67421207065502</v>
      </c>
      <c r="M4710">
        <v>18.455137915320002</v>
      </c>
      <c r="N4710">
        <v>51.078018310273002</v>
      </c>
      <c r="O4710">
        <v>50.008781618714004</v>
      </c>
      <c r="P4710">
        <v>-8.4828047475371898E-2</v>
      </c>
      <c r="Q4710">
        <v>8.0590573646953795E-2</v>
      </c>
      <c r="R4710">
        <v>0.97451734306909699</v>
      </c>
      <c r="S4710" t="s">
        <v>11278</v>
      </c>
      <c r="T4710" t="s">
        <v>13134</v>
      </c>
      <c r="U4710" t="s">
        <v>13134</v>
      </c>
      <c r="V4710" t="s">
        <v>13134</v>
      </c>
      <c r="W4710" t="s">
        <v>17782</v>
      </c>
      <c r="X4710">
        <v>3</v>
      </c>
      <c r="Y4710" t="s">
        <v>24152</v>
      </c>
      <c r="Z4710" t="s">
        <v>30678</v>
      </c>
      <c r="AA4710">
        <v>0.51093163928463303</v>
      </c>
      <c r="AB4710" t="str">
        <f>HYPERLINK("Melting_Curves/meltCurve_Q8TCG2_PI4K2B.pdf", "Melting_Curves/meltCurve_Q8TCG2_PI4K2B.pdf")</f>
        <v>Melting_Curves/meltCurve_Q8TCG2_PI4K2B.pdf</v>
      </c>
    </row>
    <row r="4711" spans="1:28" x14ac:dyDescent="0.25">
      <c r="A4711" t="s">
        <v>4715</v>
      </c>
      <c r="B4711">
        <v>0.99472303558308395</v>
      </c>
      <c r="C4711">
        <v>0.85663500787105895</v>
      </c>
      <c r="D4711">
        <v>0.741302278078807</v>
      </c>
      <c r="E4711">
        <v>0.63158206979568499</v>
      </c>
      <c r="F4711">
        <v>0.509203695080089</v>
      </c>
      <c r="G4711">
        <v>0.16262960434805199</v>
      </c>
      <c r="H4711">
        <v>9.7999383844096594E-2</v>
      </c>
      <c r="I4711">
        <v>7.9043053568949306E-2</v>
      </c>
      <c r="J4711">
        <v>0.10974972959193301</v>
      </c>
      <c r="K4711">
        <v>8.5868602151051701E-2</v>
      </c>
      <c r="L4711">
        <v>518.017498122201</v>
      </c>
      <c r="M4711">
        <v>10.72072711797</v>
      </c>
      <c r="N4711">
        <v>48.340116661214502</v>
      </c>
      <c r="O4711">
        <v>46.729076164456302</v>
      </c>
      <c r="P4711">
        <v>-5.7244675699080302E-2</v>
      </c>
      <c r="Q4711">
        <v>2.3084780452378999E-3</v>
      </c>
      <c r="R4711">
        <v>0.97151829420723002</v>
      </c>
      <c r="S4711" t="s">
        <v>11279</v>
      </c>
      <c r="T4711" t="s">
        <v>13134</v>
      </c>
      <c r="U4711" t="s">
        <v>13134</v>
      </c>
      <c r="V4711" t="s">
        <v>13134</v>
      </c>
      <c r="W4711" t="s">
        <v>17783</v>
      </c>
      <c r="X4711">
        <v>15</v>
      </c>
      <c r="Y4711" t="s">
        <v>24153</v>
      </c>
      <c r="Z4711" t="s">
        <v>30679</v>
      </c>
      <c r="AA4711">
        <v>0.41457495362391411</v>
      </c>
      <c r="AB4711" t="str">
        <f>HYPERLINK("Melting_Curves/meltCurve_Q8TCJ2_STT3B.pdf", "Melting_Curves/meltCurve_Q8TCJ2_STT3B.pdf")</f>
        <v>Melting_Curves/meltCurve_Q8TCJ2_STT3B.pdf</v>
      </c>
    </row>
    <row r="4712" spans="1:28" x14ac:dyDescent="0.25">
      <c r="A4712" t="s">
        <v>4716</v>
      </c>
      <c r="B4712">
        <v>0.99472303558308395</v>
      </c>
      <c r="C4712">
        <v>0.92772105174599795</v>
      </c>
      <c r="D4712">
        <v>0.82400836163236102</v>
      </c>
      <c r="E4712">
        <v>0.65528735793361303</v>
      </c>
      <c r="F4712">
        <v>0.353211518304063</v>
      </c>
      <c r="G4712">
        <v>0.109627013759807</v>
      </c>
      <c r="H4712">
        <v>6.7665897113852E-2</v>
      </c>
      <c r="I4712">
        <v>4.38054508120981E-2</v>
      </c>
      <c r="J4712">
        <v>4.7076521479038499E-2</v>
      </c>
      <c r="K4712">
        <v>4.54063429648617E-2</v>
      </c>
      <c r="L4712">
        <v>766.30790136328301</v>
      </c>
      <c r="M4712">
        <v>15.988535792184599</v>
      </c>
      <c r="N4712">
        <v>48.013903887943798</v>
      </c>
      <c r="O4712">
        <v>47.197630501942797</v>
      </c>
      <c r="P4712">
        <v>-8.3509765572717998E-2</v>
      </c>
      <c r="Q4712">
        <v>1.40055634853776E-2</v>
      </c>
      <c r="R4712">
        <v>0.99451417351056703</v>
      </c>
      <c r="S4712" t="s">
        <v>11280</v>
      </c>
      <c r="T4712" t="s">
        <v>13134</v>
      </c>
      <c r="U4712" t="s">
        <v>13134</v>
      </c>
      <c r="V4712" t="s">
        <v>13134</v>
      </c>
      <c r="W4712" t="s">
        <v>17784</v>
      </c>
      <c r="X4712">
        <v>31</v>
      </c>
      <c r="Y4712" t="s">
        <v>24154</v>
      </c>
      <c r="Z4712" t="s">
        <v>30680</v>
      </c>
      <c r="AA4712">
        <v>0.39268103948360378</v>
      </c>
      <c r="AB4712" t="str">
        <f>HYPERLINK("Melting_Curves/meltCurve_Q8TCS8_PNPT1.pdf", "Melting_Curves/meltCurve_Q8TCS8_PNPT1.pdf")</f>
        <v>Melting_Curves/meltCurve_Q8TCS8_PNPT1.pdf</v>
      </c>
    </row>
    <row r="4713" spans="1:28" x14ac:dyDescent="0.25">
      <c r="A4713" t="s">
        <v>4717</v>
      </c>
      <c r="B4713">
        <v>0.99472303558308395</v>
      </c>
      <c r="C4713">
        <v>1.0432790598781601</v>
      </c>
      <c r="D4713">
        <v>0.81788615428496503</v>
      </c>
      <c r="E4713">
        <v>0.77152490224280501</v>
      </c>
      <c r="F4713">
        <v>0.79595372220036198</v>
      </c>
      <c r="G4713">
        <v>0.405218833339617</v>
      </c>
      <c r="H4713">
        <v>0.38223254640024201</v>
      </c>
      <c r="I4713">
        <v>0.18894857971589299</v>
      </c>
      <c r="J4713">
        <v>0.24556887710983499</v>
      </c>
      <c r="K4713">
        <v>0.28719783893692302</v>
      </c>
      <c r="L4713">
        <v>622.77711096748897</v>
      </c>
      <c r="M4713">
        <v>12.0896993242376</v>
      </c>
      <c r="N4713">
        <v>53.375027779205503</v>
      </c>
      <c r="O4713">
        <v>50.164375006674497</v>
      </c>
      <c r="P4713">
        <v>-4.98959582672076E-2</v>
      </c>
      <c r="Q4713">
        <v>0.17205104975067101</v>
      </c>
      <c r="R4713">
        <v>0.93633300303154399</v>
      </c>
      <c r="S4713" t="s">
        <v>11281</v>
      </c>
      <c r="T4713" t="s">
        <v>13134</v>
      </c>
      <c r="U4713" t="s">
        <v>13134</v>
      </c>
      <c r="V4713" t="s">
        <v>13134</v>
      </c>
      <c r="W4713" t="s">
        <v>17785</v>
      </c>
      <c r="X4713">
        <v>2</v>
      </c>
      <c r="Y4713" t="s">
        <v>24155</v>
      </c>
      <c r="Z4713" t="s">
        <v>30681</v>
      </c>
      <c r="AA4713">
        <v>0.59307292178163118</v>
      </c>
      <c r="AB4713" t="str">
        <f>HYPERLINK("Melting_Curves/meltCurve_Q8TCT8_SPPL2A.pdf", "Melting_Curves/meltCurve_Q8TCT8_SPPL2A.pdf")</f>
        <v>Melting_Curves/meltCurve_Q8TCT8_SPPL2A.pdf</v>
      </c>
    </row>
    <row r="4714" spans="1:28" x14ac:dyDescent="0.25">
      <c r="A4714" t="s">
        <v>4718</v>
      </c>
      <c r="B4714">
        <v>0.99472303558308395</v>
      </c>
      <c r="C4714">
        <v>1.0980179154042</v>
      </c>
      <c r="D4714">
        <v>0.87807218368953799</v>
      </c>
      <c r="E4714">
        <v>0.87164635407565805</v>
      </c>
      <c r="F4714">
        <v>0.69257718495283105</v>
      </c>
      <c r="G4714">
        <v>0.49862187268979102</v>
      </c>
      <c r="H4714">
        <v>0.36003451779349299</v>
      </c>
      <c r="I4714">
        <v>0.24716505095809599</v>
      </c>
      <c r="J4714">
        <v>0.21222989119894201</v>
      </c>
      <c r="K4714">
        <v>0.16358152368713799</v>
      </c>
      <c r="L4714">
        <v>652.63769055296302</v>
      </c>
      <c r="M4714">
        <v>12.3616006997017</v>
      </c>
      <c r="N4714">
        <v>53.894517432307701</v>
      </c>
      <c r="O4714">
        <v>51.470982193896603</v>
      </c>
      <c r="P4714">
        <v>-5.3364302110645898E-2</v>
      </c>
      <c r="Q4714">
        <v>0.111402131022284</v>
      </c>
      <c r="R4714">
        <v>0.98292917982241701</v>
      </c>
      <c r="S4714" t="s">
        <v>11282</v>
      </c>
      <c r="T4714" t="s">
        <v>13134</v>
      </c>
      <c r="U4714" t="s">
        <v>13134</v>
      </c>
      <c r="V4714" t="s">
        <v>13134</v>
      </c>
      <c r="W4714" t="s">
        <v>17786</v>
      </c>
      <c r="X4714">
        <v>6</v>
      </c>
      <c r="Y4714" t="s">
        <v>24156</v>
      </c>
      <c r="Z4714" t="s">
        <v>30682</v>
      </c>
      <c r="AA4714">
        <v>0.59816867932081164</v>
      </c>
      <c r="AB4714" t="str">
        <f>HYPERLINK("Melting_Curves/meltCurve_Q8TCT9_5_HM13.pdf", "Melting_Curves/meltCurve_Q8TCT9_5_HM13.pdf")</f>
        <v>Melting_Curves/meltCurve_Q8TCT9_5_HM13.pdf</v>
      </c>
    </row>
    <row r="4715" spans="1:28" x14ac:dyDescent="0.25">
      <c r="A4715" t="s">
        <v>4719</v>
      </c>
      <c r="B4715">
        <v>0.99472303558308395</v>
      </c>
      <c r="C4715">
        <v>1.01902456573487</v>
      </c>
      <c r="D4715">
        <v>0.79999815084808701</v>
      </c>
      <c r="E4715">
        <v>0.72806443309258795</v>
      </c>
      <c r="F4715">
        <v>0.303426070731796</v>
      </c>
      <c r="G4715">
        <v>0.153637601606914</v>
      </c>
      <c r="H4715">
        <v>0.100426641087645</v>
      </c>
      <c r="I4715">
        <v>0.101115860019984</v>
      </c>
      <c r="J4715">
        <v>0.145570093056449</v>
      </c>
      <c r="K4715">
        <v>0.10667475836995</v>
      </c>
      <c r="L4715">
        <v>983.82180589377197</v>
      </c>
      <c r="M4715">
        <v>20.6314084934424</v>
      </c>
      <c r="N4715">
        <v>48.186741087970098</v>
      </c>
      <c r="O4715">
        <v>47.244396055029</v>
      </c>
      <c r="P4715">
        <v>-9.8636128827243999E-2</v>
      </c>
      <c r="Q4715">
        <v>9.6547981884618703E-2</v>
      </c>
      <c r="R4715">
        <v>0.98301501093906696</v>
      </c>
      <c r="S4715" t="s">
        <v>11283</v>
      </c>
      <c r="T4715" t="s">
        <v>13134</v>
      </c>
      <c r="U4715" t="s">
        <v>13134</v>
      </c>
      <c r="V4715" t="s">
        <v>13134</v>
      </c>
      <c r="W4715" t="s">
        <v>17787</v>
      </c>
      <c r="X4715">
        <v>2</v>
      </c>
      <c r="Y4715" t="s">
        <v>24157</v>
      </c>
      <c r="Z4715" t="s">
        <v>30683</v>
      </c>
      <c r="AA4715">
        <v>0.42951620049597289</v>
      </c>
      <c r="AB4715" t="str">
        <f>HYPERLINK("Melting_Curves/meltCurve_Q8TCX1_DYNC2LI1.pdf", "Melting_Curves/meltCurve_Q8TCX1_DYNC2LI1.pdf")</f>
        <v>Melting_Curves/meltCurve_Q8TCX1_DYNC2LI1.pdf</v>
      </c>
    </row>
    <row r="4716" spans="1:28" x14ac:dyDescent="0.25">
      <c r="A4716" t="s">
        <v>4720</v>
      </c>
      <c r="B4716">
        <v>0.99472303558308395</v>
      </c>
      <c r="C4716">
        <v>1.0416701085662901</v>
      </c>
      <c r="D4716">
        <v>0.90486727505474696</v>
      </c>
      <c r="E4716">
        <v>0.86044894472116495</v>
      </c>
      <c r="F4716">
        <v>0.63420526874147298</v>
      </c>
      <c r="G4716">
        <v>0.447225672458617</v>
      </c>
      <c r="H4716">
        <v>0.359205927324874</v>
      </c>
      <c r="I4716">
        <v>0.31302962513786198</v>
      </c>
      <c r="J4716">
        <v>0.37663795631624902</v>
      </c>
      <c r="K4716">
        <v>0.158001225339401</v>
      </c>
      <c r="L4716">
        <v>734.22427040817001</v>
      </c>
      <c r="M4716">
        <v>14.500115678197201</v>
      </c>
      <c r="N4716">
        <v>53.019310602862603</v>
      </c>
      <c r="O4716">
        <v>49.701894854307</v>
      </c>
      <c r="P4716">
        <v>-5.5476299993859501E-2</v>
      </c>
      <c r="Q4716">
        <v>0.239465596726916</v>
      </c>
      <c r="R4716">
        <v>0.97006901352651698</v>
      </c>
      <c r="S4716" t="s">
        <v>11284</v>
      </c>
      <c r="T4716" t="s">
        <v>13134</v>
      </c>
      <c r="U4716" t="s">
        <v>13134</v>
      </c>
      <c r="V4716" t="s">
        <v>13134</v>
      </c>
      <c r="W4716" t="s">
        <v>17788</v>
      </c>
      <c r="X4716">
        <v>10</v>
      </c>
      <c r="Y4716" t="s">
        <v>24158</v>
      </c>
      <c r="Z4716" t="s">
        <v>30684</v>
      </c>
      <c r="AA4716">
        <v>0.60141090639365968</v>
      </c>
      <c r="AB4716" t="str">
        <f>HYPERLINK("Melting_Curves/meltCurve_Q8TCY9_URGCP.pdf", "Melting_Curves/meltCurve_Q8TCY9_URGCP.pdf")</f>
        <v>Melting_Curves/meltCurve_Q8TCY9_URGCP.pdf</v>
      </c>
    </row>
    <row r="4717" spans="1:28" x14ac:dyDescent="0.25">
      <c r="A4717" t="s">
        <v>4721</v>
      </c>
      <c r="B4717">
        <v>0.99472303558308395</v>
      </c>
      <c r="C4717">
        <v>1.15585715087688</v>
      </c>
      <c r="D4717">
        <v>0.97592636062978899</v>
      </c>
      <c r="E4717">
        <v>0.76907653071270499</v>
      </c>
      <c r="F4717">
        <v>0.88932565878953795</v>
      </c>
      <c r="G4717">
        <v>0.61396228562232802</v>
      </c>
      <c r="H4717">
        <v>0.84960165724521097</v>
      </c>
      <c r="I4717">
        <v>0.47601968116745003</v>
      </c>
      <c r="J4717">
        <v>0.745674405122152</v>
      </c>
      <c r="K4717">
        <v>0.52554415052611902</v>
      </c>
      <c r="L4717">
        <v>593.74034903010602</v>
      </c>
      <c r="M4717">
        <v>11.6844538475235</v>
      </c>
      <c r="O4717">
        <v>49.394615063719797</v>
      </c>
      <c r="P4717">
        <v>-2.4859424909059801E-2</v>
      </c>
      <c r="Q4717">
        <v>0.579751474074924</v>
      </c>
      <c r="R4717">
        <v>0.65741141983907103</v>
      </c>
      <c r="S4717" t="s">
        <v>11285</v>
      </c>
      <c r="T4717" t="s">
        <v>13134</v>
      </c>
      <c r="U4717" t="s">
        <v>13134</v>
      </c>
      <c r="V4717" t="s">
        <v>13134</v>
      </c>
      <c r="W4717" t="s">
        <v>17789</v>
      </c>
      <c r="X4717">
        <v>1</v>
      </c>
      <c r="Y4717" t="s">
        <v>24159</v>
      </c>
      <c r="Z4717" t="s">
        <v>30685</v>
      </c>
      <c r="AA4717">
        <v>0.78467434468159281</v>
      </c>
      <c r="AB4717" t="str">
        <f>HYPERLINK("Melting_Curves/meltCurve_Q8TCZ2_6_CD99L2.pdf", "Melting_Curves/meltCurve_Q8TCZ2_6_CD99L2.pdf")</f>
        <v>Melting_Curves/meltCurve_Q8TCZ2_6_CD99L2.pdf</v>
      </c>
    </row>
    <row r="4718" spans="1:28" x14ac:dyDescent="0.25">
      <c r="A4718" t="s">
        <v>4722</v>
      </c>
      <c r="B4718">
        <v>0.99472303558308395</v>
      </c>
      <c r="C4718">
        <v>0.86274458632378404</v>
      </c>
      <c r="D4718">
        <v>1.06523801910856</v>
      </c>
      <c r="E4718">
        <v>0.91767249004735496</v>
      </c>
      <c r="F4718">
        <v>0.74134838347430898</v>
      </c>
      <c r="G4718">
        <v>0.60834732769064603</v>
      </c>
      <c r="H4718">
        <v>0.29423749284704398</v>
      </c>
      <c r="I4718">
        <v>0.12608151275180299</v>
      </c>
      <c r="J4718">
        <v>3.5253184559340997E-2</v>
      </c>
      <c r="K4718">
        <v>5.5872448279581099E-2</v>
      </c>
      <c r="L4718">
        <v>891.60307938224105</v>
      </c>
      <c r="M4718">
        <v>16.388296193320102</v>
      </c>
      <c r="N4718">
        <v>54.404867876012901</v>
      </c>
      <c r="O4718">
        <v>53.614151227179903</v>
      </c>
      <c r="P4718">
        <v>-7.6423227932854207E-2</v>
      </c>
      <c r="Q4718">
        <v>0</v>
      </c>
      <c r="R4718">
        <v>0.97704737500495997</v>
      </c>
      <c r="S4718" t="s">
        <v>11286</v>
      </c>
      <c r="T4718" t="s">
        <v>13134</v>
      </c>
      <c r="U4718" t="s">
        <v>13134</v>
      </c>
      <c r="V4718" t="s">
        <v>13134</v>
      </c>
      <c r="W4718" t="s">
        <v>17790</v>
      </c>
      <c r="X4718">
        <v>1</v>
      </c>
      <c r="Y4718" t="s">
        <v>24160</v>
      </c>
      <c r="Z4718" t="s">
        <v>30686</v>
      </c>
      <c r="AA4718">
        <v>0.59463845606291399</v>
      </c>
      <c r="AB4718" t="str">
        <f>HYPERLINK("Melting_Curves/meltCurve_Q8TD08_2_MAPK15.pdf", "Melting_Curves/meltCurve_Q8TD08_2_MAPK15.pdf")</f>
        <v>Melting_Curves/meltCurve_Q8TD08_2_MAPK15.pdf</v>
      </c>
    </row>
    <row r="4719" spans="1:28" x14ac:dyDescent="0.25">
      <c r="A4719" t="s">
        <v>4723</v>
      </c>
      <c r="B4719">
        <v>0.99472303558308395</v>
      </c>
      <c r="C4719">
        <v>1.0051645208304001</v>
      </c>
      <c r="D4719">
        <v>0.91513214596287196</v>
      </c>
      <c r="E4719">
        <v>0.72057298942212</v>
      </c>
      <c r="F4719">
        <v>0.16187551244458001</v>
      </c>
      <c r="G4719">
        <v>9.9739937461384195E-2</v>
      </c>
      <c r="H4719">
        <v>6.6089637758300304E-2</v>
      </c>
      <c r="I4719">
        <v>5.4913619608258198E-2</v>
      </c>
      <c r="J4719">
        <v>6.18076042633844E-2</v>
      </c>
      <c r="K4719">
        <v>5.0715718250492897E-2</v>
      </c>
      <c r="L4719">
        <v>1761.73606684322</v>
      </c>
      <c r="M4719">
        <v>37.016296797263799</v>
      </c>
      <c r="N4719">
        <v>47.761102654557199</v>
      </c>
      <c r="O4719">
        <v>47.4552593671647</v>
      </c>
      <c r="P4719">
        <v>-0.183130537639102</v>
      </c>
      <c r="Q4719">
        <v>6.0901989736838302E-2</v>
      </c>
      <c r="R4719">
        <v>0.99649704543313899</v>
      </c>
      <c r="S4719" t="s">
        <v>11287</v>
      </c>
      <c r="T4719" t="s">
        <v>13134</v>
      </c>
      <c r="U4719" t="s">
        <v>13134</v>
      </c>
      <c r="V4719" t="s">
        <v>13134</v>
      </c>
      <c r="W4719" t="s">
        <v>17791</v>
      </c>
      <c r="X4719">
        <v>33</v>
      </c>
      <c r="Y4719" t="s">
        <v>24161</v>
      </c>
      <c r="Z4719" t="s">
        <v>30687</v>
      </c>
      <c r="AA4719">
        <v>0.39612664207779591</v>
      </c>
      <c r="AB4719" t="str">
        <f>HYPERLINK("Melting_Curves/meltCurve_Q8TD16_BICD2.pdf", "Melting_Curves/meltCurve_Q8TD16_BICD2.pdf")</f>
        <v>Melting_Curves/meltCurve_Q8TD16_BICD2.pdf</v>
      </c>
    </row>
    <row r="4720" spans="1:28" x14ac:dyDescent="0.25">
      <c r="A4720" t="s">
        <v>4724</v>
      </c>
      <c r="B4720">
        <v>0.99472303558308395</v>
      </c>
      <c r="C4720">
        <v>0.96069332636540505</v>
      </c>
      <c r="D4720">
        <v>0.79814831048778501</v>
      </c>
      <c r="E4720">
        <v>0.65308275673426497</v>
      </c>
      <c r="F4720">
        <v>0.38205539494608498</v>
      </c>
      <c r="G4720">
        <v>0.11784117109110399</v>
      </c>
      <c r="H4720">
        <v>8.0893883869403396E-2</v>
      </c>
      <c r="I4720">
        <v>5.8921443323064399E-2</v>
      </c>
      <c r="J4720">
        <v>6.9050262778032501E-2</v>
      </c>
      <c r="K4720">
        <v>5.21233573739159E-2</v>
      </c>
      <c r="L4720">
        <v>735.60290342596102</v>
      </c>
      <c r="M4720">
        <v>15.3467078302637</v>
      </c>
      <c r="N4720">
        <v>48.090115406577503</v>
      </c>
      <c r="O4720">
        <v>47.140547997975801</v>
      </c>
      <c r="P4720">
        <v>-7.9396284645431997E-2</v>
      </c>
      <c r="Q4720">
        <v>2.4562484092983901E-2</v>
      </c>
      <c r="R4720">
        <v>0.99254234759953097</v>
      </c>
      <c r="S4720" t="s">
        <v>11288</v>
      </c>
      <c r="T4720" t="s">
        <v>13134</v>
      </c>
      <c r="U4720" t="s">
        <v>13134</v>
      </c>
      <c r="V4720" t="s">
        <v>13134</v>
      </c>
      <c r="W4720" t="s">
        <v>17792</v>
      </c>
      <c r="X4720">
        <v>11</v>
      </c>
      <c r="Y4720" t="s">
        <v>24162</v>
      </c>
      <c r="Z4720" t="s">
        <v>30688</v>
      </c>
      <c r="AA4720">
        <v>0.40071732041529567</v>
      </c>
      <c r="AB4720" t="str">
        <f>HYPERLINK("Melting_Curves/meltCurve_Q8TD19_NEK9.pdf", "Melting_Curves/meltCurve_Q8TD19_NEK9.pdf")</f>
        <v>Melting_Curves/meltCurve_Q8TD19_NEK9.pdf</v>
      </c>
    </row>
    <row r="4721" spans="1:28" x14ac:dyDescent="0.25">
      <c r="A4721" t="s">
        <v>4725</v>
      </c>
      <c r="B4721">
        <v>0.99472303558308395</v>
      </c>
      <c r="C4721">
        <v>1.3304576000017301</v>
      </c>
      <c r="D4721">
        <v>1.05821512454469</v>
      </c>
      <c r="E4721">
        <v>1.0600136963262099</v>
      </c>
      <c r="F4721">
        <v>0.34815251398409203</v>
      </c>
      <c r="G4721">
        <v>0.17563855481901899</v>
      </c>
      <c r="H4721">
        <v>5.7276804858307502E-2</v>
      </c>
      <c r="I4721">
        <v>0</v>
      </c>
      <c r="J4721">
        <v>0</v>
      </c>
      <c r="K4721">
        <v>0</v>
      </c>
      <c r="L4721">
        <v>4559.5647190086702</v>
      </c>
      <c r="M4721">
        <v>91.591862803603306</v>
      </c>
      <c r="N4721">
        <v>49.834099884906202</v>
      </c>
      <c r="O4721">
        <v>49.757595256067098</v>
      </c>
      <c r="P4721">
        <v>-0.43892301432498898</v>
      </c>
      <c r="Q4721">
        <v>4.6213982824242002E-2</v>
      </c>
      <c r="R4721">
        <v>0.94704951972225804</v>
      </c>
      <c r="S4721" t="s">
        <v>11289</v>
      </c>
      <c r="T4721" t="s">
        <v>13134</v>
      </c>
      <c r="U4721" t="s">
        <v>13134</v>
      </c>
      <c r="V4721" t="s">
        <v>13134</v>
      </c>
      <c r="W4721" t="s">
        <v>17793</v>
      </c>
      <c r="X4721">
        <v>1</v>
      </c>
      <c r="Y4721" t="s">
        <v>24163</v>
      </c>
      <c r="Z4721" t="s">
        <v>30689</v>
      </c>
      <c r="AA4721">
        <v>0.45319079707372573</v>
      </c>
      <c r="AB4721" t="str">
        <f>HYPERLINK("Melting_Curves/meltCurve_Q8TD30_GPT2.pdf", "Melting_Curves/meltCurve_Q8TD30_GPT2.pdf")</f>
        <v>Melting_Curves/meltCurve_Q8TD30_GPT2.pdf</v>
      </c>
    </row>
    <row r="4722" spans="1:28" x14ac:dyDescent="0.25">
      <c r="A4722" t="s">
        <v>4726</v>
      </c>
      <c r="B4722">
        <v>0.99472303558308395</v>
      </c>
      <c r="C4722">
        <v>0.99795366904996896</v>
      </c>
      <c r="D4722">
        <v>0.76151131187170296</v>
      </c>
      <c r="E4722">
        <v>0.50527713202248703</v>
      </c>
      <c r="F4722">
        <v>0.15506527116646801</v>
      </c>
      <c r="G4722">
        <v>0.10547781496745</v>
      </c>
      <c r="H4722">
        <v>7.9804717555703994E-2</v>
      </c>
      <c r="I4722">
        <v>4.14178629406384E-2</v>
      </c>
      <c r="J4722">
        <v>5.9408701321954298E-2</v>
      </c>
      <c r="K4722">
        <v>3.5288741846579402E-2</v>
      </c>
      <c r="L4722">
        <v>906.85427787707602</v>
      </c>
      <c r="M4722">
        <v>19.709783086180501</v>
      </c>
      <c r="N4722">
        <v>46.223515705305203</v>
      </c>
      <c r="O4722">
        <v>45.544592367140602</v>
      </c>
      <c r="P4722">
        <v>-0.10349329400764599</v>
      </c>
      <c r="Q4722">
        <v>4.3440237283059797E-2</v>
      </c>
      <c r="R4722">
        <v>0.99429603476580597</v>
      </c>
      <c r="S4722" t="s">
        <v>11290</v>
      </c>
      <c r="T4722" t="s">
        <v>13134</v>
      </c>
      <c r="U4722" t="s">
        <v>13134</v>
      </c>
      <c r="V4722" t="s">
        <v>13134</v>
      </c>
      <c r="W4722" t="s">
        <v>17794</v>
      </c>
      <c r="X4722">
        <v>5</v>
      </c>
      <c r="Y4722" t="s">
        <v>24164</v>
      </c>
      <c r="Z4722" t="s">
        <v>30690</v>
      </c>
      <c r="AA4722">
        <v>0.34361984357773673</v>
      </c>
      <c r="AB4722" t="str">
        <f>HYPERLINK("Melting_Curves/meltCurve_Q8TDD1_DDX54.pdf", "Melting_Curves/meltCurve_Q8TDD1_DDX54.pdf")</f>
        <v>Melting_Curves/meltCurve_Q8TDD1_DDX54.pdf</v>
      </c>
    </row>
    <row r="4723" spans="1:28" x14ac:dyDescent="0.25">
      <c r="A4723" t="s">
        <v>4727</v>
      </c>
      <c r="B4723">
        <v>0.99472303558308395</v>
      </c>
      <c r="C4723">
        <v>0.94772744806925202</v>
      </c>
      <c r="D4723">
        <v>0.93803235364944804</v>
      </c>
      <c r="E4723">
        <v>0.73847674688517695</v>
      </c>
      <c r="F4723">
        <v>0.55119118204962902</v>
      </c>
      <c r="G4723">
        <v>0.38669616437913001</v>
      </c>
      <c r="H4723">
        <v>0.21906914327438001</v>
      </c>
      <c r="I4723">
        <v>0.14554432559806199</v>
      </c>
      <c r="J4723">
        <v>0.16189988900319299</v>
      </c>
      <c r="K4723">
        <v>0.105840909782148</v>
      </c>
      <c r="L4723">
        <v>641.53273370114596</v>
      </c>
      <c r="M4723">
        <v>12.719240045689499</v>
      </c>
      <c r="N4723">
        <v>51.087427484267302</v>
      </c>
      <c r="O4723">
        <v>49.239964490864402</v>
      </c>
      <c r="P4723">
        <v>-5.9768643321131798E-2</v>
      </c>
      <c r="Q4723">
        <v>7.4649169347029698E-2</v>
      </c>
      <c r="R4723">
        <v>0.99649605243662498</v>
      </c>
      <c r="S4723" t="s">
        <v>11291</v>
      </c>
      <c r="T4723" t="s">
        <v>13134</v>
      </c>
      <c r="U4723" t="s">
        <v>13134</v>
      </c>
      <c r="V4723" t="s">
        <v>13134</v>
      </c>
      <c r="W4723" t="s">
        <v>17795</v>
      </c>
      <c r="X4723">
        <v>9</v>
      </c>
      <c r="Y4723" t="s">
        <v>24165</v>
      </c>
      <c r="Z4723" t="s">
        <v>30691</v>
      </c>
      <c r="AA4723">
        <v>0.51267828771994817</v>
      </c>
      <c r="AB4723" t="str">
        <f>HYPERLINK("Melting_Curves/meltCurve_Q8TDH9_BLOC1S5.pdf", "Melting_Curves/meltCurve_Q8TDH9_BLOC1S5.pdf")</f>
        <v>Melting_Curves/meltCurve_Q8TDH9_BLOC1S5.pdf</v>
      </c>
    </row>
    <row r="4724" spans="1:28" x14ac:dyDescent="0.25">
      <c r="A4724" t="s">
        <v>4728</v>
      </c>
      <c r="B4724">
        <v>0.99472303558308395</v>
      </c>
      <c r="C4724">
        <v>0.92911447801509295</v>
      </c>
      <c r="D4724">
        <v>0.92168841723220396</v>
      </c>
      <c r="E4724">
        <v>0.68534404228380597</v>
      </c>
      <c r="F4724">
        <v>0.63267236574488805</v>
      </c>
      <c r="G4724">
        <v>0.222292553288304</v>
      </c>
      <c r="H4724">
        <v>7.4982716430103194E-2</v>
      </c>
      <c r="I4724">
        <v>6.41346702886047E-2</v>
      </c>
      <c r="J4724">
        <v>8.9091559862421593E-2</v>
      </c>
      <c r="K4724">
        <v>3.4938649207924402E-2</v>
      </c>
      <c r="L4724">
        <v>735.01707692738205</v>
      </c>
      <c r="M4724">
        <v>14.620582765712101</v>
      </c>
      <c r="N4724">
        <v>50.272766760193001</v>
      </c>
      <c r="O4724">
        <v>49.360359155019502</v>
      </c>
      <c r="P4724">
        <v>-7.4058495454605106E-2</v>
      </c>
      <c r="Q4724">
        <v>0</v>
      </c>
      <c r="R4724">
        <v>0.97709147990938805</v>
      </c>
      <c r="S4724" t="s">
        <v>11292</v>
      </c>
      <c r="T4724" t="s">
        <v>13134</v>
      </c>
      <c r="U4724" t="s">
        <v>13134</v>
      </c>
      <c r="V4724" t="s">
        <v>13134</v>
      </c>
      <c r="W4724" t="s">
        <v>17796</v>
      </c>
      <c r="X4724">
        <v>1</v>
      </c>
      <c r="Y4724" t="s">
        <v>24166</v>
      </c>
      <c r="Z4724" t="s">
        <v>30692</v>
      </c>
      <c r="AA4724">
        <v>0.46389000971081479</v>
      </c>
      <c r="AB4724" t="str">
        <f>HYPERLINK("Melting_Curves/meltCurve_Q8TDN6_BRIX1.pdf", "Melting_Curves/meltCurve_Q8TDN6_BRIX1.pdf")</f>
        <v>Melting_Curves/meltCurve_Q8TDN6_BRIX1.pdf</v>
      </c>
    </row>
    <row r="4725" spans="1:28" x14ac:dyDescent="0.25">
      <c r="A4725" t="s">
        <v>4729</v>
      </c>
      <c r="B4725">
        <v>0.99472303558308395</v>
      </c>
      <c r="C4725">
        <v>0.98887677232382998</v>
      </c>
      <c r="D4725">
        <v>0.86251329561660395</v>
      </c>
      <c r="E4725">
        <v>0.78751315786303899</v>
      </c>
      <c r="F4725">
        <v>0.83168145962620899</v>
      </c>
      <c r="G4725">
        <v>0.50152491358617601</v>
      </c>
      <c r="H4725">
        <v>0.456744164957263</v>
      </c>
      <c r="I4725">
        <v>0.41175113518260098</v>
      </c>
      <c r="J4725">
        <v>0.57938953172079</v>
      </c>
      <c r="K4725">
        <v>0.60075609610373104</v>
      </c>
      <c r="L4725">
        <v>705.42104222153603</v>
      </c>
      <c r="M4725">
        <v>14.5768559614797</v>
      </c>
      <c r="O4725">
        <v>47.5098141922537</v>
      </c>
      <c r="P4725">
        <v>-3.89357962816319E-2</v>
      </c>
      <c r="Q4725">
        <v>0.49244928411211403</v>
      </c>
      <c r="R4725">
        <v>0.83987095463855599</v>
      </c>
      <c r="S4725" t="s">
        <v>11293</v>
      </c>
      <c r="T4725" t="s">
        <v>13134</v>
      </c>
      <c r="U4725" t="s">
        <v>13134</v>
      </c>
      <c r="V4725" t="s">
        <v>13134</v>
      </c>
      <c r="W4725" t="s">
        <v>17797</v>
      </c>
      <c r="X4725">
        <v>10</v>
      </c>
      <c r="Y4725" t="s">
        <v>24167</v>
      </c>
      <c r="Z4725" t="s">
        <v>30693</v>
      </c>
      <c r="AA4725">
        <v>0.69681142685759423</v>
      </c>
      <c r="AB4725" t="str">
        <f>HYPERLINK("Melting_Curves/meltCurve_Q8TDQ7_3_GNPDA2.pdf", "Melting_Curves/meltCurve_Q8TDQ7_3_GNPDA2.pdf")</f>
        <v>Melting_Curves/meltCurve_Q8TDQ7_3_GNPDA2.pdf</v>
      </c>
    </row>
    <row r="4726" spans="1:28" x14ac:dyDescent="0.25">
      <c r="A4726" t="s">
        <v>4730</v>
      </c>
      <c r="B4726">
        <v>0.99472303558308395</v>
      </c>
      <c r="C4726">
        <v>1.18391777353937</v>
      </c>
      <c r="D4726">
        <v>0.77581774004030701</v>
      </c>
      <c r="E4726">
        <v>0.71311930285983904</v>
      </c>
      <c r="F4726">
        <v>0.58536045213254995</v>
      </c>
      <c r="G4726">
        <v>0.27202022293177602</v>
      </c>
      <c r="H4726">
        <v>0.140752089510852</v>
      </c>
      <c r="I4726">
        <v>0.12176701226256199</v>
      </c>
      <c r="J4726">
        <v>0.18059990215048599</v>
      </c>
      <c r="K4726">
        <v>0.12821849658974799</v>
      </c>
      <c r="L4726">
        <v>733.89579546541597</v>
      </c>
      <c r="M4726">
        <v>14.856649441661901</v>
      </c>
      <c r="N4726">
        <v>50.130475176260397</v>
      </c>
      <c r="O4726">
        <v>48.529381195927797</v>
      </c>
      <c r="P4726">
        <v>-6.9078764713075294E-2</v>
      </c>
      <c r="Q4726">
        <v>9.7509006783735697E-2</v>
      </c>
      <c r="R4726">
        <v>0.94381299519008899</v>
      </c>
      <c r="S4726" t="s">
        <v>11294</v>
      </c>
      <c r="T4726" t="s">
        <v>13134</v>
      </c>
      <c r="U4726" t="s">
        <v>13134</v>
      </c>
      <c r="V4726" t="s">
        <v>13134</v>
      </c>
      <c r="W4726" t="s">
        <v>17798</v>
      </c>
      <c r="X4726">
        <v>3</v>
      </c>
      <c r="Y4726" t="s">
        <v>24168</v>
      </c>
      <c r="Z4726" t="s">
        <v>30694</v>
      </c>
      <c r="AA4726">
        <v>0.4899837626736</v>
      </c>
      <c r="AB4726" t="str">
        <f>HYPERLINK("Melting_Curves/meltCurve_Q8TDW0_LRRC8C.pdf", "Melting_Curves/meltCurve_Q8TDW0_LRRC8C.pdf")</f>
        <v>Melting_Curves/meltCurve_Q8TDW0_LRRC8C.pdf</v>
      </c>
    </row>
    <row r="4727" spans="1:28" x14ac:dyDescent="0.25">
      <c r="A4727" t="s">
        <v>4731</v>
      </c>
      <c r="B4727">
        <v>0.99472303558308395</v>
      </c>
      <c r="C4727">
        <v>1.0022763321553301</v>
      </c>
      <c r="D4727">
        <v>1.0581358588004299</v>
      </c>
      <c r="E4727">
        <v>0.87851242283265896</v>
      </c>
      <c r="F4727">
        <v>0.43303807076916201</v>
      </c>
      <c r="G4727">
        <v>0.18309453528184599</v>
      </c>
      <c r="H4727">
        <v>6.6762520640474096E-2</v>
      </c>
      <c r="I4727">
        <v>4.2035466651049402E-2</v>
      </c>
      <c r="J4727">
        <v>4.4081096578844702E-2</v>
      </c>
      <c r="K4727">
        <v>3.0623355095683799E-2</v>
      </c>
      <c r="L4727">
        <v>1384.90574316526</v>
      </c>
      <c r="M4727">
        <v>27.869817705119299</v>
      </c>
      <c r="N4727">
        <v>49.857048428873398</v>
      </c>
      <c r="O4727">
        <v>49.4382262306681</v>
      </c>
      <c r="P4727">
        <v>-0.13472170160595501</v>
      </c>
      <c r="Q4727">
        <v>4.4077883534498603E-2</v>
      </c>
      <c r="R4727">
        <v>0.99615308744991404</v>
      </c>
      <c r="S4727" t="s">
        <v>11295</v>
      </c>
      <c r="T4727" t="s">
        <v>13134</v>
      </c>
      <c r="U4727" t="s">
        <v>13134</v>
      </c>
      <c r="V4727" t="s">
        <v>13134</v>
      </c>
      <c r="W4727" t="s">
        <v>17799</v>
      </c>
      <c r="X4727">
        <v>9</v>
      </c>
      <c r="Y4727" t="s">
        <v>24169</v>
      </c>
      <c r="Z4727" t="s">
        <v>30695</v>
      </c>
      <c r="AA4727">
        <v>0.45524244330332908</v>
      </c>
      <c r="AB4727" t="str">
        <f>HYPERLINK("Melting_Curves/meltCurve_Q8TDX7_NEK7.pdf", "Melting_Curves/meltCurve_Q8TDX7_NEK7.pdf")</f>
        <v>Melting_Curves/meltCurve_Q8TDX7_NEK7.pdf</v>
      </c>
    </row>
    <row r="4728" spans="1:28" x14ac:dyDescent="0.25">
      <c r="A4728" t="s">
        <v>4732</v>
      </c>
      <c r="B4728">
        <v>0.99472303558308395</v>
      </c>
      <c r="C4728">
        <v>0.94113857433342396</v>
      </c>
      <c r="D4728">
        <v>0.80245637822367499</v>
      </c>
      <c r="E4728">
        <v>0.58299713307983003</v>
      </c>
      <c r="F4728">
        <v>0.30435937199720903</v>
      </c>
      <c r="G4728">
        <v>0.124050711330154</v>
      </c>
      <c r="H4728">
        <v>9.2332871776982198E-2</v>
      </c>
      <c r="I4728">
        <v>6.1787639989372603E-2</v>
      </c>
      <c r="J4728">
        <v>6.44802983385767E-2</v>
      </c>
      <c r="K4728">
        <v>5.1941866386545098E-2</v>
      </c>
      <c r="L4728">
        <v>745.66888083151196</v>
      </c>
      <c r="M4728">
        <v>15.8338726230205</v>
      </c>
      <c r="N4728">
        <v>47.328222653945701</v>
      </c>
      <c r="O4728">
        <v>46.361305693631799</v>
      </c>
      <c r="P4728">
        <v>-8.2162522518300196E-2</v>
      </c>
      <c r="Q4728">
        <v>3.7796842744144299E-2</v>
      </c>
      <c r="R4728">
        <v>0.99826883267767397</v>
      </c>
      <c r="S4728" t="s">
        <v>11296</v>
      </c>
      <c r="T4728" t="s">
        <v>13134</v>
      </c>
      <c r="U4728" t="s">
        <v>13134</v>
      </c>
      <c r="V4728" t="s">
        <v>13134</v>
      </c>
      <c r="W4728" t="s">
        <v>17800</v>
      </c>
      <c r="X4728">
        <v>11</v>
      </c>
      <c r="Y4728" t="s">
        <v>24170</v>
      </c>
      <c r="Z4728" t="s">
        <v>30696</v>
      </c>
      <c r="AA4728">
        <v>0.38113136414615711</v>
      </c>
      <c r="AB4728" t="str">
        <f>HYPERLINK("Melting_Curves/meltCurve_Q8TDY2_2_RB1CC1.pdf", "Melting_Curves/meltCurve_Q8TDY2_2_RB1CC1.pdf")</f>
        <v>Melting_Curves/meltCurve_Q8TDY2_2_RB1CC1.pdf</v>
      </c>
    </row>
    <row r="4729" spans="1:28" x14ac:dyDescent="0.25">
      <c r="A4729" t="s">
        <v>4733</v>
      </c>
      <c r="B4729">
        <v>0.99472303558308395</v>
      </c>
      <c r="C4729">
        <v>1.03977471842744</v>
      </c>
      <c r="D4729">
        <v>0.73085007380661904</v>
      </c>
      <c r="E4729">
        <v>0.43179955755577398</v>
      </c>
      <c r="F4729">
        <v>0.34998322145824401</v>
      </c>
      <c r="G4729">
        <v>0.20519695817938</v>
      </c>
      <c r="H4729">
        <v>0.12229764077584</v>
      </c>
      <c r="I4729">
        <v>8.6343726846311003E-2</v>
      </c>
      <c r="J4729">
        <v>0.11031279360193399</v>
      </c>
      <c r="K4729">
        <v>5.6696018106425099E-2</v>
      </c>
      <c r="L4729">
        <v>717.36058373437004</v>
      </c>
      <c r="M4729">
        <v>15.603283244579901</v>
      </c>
      <c r="N4729">
        <v>46.547918308104997</v>
      </c>
      <c r="O4729">
        <v>45.2396748150097</v>
      </c>
      <c r="P4729">
        <v>-7.8698991732497198E-2</v>
      </c>
      <c r="Q4729">
        <v>8.7369303872913001E-2</v>
      </c>
      <c r="R4729">
        <v>0.97877960570270495</v>
      </c>
      <c r="S4729" t="s">
        <v>11297</v>
      </c>
      <c r="T4729" t="s">
        <v>13134</v>
      </c>
      <c r="U4729" t="s">
        <v>13134</v>
      </c>
      <c r="V4729" t="s">
        <v>13134</v>
      </c>
      <c r="W4729" t="s">
        <v>17801</v>
      </c>
      <c r="X4729">
        <v>2</v>
      </c>
      <c r="Y4729" t="s">
        <v>24171</v>
      </c>
      <c r="Z4729" t="s">
        <v>30697</v>
      </c>
      <c r="AA4729">
        <v>0.37992973516563328</v>
      </c>
      <c r="AB4729" t="str">
        <f>HYPERLINK("Melting_Curves/meltCurve_Q8TDY4_3_ASAP3.pdf", "Melting_Curves/meltCurve_Q8TDY4_3_ASAP3.pdf")</f>
        <v>Melting_Curves/meltCurve_Q8TDY4_3_ASAP3.pdf</v>
      </c>
    </row>
    <row r="4730" spans="1:28" x14ac:dyDescent="0.25">
      <c r="A4730" t="s">
        <v>4734</v>
      </c>
      <c r="B4730">
        <v>0.99472303558308395</v>
      </c>
      <c r="C4730">
        <v>1.0187822892651599</v>
      </c>
      <c r="D4730">
        <v>0.76194647347308397</v>
      </c>
      <c r="E4730">
        <v>0.378982470912609</v>
      </c>
      <c r="F4730">
        <v>0.227294011527126</v>
      </c>
      <c r="G4730">
        <v>0.107977059000602</v>
      </c>
      <c r="H4730">
        <v>6.5615019318509493E-2</v>
      </c>
      <c r="I4730">
        <v>5.8771112598723897E-2</v>
      </c>
      <c r="J4730">
        <v>5.7689801037870199E-2</v>
      </c>
      <c r="K4730">
        <v>6.9397987397974203E-2</v>
      </c>
      <c r="L4730">
        <v>955.08975751978005</v>
      </c>
      <c r="M4730">
        <v>21.058499308646699</v>
      </c>
      <c r="N4730">
        <v>45.668284295484902</v>
      </c>
      <c r="O4730">
        <v>44.951070901140596</v>
      </c>
      <c r="P4730">
        <v>-0.10922446570042101</v>
      </c>
      <c r="Q4730">
        <v>6.74308248495359E-2</v>
      </c>
      <c r="R4730">
        <v>0.99383081905396498</v>
      </c>
      <c r="S4730" t="s">
        <v>11298</v>
      </c>
      <c r="T4730" t="s">
        <v>13134</v>
      </c>
      <c r="U4730" t="s">
        <v>13134</v>
      </c>
      <c r="V4730" t="s">
        <v>13134</v>
      </c>
      <c r="W4730" t="s">
        <v>17802</v>
      </c>
      <c r="X4730">
        <v>4</v>
      </c>
      <c r="Y4730" t="s">
        <v>24172</v>
      </c>
      <c r="Z4730" t="s">
        <v>30698</v>
      </c>
      <c r="AA4730">
        <v>0.33809947841785692</v>
      </c>
      <c r="AB4730" t="str">
        <f>HYPERLINK("Melting_Curves/meltCurve_Q8TDZ2_MICAL1.pdf", "Melting_Curves/meltCurve_Q8TDZ2_MICAL1.pdf")</f>
        <v>Melting_Curves/meltCurve_Q8TDZ2_MICAL1.pdf</v>
      </c>
    </row>
    <row r="4731" spans="1:28" x14ac:dyDescent="0.25">
      <c r="A4731" t="s">
        <v>4735</v>
      </c>
      <c r="B4731">
        <v>0.99472303558308395</v>
      </c>
      <c r="C4731">
        <v>0.92336046347174805</v>
      </c>
      <c r="D4731">
        <v>0.96625899317090802</v>
      </c>
      <c r="E4731">
        <v>0.81929184182289805</v>
      </c>
      <c r="F4731">
        <v>0.62843894707551895</v>
      </c>
      <c r="G4731">
        <v>0.31610572327442699</v>
      </c>
      <c r="H4731">
        <v>0.176346044623827</v>
      </c>
      <c r="I4731">
        <v>0.117970945922462</v>
      </c>
      <c r="J4731">
        <v>0.175209058476405</v>
      </c>
      <c r="K4731">
        <v>0.12724343540407901</v>
      </c>
      <c r="L4731">
        <v>943.34375082421195</v>
      </c>
      <c r="M4731">
        <v>18.651210052670301</v>
      </c>
      <c r="N4731">
        <v>51.283222118530503</v>
      </c>
      <c r="O4731">
        <v>50.007503462036702</v>
      </c>
      <c r="P4731">
        <v>-8.2700508849379406E-2</v>
      </c>
      <c r="Q4731">
        <v>0.113094204426076</v>
      </c>
      <c r="R4731">
        <v>0.99109773612445096</v>
      </c>
      <c r="S4731" t="s">
        <v>11299</v>
      </c>
      <c r="T4731" t="s">
        <v>13134</v>
      </c>
      <c r="U4731" t="s">
        <v>13134</v>
      </c>
      <c r="V4731" t="s">
        <v>13134</v>
      </c>
      <c r="W4731" t="s">
        <v>17803</v>
      </c>
      <c r="X4731">
        <v>21</v>
      </c>
      <c r="Y4731" t="s">
        <v>24173</v>
      </c>
      <c r="Z4731" t="s">
        <v>30699</v>
      </c>
      <c r="AA4731">
        <v>0.52760083742673181</v>
      </c>
      <c r="AB4731" t="str">
        <f>HYPERLINK("Melting_Curves/meltCurve_Q8TEA1_NSUN6.pdf", "Melting_Curves/meltCurve_Q8TEA1_NSUN6.pdf")</f>
        <v>Melting_Curves/meltCurve_Q8TEA1_NSUN6.pdf</v>
      </c>
    </row>
    <row r="4732" spans="1:28" x14ac:dyDescent="0.25">
      <c r="A4732" t="s">
        <v>4736</v>
      </c>
      <c r="B4732">
        <v>0.99472303558308395</v>
      </c>
      <c r="C4732">
        <v>0.91362136913176195</v>
      </c>
      <c r="D4732">
        <v>0.64257118845541705</v>
      </c>
      <c r="E4732">
        <v>0.48398057920100801</v>
      </c>
      <c r="F4732">
        <v>0.21113570023431799</v>
      </c>
      <c r="G4732">
        <v>0.10045851829187601</v>
      </c>
      <c r="H4732">
        <v>9.9354053838317496E-2</v>
      </c>
      <c r="I4732">
        <v>3.7979041380931798E-2</v>
      </c>
      <c r="J4732">
        <v>8.2641840801160299E-2</v>
      </c>
      <c r="K4732">
        <v>4.4798651761288902E-2</v>
      </c>
      <c r="L4732">
        <v>666.07304968632104</v>
      </c>
      <c r="M4732">
        <v>14.6831587488817</v>
      </c>
      <c r="N4732">
        <v>45.6223492251019</v>
      </c>
      <c r="O4732">
        <v>44.546557490908597</v>
      </c>
      <c r="P4732">
        <v>-7.9113548277886206E-2</v>
      </c>
      <c r="Q4732">
        <v>4.0029609977516499E-2</v>
      </c>
      <c r="R4732">
        <v>0.99098496237646805</v>
      </c>
      <c r="S4732" t="s">
        <v>11300</v>
      </c>
      <c r="T4732" t="s">
        <v>13134</v>
      </c>
      <c r="U4732" t="s">
        <v>13134</v>
      </c>
      <c r="V4732" t="s">
        <v>13134</v>
      </c>
      <c r="W4732" t="s">
        <v>17804</v>
      </c>
      <c r="X4732">
        <v>3</v>
      </c>
      <c r="Y4732" t="s">
        <v>24174</v>
      </c>
      <c r="Z4732" t="s">
        <v>30700</v>
      </c>
      <c r="AA4732">
        <v>0.33115282393362561</v>
      </c>
      <c r="AB4732" t="str">
        <f>HYPERLINK("Melting_Curves/meltCurve_Q8TEA7_3_TBCK.pdf", "Melting_Curves/meltCurve_Q8TEA7_3_TBCK.pdf")</f>
        <v>Melting_Curves/meltCurve_Q8TEA7_3_TBCK.pdf</v>
      </c>
    </row>
    <row r="4733" spans="1:28" x14ac:dyDescent="0.25">
      <c r="A4733" t="s">
        <v>4737</v>
      </c>
      <c r="B4733">
        <v>0.99472303558308395</v>
      </c>
      <c r="C4733">
        <v>1.0838762619156099</v>
      </c>
      <c r="D4733">
        <v>0.89157761439873595</v>
      </c>
      <c r="E4733">
        <v>0.94926894429310205</v>
      </c>
      <c r="F4733">
        <v>0.79941572247658299</v>
      </c>
      <c r="G4733">
        <v>0.70685843997577302</v>
      </c>
      <c r="H4733">
        <v>0.66092454832054903</v>
      </c>
      <c r="I4733">
        <v>0.76136253242151497</v>
      </c>
      <c r="J4733">
        <v>1.0791581569092601</v>
      </c>
      <c r="K4733">
        <v>0.80826942908789401</v>
      </c>
      <c r="L4733">
        <v>3750.10674799759</v>
      </c>
      <c r="M4733">
        <v>79.424027801655598</v>
      </c>
      <c r="O4733">
        <v>47.186369453287703</v>
      </c>
      <c r="P4733">
        <v>-8.3152906973781901E-2</v>
      </c>
      <c r="Q4733">
        <v>0.80239314632669401</v>
      </c>
      <c r="R4733">
        <v>0.37666544260988399</v>
      </c>
      <c r="S4733" t="s">
        <v>11301</v>
      </c>
      <c r="T4733" t="s">
        <v>13134</v>
      </c>
      <c r="U4733" t="s">
        <v>13134</v>
      </c>
      <c r="V4733" t="s">
        <v>13134</v>
      </c>
      <c r="W4733" t="s">
        <v>17805</v>
      </c>
      <c r="X4733">
        <v>4</v>
      </c>
      <c r="Y4733" t="s">
        <v>24175</v>
      </c>
      <c r="Z4733" t="s">
        <v>30701</v>
      </c>
      <c r="AA4733">
        <v>0.86984923477062936</v>
      </c>
      <c r="AB4733" t="str">
        <f>HYPERLINK("Melting_Curves/meltCurve_Q8TEA8_DTD1.pdf", "Melting_Curves/meltCurve_Q8TEA8_DTD1.pdf")</f>
        <v>Melting_Curves/meltCurve_Q8TEA8_DTD1.pdf</v>
      </c>
    </row>
    <row r="4734" spans="1:28" x14ac:dyDescent="0.25">
      <c r="A4734" t="s">
        <v>4738</v>
      </c>
      <c r="B4734">
        <v>0.99472303558308395</v>
      </c>
      <c r="C4734">
        <v>0.92383147132462196</v>
      </c>
      <c r="D4734">
        <v>0.72711905545102296</v>
      </c>
      <c r="E4734">
        <v>0.66308790783850102</v>
      </c>
      <c r="F4734">
        <v>0.53782345900291495</v>
      </c>
      <c r="G4734">
        <v>0.25464950411398501</v>
      </c>
      <c r="H4734">
        <v>0.13797831557863499</v>
      </c>
      <c r="I4734">
        <v>7.7171914211817294E-2</v>
      </c>
      <c r="J4734">
        <v>0.12172461028565</v>
      </c>
      <c r="K4734">
        <v>9.9425268916930695E-2</v>
      </c>
      <c r="L4734">
        <v>503.30236904949402</v>
      </c>
      <c r="M4734">
        <v>10.2346155064158</v>
      </c>
      <c r="N4734">
        <v>49.194786724245603</v>
      </c>
      <c r="O4734">
        <v>47.409973428267897</v>
      </c>
      <c r="P4734">
        <v>-5.3890031455894098E-2</v>
      </c>
      <c r="Q4734">
        <v>1.90180280401403E-3</v>
      </c>
      <c r="R4734">
        <v>0.97785218313963795</v>
      </c>
      <c r="S4734" t="s">
        <v>11302</v>
      </c>
      <c r="T4734" t="s">
        <v>13134</v>
      </c>
      <c r="U4734" t="s">
        <v>13134</v>
      </c>
      <c r="V4734" t="s">
        <v>13134</v>
      </c>
      <c r="W4734" t="s">
        <v>17806</v>
      </c>
      <c r="X4734">
        <v>6</v>
      </c>
      <c r="Y4734" t="s">
        <v>24176</v>
      </c>
      <c r="Z4734" t="s">
        <v>30702</v>
      </c>
      <c r="AA4734">
        <v>0.44260115814677492</v>
      </c>
      <c r="AB4734" t="str">
        <f>HYPERLINK("Melting_Curves/meltCurve_Q8TEB1_2_DCAF11.pdf", "Melting_Curves/meltCurve_Q8TEB1_2_DCAF11.pdf")</f>
        <v>Melting_Curves/meltCurve_Q8TEB1_2_DCAF11.pdf</v>
      </c>
    </row>
    <row r="4735" spans="1:28" x14ac:dyDescent="0.25">
      <c r="A4735" t="s">
        <v>4739</v>
      </c>
      <c r="B4735">
        <v>0.99472303558308395</v>
      </c>
      <c r="C4735">
        <v>0.92625044253267697</v>
      </c>
      <c r="D4735">
        <v>0.78758893426355303</v>
      </c>
      <c r="E4735">
        <v>0.61070511902400804</v>
      </c>
      <c r="F4735">
        <v>0.32984455331398299</v>
      </c>
      <c r="G4735">
        <v>0.13562801528653501</v>
      </c>
      <c r="H4735">
        <v>7.8928137953441502E-2</v>
      </c>
      <c r="I4735">
        <v>7.5506570156631703E-2</v>
      </c>
      <c r="J4735">
        <v>8.9409881097565896E-2</v>
      </c>
      <c r="K4735">
        <v>6.9364949247354105E-2</v>
      </c>
      <c r="L4735">
        <v>715.24643151888995</v>
      </c>
      <c r="M4735">
        <v>15.146107926345101</v>
      </c>
      <c r="N4735">
        <v>47.515826369377798</v>
      </c>
      <c r="O4735">
        <v>46.422869535643301</v>
      </c>
      <c r="P4735">
        <v>-7.7940484848808902E-2</v>
      </c>
      <c r="Q4735">
        <v>4.4541586509705598E-2</v>
      </c>
      <c r="R4735">
        <v>0.99500126262158495</v>
      </c>
      <c r="S4735" t="s">
        <v>11303</v>
      </c>
      <c r="T4735" t="s">
        <v>13134</v>
      </c>
      <c r="U4735" t="s">
        <v>13134</v>
      </c>
      <c r="V4735" t="s">
        <v>13134</v>
      </c>
      <c r="W4735" t="s">
        <v>17807</v>
      </c>
      <c r="X4735">
        <v>2</v>
      </c>
      <c r="Y4735" t="s">
        <v>24177</v>
      </c>
      <c r="Z4735" t="s">
        <v>30703</v>
      </c>
      <c r="AA4735">
        <v>0.39117297215121161</v>
      </c>
      <c r="AB4735" t="str">
        <f>HYPERLINK("Melting_Curves/meltCurve_Q8TEH3_DENND1A.pdf", "Melting_Curves/meltCurve_Q8TEH3_DENND1A.pdf")</f>
        <v>Melting_Curves/meltCurve_Q8TEH3_DENND1A.pdf</v>
      </c>
    </row>
    <row r="4736" spans="1:28" x14ac:dyDescent="0.25">
      <c r="A4736" t="s">
        <v>4740</v>
      </c>
      <c r="B4736">
        <v>0.99472303558308395</v>
      </c>
      <c r="C4736">
        <v>0.85179045629290395</v>
      </c>
      <c r="D4736">
        <v>0.68828465492273005</v>
      </c>
      <c r="E4736">
        <v>0.63683512233391304</v>
      </c>
      <c r="F4736">
        <v>0.60856874970014896</v>
      </c>
      <c r="G4736">
        <v>0.188904312769473</v>
      </c>
      <c r="H4736">
        <v>9.4652482056406903E-2</v>
      </c>
      <c r="I4736">
        <v>5.9599667559042203E-2</v>
      </c>
      <c r="J4736">
        <v>6.5527113892905095E-2</v>
      </c>
      <c r="K4736">
        <v>4.8707222504953601E-2</v>
      </c>
      <c r="L4736">
        <v>508.60890731510199</v>
      </c>
      <c r="M4736">
        <v>10.4604406810312</v>
      </c>
      <c r="N4736">
        <v>48.622130079738596</v>
      </c>
      <c r="O4736">
        <v>46.945916097534599</v>
      </c>
      <c r="P4736">
        <v>-5.5727545893920698E-2</v>
      </c>
      <c r="Q4736">
        <v>0</v>
      </c>
      <c r="R4736">
        <v>0.94560532039730905</v>
      </c>
      <c r="S4736" t="s">
        <v>11304</v>
      </c>
      <c r="T4736" t="s">
        <v>13134</v>
      </c>
      <c r="U4736" t="s">
        <v>13134</v>
      </c>
      <c r="V4736" t="s">
        <v>13134</v>
      </c>
      <c r="W4736" t="s">
        <v>17808</v>
      </c>
      <c r="X4736">
        <v>26</v>
      </c>
      <c r="Y4736" t="s">
        <v>24178</v>
      </c>
      <c r="Z4736" t="s">
        <v>30704</v>
      </c>
      <c r="AA4736">
        <v>0.42367514693767999</v>
      </c>
      <c r="AB4736" t="str">
        <f>HYPERLINK("Melting_Curves/meltCurve_Q8TEM1_NUP210.pdf", "Melting_Curves/meltCurve_Q8TEM1_NUP210.pdf")</f>
        <v>Melting_Curves/meltCurve_Q8TEM1_NUP210.pdf</v>
      </c>
    </row>
    <row r="4737" spans="1:28" x14ac:dyDescent="0.25">
      <c r="A4737" t="s">
        <v>4741</v>
      </c>
      <c r="B4737">
        <v>0.99472303558308395</v>
      </c>
      <c r="C4737">
        <v>0.887671365893554</v>
      </c>
      <c r="D4737">
        <v>0.76117978478621295</v>
      </c>
      <c r="E4737">
        <v>0.612259152293265</v>
      </c>
      <c r="F4737">
        <v>0.26389580758989301</v>
      </c>
      <c r="G4737">
        <v>7.3337140886450394E-2</v>
      </c>
      <c r="H4737">
        <v>4.2609758117878802E-2</v>
      </c>
      <c r="I4737">
        <v>3.3034444111470197E-2</v>
      </c>
      <c r="J4737">
        <v>3.1885995287143198E-2</v>
      </c>
      <c r="K4737">
        <v>2.6382136487470498E-2</v>
      </c>
      <c r="L4737">
        <v>716.96942011708495</v>
      </c>
      <c r="M4737">
        <v>15.243106251134799</v>
      </c>
      <c r="N4737">
        <v>47.035645040457403</v>
      </c>
      <c r="O4737">
        <v>46.248411766031602</v>
      </c>
      <c r="P4737">
        <v>-8.2405814712278994E-2</v>
      </c>
      <c r="Q4737">
        <v>0</v>
      </c>
      <c r="R4737">
        <v>0.98970403724542799</v>
      </c>
      <c r="S4737" t="s">
        <v>11305</v>
      </c>
      <c r="T4737" t="s">
        <v>13134</v>
      </c>
      <c r="U4737" t="s">
        <v>13134</v>
      </c>
      <c r="V4737" t="s">
        <v>13134</v>
      </c>
      <c r="W4737" t="s">
        <v>17809</v>
      </c>
      <c r="X4737">
        <v>33</v>
      </c>
      <c r="Y4737" t="s">
        <v>24179</v>
      </c>
      <c r="Z4737" t="s">
        <v>30705</v>
      </c>
      <c r="AA4737">
        <v>0.35637660389722708</v>
      </c>
      <c r="AB4737" t="str">
        <f>HYPERLINK("Melting_Curves/meltCurve_Q8TEQ6_GEMIN5.pdf", "Melting_Curves/meltCurve_Q8TEQ6_GEMIN5.pdf")</f>
        <v>Melting_Curves/meltCurve_Q8TEQ6_GEMIN5.pdf</v>
      </c>
    </row>
    <row r="4738" spans="1:28" x14ac:dyDescent="0.25">
      <c r="A4738" t="s">
        <v>4742</v>
      </c>
      <c r="B4738">
        <v>0.99472303558308395</v>
      </c>
      <c r="C4738">
        <v>0.92118719579613495</v>
      </c>
      <c r="D4738">
        <v>0.87527681849300099</v>
      </c>
      <c r="E4738">
        <v>0.52486699205192999</v>
      </c>
      <c r="F4738">
        <v>0.16981988282882299</v>
      </c>
      <c r="G4738">
        <v>7.4935943973998706E-2</v>
      </c>
      <c r="H4738">
        <v>4.1358219799713401E-2</v>
      </c>
      <c r="I4738">
        <v>3.18338580251653E-2</v>
      </c>
      <c r="J4738">
        <v>3.6856990422886003E-2</v>
      </c>
      <c r="K4738">
        <v>3.1331888347997702E-2</v>
      </c>
      <c r="L4738">
        <v>1048.5477197047401</v>
      </c>
      <c r="M4738">
        <v>22.5090224132692</v>
      </c>
      <c r="N4738">
        <v>46.702724008873297</v>
      </c>
      <c r="O4738">
        <v>46.220436608234799</v>
      </c>
      <c r="P4738">
        <v>-0.118349670696275</v>
      </c>
      <c r="Q4738">
        <v>2.7934346135609401E-2</v>
      </c>
      <c r="R4738">
        <v>0.99752772677677304</v>
      </c>
      <c r="S4738" t="s">
        <v>11306</v>
      </c>
      <c r="T4738" t="s">
        <v>13134</v>
      </c>
      <c r="U4738" t="s">
        <v>13134</v>
      </c>
      <c r="V4738" t="s">
        <v>13134</v>
      </c>
      <c r="W4738" t="s">
        <v>17810</v>
      </c>
      <c r="X4738">
        <v>24</v>
      </c>
      <c r="Y4738" t="s">
        <v>24180</v>
      </c>
      <c r="Z4738" t="s">
        <v>30706</v>
      </c>
      <c r="AA4738">
        <v>0.34849288176712329</v>
      </c>
      <c r="AB4738" t="str">
        <f>HYPERLINK("Melting_Curves/meltCurve_Q8TEX9_IPO4.pdf", "Melting_Curves/meltCurve_Q8TEX9_IPO4.pdf")</f>
        <v>Melting_Curves/meltCurve_Q8TEX9_IPO4.pdf</v>
      </c>
    </row>
    <row r="4739" spans="1:28" x14ac:dyDescent="0.25">
      <c r="A4739" t="s">
        <v>4743</v>
      </c>
      <c r="B4739">
        <v>0.99472303558308395</v>
      </c>
      <c r="C4739">
        <v>0.94933979244815903</v>
      </c>
      <c r="D4739">
        <v>0.85512078098944799</v>
      </c>
      <c r="E4739">
        <v>0.55060986855400396</v>
      </c>
      <c r="F4739">
        <v>0.20148308503145501</v>
      </c>
      <c r="G4739">
        <v>0.108807744693818</v>
      </c>
      <c r="H4739">
        <v>6.7821828799588299E-2</v>
      </c>
      <c r="I4739">
        <v>4.8221706154708902E-2</v>
      </c>
      <c r="J4739">
        <v>2.2303572602236001E-2</v>
      </c>
      <c r="K4739">
        <v>5.2783805781780699E-2</v>
      </c>
      <c r="L4739">
        <v>958.68400836225101</v>
      </c>
      <c r="M4739">
        <v>20.5162005793606</v>
      </c>
      <c r="N4739">
        <v>46.910712616072097</v>
      </c>
      <c r="O4739">
        <v>46.290989994005798</v>
      </c>
      <c r="P4739">
        <v>-0.10655189237040399</v>
      </c>
      <c r="Q4739">
        <v>3.8370208561306997E-2</v>
      </c>
      <c r="R4739">
        <v>0.99854995368353905</v>
      </c>
      <c r="S4739" t="s">
        <v>11307</v>
      </c>
      <c r="T4739" t="s">
        <v>13134</v>
      </c>
      <c r="U4739" t="s">
        <v>13134</v>
      </c>
      <c r="V4739" t="s">
        <v>13134</v>
      </c>
      <c r="W4739" t="s">
        <v>17811</v>
      </c>
      <c r="X4739">
        <v>1</v>
      </c>
      <c r="Y4739" t="s">
        <v>24181</v>
      </c>
      <c r="Z4739" t="s">
        <v>30707</v>
      </c>
      <c r="AA4739">
        <v>0.36216020428493462</v>
      </c>
      <c r="AB4739" t="str">
        <f>HYPERLINK("Melting_Curves/meltCurve_Q8TEY7_3_USP33.pdf", "Melting_Curves/meltCurve_Q8TEY7_3_USP33.pdf")</f>
        <v>Melting_Curves/meltCurve_Q8TEY7_3_USP33.pdf</v>
      </c>
    </row>
    <row r="4740" spans="1:28" x14ac:dyDescent="0.25">
      <c r="A4740" t="s">
        <v>4744</v>
      </c>
      <c r="B4740">
        <v>0.99472303558308395</v>
      </c>
      <c r="C4740">
        <v>0.953901664120131</v>
      </c>
      <c r="D4740">
        <v>0.92366664853237002</v>
      </c>
      <c r="E4740">
        <v>0.811249348533572</v>
      </c>
      <c r="F4740">
        <v>0.60314630635640598</v>
      </c>
      <c r="G4740">
        <v>0.52987642198719298</v>
      </c>
      <c r="H4740">
        <v>0.434655665400702</v>
      </c>
      <c r="I4740">
        <v>0.48279908001127497</v>
      </c>
      <c r="J4740">
        <v>0.69358256041897004</v>
      </c>
      <c r="K4740">
        <v>0.41882455044342398</v>
      </c>
      <c r="L4740">
        <v>1049.5803406561599</v>
      </c>
      <c r="M4740">
        <v>22.219893913589999</v>
      </c>
      <c r="O4740">
        <v>46.858459850737397</v>
      </c>
      <c r="P4740">
        <v>-5.8870668065730901E-2</v>
      </c>
      <c r="Q4740">
        <v>0.50341262973436296</v>
      </c>
      <c r="R4740">
        <v>0.88286997485496399</v>
      </c>
      <c r="S4740" t="s">
        <v>11308</v>
      </c>
      <c r="T4740" t="s">
        <v>13134</v>
      </c>
      <c r="U4740" t="s">
        <v>13134</v>
      </c>
      <c r="V4740" t="s">
        <v>13134</v>
      </c>
      <c r="W4740" t="s">
        <v>17812</v>
      </c>
      <c r="X4740">
        <v>16</v>
      </c>
      <c r="Y4740" t="s">
        <v>24182</v>
      </c>
      <c r="Z4740" t="s">
        <v>30708</v>
      </c>
      <c r="AA4740">
        <v>0.6781418951613063</v>
      </c>
      <c r="AB4740" t="str">
        <f>HYPERLINK("Melting_Curves/meltCurve_Q8TF01_PNISR.pdf", "Melting_Curves/meltCurve_Q8TF01_PNISR.pdf")</f>
        <v>Melting_Curves/meltCurve_Q8TF01_PNISR.pdf</v>
      </c>
    </row>
    <row r="4741" spans="1:28" x14ac:dyDescent="0.25">
      <c r="A4741" t="s">
        <v>4745</v>
      </c>
      <c r="B4741">
        <v>0.99472303558308395</v>
      </c>
      <c r="C4741">
        <v>0.97206311976605497</v>
      </c>
      <c r="D4741">
        <v>0.91950590943861399</v>
      </c>
      <c r="E4741">
        <v>0.76250855821968999</v>
      </c>
      <c r="F4741">
        <v>0.25859726290699597</v>
      </c>
      <c r="G4741">
        <v>8.4197463366483802E-2</v>
      </c>
      <c r="H4741">
        <v>5.4877315972346498E-2</v>
      </c>
      <c r="I4741">
        <v>3.8540557005003098E-2</v>
      </c>
      <c r="J4741">
        <v>3.9015357591878998E-2</v>
      </c>
      <c r="K4741">
        <v>4.0751424219712097E-2</v>
      </c>
      <c r="L4741">
        <v>1409.28415728193</v>
      </c>
      <c r="M4741">
        <v>29.225597788285501</v>
      </c>
      <c r="N4741">
        <v>48.355792383587001</v>
      </c>
      <c r="O4741">
        <v>47.996807739032697</v>
      </c>
      <c r="P4741">
        <v>-0.14626900118112801</v>
      </c>
      <c r="Q4741">
        <v>3.9144462623385202E-2</v>
      </c>
      <c r="R4741">
        <v>0.99761943304080902</v>
      </c>
      <c r="S4741" t="s">
        <v>11309</v>
      </c>
      <c r="T4741" t="s">
        <v>13134</v>
      </c>
      <c r="U4741" t="s">
        <v>13134</v>
      </c>
      <c r="V4741" t="s">
        <v>13134</v>
      </c>
      <c r="W4741" t="s">
        <v>17813</v>
      </c>
      <c r="X4741">
        <v>27</v>
      </c>
      <c r="Y4741" t="s">
        <v>24183</v>
      </c>
      <c r="Z4741" t="s">
        <v>30709</v>
      </c>
      <c r="AA4741">
        <v>0.40455424291942932</v>
      </c>
      <c r="AB4741" t="str">
        <f>HYPERLINK("Melting_Curves/meltCurve_Q8TF05_2_PPP4R1.pdf", "Melting_Curves/meltCurve_Q8TF05_2_PPP4R1.pdf")</f>
        <v>Melting_Curves/meltCurve_Q8TF05_2_PPP4R1.pdf</v>
      </c>
    </row>
    <row r="4742" spans="1:28" x14ac:dyDescent="0.25">
      <c r="A4742" t="s">
        <v>4746</v>
      </c>
      <c r="B4742">
        <v>0.99472303558308395</v>
      </c>
      <c r="C4742">
        <v>0.92486302099664497</v>
      </c>
      <c r="D4742">
        <v>0.68234340660614201</v>
      </c>
      <c r="E4742">
        <v>0.39168172378180499</v>
      </c>
      <c r="F4742">
        <v>0.13203747297901799</v>
      </c>
      <c r="G4742">
        <v>7.3955474839355995E-2</v>
      </c>
      <c r="H4742">
        <v>4.8153463380775002E-2</v>
      </c>
      <c r="I4742">
        <v>2.7194724179809501E-2</v>
      </c>
      <c r="J4742">
        <v>2.3828557288344002E-2</v>
      </c>
      <c r="K4742">
        <v>2.9811243824726299E-2</v>
      </c>
      <c r="L4742">
        <v>809.21564932580895</v>
      </c>
      <c r="M4742">
        <v>17.9762106553767</v>
      </c>
      <c r="N4742">
        <v>45.128445197615598</v>
      </c>
      <c r="O4742">
        <v>44.469924870768999</v>
      </c>
      <c r="P4742">
        <v>-9.8848010856459695E-2</v>
      </c>
      <c r="Q4742">
        <v>2.19194292358512E-2</v>
      </c>
      <c r="R4742">
        <v>0.99843173858107503</v>
      </c>
      <c r="S4742" t="s">
        <v>11310</v>
      </c>
      <c r="T4742" t="s">
        <v>13134</v>
      </c>
      <c r="U4742" t="s">
        <v>13134</v>
      </c>
      <c r="V4742" t="s">
        <v>13134</v>
      </c>
      <c r="W4742" t="s">
        <v>17814</v>
      </c>
      <c r="X4742">
        <v>3</v>
      </c>
      <c r="Y4742" t="s">
        <v>24184</v>
      </c>
      <c r="Z4742" t="s">
        <v>30710</v>
      </c>
      <c r="AA4742">
        <v>0.29932844298075451</v>
      </c>
      <c r="AB4742" t="str">
        <f>HYPERLINK("Melting_Curves/meltCurve_Q8TF46_2_DIS3L.pdf", "Melting_Curves/meltCurve_Q8TF46_2_DIS3L.pdf")</f>
        <v>Melting_Curves/meltCurve_Q8TF46_2_DIS3L.pdf</v>
      </c>
    </row>
    <row r="4743" spans="1:28" x14ac:dyDescent="0.25">
      <c r="A4743" t="s">
        <v>4747</v>
      </c>
      <c r="B4743">
        <v>0.99472303558308395</v>
      </c>
      <c r="C4743">
        <v>0.99375169981659495</v>
      </c>
      <c r="D4743">
        <v>0.86790078193646603</v>
      </c>
      <c r="E4743">
        <v>0.58660939353069497</v>
      </c>
      <c r="F4743">
        <v>0.16576594704501499</v>
      </c>
      <c r="G4743">
        <v>0.16601830521328301</v>
      </c>
      <c r="H4743">
        <v>8.42854565094283E-2</v>
      </c>
      <c r="I4743">
        <v>3.2499732077078902E-2</v>
      </c>
      <c r="J4743">
        <v>4.2203144430460998E-2</v>
      </c>
      <c r="K4743">
        <v>3.0909853358945E-2</v>
      </c>
      <c r="L4743">
        <v>1056.67335934574</v>
      </c>
      <c r="M4743">
        <v>22.536305780264101</v>
      </c>
      <c r="N4743">
        <v>47.100956840495101</v>
      </c>
      <c r="O4743">
        <v>46.523101077155303</v>
      </c>
      <c r="P4743">
        <v>-0.11522888194556399</v>
      </c>
      <c r="Q4743">
        <v>4.8522650807664998E-2</v>
      </c>
      <c r="R4743">
        <v>0.993134025264793</v>
      </c>
      <c r="S4743" t="s">
        <v>11311</v>
      </c>
      <c r="T4743" t="s">
        <v>13134</v>
      </c>
      <c r="U4743" t="s">
        <v>13134</v>
      </c>
      <c r="V4743" t="s">
        <v>13134</v>
      </c>
      <c r="W4743" t="s">
        <v>17815</v>
      </c>
      <c r="X4743">
        <v>1</v>
      </c>
      <c r="Y4743" t="s">
        <v>24185</v>
      </c>
      <c r="Z4743" t="s">
        <v>30711</v>
      </c>
      <c r="AA4743">
        <v>0.37194303059445971</v>
      </c>
      <c r="AB4743" t="str">
        <f>HYPERLINK("Melting_Curves/meltCurve_Q8TF64_GIPC3.pdf", "Melting_Curves/meltCurve_Q8TF64_GIPC3.pdf")</f>
        <v>Melting_Curves/meltCurve_Q8TF64_GIPC3.pdf</v>
      </c>
    </row>
    <row r="4744" spans="1:28" x14ac:dyDescent="0.25">
      <c r="A4744" t="s">
        <v>4748</v>
      </c>
      <c r="B4744">
        <v>0.99472303558308395</v>
      </c>
      <c r="C4744">
        <v>0.97117895699048096</v>
      </c>
      <c r="D4744">
        <v>0.93230249639055796</v>
      </c>
      <c r="E4744">
        <v>0.87292750936111396</v>
      </c>
      <c r="F4744">
        <v>0.71451461637823999</v>
      </c>
      <c r="G4744">
        <v>0.56870330560385196</v>
      </c>
      <c r="H4744">
        <v>0.53186160712430697</v>
      </c>
      <c r="I4744">
        <v>0.56851143228539602</v>
      </c>
      <c r="J4744">
        <v>0.80531690038879999</v>
      </c>
      <c r="K4744">
        <v>0.61233473673043604</v>
      </c>
      <c r="L4744">
        <v>1308.24327978323</v>
      </c>
      <c r="M4744">
        <v>27.4863742892034</v>
      </c>
      <c r="O4744">
        <v>47.346269606142698</v>
      </c>
      <c r="P4744">
        <v>-5.5472752653048699E-2</v>
      </c>
      <c r="Q4744">
        <v>0.61778826895324401</v>
      </c>
      <c r="R4744">
        <v>0.81775832119477398</v>
      </c>
      <c r="S4744" t="s">
        <v>11312</v>
      </c>
      <c r="T4744" t="s">
        <v>13134</v>
      </c>
      <c r="U4744" t="s">
        <v>13134</v>
      </c>
      <c r="V4744" t="s">
        <v>13134</v>
      </c>
      <c r="W4744" t="s">
        <v>17816</v>
      </c>
      <c r="X4744">
        <v>11</v>
      </c>
      <c r="Y4744" t="s">
        <v>24186</v>
      </c>
      <c r="Z4744" t="s">
        <v>30712</v>
      </c>
      <c r="AA4744">
        <v>0.75546501231082341</v>
      </c>
      <c r="AB4744" t="str">
        <f>HYPERLINK("Melting_Curves/meltCurve_Q8TF74_WIPF2.pdf", "Melting_Curves/meltCurve_Q8TF74_WIPF2.pdf")</f>
        <v>Melting_Curves/meltCurve_Q8TF74_WIPF2.pdf</v>
      </c>
    </row>
    <row r="4745" spans="1:28" x14ac:dyDescent="0.25">
      <c r="A4745" t="s">
        <v>4749</v>
      </c>
      <c r="B4745">
        <v>0.99472303558308395</v>
      </c>
      <c r="C4745">
        <v>0.93117306755491203</v>
      </c>
      <c r="D4745">
        <v>1.0659049207531399</v>
      </c>
      <c r="E4745">
        <v>0.71209314419955105</v>
      </c>
      <c r="F4745">
        <v>0.39734610409428001</v>
      </c>
      <c r="G4745">
        <v>0.19990218762839199</v>
      </c>
      <c r="H4745">
        <v>0.12434078954138</v>
      </c>
      <c r="I4745">
        <v>3.7317581230705797E-2</v>
      </c>
      <c r="J4745">
        <v>6.7585017903473807E-2</v>
      </c>
      <c r="K4745">
        <v>0.12812947152041501</v>
      </c>
      <c r="L4745">
        <v>1102.6648563420099</v>
      </c>
      <c r="M4745">
        <v>22.6570187941883</v>
      </c>
      <c r="N4745">
        <v>49.061909030946403</v>
      </c>
      <c r="O4745">
        <v>48.293347600658002</v>
      </c>
      <c r="P4745">
        <v>-0.10752951302619899</v>
      </c>
      <c r="Q4745">
        <v>8.3223725283892103E-2</v>
      </c>
      <c r="R4745">
        <v>0.98478719510357704</v>
      </c>
      <c r="S4745" t="s">
        <v>11313</v>
      </c>
      <c r="T4745" t="s">
        <v>13134</v>
      </c>
      <c r="U4745" t="s">
        <v>13134</v>
      </c>
      <c r="V4745" t="s">
        <v>13134</v>
      </c>
      <c r="W4745" t="s">
        <v>17817</v>
      </c>
      <c r="X4745">
        <v>2</v>
      </c>
      <c r="Y4745" t="s">
        <v>24187</v>
      </c>
      <c r="Z4745" t="s">
        <v>30713</v>
      </c>
      <c r="AA4745">
        <v>0.44932227272896519</v>
      </c>
      <c r="AB4745" t="str">
        <f>HYPERLINK("Melting_Curves/meltCurve_Q8WTS1_ABHD5.pdf", "Melting_Curves/meltCurve_Q8WTS1_ABHD5.pdf")</f>
        <v>Melting_Curves/meltCurve_Q8WTS1_ABHD5.pdf</v>
      </c>
    </row>
    <row r="4746" spans="1:28" x14ac:dyDescent="0.25">
      <c r="A4746" t="s">
        <v>4750</v>
      </c>
      <c r="B4746">
        <v>0.99472303558308395</v>
      </c>
      <c r="C4746">
        <v>0.89364821034603703</v>
      </c>
      <c r="D4746">
        <v>0.61598121757689805</v>
      </c>
      <c r="E4746">
        <v>0.284343700270136</v>
      </c>
      <c r="F4746">
        <v>0.15267425795155001</v>
      </c>
      <c r="G4746">
        <v>7.8155253150327494E-2</v>
      </c>
      <c r="H4746">
        <v>6.4464676197379805E-2</v>
      </c>
      <c r="I4746">
        <v>3.3887098378148503E-2</v>
      </c>
      <c r="J4746">
        <v>4.2546694344141503E-2</v>
      </c>
      <c r="K4746">
        <v>2.46494167022288E-2</v>
      </c>
      <c r="L4746">
        <v>826.29426465144604</v>
      </c>
      <c r="M4746">
        <v>18.7638256863202</v>
      </c>
      <c r="N4746">
        <v>44.238438208987297</v>
      </c>
      <c r="O4746">
        <v>43.545527380155598</v>
      </c>
      <c r="P4746">
        <v>-0.10330906274733501</v>
      </c>
      <c r="Q4746">
        <v>4.1035809869927997E-2</v>
      </c>
      <c r="R4746">
        <v>0.99836946321645104</v>
      </c>
      <c r="S4746" t="s">
        <v>11314</v>
      </c>
      <c r="T4746" t="s">
        <v>13134</v>
      </c>
      <c r="U4746" t="s">
        <v>13134</v>
      </c>
      <c r="V4746" t="s">
        <v>13134</v>
      </c>
      <c r="W4746" t="s">
        <v>17818</v>
      </c>
      <c r="X4746">
        <v>8</v>
      </c>
      <c r="Y4746" t="s">
        <v>24188</v>
      </c>
      <c r="Z4746" t="s">
        <v>30714</v>
      </c>
      <c r="AA4746">
        <v>0.28070094656251199</v>
      </c>
      <c r="AB4746" t="str">
        <f>HYPERLINK("Melting_Curves/meltCurve_Q8WTW3_COG1.pdf", "Melting_Curves/meltCurve_Q8WTW3_COG1.pdf")</f>
        <v>Melting_Curves/meltCurve_Q8WTW3_COG1.pdf</v>
      </c>
    </row>
    <row r="4747" spans="1:28" x14ac:dyDescent="0.25">
      <c r="A4747" t="s">
        <v>4751</v>
      </c>
      <c r="B4747">
        <v>0.99472303558308395</v>
      </c>
      <c r="C4747">
        <v>0.98727102453789795</v>
      </c>
      <c r="D4747">
        <v>0.72028043299402</v>
      </c>
      <c r="E4747">
        <v>0.51114938438014601</v>
      </c>
      <c r="F4747">
        <v>0.233591409036668</v>
      </c>
      <c r="G4747">
        <v>0.10699293390248001</v>
      </c>
      <c r="H4747">
        <v>8.75156632827718E-2</v>
      </c>
      <c r="I4747">
        <v>5.8526098033066597E-2</v>
      </c>
      <c r="J4747">
        <v>7.2356824444880494E-2</v>
      </c>
      <c r="K4747">
        <v>6.3607178411186405E-2</v>
      </c>
      <c r="L4747">
        <v>777.16427634229899</v>
      </c>
      <c r="M4747">
        <v>16.892021901381099</v>
      </c>
      <c r="N4747">
        <v>46.311333333791403</v>
      </c>
      <c r="O4747">
        <v>45.377507734666104</v>
      </c>
      <c r="P4747">
        <v>-8.8192256625756305E-2</v>
      </c>
      <c r="Q4747">
        <v>5.2407125744363403E-2</v>
      </c>
      <c r="R4747">
        <v>0.99392848829131497</v>
      </c>
      <c r="S4747" t="s">
        <v>11315</v>
      </c>
      <c r="T4747" t="s">
        <v>13134</v>
      </c>
      <c r="U4747" t="s">
        <v>13134</v>
      </c>
      <c r="V4747" t="s">
        <v>13134</v>
      </c>
      <c r="W4747" t="s">
        <v>17819</v>
      </c>
      <c r="X4747">
        <v>4</v>
      </c>
      <c r="Y4747" t="s">
        <v>24189</v>
      </c>
      <c r="Z4747" t="s">
        <v>30715</v>
      </c>
      <c r="AA4747">
        <v>0.3542985049136505</v>
      </c>
      <c r="AB4747" t="str">
        <f>HYPERLINK("Melting_Curves/meltCurve_Q8WU40_CAMK2G.pdf", "Melting_Curves/meltCurve_Q8WU40_CAMK2G.pdf")</f>
        <v>Melting_Curves/meltCurve_Q8WU40_CAMK2G.pdf</v>
      </c>
    </row>
    <row r="4748" spans="1:28" x14ac:dyDescent="0.25">
      <c r="A4748" t="s">
        <v>4752</v>
      </c>
      <c r="B4748">
        <v>0.99472303558308395</v>
      </c>
      <c r="C4748">
        <v>0.87706600725012895</v>
      </c>
      <c r="D4748">
        <v>0.70594048197846104</v>
      </c>
      <c r="E4748">
        <v>0.46996850756237202</v>
      </c>
      <c r="F4748">
        <v>0.36031765594020698</v>
      </c>
      <c r="G4748">
        <v>0.15877757030428799</v>
      </c>
      <c r="H4748">
        <v>0.13284454260055201</v>
      </c>
      <c r="I4748">
        <v>9.1300735978680395E-2</v>
      </c>
      <c r="J4748">
        <v>0.20213677596573601</v>
      </c>
      <c r="K4748">
        <v>9.9244050899725406E-2</v>
      </c>
      <c r="L4748">
        <v>615.92273543030797</v>
      </c>
      <c r="M4748">
        <v>13.5393977030012</v>
      </c>
      <c r="N4748">
        <v>46.290665239276997</v>
      </c>
      <c r="O4748">
        <v>44.533167056661902</v>
      </c>
      <c r="P4748">
        <v>-6.8093191452117396E-2</v>
      </c>
      <c r="Q4748">
        <v>0.10425903518073</v>
      </c>
      <c r="R4748">
        <v>0.98468829583384698</v>
      </c>
      <c r="S4748" t="s">
        <v>11316</v>
      </c>
      <c r="T4748" t="s">
        <v>13134</v>
      </c>
      <c r="U4748" t="s">
        <v>13134</v>
      </c>
      <c r="V4748" t="s">
        <v>13134</v>
      </c>
      <c r="W4748" t="s">
        <v>17820</v>
      </c>
      <c r="X4748">
        <v>5</v>
      </c>
      <c r="Y4748" t="s">
        <v>24190</v>
      </c>
      <c r="Z4748" t="s">
        <v>30716</v>
      </c>
      <c r="AA4748">
        <v>0.38327352734230741</v>
      </c>
      <c r="AB4748" t="str">
        <f>HYPERLINK("Melting_Curves/meltCurve_Q8WU76_2_SCFD2.pdf", "Melting_Curves/meltCurve_Q8WU76_2_SCFD2.pdf")</f>
        <v>Melting_Curves/meltCurve_Q8WU76_2_SCFD2.pdf</v>
      </c>
    </row>
    <row r="4749" spans="1:28" x14ac:dyDescent="0.25">
      <c r="A4749" t="s">
        <v>4753</v>
      </c>
      <c r="B4749">
        <v>0.99472303558308395</v>
      </c>
      <c r="C4749">
        <v>0.95903152922693502</v>
      </c>
      <c r="D4749">
        <v>1.01420460627675</v>
      </c>
      <c r="E4749">
        <v>0.67364867321656696</v>
      </c>
      <c r="F4749">
        <v>0.21003575676286401</v>
      </c>
      <c r="G4749">
        <v>8.5888373093765902E-2</v>
      </c>
      <c r="H4749">
        <v>4.9659431602829998E-2</v>
      </c>
      <c r="I4749">
        <v>3.1500858625071203E-2</v>
      </c>
      <c r="J4749">
        <v>3.1414041286839799E-2</v>
      </c>
      <c r="K4749">
        <v>3.7308778706198802E-2</v>
      </c>
      <c r="L4749">
        <v>1482.6872854739199</v>
      </c>
      <c r="M4749">
        <v>31.103058162080501</v>
      </c>
      <c r="N4749">
        <v>47.800229642454198</v>
      </c>
      <c r="O4749">
        <v>47.474385876689603</v>
      </c>
      <c r="P4749">
        <v>-0.157143466257915</v>
      </c>
      <c r="Q4749">
        <v>4.0576978469423597E-2</v>
      </c>
      <c r="R4749">
        <v>0.99756786454069102</v>
      </c>
      <c r="S4749" t="s">
        <v>11317</v>
      </c>
      <c r="T4749" t="s">
        <v>13134</v>
      </c>
      <c r="U4749" t="s">
        <v>13134</v>
      </c>
      <c r="V4749" t="s">
        <v>13134</v>
      </c>
      <c r="W4749" t="s">
        <v>17821</v>
      </c>
      <c r="X4749">
        <v>14</v>
      </c>
      <c r="Y4749" t="s">
        <v>24191</v>
      </c>
      <c r="Z4749" t="s">
        <v>30717</v>
      </c>
      <c r="AA4749">
        <v>0.38706751733696998</v>
      </c>
      <c r="AB4749" t="str">
        <f>HYPERLINK("Melting_Curves/meltCurve_Q8WU79_SMAP2.pdf", "Melting_Curves/meltCurve_Q8WU79_SMAP2.pdf")</f>
        <v>Melting_Curves/meltCurve_Q8WU79_SMAP2.pdf</v>
      </c>
    </row>
    <row r="4750" spans="1:28" x14ac:dyDescent="0.25">
      <c r="A4750" t="s">
        <v>4754</v>
      </c>
      <c r="B4750">
        <v>0.99472303558308395</v>
      </c>
      <c r="C4750">
        <v>0.99102697419406205</v>
      </c>
      <c r="D4750">
        <v>0.96188332650935504</v>
      </c>
      <c r="E4750">
        <v>0.87217430519453298</v>
      </c>
      <c r="F4750">
        <v>0.66186995275918004</v>
      </c>
      <c r="G4750">
        <v>0.46484114567062701</v>
      </c>
      <c r="H4750">
        <v>0.28632075038014299</v>
      </c>
      <c r="I4750">
        <v>0.18464600584059701</v>
      </c>
      <c r="J4750">
        <v>0.19951473094098399</v>
      </c>
      <c r="K4750">
        <v>0.15861667844468</v>
      </c>
      <c r="L4750">
        <v>797.71013766409806</v>
      </c>
      <c r="M4750">
        <v>15.394072332552399</v>
      </c>
      <c r="N4750">
        <v>52.886613035361201</v>
      </c>
      <c r="O4750">
        <v>50.968470303698801</v>
      </c>
      <c r="P4750">
        <v>-6.5431864310297599E-2</v>
      </c>
      <c r="Q4750">
        <v>0.133521621417449</v>
      </c>
      <c r="R4750">
        <v>0.99851871858871799</v>
      </c>
      <c r="S4750" t="s">
        <v>11318</v>
      </c>
      <c r="T4750" t="s">
        <v>13134</v>
      </c>
      <c r="U4750" t="s">
        <v>13134</v>
      </c>
      <c r="V4750" t="s">
        <v>13134</v>
      </c>
      <c r="W4750" t="s">
        <v>17822</v>
      </c>
      <c r="X4750">
        <v>17</v>
      </c>
      <c r="Y4750" t="s">
        <v>24192</v>
      </c>
      <c r="Z4750" t="s">
        <v>30718</v>
      </c>
      <c r="AA4750">
        <v>0.57778112232683521</v>
      </c>
      <c r="AB4750" t="str">
        <f>HYPERLINK("Melting_Curves/meltCurve_Q8WU90_ZC3H15.pdf", "Melting_Curves/meltCurve_Q8WU90_ZC3H15.pdf")</f>
        <v>Melting_Curves/meltCurve_Q8WU90_ZC3H15.pdf</v>
      </c>
    </row>
    <row r="4751" spans="1:28" x14ac:dyDescent="0.25">
      <c r="A4751" t="s">
        <v>4755</v>
      </c>
      <c r="B4751">
        <v>0.99472303558308395</v>
      </c>
      <c r="C4751">
        <v>0.95538441923818995</v>
      </c>
      <c r="D4751">
        <v>0.90366053859852002</v>
      </c>
      <c r="E4751">
        <v>0.72949923330403199</v>
      </c>
      <c r="F4751">
        <v>0.35075028208885001</v>
      </c>
      <c r="G4751">
        <v>0.12138608532402501</v>
      </c>
      <c r="H4751">
        <v>6.7498094904528697E-2</v>
      </c>
      <c r="I4751">
        <v>5.2011726331889198E-2</v>
      </c>
      <c r="J4751">
        <v>6.9624449691291002E-2</v>
      </c>
      <c r="K4751">
        <v>5.7032872775722901E-2</v>
      </c>
      <c r="L4751">
        <v>1047.27416103982</v>
      </c>
      <c r="M4751">
        <v>21.638698813180302</v>
      </c>
      <c r="N4751">
        <v>48.614449353577697</v>
      </c>
      <c r="O4751">
        <v>47.990524568230001</v>
      </c>
      <c r="P4751">
        <v>-0.107554365136055</v>
      </c>
      <c r="Q4751">
        <v>4.5881768948112897E-2</v>
      </c>
      <c r="R4751">
        <v>0.997411239665423</v>
      </c>
      <c r="S4751" t="s">
        <v>11319</v>
      </c>
      <c r="T4751" t="s">
        <v>13134</v>
      </c>
      <c r="U4751" t="s">
        <v>13134</v>
      </c>
      <c r="V4751" t="s">
        <v>13134</v>
      </c>
      <c r="W4751" t="s">
        <v>17823</v>
      </c>
      <c r="X4751">
        <v>20</v>
      </c>
      <c r="Y4751" t="s">
        <v>24193</v>
      </c>
      <c r="Z4751" t="s">
        <v>30719</v>
      </c>
      <c r="AA4751">
        <v>0.41920852301414019</v>
      </c>
      <c r="AB4751" t="str">
        <f>HYPERLINK("Melting_Curves/meltCurve_Q8WUA2_PPIL4.pdf", "Melting_Curves/meltCurve_Q8WUA2_PPIL4.pdf")</f>
        <v>Melting_Curves/meltCurve_Q8WUA2_PPIL4.pdf</v>
      </c>
    </row>
    <row r="4752" spans="1:28" x14ac:dyDescent="0.25">
      <c r="A4752" t="s">
        <v>4756</v>
      </c>
      <c r="B4752">
        <v>0.99472303558308395</v>
      </c>
      <c r="C4752">
        <v>0.79474349279040901</v>
      </c>
      <c r="D4752">
        <v>0.53841877916661596</v>
      </c>
      <c r="E4752">
        <v>0.40118910823335202</v>
      </c>
      <c r="F4752">
        <v>0.21843540877777701</v>
      </c>
      <c r="G4752">
        <v>0.116538757836802</v>
      </c>
      <c r="H4752">
        <v>7.85814256729125E-2</v>
      </c>
      <c r="I4752">
        <v>7.6997536790008203E-2</v>
      </c>
      <c r="J4752">
        <v>9.4152084311998105E-2</v>
      </c>
      <c r="K4752">
        <v>6.2160241210437298E-2</v>
      </c>
      <c r="L4752">
        <v>588.10985547801499</v>
      </c>
      <c r="M4752">
        <v>13.407446601577499</v>
      </c>
      <c r="N4752">
        <v>44.284037371630397</v>
      </c>
      <c r="O4752">
        <v>42.9230851369772</v>
      </c>
      <c r="P4752">
        <v>-7.3443224296246501E-2</v>
      </c>
      <c r="Q4752">
        <v>5.9652438799021899E-2</v>
      </c>
      <c r="R4752">
        <v>0.98915252763448203</v>
      </c>
      <c r="S4752" t="s">
        <v>11320</v>
      </c>
      <c r="T4752" t="s">
        <v>13134</v>
      </c>
      <c r="U4752" t="s">
        <v>13134</v>
      </c>
      <c r="V4752" t="s">
        <v>13134</v>
      </c>
      <c r="W4752" t="s">
        <v>17824</v>
      </c>
      <c r="X4752">
        <v>4</v>
      </c>
      <c r="Y4752" t="s">
        <v>24194</v>
      </c>
      <c r="Z4752" t="s">
        <v>30720</v>
      </c>
      <c r="AA4752">
        <v>0.30439962399780679</v>
      </c>
      <c r="AB4752" t="str">
        <f>HYPERLINK("Melting_Curves/meltCurve_Q8WUA4_2_GTF3C2.pdf", "Melting_Curves/meltCurve_Q8WUA4_2_GTF3C2.pdf")</f>
        <v>Melting_Curves/meltCurve_Q8WUA4_2_GTF3C2.pdf</v>
      </c>
    </row>
    <row r="4753" spans="1:28" x14ac:dyDescent="0.25">
      <c r="A4753" t="s">
        <v>4757</v>
      </c>
      <c r="B4753">
        <v>0.99472303558308395</v>
      </c>
      <c r="C4753">
        <v>0.89557254999444602</v>
      </c>
      <c r="D4753">
        <v>0.81953486878694604</v>
      </c>
      <c r="E4753">
        <v>0.58836886735645899</v>
      </c>
      <c r="F4753">
        <v>0.30174661861272101</v>
      </c>
      <c r="G4753">
        <v>0.123037717122186</v>
      </c>
      <c r="H4753">
        <v>6.4153165003969295E-2</v>
      </c>
      <c r="I4753">
        <v>3.3611764750909302E-2</v>
      </c>
      <c r="J4753">
        <v>4.5238371876253299E-2</v>
      </c>
      <c r="K4753">
        <v>3.3940216219732297E-2</v>
      </c>
      <c r="L4753">
        <v>716.48128255849497</v>
      </c>
      <c r="M4753">
        <v>15.139695053490399</v>
      </c>
      <c r="N4753">
        <v>47.3834863253756</v>
      </c>
      <c r="O4753">
        <v>46.522054588089901</v>
      </c>
      <c r="P4753">
        <v>-8.06081391577462E-2</v>
      </c>
      <c r="Q4753">
        <v>9.3087341630744194E-3</v>
      </c>
      <c r="R4753">
        <v>0.99691329140481499</v>
      </c>
      <c r="S4753" t="s">
        <v>11321</v>
      </c>
      <c r="T4753" t="s">
        <v>13134</v>
      </c>
      <c r="U4753" t="s">
        <v>13134</v>
      </c>
      <c r="V4753" t="s">
        <v>13134</v>
      </c>
      <c r="W4753" t="s">
        <v>17825</v>
      </c>
      <c r="X4753">
        <v>6</v>
      </c>
      <c r="Y4753" t="s">
        <v>24195</v>
      </c>
      <c r="Z4753" t="s">
        <v>30721</v>
      </c>
      <c r="AA4753">
        <v>0.37204645277705528</v>
      </c>
      <c r="AB4753" t="str">
        <f>HYPERLINK("Melting_Curves/meltCurve_Q8WUB8_3_PHF10.pdf", "Melting_Curves/meltCurve_Q8WUB8_3_PHF10.pdf")</f>
        <v>Melting_Curves/meltCurve_Q8WUB8_3_PHF10.pdf</v>
      </c>
    </row>
    <row r="4754" spans="1:28" x14ac:dyDescent="0.25">
      <c r="A4754" t="s">
        <v>4758</v>
      </c>
      <c r="B4754">
        <v>0.99472303558308395</v>
      </c>
      <c r="C4754">
        <v>1.12242772867111</v>
      </c>
      <c r="D4754">
        <v>0.92349244206210501</v>
      </c>
      <c r="E4754">
        <v>0.92734549973483704</v>
      </c>
      <c r="F4754">
        <v>0.76675268928719997</v>
      </c>
      <c r="G4754">
        <v>0.57530115288634498</v>
      </c>
      <c r="H4754">
        <v>0.48473773789108998</v>
      </c>
      <c r="I4754">
        <v>0.59491342136497105</v>
      </c>
      <c r="J4754">
        <v>0.64098620837879094</v>
      </c>
      <c r="K4754">
        <v>0.56276644393963604</v>
      </c>
      <c r="L4754">
        <v>1543.2364508169101</v>
      </c>
      <c r="M4754">
        <v>31.115017835786698</v>
      </c>
      <c r="O4754">
        <v>49.394281623808702</v>
      </c>
      <c r="P4754">
        <v>-6.8353885803568395E-2</v>
      </c>
      <c r="Q4754">
        <v>0.56596238171117197</v>
      </c>
      <c r="R4754">
        <v>0.91644047844814303</v>
      </c>
      <c r="S4754" t="s">
        <v>11322</v>
      </c>
      <c r="T4754" t="s">
        <v>13134</v>
      </c>
      <c r="U4754" t="s">
        <v>13134</v>
      </c>
      <c r="V4754" t="s">
        <v>13134</v>
      </c>
      <c r="W4754" t="s">
        <v>17826</v>
      </c>
      <c r="X4754">
        <v>10</v>
      </c>
      <c r="Y4754" t="s">
        <v>24196</v>
      </c>
      <c r="Z4754" t="s">
        <v>30722</v>
      </c>
      <c r="AA4754">
        <v>0.75068675637637383</v>
      </c>
      <c r="AB4754" t="str">
        <f>HYPERLINK("Melting_Curves/meltCurve_Q8WUD1_RAB2B.pdf", "Melting_Curves/meltCurve_Q8WUD1_RAB2B.pdf")</f>
        <v>Melting_Curves/meltCurve_Q8WUD1_RAB2B.pdf</v>
      </c>
    </row>
    <row r="4755" spans="1:28" x14ac:dyDescent="0.25">
      <c r="A4755" t="s">
        <v>4759</v>
      </c>
      <c r="B4755">
        <v>0.99472303558308395</v>
      </c>
      <c r="C4755">
        <v>0.89995589187928005</v>
      </c>
      <c r="D4755">
        <v>0.65144412277370201</v>
      </c>
      <c r="E4755">
        <v>0.38791204448042099</v>
      </c>
      <c r="F4755">
        <v>0.20778541440793</v>
      </c>
      <c r="G4755">
        <v>8.6128937776231998E-2</v>
      </c>
      <c r="H4755">
        <v>6.4836510217107304E-2</v>
      </c>
      <c r="I4755">
        <v>4.6810236895728302E-2</v>
      </c>
      <c r="J4755">
        <v>7.0656530937681705E-2</v>
      </c>
      <c r="K4755">
        <v>4.2341103344441501E-2</v>
      </c>
      <c r="L4755">
        <v>719.03412254438103</v>
      </c>
      <c r="M4755">
        <v>16.043226861398502</v>
      </c>
      <c r="N4755">
        <v>45.069506128781903</v>
      </c>
      <c r="O4755">
        <v>44.139560454528997</v>
      </c>
      <c r="P4755">
        <v>-8.6990526830821202E-2</v>
      </c>
      <c r="Q4755">
        <v>4.2730148276241497E-2</v>
      </c>
      <c r="R4755">
        <v>0.99760656864990405</v>
      </c>
      <c r="S4755" t="s">
        <v>11323</v>
      </c>
      <c r="T4755" t="s">
        <v>13134</v>
      </c>
      <c r="U4755" t="s">
        <v>13134</v>
      </c>
      <c r="V4755" t="s">
        <v>13134</v>
      </c>
      <c r="W4755" t="s">
        <v>17827</v>
      </c>
      <c r="X4755">
        <v>4</v>
      </c>
      <c r="Y4755" t="s">
        <v>24197</v>
      </c>
      <c r="Z4755" t="s">
        <v>30723</v>
      </c>
      <c r="AA4755">
        <v>0.31221143180067601</v>
      </c>
      <c r="AB4755" t="str">
        <f>HYPERLINK("Melting_Curves/meltCurve_Q8WUE5_CXorf48.pdf", "Melting_Curves/meltCurve_Q8WUE5_CXorf48.pdf")</f>
        <v>Melting_Curves/meltCurve_Q8WUE5_CXorf48.pdf</v>
      </c>
    </row>
    <row r="4756" spans="1:28" x14ac:dyDescent="0.25">
      <c r="A4756" t="s">
        <v>4760</v>
      </c>
      <c r="B4756">
        <v>0.99472303558308395</v>
      </c>
      <c r="C4756">
        <v>1.17203335408767</v>
      </c>
      <c r="D4756">
        <v>0.919154423846827</v>
      </c>
      <c r="E4756">
        <v>0.68401661473046904</v>
      </c>
      <c r="F4756">
        <v>0.62275223216230102</v>
      </c>
      <c r="G4756">
        <v>0.18011875292294599</v>
      </c>
      <c r="H4756">
        <v>0.14034573398428299</v>
      </c>
      <c r="I4756">
        <v>0.103176932337587</v>
      </c>
      <c r="J4756">
        <v>9.7041012985136996E-2</v>
      </c>
      <c r="K4756">
        <v>0.118907066058678</v>
      </c>
      <c r="L4756">
        <v>878.39088627665296</v>
      </c>
      <c r="M4756">
        <v>17.677644422956401</v>
      </c>
      <c r="N4756">
        <v>50.151364102146403</v>
      </c>
      <c r="O4756">
        <v>49.066580829975301</v>
      </c>
      <c r="P4756">
        <v>-8.3306238264819296E-2</v>
      </c>
      <c r="Q4756">
        <v>7.5140191925280195E-2</v>
      </c>
      <c r="R4756">
        <v>0.95754266840070401</v>
      </c>
      <c r="S4756" t="s">
        <v>11324</v>
      </c>
      <c r="T4756" t="s">
        <v>13134</v>
      </c>
      <c r="U4756" t="s">
        <v>13134</v>
      </c>
      <c r="V4756" t="s">
        <v>13134</v>
      </c>
      <c r="W4756" t="s">
        <v>17828</v>
      </c>
      <c r="X4756">
        <v>3</v>
      </c>
      <c r="Y4756" t="s">
        <v>24198</v>
      </c>
      <c r="Z4756" t="s">
        <v>30724</v>
      </c>
      <c r="AA4756">
        <v>0.48140496338102512</v>
      </c>
      <c r="AB4756" t="str">
        <f>HYPERLINK("Melting_Curves/meltCurve_Q8WUF5_PPP1R13L.pdf", "Melting_Curves/meltCurve_Q8WUF5_PPP1R13L.pdf")</f>
        <v>Melting_Curves/meltCurve_Q8WUF5_PPP1R13L.pdf</v>
      </c>
    </row>
    <row r="4757" spans="1:28" x14ac:dyDescent="0.25">
      <c r="A4757" t="s">
        <v>4761</v>
      </c>
      <c r="B4757">
        <v>0.99472303558308395</v>
      </c>
      <c r="C4757">
        <v>1.00528380435595</v>
      </c>
      <c r="D4757">
        <v>0.96443485043582</v>
      </c>
      <c r="E4757">
        <v>0.83123961189440299</v>
      </c>
      <c r="F4757">
        <v>0.59971772169874904</v>
      </c>
      <c r="G4757">
        <v>0.33512861549977502</v>
      </c>
      <c r="H4757">
        <v>0.12598211762707001</v>
      </c>
      <c r="I4757">
        <v>6.49607101186601E-2</v>
      </c>
      <c r="J4757">
        <v>4.85114884969816E-2</v>
      </c>
      <c r="K4757">
        <v>5.1220858517501099E-2</v>
      </c>
      <c r="L4757">
        <v>875.88092357794005</v>
      </c>
      <c r="M4757">
        <v>17.097145351186299</v>
      </c>
      <c r="N4757">
        <v>51.327049499873397</v>
      </c>
      <c r="O4757">
        <v>50.544206451540703</v>
      </c>
      <c r="P4757">
        <v>-8.3220651310866103E-2</v>
      </c>
      <c r="Q4757">
        <v>1.5960150570375399E-2</v>
      </c>
      <c r="R4757">
        <v>0.99882341496683402</v>
      </c>
      <c r="S4757" t="s">
        <v>11325</v>
      </c>
      <c r="T4757" t="s">
        <v>13134</v>
      </c>
      <c r="U4757" t="s">
        <v>13134</v>
      </c>
      <c r="V4757" t="s">
        <v>13134</v>
      </c>
      <c r="W4757" t="s">
        <v>17829</v>
      </c>
      <c r="X4757">
        <v>4</v>
      </c>
      <c r="Y4757" t="s">
        <v>24199</v>
      </c>
      <c r="Z4757" t="s">
        <v>30725</v>
      </c>
      <c r="AA4757">
        <v>0.49910851325925859</v>
      </c>
      <c r="AB4757" t="str">
        <f>HYPERLINK("Melting_Curves/meltCurve_Q8WUH1_CHURC1.pdf", "Melting_Curves/meltCurve_Q8WUH1_CHURC1.pdf")</f>
        <v>Melting_Curves/meltCurve_Q8WUH1_CHURC1.pdf</v>
      </c>
    </row>
    <row r="4758" spans="1:28" x14ac:dyDescent="0.25">
      <c r="A4758" t="s">
        <v>4762</v>
      </c>
      <c r="B4758">
        <v>0.99472303558308395</v>
      </c>
      <c r="C4758">
        <v>0.84712581226372596</v>
      </c>
      <c r="D4758">
        <v>0.72745454100359197</v>
      </c>
      <c r="E4758">
        <v>0.44848671068754498</v>
      </c>
      <c r="F4758">
        <v>0.160421638556626</v>
      </c>
      <c r="G4758">
        <v>9.0944716968131306E-2</v>
      </c>
      <c r="H4758">
        <v>5.6569315958490199E-2</v>
      </c>
      <c r="I4758">
        <v>4.57167993068738E-2</v>
      </c>
      <c r="J4758">
        <v>6.1983348590822197E-2</v>
      </c>
      <c r="K4758">
        <v>4.49846932335035E-2</v>
      </c>
      <c r="L4758">
        <v>727.67974651398697</v>
      </c>
      <c r="M4758">
        <v>16.045987303270099</v>
      </c>
      <c r="N4758">
        <v>45.530218587500102</v>
      </c>
      <c r="O4758">
        <v>44.6628224461762</v>
      </c>
      <c r="P4758">
        <v>-8.7055253623921899E-2</v>
      </c>
      <c r="Q4758">
        <v>3.0827646950249001E-2</v>
      </c>
      <c r="R4758">
        <v>0.99428313170545402</v>
      </c>
      <c r="S4758" t="s">
        <v>11326</v>
      </c>
      <c r="T4758" t="s">
        <v>13134</v>
      </c>
      <c r="U4758" t="s">
        <v>13134</v>
      </c>
      <c r="V4758" t="s">
        <v>13134</v>
      </c>
      <c r="W4758" t="s">
        <v>17830</v>
      </c>
      <c r="X4758">
        <v>7</v>
      </c>
      <c r="Y4758" t="s">
        <v>24200</v>
      </c>
      <c r="Z4758" t="s">
        <v>30726</v>
      </c>
      <c r="AA4758">
        <v>0.32050169573086179</v>
      </c>
      <c r="AB4758" t="str">
        <f>HYPERLINK("Melting_Curves/meltCurve_Q8WUH2_TGFBRAP1.pdf", "Melting_Curves/meltCurve_Q8WUH2_TGFBRAP1.pdf")</f>
        <v>Melting_Curves/meltCurve_Q8WUH2_TGFBRAP1.pdf</v>
      </c>
    </row>
    <row r="4759" spans="1:28" x14ac:dyDescent="0.25">
      <c r="A4759" t="s">
        <v>4763</v>
      </c>
      <c r="B4759">
        <v>0.99472303558308395</v>
      </c>
      <c r="C4759">
        <v>0.893765692623821</v>
      </c>
      <c r="D4759">
        <v>0.93641622768905397</v>
      </c>
      <c r="E4759">
        <v>0.65539843527538</v>
      </c>
      <c r="F4759">
        <v>0.32644694860735102</v>
      </c>
      <c r="G4759">
        <v>0.18366627383460199</v>
      </c>
      <c r="H4759">
        <v>0.108221435833447</v>
      </c>
      <c r="I4759">
        <v>0.118313095050929</v>
      </c>
      <c r="J4759">
        <v>0.14568511507649901</v>
      </c>
      <c r="K4759">
        <v>0.12756643745566601</v>
      </c>
      <c r="L4759">
        <v>1034.1324610189999</v>
      </c>
      <c r="M4759">
        <v>21.760766746476101</v>
      </c>
      <c r="N4759">
        <v>48.114891756534199</v>
      </c>
      <c r="O4759">
        <v>47.126923272470101</v>
      </c>
      <c r="P4759">
        <v>-0.101879973451711</v>
      </c>
      <c r="Q4759">
        <v>0.117461655559896</v>
      </c>
      <c r="R4759">
        <v>0.99178041347736101</v>
      </c>
      <c r="S4759" t="s">
        <v>11327</v>
      </c>
      <c r="T4759" t="s">
        <v>13134</v>
      </c>
      <c r="U4759" t="s">
        <v>13134</v>
      </c>
      <c r="V4759" t="s">
        <v>13134</v>
      </c>
      <c r="W4759" t="s">
        <v>17831</v>
      </c>
      <c r="X4759">
        <v>3</v>
      </c>
      <c r="Y4759" t="s">
        <v>24201</v>
      </c>
      <c r="Z4759" t="s">
        <v>30727</v>
      </c>
      <c r="AA4759">
        <v>0.4368471070877703</v>
      </c>
      <c r="AB4759" t="str">
        <f>HYPERLINK("Melting_Curves/meltCurve_Q8WUH6_C12orf23.pdf", "Melting_Curves/meltCurve_Q8WUH6_C12orf23.pdf")</f>
        <v>Melting_Curves/meltCurve_Q8WUH6_C12orf23.pdf</v>
      </c>
    </row>
    <row r="4760" spans="1:28" x14ac:dyDescent="0.25">
      <c r="A4760" t="s">
        <v>4764</v>
      </c>
      <c r="B4760">
        <v>0.99472303558308395</v>
      </c>
      <c r="C4760">
        <v>0.98394495489806999</v>
      </c>
      <c r="D4760">
        <v>0.94920819467968798</v>
      </c>
      <c r="E4760">
        <v>0.81395218772571498</v>
      </c>
      <c r="F4760">
        <v>0.60480422157944103</v>
      </c>
      <c r="G4760">
        <v>0.34156798873378902</v>
      </c>
      <c r="H4760">
        <v>0.180002758944278</v>
      </c>
      <c r="I4760">
        <v>0.11914729128761301</v>
      </c>
      <c r="J4760">
        <v>0.14091265553997201</v>
      </c>
      <c r="K4760">
        <v>0.10251378132387701</v>
      </c>
      <c r="L4760">
        <v>845.54152297183998</v>
      </c>
      <c r="M4760">
        <v>16.663014590186499</v>
      </c>
      <c r="N4760">
        <v>51.318467554686499</v>
      </c>
      <c r="O4760">
        <v>50.029654843516603</v>
      </c>
      <c r="P4760">
        <v>-7.6181941689226998E-2</v>
      </c>
      <c r="Q4760">
        <v>8.5135039838050805E-2</v>
      </c>
      <c r="R4760">
        <v>0.99821592043194296</v>
      </c>
      <c r="S4760" t="s">
        <v>11328</v>
      </c>
      <c r="T4760" t="s">
        <v>13134</v>
      </c>
      <c r="U4760" t="s">
        <v>13134</v>
      </c>
      <c r="V4760" t="s">
        <v>13134</v>
      </c>
      <c r="W4760" t="s">
        <v>17832</v>
      </c>
      <c r="X4760">
        <v>14</v>
      </c>
      <c r="Y4760" t="s">
        <v>24202</v>
      </c>
      <c r="Z4760" t="s">
        <v>30728</v>
      </c>
      <c r="AA4760">
        <v>0.52029613080275072</v>
      </c>
      <c r="AB4760" t="str">
        <f>HYPERLINK("Melting_Curves/meltCurve_Q8WUI4_3_HDAC7.pdf", "Melting_Curves/meltCurve_Q8WUI4_3_HDAC7.pdf")</f>
        <v>Melting_Curves/meltCurve_Q8WUI4_3_HDAC7.pdf</v>
      </c>
    </row>
    <row r="4761" spans="1:28" x14ac:dyDescent="0.25">
      <c r="A4761" t="s">
        <v>4765</v>
      </c>
      <c r="B4761">
        <v>0.99472303558308395</v>
      </c>
      <c r="C4761">
        <v>0.92581822409883596</v>
      </c>
      <c r="D4761">
        <v>0.97910031488495797</v>
      </c>
      <c r="E4761">
        <v>0.84189827088930203</v>
      </c>
      <c r="F4761">
        <v>0.57723203095907105</v>
      </c>
      <c r="G4761">
        <v>0.17692845119714701</v>
      </c>
      <c r="H4761">
        <v>8.0189074179692801E-2</v>
      </c>
      <c r="I4761">
        <v>4.1816334956388902E-2</v>
      </c>
      <c r="J4761">
        <v>5.5497689394508103E-2</v>
      </c>
      <c r="K4761">
        <v>4.9690919249622698E-2</v>
      </c>
      <c r="L4761">
        <v>1196.7847801149701</v>
      </c>
      <c r="M4761">
        <v>23.748790917510899</v>
      </c>
      <c r="N4761">
        <v>50.546879045727103</v>
      </c>
      <c r="O4761">
        <v>50.0402774424428</v>
      </c>
      <c r="P4761">
        <v>-0.114525679834611</v>
      </c>
      <c r="Q4761">
        <v>3.4763170712699597E-2</v>
      </c>
      <c r="R4761">
        <v>0.99423175182247303</v>
      </c>
      <c r="S4761" t="s">
        <v>11329</v>
      </c>
      <c r="T4761" t="s">
        <v>13134</v>
      </c>
      <c r="U4761" t="s">
        <v>13134</v>
      </c>
      <c r="V4761" t="s">
        <v>13134</v>
      </c>
      <c r="W4761" t="s">
        <v>17833</v>
      </c>
      <c r="X4761">
        <v>2</v>
      </c>
      <c r="Y4761" t="s">
        <v>24203</v>
      </c>
      <c r="Z4761" t="s">
        <v>30729</v>
      </c>
      <c r="AA4761">
        <v>0.47502287972168628</v>
      </c>
      <c r="AB4761" t="str">
        <f>HYPERLINK("Melting_Curves/meltCurve_Q8WUJ0_STYX.pdf", "Melting_Curves/meltCurve_Q8WUJ0_STYX.pdf")</f>
        <v>Melting_Curves/meltCurve_Q8WUJ0_STYX.pdf</v>
      </c>
    </row>
    <row r="4762" spans="1:28" x14ac:dyDescent="0.25">
      <c r="A4762" t="s">
        <v>4766</v>
      </c>
      <c r="B4762">
        <v>0.99472303558308395</v>
      </c>
      <c r="C4762">
        <v>0.95018395786625598</v>
      </c>
      <c r="D4762">
        <v>0.895254436786321</v>
      </c>
      <c r="E4762">
        <v>0.69045269216897198</v>
      </c>
      <c r="F4762">
        <v>0.33905094158383398</v>
      </c>
      <c r="G4762">
        <v>0.123258452380144</v>
      </c>
      <c r="H4762">
        <v>5.7944856132930801E-2</v>
      </c>
      <c r="I4762">
        <v>2.9935904898157301E-2</v>
      </c>
      <c r="J4762">
        <v>5.3978268935856603E-2</v>
      </c>
      <c r="K4762">
        <v>5.8756395004804597E-2</v>
      </c>
      <c r="L4762">
        <v>956.81169770866495</v>
      </c>
      <c r="M4762">
        <v>19.852069942756799</v>
      </c>
      <c r="N4762">
        <v>48.358329768837898</v>
      </c>
      <c r="O4762">
        <v>47.716004260313603</v>
      </c>
      <c r="P4762">
        <v>-0.10068376769314</v>
      </c>
      <c r="Q4762">
        <v>3.2027033595282098E-2</v>
      </c>
      <c r="R4762">
        <v>0.99770321513868399</v>
      </c>
      <c r="S4762" t="s">
        <v>11330</v>
      </c>
      <c r="T4762" t="s">
        <v>13134</v>
      </c>
      <c r="U4762" t="s">
        <v>13134</v>
      </c>
      <c r="V4762" t="s">
        <v>13134</v>
      </c>
      <c r="W4762" t="s">
        <v>17834</v>
      </c>
      <c r="X4762">
        <v>3</v>
      </c>
      <c r="Y4762" t="s">
        <v>24204</v>
      </c>
      <c r="Z4762" t="s">
        <v>30730</v>
      </c>
      <c r="AA4762">
        <v>0.40621418581258512</v>
      </c>
      <c r="AB4762" t="str">
        <f>HYPERLINK("Melting_Curves/meltCurve_Q8WUK0_2_PTPMT1.pdf", "Melting_Curves/meltCurve_Q8WUK0_2_PTPMT1.pdf")</f>
        <v>Melting_Curves/meltCurve_Q8WUK0_2_PTPMT1.pdf</v>
      </c>
    </row>
    <row r="4763" spans="1:28" x14ac:dyDescent="0.25">
      <c r="A4763" t="s">
        <v>4767</v>
      </c>
      <c r="B4763">
        <v>0.99472303558308395</v>
      </c>
      <c r="C4763">
        <v>0.97166973528732004</v>
      </c>
      <c r="D4763">
        <v>1.02151349276759</v>
      </c>
      <c r="E4763">
        <v>0.645410022406397</v>
      </c>
      <c r="F4763">
        <v>0.10853626583082</v>
      </c>
      <c r="G4763">
        <v>6.3314667078564493E-2</v>
      </c>
      <c r="H4763">
        <v>3.7326725902086799E-2</v>
      </c>
      <c r="I4763">
        <v>2.8661178290847501E-2</v>
      </c>
      <c r="J4763">
        <v>3.3331125876900299E-2</v>
      </c>
      <c r="K4763">
        <v>2.7776533239529999E-2</v>
      </c>
      <c r="L4763">
        <v>2067.3181127860198</v>
      </c>
      <c r="M4763">
        <v>43.807079451908201</v>
      </c>
      <c r="N4763">
        <v>47.276596463519702</v>
      </c>
      <c r="O4763">
        <v>47.093393462366201</v>
      </c>
      <c r="P4763">
        <v>-0.22372978278873101</v>
      </c>
      <c r="Q4763">
        <v>3.7947336956040099E-2</v>
      </c>
      <c r="R4763">
        <v>0.99854257219213904</v>
      </c>
      <c r="S4763" t="s">
        <v>11331</v>
      </c>
      <c r="T4763" t="s">
        <v>13134</v>
      </c>
      <c r="U4763" t="s">
        <v>13134</v>
      </c>
      <c r="V4763" t="s">
        <v>13134</v>
      </c>
      <c r="W4763" t="s">
        <v>17835</v>
      </c>
      <c r="X4763">
        <v>61</v>
      </c>
      <c r="Y4763" t="s">
        <v>24205</v>
      </c>
      <c r="Z4763" t="s">
        <v>30731</v>
      </c>
      <c r="AA4763">
        <v>0.36738326430616419</v>
      </c>
      <c r="AB4763" t="str">
        <f>HYPERLINK("Melting_Curves/meltCurve_Q8WUM4_PDCD6IP.pdf", "Melting_Curves/meltCurve_Q8WUM4_PDCD6IP.pdf")</f>
        <v>Melting_Curves/meltCurve_Q8WUM4_PDCD6IP.pdf</v>
      </c>
    </row>
    <row r="4764" spans="1:28" x14ac:dyDescent="0.25">
      <c r="A4764" t="s">
        <v>4768</v>
      </c>
      <c r="B4764">
        <v>0.99472303558308395</v>
      </c>
      <c r="C4764">
        <v>1.0354024764373999</v>
      </c>
      <c r="D4764">
        <v>0.79410974591946304</v>
      </c>
      <c r="E4764">
        <v>0.69726160670660497</v>
      </c>
      <c r="F4764">
        <v>0.56036756380261998</v>
      </c>
      <c r="G4764">
        <v>0.32218480377450598</v>
      </c>
      <c r="H4764">
        <v>0.227394242589499</v>
      </c>
      <c r="I4764">
        <v>0.227587244580329</v>
      </c>
      <c r="J4764">
        <v>0.248049604145087</v>
      </c>
      <c r="K4764">
        <v>0.28063626930812402</v>
      </c>
      <c r="L4764">
        <v>685.06613598657202</v>
      </c>
      <c r="M4764">
        <v>14.2507776932426</v>
      </c>
      <c r="N4764">
        <v>50.0318536362999</v>
      </c>
      <c r="O4764">
        <v>47.155297468307502</v>
      </c>
      <c r="P4764">
        <v>-5.9400954955213803E-2</v>
      </c>
      <c r="Q4764">
        <v>0.21387466401380101</v>
      </c>
      <c r="R4764">
        <v>0.97318557389541405</v>
      </c>
      <c r="S4764" t="s">
        <v>11332</v>
      </c>
      <c r="T4764" t="s">
        <v>13134</v>
      </c>
      <c r="U4764" t="s">
        <v>13134</v>
      </c>
      <c r="V4764" t="s">
        <v>13134</v>
      </c>
      <c r="W4764" t="s">
        <v>17836</v>
      </c>
      <c r="X4764">
        <v>5</v>
      </c>
      <c r="Y4764" t="s">
        <v>24206</v>
      </c>
      <c r="Z4764" t="s">
        <v>30732</v>
      </c>
      <c r="AA4764">
        <v>0.52282517976853715</v>
      </c>
      <c r="AB4764" t="str">
        <f>HYPERLINK("Melting_Curves/meltCurve_Q8WUM9_SLC20A1.pdf", "Melting_Curves/meltCurve_Q8WUM9_SLC20A1.pdf")</f>
        <v>Melting_Curves/meltCurve_Q8WUM9_SLC20A1.pdf</v>
      </c>
    </row>
    <row r="4765" spans="1:28" x14ac:dyDescent="0.25">
      <c r="A4765" t="s">
        <v>4769</v>
      </c>
      <c r="B4765">
        <v>0.99472303558308395</v>
      </c>
      <c r="C4765">
        <v>0.96551413588922996</v>
      </c>
      <c r="D4765">
        <v>0.96410767869097802</v>
      </c>
      <c r="E4765">
        <v>0.89966393922332599</v>
      </c>
      <c r="F4765">
        <v>0.83686212429610896</v>
      </c>
      <c r="G4765">
        <v>0.66037897948176305</v>
      </c>
      <c r="H4765">
        <v>0.57393020836294095</v>
      </c>
      <c r="I4765">
        <v>0.52737880831839601</v>
      </c>
      <c r="J4765">
        <v>0.67588799254905796</v>
      </c>
      <c r="K4765">
        <v>0.516297137238522</v>
      </c>
      <c r="L4765">
        <v>917.349344027803</v>
      </c>
      <c r="M4765">
        <v>18.081990231847001</v>
      </c>
      <c r="O4765">
        <v>50.124468188468498</v>
      </c>
      <c r="P4765">
        <v>-4.0214734843635698E-2</v>
      </c>
      <c r="Q4765">
        <v>0.55411005113141398</v>
      </c>
      <c r="R4765">
        <v>0.936186515831129</v>
      </c>
      <c r="S4765" t="s">
        <v>11333</v>
      </c>
      <c r="T4765" t="s">
        <v>13134</v>
      </c>
      <c r="U4765" t="s">
        <v>13134</v>
      </c>
      <c r="V4765" t="s">
        <v>13134</v>
      </c>
      <c r="W4765" t="s">
        <v>17837</v>
      </c>
      <c r="X4765">
        <v>3</v>
      </c>
      <c r="Y4765" t="s">
        <v>24207</v>
      </c>
      <c r="Z4765" t="s">
        <v>30733</v>
      </c>
      <c r="AA4765">
        <v>0.7651204721933319</v>
      </c>
      <c r="AB4765" t="str">
        <f>HYPERLINK("Melting_Curves/meltCurve_Q8WUR7_C15orf40.pdf", "Melting_Curves/meltCurve_Q8WUR7_C15orf40.pdf")</f>
        <v>Melting_Curves/meltCurve_Q8WUR7_C15orf40.pdf</v>
      </c>
    </row>
    <row r="4766" spans="1:28" x14ac:dyDescent="0.25">
      <c r="A4766" t="s">
        <v>4770</v>
      </c>
      <c r="B4766">
        <v>0.99472303558308395</v>
      </c>
      <c r="C4766">
        <v>0.859306325712347</v>
      </c>
      <c r="D4766">
        <v>0.786173437676988</v>
      </c>
      <c r="E4766">
        <v>0.66176622169434396</v>
      </c>
      <c r="F4766">
        <v>0.57316133143369696</v>
      </c>
      <c r="G4766">
        <v>0.37703662628719598</v>
      </c>
      <c r="H4766">
        <v>0.33701620195742299</v>
      </c>
      <c r="I4766">
        <v>0.24502750236607601</v>
      </c>
      <c r="J4766">
        <v>0.25497749651547202</v>
      </c>
      <c r="K4766">
        <v>0.205086645822915</v>
      </c>
      <c r="L4766">
        <v>409.78533291483097</v>
      </c>
      <c r="M4766">
        <v>8.3071329805504899</v>
      </c>
      <c r="N4766">
        <v>50.997935059993502</v>
      </c>
      <c r="O4766">
        <v>46.718755982154399</v>
      </c>
      <c r="P4766">
        <v>-3.92015837987491E-2</v>
      </c>
      <c r="Q4766">
        <v>0.11899706743897</v>
      </c>
      <c r="R4766">
        <v>0.98917539025316004</v>
      </c>
      <c r="S4766" t="s">
        <v>11334</v>
      </c>
      <c r="T4766" t="s">
        <v>13134</v>
      </c>
      <c r="U4766" t="s">
        <v>13134</v>
      </c>
      <c r="V4766" t="s">
        <v>13134</v>
      </c>
      <c r="W4766" t="s">
        <v>17838</v>
      </c>
      <c r="X4766">
        <v>5</v>
      </c>
      <c r="Y4766" t="s">
        <v>24208</v>
      </c>
      <c r="Z4766" t="s">
        <v>30734</v>
      </c>
      <c r="AA4766">
        <v>0.51909601394434557</v>
      </c>
      <c r="AB4766" t="str">
        <f>HYPERLINK("Melting_Curves/meltCurve_Q8WUX1_SLC38A5.pdf", "Melting_Curves/meltCurve_Q8WUX1_SLC38A5.pdf")</f>
        <v>Melting_Curves/meltCurve_Q8WUX1_SLC38A5.pdf</v>
      </c>
    </row>
    <row r="4767" spans="1:28" x14ac:dyDescent="0.25">
      <c r="A4767" t="s">
        <v>4771</v>
      </c>
      <c r="B4767">
        <v>0.99472303558308395</v>
      </c>
      <c r="C4767">
        <v>1.0545849792746</v>
      </c>
      <c r="D4767">
        <v>1.0251437278076201</v>
      </c>
      <c r="E4767">
        <v>0.96392846211702998</v>
      </c>
      <c r="F4767">
        <v>0.68524497975974397</v>
      </c>
      <c r="G4767">
        <v>0.340122626142073</v>
      </c>
      <c r="H4767">
        <v>0.13446991152606</v>
      </c>
      <c r="I4767">
        <v>0.114144840253843</v>
      </c>
      <c r="J4767">
        <v>0.138177458076743</v>
      </c>
      <c r="K4767">
        <v>6.7470690329457406E-2</v>
      </c>
      <c r="L4767">
        <v>1348.22521119418</v>
      </c>
      <c r="M4767">
        <v>26.1539068976344</v>
      </c>
      <c r="N4767">
        <v>51.9718643121819</v>
      </c>
      <c r="O4767">
        <v>51.251125702975102</v>
      </c>
      <c r="P4767">
        <v>-0.115368761678972</v>
      </c>
      <c r="Q4767">
        <v>9.5704916691217098E-2</v>
      </c>
      <c r="R4767">
        <v>0.99552733900214896</v>
      </c>
      <c r="S4767" t="s">
        <v>11335</v>
      </c>
      <c r="T4767" t="s">
        <v>13134</v>
      </c>
      <c r="U4767" t="s">
        <v>13134</v>
      </c>
      <c r="V4767" t="s">
        <v>13134</v>
      </c>
      <c r="W4767" t="s">
        <v>17839</v>
      </c>
      <c r="X4767">
        <v>5</v>
      </c>
      <c r="Y4767" t="s">
        <v>24209</v>
      </c>
      <c r="Z4767" t="s">
        <v>30735</v>
      </c>
      <c r="AA4767">
        <v>0.54164160680937123</v>
      </c>
      <c r="AB4767" t="str">
        <f>HYPERLINK("Melting_Curves/meltCurve_Q8WUX2_CHAC2.pdf", "Melting_Curves/meltCurve_Q8WUX2_CHAC2.pdf")</f>
        <v>Melting_Curves/meltCurve_Q8WUX2_CHAC2.pdf</v>
      </c>
    </row>
    <row r="4768" spans="1:28" x14ac:dyDescent="0.25">
      <c r="A4768" t="s">
        <v>4772</v>
      </c>
      <c r="B4768">
        <v>0.99472303558308395</v>
      </c>
      <c r="C4768">
        <v>0.99327472029036101</v>
      </c>
      <c r="D4768">
        <v>1.0524484534576</v>
      </c>
      <c r="E4768">
        <v>0.39693786249149998</v>
      </c>
      <c r="F4768">
        <v>0.13191665824318799</v>
      </c>
      <c r="G4768">
        <v>8.3578754439031802E-2</v>
      </c>
      <c r="H4768">
        <v>7.3712963888199007E-2</v>
      </c>
      <c r="I4768">
        <v>4.9627547648121502E-2</v>
      </c>
      <c r="J4768">
        <v>7.24632625205823E-2</v>
      </c>
      <c r="K4768">
        <v>5.9485408055873899E-2</v>
      </c>
      <c r="L4768">
        <v>5492.9681544734703</v>
      </c>
      <c r="M4768">
        <v>118.513024695868</v>
      </c>
      <c r="N4768">
        <v>46.415895023416297</v>
      </c>
      <c r="O4768">
        <v>46.335881913105297</v>
      </c>
      <c r="P4768">
        <v>-0.58926652100962396</v>
      </c>
      <c r="Q4768">
        <v>7.8441262525851402E-2</v>
      </c>
      <c r="R4768">
        <v>0.99603641926831799</v>
      </c>
      <c r="S4768" t="s">
        <v>11336</v>
      </c>
      <c r="T4768" t="s">
        <v>13134</v>
      </c>
      <c r="U4768" t="s">
        <v>13134</v>
      </c>
      <c r="V4768" t="s">
        <v>13134</v>
      </c>
      <c r="W4768" t="s">
        <v>17840</v>
      </c>
      <c r="X4768">
        <v>10</v>
      </c>
      <c r="Y4768" t="s">
        <v>24210</v>
      </c>
      <c r="Z4768" t="s">
        <v>30736</v>
      </c>
      <c r="AA4768">
        <v>0.36596557394685469</v>
      </c>
      <c r="AB4768" t="str">
        <f>HYPERLINK("Melting_Curves/meltCurve_Q8WUX9_CHMP7.pdf", "Melting_Curves/meltCurve_Q8WUX9_CHMP7.pdf")</f>
        <v>Melting_Curves/meltCurve_Q8WUX9_CHMP7.pdf</v>
      </c>
    </row>
    <row r="4769" spans="1:28" x14ac:dyDescent="0.25">
      <c r="A4769" t="s">
        <v>4773</v>
      </c>
      <c r="B4769">
        <v>0.99472303558308395</v>
      </c>
      <c r="C4769">
        <v>0.84298136653044797</v>
      </c>
      <c r="D4769">
        <v>0.86889557892689695</v>
      </c>
      <c r="E4769">
        <v>0.693114739413077</v>
      </c>
      <c r="F4769">
        <v>0.61054415412945295</v>
      </c>
      <c r="G4769">
        <v>0.45696620616093903</v>
      </c>
      <c r="H4769">
        <v>0.42409225394996602</v>
      </c>
      <c r="I4769">
        <v>0.46468633395686498</v>
      </c>
      <c r="J4769">
        <v>0.58111756490262201</v>
      </c>
      <c r="K4769">
        <v>0.42403808483875599</v>
      </c>
      <c r="L4769">
        <v>589.36436720864594</v>
      </c>
      <c r="M4769">
        <v>12.932225341830399</v>
      </c>
      <c r="N4769">
        <v>55.408836766317101</v>
      </c>
      <c r="O4769">
        <v>44.524867695985201</v>
      </c>
      <c r="P4769">
        <v>-3.9969546292863402E-2</v>
      </c>
      <c r="Q4769">
        <v>0.44964832880267502</v>
      </c>
      <c r="R4769">
        <v>0.91502839528033397</v>
      </c>
      <c r="S4769" t="s">
        <v>11337</v>
      </c>
      <c r="T4769" t="s">
        <v>13134</v>
      </c>
      <c r="U4769" t="s">
        <v>13134</v>
      </c>
      <c r="V4769" t="s">
        <v>13134</v>
      </c>
      <c r="W4769" t="s">
        <v>17841</v>
      </c>
      <c r="X4769">
        <v>10</v>
      </c>
      <c r="Y4769" t="s">
        <v>24211</v>
      </c>
      <c r="Z4769" t="s">
        <v>30737</v>
      </c>
      <c r="AA4769">
        <v>0.62390673787220463</v>
      </c>
      <c r="AB4769" t="str">
        <f>HYPERLINK("Melting_Curves/meltCurve_Q8WUY1_THEM6.pdf", "Melting_Curves/meltCurve_Q8WUY1_THEM6.pdf")</f>
        <v>Melting_Curves/meltCurve_Q8WUY1_THEM6.pdf</v>
      </c>
    </row>
    <row r="4770" spans="1:28" x14ac:dyDescent="0.25">
      <c r="A4770" t="s">
        <v>4774</v>
      </c>
      <c r="B4770">
        <v>0.99472303558308395</v>
      </c>
      <c r="C4770">
        <v>1.01970578424995</v>
      </c>
      <c r="D4770">
        <v>0.78316652878833104</v>
      </c>
      <c r="E4770">
        <v>0.74758711500854802</v>
      </c>
      <c r="F4770">
        <v>0.54783791443500995</v>
      </c>
      <c r="G4770">
        <v>0.14220590543370601</v>
      </c>
      <c r="H4770">
        <v>6.2042381572760701E-2</v>
      </c>
      <c r="I4770">
        <v>1.8970994204546399E-2</v>
      </c>
      <c r="J4770">
        <v>4.5965350420524603E-2</v>
      </c>
      <c r="K4770">
        <v>2.9041539719560999E-2</v>
      </c>
      <c r="L4770">
        <v>803.57312742944202</v>
      </c>
      <c r="M4770">
        <v>16.208408243914899</v>
      </c>
      <c r="N4770">
        <v>49.577548879361203</v>
      </c>
      <c r="O4770">
        <v>48.841306462892597</v>
      </c>
      <c r="P4770">
        <v>-8.2970843065762301E-2</v>
      </c>
      <c r="Q4770">
        <v>0</v>
      </c>
      <c r="R4770">
        <v>0.97545670576903698</v>
      </c>
      <c r="S4770" t="s">
        <v>11338</v>
      </c>
      <c r="T4770" t="s">
        <v>13134</v>
      </c>
      <c r="U4770" t="s">
        <v>13134</v>
      </c>
      <c r="V4770" t="s">
        <v>13134</v>
      </c>
      <c r="W4770" t="s">
        <v>17842</v>
      </c>
      <c r="X4770">
        <v>3</v>
      </c>
      <c r="Y4770" t="s">
        <v>24212</v>
      </c>
      <c r="Z4770" t="s">
        <v>30738</v>
      </c>
      <c r="AA4770">
        <v>0.43804275321821418</v>
      </c>
      <c r="AB4770" t="str">
        <f>HYPERLINK("Melting_Curves/meltCurve_Q8WUY8_NAT14.pdf", "Melting_Curves/meltCurve_Q8WUY8_NAT14.pdf")</f>
        <v>Melting_Curves/meltCurve_Q8WUY8_NAT14.pdf</v>
      </c>
    </row>
    <row r="4771" spans="1:28" x14ac:dyDescent="0.25">
      <c r="A4771" t="s">
        <v>4775</v>
      </c>
      <c r="B4771">
        <v>0.99472303558308395</v>
      </c>
      <c r="C4771">
        <v>0.96623467421612097</v>
      </c>
      <c r="D4771">
        <v>0.84789511140650498</v>
      </c>
      <c r="E4771">
        <v>0.64340694404308596</v>
      </c>
      <c r="F4771">
        <v>0.432972849441771</v>
      </c>
      <c r="G4771">
        <v>0.191631230942925</v>
      </c>
      <c r="H4771">
        <v>0.12670633527796599</v>
      </c>
      <c r="I4771">
        <v>9.1763932000758094E-2</v>
      </c>
      <c r="J4771">
        <v>9.5553056228232999E-2</v>
      </c>
      <c r="K4771">
        <v>7.2733425653331504E-2</v>
      </c>
      <c r="L4771">
        <v>708.65091068826405</v>
      </c>
      <c r="M4771">
        <v>14.6802744080689</v>
      </c>
      <c r="N4771">
        <v>48.646149791965399</v>
      </c>
      <c r="O4771">
        <v>47.403123263102998</v>
      </c>
      <c r="P4771">
        <v>-7.3300772708911999E-2</v>
      </c>
      <c r="Q4771">
        <v>5.3340965044442697E-2</v>
      </c>
      <c r="R4771">
        <v>0.99751076599924804</v>
      </c>
      <c r="S4771" t="s">
        <v>11339</v>
      </c>
      <c r="T4771" t="s">
        <v>13134</v>
      </c>
      <c r="U4771" t="s">
        <v>13134</v>
      </c>
      <c r="V4771" t="s">
        <v>13134</v>
      </c>
      <c r="W4771" t="s">
        <v>17843</v>
      </c>
      <c r="X4771">
        <v>10</v>
      </c>
      <c r="Y4771" t="s">
        <v>24213</v>
      </c>
      <c r="Z4771" t="s">
        <v>30739</v>
      </c>
      <c r="AA4771">
        <v>0.43051210362524223</v>
      </c>
      <c r="AB4771" t="str">
        <f>HYPERLINK("Melting_Curves/meltCurve_Q8WV22_NSMCE1.pdf", "Melting_Curves/meltCurve_Q8WV22_NSMCE1.pdf")</f>
        <v>Melting_Curves/meltCurve_Q8WV22_NSMCE1.pdf</v>
      </c>
    </row>
    <row r="4772" spans="1:28" x14ac:dyDescent="0.25">
      <c r="A4772" t="s">
        <v>4776</v>
      </c>
      <c r="B4772">
        <v>0.99472303558308395</v>
      </c>
      <c r="C4772">
        <v>0.84177479104833497</v>
      </c>
      <c r="D4772">
        <v>0.77298967669327501</v>
      </c>
      <c r="E4772">
        <v>0.74065524618405998</v>
      </c>
      <c r="F4772">
        <v>0.52159365148019099</v>
      </c>
      <c r="G4772">
        <v>0.47430811680778701</v>
      </c>
      <c r="H4772">
        <v>0.40570212610584</v>
      </c>
      <c r="I4772">
        <v>0.27885383367074401</v>
      </c>
      <c r="J4772">
        <v>5.63249875219691E-2</v>
      </c>
      <c r="K4772">
        <v>7.8234654703775997E-2</v>
      </c>
      <c r="L4772">
        <v>401.27595009423999</v>
      </c>
      <c r="M4772">
        <v>7.76134657096034</v>
      </c>
      <c r="N4772">
        <v>51.701846560312703</v>
      </c>
      <c r="O4772">
        <v>48.605997237874902</v>
      </c>
      <c r="P4772">
        <v>-3.9970239362961797E-2</v>
      </c>
      <c r="Q4772">
        <v>0</v>
      </c>
      <c r="R4772">
        <v>0.951769855650482</v>
      </c>
      <c r="S4772" t="s">
        <v>11340</v>
      </c>
      <c r="T4772" t="s">
        <v>13134</v>
      </c>
      <c r="U4772" t="s">
        <v>13134</v>
      </c>
      <c r="V4772" t="s">
        <v>13134</v>
      </c>
      <c r="W4772" t="s">
        <v>17844</v>
      </c>
      <c r="X4772">
        <v>3</v>
      </c>
      <c r="Y4772" t="s">
        <v>24214</v>
      </c>
      <c r="Z4772" t="s">
        <v>30740</v>
      </c>
      <c r="AA4772">
        <v>0.52074056886124886</v>
      </c>
      <c r="AB4772" t="str">
        <f>HYPERLINK("Melting_Curves/meltCurve_Q8WV41_SNX33.pdf", "Melting_Curves/meltCurve_Q8WV41_SNX33.pdf")</f>
        <v>Melting_Curves/meltCurve_Q8WV41_SNX33.pdf</v>
      </c>
    </row>
    <row r="4773" spans="1:28" x14ac:dyDescent="0.25">
      <c r="A4773" t="s">
        <v>4777</v>
      </c>
      <c r="B4773">
        <v>0.99472303558308395</v>
      </c>
      <c r="C4773">
        <v>0.96448639954611504</v>
      </c>
      <c r="D4773">
        <v>0.69407921707732601</v>
      </c>
      <c r="E4773">
        <v>0.49514066021662501</v>
      </c>
      <c r="F4773">
        <v>0.284128907166186</v>
      </c>
      <c r="G4773">
        <v>0.218947381418724</v>
      </c>
      <c r="H4773">
        <v>0.115381032432867</v>
      </c>
      <c r="I4773">
        <v>0.123722676434057</v>
      </c>
      <c r="J4773">
        <v>9.9266847241502407E-2</v>
      </c>
      <c r="K4773">
        <v>7.7427887702952003E-2</v>
      </c>
      <c r="L4773">
        <v>665.47825844458396</v>
      </c>
      <c r="M4773">
        <v>14.5299034791037</v>
      </c>
      <c r="N4773">
        <v>46.417600012783602</v>
      </c>
      <c r="O4773">
        <v>44.959249761978398</v>
      </c>
      <c r="P4773">
        <v>-7.3708193496830401E-2</v>
      </c>
      <c r="Q4773">
        <v>8.78157630890328E-2</v>
      </c>
      <c r="R4773">
        <v>0.99230278440335995</v>
      </c>
      <c r="S4773" t="s">
        <v>11341</v>
      </c>
      <c r="T4773" t="s">
        <v>13134</v>
      </c>
      <c r="U4773" t="s">
        <v>13134</v>
      </c>
      <c r="V4773" t="s">
        <v>13134</v>
      </c>
      <c r="W4773" t="s">
        <v>17845</v>
      </c>
      <c r="X4773">
        <v>2</v>
      </c>
      <c r="Y4773" t="s">
        <v>24215</v>
      </c>
      <c r="Z4773" t="s">
        <v>30741</v>
      </c>
      <c r="AA4773">
        <v>0.37788192282624422</v>
      </c>
      <c r="AB4773" t="str">
        <f>HYPERLINK("Melting_Curves/meltCurve_Q8WV60_PTCD2.pdf", "Melting_Curves/meltCurve_Q8WV60_PTCD2.pdf")</f>
        <v>Melting_Curves/meltCurve_Q8WV60_PTCD2.pdf</v>
      </c>
    </row>
    <row r="4774" spans="1:28" x14ac:dyDescent="0.25">
      <c r="A4774" t="s">
        <v>4778</v>
      </c>
      <c r="B4774">
        <v>0.99472303558308395</v>
      </c>
      <c r="C4774">
        <v>1.1717612538055899</v>
      </c>
      <c r="D4774">
        <v>0.94106934250199004</v>
      </c>
      <c r="E4774">
        <v>0.85683772995679497</v>
      </c>
      <c r="F4774">
        <v>0.52846634638404599</v>
      </c>
      <c r="G4774">
        <v>0.263655004188729</v>
      </c>
      <c r="H4774">
        <v>0.18493573406034</v>
      </c>
      <c r="I4774">
        <v>0.12360687724085501</v>
      </c>
      <c r="J4774">
        <v>0.117733632140091</v>
      </c>
      <c r="K4774">
        <v>8.1497411581633497E-2</v>
      </c>
      <c r="L4774">
        <v>1073.27223420613</v>
      </c>
      <c r="M4774">
        <v>21.448036590360999</v>
      </c>
      <c r="N4774">
        <v>50.590197114165903</v>
      </c>
      <c r="O4774">
        <v>49.6116671518039</v>
      </c>
      <c r="P4774">
        <v>-9.6849475452150696E-2</v>
      </c>
      <c r="Q4774">
        <v>0.103928191842083</v>
      </c>
      <c r="R4774">
        <v>0.97939591030305495</v>
      </c>
      <c r="S4774" t="s">
        <v>11342</v>
      </c>
      <c r="T4774" t="s">
        <v>13134</v>
      </c>
      <c r="U4774" t="s">
        <v>13134</v>
      </c>
      <c r="V4774" t="s">
        <v>13134</v>
      </c>
      <c r="W4774" t="s">
        <v>17846</v>
      </c>
      <c r="X4774">
        <v>4</v>
      </c>
      <c r="Y4774" t="s">
        <v>24216</v>
      </c>
      <c r="Z4774" t="s">
        <v>30742</v>
      </c>
      <c r="AA4774">
        <v>0.50385931245170223</v>
      </c>
      <c r="AB4774" t="str">
        <f>HYPERLINK("Melting_Curves/meltCurve_Q8WV92_MITD1.pdf", "Melting_Curves/meltCurve_Q8WV92_MITD1.pdf")</f>
        <v>Melting_Curves/meltCurve_Q8WV92_MITD1.pdf</v>
      </c>
    </row>
    <row r="4775" spans="1:28" x14ac:dyDescent="0.25">
      <c r="A4775" t="s">
        <v>4779</v>
      </c>
      <c r="B4775">
        <v>0.99472303558308395</v>
      </c>
      <c r="C4775">
        <v>0.805211530764809</v>
      </c>
      <c r="D4775">
        <v>0.90174618121032102</v>
      </c>
      <c r="E4775">
        <v>0.53245155118505805</v>
      </c>
      <c r="F4775">
        <v>0.101124690338528</v>
      </c>
      <c r="G4775">
        <v>5.81792923890889E-2</v>
      </c>
      <c r="H4775">
        <v>2.53410207421314E-2</v>
      </c>
      <c r="I4775">
        <v>1.01653950809677E-2</v>
      </c>
      <c r="J4775">
        <v>5.2234455886925601E-3</v>
      </c>
      <c r="K4775">
        <v>1.5642451090023799E-2</v>
      </c>
      <c r="L4775">
        <v>1154.3667527261</v>
      </c>
      <c r="M4775">
        <v>24.768953756484802</v>
      </c>
      <c r="N4775">
        <v>46.6320143407928</v>
      </c>
      <c r="O4775">
        <v>46.304781533520298</v>
      </c>
      <c r="P4775">
        <v>-0.13279077181319299</v>
      </c>
      <c r="Q4775">
        <v>7.0210350098962896E-3</v>
      </c>
      <c r="R4775">
        <v>0.97682906793517299</v>
      </c>
      <c r="S4775" t="s">
        <v>11343</v>
      </c>
      <c r="T4775" t="s">
        <v>13134</v>
      </c>
      <c r="U4775" t="s">
        <v>13134</v>
      </c>
      <c r="V4775" t="s">
        <v>13134</v>
      </c>
      <c r="W4775" t="s">
        <v>17847</v>
      </c>
      <c r="X4775">
        <v>2</v>
      </c>
      <c r="Y4775" t="s">
        <v>24217</v>
      </c>
      <c r="Z4775" t="s">
        <v>30743</v>
      </c>
      <c r="AA4775">
        <v>0.33340301070985512</v>
      </c>
      <c r="AB4775" t="str">
        <f>HYPERLINK("Melting_Curves/meltCurve_Q8WV93_LACE1.pdf", "Melting_Curves/meltCurve_Q8WV93_LACE1.pdf")</f>
        <v>Melting_Curves/meltCurve_Q8WV93_LACE1.pdf</v>
      </c>
    </row>
    <row r="4776" spans="1:28" x14ac:dyDescent="0.25">
      <c r="A4776" t="s">
        <v>4780</v>
      </c>
      <c r="B4776">
        <v>0.99472303558308395</v>
      </c>
      <c r="C4776">
        <v>0.94805030804705603</v>
      </c>
      <c r="D4776">
        <v>0.50218640494284295</v>
      </c>
      <c r="E4776">
        <v>0.204434558136283</v>
      </c>
      <c r="F4776">
        <v>0.11484455648331</v>
      </c>
      <c r="G4776">
        <v>5.4963122641352599E-2</v>
      </c>
      <c r="H4776">
        <v>4.00403717230257E-2</v>
      </c>
      <c r="I4776">
        <v>2.66481518051392E-2</v>
      </c>
      <c r="J4776">
        <v>2.7738832052785201E-2</v>
      </c>
      <c r="K4776">
        <v>2.56791192566619E-2</v>
      </c>
      <c r="L4776">
        <v>1090.1415595139499</v>
      </c>
      <c r="M4776">
        <v>25.258187142708699</v>
      </c>
      <c r="N4776">
        <v>43.319391692342002</v>
      </c>
      <c r="O4776">
        <v>42.892118355610599</v>
      </c>
      <c r="P4776">
        <v>-0.14068572017624401</v>
      </c>
      <c r="Q4776">
        <v>4.4392136546538702E-2</v>
      </c>
      <c r="R4776">
        <v>0.99332993114919399</v>
      </c>
      <c r="S4776" t="s">
        <v>11344</v>
      </c>
      <c r="T4776" t="s">
        <v>13134</v>
      </c>
      <c r="U4776" t="s">
        <v>13134</v>
      </c>
      <c r="V4776" t="s">
        <v>13134</v>
      </c>
      <c r="W4776" t="s">
        <v>17848</v>
      </c>
      <c r="X4776">
        <v>7</v>
      </c>
      <c r="Y4776" t="s">
        <v>24218</v>
      </c>
      <c r="Z4776" t="s">
        <v>30744</v>
      </c>
      <c r="AA4776">
        <v>0.2483960790287229</v>
      </c>
      <c r="AB4776" t="str">
        <f>HYPERLINK("Melting_Curves/meltCurve_Q8WVB6_CHTF18.pdf", "Melting_Curves/meltCurve_Q8WVB6_CHTF18.pdf")</f>
        <v>Melting_Curves/meltCurve_Q8WVB6_CHTF18.pdf</v>
      </c>
    </row>
    <row r="4777" spans="1:28" x14ac:dyDescent="0.25">
      <c r="A4777" t="s">
        <v>4781</v>
      </c>
      <c r="B4777">
        <v>0.99472303558308395</v>
      </c>
      <c r="C4777">
        <v>0.93443499291556098</v>
      </c>
      <c r="D4777">
        <v>0.80213554344500204</v>
      </c>
      <c r="E4777">
        <v>0.56279576980483503</v>
      </c>
      <c r="F4777">
        <v>0.25541621444899998</v>
      </c>
      <c r="G4777">
        <v>0.14376902930232899</v>
      </c>
      <c r="H4777">
        <v>9.3979497719867397E-2</v>
      </c>
      <c r="I4777">
        <v>9.6088430876359293E-2</v>
      </c>
      <c r="J4777">
        <v>0.115738861189842</v>
      </c>
      <c r="K4777">
        <v>0.115395947435287</v>
      </c>
      <c r="L4777">
        <v>839.40360584284099</v>
      </c>
      <c r="M4777">
        <v>18.090646133763499</v>
      </c>
      <c r="N4777">
        <v>46.910024727120302</v>
      </c>
      <c r="O4777">
        <v>45.844044893416601</v>
      </c>
      <c r="P4777">
        <v>-8.9848061616781397E-2</v>
      </c>
      <c r="Q4777">
        <v>8.9297463113373499E-2</v>
      </c>
      <c r="R4777">
        <v>0.99663515111136902</v>
      </c>
      <c r="S4777" t="s">
        <v>11345</v>
      </c>
      <c r="T4777" t="s">
        <v>13134</v>
      </c>
      <c r="U4777" t="s">
        <v>13134</v>
      </c>
      <c r="V4777" t="s">
        <v>13134</v>
      </c>
      <c r="W4777" t="s">
        <v>17849</v>
      </c>
      <c r="X4777">
        <v>10</v>
      </c>
      <c r="Y4777" t="s">
        <v>24219</v>
      </c>
      <c r="Z4777" t="s">
        <v>30745</v>
      </c>
      <c r="AA4777">
        <v>0.38917421211669351</v>
      </c>
      <c r="AB4777" t="str">
        <f>HYPERLINK("Melting_Curves/meltCurve_Q8WVC0_LEO1.pdf", "Melting_Curves/meltCurve_Q8WVC0_LEO1.pdf")</f>
        <v>Melting_Curves/meltCurve_Q8WVC0_LEO1.pdf</v>
      </c>
    </row>
    <row r="4778" spans="1:28" x14ac:dyDescent="0.25">
      <c r="A4778" t="s">
        <v>4782</v>
      </c>
      <c r="B4778">
        <v>0.99472303558308395</v>
      </c>
      <c r="C4778">
        <v>0.87641612912161404</v>
      </c>
      <c r="D4778">
        <v>1.19427010193412</v>
      </c>
      <c r="E4778">
        <v>0.89489074463278095</v>
      </c>
      <c r="F4778">
        <v>0.75698564330429996</v>
      </c>
      <c r="G4778">
        <v>0.70842411997683796</v>
      </c>
      <c r="H4778">
        <v>0.394208153496792</v>
      </c>
      <c r="I4778">
        <v>0.385385394890011</v>
      </c>
      <c r="J4778">
        <v>0.44403529522003599</v>
      </c>
      <c r="K4778">
        <v>0.38610383623707001</v>
      </c>
      <c r="L4778">
        <v>977.32040708598902</v>
      </c>
      <c r="M4778">
        <v>18.658601213688002</v>
      </c>
      <c r="N4778">
        <v>56.533152420598697</v>
      </c>
      <c r="O4778">
        <v>51.788547609546903</v>
      </c>
      <c r="P4778">
        <v>-5.6469876207760498E-2</v>
      </c>
      <c r="Q4778">
        <v>0.373078910616294</v>
      </c>
      <c r="R4778">
        <v>0.89304165589463502</v>
      </c>
      <c r="S4778" t="s">
        <v>11346</v>
      </c>
      <c r="T4778" t="s">
        <v>13134</v>
      </c>
      <c r="U4778" t="s">
        <v>13134</v>
      </c>
      <c r="V4778" t="s">
        <v>13134</v>
      </c>
      <c r="W4778" t="s">
        <v>17850</v>
      </c>
      <c r="X4778">
        <v>8</v>
      </c>
      <c r="Y4778" t="s">
        <v>24220</v>
      </c>
      <c r="Z4778" t="s">
        <v>30746</v>
      </c>
      <c r="AA4778">
        <v>0.70335958876582105</v>
      </c>
      <c r="AB4778" t="str">
        <f>HYPERLINK("Melting_Curves/meltCurve_Q8WVC2_RPS21.pdf", "Melting_Curves/meltCurve_Q8WVC2_RPS21.pdf")</f>
        <v>Melting_Curves/meltCurve_Q8WVC2_RPS21.pdf</v>
      </c>
    </row>
    <row r="4779" spans="1:28" x14ac:dyDescent="0.25">
      <c r="A4779" t="s">
        <v>4783</v>
      </c>
      <c r="B4779">
        <v>0.99472303558308395</v>
      </c>
      <c r="C4779">
        <v>0.84223172415895298</v>
      </c>
      <c r="D4779">
        <v>0.81351243287346597</v>
      </c>
      <c r="E4779">
        <v>0.46162361333739999</v>
      </c>
      <c r="F4779">
        <v>0.219327243303616</v>
      </c>
      <c r="G4779">
        <v>0.114252422406178</v>
      </c>
      <c r="H4779">
        <v>6.4249565652382698E-2</v>
      </c>
      <c r="I4779">
        <v>4.4115331548458002E-2</v>
      </c>
      <c r="J4779">
        <v>4.2971145607144302E-2</v>
      </c>
      <c r="K4779">
        <v>6.0737127399012797E-2</v>
      </c>
      <c r="L4779">
        <v>749.88756949566903</v>
      </c>
      <c r="M4779">
        <v>16.3042787338767</v>
      </c>
      <c r="N4779">
        <v>46.192217419496799</v>
      </c>
      <c r="O4779">
        <v>45.318094709769703</v>
      </c>
      <c r="P4779">
        <v>-8.6900630575097101E-2</v>
      </c>
      <c r="Q4779">
        <v>3.3901607091520597E-2</v>
      </c>
      <c r="R4779">
        <v>0.99219801143406505</v>
      </c>
      <c r="S4779" t="s">
        <v>11347</v>
      </c>
      <c r="T4779" t="s">
        <v>13134</v>
      </c>
      <c r="U4779" t="s">
        <v>13134</v>
      </c>
      <c r="V4779" t="s">
        <v>13134</v>
      </c>
      <c r="W4779" t="s">
        <v>17851</v>
      </c>
      <c r="X4779">
        <v>7</v>
      </c>
      <c r="Y4779" t="s">
        <v>24221</v>
      </c>
      <c r="Z4779" t="s">
        <v>30747</v>
      </c>
      <c r="AA4779">
        <v>0.34249814442245602</v>
      </c>
      <c r="AB4779" t="str">
        <f>HYPERLINK("Melting_Curves/meltCurve_Q8WVD3_RNF138.pdf", "Melting_Curves/meltCurve_Q8WVD3_RNF138.pdf")</f>
        <v>Melting_Curves/meltCurve_Q8WVD3_RNF138.pdf</v>
      </c>
    </row>
    <row r="4780" spans="1:28" x14ac:dyDescent="0.25">
      <c r="A4780" t="s">
        <v>4784</v>
      </c>
      <c r="B4780">
        <v>0.99472303558308395</v>
      </c>
      <c r="C4780">
        <v>0.93632028551514601</v>
      </c>
      <c r="D4780">
        <v>0.95487360050640202</v>
      </c>
      <c r="E4780">
        <v>0.49503366664342602</v>
      </c>
      <c r="F4780">
        <v>0.13496265903792001</v>
      </c>
      <c r="G4780">
        <v>7.7369032421884698E-2</v>
      </c>
      <c r="H4780">
        <v>5.29936512620117E-2</v>
      </c>
      <c r="I4780">
        <v>4.1872394718712097E-2</v>
      </c>
      <c r="J4780">
        <v>5.0625546073288098E-2</v>
      </c>
      <c r="K4780">
        <v>5.0010565830084897E-2</v>
      </c>
      <c r="L4780">
        <v>1519.0134515580901</v>
      </c>
      <c r="M4780">
        <v>32.7027993866553</v>
      </c>
      <c r="N4780">
        <v>46.607701395493301</v>
      </c>
      <c r="O4780">
        <v>46.276382218015399</v>
      </c>
      <c r="P4780">
        <v>-0.16736570738572101</v>
      </c>
      <c r="Q4780">
        <v>5.2675136308537297E-2</v>
      </c>
      <c r="R4780">
        <v>0.99733773262712699</v>
      </c>
      <c r="S4780" t="s">
        <v>11348</v>
      </c>
      <c r="T4780" t="s">
        <v>13134</v>
      </c>
      <c r="U4780" t="s">
        <v>13134</v>
      </c>
      <c r="V4780" t="s">
        <v>13134</v>
      </c>
      <c r="W4780" t="s">
        <v>17852</v>
      </c>
      <c r="X4780">
        <v>9</v>
      </c>
      <c r="Y4780" t="s">
        <v>24222</v>
      </c>
      <c r="Z4780" t="s">
        <v>30748</v>
      </c>
      <c r="AA4780">
        <v>0.35562588778322518</v>
      </c>
      <c r="AB4780" t="str">
        <f>HYPERLINK("Melting_Curves/meltCurve_Q8WVJ2_NUDCD2.pdf", "Melting_Curves/meltCurve_Q8WVJ2_NUDCD2.pdf")</f>
        <v>Melting_Curves/meltCurve_Q8WVJ2_NUDCD2.pdf</v>
      </c>
    </row>
    <row r="4781" spans="1:28" x14ac:dyDescent="0.25">
      <c r="A4781" t="s">
        <v>4785</v>
      </c>
      <c r="B4781">
        <v>0.99472303558308395</v>
      </c>
      <c r="C4781">
        <v>1.0362780868219901</v>
      </c>
      <c r="D4781">
        <v>1.143325382415</v>
      </c>
      <c r="E4781">
        <v>1.2335778002106099</v>
      </c>
      <c r="F4781">
        <v>0.93532885551760803</v>
      </c>
      <c r="G4781">
        <v>0.67017202957171096</v>
      </c>
      <c r="H4781">
        <v>0.54362620102946102</v>
      </c>
      <c r="I4781">
        <v>0.62992176932259802</v>
      </c>
      <c r="J4781">
        <v>0.87557075072031898</v>
      </c>
      <c r="K4781">
        <v>0.74935796047713599</v>
      </c>
      <c r="L4781">
        <v>12616.161806558101</v>
      </c>
      <c r="M4781">
        <v>250</v>
      </c>
      <c r="O4781">
        <v>50.461417890735703</v>
      </c>
      <c r="P4781">
        <v>-0.37933717592540001</v>
      </c>
      <c r="Q4781">
        <v>0.69372973267304405</v>
      </c>
      <c r="R4781">
        <v>0.70376052145020296</v>
      </c>
      <c r="S4781" t="s">
        <v>11349</v>
      </c>
      <c r="T4781" t="s">
        <v>13134</v>
      </c>
      <c r="U4781" t="s">
        <v>13134</v>
      </c>
      <c r="V4781" t="s">
        <v>13134</v>
      </c>
      <c r="W4781" t="s">
        <v>17853</v>
      </c>
      <c r="X4781">
        <v>6</v>
      </c>
      <c r="Y4781" t="s">
        <v>24223</v>
      </c>
      <c r="Z4781" t="s">
        <v>30749</v>
      </c>
      <c r="AA4781">
        <v>0.83121756091305898</v>
      </c>
      <c r="AB4781" t="str">
        <f>HYPERLINK("Melting_Curves/meltCurve_Q8WVK2_SNRNP27.pdf", "Melting_Curves/meltCurve_Q8WVK2_SNRNP27.pdf")</f>
        <v>Melting_Curves/meltCurve_Q8WVK2_SNRNP27.pdf</v>
      </c>
    </row>
    <row r="4782" spans="1:28" x14ac:dyDescent="0.25">
      <c r="A4782" t="s">
        <v>4786</v>
      </c>
      <c r="B4782">
        <v>0.99472303558308395</v>
      </c>
      <c r="C4782">
        <v>0.98897964567271601</v>
      </c>
      <c r="D4782">
        <v>0.56581125239626096</v>
      </c>
      <c r="E4782">
        <v>0.34762343578535498</v>
      </c>
      <c r="F4782">
        <v>0.19262688678221601</v>
      </c>
      <c r="G4782">
        <v>0.11214129228591301</v>
      </c>
      <c r="H4782">
        <v>7.0125608534510095E-2</v>
      </c>
      <c r="I4782">
        <v>4.5629001849784502E-2</v>
      </c>
      <c r="J4782">
        <v>6.8551386101858403E-2</v>
      </c>
      <c r="K4782">
        <v>3.9648349359995803E-2</v>
      </c>
      <c r="L4782">
        <v>819.45463218750604</v>
      </c>
      <c r="M4782">
        <v>18.5389897489665</v>
      </c>
      <c r="N4782">
        <v>44.522155180697801</v>
      </c>
      <c r="O4782">
        <v>43.697017698738698</v>
      </c>
      <c r="P4782">
        <v>-9.9445337362262201E-2</v>
      </c>
      <c r="Q4782">
        <v>6.2457258139212601E-2</v>
      </c>
      <c r="R4782">
        <v>0.98374288965037404</v>
      </c>
      <c r="S4782" t="s">
        <v>11350</v>
      </c>
      <c r="T4782" t="s">
        <v>13134</v>
      </c>
      <c r="U4782" t="s">
        <v>13134</v>
      </c>
      <c r="V4782" t="s">
        <v>13134</v>
      </c>
      <c r="W4782" t="s">
        <v>17854</v>
      </c>
      <c r="X4782">
        <v>1</v>
      </c>
      <c r="Y4782" t="s">
        <v>24224</v>
      </c>
      <c r="Z4782" t="s">
        <v>30750</v>
      </c>
      <c r="AA4782">
        <v>0.30223501984131029</v>
      </c>
      <c r="AB4782" t="str">
        <f>HYPERLINK("Melting_Curves/meltCurve_Q8WVK7_SKA2.pdf", "Melting_Curves/meltCurve_Q8WVK7_SKA2.pdf")</f>
        <v>Melting_Curves/meltCurve_Q8WVK7_SKA2.pdf</v>
      </c>
    </row>
    <row r="4783" spans="1:28" x14ac:dyDescent="0.25">
      <c r="A4783" t="s">
        <v>4787</v>
      </c>
      <c r="B4783">
        <v>0.99472303558308395</v>
      </c>
      <c r="C4783">
        <v>0.97697439545224396</v>
      </c>
      <c r="D4783">
        <v>1.0076517979637201</v>
      </c>
      <c r="E4783">
        <v>0.84486915640232196</v>
      </c>
      <c r="F4783">
        <v>0.55270790185444996</v>
      </c>
      <c r="G4783">
        <v>0.35393895700262801</v>
      </c>
      <c r="H4783">
        <v>0.154391178871639</v>
      </c>
      <c r="I4783">
        <v>6.2083546547686899E-2</v>
      </c>
      <c r="J4783">
        <v>5.6703538610581701E-2</v>
      </c>
      <c r="K4783">
        <v>6.1744895177998103E-2</v>
      </c>
      <c r="L4783">
        <v>873.77001466762295</v>
      </c>
      <c r="M4783">
        <v>17.112233577822899</v>
      </c>
      <c r="N4783">
        <v>51.249945141258003</v>
      </c>
      <c r="O4783">
        <v>50.379133579293303</v>
      </c>
      <c r="P4783">
        <v>-8.2328139745940707E-2</v>
      </c>
      <c r="Q4783">
        <v>3.05486979590231E-2</v>
      </c>
      <c r="R4783">
        <v>0.99640500606146098</v>
      </c>
      <c r="S4783" t="s">
        <v>11351</v>
      </c>
      <c r="T4783" t="s">
        <v>13134</v>
      </c>
      <c r="U4783" t="s">
        <v>13134</v>
      </c>
      <c r="V4783" t="s">
        <v>13134</v>
      </c>
      <c r="W4783" t="s">
        <v>17855</v>
      </c>
      <c r="X4783">
        <v>3</v>
      </c>
      <c r="Y4783" t="s">
        <v>24225</v>
      </c>
      <c r="Z4783" t="s">
        <v>30751</v>
      </c>
      <c r="AA4783">
        <v>0.50114226206398493</v>
      </c>
      <c r="AB4783" t="str">
        <f>HYPERLINK("Melting_Curves/meltCurve_Q8WVL7_ANKRD49.pdf", "Melting_Curves/meltCurve_Q8WVL7_ANKRD49.pdf")</f>
        <v>Melting_Curves/meltCurve_Q8WVL7_ANKRD49.pdf</v>
      </c>
    </row>
    <row r="4784" spans="1:28" x14ac:dyDescent="0.25">
      <c r="A4784" t="s">
        <v>4788</v>
      </c>
      <c r="B4784">
        <v>0.99472303558308395</v>
      </c>
      <c r="C4784">
        <v>0.88010353789345996</v>
      </c>
      <c r="D4784">
        <v>0.91001106037953905</v>
      </c>
      <c r="E4784">
        <v>0.71541073345115402</v>
      </c>
      <c r="F4784">
        <v>0.45860125497968801</v>
      </c>
      <c r="G4784">
        <v>0.22105546319300301</v>
      </c>
      <c r="H4784">
        <v>8.3809321878148907E-2</v>
      </c>
      <c r="I4784">
        <v>5.7015238469618999E-2</v>
      </c>
      <c r="J4784">
        <v>6.3078826157765305E-2</v>
      </c>
      <c r="K4784">
        <v>5.7505317859348898E-2</v>
      </c>
      <c r="L4784">
        <v>748.69953947064403</v>
      </c>
      <c r="M4784">
        <v>15.204748310671601</v>
      </c>
      <c r="N4784">
        <v>49.361741488632603</v>
      </c>
      <c r="O4784">
        <v>48.412969024016398</v>
      </c>
      <c r="P4784">
        <v>-7.7091803966320593E-2</v>
      </c>
      <c r="Q4784">
        <v>1.8231602643407199E-2</v>
      </c>
      <c r="R4784">
        <v>0.99192158731278302</v>
      </c>
      <c r="S4784" t="s">
        <v>11352</v>
      </c>
      <c r="T4784" t="s">
        <v>13134</v>
      </c>
      <c r="U4784" t="s">
        <v>13134</v>
      </c>
      <c r="V4784" t="s">
        <v>13134</v>
      </c>
      <c r="W4784" t="s">
        <v>17856</v>
      </c>
      <c r="X4784">
        <v>6</v>
      </c>
      <c r="Y4784" t="s">
        <v>24226</v>
      </c>
      <c r="Z4784" t="s">
        <v>30752</v>
      </c>
      <c r="AA4784">
        <v>0.43938254701610507</v>
      </c>
      <c r="AB4784" t="str">
        <f>HYPERLINK("Melting_Curves/meltCurve_Q8WVM0_TFB1M.pdf", "Melting_Curves/meltCurve_Q8WVM0_TFB1M.pdf")</f>
        <v>Melting_Curves/meltCurve_Q8WVM0_TFB1M.pdf</v>
      </c>
    </row>
    <row r="4785" spans="1:28" x14ac:dyDescent="0.25">
      <c r="A4785" t="s">
        <v>4789</v>
      </c>
      <c r="B4785">
        <v>0.99472303558308395</v>
      </c>
      <c r="C4785">
        <v>0.92174443678354201</v>
      </c>
      <c r="D4785">
        <v>0.83277626730765797</v>
      </c>
      <c r="E4785">
        <v>0.68794768971411202</v>
      </c>
      <c r="F4785">
        <v>0.23414569966002199</v>
      </c>
      <c r="G4785">
        <v>0.100057211524635</v>
      </c>
      <c r="H4785">
        <v>5.7838320740836301E-2</v>
      </c>
      <c r="I4785">
        <v>4.4797451654451897E-2</v>
      </c>
      <c r="J4785">
        <v>4.7165846348993401E-2</v>
      </c>
      <c r="K4785">
        <v>4.3905108235327402E-2</v>
      </c>
      <c r="L4785">
        <v>973.32973308299097</v>
      </c>
      <c r="M4785">
        <v>20.4571852027799</v>
      </c>
      <c r="N4785">
        <v>47.724866920096403</v>
      </c>
      <c r="O4785">
        <v>47.131222997964699</v>
      </c>
      <c r="P4785">
        <v>-0.105223618857167</v>
      </c>
      <c r="Q4785">
        <v>3.0331857110697601E-2</v>
      </c>
      <c r="R4785">
        <v>0.98964526017843202</v>
      </c>
      <c r="S4785" t="s">
        <v>11353</v>
      </c>
      <c r="T4785" t="s">
        <v>13134</v>
      </c>
      <c r="U4785" t="s">
        <v>13134</v>
      </c>
      <c r="V4785" t="s">
        <v>13134</v>
      </c>
      <c r="W4785" t="s">
        <v>17857</v>
      </c>
      <c r="X4785">
        <v>19</v>
      </c>
      <c r="Y4785" t="s">
        <v>24227</v>
      </c>
      <c r="Z4785" t="s">
        <v>30753</v>
      </c>
      <c r="AA4785">
        <v>0.384443738908188</v>
      </c>
      <c r="AB4785" t="str">
        <f>HYPERLINK("Melting_Curves/meltCurve_Q8WVM8_SCFD1.pdf", "Melting_Curves/meltCurve_Q8WVM8_SCFD1.pdf")</f>
        <v>Melting_Curves/meltCurve_Q8WVM8_SCFD1.pdf</v>
      </c>
    </row>
    <row r="4786" spans="1:28" x14ac:dyDescent="0.25">
      <c r="A4786" t="s">
        <v>4790</v>
      </c>
      <c r="B4786">
        <v>0.99472303558308395</v>
      </c>
      <c r="C4786">
        <v>1.0153717102951501</v>
      </c>
      <c r="D4786">
        <v>0.90602597309105504</v>
      </c>
      <c r="E4786">
        <v>0.77701908710285195</v>
      </c>
      <c r="F4786">
        <v>0.59773005290468295</v>
      </c>
      <c r="G4786">
        <v>0.32358272957694401</v>
      </c>
      <c r="H4786">
        <v>0.173280414081846</v>
      </c>
      <c r="I4786">
        <v>9.2554151358466702E-2</v>
      </c>
      <c r="J4786">
        <v>0.100527114270899</v>
      </c>
      <c r="K4786">
        <v>8.6268280094055003E-2</v>
      </c>
      <c r="L4786">
        <v>749.99014197895497</v>
      </c>
      <c r="M4786">
        <v>14.779378307208001</v>
      </c>
      <c r="N4786">
        <v>51.059920109131397</v>
      </c>
      <c r="O4786">
        <v>49.843836703015398</v>
      </c>
      <c r="P4786">
        <v>-7.0913994667319902E-2</v>
      </c>
      <c r="Q4786">
        <v>4.3465263332355897E-2</v>
      </c>
      <c r="R4786">
        <v>0.99617975662780101</v>
      </c>
      <c r="S4786" t="s">
        <v>11354</v>
      </c>
      <c r="T4786" t="s">
        <v>13134</v>
      </c>
      <c r="U4786" t="s">
        <v>13134</v>
      </c>
      <c r="V4786" t="s">
        <v>13134</v>
      </c>
      <c r="W4786" t="s">
        <v>17858</v>
      </c>
      <c r="X4786">
        <v>10</v>
      </c>
      <c r="Y4786" t="s">
        <v>24228</v>
      </c>
      <c r="Z4786" t="s">
        <v>30754</v>
      </c>
      <c r="AA4786">
        <v>0.50159182499294874</v>
      </c>
      <c r="AB4786" t="str">
        <f>HYPERLINK("Melting_Curves/meltCurve_Q8WVQ1_CANT1.pdf", "Melting_Curves/meltCurve_Q8WVQ1_CANT1.pdf")</f>
        <v>Melting_Curves/meltCurve_Q8WVQ1_CANT1.pdf</v>
      </c>
    </row>
    <row r="4787" spans="1:28" x14ac:dyDescent="0.25">
      <c r="A4787" t="s">
        <v>4791</v>
      </c>
      <c r="B4787">
        <v>0.99472303558308395</v>
      </c>
      <c r="C4787">
        <v>0.95327695391562794</v>
      </c>
      <c r="D4787">
        <v>0.73526913813065797</v>
      </c>
      <c r="E4787">
        <v>0.49712668748988897</v>
      </c>
      <c r="F4787">
        <v>0.25347160493954002</v>
      </c>
      <c r="G4787">
        <v>0.15323395452279501</v>
      </c>
      <c r="H4787">
        <v>0.13772710310519401</v>
      </c>
      <c r="I4787">
        <v>5.98386430031859E-2</v>
      </c>
      <c r="J4787">
        <v>7.1249228263068398E-2</v>
      </c>
      <c r="K4787">
        <v>6.49139201322394E-2</v>
      </c>
      <c r="L4787">
        <v>718.09183117465295</v>
      </c>
      <c r="M4787">
        <v>15.610621863753201</v>
      </c>
      <c r="N4787">
        <v>46.4000250043945</v>
      </c>
      <c r="O4787">
        <v>45.265174103609397</v>
      </c>
      <c r="P4787">
        <v>-8.0798980184589503E-2</v>
      </c>
      <c r="Q4787">
        <v>6.2929286457209493E-2</v>
      </c>
      <c r="R4787">
        <v>0.99677929211092398</v>
      </c>
      <c r="S4787" t="s">
        <v>11355</v>
      </c>
      <c r="T4787" t="s">
        <v>13134</v>
      </c>
      <c r="U4787" t="s">
        <v>13134</v>
      </c>
      <c r="V4787" t="s">
        <v>13134</v>
      </c>
      <c r="W4787" t="s">
        <v>17859</v>
      </c>
      <c r="X4787">
        <v>15</v>
      </c>
      <c r="Y4787" t="s">
        <v>24229</v>
      </c>
      <c r="Z4787" t="s">
        <v>30755</v>
      </c>
      <c r="AA4787">
        <v>0.36408283243154471</v>
      </c>
      <c r="AB4787" t="str">
        <f>HYPERLINK("Melting_Curves/meltCurve_Q8WVT3_TRAPPC12.pdf", "Melting_Curves/meltCurve_Q8WVT3_TRAPPC12.pdf")</f>
        <v>Melting_Curves/meltCurve_Q8WVT3_TRAPPC12.pdf</v>
      </c>
    </row>
    <row r="4788" spans="1:28" x14ac:dyDescent="0.25">
      <c r="A4788" t="s">
        <v>4792</v>
      </c>
      <c r="B4788">
        <v>0.99472303558308395</v>
      </c>
      <c r="C4788">
        <v>0.99725245289575204</v>
      </c>
      <c r="D4788">
        <v>0.87917700935697596</v>
      </c>
      <c r="E4788">
        <v>0.72166138627712595</v>
      </c>
      <c r="F4788">
        <v>0.47084295682444999</v>
      </c>
      <c r="G4788">
        <v>0.25548535070660899</v>
      </c>
      <c r="H4788">
        <v>0.10361659782907701</v>
      </c>
      <c r="I4788">
        <v>6.9355287202451807E-2</v>
      </c>
      <c r="J4788">
        <v>7.4036718729574097E-2</v>
      </c>
      <c r="K4788">
        <v>7.1749727251740003E-2</v>
      </c>
      <c r="L4788">
        <v>753.24169812355296</v>
      </c>
      <c r="M4788">
        <v>15.261090880402801</v>
      </c>
      <c r="N4788">
        <v>49.589397799496098</v>
      </c>
      <c r="O4788">
        <v>48.532803034445699</v>
      </c>
      <c r="P4788">
        <v>-7.59064322921984E-2</v>
      </c>
      <c r="Q4788">
        <v>3.4510928847002201E-2</v>
      </c>
      <c r="R4788">
        <v>0.99758260590272996</v>
      </c>
      <c r="S4788" t="s">
        <v>11356</v>
      </c>
      <c r="T4788" t="s">
        <v>13134</v>
      </c>
      <c r="U4788" t="s">
        <v>13134</v>
      </c>
      <c r="V4788" t="s">
        <v>13134</v>
      </c>
      <c r="W4788" t="s">
        <v>17860</v>
      </c>
      <c r="X4788">
        <v>12</v>
      </c>
      <c r="Y4788" t="s">
        <v>24230</v>
      </c>
      <c r="Z4788" t="s">
        <v>30756</v>
      </c>
      <c r="AA4788">
        <v>0.45223181438838711</v>
      </c>
      <c r="AB4788" t="str">
        <f>HYPERLINK("Melting_Curves/meltCurve_Q8WVX9_FAR1.pdf", "Melting_Curves/meltCurve_Q8WVX9_FAR1.pdf")</f>
        <v>Melting_Curves/meltCurve_Q8WVX9_FAR1.pdf</v>
      </c>
    </row>
    <row r="4789" spans="1:28" x14ac:dyDescent="0.25">
      <c r="A4789" t="s">
        <v>4793</v>
      </c>
      <c r="B4789">
        <v>0.99472303558308395</v>
      </c>
      <c r="C4789">
        <v>1.00971038499694</v>
      </c>
      <c r="D4789">
        <v>1.0173684224511901</v>
      </c>
      <c r="E4789">
        <v>0.84891695536824097</v>
      </c>
      <c r="F4789">
        <v>0.27306260096915402</v>
      </c>
      <c r="G4789">
        <v>6.2010703077706501E-2</v>
      </c>
      <c r="H4789">
        <v>3.4002220808008701E-2</v>
      </c>
      <c r="I4789">
        <v>2.2355155709850302E-2</v>
      </c>
      <c r="J4789">
        <v>2.6239758614189802E-2</v>
      </c>
      <c r="K4789">
        <v>1.7477071144187398E-2</v>
      </c>
      <c r="L4789">
        <v>1804.0404387891999</v>
      </c>
      <c r="M4789">
        <v>37.007412161104</v>
      </c>
      <c r="N4789">
        <v>48.816981618616801</v>
      </c>
      <c r="O4789">
        <v>48.606396257783899</v>
      </c>
      <c r="P4789">
        <v>-0.18549959635911401</v>
      </c>
      <c r="Q4789">
        <v>2.5444808629435801E-2</v>
      </c>
      <c r="R4789">
        <v>0.99956148383671795</v>
      </c>
      <c r="S4789" t="s">
        <v>11357</v>
      </c>
      <c r="T4789" t="s">
        <v>13134</v>
      </c>
      <c r="U4789" t="s">
        <v>13134</v>
      </c>
      <c r="V4789" t="s">
        <v>13134</v>
      </c>
      <c r="W4789" t="s">
        <v>17861</v>
      </c>
      <c r="X4789">
        <v>9</v>
      </c>
      <c r="Y4789" t="s">
        <v>24231</v>
      </c>
      <c r="Z4789" t="s">
        <v>30757</v>
      </c>
      <c r="AA4789">
        <v>0.41092319342696448</v>
      </c>
      <c r="AB4789" t="str">
        <f>HYPERLINK("Melting_Curves/meltCurve_Q8WVY7_UBLCP1.pdf", "Melting_Curves/meltCurve_Q8WVY7_UBLCP1.pdf")</f>
        <v>Melting_Curves/meltCurve_Q8WVY7_UBLCP1.pdf</v>
      </c>
    </row>
    <row r="4790" spans="1:28" x14ac:dyDescent="0.25">
      <c r="A4790" t="s">
        <v>4794</v>
      </c>
      <c r="B4790">
        <v>0.99472303558308395</v>
      </c>
      <c r="C4790">
        <v>0.98855957071825895</v>
      </c>
      <c r="D4790">
        <v>0.89290127207951697</v>
      </c>
      <c r="E4790">
        <v>0.78501027616326002</v>
      </c>
      <c r="F4790">
        <v>0.75994258921568503</v>
      </c>
      <c r="G4790">
        <v>0.31159373044556998</v>
      </c>
      <c r="H4790">
        <v>0.101866260000307</v>
      </c>
      <c r="I4790">
        <v>4.66602989121764E-2</v>
      </c>
      <c r="J4790">
        <v>4.9226098740924401E-2</v>
      </c>
      <c r="K4790">
        <v>6.2967486563395805E-2</v>
      </c>
      <c r="L4790">
        <v>971.36944981110605</v>
      </c>
      <c r="M4790">
        <v>18.735662408817099</v>
      </c>
      <c r="N4790">
        <v>51.895293150624099</v>
      </c>
      <c r="O4790">
        <v>51.266200612355597</v>
      </c>
      <c r="P4790">
        <v>-9.0562503210027998E-2</v>
      </c>
      <c r="Q4790">
        <v>8.8207667175924792E-3</v>
      </c>
      <c r="R4790">
        <v>0.97722519643724803</v>
      </c>
      <c r="S4790" t="s">
        <v>11358</v>
      </c>
      <c r="T4790" t="s">
        <v>13134</v>
      </c>
      <c r="U4790" t="s">
        <v>13134</v>
      </c>
      <c r="V4790" t="s">
        <v>13134</v>
      </c>
      <c r="W4790" t="s">
        <v>17862</v>
      </c>
      <c r="X4790">
        <v>4</v>
      </c>
      <c r="Y4790" t="s">
        <v>24232</v>
      </c>
      <c r="Z4790" t="s">
        <v>30758</v>
      </c>
      <c r="AA4790">
        <v>0.51351766481749439</v>
      </c>
      <c r="AB4790" t="str">
        <f>HYPERLINK("Melting_Curves/meltCurve_Q8WW01_TSEN15.pdf", "Melting_Curves/meltCurve_Q8WW01_TSEN15.pdf")</f>
        <v>Melting_Curves/meltCurve_Q8WW01_TSEN15.pdf</v>
      </c>
    </row>
    <row r="4791" spans="1:28" x14ac:dyDescent="0.25">
      <c r="A4791" t="s">
        <v>4795</v>
      </c>
      <c r="B4791">
        <v>0.99472303558308395</v>
      </c>
      <c r="C4791">
        <v>0.96264660509920796</v>
      </c>
      <c r="D4791">
        <v>1.00753604574439</v>
      </c>
      <c r="E4791">
        <v>0.93853494958747596</v>
      </c>
      <c r="F4791">
        <v>0.73375952306525405</v>
      </c>
      <c r="G4791">
        <v>0.66293103899654804</v>
      </c>
      <c r="H4791">
        <v>0.61974086220623603</v>
      </c>
      <c r="I4791">
        <v>0.71610214348227896</v>
      </c>
      <c r="J4791">
        <v>1.12156075671987</v>
      </c>
      <c r="K4791">
        <v>0.79625327919240396</v>
      </c>
      <c r="L4791">
        <v>11695.584283378101</v>
      </c>
      <c r="M4791">
        <v>250</v>
      </c>
      <c r="O4791">
        <v>46.779343234575101</v>
      </c>
      <c r="P4791">
        <v>-0.30053605260609501</v>
      </c>
      <c r="Q4791">
        <v>0.77505793304445902</v>
      </c>
      <c r="R4791">
        <v>0.37475289849757198</v>
      </c>
      <c r="S4791" t="s">
        <v>11359</v>
      </c>
      <c r="T4791" t="s">
        <v>13134</v>
      </c>
      <c r="U4791" t="s">
        <v>13134</v>
      </c>
      <c r="V4791" t="s">
        <v>13134</v>
      </c>
      <c r="W4791" t="s">
        <v>17863</v>
      </c>
      <c r="X4791">
        <v>11</v>
      </c>
      <c r="Y4791" t="s">
        <v>24233</v>
      </c>
      <c r="Z4791" t="s">
        <v>30759</v>
      </c>
      <c r="AA4791">
        <v>0.84842503911518641</v>
      </c>
      <c r="AB4791" t="str">
        <f>HYPERLINK("Melting_Curves/meltCurve_Q8WW12_PCNP.pdf", "Melting_Curves/meltCurve_Q8WW12_PCNP.pdf")</f>
        <v>Melting_Curves/meltCurve_Q8WW12_PCNP.pdf</v>
      </c>
    </row>
    <row r="4792" spans="1:28" x14ac:dyDescent="0.25">
      <c r="A4792" t="s">
        <v>4796</v>
      </c>
      <c r="B4792">
        <v>0.99472303558308395</v>
      </c>
      <c r="C4792">
        <v>0.99624482778032297</v>
      </c>
      <c r="D4792">
        <v>0.99481581532348495</v>
      </c>
      <c r="E4792">
        <v>0.89960753902900603</v>
      </c>
      <c r="F4792">
        <v>0.85088241407138399</v>
      </c>
      <c r="G4792">
        <v>0.58897839414887498</v>
      </c>
      <c r="H4792">
        <v>0.40073635763204202</v>
      </c>
      <c r="I4792">
        <v>0.119651709673223</v>
      </c>
      <c r="J4792">
        <v>0.208555512583116</v>
      </c>
      <c r="K4792">
        <v>0.10951161380449199</v>
      </c>
      <c r="L4792">
        <v>916.94893503176399</v>
      </c>
      <c r="M4792">
        <v>16.782054243460401</v>
      </c>
      <c r="N4792">
        <v>55.169882493348503</v>
      </c>
      <c r="O4792">
        <v>53.880526762400699</v>
      </c>
      <c r="P4792">
        <v>-7.2062323882210802E-2</v>
      </c>
      <c r="Q4792">
        <v>7.4605890344972406E-2</v>
      </c>
      <c r="R4792">
        <v>0.98651203794983799</v>
      </c>
      <c r="S4792" t="s">
        <v>11360</v>
      </c>
      <c r="T4792" t="s">
        <v>13134</v>
      </c>
      <c r="U4792" t="s">
        <v>13134</v>
      </c>
      <c r="V4792" t="s">
        <v>13134</v>
      </c>
      <c r="W4792" t="s">
        <v>17864</v>
      </c>
      <c r="X4792">
        <v>5</v>
      </c>
      <c r="Y4792" t="s">
        <v>24234</v>
      </c>
      <c r="Z4792" t="s">
        <v>30760</v>
      </c>
      <c r="AA4792">
        <v>0.63151114108073625</v>
      </c>
      <c r="AB4792" t="str">
        <f>HYPERLINK("Melting_Curves/meltCurve_Q8WW59_SPRYD4.pdf", "Melting_Curves/meltCurve_Q8WW59_SPRYD4.pdf")</f>
        <v>Melting_Curves/meltCurve_Q8WW59_SPRYD4.pdf</v>
      </c>
    </row>
    <row r="4793" spans="1:28" x14ac:dyDescent="0.25">
      <c r="A4793" t="s">
        <v>4797</v>
      </c>
      <c r="B4793">
        <v>0.99472303558308395</v>
      </c>
      <c r="C4793">
        <v>1.09384202208449</v>
      </c>
      <c r="D4793">
        <v>0.98833176007057</v>
      </c>
      <c r="E4793">
        <v>0.858738920155528</v>
      </c>
      <c r="F4793">
        <v>0.70121171430620099</v>
      </c>
      <c r="G4793">
        <v>0.43934623907183901</v>
      </c>
      <c r="H4793">
        <v>0.432838179032212</v>
      </c>
      <c r="I4793">
        <v>0.24427088129952701</v>
      </c>
      <c r="J4793">
        <v>0.201392686062661</v>
      </c>
      <c r="K4793">
        <v>0.30825169500914901</v>
      </c>
      <c r="L4793">
        <v>860.89894405890402</v>
      </c>
      <c r="M4793">
        <v>16.785170332235499</v>
      </c>
      <c r="N4793">
        <v>53.358670591511697</v>
      </c>
      <c r="O4793">
        <v>50.577854757980397</v>
      </c>
      <c r="P4793">
        <v>-6.3122662999579998E-2</v>
      </c>
      <c r="Q4793">
        <v>0.23923280448815501</v>
      </c>
      <c r="R4793">
        <v>0.97265461649060203</v>
      </c>
      <c r="S4793" t="s">
        <v>11361</v>
      </c>
      <c r="T4793" t="s">
        <v>13134</v>
      </c>
      <c r="U4793" t="s">
        <v>13134</v>
      </c>
      <c r="V4793" t="s">
        <v>13134</v>
      </c>
      <c r="W4793" t="s">
        <v>17865</v>
      </c>
      <c r="X4793">
        <v>2</v>
      </c>
      <c r="Y4793" t="s">
        <v>24235</v>
      </c>
      <c r="Z4793" t="s">
        <v>30761</v>
      </c>
      <c r="AA4793">
        <v>0.61458635016664209</v>
      </c>
      <c r="AB4793" t="str">
        <f>HYPERLINK("Melting_Curves/meltCurve_Q8WWB7_2_C1orf85.pdf", "Melting_Curves/meltCurve_Q8WWB7_2_C1orf85.pdf")</f>
        <v>Melting_Curves/meltCurve_Q8WWB7_2_C1orf85.pdf</v>
      </c>
    </row>
    <row r="4794" spans="1:28" x14ac:dyDescent="0.25">
      <c r="A4794" t="s">
        <v>4798</v>
      </c>
      <c r="B4794">
        <v>0.99472303558308395</v>
      </c>
      <c r="C4794">
        <v>0.82078320131059901</v>
      </c>
      <c r="D4794">
        <v>0.96553053203745098</v>
      </c>
      <c r="E4794">
        <v>0.66362652483836504</v>
      </c>
      <c r="F4794">
        <v>0.30711841796060602</v>
      </c>
      <c r="G4794">
        <v>0.19237801398930901</v>
      </c>
      <c r="H4794">
        <v>0.113748158854724</v>
      </c>
      <c r="I4794">
        <v>6.5667695234729206E-2</v>
      </c>
      <c r="J4794">
        <v>6.6525301095260905E-2</v>
      </c>
      <c r="K4794">
        <v>5.7376319064026203E-2</v>
      </c>
      <c r="L4794">
        <v>911.87140021133905</v>
      </c>
      <c r="M4794">
        <v>19.020610662439001</v>
      </c>
      <c r="N4794">
        <v>48.268467457420101</v>
      </c>
      <c r="O4794">
        <v>47.420717346348297</v>
      </c>
      <c r="P4794">
        <v>-9.4213660456806E-2</v>
      </c>
      <c r="Q4794">
        <v>6.04920203288528E-2</v>
      </c>
      <c r="R4794">
        <v>0.97744244847876205</v>
      </c>
      <c r="S4794" t="s">
        <v>11362</v>
      </c>
      <c r="T4794" t="s">
        <v>13134</v>
      </c>
      <c r="U4794" t="s">
        <v>13134</v>
      </c>
      <c r="V4794" t="s">
        <v>13134</v>
      </c>
      <c r="W4794" t="s">
        <v>17866</v>
      </c>
      <c r="X4794">
        <v>5</v>
      </c>
      <c r="Y4794" t="s">
        <v>24236</v>
      </c>
      <c r="Z4794" t="s">
        <v>30762</v>
      </c>
      <c r="AA4794">
        <v>0.41670147634660282</v>
      </c>
      <c r="AB4794" t="str">
        <f>HYPERLINK("Melting_Curves/meltCurve_Q8WWC4_C2orf47.pdf", "Melting_Curves/meltCurve_Q8WWC4_C2orf47.pdf")</f>
        <v>Melting_Curves/meltCurve_Q8WWC4_C2orf47.pdf</v>
      </c>
    </row>
    <row r="4795" spans="1:28" x14ac:dyDescent="0.25">
      <c r="A4795" t="s">
        <v>4799</v>
      </c>
      <c r="B4795">
        <v>0.99472303558308395</v>
      </c>
      <c r="C4795">
        <v>1.1221881354836201</v>
      </c>
      <c r="D4795">
        <v>0.945782430665005</v>
      </c>
      <c r="E4795">
        <v>0.77166529010199503</v>
      </c>
      <c r="F4795">
        <v>0.47823738770422197</v>
      </c>
      <c r="G4795">
        <v>0.22250092155539</v>
      </c>
      <c r="H4795">
        <v>9.5025911667220894E-2</v>
      </c>
      <c r="I4795">
        <v>7.9095821583267903E-2</v>
      </c>
      <c r="J4795">
        <v>6.7302166378499007E-2</v>
      </c>
      <c r="K4795">
        <v>5.0495440226533198E-2</v>
      </c>
      <c r="L4795">
        <v>973.82420193515395</v>
      </c>
      <c r="M4795">
        <v>19.638117416664599</v>
      </c>
      <c r="N4795">
        <v>49.852275936880503</v>
      </c>
      <c r="O4795">
        <v>49.082865583832302</v>
      </c>
      <c r="P4795">
        <v>-9.5092451218683496E-2</v>
      </c>
      <c r="Q4795">
        <v>4.9349593771025303E-2</v>
      </c>
      <c r="R4795">
        <v>0.98954490833976805</v>
      </c>
      <c r="S4795" t="s">
        <v>11363</v>
      </c>
      <c r="T4795" t="s">
        <v>13134</v>
      </c>
      <c r="U4795" t="s">
        <v>13134</v>
      </c>
      <c r="V4795" t="s">
        <v>13134</v>
      </c>
      <c r="W4795" t="s">
        <v>17867</v>
      </c>
      <c r="X4795">
        <v>5</v>
      </c>
      <c r="Y4795" t="s">
        <v>24237</v>
      </c>
      <c r="Z4795" t="s">
        <v>30763</v>
      </c>
      <c r="AA4795">
        <v>0.46119776634179049</v>
      </c>
      <c r="AB4795" t="str">
        <f>HYPERLINK("Melting_Curves/meltCurve_Q8WWH5_TRUB1.pdf", "Melting_Curves/meltCurve_Q8WWH5_TRUB1.pdf")</f>
        <v>Melting_Curves/meltCurve_Q8WWH5_TRUB1.pdf</v>
      </c>
    </row>
    <row r="4796" spans="1:28" x14ac:dyDescent="0.25">
      <c r="A4796" t="s">
        <v>4800</v>
      </c>
      <c r="B4796">
        <v>0.99472303558308395</v>
      </c>
      <c r="C4796">
        <v>0.94330513051646703</v>
      </c>
      <c r="D4796">
        <v>0.92310475017815397</v>
      </c>
      <c r="E4796">
        <v>0.77628075048810397</v>
      </c>
      <c r="F4796">
        <v>0.51797993727212199</v>
      </c>
      <c r="G4796">
        <v>0.35993094981284601</v>
      </c>
      <c r="H4796">
        <v>0.13315960537424401</v>
      </c>
      <c r="I4796">
        <v>6.7132417225358301E-2</v>
      </c>
      <c r="J4796">
        <v>7.5288331204775599E-2</v>
      </c>
      <c r="K4796">
        <v>6.4266710856342404E-2</v>
      </c>
      <c r="L4796">
        <v>700.99559638836695</v>
      </c>
      <c r="M4796">
        <v>13.8470994981749</v>
      </c>
      <c r="N4796">
        <v>50.701440414939</v>
      </c>
      <c r="O4796">
        <v>49.603230454941396</v>
      </c>
      <c r="P4796">
        <v>-6.9068636198707206E-2</v>
      </c>
      <c r="Q4796">
        <v>1.04630967721964E-2</v>
      </c>
      <c r="R4796">
        <v>0.995339572479085</v>
      </c>
      <c r="S4796" t="s">
        <v>11364</v>
      </c>
      <c r="T4796" t="s">
        <v>13134</v>
      </c>
      <c r="U4796" t="s">
        <v>13134</v>
      </c>
      <c r="V4796" t="s">
        <v>13134</v>
      </c>
      <c r="W4796" t="s">
        <v>17868</v>
      </c>
      <c r="X4796">
        <v>36</v>
      </c>
      <c r="Y4796" t="s">
        <v>24238</v>
      </c>
      <c r="Z4796" t="s">
        <v>30764</v>
      </c>
      <c r="AA4796">
        <v>0.48231012524462702</v>
      </c>
      <c r="AB4796" t="str">
        <f>HYPERLINK("Melting_Curves/meltCurve_Q8WWM7_ATXN2L.pdf", "Melting_Curves/meltCurve_Q8WWM7_ATXN2L.pdf")</f>
        <v>Melting_Curves/meltCurve_Q8WWM7_ATXN2L.pdf</v>
      </c>
    </row>
    <row r="4797" spans="1:28" x14ac:dyDescent="0.25">
      <c r="A4797" t="s">
        <v>4801</v>
      </c>
      <c r="B4797">
        <v>0.99472303558308395</v>
      </c>
      <c r="C4797">
        <v>0.92516057515879702</v>
      </c>
      <c r="D4797">
        <v>0.94260106146893097</v>
      </c>
      <c r="E4797">
        <v>0.60335398082625802</v>
      </c>
      <c r="F4797">
        <v>0.203244847187317</v>
      </c>
      <c r="G4797">
        <v>8.35228803895183E-2</v>
      </c>
      <c r="H4797">
        <v>5.0756785881085301E-2</v>
      </c>
      <c r="I4797">
        <v>3.4802367448784302E-2</v>
      </c>
      <c r="J4797">
        <v>3.7776396174839501E-2</v>
      </c>
      <c r="K4797">
        <v>4.3651178214203501E-2</v>
      </c>
      <c r="L4797">
        <v>1225.68350491759</v>
      </c>
      <c r="M4797">
        <v>25.954581023018399</v>
      </c>
      <c r="N4797">
        <v>47.371730430045403</v>
      </c>
      <c r="O4797">
        <v>46.946506258271803</v>
      </c>
      <c r="P4797">
        <v>-0.13284791801865201</v>
      </c>
      <c r="Q4797">
        <v>3.8832864428671898E-2</v>
      </c>
      <c r="R4797">
        <v>0.99705430375161097</v>
      </c>
      <c r="S4797" t="s">
        <v>11365</v>
      </c>
      <c r="T4797" t="s">
        <v>13134</v>
      </c>
      <c r="U4797" t="s">
        <v>13134</v>
      </c>
      <c r="V4797" t="s">
        <v>13134</v>
      </c>
      <c r="W4797" t="s">
        <v>17869</v>
      </c>
      <c r="X4797">
        <v>9</v>
      </c>
      <c r="Y4797" t="s">
        <v>24239</v>
      </c>
      <c r="Z4797" t="s">
        <v>30765</v>
      </c>
      <c r="AA4797">
        <v>0.37391576620684991</v>
      </c>
      <c r="AB4797" t="str">
        <f>HYPERLINK("Melting_Curves/meltCurve_Q8WWV3_RTN4IP1.pdf", "Melting_Curves/meltCurve_Q8WWV3_RTN4IP1.pdf")</f>
        <v>Melting_Curves/meltCurve_Q8WWV3_RTN4IP1.pdf</v>
      </c>
    </row>
    <row r="4798" spans="1:28" x14ac:dyDescent="0.25">
      <c r="A4798" t="s">
        <v>4802</v>
      </c>
      <c r="B4798">
        <v>0.99472303558308395</v>
      </c>
      <c r="C4798">
        <v>0.93562533294419903</v>
      </c>
      <c r="D4798">
        <v>0.98536764989538295</v>
      </c>
      <c r="E4798">
        <v>0.89121010344512097</v>
      </c>
      <c r="F4798">
        <v>0.611169249072398</v>
      </c>
      <c r="G4798">
        <v>0.310856995220613</v>
      </c>
      <c r="H4798">
        <v>0.11788186243637799</v>
      </c>
      <c r="I4798">
        <v>7.9586389689807996E-2</v>
      </c>
      <c r="J4798">
        <v>0.113744483947082</v>
      </c>
      <c r="K4798">
        <v>9.5832496248630897E-2</v>
      </c>
      <c r="L4798">
        <v>1135.35985479956</v>
      </c>
      <c r="M4798">
        <v>22.2993422195043</v>
      </c>
      <c r="N4798">
        <v>51.312058682684999</v>
      </c>
      <c r="O4798">
        <v>50.510351298230297</v>
      </c>
      <c r="P4798">
        <v>-0.10161605480350799</v>
      </c>
      <c r="Q4798">
        <v>7.9335421810569406E-2</v>
      </c>
      <c r="R4798">
        <v>0.99571878549138804</v>
      </c>
      <c r="S4798" t="s">
        <v>11366</v>
      </c>
      <c r="T4798" t="s">
        <v>13134</v>
      </c>
      <c r="U4798" t="s">
        <v>13134</v>
      </c>
      <c r="V4798" t="s">
        <v>13134</v>
      </c>
      <c r="W4798" t="s">
        <v>17870</v>
      </c>
      <c r="X4798">
        <v>3</v>
      </c>
      <c r="Y4798" t="s">
        <v>24240</v>
      </c>
      <c r="Z4798" t="s">
        <v>30766</v>
      </c>
      <c r="AA4798">
        <v>0.5163517734507056</v>
      </c>
      <c r="AB4798" t="str">
        <f>HYPERLINK("Melting_Curves/meltCurve_Q8WWW0_3_RASSF5.pdf", "Melting_Curves/meltCurve_Q8WWW0_3_RASSF5.pdf")</f>
        <v>Melting_Curves/meltCurve_Q8WWW0_3_RASSF5.pdf</v>
      </c>
    </row>
    <row r="4799" spans="1:28" x14ac:dyDescent="0.25">
      <c r="A4799" t="s">
        <v>4803</v>
      </c>
      <c r="B4799">
        <v>0.99472303558308395</v>
      </c>
      <c r="C4799">
        <v>0.96621301089924905</v>
      </c>
      <c r="D4799">
        <v>0.86013695760835895</v>
      </c>
      <c r="E4799">
        <v>0.73518197414236397</v>
      </c>
      <c r="F4799">
        <v>0.59019210167179303</v>
      </c>
      <c r="G4799">
        <v>0.47051806813911601</v>
      </c>
      <c r="H4799">
        <v>0.41040155937426798</v>
      </c>
      <c r="I4799">
        <v>0.32009768659189303</v>
      </c>
      <c r="J4799">
        <v>0.39749444263654798</v>
      </c>
      <c r="K4799">
        <v>0.28792969485699299</v>
      </c>
      <c r="L4799">
        <v>561.29430708556094</v>
      </c>
      <c r="M4799">
        <v>11.5227429132749</v>
      </c>
      <c r="N4799">
        <v>52.769959551657998</v>
      </c>
      <c r="O4799">
        <v>47.314028021268001</v>
      </c>
      <c r="P4799">
        <v>-4.3004224518618503E-2</v>
      </c>
      <c r="Q4799">
        <v>0.29387333764045498</v>
      </c>
      <c r="R4799">
        <v>0.98879030985571603</v>
      </c>
      <c r="S4799" t="s">
        <v>11367</v>
      </c>
      <c r="T4799" t="s">
        <v>13134</v>
      </c>
      <c r="U4799" t="s">
        <v>13134</v>
      </c>
      <c r="V4799" t="s">
        <v>13134</v>
      </c>
      <c r="W4799" t="s">
        <v>17871</v>
      </c>
      <c r="X4799">
        <v>1</v>
      </c>
      <c r="Y4799" t="s">
        <v>24241</v>
      </c>
      <c r="Z4799" t="s">
        <v>30767</v>
      </c>
      <c r="AA4799">
        <v>0.59205210635933903</v>
      </c>
      <c r="AB4799" t="str">
        <f>HYPERLINK("Melting_Curves/meltCurve_Q8WWX9_SELM.pdf", "Melting_Curves/meltCurve_Q8WWX9_SELM.pdf")</f>
        <v>Melting_Curves/meltCurve_Q8WWX9_SELM.pdf</v>
      </c>
    </row>
    <row r="4800" spans="1:28" x14ac:dyDescent="0.25">
      <c r="A4800" t="s">
        <v>4804</v>
      </c>
      <c r="B4800">
        <v>0.99472303558308395</v>
      </c>
      <c r="C4800">
        <v>0.974018557282745</v>
      </c>
      <c r="D4800">
        <v>0.74329015362384598</v>
      </c>
      <c r="E4800">
        <v>0.44447800648161201</v>
      </c>
      <c r="F4800">
        <v>0.28276039719385598</v>
      </c>
      <c r="G4800">
        <v>0.16354369119084899</v>
      </c>
      <c r="H4800">
        <v>9.1946475311544595E-2</v>
      </c>
      <c r="I4800">
        <v>6.9581668917759396E-2</v>
      </c>
      <c r="J4800">
        <v>5.8953361730858397E-2</v>
      </c>
      <c r="K4800">
        <v>4.3985975932192299E-2</v>
      </c>
      <c r="L4800">
        <v>720.05311119640498</v>
      </c>
      <c r="M4800">
        <v>15.6655119864081</v>
      </c>
      <c r="N4800">
        <v>46.299051333047103</v>
      </c>
      <c r="O4800">
        <v>45.234770436125899</v>
      </c>
      <c r="P4800">
        <v>-8.1949237332893707E-2</v>
      </c>
      <c r="Q4800">
        <v>5.3554266157661699E-2</v>
      </c>
      <c r="R4800">
        <v>0.99530903315602604</v>
      </c>
      <c r="S4800" t="s">
        <v>11368</v>
      </c>
      <c r="T4800" t="s">
        <v>13134</v>
      </c>
      <c r="U4800" t="s">
        <v>13134</v>
      </c>
      <c r="V4800" t="s">
        <v>13134</v>
      </c>
      <c r="W4800" t="s">
        <v>17872</v>
      </c>
      <c r="X4800">
        <v>8</v>
      </c>
      <c r="Y4800" t="s">
        <v>24242</v>
      </c>
      <c r="Z4800" t="s">
        <v>30768</v>
      </c>
      <c r="AA4800">
        <v>0.35646576999816088</v>
      </c>
      <c r="AB4800" t="str">
        <f>HYPERLINK("Melting_Curves/meltCurve_Q8WWY3_PRPF31.pdf", "Melting_Curves/meltCurve_Q8WWY3_PRPF31.pdf")</f>
        <v>Melting_Curves/meltCurve_Q8WWY3_PRPF31.pdf</v>
      </c>
    </row>
    <row r="4801" spans="1:28" x14ac:dyDescent="0.25">
      <c r="A4801" t="s">
        <v>4805</v>
      </c>
      <c r="B4801">
        <v>0.99472303558308395</v>
      </c>
      <c r="C4801">
        <v>1.0128667589620299</v>
      </c>
      <c r="D4801">
        <v>0.89882586567604394</v>
      </c>
      <c r="E4801">
        <v>0.62980089018817098</v>
      </c>
      <c r="F4801">
        <v>0.270342736303404</v>
      </c>
      <c r="G4801">
        <v>8.7044857643822707E-2</v>
      </c>
      <c r="H4801">
        <v>5.0653297889582997E-2</v>
      </c>
      <c r="I4801">
        <v>2.79216482119184E-2</v>
      </c>
      <c r="J4801">
        <v>3.2802717108748797E-2</v>
      </c>
      <c r="K4801">
        <v>2.8536743055787898E-2</v>
      </c>
      <c r="L4801">
        <v>1032.99913392403</v>
      </c>
      <c r="M4801">
        <v>21.687828339808</v>
      </c>
      <c r="N4801">
        <v>47.737638690896198</v>
      </c>
      <c r="O4801">
        <v>47.230958877417599</v>
      </c>
      <c r="P4801">
        <v>-0.112068996855176</v>
      </c>
      <c r="Q4801">
        <v>2.37840218701637E-2</v>
      </c>
      <c r="R4801">
        <v>0.99927804803793896</v>
      </c>
      <c r="S4801" t="s">
        <v>11369</v>
      </c>
      <c r="T4801" t="s">
        <v>13134</v>
      </c>
      <c r="U4801" t="s">
        <v>13134</v>
      </c>
      <c r="V4801" t="s">
        <v>13134</v>
      </c>
      <c r="W4801" t="s">
        <v>17873</v>
      </c>
      <c r="X4801">
        <v>13</v>
      </c>
      <c r="Y4801" t="s">
        <v>24243</v>
      </c>
      <c r="Z4801" t="s">
        <v>30769</v>
      </c>
      <c r="AA4801">
        <v>0.38065288451659379</v>
      </c>
      <c r="AB4801" t="str">
        <f>HYPERLINK("Melting_Curves/meltCurve_Q8WX92_NELFB.pdf", "Melting_Curves/meltCurve_Q8WX92_NELFB.pdf")</f>
        <v>Melting_Curves/meltCurve_Q8WX92_NELFB.pdf</v>
      </c>
    </row>
    <row r="4802" spans="1:28" x14ac:dyDescent="0.25">
      <c r="A4802" t="s">
        <v>4806</v>
      </c>
      <c r="B4802">
        <v>0.99472303558308395</v>
      </c>
      <c r="C4802">
        <v>1.02691790732648</v>
      </c>
      <c r="D4802">
        <v>0.887941435280722</v>
      </c>
      <c r="E4802">
        <v>0.72807989281364704</v>
      </c>
      <c r="F4802">
        <v>0.32130487363273202</v>
      </c>
      <c r="G4802">
        <v>0.124056960659105</v>
      </c>
      <c r="H4802">
        <v>7.6536002696217006E-2</v>
      </c>
      <c r="I4802">
        <v>4.7321294150176503E-2</v>
      </c>
      <c r="J4802">
        <v>6.2508918258007196E-2</v>
      </c>
      <c r="K4802">
        <v>5.8749302045355799E-2</v>
      </c>
      <c r="L4802">
        <v>1087.35210395841</v>
      </c>
      <c r="M4802">
        <v>22.5372396706274</v>
      </c>
      <c r="N4802">
        <v>48.469149930697299</v>
      </c>
      <c r="O4802">
        <v>47.871868282911201</v>
      </c>
      <c r="P4802">
        <v>-0.111920576237764</v>
      </c>
      <c r="Q4802">
        <v>4.9087029632311201E-2</v>
      </c>
      <c r="R4802">
        <v>0.99676277220506904</v>
      </c>
      <c r="S4802" t="s">
        <v>11370</v>
      </c>
      <c r="T4802" t="s">
        <v>13134</v>
      </c>
      <c r="U4802" t="s">
        <v>13134</v>
      </c>
      <c r="V4802" t="s">
        <v>13134</v>
      </c>
      <c r="W4802" t="s">
        <v>17874</v>
      </c>
      <c r="X4802">
        <v>13</v>
      </c>
      <c r="Y4802" t="s">
        <v>24244</v>
      </c>
      <c r="Z4802" t="s">
        <v>30770</v>
      </c>
      <c r="AA4802">
        <v>0.41553959009494268</v>
      </c>
      <c r="AB4802" t="str">
        <f>HYPERLINK("Melting_Curves/meltCurve_Q8WXA9_2_SREK1.pdf", "Melting_Curves/meltCurve_Q8WXA9_2_SREK1.pdf")</f>
        <v>Melting_Curves/meltCurve_Q8WXA9_2_SREK1.pdf</v>
      </c>
    </row>
    <row r="4803" spans="1:28" x14ac:dyDescent="0.25">
      <c r="A4803" t="s">
        <v>4807</v>
      </c>
      <c r="B4803">
        <v>0.99472303558308395</v>
      </c>
      <c r="C4803">
        <v>1.0123958603557901</v>
      </c>
      <c r="D4803">
        <v>0.88621164712186695</v>
      </c>
      <c r="E4803">
        <v>0.80284024034658796</v>
      </c>
      <c r="F4803">
        <v>0.64620530401536802</v>
      </c>
      <c r="G4803">
        <v>0.43842044273695702</v>
      </c>
      <c r="H4803">
        <v>0.37413246652924997</v>
      </c>
      <c r="I4803">
        <v>0.34413445251422797</v>
      </c>
      <c r="J4803">
        <v>0.49414773422785602</v>
      </c>
      <c r="K4803">
        <v>0.33708313821603803</v>
      </c>
      <c r="L4803">
        <v>821.522838184997</v>
      </c>
      <c r="M4803">
        <v>16.870616556417101</v>
      </c>
      <c r="N4803">
        <v>52.816537722783799</v>
      </c>
      <c r="O4803">
        <v>48.026730101170202</v>
      </c>
      <c r="P4803">
        <v>-5.5685711425661498E-2</v>
      </c>
      <c r="Q4803">
        <v>0.36594319063082098</v>
      </c>
      <c r="R4803">
        <v>0.96286261101089898</v>
      </c>
      <c r="S4803" t="s">
        <v>11371</v>
      </c>
      <c r="T4803" t="s">
        <v>13134</v>
      </c>
      <c r="U4803" t="s">
        <v>13134</v>
      </c>
      <c r="V4803" t="s">
        <v>13134</v>
      </c>
      <c r="W4803" t="s">
        <v>17875</v>
      </c>
      <c r="X4803">
        <v>6</v>
      </c>
      <c r="Y4803" t="s">
        <v>24245</v>
      </c>
      <c r="Z4803" t="s">
        <v>30771</v>
      </c>
      <c r="AA4803">
        <v>0.62443681928711292</v>
      </c>
      <c r="AB4803" t="str">
        <f>HYPERLINK("Melting_Curves/meltCurve_Q8WXD2_SCG3.pdf", "Melting_Curves/meltCurve_Q8WXD2_SCG3.pdf")</f>
        <v>Melting_Curves/meltCurve_Q8WXD2_SCG3.pdf</v>
      </c>
    </row>
    <row r="4804" spans="1:28" x14ac:dyDescent="0.25">
      <c r="A4804" t="s">
        <v>4808</v>
      </c>
      <c r="B4804">
        <v>0.99472303558308395</v>
      </c>
      <c r="C4804">
        <v>0.91025405628106704</v>
      </c>
      <c r="D4804">
        <v>0.95909738041669301</v>
      </c>
      <c r="E4804">
        <v>0.88277324092641596</v>
      </c>
      <c r="F4804">
        <v>0.722252724776559</v>
      </c>
      <c r="G4804">
        <v>0.58963015315978096</v>
      </c>
      <c r="H4804">
        <v>0.40133526187834301</v>
      </c>
      <c r="I4804">
        <v>0.20161047290364301</v>
      </c>
      <c r="J4804">
        <v>0.15405277324661801</v>
      </c>
      <c r="K4804">
        <v>0.105742639914171</v>
      </c>
      <c r="L4804">
        <v>630.63730772594602</v>
      </c>
      <c r="M4804">
        <v>11.492154233651201</v>
      </c>
      <c r="N4804">
        <v>54.875488067870897</v>
      </c>
      <c r="O4804">
        <v>53.292751429806003</v>
      </c>
      <c r="P4804">
        <v>-5.3925857397953997E-2</v>
      </c>
      <c r="Q4804">
        <v>0</v>
      </c>
      <c r="R4804">
        <v>0.99142364957143503</v>
      </c>
      <c r="S4804" t="s">
        <v>11372</v>
      </c>
      <c r="T4804" t="s">
        <v>13134</v>
      </c>
      <c r="U4804" t="s">
        <v>13134</v>
      </c>
      <c r="V4804" t="s">
        <v>13134</v>
      </c>
      <c r="W4804" t="s">
        <v>17876</v>
      </c>
      <c r="X4804">
        <v>3</v>
      </c>
      <c r="Y4804" t="s">
        <v>24246</v>
      </c>
      <c r="Z4804" t="s">
        <v>30772</v>
      </c>
      <c r="AA4804">
        <v>0.61028818854661437</v>
      </c>
      <c r="AB4804" t="str">
        <f>HYPERLINK("Melting_Curves/meltCurve_Q8WXD5_GEMIN6.pdf", "Melting_Curves/meltCurve_Q8WXD5_GEMIN6.pdf")</f>
        <v>Melting_Curves/meltCurve_Q8WXD5_GEMIN6.pdf</v>
      </c>
    </row>
    <row r="4805" spans="1:28" x14ac:dyDescent="0.25">
      <c r="A4805" t="s">
        <v>4809</v>
      </c>
      <c r="B4805">
        <v>0.99472303558308395</v>
      </c>
      <c r="C4805">
        <v>0.83697190931949805</v>
      </c>
      <c r="D4805">
        <v>0.81051222413706903</v>
      </c>
      <c r="E4805">
        <v>0.70687908894131202</v>
      </c>
      <c r="F4805">
        <v>0.62526585128103895</v>
      </c>
      <c r="G4805">
        <v>0.24623754968387301</v>
      </c>
      <c r="H4805">
        <v>0.119275435000471</v>
      </c>
      <c r="I4805">
        <v>6.1189837040137099E-2</v>
      </c>
      <c r="J4805">
        <v>5.82611095194559E-2</v>
      </c>
      <c r="K4805">
        <v>7.29034173480968E-2</v>
      </c>
      <c r="L4805">
        <v>593.58409709675402</v>
      </c>
      <c r="M4805">
        <v>11.876998572392701</v>
      </c>
      <c r="N4805">
        <v>49.977627111940897</v>
      </c>
      <c r="O4805">
        <v>48.623976845834498</v>
      </c>
      <c r="P4805">
        <v>-6.1080865235132897E-2</v>
      </c>
      <c r="Q4805">
        <v>0</v>
      </c>
      <c r="R4805">
        <v>0.96416970110389799</v>
      </c>
      <c r="S4805" t="s">
        <v>11373</v>
      </c>
      <c r="T4805" t="s">
        <v>13134</v>
      </c>
      <c r="U4805" t="s">
        <v>13134</v>
      </c>
      <c r="V4805" t="s">
        <v>13134</v>
      </c>
      <c r="W4805" t="s">
        <v>17877</v>
      </c>
      <c r="X4805">
        <v>4</v>
      </c>
      <c r="Y4805" t="s">
        <v>24247</v>
      </c>
      <c r="Z4805" t="s">
        <v>30773</v>
      </c>
      <c r="AA4805">
        <v>0.46095927926797042</v>
      </c>
      <c r="AB4805" t="str">
        <f>HYPERLINK("Melting_Curves/meltCurve_Q8WXE1_5_ATRIP.pdf", "Melting_Curves/meltCurve_Q8WXE1_5_ATRIP.pdf")</f>
        <v>Melting_Curves/meltCurve_Q8WXE1_5_ATRIP.pdf</v>
      </c>
    </row>
    <row r="4806" spans="1:28" x14ac:dyDescent="0.25">
      <c r="A4806" t="s">
        <v>4810</v>
      </c>
      <c r="B4806">
        <v>0.99472303558308395</v>
      </c>
      <c r="C4806">
        <v>0.94377300486386695</v>
      </c>
      <c r="D4806">
        <v>0.96472584619758395</v>
      </c>
      <c r="E4806">
        <v>0.680652014178043</v>
      </c>
      <c r="F4806">
        <v>0.220203146779888</v>
      </c>
      <c r="G4806">
        <v>0.100563532430035</v>
      </c>
      <c r="H4806">
        <v>5.2653694072712101E-2</v>
      </c>
      <c r="I4806">
        <v>4.9433103232363301E-2</v>
      </c>
      <c r="J4806">
        <v>5.51438087442414E-2</v>
      </c>
      <c r="K4806">
        <v>5.1099288869526797E-2</v>
      </c>
      <c r="L4806">
        <v>1394.02222323765</v>
      </c>
      <c r="M4806">
        <v>29.252926883857501</v>
      </c>
      <c r="N4806">
        <v>47.8352599990152</v>
      </c>
      <c r="O4806">
        <v>47.433073975501102</v>
      </c>
      <c r="P4806">
        <v>-0.14609743486530999</v>
      </c>
      <c r="Q4806">
        <v>5.2429691871650898E-2</v>
      </c>
      <c r="R4806">
        <v>0.99804619316874299</v>
      </c>
      <c r="S4806" t="s">
        <v>11374</v>
      </c>
      <c r="T4806" t="s">
        <v>13134</v>
      </c>
      <c r="U4806" t="s">
        <v>13134</v>
      </c>
      <c r="V4806" t="s">
        <v>13134</v>
      </c>
      <c r="W4806" t="s">
        <v>17878</v>
      </c>
      <c r="X4806">
        <v>20</v>
      </c>
      <c r="Y4806" t="s">
        <v>24248</v>
      </c>
      <c r="Z4806" t="s">
        <v>30774</v>
      </c>
      <c r="AA4806">
        <v>0.39481296195920479</v>
      </c>
      <c r="AB4806" t="str">
        <f>HYPERLINK("Melting_Curves/meltCurve_Q8WXF1_PSPC1.pdf", "Melting_Curves/meltCurve_Q8WXF1_PSPC1.pdf")</f>
        <v>Melting_Curves/meltCurve_Q8WXF1_PSPC1.pdf</v>
      </c>
    </row>
    <row r="4807" spans="1:28" x14ac:dyDescent="0.25">
      <c r="A4807" t="s">
        <v>4811</v>
      </c>
      <c r="B4807">
        <v>0.99472303558308395</v>
      </c>
      <c r="C4807">
        <v>0.87617814028384</v>
      </c>
      <c r="D4807">
        <v>0.74521624327248104</v>
      </c>
      <c r="E4807">
        <v>0.424240187564356</v>
      </c>
      <c r="F4807">
        <v>0.23438275253358001</v>
      </c>
      <c r="G4807">
        <v>0.109233995705317</v>
      </c>
      <c r="H4807">
        <v>0.11855843308755</v>
      </c>
      <c r="I4807">
        <v>8.2670638212189396E-2</v>
      </c>
      <c r="J4807">
        <v>9.1861940388405297E-2</v>
      </c>
      <c r="K4807">
        <v>7.5660924089591602E-2</v>
      </c>
      <c r="L4807">
        <v>748.064918089657</v>
      </c>
      <c r="M4807">
        <v>16.5275042261461</v>
      </c>
      <c r="N4807">
        <v>45.706477089113399</v>
      </c>
      <c r="O4807">
        <v>44.614762036535303</v>
      </c>
      <c r="P4807">
        <v>-8.5740520399994705E-2</v>
      </c>
      <c r="Q4807">
        <v>7.42634205377352E-2</v>
      </c>
      <c r="R4807">
        <v>0.99744402810516997</v>
      </c>
      <c r="S4807" t="s">
        <v>11375</v>
      </c>
      <c r="T4807" t="s">
        <v>13134</v>
      </c>
      <c r="U4807" t="s">
        <v>13134</v>
      </c>
      <c r="V4807" t="s">
        <v>13134</v>
      </c>
      <c r="W4807" t="s">
        <v>17879</v>
      </c>
      <c r="X4807">
        <v>4</v>
      </c>
      <c r="Y4807" t="s">
        <v>24249</v>
      </c>
      <c r="Z4807" t="s">
        <v>30775</v>
      </c>
      <c r="AA4807">
        <v>0.34718410109487258</v>
      </c>
      <c r="AB4807" t="str">
        <f>HYPERLINK("Melting_Curves/meltCurve_Q8WXG6_7_MADD.pdf", "Melting_Curves/meltCurve_Q8WXG6_7_MADD.pdf")</f>
        <v>Melting_Curves/meltCurve_Q8WXG6_7_MADD.pdf</v>
      </c>
    </row>
    <row r="4808" spans="1:28" x14ac:dyDescent="0.25">
      <c r="A4808" t="s">
        <v>4812</v>
      </c>
      <c r="B4808">
        <v>0.99472303558308395</v>
      </c>
      <c r="C4808">
        <v>0.97567343609845802</v>
      </c>
      <c r="D4808">
        <v>0.659368659285265</v>
      </c>
      <c r="E4808">
        <v>0.375500413209855</v>
      </c>
      <c r="F4808">
        <v>0.166559546852311</v>
      </c>
      <c r="G4808">
        <v>9.9303171728141196E-2</v>
      </c>
      <c r="H4808">
        <v>4.83211502177983E-2</v>
      </c>
      <c r="I4808">
        <v>4.28669486965471E-2</v>
      </c>
      <c r="J4808">
        <v>3.9598171036982197E-2</v>
      </c>
      <c r="K4808">
        <v>3.0750788528430401E-2</v>
      </c>
      <c r="L4808">
        <v>828.34040799796105</v>
      </c>
      <c r="M4808">
        <v>18.451284384196398</v>
      </c>
      <c r="N4808">
        <v>45.090921045903301</v>
      </c>
      <c r="O4808">
        <v>44.376015638369402</v>
      </c>
      <c r="P4808">
        <v>-9.9916767429296005E-2</v>
      </c>
      <c r="Q4808">
        <v>3.8829052783555397E-2</v>
      </c>
      <c r="R4808">
        <v>0.99506579092353498</v>
      </c>
      <c r="S4808" t="s">
        <v>11376</v>
      </c>
      <c r="T4808" t="s">
        <v>13134</v>
      </c>
      <c r="U4808" t="s">
        <v>13134</v>
      </c>
      <c r="V4808" t="s">
        <v>13134</v>
      </c>
      <c r="W4808" t="s">
        <v>17880</v>
      </c>
      <c r="X4808">
        <v>14</v>
      </c>
      <c r="Y4808" t="s">
        <v>24250</v>
      </c>
      <c r="Z4808" t="s">
        <v>30776</v>
      </c>
      <c r="AA4808">
        <v>0.30671255264119329</v>
      </c>
      <c r="AB4808" t="str">
        <f>HYPERLINK("Melting_Curves/meltCurve_Q8WXI9_GATAD2B.pdf", "Melting_Curves/meltCurve_Q8WXI9_GATAD2B.pdf")</f>
        <v>Melting_Curves/meltCurve_Q8WXI9_GATAD2B.pdf</v>
      </c>
    </row>
    <row r="4809" spans="1:28" x14ac:dyDescent="0.25">
      <c r="A4809" t="s">
        <v>4813</v>
      </c>
      <c r="B4809">
        <v>0.99472303558308395</v>
      </c>
      <c r="C4809">
        <v>1.0060058870719899</v>
      </c>
      <c r="D4809">
        <v>0.87956434519663995</v>
      </c>
      <c r="E4809">
        <v>0.31056582185576498</v>
      </c>
      <c r="F4809">
        <v>0.146686237927384</v>
      </c>
      <c r="G4809">
        <v>9.7936628028401501E-2</v>
      </c>
      <c r="H4809">
        <v>6.21086141137085E-2</v>
      </c>
      <c r="I4809">
        <v>5.0558001626256198E-2</v>
      </c>
      <c r="J4809">
        <v>7.0251011034692903E-2</v>
      </c>
      <c r="K4809">
        <v>4.6326660347948502E-2</v>
      </c>
      <c r="L4809">
        <v>1560.9095877028101</v>
      </c>
      <c r="M4809">
        <v>34.4790534085651</v>
      </c>
      <c r="N4809">
        <v>45.474561893179803</v>
      </c>
      <c r="O4809">
        <v>45.119773345678603</v>
      </c>
      <c r="P4809">
        <v>-0.177396069856745</v>
      </c>
      <c r="Q4809">
        <v>7.1431676551462306E-2</v>
      </c>
      <c r="R4809">
        <v>0.99732716980529501</v>
      </c>
      <c r="S4809" t="s">
        <v>11377</v>
      </c>
      <c r="T4809" t="s">
        <v>13134</v>
      </c>
      <c r="U4809" t="s">
        <v>13134</v>
      </c>
      <c r="V4809" t="s">
        <v>13134</v>
      </c>
      <c r="W4809" t="s">
        <v>17881</v>
      </c>
      <c r="X4809">
        <v>4</v>
      </c>
      <c r="Y4809" t="s">
        <v>24251</v>
      </c>
      <c r="Z4809" t="s">
        <v>30777</v>
      </c>
      <c r="AA4809">
        <v>0.33137985489759347</v>
      </c>
      <c r="AB4809" t="str">
        <f>HYPERLINK("Melting_Curves/meltCurve_Q8WXW3_PIBF1.pdf", "Melting_Curves/meltCurve_Q8WXW3_PIBF1.pdf")</f>
        <v>Melting_Curves/meltCurve_Q8WXW3_PIBF1.pdf</v>
      </c>
    </row>
    <row r="4810" spans="1:28" x14ac:dyDescent="0.25">
      <c r="A4810" t="s">
        <v>4814</v>
      </c>
      <c r="B4810">
        <v>0.99472303558308395</v>
      </c>
      <c r="C4810">
        <v>0.97333656379226796</v>
      </c>
      <c r="D4810">
        <v>0.93577408976599097</v>
      </c>
      <c r="E4810">
        <v>0.98410510845094901</v>
      </c>
      <c r="F4810">
        <v>0.82224971678255598</v>
      </c>
      <c r="G4810">
        <v>0.28739677914416201</v>
      </c>
      <c r="H4810">
        <v>0.16343317383852399</v>
      </c>
      <c r="I4810">
        <v>0.107132343691446</v>
      </c>
      <c r="J4810">
        <v>0.139577149155303</v>
      </c>
      <c r="K4810">
        <v>0.116756253780976</v>
      </c>
      <c r="L4810">
        <v>2094.6955939822501</v>
      </c>
      <c r="M4810">
        <v>40.381987229928299</v>
      </c>
      <c r="N4810">
        <v>52.246856571631298</v>
      </c>
      <c r="O4810">
        <v>51.745310166936299</v>
      </c>
      <c r="P4810">
        <v>-0.170564597747006</v>
      </c>
      <c r="Q4810">
        <v>0.12575872080731401</v>
      </c>
      <c r="R4810">
        <v>0.99614256276768798</v>
      </c>
      <c r="S4810" t="s">
        <v>11378</v>
      </c>
      <c r="T4810" t="s">
        <v>13134</v>
      </c>
      <c r="U4810" t="s">
        <v>13134</v>
      </c>
      <c r="V4810" t="s">
        <v>13134</v>
      </c>
      <c r="W4810" t="s">
        <v>17882</v>
      </c>
      <c r="X4810">
        <v>21</v>
      </c>
      <c r="Y4810" t="s">
        <v>24252</v>
      </c>
      <c r="Z4810" t="s">
        <v>30778</v>
      </c>
      <c r="AA4810">
        <v>0.5622187391688187</v>
      </c>
      <c r="AB4810" t="str">
        <f>HYPERLINK("Melting_Curves/meltCurve_Q8WXX5_DNAJC9.pdf", "Melting_Curves/meltCurve_Q8WXX5_DNAJC9.pdf")</f>
        <v>Melting_Curves/meltCurve_Q8WXX5_DNAJC9.pdf</v>
      </c>
    </row>
    <row r="4811" spans="1:28" x14ac:dyDescent="0.25">
      <c r="A4811" t="s">
        <v>4815</v>
      </c>
      <c r="B4811">
        <v>0.99472303558308395</v>
      </c>
      <c r="C4811">
        <v>1.1888903299685201</v>
      </c>
      <c r="D4811">
        <v>1.07872587432211</v>
      </c>
      <c r="E4811">
        <v>0.95569332308885302</v>
      </c>
      <c r="F4811">
        <v>0.89730409824127</v>
      </c>
      <c r="G4811">
        <v>0.62373701467667897</v>
      </c>
      <c r="H4811">
        <v>0.46381582788699199</v>
      </c>
      <c r="I4811">
        <v>0.65700567279607602</v>
      </c>
      <c r="J4811">
        <v>0.82577802247879895</v>
      </c>
      <c r="K4811">
        <v>0.794635992596052</v>
      </c>
      <c r="L4811">
        <v>12589.218984380201</v>
      </c>
      <c r="M4811">
        <v>250</v>
      </c>
      <c r="O4811">
        <v>50.353654203597003</v>
      </c>
      <c r="P4811">
        <v>-0.40588601415872999</v>
      </c>
      <c r="Q4811">
        <v>0.67299450134804895</v>
      </c>
      <c r="R4811">
        <v>0.70986486124567405</v>
      </c>
      <c r="S4811" t="s">
        <v>11379</v>
      </c>
      <c r="T4811" t="s">
        <v>13134</v>
      </c>
      <c r="U4811" t="s">
        <v>13134</v>
      </c>
      <c r="V4811" t="s">
        <v>13134</v>
      </c>
      <c r="W4811" t="s">
        <v>17883</v>
      </c>
      <c r="X4811">
        <v>2</v>
      </c>
      <c r="Y4811" t="s">
        <v>24253</v>
      </c>
      <c r="Z4811" t="s">
        <v>30779</v>
      </c>
      <c r="AA4811">
        <v>0.81861579651283689</v>
      </c>
      <c r="AB4811" t="str">
        <f>HYPERLINK("Melting_Curves/meltCurve_Q8WY22_BRI3BP.pdf", "Melting_Curves/meltCurve_Q8WY22_BRI3BP.pdf")</f>
        <v>Melting_Curves/meltCurve_Q8WY22_BRI3BP.pdf</v>
      </c>
    </row>
    <row r="4812" spans="1:28" x14ac:dyDescent="0.25">
      <c r="A4812" t="s">
        <v>4816</v>
      </c>
      <c r="B4812">
        <v>0.99472303558308395</v>
      </c>
      <c r="C4812">
        <v>1.0331550833823699</v>
      </c>
      <c r="D4812">
        <v>0.82337590983745801</v>
      </c>
      <c r="E4812">
        <v>0.92859242364545302</v>
      </c>
      <c r="F4812">
        <v>0.95867874323578794</v>
      </c>
      <c r="G4812">
        <v>0.49720373756751801</v>
      </c>
      <c r="H4812">
        <v>0.31793333123529599</v>
      </c>
      <c r="I4812">
        <v>0.187905338218403</v>
      </c>
      <c r="J4812">
        <v>0.23835204686095701</v>
      </c>
      <c r="K4812">
        <v>0.192274673768912</v>
      </c>
      <c r="L4812">
        <v>2027.7118507085099</v>
      </c>
      <c r="M4812">
        <v>38.154164274709203</v>
      </c>
      <c r="N4812">
        <v>53.954903444185298</v>
      </c>
      <c r="O4812">
        <v>52.999876166708397</v>
      </c>
      <c r="P4812">
        <v>-0.14074679366681001</v>
      </c>
      <c r="Q4812">
        <v>0.21795770142193499</v>
      </c>
      <c r="R4812">
        <v>0.96280089780861799</v>
      </c>
      <c r="S4812" t="s">
        <v>11380</v>
      </c>
      <c r="T4812" t="s">
        <v>13134</v>
      </c>
      <c r="U4812" t="s">
        <v>13134</v>
      </c>
      <c r="V4812" t="s">
        <v>13134</v>
      </c>
      <c r="W4812" t="s">
        <v>17884</v>
      </c>
      <c r="X4812">
        <v>1</v>
      </c>
      <c r="Y4812" t="s">
        <v>24254</v>
      </c>
      <c r="Z4812" t="s">
        <v>30780</v>
      </c>
      <c r="AA4812">
        <v>0.64197087379294004</v>
      </c>
      <c r="AB4812" t="str">
        <f>HYPERLINK("Melting_Curves/meltCurve_Q8WY54_2_PPM1E.pdf", "Melting_Curves/meltCurve_Q8WY54_2_PPM1E.pdf")</f>
        <v>Melting_Curves/meltCurve_Q8WY54_2_PPM1E.pdf</v>
      </c>
    </row>
    <row r="4813" spans="1:28" x14ac:dyDescent="0.25">
      <c r="A4813" t="s">
        <v>4817</v>
      </c>
      <c r="B4813">
        <v>0.99472303558308395</v>
      </c>
      <c r="C4813">
        <v>0.85159128900162195</v>
      </c>
      <c r="D4813">
        <v>0.66716620016444805</v>
      </c>
      <c r="E4813">
        <v>0.62056894605520496</v>
      </c>
      <c r="F4813">
        <v>0.30183740181951901</v>
      </c>
      <c r="G4813">
        <v>0.18355906791270499</v>
      </c>
      <c r="H4813">
        <v>0.142971684418845</v>
      </c>
      <c r="I4813">
        <v>0.12540316785588501</v>
      </c>
      <c r="J4813">
        <v>0.13590154746033101</v>
      </c>
      <c r="K4813">
        <v>5.4473209854315197E-2</v>
      </c>
      <c r="L4813">
        <v>526.319453266609</v>
      </c>
      <c r="M4813">
        <v>11.3177885306908</v>
      </c>
      <c r="N4813">
        <v>46.953637500675299</v>
      </c>
      <c r="O4813">
        <v>45.122867233518299</v>
      </c>
      <c r="P4813">
        <v>-5.9501208731463098E-2</v>
      </c>
      <c r="Q4813">
        <v>5.1385868003223902E-2</v>
      </c>
      <c r="R4813">
        <v>0.979372325523166</v>
      </c>
      <c r="S4813" t="s">
        <v>11381</v>
      </c>
      <c r="T4813" t="s">
        <v>13134</v>
      </c>
      <c r="U4813" t="s">
        <v>13134</v>
      </c>
      <c r="V4813" t="s">
        <v>13134</v>
      </c>
      <c r="W4813" t="s">
        <v>17885</v>
      </c>
      <c r="X4813">
        <v>3</v>
      </c>
      <c r="Y4813" t="s">
        <v>24255</v>
      </c>
      <c r="Z4813" t="s">
        <v>30781</v>
      </c>
      <c r="AA4813">
        <v>0.3869936393468017</v>
      </c>
      <c r="AB4813" t="str">
        <f>HYPERLINK("Melting_Curves/meltCurve_Q8WY91_THAP4.pdf", "Melting_Curves/meltCurve_Q8WY91_THAP4.pdf")</f>
        <v>Melting_Curves/meltCurve_Q8WY91_THAP4.pdf</v>
      </c>
    </row>
    <row r="4814" spans="1:28" x14ac:dyDescent="0.25">
      <c r="A4814" t="s">
        <v>4818</v>
      </c>
      <c r="B4814">
        <v>0.99472303558308395</v>
      </c>
      <c r="C4814">
        <v>0.97878845635339695</v>
      </c>
      <c r="D4814">
        <v>0.965704059806757</v>
      </c>
      <c r="E4814">
        <v>0.94277228759437803</v>
      </c>
      <c r="F4814">
        <v>0.47568595875001901</v>
      </c>
      <c r="G4814">
        <v>0.185793075764385</v>
      </c>
      <c r="H4814">
        <v>0.14675934252603601</v>
      </c>
      <c r="I4814">
        <v>0.162370414905776</v>
      </c>
      <c r="J4814">
        <v>0.29805371894106503</v>
      </c>
      <c r="K4814">
        <v>0.21363393474954601</v>
      </c>
      <c r="L4814">
        <v>2292.0730479804301</v>
      </c>
      <c r="M4814">
        <v>46.333086196892403</v>
      </c>
      <c r="N4814">
        <v>50.014371421352699</v>
      </c>
      <c r="O4814">
        <v>49.377576227158301</v>
      </c>
      <c r="P4814">
        <v>-0.18809436361672099</v>
      </c>
      <c r="Q4814">
        <v>0.19818567347063401</v>
      </c>
      <c r="R4814">
        <v>0.98719580136315299</v>
      </c>
      <c r="S4814" t="s">
        <v>11382</v>
      </c>
      <c r="T4814" t="s">
        <v>13134</v>
      </c>
      <c r="U4814" t="s">
        <v>13134</v>
      </c>
      <c r="V4814" t="s">
        <v>13134</v>
      </c>
      <c r="W4814" t="s">
        <v>17886</v>
      </c>
      <c r="X4814">
        <v>2</v>
      </c>
      <c r="Y4814" t="s">
        <v>24256</v>
      </c>
      <c r="Z4814" t="s">
        <v>30782</v>
      </c>
      <c r="AA4814">
        <v>0.53349805135640538</v>
      </c>
      <c r="AB4814" t="str">
        <f>HYPERLINK("Melting_Curves/meltCurve_Q8WYP5_AHCTF1.pdf", "Melting_Curves/meltCurve_Q8WYP5_AHCTF1.pdf")</f>
        <v>Melting_Curves/meltCurve_Q8WYP5_AHCTF1.pdf</v>
      </c>
    </row>
    <row r="4815" spans="1:28" x14ac:dyDescent="0.25">
      <c r="A4815" t="s">
        <v>4819</v>
      </c>
      <c r="B4815">
        <v>0.99472303558308395</v>
      </c>
      <c r="C4815">
        <v>1.01034347485413</v>
      </c>
      <c r="D4815">
        <v>0.63993800195512796</v>
      </c>
      <c r="E4815">
        <v>0.47603062249755901</v>
      </c>
      <c r="F4815">
        <v>0.25940396755216399</v>
      </c>
      <c r="G4815">
        <v>6.5215019891368894E-2</v>
      </c>
      <c r="H4815">
        <v>3.4867026252017999E-2</v>
      </c>
      <c r="I4815">
        <v>2.21141819126256E-2</v>
      </c>
      <c r="J4815">
        <v>4.95129269083193E-2</v>
      </c>
      <c r="K4815">
        <v>3.9695229747364398E-2</v>
      </c>
      <c r="L4815">
        <v>710.04593956240706</v>
      </c>
      <c r="M4815">
        <v>15.498091799821999</v>
      </c>
      <c r="N4815">
        <v>45.9115086642039</v>
      </c>
      <c r="O4815">
        <v>45.072600399257603</v>
      </c>
      <c r="P4815">
        <v>-8.4592457407152793E-2</v>
      </c>
      <c r="Q4815">
        <v>1.60174015832499E-2</v>
      </c>
      <c r="R4815">
        <v>0.98196067827237099</v>
      </c>
      <c r="S4815" t="s">
        <v>11383</v>
      </c>
      <c r="T4815" t="s">
        <v>13134</v>
      </c>
      <c r="U4815" t="s">
        <v>13134</v>
      </c>
      <c r="V4815" t="s">
        <v>13134</v>
      </c>
      <c r="W4815" t="s">
        <v>17887</v>
      </c>
      <c r="X4815">
        <v>6</v>
      </c>
      <c r="Y4815" t="s">
        <v>24257</v>
      </c>
      <c r="Z4815" t="s">
        <v>30783</v>
      </c>
      <c r="AA4815">
        <v>0.32656387469275638</v>
      </c>
      <c r="AB4815" t="str">
        <f>HYPERLINK("Melting_Curves/meltCurve_Q8WYQ5_3_DGCR8.pdf", "Melting_Curves/meltCurve_Q8WYQ5_3_DGCR8.pdf")</f>
        <v>Melting_Curves/meltCurve_Q8WYQ5_3_DGCR8.pdf</v>
      </c>
    </row>
    <row r="4816" spans="1:28" x14ac:dyDescent="0.25">
      <c r="A4816" t="s">
        <v>4820</v>
      </c>
      <c r="B4816">
        <v>0.99472303558308395</v>
      </c>
      <c r="C4816">
        <v>0.94510679695911803</v>
      </c>
      <c r="D4816">
        <v>0.94259377711692605</v>
      </c>
      <c r="E4816">
        <v>0.84536856618126399</v>
      </c>
      <c r="F4816">
        <v>0.741599303560743</v>
      </c>
      <c r="G4816">
        <v>0.52318283386558895</v>
      </c>
      <c r="H4816">
        <v>0.41549136320056201</v>
      </c>
      <c r="I4816">
        <v>0.32871589741839002</v>
      </c>
      <c r="J4816">
        <v>0.39697820770827802</v>
      </c>
      <c r="K4816">
        <v>0.38355566394222101</v>
      </c>
      <c r="L4816">
        <v>787.038062586097</v>
      </c>
      <c r="M4816">
        <v>15.511708979178</v>
      </c>
      <c r="N4816">
        <v>54.747403087975599</v>
      </c>
      <c r="O4816">
        <v>49.917496874853001</v>
      </c>
      <c r="P4816">
        <v>-5.1321780072717899E-2</v>
      </c>
      <c r="Q4816">
        <v>0.339433889302312</v>
      </c>
      <c r="R4816">
        <v>0.98406543425883297</v>
      </c>
      <c r="S4816" t="s">
        <v>11384</v>
      </c>
      <c r="T4816" t="s">
        <v>13134</v>
      </c>
      <c r="U4816" t="s">
        <v>13134</v>
      </c>
      <c r="V4816" t="s">
        <v>13134</v>
      </c>
      <c r="W4816" t="s">
        <v>17888</v>
      </c>
      <c r="X4816">
        <v>5</v>
      </c>
      <c r="Y4816" t="s">
        <v>24258</v>
      </c>
      <c r="Z4816" t="s">
        <v>30784</v>
      </c>
      <c r="AA4816">
        <v>0.65477697405873725</v>
      </c>
      <c r="AB4816" t="str">
        <f>HYPERLINK("Melting_Curves/meltCurve_Q8WZ42_11_TTN.pdf", "Melting_Curves/meltCurve_Q8WZ42_11_TTN.pdf")</f>
        <v>Melting_Curves/meltCurve_Q8WZ42_11_TTN.pdf</v>
      </c>
    </row>
    <row r="4817" spans="1:28" x14ac:dyDescent="0.25">
      <c r="A4817" t="s">
        <v>4821</v>
      </c>
      <c r="B4817">
        <v>0.99472303558308395</v>
      </c>
      <c r="C4817">
        <v>1.0300083159350999</v>
      </c>
      <c r="D4817">
        <v>0.97716830048861403</v>
      </c>
      <c r="E4817">
        <v>0.72990424085391103</v>
      </c>
      <c r="F4817">
        <v>0.39797167850246601</v>
      </c>
      <c r="G4817">
        <v>0.25011840491322201</v>
      </c>
      <c r="H4817">
        <v>0.17740118764448101</v>
      </c>
      <c r="I4817">
        <v>0.10023357220413601</v>
      </c>
      <c r="J4817">
        <v>0.15996295065121</v>
      </c>
      <c r="K4817">
        <v>0.149132348024936</v>
      </c>
      <c r="L4817">
        <v>1080.88090020764</v>
      </c>
      <c r="M4817">
        <v>22.348670580114302</v>
      </c>
      <c r="N4817">
        <v>49.096352174093298</v>
      </c>
      <c r="O4817">
        <v>47.982186394463497</v>
      </c>
      <c r="P4817">
        <v>-9.9947622303395905E-2</v>
      </c>
      <c r="Q4817">
        <v>0.14167492680792099</v>
      </c>
      <c r="R4817">
        <v>0.99570879417950597</v>
      </c>
      <c r="S4817" t="s">
        <v>11385</v>
      </c>
      <c r="T4817" t="s">
        <v>13134</v>
      </c>
      <c r="U4817" t="s">
        <v>13134</v>
      </c>
      <c r="V4817" t="s">
        <v>13134</v>
      </c>
      <c r="W4817" t="s">
        <v>17889</v>
      </c>
      <c r="X4817">
        <v>3</v>
      </c>
      <c r="Y4817" t="s">
        <v>24259</v>
      </c>
      <c r="Z4817" t="s">
        <v>30785</v>
      </c>
      <c r="AA4817">
        <v>0.47596710831125788</v>
      </c>
      <c r="AB4817" t="str">
        <f>HYPERLINK("Melting_Curves/meltCurve_Q8WZ82_OVCA2.pdf", "Melting_Curves/meltCurve_Q8WZ82_OVCA2.pdf")</f>
        <v>Melting_Curves/meltCurve_Q8WZ82_OVCA2.pdf</v>
      </c>
    </row>
    <row r="4818" spans="1:28" x14ac:dyDescent="0.25">
      <c r="A4818" t="s">
        <v>4822</v>
      </c>
      <c r="B4818">
        <v>0.99472303558308395</v>
      </c>
      <c r="C4818">
        <v>1.1084873613539501</v>
      </c>
      <c r="D4818">
        <v>0.99357299258596998</v>
      </c>
      <c r="E4818">
        <v>0.97729343915275602</v>
      </c>
      <c r="F4818">
        <v>0.82743873178549698</v>
      </c>
      <c r="G4818">
        <v>0.65268718074676702</v>
      </c>
      <c r="H4818">
        <v>0.51417886581249495</v>
      </c>
      <c r="I4818">
        <v>0.47123383419398701</v>
      </c>
      <c r="J4818">
        <v>0.48287304475242199</v>
      </c>
      <c r="K4818">
        <v>0.35185602052687898</v>
      </c>
      <c r="L4818">
        <v>969.78013647182695</v>
      </c>
      <c r="M4818">
        <v>18.326568084567199</v>
      </c>
      <c r="N4818">
        <v>58.152444288070001</v>
      </c>
      <c r="O4818">
        <v>52.298638739116903</v>
      </c>
      <c r="P4818">
        <v>-5.2216985485268798E-2</v>
      </c>
      <c r="Q4818">
        <v>0.403979678312823</v>
      </c>
      <c r="R4818">
        <v>0.96978468923957495</v>
      </c>
      <c r="S4818" t="s">
        <v>11386</v>
      </c>
      <c r="T4818" t="s">
        <v>13134</v>
      </c>
      <c r="U4818" t="s">
        <v>13134</v>
      </c>
      <c r="V4818" t="s">
        <v>13134</v>
      </c>
      <c r="W4818" t="s">
        <v>17890</v>
      </c>
      <c r="X4818">
        <v>13</v>
      </c>
      <c r="Y4818" t="s">
        <v>24260</v>
      </c>
      <c r="Z4818" t="s">
        <v>30786</v>
      </c>
      <c r="AA4818">
        <v>0.72869926928638551</v>
      </c>
      <c r="AB4818" t="str">
        <f>HYPERLINK("Melting_Curves/meltCurve_Q8WZA0_LZIC.pdf", "Melting_Curves/meltCurve_Q8WZA0_LZIC.pdf")</f>
        <v>Melting_Curves/meltCurve_Q8WZA0_LZIC.pdf</v>
      </c>
    </row>
    <row r="4819" spans="1:28" x14ac:dyDescent="0.25">
      <c r="A4819" t="s">
        <v>4823</v>
      </c>
      <c r="B4819">
        <v>0.99472303558308395</v>
      </c>
      <c r="C4819">
        <v>1.04345176982092</v>
      </c>
      <c r="D4819">
        <v>1.03598700883363</v>
      </c>
      <c r="E4819">
        <v>0.90629340422146898</v>
      </c>
      <c r="F4819">
        <v>0.35284384670702901</v>
      </c>
      <c r="G4819">
        <v>9.9035371720122195E-2</v>
      </c>
      <c r="H4819">
        <v>5.2797771086786398E-2</v>
      </c>
      <c r="I4819">
        <v>4.0230292539689197E-2</v>
      </c>
      <c r="J4819">
        <v>4.432169913753E-2</v>
      </c>
      <c r="K4819">
        <v>3.58544328682339E-2</v>
      </c>
      <c r="L4819">
        <v>1891.8600377421899</v>
      </c>
      <c r="M4819">
        <v>38.409342209756701</v>
      </c>
      <c r="N4819">
        <v>49.378262232511801</v>
      </c>
      <c r="O4819">
        <v>49.122259993604501</v>
      </c>
      <c r="P4819">
        <v>-0.18655686450968201</v>
      </c>
      <c r="Q4819">
        <v>4.5641348528184203E-2</v>
      </c>
      <c r="R4819">
        <v>0.99800825117102898</v>
      </c>
      <c r="S4819" t="s">
        <v>11387</v>
      </c>
      <c r="T4819" t="s">
        <v>13134</v>
      </c>
      <c r="U4819" t="s">
        <v>13134</v>
      </c>
      <c r="V4819" t="s">
        <v>13134</v>
      </c>
      <c r="W4819" t="s">
        <v>17891</v>
      </c>
      <c r="X4819">
        <v>19</v>
      </c>
      <c r="Y4819" t="s">
        <v>24261</v>
      </c>
      <c r="Z4819" t="s">
        <v>30787</v>
      </c>
      <c r="AA4819">
        <v>0.43902798643833779</v>
      </c>
      <c r="AB4819" t="str">
        <f>HYPERLINK("Melting_Curves/meltCurve_Q8WZA9_IRGQ.pdf", "Melting_Curves/meltCurve_Q8WZA9_IRGQ.pdf")</f>
        <v>Melting_Curves/meltCurve_Q8WZA9_IRGQ.pdf</v>
      </c>
    </row>
    <row r="4820" spans="1:28" x14ac:dyDescent="0.25">
      <c r="A4820" t="s">
        <v>4824</v>
      </c>
      <c r="B4820">
        <v>0.99472303558308395</v>
      </c>
      <c r="C4820">
        <v>0.92965435436755095</v>
      </c>
      <c r="D4820">
        <v>0.69051760614296798</v>
      </c>
      <c r="E4820">
        <v>0.58195798481096905</v>
      </c>
      <c r="F4820">
        <v>0.66304042868383894</v>
      </c>
      <c r="G4820">
        <v>0.33307059487913998</v>
      </c>
      <c r="H4820">
        <v>0.244905265401511</v>
      </c>
      <c r="I4820">
        <v>0.21138046193641399</v>
      </c>
      <c r="J4820">
        <v>0.25718087533944101</v>
      </c>
      <c r="K4820">
        <v>0.126408349786957</v>
      </c>
      <c r="L4820">
        <v>390.59211923655499</v>
      </c>
      <c r="M4820">
        <v>7.8624632160910402</v>
      </c>
      <c r="N4820">
        <v>50.313727055100102</v>
      </c>
      <c r="O4820">
        <v>46.772246079894401</v>
      </c>
      <c r="P4820">
        <v>-4.0086662452834397E-2</v>
      </c>
      <c r="Q4820">
        <v>4.72788571555256E-2</v>
      </c>
      <c r="R4820">
        <v>0.93758348598064201</v>
      </c>
      <c r="S4820" t="s">
        <v>11388</v>
      </c>
      <c r="T4820" t="s">
        <v>13134</v>
      </c>
      <c r="U4820" t="s">
        <v>13134</v>
      </c>
      <c r="V4820" t="s">
        <v>13134</v>
      </c>
      <c r="W4820" t="s">
        <v>17892</v>
      </c>
      <c r="X4820">
        <v>1</v>
      </c>
      <c r="Y4820" t="s">
        <v>24262</v>
      </c>
      <c r="Z4820" t="s">
        <v>30788</v>
      </c>
      <c r="AA4820">
        <v>0.49101379203972573</v>
      </c>
      <c r="AB4820" t="str">
        <f>HYPERLINK("Melting_Curves/meltCurve_Q92466_2_DDB2.pdf", "Melting_Curves/meltCurve_Q92466_2_DDB2.pdf")</f>
        <v>Melting_Curves/meltCurve_Q92466_2_DDB2.pdf</v>
      </c>
    </row>
    <row r="4821" spans="1:28" x14ac:dyDescent="0.25">
      <c r="A4821" t="s">
        <v>4825</v>
      </c>
      <c r="B4821">
        <v>0.99472303558308395</v>
      </c>
      <c r="C4821">
        <v>0.93628894404841401</v>
      </c>
      <c r="D4821">
        <v>0.89906430159580197</v>
      </c>
      <c r="E4821">
        <v>0.75842083419532502</v>
      </c>
      <c r="F4821">
        <v>0.41203337588938799</v>
      </c>
      <c r="G4821">
        <v>8.8307293749217697E-2</v>
      </c>
      <c r="H4821">
        <v>4.7662556524152903E-2</v>
      </c>
      <c r="I4821">
        <v>3.26748620505126E-2</v>
      </c>
      <c r="J4821">
        <v>3.5087413344930901E-2</v>
      </c>
      <c r="K4821">
        <v>2.8315557994249799E-2</v>
      </c>
      <c r="L4821">
        <v>1035.10942014837</v>
      </c>
      <c r="M4821">
        <v>21.135841463642901</v>
      </c>
      <c r="N4821">
        <v>49.031432575024098</v>
      </c>
      <c r="O4821">
        <v>48.542044260411501</v>
      </c>
      <c r="P4821">
        <v>-0.10752813990499099</v>
      </c>
      <c r="Q4821">
        <v>1.21994094010475E-2</v>
      </c>
      <c r="R4821">
        <v>0.99386635970078596</v>
      </c>
      <c r="S4821" t="s">
        <v>11389</v>
      </c>
      <c r="T4821" t="s">
        <v>13134</v>
      </c>
      <c r="U4821" t="s">
        <v>13134</v>
      </c>
      <c r="V4821" t="s">
        <v>13134</v>
      </c>
      <c r="W4821" t="s">
        <v>17893</v>
      </c>
      <c r="X4821">
        <v>32</v>
      </c>
      <c r="Y4821" t="s">
        <v>24263</v>
      </c>
      <c r="Z4821" t="s">
        <v>30789</v>
      </c>
      <c r="AA4821">
        <v>0.41822086335855008</v>
      </c>
      <c r="AB4821" t="str">
        <f>HYPERLINK("Melting_Curves/meltCurve_Q92499_DDX1.pdf", "Melting_Curves/meltCurve_Q92499_DDX1.pdf")</f>
        <v>Melting_Curves/meltCurve_Q92499_DDX1.pdf</v>
      </c>
    </row>
    <row r="4822" spans="1:28" x14ac:dyDescent="0.25">
      <c r="A4822" t="s">
        <v>4826</v>
      </c>
      <c r="B4822">
        <v>0.99472303558308395</v>
      </c>
      <c r="C4822">
        <v>1.0180962815332599</v>
      </c>
      <c r="D4822">
        <v>0.765221486029801</v>
      </c>
      <c r="E4822">
        <v>0.642393713936672</v>
      </c>
      <c r="F4822">
        <v>0.44669304841829799</v>
      </c>
      <c r="G4822">
        <v>0.43009346432603102</v>
      </c>
      <c r="H4822">
        <v>0.37286795653863303</v>
      </c>
      <c r="I4822">
        <v>0.32720339109729901</v>
      </c>
      <c r="J4822">
        <v>0.472742199778454</v>
      </c>
      <c r="K4822">
        <v>0.45979789832252599</v>
      </c>
      <c r="L4822">
        <v>901.23664566820105</v>
      </c>
      <c r="M4822">
        <v>20.099044245715501</v>
      </c>
      <c r="N4822">
        <v>48.9118936942807</v>
      </c>
      <c r="O4822">
        <v>44.402977669641601</v>
      </c>
      <c r="P4822">
        <v>-6.7199378129657594E-2</v>
      </c>
      <c r="Q4822">
        <v>0.40618923346655</v>
      </c>
      <c r="R4822">
        <v>0.95551816962760405</v>
      </c>
      <c r="S4822" t="s">
        <v>11390</v>
      </c>
      <c r="T4822" t="s">
        <v>13134</v>
      </c>
      <c r="U4822" t="s">
        <v>13134</v>
      </c>
      <c r="V4822" t="s">
        <v>13134</v>
      </c>
      <c r="W4822" t="s">
        <v>17894</v>
      </c>
      <c r="X4822">
        <v>2</v>
      </c>
      <c r="Y4822" t="s">
        <v>24264</v>
      </c>
      <c r="Z4822" t="s">
        <v>30790</v>
      </c>
      <c r="AA4822">
        <v>0.56910317308733382</v>
      </c>
      <c r="AB4822" t="str">
        <f>HYPERLINK("Melting_Curves/meltCurve_Q92504_SLC39A7.pdf", "Melting_Curves/meltCurve_Q92504_SLC39A7.pdf")</f>
        <v>Melting_Curves/meltCurve_Q92504_SLC39A7.pdf</v>
      </c>
    </row>
    <row r="4823" spans="1:28" x14ac:dyDescent="0.25">
      <c r="A4823" t="s">
        <v>4827</v>
      </c>
      <c r="B4823">
        <v>0.99472303558308395</v>
      </c>
      <c r="C4823">
        <v>1.0497286223575599</v>
      </c>
      <c r="D4823">
        <v>0.89620372942215998</v>
      </c>
      <c r="E4823">
        <v>0.77051071667369397</v>
      </c>
      <c r="F4823">
        <v>0.757104979482771</v>
      </c>
      <c r="G4823">
        <v>0.52549313495231398</v>
      </c>
      <c r="H4823">
        <v>0.28143980335100799</v>
      </c>
      <c r="I4823">
        <v>0.34165236779625902</v>
      </c>
      <c r="J4823">
        <v>0.44646009056177499</v>
      </c>
      <c r="K4823">
        <v>0.26714367317223198</v>
      </c>
      <c r="L4823">
        <v>695.23046259350701</v>
      </c>
      <c r="M4823">
        <v>13.721627403835001</v>
      </c>
      <c r="N4823">
        <v>54.017067244365002</v>
      </c>
      <c r="O4823">
        <v>49.626991781664103</v>
      </c>
      <c r="P4823">
        <v>-4.93256324239435E-2</v>
      </c>
      <c r="Q4823">
        <v>0.28651831901541602</v>
      </c>
      <c r="R4823">
        <v>0.935251455094534</v>
      </c>
      <c r="S4823" t="s">
        <v>11391</v>
      </c>
      <c r="T4823" t="s">
        <v>13134</v>
      </c>
      <c r="U4823" t="s">
        <v>13134</v>
      </c>
      <c r="V4823" t="s">
        <v>13134</v>
      </c>
      <c r="W4823" t="s">
        <v>17895</v>
      </c>
      <c r="X4823">
        <v>3</v>
      </c>
      <c r="Y4823" t="s">
        <v>24265</v>
      </c>
      <c r="Z4823" t="s">
        <v>30791</v>
      </c>
      <c r="AA4823">
        <v>0.62789814844976699</v>
      </c>
      <c r="AB4823" t="str">
        <f>HYPERLINK("Melting_Curves/meltCurve_Q92506_HSD17B8.pdf", "Melting_Curves/meltCurve_Q92506_HSD17B8.pdf")</f>
        <v>Melting_Curves/meltCurve_Q92506_HSD17B8.pdf</v>
      </c>
    </row>
    <row r="4824" spans="1:28" x14ac:dyDescent="0.25">
      <c r="A4824" t="s">
        <v>4828</v>
      </c>
      <c r="B4824">
        <v>0.99472303558308395</v>
      </c>
      <c r="C4824">
        <v>0.82930146498287605</v>
      </c>
      <c r="D4824">
        <v>0.71129317212705701</v>
      </c>
      <c r="E4824">
        <v>0.593002693352363</v>
      </c>
      <c r="F4824">
        <v>0.59340361723691504</v>
      </c>
      <c r="G4824">
        <v>0.26008205934668899</v>
      </c>
      <c r="H4824">
        <v>0.14949082106425499</v>
      </c>
      <c r="I4824">
        <v>7.8821698628871104E-2</v>
      </c>
      <c r="J4824">
        <v>6.9568234684752206E-2</v>
      </c>
      <c r="K4824">
        <v>7.9576092256706699E-2</v>
      </c>
      <c r="L4824">
        <v>454.762337447932</v>
      </c>
      <c r="M4824">
        <v>9.3349354737294306</v>
      </c>
      <c r="N4824">
        <v>48.7161590716223</v>
      </c>
      <c r="O4824">
        <v>46.6372708949432</v>
      </c>
      <c r="P4824">
        <v>-5.0071742977548302E-2</v>
      </c>
      <c r="Q4824">
        <v>0</v>
      </c>
      <c r="R4824">
        <v>0.961002113959885</v>
      </c>
      <c r="S4824" t="s">
        <v>11392</v>
      </c>
      <c r="T4824" t="s">
        <v>13134</v>
      </c>
      <c r="U4824" t="s">
        <v>13134</v>
      </c>
      <c r="V4824" t="s">
        <v>13134</v>
      </c>
      <c r="W4824" t="s">
        <v>17896</v>
      </c>
      <c r="X4824">
        <v>9</v>
      </c>
      <c r="Y4824" t="s">
        <v>24266</v>
      </c>
      <c r="Z4824" t="s">
        <v>30792</v>
      </c>
      <c r="AA4824">
        <v>0.43160147802219512</v>
      </c>
      <c r="AB4824" t="str">
        <f>HYPERLINK("Melting_Curves/meltCurve_Q92508_PIEZO1.pdf", "Melting_Curves/meltCurve_Q92508_PIEZO1.pdf")</f>
        <v>Melting_Curves/meltCurve_Q92508_PIEZO1.pdf</v>
      </c>
    </row>
    <row r="4825" spans="1:28" x14ac:dyDescent="0.25">
      <c r="A4825" t="s">
        <v>4829</v>
      </c>
      <c r="B4825">
        <v>0.99472303558308395</v>
      </c>
      <c r="C4825">
        <v>1.08911287106305</v>
      </c>
      <c r="D4825">
        <v>1.0002629360240001</v>
      </c>
      <c r="E4825">
        <v>0.87927250528243595</v>
      </c>
      <c r="F4825">
        <v>0.61425704452491703</v>
      </c>
      <c r="G4825">
        <v>0.35325012645764903</v>
      </c>
      <c r="H4825">
        <v>0.17912853174537099</v>
      </c>
      <c r="I4825">
        <v>0.12769243826450799</v>
      </c>
      <c r="J4825">
        <v>0.130519551573958</v>
      </c>
      <c r="K4825">
        <v>0.124731697743809</v>
      </c>
      <c r="L4825">
        <v>1052.08195381719</v>
      </c>
      <c r="M4825">
        <v>20.6516505404492</v>
      </c>
      <c r="N4825">
        <v>51.575682739235297</v>
      </c>
      <c r="O4825">
        <v>50.473741471504901</v>
      </c>
      <c r="P4825">
        <v>-9.0864723887559895E-2</v>
      </c>
      <c r="Q4825">
        <v>0.111712386653679</v>
      </c>
      <c r="R4825">
        <v>0.99355989403281597</v>
      </c>
      <c r="S4825" t="s">
        <v>11393</v>
      </c>
      <c r="T4825" t="s">
        <v>13134</v>
      </c>
      <c r="U4825" t="s">
        <v>13134</v>
      </c>
      <c r="V4825" t="s">
        <v>13134</v>
      </c>
      <c r="W4825" t="s">
        <v>17897</v>
      </c>
      <c r="X4825">
        <v>9</v>
      </c>
      <c r="Y4825" t="s">
        <v>24267</v>
      </c>
      <c r="Z4825" t="s">
        <v>30793</v>
      </c>
      <c r="AA4825">
        <v>0.53561779297257495</v>
      </c>
      <c r="AB4825" t="str">
        <f>HYPERLINK("Melting_Curves/meltCurve_Q92520_FAM3C.pdf", "Melting_Curves/meltCurve_Q92520_FAM3C.pdf")</f>
        <v>Melting_Curves/meltCurve_Q92520_FAM3C.pdf</v>
      </c>
    </row>
    <row r="4826" spans="1:28" x14ac:dyDescent="0.25">
      <c r="A4826" t="s">
        <v>4830</v>
      </c>
      <c r="B4826">
        <v>0.99472303558308395</v>
      </c>
      <c r="C4826">
        <v>0.97707713192200196</v>
      </c>
      <c r="D4826">
        <v>1.13390601982605</v>
      </c>
      <c r="E4826">
        <v>0.92968648767746298</v>
      </c>
      <c r="F4826">
        <v>0.47641740964304002</v>
      </c>
      <c r="G4826">
        <v>0.15707093776570399</v>
      </c>
      <c r="H4826">
        <v>6.6721576389736706E-2</v>
      </c>
      <c r="I4826">
        <v>5.8965399163407498E-2</v>
      </c>
      <c r="J4826">
        <v>5.0674386059792902E-2</v>
      </c>
      <c r="K4826">
        <v>5.6254734299415202E-2</v>
      </c>
      <c r="L4826">
        <v>1715.7281306683601</v>
      </c>
      <c r="M4826">
        <v>34.3614430667687</v>
      </c>
      <c r="N4826">
        <v>50.1160315012472</v>
      </c>
      <c r="O4826">
        <v>49.763573628677896</v>
      </c>
      <c r="P4826">
        <v>-0.16238096855804701</v>
      </c>
      <c r="Q4826">
        <v>5.9337920871534902E-2</v>
      </c>
      <c r="R4826">
        <v>0.98962672600317703</v>
      </c>
      <c r="S4826" t="s">
        <v>11394</v>
      </c>
      <c r="T4826" t="s">
        <v>13134</v>
      </c>
      <c r="U4826" t="s">
        <v>13134</v>
      </c>
      <c r="V4826" t="s">
        <v>13134</v>
      </c>
      <c r="W4826" t="s">
        <v>17898</v>
      </c>
      <c r="X4826">
        <v>6</v>
      </c>
      <c r="Y4826" t="s">
        <v>24268</v>
      </c>
      <c r="Z4826" t="s">
        <v>30794</v>
      </c>
      <c r="AA4826">
        <v>0.46922010319787888</v>
      </c>
      <c r="AB4826" t="str">
        <f>HYPERLINK("Melting_Curves/meltCurve_Q92526_CCT6B.pdf", "Melting_Curves/meltCurve_Q92526_CCT6B.pdf")</f>
        <v>Melting_Curves/meltCurve_Q92526_CCT6B.pdf</v>
      </c>
    </row>
    <row r="4827" spans="1:28" x14ac:dyDescent="0.25">
      <c r="A4827" t="s">
        <v>4831</v>
      </c>
      <c r="B4827">
        <v>0.99472303558308395</v>
      </c>
      <c r="C4827">
        <v>1.13038786467423</v>
      </c>
      <c r="D4827">
        <v>0.73516323319286203</v>
      </c>
      <c r="E4827">
        <v>0.87474585657819404</v>
      </c>
      <c r="F4827">
        <v>0.77249398657059098</v>
      </c>
      <c r="G4827">
        <v>0.51887720763427203</v>
      </c>
      <c r="H4827">
        <v>0.308017569139936</v>
      </c>
      <c r="I4827">
        <v>0.21095533617189099</v>
      </c>
      <c r="J4827">
        <v>0.20238201213533699</v>
      </c>
      <c r="K4827">
        <v>0.29414162363801399</v>
      </c>
      <c r="L4827">
        <v>743.77978058490396</v>
      </c>
      <c r="M4827">
        <v>14.233041386344199</v>
      </c>
      <c r="N4827">
        <v>53.856719061696303</v>
      </c>
      <c r="O4827">
        <v>51.258143940520199</v>
      </c>
      <c r="P4827">
        <v>-5.7460481246637399E-2</v>
      </c>
      <c r="Q4827">
        <v>0.17236177026501501</v>
      </c>
      <c r="R4827">
        <v>0.91456707760863098</v>
      </c>
      <c r="S4827" t="s">
        <v>11395</v>
      </c>
      <c r="T4827" t="s">
        <v>13134</v>
      </c>
      <c r="U4827" t="s">
        <v>13134</v>
      </c>
      <c r="V4827" t="s">
        <v>13134</v>
      </c>
      <c r="W4827" t="s">
        <v>17899</v>
      </c>
      <c r="X4827">
        <v>3</v>
      </c>
      <c r="Y4827" t="s">
        <v>24269</v>
      </c>
      <c r="Z4827" t="s">
        <v>30795</v>
      </c>
      <c r="AA4827">
        <v>0.60976055350494796</v>
      </c>
      <c r="AB4827" t="str">
        <f>HYPERLINK("Melting_Curves/meltCurve_Q92536_SLC7A6.pdf", "Melting_Curves/meltCurve_Q92536_SLC7A6.pdf")</f>
        <v>Melting_Curves/meltCurve_Q92536_SLC7A6.pdf</v>
      </c>
    </row>
    <row r="4828" spans="1:28" x14ac:dyDescent="0.25">
      <c r="A4828" t="s">
        <v>4832</v>
      </c>
      <c r="B4828">
        <v>0.99472303558308395</v>
      </c>
      <c r="C4828">
        <v>0.90979185657033601</v>
      </c>
      <c r="D4828">
        <v>0.83171971559436098</v>
      </c>
      <c r="E4828">
        <v>0.60720386269720905</v>
      </c>
      <c r="F4828">
        <v>0.23599289794143499</v>
      </c>
      <c r="G4828">
        <v>0.126252481362577</v>
      </c>
      <c r="H4828">
        <v>8.5921724082715395E-2</v>
      </c>
      <c r="I4828">
        <v>6.3658619796013394E-2</v>
      </c>
      <c r="J4828">
        <v>6.5284003614313593E-2</v>
      </c>
      <c r="K4828">
        <v>5.3704017904995301E-2</v>
      </c>
      <c r="L4828">
        <v>850.36396611241696</v>
      </c>
      <c r="M4828">
        <v>18.096723660416099</v>
      </c>
      <c r="N4828">
        <v>47.246818145608799</v>
      </c>
      <c r="O4828">
        <v>46.4274326079289</v>
      </c>
      <c r="P4828">
        <v>-9.2885191181909105E-2</v>
      </c>
      <c r="Q4828">
        <v>4.6852586936529501E-2</v>
      </c>
      <c r="R4828">
        <v>0.99481023722933004</v>
      </c>
      <c r="S4828" t="s">
        <v>11396</v>
      </c>
      <c r="T4828" t="s">
        <v>13134</v>
      </c>
      <c r="U4828" t="s">
        <v>13134</v>
      </c>
      <c r="V4828" t="s">
        <v>13134</v>
      </c>
      <c r="W4828" t="s">
        <v>17900</v>
      </c>
      <c r="X4828">
        <v>18</v>
      </c>
      <c r="Y4828" t="s">
        <v>24270</v>
      </c>
      <c r="Z4828" t="s">
        <v>30796</v>
      </c>
      <c r="AA4828">
        <v>0.37939454812360129</v>
      </c>
      <c r="AB4828" t="str">
        <f>HYPERLINK("Melting_Curves/meltCurve_Q92538_GBF1.pdf", "Melting_Curves/meltCurve_Q92538_GBF1.pdf")</f>
        <v>Melting_Curves/meltCurve_Q92538_GBF1.pdf</v>
      </c>
    </row>
    <row r="4829" spans="1:28" x14ac:dyDescent="0.25">
      <c r="A4829" t="s">
        <v>4833</v>
      </c>
      <c r="B4829">
        <v>0.99472303558308395</v>
      </c>
      <c r="C4829">
        <v>0.99018319596582904</v>
      </c>
      <c r="D4829">
        <v>0.96696050751115203</v>
      </c>
      <c r="E4829">
        <v>0.85931351227681796</v>
      </c>
      <c r="F4829">
        <v>0.56107188384679196</v>
      </c>
      <c r="G4829">
        <v>0.204473657676006</v>
      </c>
      <c r="H4829">
        <v>8.8129156893037103E-2</v>
      </c>
      <c r="I4829">
        <v>6.7519772700398606E-2</v>
      </c>
      <c r="J4829">
        <v>8.7889619184927506E-2</v>
      </c>
      <c r="K4829">
        <v>5.6224680270978197E-2</v>
      </c>
      <c r="L4829">
        <v>1208.6212284529399</v>
      </c>
      <c r="M4829">
        <v>24.0274101202574</v>
      </c>
      <c r="N4829">
        <v>50.555813391783303</v>
      </c>
      <c r="O4829">
        <v>49.957219557346299</v>
      </c>
      <c r="P4829">
        <v>-0.11340400848455</v>
      </c>
      <c r="Q4829">
        <v>5.6867182292370103E-2</v>
      </c>
      <c r="R4829">
        <v>0.99857565632819401</v>
      </c>
      <c r="S4829" t="s">
        <v>11397</v>
      </c>
      <c r="T4829" t="s">
        <v>13134</v>
      </c>
      <c r="U4829" t="s">
        <v>13134</v>
      </c>
      <c r="V4829" t="s">
        <v>13134</v>
      </c>
      <c r="W4829" t="s">
        <v>17901</v>
      </c>
      <c r="X4829">
        <v>32</v>
      </c>
      <c r="Y4829" t="s">
        <v>24271</v>
      </c>
      <c r="Z4829" t="s">
        <v>30797</v>
      </c>
      <c r="AA4829">
        <v>0.48395919798440218</v>
      </c>
      <c r="AB4829" t="str">
        <f>HYPERLINK("Melting_Curves/meltCurve_Q92541_RTF1.pdf", "Melting_Curves/meltCurve_Q92541_RTF1.pdf")</f>
        <v>Melting_Curves/meltCurve_Q92541_RTF1.pdf</v>
      </c>
    </row>
    <row r="4830" spans="1:28" x14ac:dyDescent="0.25">
      <c r="A4830" t="s">
        <v>4834</v>
      </c>
      <c r="B4830">
        <v>0.99472303558308395</v>
      </c>
      <c r="C4830">
        <v>0.90544632154649696</v>
      </c>
      <c r="D4830">
        <v>0.76912808048201897</v>
      </c>
      <c r="E4830">
        <v>0.69845748690077103</v>
      </c>
      <c r="F4830">
        <v>0.39589687670277601</v>
      </c>
      <c r="G4830">
        <v>0.141705954814939</v>
      </c>
      <c r="H4830">
        <v>8.1366591746912006E-2</v>
      </c>
      <c r="I4830">
        <v>6.9404516607909195E-2</v>
      </c>
      <c r="J4830">
        <v>4.3508757870001503E-2</v>
      </c>
      <c r="K4830">
        <v>4.7730682101796401E-2</v>
      </c>
      <c r="L4830">
        <v>648.15218560486005</v>
      </c>
      <c r="M4830">
        <v>13.4124107994101</v>
      </c>
      <c r="N4830">
        <v>48.324808727596</v>
      </c>
      <c r="O4830">
        <v>47.288473490912899</v>
      </c>
      <c r="P4830">
        <v>-7.0918484017166605E-2</v>
      </c>
      <c r="Q4830">
        <v>0</v>
      </c>
      <c r="R4830">
        <v>0.98660982844947998</v>
      </c>
      <c r="S4830" t="s">
        <v>11398</v>
      </c>
      <c r="T4830" t="s">
        <v>13134</v>
      </c>
      <c r="U4830" t="s">
        <v>13134</v>
      </c>
      <c r="V4830" t="s">
        <v>13134</v>
      </c>
      <c r="W4830" t="s">
        <v>17902</v>
      </c>
      <c r="X4830">
        <v>10</v>
      </c>
      <c r="Y4830" t="s">
        <v>24272</v>
      </c>
      <c r="Z4830" t="s">
        <v>30798</v>
      </c>
      <c r="AA4830">
        <v>0.40362192274449687</v>
      </c>
      <c r="AB4830" t="str">
        <f>HYPERLINK("Melting_Curves/meltCurve_Q92544_TM9SF4.pdf", "Melting_Curves/meltCurve_Q92544_TM9SF4.pdf")</f>
        <v>Melting_Curves/meltCurve_Q92544_TM9SF4.pdf</v>
      </c>
    </row>
    <row r="4831" spans="1:28" x14ac:dyDescent="0.25">
      <c r="A4831" t="s">
        <v>4835</v>
      </c>
      <c r="B4831">
        <v>0.99472303558308395</v>
      </c>
      <c r="C4831">
        <v>0.99148137289353</v>
      </c>
      <c r="D4831">
        <v>0.78103412796096505</v>
      </c>
      <c r="E4831">
        <v>0.40211223482124198</v>
      </c>
      <c r="F4831">
        <v>0.24010378158419199</v>
      </c>
      <c r="G4831">
        <v>0.140985197956703</v>
      </c>
      <c r="H4831">
        <v>8.1520069348381394E-2</v>
      </c>
      <c r="I4831">
        <v>6.8376603039030495E-2</v>
      </c>
      <c r="J4831">
        <v>9.0470760622504004E-2</v>
      </c>
      <c r="K4831">
        <v>7.4940469412670602E-2</v>
      </c>
      <c r="L4831">
        <v>922.97866814988004</v>
      </c>
      <c r="M4831">
        <v>20.2959965628798</v>
      </c>
      <c r="N4831">
        <v>45.884484409182697</v>
      </c>
      <c r="O4831">
        <v>45.0413275962459</v>
      </c>
      <c r="P4831">
        <v>-0.103342391020548</v>
      </c>
      <c r="Q4831">
        <v>8.26693310618479E-2</v>
      </c>
      <c r="R4831">
        <v>0.99608657582133298</v>
      </c>
      <c r="S4831" t="s">
        <v>11399</v>
      </c>
      <c r="T4831" t="s">
        <v>13134</v>
      </c>
      <c r="U4831" t="s">
        <v>13134</v>
      </c>
      <c r="V4831" t="s">
        <v>13134</v>
      </c>
      <c r="W4831" t="s">
        <v>17903</v>
      </c>
      <c r="X4831">
        <v>13</v>
      </c>
      <c r="Y4831" t="s">
        <v>24273</v>
      </c>
      <c r="Z4831" t="s">
        <v>30799</v>
      </c>
      <c r="AA4831">
        <v>0.35349394822461799</v>
      </c>
      <c r="AB4831" t="str">
        <f>HYPERLINK("Melting_Curves/meltCurve_Q92547_TOPBP1.pdf", "Melting_Curves/meltCurve_Q92547_TOPBP1.pdf")</f>
        <v>Melting_Curves/meltCurve_Q92547_TOPBP1.pdf</v>
      </c>
    </row>
    <row r="4832" spans="1:28" x14ac:dyDescent="0.25">
      <c r="A4832" t="s">
        <v>4836</v>
      </c>
      <c r="B4832">
        <v>0.99472303558308395</v>
      </c>
      <c r="C4832">
        <v>1.0323335367978701</v>
      </c>
      <c r="D4832">
        <v>0.862042357322649</v>
      </c>
      <c r="E4832">
        <v>0.55163889354165596</v>
      </c>
      <c r="F4832">
        <v>6.6562005210223998E-2</v>
      </c>
      <c r="G4832">
        <v>5.0516267650441801E-2</v>
      </c>
      <c r="H4832">
        <v>3.7115604550480699E-2</v>
      </c>
      <c r="I4832">
        <v>2.8495006590122201E-2</v>
      </c>
      <c r="J4832">
        <v>4.9773824504715701E-2</v>
      </c>
      <c r="K4832">
        <v>2.64205703574273E-2</v>
      </c>
      <c r="L4832">
        <v>1433.9613722623899</v>
      </c>
      <c r="M4832">
        <v>30.767963567999601</v>
      </c>
      <c r="N4832">
        <v>46.689864203206902</v>
      </c>
      <c r="O4832">
        <v>46.4101157275486</v>
      </c>
      <c r="P4832">
        <v>-0.16126755896471801</v>
      </c>
      <c r="Q4832">
        <v>2.6987695647843101E-2</v>
      </c>
      <c r="R4832">
        <v>0.99338047370411398</v>
      </c>
      <c r="S4832" t="s">
        <v>11400</v>
      </c>
      <c r="T4832" t="s">
        <v>13134</v>
      </c>
      <c r="U4832" t="s">
        <v>13134</v>
      </c>
      <c r="V4832" t="s">
        <v>13134</v>
      </c>
      <c r="W4832" t="s">
        <v>17904</v>
      </c>
      <c r="X4832">
        <v>4</v>
      </c>
      <c r="Y4832" t="s">
        <v>24274</v>
      </c>
      <c r="Z4832" t="s">
        <v>30800</v>
      </c>
      <c r="AA4832">
        <v>0.34386818316161899</v>
      </c>
      <c r="AB4832" t="str">
        <f>HYPERLINK("Melting_Curves/meltCurve_Q92551_IP6K1.pdf", "Melting_Curves/meltCurve_Q92551_IP6K1.pdf")</f>
        <v>Melting_Curves/meltCurve_Q92551_IP6K1.pdf</v>
      </c>
    </row>
    <row r="4833" spans="1:28" x14ac:dyDescent="0.25">
      <c r="A4833" t="s">
        <v>4837</v>
      </c>
      <c r="B4833">
        <v>0.99472303558308395</v>
      </c>
      <c r="C4833">
        <v>0.774226613078285</v>
      </c>
      <c r="D4833">
        <v>0.96264833264916605</v>
      </c>
      <c r="E4833">
        <v>1.02500316612283</v>
      </c>
      <c r="F4833">
        <v>0.66924376958522003</v>
      </c>
      <c r="G4833">
        <v>0.62606675814824297</v>
      </c>
      <c r="H4833">
        <v>0.307153425838192</v>
      </c>
      <c r="I4833">
        <v>0.64147456985932605</v>
      </c>
      <c r="J4833">
        <v>0.72318669915211697</v>
      </c>
      <c r="K4833">
        <v>0.70394894267511898</v>
      </c>
      <c r="L4833">
        <v>12471.233731611999</v>
      </c>
      <c r="M4833">
        <v>250</v>
      </c>
      <c r="O4833">
        <v>49.881756753054802</v>
      </c>
      <c r="P4833">
        <v>-0.50072669605426601</v>
      </c>
      <c r="Q4833">
        <v>0.60036607714725598</v>
      </c>
      <c r="R4833">
        <v>0.59565597738259302</v>
      </c>
      <c r="S4833" t="s">
        <v>11401</v>
      </c>
      <c r="T4833" t="s">
        <v>13134</v>
      </c>
      <c r="U4833" t="s">
        <v>13134</v>
      </c>
      <c r="V4833" t="s">
        <v>13134</v>
      </c>
      <c r="W4833" t="s">
        <v>17905</v>
      </c>
      <c r="X4833">
        <v>8</v>
      </c>
      <c r="Y4833" t="s">
        <v>24275</v>
      </c>
      <c r="Z4833" t="s">
        <v>30801</v>
      </c>
      <c r="AA4833">
        <v>0.77204296702392172</v>
      </c>
      <c r="AB4833" t="str">
        <f>HYPERLINK("Melting_Curves/meltCurve_Q92552_MRPS27.pdf", "Melting_Curves/meltCurve_Q92552_MRPS27.pdf")</f>
        <v>Melting_Curves/meltCurve_Q92552_MRPS27.pdf</v>
      </c>
    </row>
    <row r="4834" spans="1:28" x14ac:dyDescent="0.25">
      <c r="A4834" t="s">
        <v>4838</v>
      </c>
      <c r="B4834">
        <v>0.99472303558308395</v>
      </c>
      <c r="C4834">
        <v>0.89425801161963703</v>
      </c>
      <c r="D4834">
        <v>1.1129430990648801</v>
      </c>
      <c r="E4834">
        <v>0.64221791436137798</v>
      </c>
      <c r="F4834">
        <v>0.37256836109208402</v>
      </c>
      <c r="G4834">
        <v>0.288021046732994</v>
      </c>
      <c r="H4834">
        <v>0.258842995602104</v>
      </c>
      <c r="I4834">
        <v>0.17656534125270401</v>
      </c>
      <c r="J4834">
        <v>0.147891921943062</v>
      </c>
      <c r="K4834">
        <v>0.14468743624833999</v>
      </c>
      <c r="L4834">
        <v>1249.26918096232</v>
      </c>
      <c r="M4834">
        <v>26.270210962024599</v>
      </c>
      <c r="N4834">
        <v>48.453770597299602</v>
      </c>
      <c r="O4834">
        <v>47.281612105503598</v>
      </c>
      <c r="P4834">
        <v>-0.112106762857708</v>
      </c>
      <c r="Q4834">
        <v>0.192921866477338</v>
      </c>
      <c r="R4834">
        <v>0.95968606274689106</v>
      </c>
      <c r="S4834" t="s">
        <v>11402</v>
      </c>
      <c r="T4834" t="s">
        <v>13134</v>
      </c>
      <c r="U4834" t="s">
        <v>13134</v>
      </c>
      <c r="V4834" t="s">
        <v>13134</v>
      </c>
      <c r="W4834" t="s">
        <v>17906</v>
      </c>
      <c r="X4834">
        <v>6</v>
      </c>
      <c r="Y4834" t="s">
        <v>24276</v>
      </c>
      <c r="Z4834" t="s">
        <v>30802</v>
      </c>
      <c r="AA4834">
        <v>0.4830569504386209</v>
      </c>
      <c r="AB4834" t="str">
        <f>HYPERLINK("Melting_Curves/meltCurve_Q92556_ELMO1.pdf", "Melting_Curves/meltCurve_Q92556_ELMO1.pdf")</f>
        <v>Melting_Curves/meltCurve_Q92556_ELMO1.pdf</v>
      </c>
    </row>
    <row r="4835" spans="1:28" x14ac:dyDescent="0.25">
      <c r="A4835" t="s">
        <v>4839</v>
      </c>
      <c r="B4835">
        <v>0.99472303558308395</v>
      </c>
      <c r="C4835">
        <v>0.98935413363551805</v>
      </c>
      <c r="D4835">
        <v>0.69149237197094704</v>
      </c>
      <c r="E4835">
        <v>0.52593800192443796</v>
      </c>
      <c r="F4835">
        <v>0.35701077315492302</v>
      </c>
      <c r="G4835">
        <v>0.200781235130608</v>
      </c>
      <c r="H4835">
        <v>9.3209859471582196E-2</v>
      </c>
      <c r="I4835">
        <v>8.9611420266013195E-2</v>
      </c>
      <c r="J4835">
        <v>0.112158382612217</v>
      </c>
      <c r="K4835">
        <v>6.2204648449686803E-2</v>
      </c>
      <c r="L4835">
        <v>617.12050138291499</v>
      </c>
      <c r="M4835">
        <v>13.2491966916624</v>
      </c>
      <c r="N4835">
        <v>47.012863320176201</v>
      </c>
      <c r="O4835">
        <v>45.555221366601202</v>
      </c>
      <c r="P4835">
        <v>-6.8527172451109494E-2</v>
      </c>
      <c r="Q4835">
        <v>5.76761612145862E-2</v>
      </c>
      <c r="R4835">
        <v>0.98651912162477895</v>
      </c>
      <c r="S4835" t="s">
        <v>11403</v>
      </c>
      <c r="T4835" t="s">
        <v>13134</v>
      </c>
      <c r="U4835" t="s">
        <v>13134</v>
      </c>
      <c r="V4835" t="s">
        <v>13134</v>
      </c>
      <c r="W4835" t="s">
        <v>17907</v>
      </c>
      <c r="X4835">
        <v>2</v>
      </c>
      <c r="Y4835" t="s">
        <v>24277</v>
      </c>
      <c r="Z4835" t="s">
        <v>30803</v>
      </c>
      <c r="AA4835">
        <v>0.38526337374266312</v>
      </c>
      <c r="AB4835" t="str">
        <f>HYPERLINK("Melting_Curves/meltCurve_Q92558_WASF1.pdf", "Melting_Curves/meltCurve_Q92558_WASF1.pdf")</f>
        <v>Melting_Curves/meltCurve_Q92558_WASF1.pdf</v>
      </c>
    </row>
    <row r="4836" spans="1:28" x14ac:dyDescent="0.25">
      <c r="A4836" t="s">
        <v>4840</v>
      </c>
      <c r="B4836">
        <v>0.99472303558308395</v>
      </c>
      <c r="C4836">
        <v>0.98779406987179896</v>
      </c>
      <c r="D4836">
        <v>0.81768702794064496</v>
      </c>
      <c r="E4836">
        <v>0.66981937556349003</v>
      </c>
      <c r="F4836">
        <v>0.40102452501850899</v>
      </c>
      <c r="G4836">
        <v>0.10339000404717</v>
      </c>
      <c r="H4836">
        <v>7.0188852831783693E-2</v>
      </c>
      <c r="I4836">
        <v>4.0064623022885298E-2</v>
      </c>
      <c r="J4836">
        <v>5.00452188290074E-2</v>
      </c>
      <c r="K4836">
        <v>3.5984676640823797E-2</v>
      </c>
      <c r="L4836">
        <v>781.57033984585996</v>
      </c>
      <c r="M4836">
        <v>16.181069639774702</v>
      </c>
      <c r="N4836">
        <v>48.359483923081001</v>
      </c>
      <c r="O4836">
        <v>47.581867869822197</v>
      </c>
      <c r="P4836">
        <v>-8.4206895090193107E-2</v>
      </c>
      <c r="Q4836">
        <v>9.6030710288189207E-3</v>
      </c>
      <c r="R4836">
        <v>0.99216156656448296</v>
      </c>
      <c r="S4836" t="s">
        <v>11404</v>
      </c>
      <c r="T4836" t="s">
        <v>13134</v>
      </c>
      <c r="U4836" t="s">
        <v>13134</v>
      </c>
      <c r="V4836" t="s">
        <v>13134</v>
      </c>
      <c r="W4836" t="s">
        <v>17908</v>
      </c>
      <c r="X4836">
        <v>5</v>
      </c>
      <c r="Y4836" t="s">
        <v>24278</v>
      </c>
      <c r="Z4836" t="s">
        <v>30804</v>
      </c>
      <c r="AA4836">
        <v>0.40177341900149999</v>
      </c>
      <c r="AB4836" t="str">
        <f>HYPERLINK("Melting_Curves/meltCurve_Q92572_AP3S1.pdf", "Melting_Curves/meltCurve_Q92572_AP3S1.pdf")</f>
        <v>Melting_Curves/meltCurve_Q92572_AP3S1.pdf</v>
      </c>
    </row>
    <row r="4837" spans="1:28" x14ac:dyDescent="0.25">
      <c r="A4837" t="s">
        <v>4841</v>
      </c>
      <c r="B4837">
        <v>0.99472303558308395</v>
      </c>
      <c r="C4837">
        <v>0.99765258471012397</v>
      </c>
      <c r="D4837">
        <v>1.0292882984223799</v>
      </c>
      <c r="E4837">
        <v>0.79619843093849696</v>
      </c>
      <c r="F4837">
        <v>0.38372917477798901</v>
      </c>
      <c r="G4837">
        <v>0.178341549099612</v>
      </c>
      <c r="H4837">
        <v>7.6602354392414806E-2</v>
      </c>
      <c r="I4837">
        <v>5.3042086363235201E-2</v>
      </c>
      <c r="J4837">
        <v>5.5261495186295001E-2</v>
      </c>
      <c r="K4837">
        <v>4.1908853363209597E-2</v>
      </c>
      <c r="L4837">
        <v>1230.7202929070199</v>
      </c>
      <c r="M4837">
        <v>25.075236341922501</v>
      </c>
      <c r="N4837">
        <v>49.300479142555503</v>
      </c>
      <c r="O4837">
        <v>48.772138193375298</v>
      </c>
      <c r="P4837">
        <v>-0.12174905810804</v>
      </c>
      <c r="Q4837">
        <v>5.27893093140595E-2</v>
      </c>
      <c r="R4837">
        <v>0.99741236534597</v>
      </c>
      <c r="S4837" t="s">
        <v>11405</v>
      </c>
      <c r="T4837" t="s">
        <v>13134</v>
      </c>
      <c r="U4837" t="s">
        <v>13134</v>
      </c>
      <c r="V4837" t="s">
        <v>13134</v>
      </c>
      <c r="W4837" t="s">
        <v>17909</v>
      </c>
      <c r="X4837">
        <v>8</v>
      </c>
      <c r="Y4837" t="s">
        <v>24279</v>
      </c>
      <c r="Z4837" t="s">
        <v>30805</v>
      </c>
      <c r="AA4837">
        <v>0.44238042267648792</v>
      </c>
      <c r="AB4837" t="str">
        <f>HYPERLINK("Melting_Curves/meltCurve_Q92575_UBXN4.pdf", "Melting_Curves/meltCurve_Q92575_UBXN4.pdf")</f>
        <v>Melting_Curves/meltCurve_Q92575_UBXN4.pdf</v>
      </c>
    </row>
    <row r="4838" spans="1:28" x14ac:dyDescent="0.25">
      <c r="A4838" t="s">
        <v>4842</v>
      </c>
      <c r="B4838">
        <v>0.99472303558308395</v>
      </c>
      <c r="C4838">
        <v>0.99217409264884204</v>
      </c>
      <c r="D4838">
        <v>0.928521186047085</v>
      </c>
      <c r="E4838">
        <v>0.76388201705775205</v>
      </c>
      <c r="F4838">
        <v>0.54527856563933796</v>
      </c>
      <c r="G4838">
        <v>0.36141568893256698</v>
      </c>
      <c r="H4838">
        <v>0.24670642546923299</v>
      </c>
      <c r="I4838">
        <v>0.22450025684227701</v>
      </c>
      <c r="J4838">
        <v>0.23633774335864199</v>
      </c>
      <c r="K4838">
        <v>0.20432421927892699</v>
      </c>
      <c r="L4838">
        <v>807.15632603046197</v>
      </c>
      <c r="M4838">
        <v>16.398154761250701</v>
      </c>
      <c r="N4838">
        <v>50.778139121645602</v>
      </c>
      <c r="O4838">
        <v>48.507832359599099</v>
      </c>
      <c r="P4838">
        <v>-6.7829430441774197E-2</v>
      </c>
      <c r="Q4838">
        <v>0.19746473924882599</v>
      </c>
      <c r="R4838">
        <v>0.998796279469227</v>
      </c>
      <c r="S4838" t="s">
        <v>11406</v>
      </c>
      <c r="T4838" t="s">
        <v>13134</v>
      </c>
      <c r="U4838" t="s">
        <v>13134</v>
      </c>
      <c r="V4838" t="s">
        <v>13134</v>
      </c>
      <c r="W4838" t="s">
        <v>17910</v>
      </c>
      <c r="X4838">
        <v>31</v>
      </c>
      <c r="Y4838" t="s">
        <v>24280</v>
      </c>
      <c r="Z4838" t="s">
        <v>30806</v>
      </c>
      <c r="AA4838">
        <v>0.5393255432808286</v>
      </c>
      <c r="AB4838" t="str">
        <f>HYPERLINK("Melting_Curves/meltCurve_Q92576_2_PHF3.pdf", "Melting_Curves/meltCurve_Q92576_2_PHF3.pdf")</f>
        <v>Melting_Curves/meltCurve_Q92576_2_PHF3.pdf</v>
      </c>
    </row>
    <row r="4839" spans="1:28" x14ac:dyDescent="0.25">
      <c r="A4839" t="s">
        <v>4843</v>
      </c>
      <c r="B4839">
        <v>0.99472303558308395</v>
      </c>
      <c r="C4839">
        <v>0.89624443482818705</v>
      </c>
      <c r="D4839">
        <v>0.98465614629096598</v>
      </c>
      <c r="E4839">
        <v>0.742485095574693</v>
      </c>
      <c r="F4839">
        <v>0.83634324775596203</v>
      </c>
      <c r="G4839">
        <v>0.42047111888225103</v>
      </c>
      <c r="H4839">
        <v>0.28672159027560401</v>
      </c>
      <c r="I4839">
        <v>0.24731465693756999</v>
      </c>
      <c r="J4839">
        <v>0.21208820039975501</v>
      </c>
      <c r="K4839">
        <v>0.427457083480206</v>
      </c>
      <c r="L4839">
        <v>965.01980088465803</v>
      </c>
      <c r="M4839">
        <v>18.897585480200501</v>
      </c>
      <c r="N4839">
        <v>53.159044367925702</v>
      </c>
      <c r="O4839">
        <v>50.504250705863903</v>
      </c>
      <c r="P4839">
        <v>-6.8998572659462798E-2</v>
      </c>
      <c r="Q4839">
        <v>0.262428676047195</v>
      </c>
      <c r="R4839">
        <v>0.89857149054807295</v>
      </c>
      <c r="S4839" t="s">
        <v>11407</v>
      </c>
      <c r="T4839" t="s">
        <v>13134</v>
      </c>
      <c r="U4839" t="s">
        <v>13134</v>
      </c>
      <c r="V4839" t="s">
        <v>13134</v>
      </c>
      <c r="W4839" t="s">
        <v>17911</v>
      </c>
      <c r="X4839">
        <v>1</v>
      </c>
      <c r="Y4839" t="s">
        <v>24281</v>
      </c>
      <c r="Z4839" t="s">
        <v>30807</v>
      </c>
      <c r="AA4839">
        <v>0.6188300534449187</v>
      </c>
      <c r="AB4839" t="str">
        <f>HYPERLINK("Melting_Curves/meltCurve_Q92581_3_SLC9A6.pdf", "Melting_Curves/meltCurve_Q92581_3_SLC9A6.pdf")</f>
        <v>Melting_Curves/meltCurve_Q92581_3_SLC9A6.pdf</v>
      </c>
    </row>
    <row r="4840" spans="1:28" x14ac:dyDescent="0.25">
      <c r="A4840" t="s">
        <v>4844</v>
      </c>
      <c r="B4840">
        <v>0.99472303558308395</v>
      </c>
      <c r="C4840">
        <v>0.95950449675637095</v>
      </c>
      <c r="D4840">
        <v>0.95867416505179104</v>
      </c>
      <c r="E4840">
        <v>0.83025567702523295</v>
      </c>
      <c r="F4840">
        <v>0.26618539134973801</v>
      </c>
      <c r="G4840">
        <v>0.102761191566654</v>
      </c>
      <c r="H4840">
        <v>6.2296359888357501E-2</v>
      </c>
      <c r="I4840">
        <v>4.4844007828292599E-2</v>
      </c>
      <c r="J4840">
        <v>5.4234372093992303E-2</v>
      </c>
      <c r="K4840">
        <v>5.0438780977400101E-2</v>
      </c>
      <c r="L4840">
        <v>1727.1087550412501</v>
      </c>
      <c r="M4840">
        <v>35.601553102246797</v>
      </c>
      <c r="N4840">
        <v>48.672383918009501</v>
      </c>
      <c r="O4840">
        <v>48.359876798653097</v>
      </c>
      <c r="P4840">
        <v>-0.17386962990865301</v>
      </c>
      <c r="Q4840">
        <v>5.5289979800770897E-2</v>
      </c>
      <c r="R4840">
        <v>0.99809684606814897</v>
      </c>
      <c r="S4840" t="s">
        <v>11408</v>
      </c>
      <c r="T4840" t="s">
        <v>13134</v>
      </c>
      <c r="U4840" t="s">
        <v>13134</v>
      </c>
      <c r="V4840" t="s">
        <v>13134</v>
      </c>
      <c r="W4840" t="s">
        <v>17912</v>
      </c>
      <c r="X4840">
        <v>57</v>
      </c>
      <c r="Y4840" t="s">
        <v>24282</v>
      </c>
      <c r="Z4840" t="s">
        <v>30808</v>
      </c>
      <c r="AA4840">
        <v>0.42181732120003729</v>
      </c>
      <c r="AB4840" t="str">
        <f>HYPERLINK("Melting_Curves/meltCurve_Q92598_2_HSPH1.pdf", "Melting_Curves/meltCurve_Q92598_2_HSPH1.pdf")</f>
        <v>Melting_Curves/meltCurve_Q92598_2_HSPH1.pdf</v>
      </c>
    </row>
    <row r="4841" spans="1:28" x14ac:dyDescent="0.25">
      <c r="A4841" t="s">
        <v>4845</v>
      </c>
      <c r="B4841">
        <v>0.99472303558308395</v>
      </c>
      <c r="C4841">
        <v>0.83224527349438904</v>
      </c>
      <c r="D4841">
        <v>0.67393844068827702</v>
      </c>
      <c r="E4841">
        <v>0.49941229599304698</v>
      </c>
      <c r="F4841">
        <v>0.31915135476978901</v>
      </c>
      <c r="G4841">
        <v>0.15850512412944801</v>
      </c>
      <c r="H4841">
        <v>0.20456170858261</v>
      </c>
      <c r="I4841">
        <v>0.16686718998067401</v>
      </c>
      <c r="J4841">
        <v>9.7787706859703893E-2</v>
      </c>
      <c r="K4841">
        <v>0.10850806361411</v>
      </c>
      <c r="L4841">
        <v>552.29956614897299</v>
      </c>
      <c r="M4841">
        <v>12.1865798571268</v>
      </c>
      <c r="N4841">
        <v>46.156479160811799</v>
      </c>
      <c r="O4841">
        <v>44.151775256884598</v>
      </c>
      <c r="P4841">
        <v>-6.2183174876568097E-2</v>
      </c>
      <c r="Q4841">
        <v>9.9050205502429406E-2</v>
      </c>
      <c r="R4841">
        <v>0.98911174548049496</v>
      </c>
      <c r="S4841" t="s">
        <v>11409</v>
      </c>
      <c r="T4841" t="s">
        <v>13134</v>
      </c>
      <c r="U4841" t="s">
        <v>13134</v>
      </c>
      <c r="V4841" t="s">
        <v>13134</v>
      </c>
      <c r="W4841" t="s">
        <v>17913</v>
      </c>
      <c r="X4841">
        <v>4</v>
      </c>
      <c r="Y4841" t="s">
        <v>24283</v>
      </c>
      <c r="Z4841" t="s">
        <v>30809</v>
      </c>
      <c r="AA4841">
        <v>0.38024492945501842</v>
      </c>
      <c r="AB4841" t="str">
        <f>HYPERLINK("Melting_Curves/meltCurve_Q92600_RQCD1.pdf", "Melting_Curves/meltCurve_Q92600_RQCD1.pdf")</f>
        <v>Melting_Curves/meltCurve_Q92600_RQCD1.pdf</v>
      </c>
    </row>
    <row r="4842" spans="1:28" x14ac:dyDescent="0.25">
      <c r="A4842" t="s">
        <v>4846</v>
      </c>
      <c r="B4842">
        <v>0.99472303558308395</v>
      </c>
      <c r="C4842">
        <v>0.94057521410673695</v>
      </c>
      <c r="D4842">
        <v>0.87097195344605705</v>
      </c>
      <c r="E4842">
        <v>0.675544094235217</v>
      </c>
      <c r="F4842">
        <v>0.29106840296706898</v>
      </c>
      <c r="G4842">
        <v>0.109789625527622</v>
      </c>
      <c r="H4842">
        <v>8.8625549686470198E-2</v>
      </c>
      <c r="I4842">
        <v>5.8464491985683202E-2</v>
      </c>
      <c r="J4842">
        <v>7.0894846994406194E-2</v>
      </c>
      <c r="K4842">
        <v>5.5066252834541897E-2</v>
      </c>
      <c r="L4842">
        <v>975.09412182596304</v>
      </c>
      <c r="M4842">
        <v>20.431947425846602</v>
      </c>
      <c r="N4842">
        <v>47.971746925718598</v>
      </c>
      <c r="O4842">
        <v>47.273907972013298</v>
      </c>
      <c r="P4842">
        <v>-0.102643573212627</v>
      </c>
      <c r="Q4842">
        <v>5.0072779600227199E-2</v>
      </c>
      <c r="R4842">
        <v>0.99611885488775098</v>
      </c>
      <c r="S4842" t="s">
        <v>11410</v>
      </c>
      <c r="T4842" t="s">
        <v>13134</v>
      </c>
      <c r="U4842" t="s">
        <v>13134</v>
      </c>
      <c r="V4842" t="s">
        <v>13134</v>
      </c>
      <c r="W4842" t="s">
        <v>17914</v>
      </c>
      <c r="X4842">
        <v>11</v>
      </c>
      <c r="Y4842" t="s">
        <v>24284</v>
      </c>
      <c r="Z4842" t="s">
        <v>30810</v>
      </c>
      <c r="AA4842">
        <v>0.40160806244819702</v>
      </c>
      <c r="AB4842" t="str">
        <f>HYPERLINK("Melting_Curves/meltCurve_Q92609_TBC1D5.pdf", "Melting_Curves/meltCurve_Q92609_TBC1D5.pdf")</f>
        <v>Melting_Curves/meltCurve_Q92609_TBC1D5.pdf</v>
      </c>
    </row>
    <row r="4843" spans="1:28" x14ac:dyDescent="0.25">
      <c r="A4843" t="s">
        <v>4847</v>
      </c>
      <c r="B4843">
        <v>0.99472303558308395</v>
      </c>
      <c r="C4843">
        <v>1.0990082434853501</v>
      </c>
      <c r="D4843">
        <v>0.79060540051280703</v>
      </c>
      <c r="E4843">
        <v>0.53170274459154798</v>
      </c>
      <c r="F4843">
        <v>0.213652370038866</v>
      </c>
      <c r="G4843">
        <v>0.10703174898911701</v>
      </c>
      <c r="H4843">
        <v>5.4903850320752297E-2</v>
      </c>
      <c r="I4843">
        <v>3.3444503555632901E-2</v>
      </c>
      <c r="J4843">
        <v>8.34691854184723E-2</v>
      </c>
      <c r="K4843">
        <v>1.9190748049464901E-2</v>
      </c>
      <c r="L4843">
        <v>956.60067577562302</v>
      </c>
      <c r="M4843">
        <v>20.5530841635426</v>
      </c>
      <c r="N4843">
        <v>46.742341599251397</v>
      </c>
      <c r="O4843">
        <v>46.109031657041001</v>
      </c>
      <c r="P4843">
        <v>-0.10676289218101299</v>
      </c>
      <c r="Q4843">
        <v>4.19752835693184E-2</v>
      </c>
      <c r="R4843">
        <v>0.98583531186551199</v>
      </c>
      <c r="S4843" t="s">
        <v>11411</v>
      </c>
      <c r="T4843" t="s">
        <v>13134</v>
      </c>
      <c r="U4843" t="s">
        <v>13134</v>
      </c>
      <c r="V4843" t="s">
        <v>13134</v>
      </c>
      <c r="W4843" t="s">
        <v>17915</v>
      </c>
      <c r="X4843">
        <v>1</v>
      </c>
      <c r="Y4843" t="s">
        <v>24285</v>
      </c>
      <c r="Z4843" t="s">
        <v>30811</v>
      </c>
      <c r="AA4843">
        <v>0.35858559296255971</v>
      </c>
      <c r="AB4843" t="str">
        <f>HYPERLINK("Melting_Curves/meltCurve_Q92610_ZNF592.pdf", "Melting_Curves/meltCurve_Q92610_ZNF592.pdf")</f>
        <v>Melting_Curves/meltCurve_Q92610_ZNF592.pdf</v>
      </c>
    </row>
    <row r="4844" spans="1:28" x14ac:dyDescent="0.25">
      <c r="A4844" t="s">
        <v>4848</v>
      </c>
      <c r="B4844">
        <v>0.99472303558308395</v>
      </c>
      <c r="C4844">
        <v>0.81259833102665702</v>
      </c>
      <c r="D4844">
        <v>0.82481347662874505</v>
      </c>
      <c r="E4844">
        <v>0.43891398629895301</v>
      </c>
      <c r="F4844">
        <v>0.18179327282589799</v>
      </c>
      <c r="G4844">
        <v>9.8034899157868602E-2</v>
      </c>
      <c r="H4844">
        <v>6.1615085907989399E-2</v>
      </c>
      <c r="I4844">
        <v>5.2387006650375802E-2</v>
      </c>
      <c r="J4844">
        <v>6.1482057079323797E-2</v>
      </c>
      <c r="K4844">
        <v>5.6258882118347397E-2</v>
      </c>
      <c r="L4844">
        <v>802.83658738236795</v>
      </c>
      <c r="M4844">
        <v>17.567302165048702</v>
      </c>
      <c r="N4844">
        <v>45.925786147363802</v>
      </c>
      <c r="O4844">
        <v>45.120759540408898</v>
      </c>
      <c r="P4844">
        <v>-9.3323708747457004E-2</v>
      </c>
      <c r="Q4844">
        <v>4.12623834084598E-2</v>
      </c>
      <c r="R4844">
        <v>0.98525048126072401</v>
      </c>
      <c r="S4844" t="s">
        <v>11412</v>
      </c>
      <c r="T4844" t="s">
        <v>13134</v>
      </c>
      <c r="U4844" t="s">
        <v>13134</v>
      </c>
      <c r="V4844" t="s">
        <v>13134</v>
      </c>
      <c r="W4844" t="s">
        <v>17916</v>
      </c>
      <c r="X4844">
        <v>10</v>
      </c>
      <c r="Y4844" t="s">
        <v>24286</v>
      </c>
      <c r="Z4844" t="s">
        <v>30812</v>
      </c>
      <c r="AA4844">
        <v>0.3356425070459203</v>
      </c>
      <c r="AB4844" t="str">
        <f>HYPERLINK("Melting_Curves/meltCurve_Q92615_LARP4B.pdf", "Melting_Curves/meltCurve_Q92615_LARP4B.pdf")</f>
        <v>Melting_Curves/meltCurve_Q92615_LARP4B.pdf</v>
      </c>
    </row>
    <row r="4845" spans="1:28" x14ac:dyDescent="0.25">
      <c r="A4845" t="s">
        <v>4849</v>
      </c>
      <c r="B4845">
        <v>0.99472303558308395</v>
      </c>
      <c r="C4845">
        <v>0.80141698585218801</v>
      </c>
      <c r="D4845">
        <v>0.46526947033069199</v>
      </c>
      <c r="E4845">
        <v>0.180282597264596</v>
      </c>
      <c r="F4845">
        <v>0.116762041191842</v>
      </c>
      <c r="G4845">
        <v>6.10212958945597E-2</v>
      </c>
      <c r="H4845">
        <v>4.1072010541263401E-2</v>
      </c>
      <c r="I4845">
        <v>2.7864498133920598E-2</v>
      </c>
      <c r="J4845">
        <v>3.8766987351065103E-2</v>
      </c>
      <c r="K4845">
        <v>2.64702466694067E-2</v>
      </c>
      <c r="L4845">
        <v>867.61963325713396</v>
      </c>
      <c r="M4845">
        <v>20.371188863906401</v>
      </c>
      <c r="N4845">
        <v>42.7663149689186</v>
      </c>
      <c r="O4845">
        <v>42.186475192139802</v>
      </c>
      <c r="P4845">
        <v>-0.115875570653205</v>
      </c>
      <c r="Q4845">
        <v>4.0167182104926001E-2</v>
      </c>
      <c r="R4845">
        <v>0.99724364094143103</v>
      </c>
      <c r="S4845" t="s">
        <v>11413</v>
      </c>
      <c r="T4845" t="s">
        <v>13134</v>
      </c>
      <c r="U4845" t="s">
        <v>13134</v>
      </c>
      <c r="V4845" t="s">
        <v>13134</v>
      </c>
      <c r="W4845" t="s">
        <v>17917</v>
      </c>
      <c r="X4845">
        <v>75</v>
      </c>
      <c r="Y4845" t="s">
        <v>24287</v>
      </c>
      <c r="Z4845" t="s">
        <v>30813</v>
      </c>
      <c r="AA4845">
        <v>0.23220595613218051</v>
      </c>
      <c r="AB4845" t="str">
        <f>HYPERLINK("Melting_Curves/meltCurve_Q92616_GCN1L1.pdf", "Melting_Curves/meltCurve_Q92616_GCN1L1.pdf")</f>
        <v>Melting_Curves/meltCurve_Q92616_GCN1L1.pdf</v>
      </c>
    </row>
    <row r="4846" spans="1:28" x14ac:dyDescent="0.25">
      <c r="A4846" t="s">
        <v>4850</v>
      </c>
      <c r="B4846">
        <v>0.99472303558308395</v>
      </c>
      <c r="C4846">
        <v>0.95977196785977303</v>
      </c>
      <c r="D4846">
        <v>0.85073029315732496</v>
      </c>
      <c r="E4846">
        <v>0.68196502652728697</v>
      </c>
      <c r="F4846">
        <v>0.34003431657876998</v>
      </c>
      <c r="G4846">
        <v>0.122284478366155</v>
      </c>
      <c r="H4846">
        <v>9.6836211644517597E-2</v>
      </c>
      <c r="I4846">
        <v>7.1377750538499596E-2</v>
      </c>
      <c r="J4846">
        <v>8.8648724760672398E-2</v>
      </c>
      <c r="K4846">
        <v>6.2691682789163594E-2</v>
      </c>
      <c r="L4846">
        <v>890.60466857674896</v>
      </c>
      <c r="M4846">
        <v>18.597346365695099</v>
      </c>
      <c r="N4846">
        <v>48.192232257704497</v>
      </c>
      <c r="O4846">
        <v>47.345401268975898</v>
      </c>
      <c r="P4846">
        <v>-9.27789706602727E-2</v>
      </c>
      <c r="Q4846">
        <v>5.5248708219251499E-2</v>
      </c>
      <c r="R4846">
        <v>0.99568380519785205</v>
      </c>
      <c r="S4846" t="s">
        <v>11414</v>
      </c>
      <c r="T4846" t="s">
        <v>13134</v>
      </c>
      <c r="U4846" t="s">
        <v>13134</v>
      </c>
      <c r="V4846" t="s">
        <v>13134</v>
      </c>
      <c r="W4846" t="s">
        <v>17918</v>
      </c>
      <c r="X4846">
        <v>12</v>
      </c>
      <c r="Y4846" t="s">
        <v>24288</v>
      </c>
      <c r="Z4846" t="s">
        <v>30814</v>
      </c>
      <c r="AA4846">
        <v>0.41237957697464922</v>
      </c>
      <c r="AB4846" t="str">
        <f>HYPERLINK("Melting_Curves/meltCurve_Q92619_HMHA1.pdf", "Melting_Curves/meltCurve_Q92619_HMHA1.pdf")</f>
        <v>Melting_Curves/meltCurve_Q92619_HMHA1.pdf</v>
      </c>
    </row>
    <row r="4847" spans="1:28" x14ac:dyDescent="0.25">
      <c r="A4847" t="s">
        <v>4851</v>
      </c>
      <c r="B4847">
        <v>0.99472303558308395</v>
      </c>
      <c r="C4847">
        <v>0.94296831350420696</v>
      </c>
      <c r="D4847">
        <v>0.85271652770086503</v>
      </c>
      <c r="E4847">
        <v>0.69746206756844398</v>
      </c>
      <c r="F4847">
        <v>0.49584982620227402</v>
      </c>
      <c r="G4847">
        <v>0.16394262585046501</v>
      </c>
      <c r="H4847">
        <v>7.4177181684889806E-2</v>
      </c>
      <c r="I4847">
        <v>6.7236171926200503E-2</v>
      </c>
      <c r="J4847">
        <v>6.8015940065484198E-2</v>
      </c>
      <c r="K4847">
        <v>5.3331690207587601E-2</v>
      </c>
      <c r="L4847">
        <v>739.73512783812396</v>
      </c>
      <c r="M4847">
        <v>15.0680129142907</v>
      </c>
      <c r="N4847">
        <v>49.1924221259953</v>
      </c>
      <c r="O4847">
        <v>48.252725549921898</v>
      </c>
      <c r="P4847">
        <v>-7.6905889839162495E-2</v>
      </c>
      <c r="Q4847">
        <v>1.4985818114608701E-2</v>
      </c>
      <c r="R4847">
        <v>0.99050106552444195</v>
      </c>
      <c r="S4847" t="s">
        <v>11415</v>
      </c>
      <c r="T4847" t="s">
        <v>13134</v>
      </c>
      <c r="U4847" t="s">
        <v>13134</v>
      </c>
      <c r="V4847" t="s">
        <v>13134</v>
      </c>
      <c r="W4847" t="s">
        <v>17919</v>
      </c>
      <c r="X4847">
        <v>28</v>
      </c>
      <c r="Y4847" t="s">
        <v>24289</v>
      </c>
      <c r="Z4847" t="s">
        <v>30815</v>
      </c>
      <c r="AA4847">
        <v>0.43303801404676229</v>
      </c>
      <c r="AB4847" t="str">
        <f>HYPERLINK("Melting_Curves/meltCurve_Q92620_DHX38.pdf", "Melting_Curves/meltCurve_Q92620_DHX38.pdf")</f>
        <v>Melting_Curves/meltCurve_Q92620_DHX38.pdf</v>
      </c>
    </row>
    <row r="4848" spans="1:28" x14ac:dyDescent="0.25">
      <c r="A4848" t="s">
        <v>4852</v>
      </c>
      <c r="B4848">
        <v>0.99472303558308395</v>
      </c>
      <c r="C4848">
        <v>0.83740185223714203</v>
      </c>
      <c r="D4848">
        <v>0.70863216140728402</v>
      </c>
      <c r="E4848">
        <v>0.42198337353160598</v>
      </c>
      <c r="F4848">
        <v>0.24442951632457899</v>
      </c>
      <c r="G4848">
        <v>8.9983595359798399E-2</v>
      </c>
      <c r="H4848">
        <v>6.9712550088126907E-2</v>
      </c>
      <c r="I4848">
        <v>5.3579698025416699E-2</v>
      </c>
      <c r="J4848">
        <v>6.2906261269388794E-2</v>
      </c>
      <c r="K4848">
        <v>5.4785595544994597E-2</v>
      </c>
      <c r="L4848">
        <v>648.93201166028996</v>
      </c>
      <c r="M4848">
        <v>14.3244948545757</v>
      </c>
      <c r="N4848">
        <v>45.522945753355401</v>
      </c>
      <c r="O4848">
        <v>44.446798421829499</v>
      </c>
      <c r="P4848">
        <v>-7.7878097650702804E-2</v>
      </c>
      <c r="Q4848">
        <v>3.35398562910433E-2</v>
      </c>
      <c r="R4848">
        <v>0.99585124742069397</v>
      </c>
      <c r="S4848" t="s">
        <v>11416</v>
      </c>
      <c r="T4848" t="s">
        <v>13134</v>
      </c>
      <c r="U4848" t="s">
        <v>13134</v>
      </c>
      <c r="V4848" t="s">
        <v>13134</v>
      </c>
      <c r="W4848" t="s">
        <v>17920</v>
      </c>
      <c r="X4848">
        <v>19</v>
      </c>
      <c r="Y4848" t="s">
        <v>24290</v>
      </c>
      <c r="Z4848" t="s">
        <v>30816</v>
      </c>
      <c r="AA4848">
        <v>0.32588798106324213</v>
      </c>
      <c r="AB4848" t="str">
        <f>HYPERLINK("Melting_Curves/meltCurve_Q92621_NUP205.pdf", "Melting_Curves/meltCurve_Q92621_NUP205.pdf")</f>
        <v>Melting_Curves/meltCurve_Q92621_NUP205.pdf</v>
      </c>
    </row>
    <row r="4849" spans="1:28" x14ac:dyDescent="0.25">
      <c r="A4849" t="s">
        <v>4853</v>
      </c>
      <c r="B4849">
        <v>0.99472303558308395</v>
      </c>
      <c r="C4849">
        <v>0.96150699043929599</v>
      </c>
      <c r="D4849">
        <v>0.70073658488976298</v>
      </c>
      <c r="E4849">
        <v>0.24470290374348999</v>
      </c>
      <c r="F4849">
        <v>0.135976139303085</v>
      </c>
      <c r="G4849">
        <v>6.3536110840180404E-2</v>
      </c>
      <c r="H4849">
        <v>4.6887552402675697E-2</v>
      </c>
      <c r="I4849">
        <v>3.5036863549361301E-2</v>
      </c>
      <c r="J4849">
        <v>4.72817172899943E-2</v>
      </c>
      <c r="K4849">
        <v>5.8961025936338098E-2</v>
      </c>
      <c r="L4849">
        <v>1144.95217584129</v>
      </c>
      <c r="M4849">
        <v>25.853741224606001</v>
      </c>
      <c r="N4849">
        <v>44.479320328064802</v>
      </c>
      <c r="O4849">
        <v>44.023363068270498</v>
      </c>
      <c r="P4849">
        <v>-0.13900804377158699</v>
      </c>
      <c r="Q4849">
        <v>5.3208414537901198E-2</v>
      </c>
      <c r="R4849">
        <v>0.99825253226503297</v>
      </c>
      <c r="S4849" t="s">
        <v>11417</v>
      </c>
      <c r="T4849" t="s">
        <v>13134</v>
      </c>
      <c r="U4849" t="s">
        <v>13134</v>
      </c>
      <c r="V4849" t="s">
        <v>13134</v>
      </c>
      <c r="W4849" t="s">
        <v>17921</v>
      </c>
      <c r="X4849">
        <v>6</v>
      </c>
      <c r="Y4849" t="s">
        <v>24291</v>
      </c>
      <c r="Z4849" t="s">
        <v>30817</v>
      </c>
      <c r="AA4849">
        <v>0.2903686752799125</v>
      </c>
      <c r="AB4849" t="str">
        <f>HYPERLINK("Melting_Curves/meltCurve_Q92625_ANKS1A.pdf", "Melting_Curves/meltCurve_Q92625_ANKS1A.pdf")</f>
        <v>Melting_Curves/meltCurve_Q92625_ANKS1A.pdf</v>
      </c>
    </row>
    <row r="4850" spans="1:28" x14ac:dyDescent="0.25">
      <c r="A4850" t="s">
        <v>4854</v>
      </c>
      <c r="B4850">
        <v>0.99472303558308395</v>
      </c>
      <c r="C4850">
        <v>0.87497099194149297</v>
      </c>
      <c r="D4850">
        <v>0.81815291116767197</v>
      </c>
      <c r="E4850">
        <v>0.53179801759756395</v>
      </c>
      <c r="F4850">
        <v>0.38286186487492502</v>
      </c>
      <c r="G4850">
        <v>0.14390548608500101</v>
      </c>
      <c r="H4850">
        <v>9.0522987508879701E-2</v>
      </c>
      <c r="I4850">
        <v>6.8466792438701102E-2</v>
      </c>
      <c r="J4850">
        <v>9.2269240444382603E-2</v>
      </c>
      <c r="K4850">
        <v>0</v>
      </c>
      <c r="L4850">
        <v>605.20474968171402</v>
      </c>
      <c r="M4850">
        <v>12.7657761949653</v>
      </c>
      <c r="N4850">
        <v>47.4661944343122</v>
      </c>
      <c r="O4850">
        <v>46.290200400027402</v>
      </c>
      <c r="P4850">
        <v>-6.8425416925789906E-2</v>
      </c>
      <c r="Q4850">
        <v>7.7138343685260596E-3</v>
      </c>
      <c r="R4850">
        <v>0.99101885222705499</v>
      </c>
      <c r="S4850" t="s">
        <v>11418</v>
      </c>
      <c r="T4850" t="s">
        <v>13134</v>
      </c>
      <c r="U4850" t="s">
        <v>13134</v>
      </c>
      <c r="V4850" t="s">
        <v>13134</v>
      </c>
      <c r="W4850" t="s">
        <v>17922</v>
      </c>
      <c r="X4850">
        <v>1</v>
      </c>
      <c r="Y4850" t="s">
        <v>24292</v>
      </c>
      <c r="Z4850" t="s">
        <v>30818</v>
      </c>
      <c r="AA4850">
        <v>0.38099664056731442</v>
      </c>
      <c r="AB4850" t="str">
        <f>HYPERLINK("Melting_Curves/meltCurve_Q92636_NSMAF.pdf", "Melting_Curves/meltCurve_Q92636_NSMAF.pdf")</f>
        <v>Melting_Curves/meltCurve_Q92636_NSMAF.pdf</v>
      </c>
    </row>
    <row r="4851" spans="1:28" x14ac:dyDescent="0.25">
      <c r="A4851" t="s">
        <v>4855</v>
      </c>
      <c r="B4851">
        <v>0.99472303558308395</v>
      </c>
      <c r="C4851">
        <v>0.91790791402283001</v>
      </c>
      <c r="D4851">
        <v>0.68536247495331504</v>
      </c>
      <c r="E4851">
        <v>0.35738316713330898</v>
      </c>
      <c r="F4851">
        <v>0.17386457309974199</v>
      </c>
      <c r="G4851">
        <v>0.112452892499874</v>
      </c>
      <c r="H4851">
        <v>7.1105657941886197E-2</v>
      </c>
      <c r="I4851">
        <v>4.15090508275325E-2</v>
      </c>
      <c r="J4851">
        <v>9.6146409191321697E-2</v>
      </c>
      <c r="K4851">
        <v>3.2569485341818902E-2</v>
      </c>
      <c r="L4851">
        <v>822.02018348388901</v>
      </c>
      <c r="M4851">
        <v>18.387865645030701</v>
      </c>
      <c r="N4851">
        <v>45.002198819088399</v>
      </c>
      <c r="O4851">
        <v>44.185819692412501</v>
      </c>
      <c r="P4851">
        <v>-9.8083609452778803E-2</v>
      </c>
      <c r="Q4851">
        <v>5.7267858418149797E-2</v>
      </c>
      <c r="R4851">
        <v>0.997545473402775</v>
      </c>
      <c r="S4851" t="s">
        <v>11419</v>
      </c>
      <c r="T4851" t="s">
        <v>13134</v>
      </c>
      <c r="U4851" t="s">
        <v>13134</v>
      </c>
      <c r="V4851" t="s">
        <v>13134</v>
      </c>
      <c r="W4851" t="s">
        <v>17923</v>
      </c>
      <c r="X4851">
        <v>2</v>
      </c>
      <c r="Y4851" t="s">
        <v>24293</v>
      </c>
      <c r="Z4851" t="s">
        <v>30819</v>
      </c>
      <c r="AA4851">
        <v>0.31424057882194217</v>
      </c>
      <c r="AB4851" t="str">
        <f>HYPERLINK("Melting_Curves/meltCurve_Q92664_2_GTF3A.pdf", "Melting_Curves/meltCurve_Q92664_2_GTF3A.pdf")</f>
        <v>Melting_Curves/meltCurve_Q92664_2_GTF3A.pdf</v>
      </c>
    </row>
    <row r="4852" spans="1:28" x14ac:dyDescent="0.25">
      <c r="A4852" t="s">
        <v>4856</v>
      </c>
      <c r="B4852">
        <v>0.99472303558308395</v>
      </c>
      <c r="C4852">
        <v>0.85939027761348996</v>
      </c>
      <c r="D4852">
        <v>0.81946208165220302</v>
      </c>
      <c r="E4852">
        <v>0.48183870541582802</v>
      </c>
      <c r="F4852">
        <v>0.35038703713422598</v>
      </c>
      <c r="G4852">
        <v>0.173128883396581</v>
      </c>
      <c r="H4852">
        <v>0.10205508076407099</v>
      </c>
      <c r="I4852">
        <v>8.4566226190299604E-2</v>
      </c>
      <c r="J4852">
        <v>9.4172316289186694E-2</v>
      </c>
      <c r="K4852">
        <v>7.6896387776611799E-2</v>
      </c>
      <c r="L4852">
        <v>637.51332835619996</v>
      </c>
      <c r="M4852">
        <v>13.6980008374845</v>
      </c>
      <c r="N4852">
        <v>46.954028550379597</v>
      </c>
      <c r="O4852">
        <v>45.582327306517001</v>
      </c>
      <c r="P4852">
        <v>-7.0870081368544696E-2</v>
      </c>
      <c r="Q4852">
        <v>5.6808952257838601E-2</v>
      </c>
      <c r="R4852">
        <v>0.99151988572659699</v>
      </c>
      <c r="S4852" t="s">
        <v>11420</v>
      </c>
      <c r="T4852" t="s">
        <v>13134</v>
      </c>
      <c r="U4852" t="s">
        <v>13134</v>
      </c>
      <c r="V4852" t="s">
        <v>13134</v>
      </c>
      <c r="W4852" t="s">
        <v>17924</v>
      </c>
      <c r="X4852">
        <v>4</v>
      </c>
      <c r="Y4852" t="s">
        <v>24294</v>
      </c>
      <c r="Z4852" t="s">
        <v>30820</v>
      </c>
      <c r="AA4852">
        <v>0.3820409996837632</v>
      </c>
      <c r="AB4852" t="str">
        <f>HYPERLINK("Melting_Curves/meltCurve_Q92665_MRPS31.pdf", "Melting_Curves/meltCurve_Q92665_MRPS31.pdf")</f>
        <v>Melting_Curves/meltCurve_Q92665_MRPS31.pdf</v>
      </c>
    </row>
    <row r="4853" spans="1:28" x14ac:dyDescent="0.25">
      <c r="A4853" t="s">
        <v>4857</v>
      </c>
      <c r="B4853">
        <v>0.99472303558308395</v>
      </c>
      <c r="C4853">
        <v>1.0442519679067701</v>
      </c>
      <c r="D4853">
        <v>0.70462397546125399</v>
      </c>
      <c r="E4853">
        <v>0.50412068932748599</v>
      </c>
      <c r="F4853">
        <v>0.23557113933936599</v>
      </c>
      <c r="G4853">
        <v>0.124191575357695</v>
      </c>
      <c r="H4853">
        <v>8.7055674731014498E-2</v>
      </c>
      <c r="I4853">
        <v>6.6226986987907105E-2</v>
      </c>
      <c r="J4853">
        <v>8.1095969136634694E-2</v>
      </c>
      <c r="K4853">
        <v>8.0688016224477604E-2</v>
      </c>
      <c r="L4853">
        <v>816.44469284585398</v>
      </c>
      <c r="M4853">
        <v>17.791263702677899</v>
      </c>
      <c r="N4853">
        <v>46.268984030393</v>
      </c>
      <c r="O4853">
        <v>45.322228420954303</v>
      </c>
      <c r="P4853">
        <v>-9.1491685882643101E-2</v>
      </c>
      <c r="Q4853">
        <v>6.7769158083969397E-2</v>
      </c>
      <c r="R4853">
        <v>0.98652162126441301</v>
      </c>
      <c r="S4853" t="s">
        <v>11421</v>
      </c>
      <c r="T4853" t="s">
        <v>13134</v>
      </c>
      <c r="U4853" t="s">
        <v>13134</v>
      </c>
      <c r="V4853" t="s">
        <v>13134</v>
      </c>
      <c r="W4853" t="s">
        <v>17925</v>
      </c>
      <c r="X4853">
        <v>9</v>
      </c>
      <c r="Y4853" t="s">
        <v>24295</v>
      </c>
      <c r="Z4853" t="s">
        <v>30821</v>
      </c>
      <c r="AA4853">
        <v>0.35946642060665829</v>
      </c>
      <c r="AB4853" t="str">
        <f>HYPERLINK("Melting_Curves/meltCurve_Q92667_AKAP1.pdf", "Melting_Curves/meltCurve_Q92667_AKAP1.pdf")</f>
        <v>Melting_Curves/meltCurve_Q92667_AKAP1.pdf</v>
      </c>
    </row>
    <row r="4854" spans="1:28" x14ac:dyDescent="0.25">
      <c r="A4854" t="s">
        <v>4858</v>
      </c>
      <c r="B4854">
        <v>0.99472303558308395</v>
      </c>
      <c r="C4854">
        <v>0.95486815530481595</v>
      </c>
      <c r="D4854">
        <v>1.0924910730876101</v>
      </c>
      <c r="E4854">
        <v>0.83393787959847498</v>
      </c>
      <c r="F4854">
        <v>0.55840652814345004</v>
      </c>
      <c r="G4854">
        <v>0.59052655177186397</v>
      </c>
      <c r="H4854">
        <v>0.63281978405359796</v>
      </c>
      <c r="I4854">
        <v>0.74126137721216701</v>
      </c>
      <c r="J4854">
        <v>1.21115690919014</v>
      </c>
      <c r="K4854">
        <v>0.74148839550999102</v>
      </c>
      <c r="L4854">
        <v>11620.404975747801</v>
      </c>
      <c r="M4854">
        <v>250</v>
      </c>
      <c r="O4854">
        <v>46.478645414756997</v>
      </c>
      <c r="P4854">
        <v>-0.34163100570782501</v>
      </c>
      <c r="Q4854">
        <v>0.745943258414411</v>
      </c>
      <c r="R4854">
        <v>0.323607443507544</v>
      </c>
      <c r="S4854" t="s">
        <v>11422</v>
      </c>
      <c r="T4854" t="s">
        <v>13134</v>
      </c>
      <c r="U4854" t="s">
        <v>13134</v>
      </c>
      <c r="V4854" t="s">
        <v>13134</v>
      </c>
      <c r="W4854" t="s">
        <v>17926</v>
      </c>
      <c r="X4854">
        <v>1</v>
      </c>
      <c r="Y4854" t="s">
        <v>24296</v>
      </c>
      <c r="Z4854" t="s">
        <v>30822</v>
      </c>
      <c r="AA4854">
        <v>0.82625963155460369</v>
      </c>
      <c r="AB4854" t="str">
        <f>HYPERLINK("Melting_Curves/meltCurve_Q92686_NRGN.pdf", "Melting_Curves/meltCurve_Q92686_NRGN.pdf")</f>
        <v>Melting_Curves/meltCurve_Q92686_NRGN.pdf</v>
      </c>
    </row>
    <row r="4855" spans="1:28" x14ac:dyDescent="0.25">
      <c r="A4855" t="s">
        <v>4859</v>
      </c>
      <c r="B4855">
        <v>0.99472303558308395</v>
      </c>
      <c r="C4855">
        <v>0.94141257130032696</v>
      </c>
      <c r="D4855">
        <v>1.09383950458137</v>
      </c>
      <c r="E4855">
        <v>0.99706385842304701</v>
      </c>
      <c r="F4855">
        <v>0.69564713473355599</v>
      </c>
      <c r="G4855">
        <v>0.52298551972875496</v>
      </c>
      <c r="H4855">
        <v>0.119227899270248</v>
      </c>
      <c r="I4855">
        <v>6.7497630461202801E-2</v>
      </c>
      <c r="J4855">
        <v>5.6547917500081799E-2</v>
      </c>
      <c r="K4855">
        <v>5.2152960369560901E-2</v>
      </c>
      <c r="L4855">
        <v>1131.5482076196899</v>
      </c>
      <c r="M4855">
        <v>21.3238745340111</v>
      </c>
      <c r="N4855">
        <v>53.169370749009197</v>
      </c>
      <c r="O4855">
        <v>52.604776557633599</v>
      </c>
      <c r="P4855">
        <v>-9.9262406320435301E-2</v>
      </c>
      <c r="Q4855">
        <v>2.0526069540351299E-2</v>
      </c>
      <c r="R4855">
        <v>0.98099755474474903</v>
      </c>
      <c r="S4855" t="s">
        <v>11423</v>
      </c>
      <c r="T4855" t="s">
        <v>13134</v>
      </c>
      <c r="U4855" t="s">
        <v>13134</v>
      </c>
      <c r="V4855" t="s">
        <v>13134</v>
      </c>
      <c r="W4855" t="s">
        <v>17927</v>
      </c>
      <c r="X4855">
        <v>9</v>
      </c>
      <c r="Y4855" t="s">
        <v>24297</v>
      </c>
      <c r="Z4855" t="s">
        <v>30823</v>
      </c>
      <c r="AA4855">
        <v>0.55622801856837645</v>
      </c>
      <c r="AB4855" t="str">
        <f>HYPERLINK("Melting_Curves/meltCurve_Q92688_2_ANP32B.pdf", "Melting_Curves/meltCurve_Q92688_2_ANP32B.pdf")</f>
        <v>Melting_Curves/meltCurve_Q92688_2_ANP32B.pdf</v>
      </c>
    </row>
    <row r="4856" spans="1:28" x14ac:dyDescent="0.25">
      <c r="A4856" t="s">
        <v>4860</v>
      </c>
      <c r="B4856">
        <v>0.99472303558308395</v>
      </c>
      <c r="C4856">
        <v>1.0371523488901</v>
      </c>
      <c r="D4856">
        <v>0.93754584954500397</v>
      </c>
      <c r="E4856">
        <v>0.91609073799527696</v>
      </c>
      <c r="F4856">
        <v>0.71482935006683102</v>
      </c>
      <c r="G4856">
        <v>0.62035880787667197</v>
      </c>
      <c r="H4856">
        <v>0.40544992866138602</v>
      </c>
      <c r="I4856">
        <v>0.354480297422827</v>
      </c>
      <c r="J4856">
        <v>0.28324301954721798</v>
      </c>
      <c r="K4856">
        <v>0.30383532339583202</v>
      </c>
      <c r="L4856">
        <v>722.13061516509595</v>
      </c>
      <c r="M4856">
        <v>13.6728482228303</v>
      </c>
      <c r="N4856">
        <v>55.5234578998272</v>
      </c>
      <c r="O4856">
        <v>51.7235935702981</v>
      </c>
      <c r="P4856">
        <v>-5.0009844388567801E-2</v>
      </c>
      <c r="Q4856">
        <v>0.243372376008056</v>
      </c>
      <c r="R4856">
        <v>0.98949982672937797</v>
      </c>
      <c r="S4856" t="s">
        <v>11424</v>
      </c>
      <c r="T4856" t="s">
        <v>13134</v>
      </c>
      <c r="U4856" t="s">
        <v>13134</v>
      </c>
      <c r="V4856" t="s">
        <v>13134</v>
      </c>
      <c r="W4856" t="s">
        <v>17928</v>
      </c>
      <c r="X4856">
        <v>13</v>
      </c>
      <c r="Y4856" t="s">
        <v>24298</v>
      </c>
      <c r="Z4856" t="s">
        <v>30824</v>
      </c>
      <c r="AA4856">
        <v>0.65715482359171562</v>
      </c>
      <c r="AB4856" t="str">
        <f>HYPERLINK("Melting_Curves/meltCurve_Q92692_PVRL2.pdf", "Melting_Curves/meltCurve_Q92692_PVRL2.pdf")</f>
        <v>Melting_Curves/meltCurve_Q92692_PVRL2.pdf</v>
      </c>
    </row>
    <row r="4857" spans="1:28" x14ac:dyDescent="0.25">
      <c r="A4857" t="s">
        <v>4861</v>
      </c>
      <c r="B4857">
        <v>0.99472303558308395</v>
      </c>
      <c r="C4857">
        <v>1.0535707743564</v>
      </c>
      <c r="D4857">
        <v>0.94043180786439196</v>
      </c>
      <c r="E4857">
        <v>0.86873397971530297</v>
      </c>
      <c r="F4857">
        <v>0.89456236929607202</v>
      </c>
      <c r="G4857">
        <v>0.63227370778169101</v>
      </c>
      <c r="H4857">
        <v>0.43116079950364899</v>
      </c>
      <c r="I4857">
        <v>0.38470543942102903</v>
      </c>
      <c r="J4857">
        <v>0.31324942258320398</v>
      </c>
      <c r="K4857">
        <v>0.33587780409018297</v>
      </c>
      <c r="L4857">
        <v>963.40965061312704</v>
      </c>
      <c r="M4857">
        <v>17.990119916259701</v>
      </c>
      <c r="N4857">
        <v>56.3901775369646</v>
      </c>
      <c r="O4857">
        <v>52.903606734244697</v>
      </c>
      <c r="P4857">
        <v>-5.9698482684193803E-2</v>
      </c>
      <c r="Q4857">
        <v>0.29781259809799199</v>
      </c>
      <c r="R4857">
        <v>0.97700159153072297</v>
      </c>
      <c r="S4857" t="s">
        <v>11425</v>
      </c>
      <c r="T4857" t="s">
        <v>13134</v>
      </c>
      <c r="U4857" t="s">
        <v>13134</v>
      </c>
      <c r="V4857" t="s">
        <v>13134</v>
      </c>
      <c r="W4857" t="s">
        <v>17929</v>
      </c>
      <c r="X4857">
        <v>12</v>
      </c>
      <c r="Y4857" t="s">
        <v>24298</v>
      </c>
      <c r="Z4857" t="s">
        <v>30825</v>
      </c>
      <c r="AA4857">
        <v>0.69515699379452978</v>
      </c>
      <c r="AB4857" t="str">
        <f>HYPERLINK("Melting_Curves/meltCurve_Q92692_2_PVRL2.pdf", "Melting_Curves/meltCurve_Q92692_2_PVRL2.pdf")</f>
        <v>Melting_Curves/meltCurve_Q92692_2_PVRL2.pdf</v>
      </c>
    </row>
    <row r="4858" spans="1:28" x14ac:dyDescent="0.25">
      <c r="A4858" t="s">
        <v>4862</v>
      </c>
      <c r="B4858">
        <v>0.99472303558308395</v>
      </c>
      <c r="C4858">
        <v>0.93051647628436995</v>
      </c>
      <c r="D4858">
        <v>1.0201245624447799</v>
      </c>
      <c r="E4858">
        <v>0.87723900069971805</v>
      </c>
      <c r="F4858">
        <v>0.622390312129805</v>
      </c>
      <c r="G4858">
        <v>0.23093891333630701</v>
      </c>
      <c r="H4858">
        <v>9.5966629531894096E-2</v>
      </c>
      <c r="I4858">
        <v>5.8643380799002998E-2</v>
      </c>
      <c r="J4858">
        <v>7.1481332311482002E-2</v>
      </c>
      <c r="K4858">
        <v>5.9330054840306602E-2</v>
      </c>
      <c r="L4858">
        <v>1268.3027963883601</v>
      </c>
      <c r="M4858">
        <v>24.9447628466121</v>
      </c>
      <c r="N4858">
        <v>51.068385374200901</v>
      </c>
      <c r="O4858">
        <v>50.521063997604699</v>
      </c>
      <c r="P4858">
        <v>-0.11704421199354299</v>
      </c>
      <c r="Q4858">
        <v>5.1806114457855601E-2</v>
      </c>
      <c r="R4858">
        <v>0.99534697207747402</v>
      </c>
      <c r="S4858" t="s">
        <v>11426</v>
      </c>
      <c r="T4858" t="s">
        <v>13134</v>
      </c>
      <c r="U4858" t="s">
        <v>13134</v>
      </c>
      <c r="V4858" t="s">
        <v>13134</v>
      </c>
      <c r="W4858" t="s">
        <v>17930</v>
      </c>
      <c r="X4858">
        <v>15</v>
      </c>
      <c r="Y4858" t="s">
        <v>24299</v>
      </c>
      <c r="Z4858" t="s">
        <v>30826</v>
      </c>
      <c r="AA4858">
        <v>0.49777112846058569</v>
      </c>
      <c r="AB4858" t="str">
        <f>HYPERLINK("Melting_Curves/meltCurve_Q92696_RABGGTA.pdf", "Melting_Curves/meltCurve_Q92696_RABGGTA.pdf")</f>
        <v>Melting_Curves/meltCurve_Q92696_RABGGTA.pdf</v>
      </c>
    </row>
    <row r="4859" spans="1:28" x14ac:dyDescent="0.25">
      <c r="A4859" t="s">
        <v>4863</v>
      </c>
      <c r="B4859">
        <v>0.99472303558308395</v>
      </c>
      <c r="C4859">
        <v>0.82675290038729898</v>
      </c>
      <c r="D4859">
        <v>0.52942486545101397</v>
      </c>
      <c r="E4859">
        <v>0.21344145448499099</v>
      </c>
      <c r="F4859">
        <v>0.124321144081599</v>
      </c>
      <c r="G4859">
        <v>8.0724821356204304E-2</v>
      </c>
      <c r="H4859">
        <v>5.9401669359690101E-2</v>
      </c>
      <c r="I4859">
        <v>3.3767486186642902E-2</v>
      </c>
      <c r="J4859">
        <v>6.2242929219066198E-2</v>
      </c>
      <c r="K4859">
        <v>7.1841116474446104E-2</v>
      </c>
      <c r="L4859">
        <v>872.07404939455</v>
      </c>
      <c r="M4859">
        <v>20.2904625693489</v>
      </c>
      <c r="N4859">
        <v>43.245992498597097</v>
      </c>
      <c r="O4859">
        <v>42.568561410634999</v>
      </c>
      <c r="P4859">
        <v>-0.112164388990127</v>
      </c>
      <c r="Q4859">
        <v>5.8763622705670697E-2</v>
      </c>
      <c r="R4859">
        <v>0.998004171422604</v>
      </c>
      <c r="S4859" t="s">
        <v>11427</v>
      </c>
      <c r="T4859" t="s">
        <v>13134</v>
      </c>
      <c r="U4859" t="s">
        <v>13134</v>
      </c>
      <c r="V4859" t="s">
        <v>13134</v>
      </c>
      <c r="W4859" t="s">
        <v>17931</v>
      </c>
      <c r="X4859">
        <v>3</v>
      </c>
      <c r="Y4859" t="s">
        <v>24300</v>
      </c>
      <c r="Z4859" t="s">
        <v>30827</v>
      </c>
      <c r="AA4859">
        <v>0.25908424302958238</v>
      </c>
      <c r="AB4859" t="str">
        <f>HYPERLINK("Melting_Curves/meltCurve_Q92698_RAD54L.pdf", "Melting_Curves/meltCurve_Q92698_RAD54L.pdf")</f>
        <v>Melting_Curves/meltCurve_Q92698_RAD54L.pdf</v>
      </c>
    </row>
    <row r="4860" spans="1:28" x14ac:dyDescent="0.25">
      <c r="A4860" t="s">
        <v>4864</v>
      </c>
      <c r="B4860">
        <v>0.99472303558308395</v>
      </c>
      <c r="C4860">
        <v>0.962854614802233</v>
      </c>
      <c r="D4860">
        <v>0.81911534256374996</v>
      </c>
      <c r="E4860">
        <v>0.65954626607625599</v>
      </c>
      <c r="F4860">
        <v>0.591285586964718</v>
      </c>
      <c r="G4860">
        <v>0.303470864873226</v>
      </c>
      <c r="H4860">
        <v>0.22337717652932701</v>
      </c>
      <c r="I4860">
        <v>0.327015160326179</v>
      </c>
      <c r="J4860">
        <v>0.240250509667504</v>
      </c>
      <c r="K4860">
        <v>0.29479929703864899</v>
      </c>
      <c r="L4860">
        <v>645.02430202017194</v>
      </c>
      <c r="M4860">
        <v>13.536545838392099</v>
      </c>
      <c r="N4860">
        <v>50.008377941561903</v>
      </c>
      <c r="O4860">
        <v>46.646720008710503</v>
      </c>
      <c r="P4860">
        <v>-5.5443595622901798E-2</v>
      </c>
      <c r="Q4860">
        <v>0.23588434726488999</v>
      </c>
      <c r="R4860">
        <v>0.96607059371785597</v>
      </c>
      <c r="S4860" t="s">
        <v>11428</v>
      </c>
      <c r="T4860" t="s">
        <v>13134</v>
      </c>
      <c r="U4860" t="s">
        <v>13134</v>
      </c>
      <c r="V4860" t="s">
        <v>13134</v>
      </c>
      <c r="W4860" t="s">
        <v>17932</v>
      </c>
      <c r="X4860">
        <v>9</v>
      </c>
      <c r="Y4860" t="s">
        <v>24301</v>
      </c>
      <c r="Z4860" t="s">
        <v>30828</v>
      </c>
      <c r="AA4860">
        <v>0.52730238587438549</v>
      </c>
      <c r="AB4860" t="str">
        <f>HYPERLINK("Melting_Curves/meltCurve_Q92734_2_TFG.pdf", "Melting_Curves/meltCurve_Q92734_2_TFG.pdf")</f>
        <v>Melting_Curves/meltCurve_Q92734_2_TFG.pdf</v>
      </c>
    </row>
    <row r="4861" spans="1:28" x14ac:dyDescent="0.25">
      <c r="A4861" t="s">
        <v>4865</v>
      </c>
      <c r="B4861">
        <v>0.99472303558308395</v>
      </c>
      <c r="C4861">
        <v>1.1157390484809599</v>
      </c>
      <c r="D4861">
        <v>0.94637548191029597</v>
      </c>
      <c r="E4861">
        <v>0.82010747208030899</v>
      </c>
      <c r="F4861">
        <v>0.77915321778785396</v>
      </c>
      <c r="G4861">
        <v>0.40910639229260698</v>
      </c>
      <c r="H4861">
        <v>0.36641804641008402</v>
      </c>
      <c r="I4861">
        <v>0.28975922968384299</v>
      </c>
      <c r="J4861">
        <v>0.38948067446175599</v>
      </c>
      <c r="K4861">
        <v>0.16600678871397501</v>
      </c>
      <c r="L4861">
        <v>868.71686878345099</v>
      </c>
      <c r="M4861">
        <v>16.936430646214099</v>
      </c>
      <c r="N4861">
        <v>53.450514701020097</v>
      </c>
      <c r="O4861">
        <v>50.593720046462401</v>
      </c>
      <c r="P4861">
        <v>-6.2968872570717704E-2</v>
      </c>
      <c r="Q4861">
        <v>0.24762677634205199</v>
      </c>
      <c r="R4861">
        <v>0.94626689799862895</v>
      </c>
      <c r="S4861" t="s">
        <v>11429</v>
      </c>
      <c r="T4861" t="s">
        <v>13134</v>
      </c>
      <c r="U4861" t="s">
        <v>13134</v>
      </c>
      <c r="V4861" t="s">
        <v>13134</v>
      </c>
      <c r="W4861" t="s">
        <v>17933</v>
      </c>
      <c r="X4861">
        <v>2</v>
      </c>
      <c r="Y4861" t="s">
        <v>24302</v>
      </c>
      <c r="Z4861" t="s">
        <v>30829</v>
      </c>
      <c r="AA4861">
        <v>0.61876247978772403</v>
      </c>
      <c r="AB4861" t="str">
        <f>HYPERLINK("Melting_Curves/meltCurve_Q92747_ARPC1A.pdf", "Melting_Curves/meltCurve_Q92747_ARPC1A.pdf")</f>
        <v>Melting_Curves/meltCurve_Q92747_ARPC1A.pdf</v>
      </c>
    </row>
    <row r="4862" spans="1:28" x14ac:dyDescent="0.25">
      <c r="A4862" t="s">
        <v>4866</v>
      </c>
      <c r="B4862">
        <v>0.99472303558308395</v>
      </c>
      <c r="C4862">
        <v>0.86719336371509403</v>
      </c>
      <c r="D4862">
        <v>0.66544166834595397</v>
      </c>
      <c r="E4862">
        <v>0.39732282503667299</v>
      </c>
      <c r="F4862">
        <v>0.166961316813139</v>
      </c>
      <c r="G4862">
        <v>6.1613858946648697E-2</v>
      </c>
      <c r="H4862">
        <v>4.1624145593578403E-2</v>
      </c>
      <c r="I4862">
        <v>3.4321580117059297E-2</v>
      </c>
      <c r="J4862">
        <v>5.9143475619123399E-2</v>
      </c>
      <c r="K4862">
        <v>3.3578528116272002E-2</v>
      </c>
      <c r="L4862">
        <v>719.85257087438799</v>
      </c>
      <c r="M4862">
        <v>16.040512209044699</v>
      </c>
      <c r="N4862">
        <v>45.013798202421903</v>
      </c>
      <c r="O4862">
        <v>44.1970326309158</v>
      </c>
      <c r="P4862">
        <v>-8.8583829835436098E-2</v>
      </c>
      <c r="Q4862">
        <v>2.37620409813507E-2</v>
      </c>
      <c r="R4862">
        <v>0.99736295231428795</v>
      </c>
      <c r="S4862" t="s">
        <v>11430</v>
      </c>
      <c r="T4862" t="s">
        <v>13134</v>
      </c>
      <c r="U4862" t="s">
        <v>13134</v>
      </c>
      <c r="V4862" t="s">
        <v>13134</v>
      </c>
      <c r="W4862" t="s">
        <v>17934</v>
      </c>
      <c r="X4862">
        <v>6</v>
      </c>
      <c r="Y4862" t="s">
        <v>24303</v>
      </c>
      <c r="Z4862" t="s">
        <v>30830</v>
      </c>
      <c r="AA4862">
        <v>0.3004591514448986</v>
      </c>
      <c r="AB4862" t="str">
        <f>HYPERLINK("Melting_Curves/meltCurve_Q92759_GTF2H4.pdf", "Melting_Curves/meltCurve_Q92759_GTF2H4.pdf")</f>
        <v>Melting_Curves/meltCurve_Q92759_GTF2H4.pdf</v>
      </c>
    </row>
    <row r="4863" spans="1:28" x14ac:dyDescent="0.25">
      <c r="A4863" t="s">
        <v>4867</v>
      </c>
      <c r="B4863">
        <v>0.99472303558308395</v>
      </c>
      <c r="C4863">
        <v>0.91733329817368303</v>
      </c>
      <c r="D4863">
        <v>0.59864828801572401</v>
      </c>
      <c r="E4863">
        <v>0.34872899396838303</v>
      </c>
      <c r="F4863">
        <v>0.14815468672670001</v>
      </c>
      <c r="G4863">
        <v>7.2920287052863894E-2</v>
      </c>
      <c r="H4863">
        <v>5.49717093033762E-2</v>
      </c>
      <c r="I4863">
        <v>3.82886346438297E-2</v>
      </c>
      <c r="J4863">
        <v>6.4975816608517298E-2</v>
      </c>
      <c r="K4863">
        <v>5.1049677086804503E-2</v>
      </c>
      <c r="L4863">
        <v>797.51020005689304</v>
      </c>
      <c r="M4863">
        <v>18.032619157380999</v>
      </c>
      <c r="N4863">
        <v>44.464655467689497</v>
      </c>
      <c r="O4863">
        <v>43.692847349346998</v>
      </c>
      <c r="P4863">
        <v>-9.8423677437626506E-2</v>
      </c>
      <c r="Q4863">
        <v>4.6128571531208799E-2</v>
      </c>
      <c r="R4863">
        <v>0.99585079047135205</v>
      </c>
      <c r="S4863" t="s">
        <v>11431</v>
      </c>
      <c r="T4863" t="s">
        <v>13134</v>
      </c>
      <c r="U4863" t="s">
        <v>13134</v>
      </c>
      <c r="V4863" t="s">
        <v>13134</v>
      </c>
      <c r="W4863" t="s">
        <v>17935</v>
      </c>
      <c r="X4863">
        <v>8</v>
      </c>
      <c r="Y4863" t="s">
        <v>24304</v>
      </c>
      <c r="Z4863" t="s">
        <v>30831</v>
      </c>
      <c r="AA4863">
        <v>0.2917644084680262</v>
      </c>
      <c r="AB4863" t="str">
        <f>HYPERLINK("Melting_Curves/meltCurve_Q92766_RREB1.pdf", "Melting_Curves/meltCurve_Q92766_RREB1.pdf")</f>
        <v>Melting_Curves/meltCurve_Q92766_RREB1.pdf</v>
      </c>
    </row>
    <row r="4864" spans="1:28" x14ac:dyDescent="0.25">
      <c r="A4864" t="s">
        <v>4868</v>
      </c>
      <c r="B4864">
        <v>0.99472303558308395</v>
      </c>
      <c r="C4864">
        <v>0.83761833825144005</v>
      </c>
      <c r="D4864">
        <v>0.96134674023450695</v>
      </c>
      <c r="E4864">
        <v>0.81034995121661602</v>
      </c>
      <c r="F4864">
        <v>0.45987080168687999</v>
      </c>
      <c r="G4864">
        <v>0.14358424228219899</v>
      </c>
      <c r="H4864">
        <v>8.7831207850343804E-2</v>
      </c>
      <c r="I4864">
        <v>6.7111050905210495E-2</v>
      </c>
      <c r="J4864">
        <v>9.09924070199465E-2</v>
      </c>
      <c r="K4864">
        <v>8.32689530417626E-2</v>
      </c>
      <c r="L4864">
        <v>1187.00330345048</v>
      </c>
      <c r="M4864">
        <v>24.067224525467601</v>
      </c>
      <c r="N4864">
        <v>49.615444596504197</v>
      </c>
      <c r="O4864">
        <v>48.983600105606001</v>
      </c>
      <c r="P4864">
        <v>-0.114643077434967</v>
      </c>
      <c r="Q4864">
        <v>6.6690397109295502E-2</v>
      </c>
      <c r="R4864">
        <v>0.98094075392215196</v>
      </c>
      <c r="S4864" t="s">
        <v>11432</v>
      </c>
      <c r="T4864" t="s">
        <v>13134</v>
      </c>
      <c r="U4864" t="s">
        <v>13134</v>
      </c>
      <c r="V4864" t="s">
        <v>13134</v>
      </c>
      <c r="W4864" t="s">
        <v>17936</v>
      </c>
      <c r="X4864">
        <v>17</v>
      </c>
      <c r="Y4864" t="s">
        <v>24305</v>
      </c>
      <c r="Z4864" t="s">
        <v>30832</v>
      </c>
      <c r="AA4864">
        <v>0.45869244871261572</v>
      </c>
      <c r="AB4864" t="str">
        <f>HYPERLINK("Melting_Curves/meltCurve_Q92783_2_STAM.pdf", "Melting_Curves/meltCurve_Q92783_2_STAM.pdf")</f>
        <v>Melting_Curves/meltCurve_Q92783_2_STAM.pdf</v>
      </c>
    </row>
    <row r="4865" spans="1:28" x14ac:dyDescent="0.25">
      <c r="A4865" t="s">
        <v>4869</v>
      </c>
      <c r="B4865">
        <v>0.99472303558308395</v>
      </c>
      <c r="C4865">
        <v>0.87584265246048298</v>
      </c>
      <c r="D4865">
        <v>0.93094129691383798</v>
      </c>
      <c r="E4865">
        <v>0.71279711607387497</v>
      </c>
      <c r="F4865">
        <v>0.42755477440053202</v>
      </c>
      <c r="G4865">
        <v>0.18065663619833999</v>
      </c>
      <c r="H4865">
        <v>7.2633177739917801E-2</v>
      </c>
      <c r="I4865">
        <v>5.5366966025201497E-2</v>
      </c>
      <c r="J4865">
        <v>5.6860405627881999E-2</v>
      </c>
      <c r="K4865">
        <v>5.6738749986936801E-2</v>
      </c>
      <c r="L4865">
        <v>842.39664478276904</v>
      </c>
      <c r="M4865">
        <v>17.2197009320716</v>
      </c>
      <c r="N4865">
        <v>49.087045411814501</v>
      </c>
      <c r="O4865">
        <v>48.275056850777098</v>
      </c>
      <c r="P4865">
        <v>-8.6649934916321197E-2</v>
      </c>
      <c r="Q4865">
        <v>2.8372478963637201E-2</v>
      </c>
      <c r="R4865">
        <v>0.99107241125879098</v>
      </c>
      <c r="S4865" t="s">
        <v>11433</v>
      </c>
      <c r="T4865" t="s">
        <v>13134</v>
      </c>
      <c r="U4865" t="s">
        <v>13134</v>
      </c>
      <c r="V4865" t="s">
        <v>13134</v>
      </c>
      <c r="W4865" t="s">
        <v>17937</v>
      </c>
      <c r="X4865">
        <v>12</v>
      </c>
      <c r="Y4865" t="s">
        <v>24306</v>
      </c>
      <c r="Z4865" t="s">
        <v>30833</v>
      </c>
      <c r="AA4865">
        <v>0.43113707358436237</v>
      </c>
      <c r="AB4865" t="str">
        <f>HYPERLINK("Melting_Curves/meltCurve_Q92793_2_CREBBP.pdf", "Melting_Curves/meltCurve_Q92793_2_CREBBP.pdf")</f>
        <v>Melting_Curves/meltCurve_Q92793_2_CREBBP.pdf</v>
      </c>
    </row>
    <row r="4866" spans="1:28" x14ac:dyDescent="0.25">
      <c r="A4866" t="s">
        <v>4870</v>
      </c>
      <c r="B4866">
        <v>0.99472303558308395</v>
      </c>
      <c r="C4866">
        <v>1.0322933695600101</v>
      </c>
      <c r="D4866">
        <v>0.85165163458618598</v>
      </c>
      <c r="E4866">
        <v>0.43214205340935602</v>
      </c>
      <c r="F4866">
        <v>0.13434695618311701</v>
      </c>
      <c r="G4866">
        <v>8.0681722428029207E-2</v>
      </c>
      <c r="H4866">
        <v>5.6802997046815601E-2</v>
      </c>
      <c r="I4866">
        <v>4.6717372100348098E-2</v>
      </c>
      <c r="J4866">
        <v>4.8024160836596302E-2</v>
      </c>
      <c r="K4866">
        <v>4.2155763729469498E-2</v>
      </c>
      <c r="L4866">
        <v>1223.0191580676999</v>
      </c>
      <c r="M4866">
        <v>26.6513700813178</v>
      </c>
      <c r="N4866">
        <v>46.069659491946901</v>
      </c>
      <c r="O4866">
        <v>45.633524587896702</v>
      </c>
      <c r="P4866">
        <v>-0.13878517625407799</v>
      </c>
      <c r="Q4866">
        <v>4.9476328654877798E-2</v>
      </c>
      <c r="R4866">
        <v>0.99822767968815196</v>
      </c>
      <c r="S4866" t="s">
        <v>11434</v>
      </c>
      <c r="T4866" t="s">
        <v>13134</v>
      </c>
      <c r="U4866" t="s">
        <v>13134</v>
      </c>
      <c r="V4866" t="s">
        <v>13134</v>
      </c>
      <c r="W4866" t="s">
        <v>17938</v>
      </c>
      <c r="X4866">
        <v>20</v>
      </c>
      <c r="Y4866" t="s">
        <v>24307</v>
      </c>
      <c r="Z4866" t="s">
        <v>30834</v>
      </c>
      <c r="AA4866">
        <v>0.33803100339531839</v>
      </c>
      <c r="AB4866" t="str">
        <f>HYPERLINK("Melting_Curves/meltCurve_Q92797_SYMPK.pdf", "Melting_Curves/meltCurve_Q92797_SYMPK.pdf")</f>
        <v>Melting_Curves/meltCurve_Q92797_SYMPK.pdf</v>
      </c>
    </row>
    <row r="4867" spans="1:28" x14ac:dyDescent="0.25">
      <c r="A4867" t="s">
        <v>4871</v>
      </c>
      <c r="B4867">
        <v>0.99472303558308395</v>
      </c>
      <c r="C4867">
        <v>0.82520525935668598</v>
      </c>
      <c r="D4867">
        <v>0.84332639623928296</v>
      </c>
      <c r="E4867">
        <v>0.73245207838853199</v>
      </c>
      <c r="F4867">
        <v>0.76034984848282605</v>
      </c>
      <c r="G4867">
        <v>0.41300742729755102</v>
      </c>
      <c r="H4867">
        <v>0.34591105773085801</v>
      </c>
      <c r="I4867">
        <v>0.352110147593511</v>
      </c>
      <c r="J4867">
        <v>0.35457395333444502</v>
      </c>
      <c r="K4867">
        <v>0.250885057867621</v>
      </c>
      <c r="L4867">
        <v>386.33080133372601</v>
      </c>
      <c r="M4867">
        <v>7.4558628652611096</v>
      </c>
      <c r="N4867">
        <v>53.967941786575601</v>
      </c>
      <c r="O4867">
        <v>48.4805537375657</v>
      </c>
      <c r="P4867">
        <v>-3.3552407472554301E-2</v>
      </c>
      <c r="Q4867">
        <v>0.128603941684338</v>
      </c>
      <c r="R4867">
        <v>0.92824149935141598</v>
      </c>
      <c r="S4867" t="s">
        <v>11435</v>
      </c>
      <c r="T4867" t="s">
        <v>13134</v>
      </c>
      <c r="U4867" t="s">
        <v>13134</v>
      </c>
      <c r="V4867" t="s">
        <v>13134</v>
      </c>
      <c r="W4867" t="s">
        <v>17939</v>
      </c>
      <c r="X4867">
        <v>7</v>
      </c>
      <c r="Y4867" t="s">
        <v>24308</v>
      </c>
      <c r="Z4867" t="s">
        <v>30835</v>
      </c>
      <c r="AA4867">
        <v>0.58516066123998833</v>
      </c>
      <c r="AB4867" t="str">
        <f>HYPERLINK("Melting_Curves/meltCurve_Q92804_2_TAF15.pdf", "Melting_Curves/meltCurve_Q92804_2_TAF15.pdf")</f>
        <v>Melting_Curves/meltCurve_Q92804_2_TAF15.pdf</v>
      </c>
    </row>
    <row r="4868" spans="1:28" x14ac:dyDescent="0.25">
      <c r="A4868" t="s">
        <v>4872</v>
      </c>
      <c r="B4868">
        <v>0.99472303558308395</v>
      </c>
      <c r="C4868">
        <v>1.02881708011035</v>
      </c>
      <c r="D4868">
        <v>0.97836886011347102</v>
      </c>
      <c r="E4868">
        <v>0.69912312774049201</v>
      </c>
      <c r="F4868">
        <v>0.29849784850988298</v>
      </c>
      <c r="G4868">
        <v>0.15882726690679899</v>
      </c>
      <c r="H4868">
        <v>0.100634568107185</v>
      </c>
      <c r="I4868">
        <v>8.24209852547379E-2</v>
      </c>
      <c r="J4868">
        <v>9.5755222104890902E-2</v>
      </c>
      <c r="K4868">
        <v>6.8124856840631506E-2</v>
      </c>
      <c r="L4868">
        <v>1253.13446521274</v>
      </c>
      <c r="M4868">
        <v>26.141234587786201</v>
      </c>
      <c r="N4868">
        <v>48.2888995115295</v>
      </c>
      <c r="O4868">
        <v>47.659195028647297</v>
      </c>
      <c r="P4868">
        <v>-0.12523718465234801</v>
      </c>
      <c r="Q4868">
        <v>8.6709407687230303E-2</v>
      </c>
      <c r="R4868">
        <v>0.99834448224542904</v>
      </c>
      <c r="S4868" t="s">
        <v>11436</v>
      </c>
      <c r="T4868" t="s">
        <v>13134</v>
      </c>
      <c r="U4868" t="s">
        <v>13134</v>
      </c>
      <c r="V4868" t="s">
        <v>13134</v>
      </c>
      <c r="W4868" t="s">
        <v>17940</v>
      </c>
      <c r="X4868">
        <v>16</v>
      </c>
      <c r="Y4868" t="s">
        <v>24309</v>
      </c>
      <c r="Z4868" t="s">
        <v>30836</v>
      </c>
      <c r="AA4868">
        <v>0.42678336007694823</v>
      </c>
      <c r="AB4868" t="str">
        <f>HYPERLINK("Melting_Curves/meltCurve_Q92805_GOLGA1.pdf", "Melting_Curves/meltCurve_Q92805_GOLGA1.pdf")</f>
        <v>Melting_Curves/meltCurve_Q92805_GOLGA1.pdf</v>
      </c>
    </row>
    <row r="4869" spans="1:28" x14ac:dyDescent="0.25">
      <c r="A4869" t="s">
        <v>4873</v>
      </c>
      <c r="B4869">
        <v>0.99472303558308395</v>
      </c>
      <c r="C4869">
        <v>0.90385252176058595</v>
      </c>
      <c r="D4869">
        <v>0.97170586363408795</v>
      </c>
      <c r="E4869">
        <v>0.80407215599927095</v>
      </c>
      <c r="F4869">
        <v>0.64319225346828202</v>
      </c>
      <c r="G4869">
        <v>0.48856991421034601</v>
      </c>
      <c r="H4869">
        <v>0.49078223219352801</v>
      </c>
      <c r="I4869">
        <v>0.54193155521332403</v>
      </c>
      <c r="J4869">
        <v>0.79471992061007501</v>
      </c>
      <c r="K4869">
        <v>0.486635047650196</v>
      </c>
      <c r="L4869">
        <v>1395.48252289269</v>
      </c>
      <c r="M4869">
        <v>29.732518237851899</v>
      </c>
      <c r="O4869">
        <v>46.723774483541199</v>
      </c>
      <c r="P4869">
        <v>-6.9561037631887299E-2</v>
      </c>
      <c r="Q4869">
        <v>0.56275048062234601</v>
      </c>
      <c r="R4869">
        <v>0.78592876235759301</v>
      </c>
      <c r="S4869" t="s">
        <v>11437</v>
      </c>
      <c r="T4869" t="s">
        <v>13134</v>
      </c>
      <c r="U4869" t="s">
        <v>13134</v>
      </c>
      <c r="V4869" t="s">
        <v>13134</v>
      </c>
      <c r="W4869" t="s">
        <v>17941</v>
      </c>
      <c r="X4869">
        <v>5</v>
      </c>
      <c r="Y4869" t="s">
        <v>24310</v>
      </c>
      <c r="Z4869" t="s">
        <v>30837</v>
      </c>
      <c r="AA4869">
        <v>0.71013106205805465</v>
      </c>
      <c r="AB4869" t="str">
        <f>HYPERLINK("Melting_Curves/meltCurve_Q92820_GGH.pdf", "Melting_Curves/meltCurve_Q92820_GGH.pdf")</f>
        <v>Melting_Curves/meltCurve_Q92820_GGH.pdf</v>
      </c>
    </row>
    <row r="4870" spans="1:28" x14ac:dyDescent="0.25">
      <c r="A4870" t="s">
        <v>4874</v>
      </c>
      <c r="B4870">
        <v>0.99472303558308395</v>
      </c>
      <c r="C4870">
        <v>0.788290009391724</v>
      </c>
      <c r="D4870">
        <v>0.74642769402260301</v>
      </c>
      <c r="E4870">
        <v>0.47114444574695302</v>
      </c>
      <c r="F4870">
        <v>0.182880957768427</v>
      </c>
      <c r="G4870">
        <v>8.5144128144755304E-2</v>
      </c>
      <c r="H4870">
        <v>9.8056177576152995E-2</v>
      </c>
      <c r="I4870">
        <v>6.7339279473618605E-2</v>
      </c>
      <c r="J4870">
        <v>0.170478183000454</v>
      </c>
      <c r="K4870">
        <v>6.7339780588263107E-2</v>
      </c>
      <c r="L4870">
        <v>703.08171870713295</v>
      </c>
      <c r="M4870">
        <v>15.5798007974371</v>
      </c>
      <c r="N4870">
        <v>45.571555178746898</v>
      </c>
      <c r="O4870">
        <v>44.403890353134798</v>
      </c>
      <c r="P4870">
        <v>-8.1549907263676294E-2</v>
      </c>
      <c r="Q4870">
        <v>7.0381193185640498E-2</v>
      </c>
      <c r="R4870">
        <v>0.97390697732085196</v>
      </c>
      <c r="S4870" t="s">
        <v>11438</v>
      </c>
      <c r="T4870" t="s">
        <v>13134</v>
      </c>
      <c r="U4870" t="s">
        <v>13134</v>
      </c>
      <c r="V4870" t="s">
        <v>13134</v>
      </c>
      <c r="W4870" t="s">
        <v>17942</v>
      </c>
      <c r="X4870">
        <v>3</v>
      </c>
      <c r="Y4870" t="s">
        <v>24311</v>
      </c>
      <c r="Z4870" t="s">
        <v>30838</v>
      </c>
      <c r="AA4870">
        <v>0.34264931550810729</v>
      </c>
      <c r="AB4870" t="str">
        <f>HYPERLINK("Melting_Curves/meltCurve_Q92828_CORO2A.pdf", "Melting_Curves/meltCurve_Q92828_CORO2A.pdf")</f>
        <v>Melting_Curves/meltCurve_Q92828_CORO2A.pdf</v>
      </c>
    </row>
    <row r="4871" spans="1:28" x14ac:dyDescent="0.25">
      <c r="A4871" t="s">
        <v>4875</v>
      </c>
      <c r="B4871">
        <v>0.99472303558308395</v>
      </c>
      <c r="C4871">
        <v>0.96465543384363295</v>
      </c>
      <c r="D4871">
        <v>0.78282476944114099</v>
      </c>
      <c r="E4871">
        <v>0.82826632032797498</v>
      </c>
      <c r="F4871">
        <v>0.50183132291327404</v>
      </c>
      <c r="G4871">
        <v>0.13239777617486201</v>
      </c>
      <c r="H4871">
        <v>8.3098048426007903E-2</v>
      </c>
      <c r="I4871">
        <v>5.5452105891848298E-2</v>
      </c>
      <c r="J4871">
        <v>6.3205744311497003E-2</v>
      </c>
      <c r="K4871">
        <v>5.5702660892546399E-2</v>
      </c>
      <c r="L4871">
        <v>939.17929853715998</v>
      </c>
      <c r="M4871">
        <v>18.941436103509702</v>
      </c>
      <c r="N4871">
        <v>49.730130474975503</v>
      </c>
      <c r="O4871">
        <v>49.040580380220902</v>
      </c>
      <c r="P4871">
        <v>-9.3938302335934601E-2</v>
      </c>
      <c r="Q4871">
        <v>2.71904449589115E-2</v>
      </c>
      <c r="R4871">
        <v>0.97379252231190805</v>
      </c>
      <c r="S4871" t="s">
        <v>11439</v>
      </c>
      <c r="T4871" t="s">
        <v>13134</v>
      </c>
      <c r="U4871" t="s">
        <v>13134</v>
      </c>
      <c r="V4871" t="s">
        <v>13134</v>
      </c>
      <c r="W4871" t="s">
        <v>17943</v>
      </c>
      <c r="X4871">
        <v>8</v>
      </c>
      <c r="Y4871" t="s">
        <v>24312</v>
      </c>
      <c r="Z4871" t="s">
        <v>30839</v>
      </c>
      <c r="AA4871">
        <v>0.44933664654530048</v>
      </c>
      <c r="AB4871" t="str">
        <f>HYPERLINK("Melting_Curves/meltCurve_Q92843_2_BCL2L2.pdf", "Melting_Curves/meltCurve_Q92843_2_BCL2L2.pdf")</f>
        <v>Melting_Curves/meltCurve_Q92843_2_BCL2L2.pdf</v>
      </c>
    </row>
    <row r="4872" spans="1:28" x14ac:dyDescent="0.25">
      <c r="A4872" t="s">
        <v>4876</v>
      </c>
      <c r="B4872">
        <v>0.99472303558308395</v>
      </c>
      <c r="C4872">
        <v>1.0981270245067001</v>
      </c>
      <c r="D4872">
        <v>0.875747982313277</v>
      </c>
      <c r="E4872">
        <v>0.78777700844881304</v>
      </c>
      <c r="F4872">
        <v>0.37973438062690901</v>
      </c>
      <c r="G4872">
        <v>0.28076620004161701</v>
      </c>
      <c r="H4872">
        <v>0.282307558276851</v>
      </c>
      <c r="I4872">
        <v>0.33650926573576201</v>
      </c>
      <c r="J4872">
        <v>0.38508208741121502</v>
      </c>
      <c r="K4872">
        <v>0.179940703966743</v>
      </c>
      <c r="L4872">
        <v>1565.3563793419301</v>
      </c>
      <c r="M4872">
        <v>32.891868130234997</v>
      </c>
      <c r="N4872">
        <v>48.861514732639399</v>
      </c>
      <c r="O4872">
        <v>47.416122301158502</v>
      </c>
      <c r="P4872">
        <v>-0.123577658336364</v>
      </c>
      <c r="Q4872">
        <v>0.28741723640758599</v>
      </c>
      <c r="R4872">
        <v>0.95636333011050201</v>
      </c>
      <c r="S4872" t="s">
        <v>11440</v>
      </c>
      <c r="T4872" t="s">
        <v>13134</v>
      </c>
      <c r="U4872" t="s">
        <v>13134</v>
      </c>
      <c r="V4872" t="s">
        <v>13134</v>
      </c>
      <c r="W4872" t="s">
        <v>17944</v>
      </c>
      <c r="X4872">
        <v>2</v>
      </c>
      <c r="Y4872" t="s">
        <v>24313</v>
      </c>
      <c r="Z4872" t="s">
        <v>30840</v>
      </c>
      <c r="AA4872">
        <v>0.54246122458220425</v>
      </c>
      <c r="AB4872" t="str">
        <f>HYPERLINK("Melting_Curves/meltCurve_Q92844_TANK.pdf", "Melting_Curves/meltCurve_Q92844_TANK.pdf")</f>
        <v>Melting_Curves/meltCurve_Q92844_TANK.pdf</v>
      </c>
    </row>
    <row r="4873" spans="1:28" x14ac:dyDescent="0.25">
      <c r="A4873" t="s">
        <v>4877</v>
      </c>
      <c r="B4873">
        <v>0.99472303558308395</v>
      </c>
      <c r="C4873">
        <v>1.0271725868279</v>
      </c>
      <c r="D4873">
        <v>0.80895346606765295</v>
      </c>
      <c r="E4873">
        <v>0.59946123434835297</v>
      </c>
      <c r="F4873">
        <v>0.168065875504954</v>
      </c>
      <c r="G4873">
        <v>9.3132877498522795E-2</v>
      </c>
      <c r="H4873">
        <v>6.5967735952495804E-2</v>
      </c>
      <c r="I4873">
        <v>5.3777999058856697E-2</v>
      </c>
      <c r="J4873">
        <v>7.8010350011360405E-2</v>
      </c>
      <c r="K4873">
        <v>6.1645722895030897E-2</v>
      </c>
      <c r="L4873">
        <v>1059.80732207028</v>
      </c>
      <c r="M4873">
        <v>22.6770116025845</v>
      </c>
      <c r="N4873">
        <v>46.966672495966399</v>
      </c>
      <c r="O4873">
        <v>46.375999284410803</v>
      </c>
      <c r="P4873">
        <v>-0.11577585180953399</v>
      </c>
      <c r="Q4873">
        <v>5.2941453689234801E-2</v>
      </c>
      <c r="R4873">
        <v>0.99091815178928899</v>
      </c>
      <c r="S4873" t="s">
        <v>11441</v>
      </c>
      <c r="T4873" t="s">
        <v>13134</v>
      </c>
      <c r="U4873" t="s">
        <v>13134</v>
      </c>
      <c r="V4873" t="s">
        <v>13134</v>
      </c>
      <c r="W4873" t="s">
        <v>17945</v>
      </c>
      <c r="X4873">
        <v>4</v>
      </c>
      <c r="Y4873" t="s">
        <v>24314</v>
      </c>
      <c r="Z4873" t="s">
        <v>30841</v>
      </c>
      <c r="AA4873">
        <v>0.3699026809562756</v>
      </c>
      <c r="AB4873" t="str">
        <f>HYPERLINK("Melting_Curves/meltCurve_Q92845_2_KIFAP3.pdf", "Melting_Curves/meltCurve_Q92845_2_KIFAP3.pdf")</f>
        <v>Melting_Curves/meltCurve_Q92845_2_KIFAP3.pdf</v>
      </c>
    </row>
    <row r="4874" spans="1:28" x14ac:dyDescent="0.25">
      <c r="A4874" t="s">
        <v>4878</v>
      </c>
      <c r="B4874">
        <v>0.99472303558308395</v>
      </c>
      <c r="C4874">
        <v>0.98052076586390702</v>
      </c>
      <c r="D4874">
        <v>0.96322102575189905</v>
      </c>
      <c r="E4874">
        <v>0.68690691750916599</v>
      </c>
      <c r="F4874">
        <v>0.24600413812906499</v>
      </c>
      <c r="G4874">
        <v>0.131753237494249</v>
      </c>
      <c r="H4874">
        <v>0.110369928999579</v>
      </c>
      <c r="I4874">
        <v>6.0943734178497001E-2</v>
      </c>
      <c r="J4874">
        <v>6.5647249204651606E-2</v>
      </c>
      <c r="K4874">
        <v>5.4681726673374398E-2</v>
      </c>
      <c r="L4874">
        <v>1328.7966136966299</v>
      </c>
      <c r="M4874">
        <v>27.857452870884199</v>
      </c>
      <c r="N4874">
        <v>47.9713491569374</v>
      </c>
      <c r="O4874">
        <v>47.456088190984097</v>
      </c>
      <c r="P4874">
        <v>-0.13605258987611399</v>
      </c>
      <c r="Q4874">
        <v>7.2927842865753295E-2</v>
      </c>
      <c r="R4874">
        <v>0.99853583760224895</v>
      </c>
      <c r="S4874" t="s">
        <v>11442</v>
      </c>
      <c r="T4874" t="s">
        <v>13134</v>
      </c>
      <c r="U4874" t="s">
        <v>13134</v>
      </c>
      <c r="V4874" t="s">
        <v>13134</v>
      </c>
      <c r="W4874" t="s">
        <v>17946</v>
      </c>
      <c r="X4874">
        <v>6</v>
      </c>
      <c r="Y4874" t="s">
        <v>24315</v>
      </c>
      <c r="Z4874" t="s">
        <v>30842</v>
      </c>
      <c r="AA4874">
        <v>0.40991560352200779</v>
      </c>
      <c r="AB4874" t="str">
        <f>HYPERLINK("Melting_Curves/meltCurve_Q92851_2_CASP10.pdf", "Melting_Curves/meltCurve_Q92851_2_CASP10.pdf")</f>
        <v>Melting_Curves/meltCurve_Q92851_2_CASP10.pdf</v>
      </c>
    </row>
    <row r="4875" spans="1:28" x14ac:dyDescent="0.25">
      <c r="A4875" t="s">
        <v>4879</v>
      </c>
      <c r="B4875">
        <v>0.99472303558308395</v>
      </c>
      <c r="C4875">
        <v>1.13796811224115</v>
      </c>
      <c r="D4875">
        <v>0.87972135683181796</v>
      </c>
      <c r="E4875">
        <v>0.73976276184998602</v>
      </c>
      <c r="F4875">
        <v>0.53688663128686798</v>
      </c>
      <c r="G4875">
        <v>0.27361281722842201</v>
      </c>
      <c r="H4875">
        <v>0.175956322906799</v>
      </c>
      <c r="I4875">
        <v>0.12645261246298101</v>
      </c>
      <c r="J4875">
        <v>0.16275410720710701</v>
      </c>
      <c r="K4875">
        <v>0.118358115428382</v>
      </c>
      <c r="L4875">
        <v>832.86195033356796</v>
      </c>
      <c r="M4875">
        <v>16.853919331479698</v>
      </c>
      <c r="N4875">
        <v>50.164014414317101</v>
      </c>
      <c r="O4875">
        <v>48.736543380203003</v>
      </c>
      <c r="P4875">
        <v>-7.6858966735654996E-2</v>
      </c>
      <c r="Q4875">
        <v>0.111043346715662</v>
      </c>
      <c r="R4875">
        <v>0.97825138364936604</v>
      </c>
      <c r="S4875" t="s">
        <v>11443</v>
      </c>
      <c r="T4875" t="s">
        <v>13134</v>
      </c>
      <c r="U4875" t="s">
        <v>13134</v>
      </c>
      <c r="V4875" t="s">
        <v>13134</v>
      </c>
      <c r="W4875" t="s">
        <v>17947</v>
      </c>
      <c r="X4875">
        <v>5</v>
      </c>
      <c r="Y4875" t="s">
        <v>24316</v>
      </c>
      <c r="Z4875" t="s">
        <v>30843</v>
      </c>
      <c r="AA4875">
        <v>0.49469678484113627</v>
      </c>
      <c r="AB4875" t="str">
        <f>HYPERLINK("Melting_Curves/meltCurve_Q92871_PMM1.pdf", "Melting_Curves/meltCurve_Q92871_PMM1.pdf")</f>
        <v>Melting_Curves/meltCurve_Q92871_PMM1.pdf</v>
      </c>
    </row>
    <row r="4876" spans="1:28" x14ac:dyDescent="0.25">
      <c r="A4876" t="s">
        <v>4880</v>
      </c>
      <c r="B4876">
        <v>0.99472303558308395</v>
      </c>
      <c r="C4876">
        <v>0.95769161710516004</v>
      </c>
      <c r="D4876">
        <v>0.82978116428534698</v>
      </c>
      <c r="E4876">
        <v>0.61594032768937301</v>
      </c>
      <c r="F4876">
        <v>0.26758424492911298</v>
      </c>
      <c r="G4876">
        <v>0.13224423635580099</v>
      </c>
      <c r="H4876">
        <v>6.6209066273745398E-2</v>
      </c>
      <c r="I4876">
        <v>4.91804017716733E-2</v>
      </c>
      <c r="J4876">
        <v>6.3400639368577996E-2</v>
      </c>
      <c r="K4876">
        <v>4.7442426462303497E-2</v>
      </c>
      <c r="L4876">
        <v>846.81632189704703</v>
      </c>
      <c r="M4876">
        <v>17.913283353609799</v>
      </c>
      <c r="N4876">
        <v>47.478938481915002</v>
      </c>
      <c r="O4876">
        <v>46.695771873153902</v>
      </c>
      <c r="P4876">
        <v>-9.2325691010801403E-2</v>
      </c>
      <c r="Q4876">
        <v>3.7361898879068302E-2</v>
      </c>
      <c r="R4876">
        <v>0.99781217472532902</v>
      </c>
      <c r="S4876" t="s">
        <v>11444</v>
      </c>
      <c r="T4876" t="s">
        <v>13134</v>
      </c>
      <c r="U4876" t="s">
        <v>13134</v>
      </c>
      <c r="V4876" t="s">
        <v>13134</v>
      </c>
      <c r="W4876" t="s">
        <v>17948</v>
      </c>
      <c r="X4876">
        <v>83</v>
      </c>
      <c r="Y4876" t="s">
        <v>24317</v>
      </c>
      <c r="Z4876" t="s">
        <v>30844</v>
      </c>
      <c r="AA4876">
        <v>0.38257940805094531</v>
      </c>
      <c r="AB4876" t="str">
        <f>HYPERLINK("Melting_Curves/meltCurve_Q92878_RAD50.pdf", "Melting_Curves/meltCurve_Q92878_RAD50.pdf")</f>
        <v>Melting_Curves/meltCurve_Q92878_RAD50.pdf</v>
      </c>
    </row>
    <row r="4877" spans="1:28" x14ac:dyDescent="0.25">
      <c r="A4877" t="s">
        <v>4881</v>
      </c>
      <c r="B4877">
        <v>0.99472303558308395</v>
      </c>
      <c r="C4877">
        <v>0.92154570633843702</v>
      </c>
      <c r="D4877">
        <v>1.01673681774082</v>
      </c>
      <c r="E4877">
        <v>0.64066189420540998</v>
      </c>
      <c r="F4877">
        <v>0.28267709496194998</v>
      </c>
      <c r="G4877">
        <v>0.171899707550243</v>
      </c>
      <c r="H4877">
        <v>0.104157137704328</v>
      </c>
      <c r="I4877">
        <v>6.9477019201407003E-2</v>
      </c>
      <c r="J4877">
        <v>7.2595981846008101E-2</v>
      </c>
      <c r="K4877">
        <v>6.2488934604657299E-2</v>
      </c>
      <c r="L4877">
        <v>1185.5643353504299</v>
      </c>
      <c r="M4877">
        <v>24.878325062147699</v>
      </c>
      <c r="N4877">
        <v>47.9931033504391</v>
      </c>
      <c r="O4877">
        <v>47.349802575220103</v>
      </c>
      <c r="P4877">
        <v>-0.12078298363574499</v>
      </c>
      <c r="Q4877">
        <v>8.0489171030798903E-2</v>
      </c>
      <c r="R4877">
        <v>0.99101019160508097</v>
      </c>
      <c r="S4877" t="s">
        <v>11445</v>
      </c>
      <c r="T4877" t="s">
        <v>13134</v>
      </c>
      <c r="U4877" t="s">
        <v>13134</v>
      </c>
      <c r="V4877" t="s">
        <v>13134</v>
      </c>
      <c r="W4877" t="s">
        <v>17949</v>
      </c>
      <c r="X4877">
        <v>4</v>
      </c>
      <c r="Y4877" t="s">
        <v>24318</v>
      </c>
      <c r="Z4877" t="s">
        <v>30845</v>
      </c>
      <c r="AA4877">
        <v>0.41492607837326362</v>
      </c>
      <c r="AB4877" t="str">
        <f>HYPERLINK("Melting_Curves/meltCurve_Q92882_OSTF1.pdf", "Melting_Curves/meltCurve_Q92882_OSTF1.pdf")</f>
        <v>Melting_Curves/meltCurve_Q92882_OSTF1.pdf</v>
      </c>
    </row>
    <row r="4878" spans="1:28" x14ac:dyDescent="0.25">
      <c r="A4878" t="s">
        <v>4882</v>
      </c>
      <c r="B4878">
        <v>0.99472303558308395</v>
      </c>
      <c r="C4878">
        <v>1.0837802881354099</v>
      </c>
      <c r="D4878">
        <v>0.90111385846041903</v>
      </c>
      <c r="E4878">
        <v>0.89129682242199704</v>
      </c>
      <c r="F4878">
        <v>0.714529950626559</v>
      </c>
      <c r="G4878">
        <v>0.36395255746654598</v>
      </c>
      <c r="H4878">
        <v>0.15989652460110601</v>
      </c>
      <c r="I4878">
        <v>0.131513547665947</v>
      </c>
      <c r="J4878">
        <v>0.151129995766832</v>
      </c>
      <c r="K4878">
        <v>7.7766090646751496E-2</v>
      </c>
      <c r="L4878">
        <v>1092.2431659935701</v>
      </c>
      <c r="M4878">
        <v>21.126557598989901</v>
      </c>
      <c r="N4878">
        <v>52.205672481557102</v>
      </c>
      <c r="O4878">
        <v>51.243477526666901</v>
      </c>
      <c r="P4878">
        <v>-9.3535464736648699E-2</v>
      </c>
      <c r="Q4878">
        <v>9.25247839885142E-2</v>
      </c>
      <c r="R4878">
        <v>0.98670508871635099</v>
      </c>
      <c r="S4878" t="s">
        <v>11446</v>
      </c>
      <c r="T4878" t="s">
        <v>13134</v>
      </c>
      <c r="U4878" t="s">
        <v>13134</v>
      </c>
      <c r="V4878" t="s">
        <v>13134</v>
      </c>
      <c r="W4878" t="s">
        <v>17950</v>
      </c>
      <c r="X4878">
        <v>4</v>
      </c>
      <c r="Y4878" t="s">
        <v>24319</v>
      </c>
      <c r="Z4878" t="s">
        <v>30846</v>
      </c>
      <c r="AA4878">
        <v>0.54796141305680057</v>
      </c>
      <c r="AB4878" t="str">
        <f>HYPERLINK("Melting_Curves/meltCurve_Q92889_ERCC4.pdf", "Melting_Curves/meltCurve_Q92889_ERCC4.pdf")</f>
        <v>Melting_Curves/meltCurve_Q92889_ERCC4.pdf</v>
      </c>
    </row>
    <row r="4879" spans="1:28" x14ac:dyDescent="0.25">
      <c r="A4879" t="s">
        <v>4883</v>
      </c>
      <c r="B4879">
        <v>0.99472303558308395</v>
      </c>
      <c r="C4879">
        <v>0.935984483486481</v>
      </c>
      <c r="D4879">
        <v>0.94673539288546804</v>
      </c>
      <c r="E4879">
        <v>0.82326224820692195</v>
      </c>
      <c r="F4879">
        <v>0.64341012020126298</v>
      </c>
      <c r="G4879">
        <v>0.439217069796557</v>
      </c>
      <c r="H4879">
        <v>0.27596064378296598</v>
      </c>
      <c r="I4879">
        <v>0.16466178690423</v>
      </c>
      <c r="J4879">
        <v>7.95698041886925E-2</v>
      </c>
      <c r="K4879">
        <v>5.9896527742662201E-2</v>
      </c>
      <c r="L4879">
        <v>638.38406400702195</v>
      </c>
      <c r="M4879">
        <v>12.1293414601832</v>
      </c>
      <c r="N4879">
        <v>52.631402351870598</v>
      </c>
      <c r="O4879">
        <v>51.262053077470298</v>
      </c>
      <c r="P4879">
        <v>-5.9167285730144202E-2</v>
      </c>
      <c r="Q4879">
        <v>0</v>
      </c>
      <c r="R4879">
        <v>0.99787254957217297</v>
      </c>
      <c r="S4879" t="s">
        <v>11447</v>
      </c>
      <c r="T4879" t="s">
        <v>13134</v>
      </c>
      <c r="U4879" t="s">
        <v>13134</v>
      </c>
      <c r="V4879" t="s">
        <v>13134</v>
      </c>
      <c r="W4879" t="s">
        <v>17951</v>
      </c>
      <c r="X4879">
        <v>14</v>
      </c>
      <c r="Y4879" t="s">
        <v>24320</v>
      </c>
      <c r="Z4879" t="s">
        <v>30847</v>
      </c>
      <c r="AA4879">
        <v>0.54301285282103917</v>
      </c>
      <c r="AB4879" t="str">
        <f>HYPERLINK("Melting_Curves/meltCurve_Q92890_UFD1L.pdf", "Melting_Curves/meltCurve_Q92890_UFD1L.pdf")</f>
        <v>Melting_Curves/meltCurve_Q92890_UFD1L.pdf</v>
      </c>
    </row>
    <row r="4880" spans="1:28" x14ac:dyDescent="0.25">
      <c r="A4880" t="s">
        <v>4884</v>
      </c>
      <c r="B4880">
        <v>0.99472303558308395</v>
      </c>
      <c r="C4880">
        <v>0.99777975448393497</v>
      </c>
      <c r="D4880">
        <v>0.90691571013513395</v>
      </c>
      <c r="E4880">
        <v>0.86135651670508895</v>
      </c>
      <c r="F4880">
        <v>0.69489063538561102</v>
      </c>
      <c r="G4880">
        <v>0.53880888805664395</v>
      </c>
      <c r="H4880">
        <v>0.36751525927756601</v>
      </c>
      <c r="I4880">
        <v>0.24378545413633601</v>
      </c>
      <c r="J4880">
        <v>0.233019097049046</v>
      </c>
      <c r="K4880">
        <v>0.27085688082077802</v>
      </c>
      <c r="L4880">
        <v>675.85138854905404</v>
      </c>
      <c r="M4880">
        <v>12.949492213303399</v>
      </c>
      <c r="N4880">
        <v>54.059954687208801</v>
      </c>
      <c r="O4880">
        <v>50.993723013556497</v>
      </c>
      <c r="P4880">
        <v>-5.2040838833368699E-2</v>
      </c>
      <c r="Q4880">
        <v>0.18042184839529701</v>
      </c>
      <c r="R4880">
        <v>0.99185433167002102</v>
      </c>
      <c r="S4880" t="s">
        <v>11448</v>
      </c>
      <c r="T4880" t="s">
        <v>13134</v>
      </c>
      <c r="U4880" t="s">
        <v>13134</v>
      </c>
      <c r="V4880" t="s">
        <v>13134</v>
      </c>
      <c r="W4880" t="s">
        <v>17952</v>
      </c>
      <c r="X4880">
        <v>36</v>
      </c>
      <c r="Y4880" t="s">
        <v>24321</v>
      </c>
      <c r="Z4880" t="s">
        <v>30848</v>
      </c>
      <c r="AA4880">
        <v>0.61338153943361262</v>
      </c>
      <c r="AB4880" t="str">
        <f>HYPERLINK("Melting_Curves/meltCurve_Q92896_GLG1.pdf", "Melting_Curves/meltCurve_Q92896_GLG1.pdf")</f>
        <v>Melting_Curves/meltCurve_Q92896_GLG1.pdf</v>
      </c>
    </row>
    <row r="4881" spans="1:28" x14ac:dyDescent="0.25">
      <c r="A4881" t="s">
        <v>4885</v>
      </c>
      <c r="B4881">
        <v>0.99472303558308395</v>
      </c>
      <c r="C4881">
        <v>0.99712845984778398</v>
      </c>
      <c r="D4881">
        <v>0.90771878082470503</v>
      </c>
      <c r="E4881">
        <v>0.78563841958896596</v>
      </c>
      <c r="F4881">
        <v>0.53871970900087895</v>
      </c>
      <c r="G4881">
        <v>0.24670455400305799</v>
      </c>
      <c r="H4881">
        <v>0.100371629065962</v>
      </c>
      <c r="I4881">
        <v>7.89468280250709E-2</v>
      </c>
      <c r="J4881">
        <v>8.8258846228623095E-2</v>
      </c>
      <c r="K4881">
        <v>6.96301487516435E-2</v>
      </c>
      <c r="L4881">
        <v>881.23444276894304</v>
      </c>
      <c r="M4881">
        <v>17.626199583173399</v>
      </c>
      <c r="N4881">
        <v>50.274359068236599</v>
      </c>
      <c r="O4881">
        <v>49.365520982629498</v>
      </c>
      <c r="P4881">
        <v>-8.5114318657652704E-2</v>
      </c>
      <c r="Q4881">
        <v>4.6536100152174298E-2</v>
      </c>
      <c r="R4881">
        <v>0.99667937175430099</v>
      </c>
      <c r="S4881" t="s">
        <v>11449</v>
      </c>
      <c r="T4881" t="s">
        <v>13134</v>
      </c>
      <c r="U4881" t="s">
        <v>13134</v>
      </c>
      <c r="V4881" t="s">
        <v>13134</v>
      </c>
      <c r="W4881" t="s">
        <v>17953</v>
      </c>
      <c r="X4881">
        <v>50</v>
      </c>
      <c r="Y4881" t="s">
        <v>24322</v>
      </c>
      <c r="Z4881" t="s">
        <v>30849</v>
      </c>
      <c r="AA4881">
        <v>0.47511568540167631</v>
      </c>
      <c r="AB4881" t="str">
        <f>HYPERLINK("Melting_Curves/meltCurve_Q92900_UPF1.pdf", "Melting_Curves/meltCurve_Q92900_UPF1.pdf")</f>
        <v>Melting_Curves/meltCurve_Q92900_UPF1.pdf</v>
      </c>
    </row>
    <row r="4882" spans="1:28" x14ac:dyDescent="0.25">
      <c r="A4882" t="s">
        <v>4886</v>
      </c>
      <c r="B4882">
        <v>0.99472303558308395</v>
      </c>
      <c r="C4882">
        <v>0.84459378912245997</v>
      </c>
      <c r="D4882">
        <v>0.96323576785436504</v>
      </c>
      <c r="E4882">
        <v>0.82485235338113805</v>
      </c>
      <c r="F4882">
        <v>0.86699939080339095</v>
      </c>
      <c r="G4882">
        <v>0.44472422540593898</v>
      </c>
      <c r="H4882">
        <v>0.10371191452300101</v>
      </c>
      <c r="I4882">
        <v>6.6679629198883303E-2</v>
      </c>
      <c r="J4882">
        <v>5.7106706289568099E-2</v>
      </c>
      <c r="K4882">
        <v>5.2318238593737403E-2</v>
      </c>
      <c r="L4882">
        <v>1474.40905109238</v>
      </c>
      <c r="M4882">
        <v>27.7676125322503</v>
      </c>
      <c r="N4882">
        <v>53.246810871849597</v>
      </c>
      <c r="O4882">
        <v>52.825052969226803</v>
      </c>
      <c r="P4882">
        <v>-0.126512970526583</v>
      </c>
      <c r="Q4882">
        <v>3.7296399013902103E-2</v>
      </c>
      <c r="R4882">
        <v>0.96632593888347096</v>
      </c>
      <c r="S4882" t="s">
        <v>11450</v>
      </c>
      <c r="T4882" t="s">
        <v>13134</v>
      </c>
      <c r="U4882" t="s">
        <v>13134</v>
      </c>
      <c r="V4882" t="s">
        <v>13134</v>
      </c>
      <c r="W4882" t="s">
        <v>17954</v>
      </c>
      <c r="X4882">
        <v>9</v>
      </c>
      <c r="Y4882" t="s">
        <v>24323</v>
      </c>
      <c r="Z4882" t="s">
        <v>30850</v>
      </c>
      <c r="AA4882">
        <v>0.56095509415041422</v>
      </c>
      <c r="AB4882" t="str">
        <f>HYPERLINK("Melting_Curves/meltCurve_Q92905_COPS5.pdf", "Melting_Curves/meltCurve_Q92905_COPS5.pdf")</f>
        <v>Melting_Curves/meltCurve_Q92905_COPS5.pdf</v>
      </c>
    </row>
    <row r="4883" spans="1:28" x14ac:dyDescent="0.25">
      <c r="A4883" t="s">
        <v>4887</v>
      </c>
      <c r="B4883">
        <v>0.99472303558308395</v>
      </c>
      <c r="C4883">
        <v>1.0176377018527401</v>
      </c>
      <c r="D4883">
        <v>0.925221703009804</v>
      </c>
      <c r="E4883">
        <v>0.63405310100908996</v>
      </c>
      <c r="F4883">
        <v>0.224433403626769</v>
      </c>
      <c r="G4883">
        <v>0.111316542772118</v>
      </c>
      <c r="H4883">
        <v>7.0552252721121603E-2</v>
      </c>
      <c r="I4883">
        <v>5.1881892094533401E-2</v>
      </c>
      <c r="J4883">
        <v>5.6318318735860198E-2</v>
      </c>
      <c r="K4883">
        <v>5.50206139238405E-2</v>
      </c>
      <c r="L4883">
        <v>1227.89619076087</v>
      </c>
      <c r="M4883">
        <v>25.9207093513049</v>
      </c>
      <c r="N4883">
        <v>47.591812111904602</v>
      </c>
      <c r="O4883">
        <v>47.091992304335903</v>
      </c>
      <c r="P4883">
        <v>-0.12981995343891201</v>
      </c>
      <c r="Q4883">
        <v>5.6598586776673697E-2</v>
      </c>
      <c r="R4883">
        <v>0.99927838343963105</v>
      </c>
      <c r="S4883" t="s">
        <v>11451</v>
      </c>
      <c r="T4883" t="s">
        <v>13134</v>
      </c>
      <c r="U4883" t="s">
        <v>13134</v>
      </c>
      <c r="V4883" t="s">
        <v>13134</v>
      </c>
      <c r="W4883" t="s">
        <v>17955</v>
      </c>
      <c r="X4883">
        <v>24</v>
      </c>
      <c r="Y4883" t="s">
        <v>24324</v>
      </c>
      <c r="Z4883" t="s">
        <v>30851</v>
      </c>
      <c r="AA4883">
        <v>0.39014947731367261</v>
      </c>
      <c r="AB4883" t="str">
        <f>HYPERLINK("Melting_Curves/meltCurve_Q92917_GPKOW.pdf", "Melting_Curves/meltCurve_Q92917_GPKOW.pdf")</f>
        <v>Melting_Curves/meltCurve_Q92917_GPKOW.pdf</v>
      </c>
    </row>
    <row r="4884" spans="1:28" x14ac:dyDescent="0.25">
      <c r="A4884" t="s">
        <v>4888</v>
      </c>
      <c r="B4884">
        <v>0.99472303558308395</v>
      </c>
      <c r="C4884">
        <v>0.87992954892127395</v>
      </c>
      <c r="D4884">
        <v>0.59451224456287899</v>
      </c>
      <c r="E4884">
        <v>0.25700005413263499</v>
      </c>
      <c r="F4884">
        <v>9.2799865028809006E-2</v>
      </c>
      <c r="G4884">
        <v>5.7797365156745197E-2</v>
      </c>
      <c r="H4884">
        <v>3.9021417163413598E-2</v>
      </c>
      <c r="I4884">
        <v>2.61731293469145E-2</v>
      </c>
      <c r="J4884">
        <v>2.7100119029675199E-2</v>
      </c>
      <c r="K4884">
        <v>2.05832401212564E-2</v>
      </c>
      <c r="L4884">
        <v>874.80578925148302</v>
      </c>
      <c r="M4884">
        <v>19.977795000071001</v>
      </c>
      <c r="N4884">
        <v>43.907826332221298</v>
      </c>
      <c r="O4884">
        <v>43.357235023530997</v>
      </c>
      <c r="P4884">
        <v>-0.11216301887959899</v>
      </c>
      <c r="Q4884">
        <v>2.6335101422968799E-2</v>
      </c>
      <c r="R4884">
        <v>0.99953083591899095</v>
      </c>
      <c r="S4884" t="s">
        <v>11452</v>
      </c>
      <c r="T4884" t="s">
        <v>13134</v>
      </c>
      <c r="U4884" t="s">
        <v>13134</v>
      </c>
      <c r="V4884" t="s">
        <v>13134</v>
      </c>
      <c r="W4884" t="s">
        <v>17956</v>
      </c>
      <c r="X4884">
        <v>24</v>
      </c>
      <c r="Y4884" t="s">
        <v>24325</v>
      </c>
      <c r="Z4884" t="s">
        <v>30852</v>
      </c>
      <c r="AA4884">
        <v>0.25981827192751922</v>
      </c>
      <c r="AB4884" t="str">
        <f>HYPERLINK("Melting_Curves/meltCurve_Q92922_SMARCC1.pdf", "Melting_Curves/meltCurve_Q92922_SMARCC1.pdf")</f>
        <v>Melting_Curves/meltCurve_Q92922_SMARCC1.pdf</v>
      </c>
    </row>
    <row r="4885" spans="1:28" x14ac:dyDescent="0.25">
      <c r="A4885" t="s">
        <v>4889</v>
      </c>
      <c r="B4885">
        <v>0.99472303558308395</v>
      </c>
      <c r="C4885">
        <v>0.96972822196957897</v>
      </c>
      <c r="D4885">
        <v>0.98956650492075504</v>
      </c>
      <c r="E4885">
        <v>0.93240882546063197</v>
      </c>
      <c r="F4885">
        <v>0.72226395335048399</v>
      </c>
      <c r="G4885">
        <v>0.60396945033230298</v>
      </c>
      <c r="H4885">
        <v>0.48066046390599299</v>
      </c>
      <c r="I4885">
        <v>0.48644760761400602</v>
      </c>
      <c r="J4885">
        <v>0.54146971026024704</v>
      </c>
      <c r="K4885">
        <v>0.37545065878974199</v>
      </c>
      <c r="L4885">
        <v>974.11510822314096</v>
      </c>
      <c r="M4885">
        <v>19.258411301941798</v>
      </c>
      <c r="N4885">
        <v>57.597344401081003</v>
      </c>
      <c r="O4885">
        <v>50.045370465535697</v>
      </c>
      <c r="P4885">
        <v>-5.2710685641372802E-2</v>
      </c>
      <c r="Q4885">
        <v>0.45211969295726301</v>
      </c>
      <c r="R4885">
        <v>0.96986330465339998</v>
      </c>
      <c r="S4885" t="s">
        <v>11453</v>
      </c>
      <c r="T4885" t="s">
        <v>13134</v>
      </c>
      <c r="U4885" t="s">
        <v>13134</v>
      </c>
      <c r="V4885" t="s">
        <v>13134</v>
      </c>
      <c r="W4885" t="s">
        <v>17957</v>
      </c>
      <c r="X4885">
        <v>10</v>
      </c>
      <c r="Y4885" t="s">
        <v>24326</v>
      </c>
      <c r="Z4885" t="s">
        <v>30853</v>
      </c>
      <c r="AA4885">
        <v>0.70781949624434282</v>
      </c>
      <c r="AB4885" t="str">
        <f>HYPERLINK("Melting_Curves/meltCurve_Q92930_RAB8B.pdf", "Melting_Curves/meltCurve_Q92930_RAB8B.pdf")</f>
        <v>Melting_Curves/meltCurve_Q92930_RAB8B.pdf</v>
      </c>
    </row>
    <row r="4886" spans="1:28" x14ac:dyDescent="0.25">
      <c r="A4886" t="s">
        <v>4890</v>
      </c>
      <c r="B4886">
        <v>0.99472303558308395</v>
      </c>
      <c r="C4886">
        <v>1.3331600446237</v>
      </c>
      <c r="D4886">
        <v>1.1243091569624999</v>
      </c>
      <c r="E4886">
        <v>1.0078075730660701</v>
      </c>
      <c r="F4886">
        <v>0.66036018307413502</v>
      </c>
      <c r="G4886">
        <v>0.65906071943883604</v>
      </c>
      <c r="H4886">
        <v>0.55847910760052799</v>
      </c>
      <c r="I4886">
        <v>0.63272598651599199</v>
      </c>
      <c r="J4886">
        <v>0.79194174994914901</v>
      </c>
      <c r="K4886">
        <v>0.789122578663075</v>
      </c>
      <c r="L4886">
        <v>12060.6554517679</v>
      </c>
      <c r="M4886">
        <v>250</v>
      </c>
      <c r="O4886">
        <v>48.239534617549801</v>
      </c>
      <c r="P4886">
        <v>-0.41207681976509303</v>
      </c>
      <c r="Q4886">
        <v>0.68194569629900803</v>
      </c>
      <c r="R4886">
        <v>0.70177944789709001</v>
      </c>
      <c r="S4886" t="s">
        <v>11454</v>
      </c>
      <c r="T4886" t="s">
        <v>13134</v>
      </c>
      <c r="U4886" t="s">
        <v>13134</v>
      </c>
      <c r="V4886" t="s">
        <v>13134</v>
      </c>
      <c r="W4886" t="s">
        <v>17958</v>
      </c>
      <c r="X4886">
        <v>3</v>
      </c>
      <c r="Y4886" t="s">
        <v>24327</v>
      </c>
      <c r="Z4886" t="s">
        <v>30854</v>
      </c>
      <c r="AA4886">
        <v>0.80116476607006815</v>
      </c>
      <c r="AB4886" t="str">
        <f>HYPERLINK("Melting_Curves/meltCurve_Q92934_BAD.pdf", "Melting_Curves/meltCurve_Q92934_BAD.pdf")</f>
        <v>Melting_Curves/meltCurve_Q92934_BAD.pdf</v>
      </c>
    </row>
    <row r="4887" spans="1:28" x14ac:dyDescent="0.25">
      <c r="A4887" t="s">
        <v>4891</v>
      </c>
      <c r="B4887">
        <v>0.99472303558308395</v>
      </c>
      <c r="C4887">
        <v>0.96045801848703904</v>
      </c>
      <c r="D4887">
        <v>1.0154002843097201</v>
      </c>
      <c r="E4887">
        <v>0.84590289550284903</v>
      </c>
      <c r="F4887">
        <v>0.56041240086066701</v>
      </c>
      <c r="G4887">
        <v>0.497652049493501</v>
      </c>
      <c r="H4887">
        <v>0.42911975026221399</v>
      </c>
      <c r="I4887">
        <v>0.34880778319155697</v>
      </c>
      <c r="J4887">
        <v>0.41037968131679697</v>
      </c>
      <c r="K4887">
        <v>0.31491924118213799</v>
      </c>
      <c r="L4887">
        <v>1031.4507352883099</v>
      </c>
      <c r="M4887">
        <v>21.0776437440419</v>
      </c>
      <c r="N4887">
        <v>52.263939164462897</v>
      </c>
      <c r="O4887">
        <v>48.5016711314952</v>
      </c>
      <c r="P4887">
        <v>-6.8516102059411596E-2</v>
      </c>
      <c r="Q4887">
        <v>0.36936829211677802</v>
      </c>
      <c r="R4887">
        <v>0.98059556831490602</v>
      </c>
      <c r="S4887" t="s">
        <v>11455</v>
      </c>
      <c r="T4887" t="s">
        <v>13134</v>
      </c>
      <c r="U4887" t="s">
        <v>13134</v>
      </c>
      <c r="V4887" t="s">
        <v>13134</v>
      </c>
      <c r="W4887" t="s">
        <v>17959</v>
      </c>
      <c r="X4887">
        <v>47</v>
      </c>
      <c r="Y4887" t="s">
        <v>24328</v>
      </c>
      <c r="Z4887" t="s">
        <v>30855</v>
      </c>
      <c r="AA4887">
        <v>0.62781133054615945</v>
      </c>
      <c r="AB4887" t="str">
        <f>HYPERLINK("Melting_Curves/meltCurve_Q92945_KHSRP.pdf", "Melting_Curves/meltCurve_Q92945_KHSRP.pdf")</f>
        <v>Melting_Curves/meltCurve_Q92945_KHSRP.pdf</v>
      </c>
    </row>
    <row r="4888" spans="1:28" x14ac:dyDescent="0.25">
      <c r="A4888" t="s">
        <v>4892</v>
      </c>
      <c r="B4888">
        <v>0.99472303558308395</v>
      </c>
      <c r="C4888">
        <v>0.93707644412766999</v>
      </c>
      <c r="D4888">
        <v>0.92415461203336902</v>
      </c>
      <c r="E4888">
        <v>0.84614505211927604</v>
      </c>
      <c r="F4888">
        <v>0.70264005461227697</v>
      </c>
      <c r="G4888">
        <v>0.46368069400946399</v>
      </c>
      <c r="H4888">
        <v>0.18757190500446899</v>
      </c>
      <c r="I4888">
        <v>8.9672655890634695E-2</v>
      </c>
      <c r="J4888">
        <v>8.1861332742593496E-2</v>
      </c>
      <c r="K4888">
        <v>7.0978119250458799E-2</v>
      </c>
      <c r="L4888">
        <v>770.63068570918801</v>
      </c>
      <c r="M4888">
        <v>14.613794308612199</v>
      </c>
      <c r="N4888">
        <v>52.733100966810298</v>
      </c>
      <c r="O4888">
        <v>51.775182359260199</v>
      </c>
      <c r="P4888">
        <v>-7.0571598346835296E-2</v>
      </c>
      <c r="Q4888">
        <v>0</v>
      </c>
      <c r="R4888">
        <v>0.99190724044879797</v>
      </c>
      <c r="S4888" t="s">
        <v>11456</v>
      </c>
      <c r="T4888" t="s">
        <v>13134</v>
      </c>
      <c r="U4888" t="s">
        <v>13134</v>
      </c>
      <c r="V4888" t="s">
        <v>13134</v>
      </c>
      <c r="W4888" t="s">
        <v>17960</v>
      </c>
      <c r="X4888">
        <v>11</v>
      </c>
      <c r="Y4888" t="s">
        <v>24329</v>
      </c>
      <c r="Z4888" t="s">
        <v>30856</v>
      </c>
      <c r="AA4888">
        <v>0.54313881491451499</v>
      </c>
      <c r="AB4888" t="str">
        <f>HYPERLINK("Melting_Curves/meltCurve_Q92947_GCDH.pdf", "Melting_Curves/meltCurve_Q92947_GCDH.pdf")</f>
        <v>Melting_Curves/meltCurve_Q92947_GCDH.pdf</v>
      </c>
    </row>
    <row r="4889" spans="1:28" x14ac:dyDescent="0.25">
      <c r="A4889" t="s">
        <v>4893</v>
      </c>
      <c r="B4889">
        <v>0.99472303558308395</v>
      </c>
      <c r="C4889">
        <v>0.979256829521572</v>
      </c>
      <c r="D4889">
        <v>1.0041671423127601</v>
      </c>
      <c r="E4889">
        <v>0.885347165305294</v>
      </c>
      <c r="F4889">
        <v>0.70327082381233996</v>
      </c>
      <c r="G4889">
        <v>0.450376824119959</v>
      </c>
      <c r="H4889">
        <v>0.38958644119327901</v>
      </c>
      <c r="I4889">
        <v>0.28978856364317601</v>
      </c>
      <c r="J4889">
        <v>0.49139070817049701</v>
      </c>
      <c r="K4889">
        <v>0.33537410122095501</v>
      </c>
      <c r="L4889">
        <v>1229.9838730362401</v>
      </c>
      <c r="M4889">
        <v>24.5255513320704</v>
      </c>
      <c r="N4889">
        <v>52.987749794049599</v>
      </c>
      <c r="O4889">
        <v>49.821251546143898</v>
      </c>
      <c r="P4889">
        <v>-7.8089248309157103E-2</v>
      </c>
      <c r="Q4889">
        <v>0.36548645264652102</v>
      </c>
      <c r="R4889">
        <v>0.96702454779749303</v>
      </c>
      <c r="S4889" t="s">
        <v>11457</v>
      </c>
      <c r="T4889" t="s">
        <v>13134</v>
      </c>
      <c r="U4889" t="s">
        <v>13134</v>
      </c>
      <c r="V4889" t="s">
        <v>13134</v>
      </c>
      <c r="W4889" t="s">
        <v>17961</v>
      </c>
      <c r="X4889">
        <v>3</v>
      </c>
      <c r="Y4889" t="s">
        <v>24330</v>
      </c>
      <c r="Z4889" t="s">
        <v>30857</v>
      </c>
      <c r="AA4889">
        <v>0.64940166233617014</v>
      </c>
      <c r="AB4889" t="str">
        <f>HYPERLINK("Melting_Curves/meltCurve_Q92968_PEX13.pdf", "Melting_Curves/meltCurve_Q92968_PEX13.pdf")</f>
        <v>Melting_Curves/meltCurve_Q92968_PEX13.pdf</v>
      </c>
    </row>
    <row r="4890" spans="1:28" x14ac:dyDescent="0.25">
      <c r="A4890" t="s">
        <v>4894</v>
      </c>
      <c r="B4890">
        <v>0.99472303558308395</v>
      </c>
      <c r="C4890">
        <v>0.92676004528005396</v>
      </c>
      <c r="D4890">
        <v>0.98190422298485502</v>
      </c>
      <c r="E4890">
        <v>0.758697459164972</v>
      </c>
      <c r="F4890">
        <v>0.26581641579534998</v>
      </c>
      <c r="G4890">
        <v>0.112825892467091</v>
      </c>
      <c r="H4890">
        <v>6.89888705041697E-2</v>
      </c>
      <c r="I4890">
        <v>5.1797435966881501E-2</v>
      </c>
      <c r="J4890">
        <v>7.0399037849256496E-2</v>
      </c>
      <c r="K4890">
        <v>5.9558849029729202E-2</v>
      </c>
      <c r="L4890">
        <v>1487.7338930844201</v>
      </c>
      <c r="M4890">
        <v>30.8838967229619</v>
      </c>
      <c r="N4890">
        <v>48.382736413077403</v>
      </c>
      <c r="O4890">
        <v>47.971197794270402</v>
      </c>
      <c r="P4890">
        <v>-0.15081464852474599</v>
      </c>
      <c r="Q4890">
        <v>6.2978343378534196E-2</v>
      </c>
      <c r="R4890">
        <v>0.99656414302321705</v>
      </c>
      <c r="S4890" t="s">
        <v>11458</v>
      </c>
      <c r="T4890" t="s">
        <v>13134</v>
      </c>
      <c r="U4890" t="s">
        <v>13134</v>
      </c>
      <c r="V4890" t="s">
        <v>13134</v>
      </c>
      <c r="W4890" t="s">
        <v>17962</v>
      </c>
      <c r="X4890">
        <v>28</v>
      </c>
      <c r="Y4890" t="s">
        <v>24331</v>
      </c>
      <c r="Z4890" t="s">
        <v>30858</v>
      </c>
      <c r="AA4890">
        <v>0.41717212081459498</v>
      </c>
      <c r="AB4890" t="str">
        <f>HYPERLINK("Melting_Curves/meltCurve_Q92973_2_TNPO1.pdf", "Melting_Curves/meltCurve_Q92973_2_TNPO1.pdf")</f>
        <v>Melting_Curves/meltCurve_Q92973_2_TNPO1.pdf</v>
      </c>
    </row>
    <row r="4891" spans="1:28" x14ac:dyDescent="0.25">
      <c r="A4891" t="s">
        <v>4895</v>
      </c>
      <c r="B4891">
        <v>0.99472303558308395</v>
      </c>
      <c r="C4891">
        <v>1.07028366600435</v>
      </c>
      <c r="D4891">
        <v>1.0751663579766899</v>
      </c>
      <c r="E4891">
        <v>1.1271356793685801</v>
      </c>
      <c r="F4891">
        <v>0.94205325414886798</v>
      </c>
      <c r="G4891">
        <v>0.72433859287075797</v>
      </c>
      <c r="H4891">
        <v>0.54871989426607604</v>
      </c>
      <c r="I4891">
        <v>0.39751606262829298</v>
      </c>
      <c r="J4891">
        <v>0.28031975110910001</v>
      </c>
      <c r="K4891">
        <v>0.19475944943849999</v>
      </c>
      <c r="L4891">
        <v>1011.88017885788</v>
      </c>
      <c r="M4891">
        <v>17.8191109688374</v>
      </c>
      <c r="N4891">
        <v>58.1841024157901</v>
      </c>
      <c r="O4891">
        <v>56.085524902340801</v>
      </c>
      <c r="P4891">
        <v>-6.5601073183666397E-2</v>
      </c>
      <c r="Q4891">
        <v>0.174126717470519</v>
      </c>
      <c r="R4891">
        <v>0.96752094999708105</v>
      </c>
      <c r="S4891" t="s">
        <v>11459</v>
      </c>
      <c r="T4891" t="s">
        <v>13134</v>
      </c>
      <c r="U4891" t="s">
        <v>13134</v>
      </c>
      <c r="V4891" t="s">
        <v>13134</v>
      </c>
      <c r="W4891" t="s">
        <v>17963</v>
      </c>
      <c r="X4891">
        <v>11</v>
      </c>
      <c r="Y4891" t="s">
        <v>24332</v>
      </c>
      <c r="Z4891" t="s">
        <v>30859</v>
      </c>
      <c r="AA4891">
        <v>0.7266452647501328</v>
      </c>
      <c r="AB4891" t="str">
        <f>HYPERLINK("Melting_Curves/meltCurve_Q92979_EMG1.pdf", "Melting_Curves/meltCurve_Q92979_EMG1.pdf")</f>
        <v>Melting_Curves/meltCurve_Q92979_EMG1.pdf</v>
      </c>
    </row>
    <row r="4892" spans="1:28" x14ac:dyDescent="0.25">
      <c r="A4892" t="s">
        <v>4896</v>
      </c>
      <c r="B4892">
        <v>0.99472303558308395</v>
      </c>
      <c r="C4892">
        <v>1.00001547650082</v>
      </c>
      <c r="D4892">
        <v>0.95322993561460601</v>
      </c>
      <c r="E4892">
        <v>0.840642040097485</v>
      </c>
      <c r="F4892">
        <v>0.48096567718760602</v>
      </c>
      <c r="G4892">
        <v>0.179380170192939</v>
      </c>
      <c r="H4892">
        <v>0.10898943707207299</v>
      </c>
      <c r="I4892">
        <v>5.1126116649389403E-2</v>
      </c>
      <c r="J4892">
        <v>6.3401832669464905E-2</v>
      </c>
      <c r="K4892">
        <v>5.9522578265364001E-2</v>
      </c>
      <c r="L4892">
        <v>1161.5141682138801</v>
      </c>
      <c r="M4892">
        <v>23.353057826054201</v>
      </c>
      <c r="N4892">
        <v>49.979874468440599</v>
      </c>
      <c r="O4892">
        <v>49.3767198790609</v>
      </c>
      <c r="P4892">
        <v>-0.11190206089395</v>
      </c>
      <c r="Q4892">
        <v>5.3612447053714103E-2</v>
      </c>
      <c r="R4892">
        <v>0.99924054629043602</v>
      </c>
      <c r="S4892" t="s">
        <v>11460</v>
      </c>
      <c r="T4892" t="s">
        <v>13134</v>
      </c>
      <c r="U4892" t="s">
        <v>13134</v>
      </c>
      <c r="V4892" t="s">
        <v>13134</v>
      </c>
      <c r="W4892" t="s">
        <v>17964</v>
      </c>
      <c r="X4892">
        <v>16</v>
      </c>
      <c r="Y4892" t="s">
        <v>24333</v>
      </c>
      <c r="Z4892" t="s">
        <v>30860</v>
      </c>
      <c r="AA4892">
        <v>0.46481389557571978</v>
      </c>
      <c r="AB4892" t="str">
        <f>HYPERLINK("Melting_Curves/meltCurve_Q92990_GLMN.pdf", "Melting_Curves/meltCurve_Q92990_GLMN.pdf")</f>
        <v>Melting_Curves/meltCurve_Q92990_GLMN.pdf</v>
      </c>
    </row>
    <row r="4893" spans="1:28" x14ac:dyDescent="0.25">
      <c r="A4893" t="s">
        <v>4897</v>
      </c>
      <c r="B4893">
        <v>0.99472303558308395</v>
      </c>
      <c r="C4893">
        <v>0.96253427717943996</v>
      </c>
      <c r="D4893">
        <v>0.74537423923530799</v>
      </c>
      <c r="E4893">
        <v>0.58720778193345402</v>
      </c>
      <c r="F4893">
        <v>0.241151915684615</v>
      </c>
      <c r="G4893">
        <v>0.10581999236062301</v>
      </c>
      <c r="H4893">
        <v>7.0691194576976202E-2</v>
      </c>
      <c r="I4893">
        <v>5.2576272432556602E-2</v>
      </c>
      <c r="J4893">
        <v>6.2984087607714595E-2</v>
      </c>
      <c r="K4893">
        <v>6.0572270390810701E-2</v>
      </c>
      <c r="L4893">
        <v>767.51045186014005</v>
      </c>
      <c r="M4893">
        <v>16.450422917158299</v>
      </c>
      <c r="N4893">
        <v>46.8691521304482</v>
      </c>
      <c r="O4893">
        <v>45.982866818022003</v>
      </c>
      <c r="P4893">
        <v>-8.6219933496456194E-2</v>
      </c>
      <c r="Q4893">
        <v>3.6046445617903801E-2</v>
      </c>
      <c r="R4893">
        <v>0.99235247659021297</v>
      </c>
      <c r="S4893" t="s">
        <v>11461</v>
      </c>
      <c r="T4893" t="s">
        <v>13134</v>
      </c>
      <c r="U4893" t="s">
        <v>13134</v>
      </c>
      <c r="V4893" t="s">
        <v>13134</v>
      </c>
      <c r="W4893" t="s">
        <v>17965</v>
      </c>
      <c r="X4893">
        <v>40</v>
      </c>
      <c r="Y4893" t="s">
        <v>24334</v>
      </c>
      <c r="Z4893" t="s">
        <v>30861</v>
      </c>
      <c r="AA4893">
        <v>0.3647313767902613</v>
      </c>
      <c r="AB4893" t="str">
        <f>HYPERLINK("Melting_Curves/meltCurve_Q93008_USP9X.pdf", "Melting_Curves/meltCurve_Q93008_USP9X.pdf")</f>
        <v>Melting_Curves/meltCurve_Q93008_USP9X.pdf</v>
      </c>
    </row>
    <row r="4894" spans="1:28" x14ac:dyDescent="0.25">
      <c r="A4894" t="s">
        <v>4898</v>
      </c>
      <c r="B4894">
        <v>0.99472303558308395</v>
      </c>
      <c r="C4894">
        <v>0.99251215365529899</v>
      </c>
      <c r="D4894">
        <v>0.76886280204312896</v>
      </c>
      <c r="E4894">
        <v>0.38663560039545197</v>
      </c>
      <c r="F4894">
        <v>0.26150684485654802</v>
      </c>
      <c r="G4894">
        <v>0.122552019584795</v>
      </c>
      <c r="H4894">
        <v>0.109106842447925</v>
      </c>
      <c r="I4894">
        <v>7.0862196899294294E-2</v>
      </c>
      <c r="J4894">
        <v>9.5146228107873002E-2</v>
      </c>
      <c r="K4894">
        <v>9.6047399388115406E-2</v>
      </c>
      <c r="L4894">
        <v>926.815006164225</v>
      </c>
      <c r="M4894">
        <v>20.462960897445399</v>
      </c>
      <c r="N4894">
        <v>45.760327001208204</v>
      </c>
      <c r="O4894">
        <v>44.866427500333799</v>
      </c>
      <c r="P4894">
        <v>-0.10325912915783</v>
      </c>
      <c r="Q4894">
        <v>9.4416439908287506E-2</v>
      </c>
      <c r="R4894">
        <v>0.99417274939227895</v>
      </c>
      <c r="S4894" t="s">
        <v>11462</v>
      </c>
      <c r="T4894" t="s">
        <v>13134</v>
      </c>
      <c r="U4894" t="s">
        <v>13134</v>
      </c>
      <c r="V4894" t="s">
        <v>13134</v>
      </c>
      <c r="W4894" t="s">
        <v>17966</v>
      </c>
      <c r="X4894">
        <v>2</v>
      </c>
      <c r="Y4894" t="s">
        <v>24335</v>
      </c>
      <c r="Z4894" t="s">
        <v>30862</v>
      </c>
      <c r="AA4894">
        <v>0.35604668645962612</v>
      </c>
      <c r="AB4894" t="str">
        <f>HYPERLINK("Melting_Curves/meltCurve_Q93015_NAT6.pdf", "Melting_Curves/meltCurve_Q93015_NAT6.pdf")</f>
        <v>Melting_Curves/meltCurve_Q93015_NAT6.pdf</v>
      </c>
    </row>
    <row r="4895" spans="1:28" x14ac:dyDescent="0.25">
      <c r="A4895" t="s">
        <v>4899</v>
      </c>
      <c r="B4895">
        <v>0.99472303558308395</v>
      </c>
      <c r="C4895">
        <v>0.98690088598810999</v>
      </c>
      <c r="D4895">
        <v>0.88373659186394005</v>
      </c>
      <c r="E4895">
        <v>0.85443032242795103</v>
      </c>
      <c r="F4895">
        <v>0.760873786069589</v>
      </c>
      <c r="G4895">
        <v>0.51543090221162402</v>
      </c>
      <c r="H4895">
        <v>0.14833000653818401</v>
      </c>
      <c r="I4895">
        <v>5.5352976142890302E-2</v>
      </c>
      <c r="J4895">
        <v>5.4031195570432497E-2</v>
      </c>
      <c r="K4895">
        <v>4.9342914809516303E-2</v>
      </c>
      <c r="L4895">
        <v>946.85703776292905</v>
      </c>
      <c r="M4895">
        <v>17.799718493325098</v>
      </c>
      <c r="N4895">
        <v>53.195056861644098</v>
      </c>
      <c r="O4895">
        <v>52.537263042485201</v>
      </c>
      <c r="P4895">
        <v>-8.4704813529665801E-2</v>
      </c>
      <c r="Q4895">
        <v>0</v>
      </c>
      <c r="R4895">
        <v>0.98279679192789504</v>
      </c>
      <c r="S4895" t="s">
        <v>11463</v>
      </c>
      <c r="T4895" t="s">
        <v>13134</v>
      </c>
      <c r="U4895" t="s">
        <v>13134</v>
      </c>
      <c r="V4895" t="s">
        <v>13134</v>
      </c>
      <c r="W4895" t="s">
        <v>17967</v>
      </c>
      <c r="X4895">
        <v>29</v>
      </c>
      <c r="Y4895" t="s">
        <v>24336</v>
      </c>
      <c r="Z4895" t="s">
        <v>30863</v>
      </c>
      <c r="AA4895">
        <v>0.55443721986041772</v>
      </c>
      <c r="AB4895" t="str">
        <f>HYPERLINK("Melting_Curves/meltCurve_Q93034_CUL5.pdf", "Melting_Curves/meltCurve_Q93034_CUL5.pdf")</f>
        <v>Melting_Curves/meltCurve_Q93034_CUL5.pdf</v>
      </c>
    </row>
    <row r="4896" spans="1:28" x14ac:dyDescent="0.25">
      <c r="A4896" t="s">
        <v>4900</v>
      </c>
      <c r="B4896">
        <v>0.99472303558308395</v>
      </c>
      <c r="C4896">
        <v>0.93461341327487701</v>
      </c>
      <c r="D4896">
        <v>0.78864469390484704</v>
      </c>
      <c r="E4896">
        <v>0.53829193211152804</v>
      </c>
      <c r="F4896">
        <v>0.40826277851288301</v>
      </c>
      <c r="G4896">
        <v>0.159680872562142</v>
      </c>
      <c r="H4896">
        <v>8.5332433089158305E-2</v>
      </c>
      <c r="I4896">
        <v>5.7678665165621597E-2</v>
      </c>
      <c r="J4896">
        <v>6.0247496354686299E-2</v>
      </c>
      <c r="K4896">
        <v>5.3786268201824902E-2</v>
      </c>
      <c r="L4896">
        <v>616.69039047538195</v>
      </c>
      <c r="M4896">
        <v>12.981814077010601</v>
      </c>
      <c r="N4896">
        <v>47.615380368657398</v>
      </c>
      <c r="O4896">
        <v>46.4193283365084</v>
      </c>
      <c r="P4896">
        <v>-6.8884260600095101E-2</v>
      </c>
      <c r="Q4896">
        <v>1.49317281737516E-2</v>
      </c>
      <c r="R4896">
        <v>0.99390047278895799</v>
      </c>
      <c r="S4896" t="s">
        <v>11464</v>
      </c>
      <c r="T4896" t="s">
        <v>13134</v>
      </c>
      <c r="U4896" t="s">
        <v>13134</v>
      </c>
      <c r="V4896" t="s">
        <v>13134</v>
      </c>
      <c r="W4896" t="s">
        <v>17968</v>
      </c>
      <c r="X4896">
        <v>4</v>
      </c>
      <c r="Y4896" t="s">
        <v>24337</v>
      </c>
      <c r="Z4896" t="s">
        <v>30864</v>
      </c>
      <c r="AA4896">
        <v>0.38777425473629501</v>
      </c>
      <c r="AB4896" t="str">
        <f>HYPERLINK("Melting_Curves/meltCurve_Q93063_EXT2.pdf", "Melting_Curves/meltCurve_Q93063_EXT2.pdf")</f>
        <v>Melting_Curves/meltCurve_Q93063_EXT2.pdf</v>
      </c>
    </row>
    <row r="4897" spans="1:28" x14ac:dyDescent="0.25">
      <c r="A4897" t="s">
        <v>4901</v>
      </c>
      <c r="B4897">
        <v>0.99472303558308395</v>
      </c>
      <c r="C4897">
        <v>0.85949676394100205</v>
      </c>
      <c r="D4897">
        <v>0.62210336366400798</v>
      </c>
      <c r="E4897">
        <v>0.45330620720686798</v>
      </c>
      <c r="F4897">
        <v>0.30155498580953399</v>
      </c>
      <c r="G4897">
        <v>0.16709091121685399</v>
      </c>
      <c r="H4897">
        <v>0.144372675411579</v>
      </c>
      <c r="I4897">
        <v>9.3155983576552207E-2</v>
      </c>
      <c r="J4897">
        <v>7.6341717373912002E-2</v>
      </c>
      <c r="K4897">
        <v>8.4485121624774798E-2</v>
      </c>
      <c r="L4897">
        <v>556.35058238300303</v>
      </c>
      <c r="M4897">
        <v>12.327299421064099</v>
      </c>
      <c r="N4897">
        <v>45.655406248988001</v>
      </c>
      <c r="O4897">
        <v>43.993227838956599</v>
      </c>
      <c r="P4897">
        <v>-6.5446719128513006E-2</v>
      </c>
      <c r="Q4897">
        <v>6.5946983900245407E-2</v>
      </c>
      <c r="R4897">
        <v>0.99335923332029397</v>
      </c>
      <c r="S4897" t="s">
        <v>11465</v>
      </c>
      <c r="T4897" t="s">
        <v>13134</v>
      </c>
      <c r="U4897" t="s">
        <v>13134</v>
      </c>
      <c r="V4897" t="s">
        <v>13134</v>
      </c>
      <c r="W4897" t="s">
        <v>17969</v>
      </c>
      <c r="X4897">
        <v>5</v>
      </c>
      <c r="Y4897" t="s">
        <v>24338</v>
      </c>
      <c r="Z4897" t="s">
        <v>30865</v>
      </c>
      <c r="AA4897">
        <v>0.35125007821948251</v>
      </c>
      <c r="AB4897" t="str">
        <f>HYPERLINK("Melting_Curves/meltCurve_Q93074_3_MED12.pdf", "Melting_Curves/meltCurve_Q93074_3_MED12.pdf")</f>
        <v>Melting_Curves/meltCurve_Q93074_3_MED12.pdf</v>
      </c>
    </row>
    <row r="4898" spans="1:28" x14ac:dyDescent="0.25">
      <c r="A4898" t="s">
        <v>4902</v>
      </c>
      <c r="B4898">
        <v>0.99472303558308395</v>
      </c>
      <c r="C4898">
        <v>1.0292885533039799</v>
      </c>
      <c r="D4898">
        <v>0.91955679073322905</v>
      </c>
      <c r="E4898">
        <v>0.583135888593308</v>
      </c>
      <c r="F4898">
        <v>0.29688047516618399</v>
      </c>
      <c r="G4898">
        <v>0.16684227831964599</v>
      </c>
      <c r="H4898">
        <v>0.124279417312781</v>
      </c>
      <c r="I4898">
        <v>0.19125387143375899</v>
      </c>
      <c r="J4898">
        <v>0.31654327167011398</v>
      </c>
      <c r="K4898">
        <v>0.363063609521246</v>
      </c>
      <c r="L4898">
        <v>1509.28828138169</v>
      </c>
      <c r="M4898">
        <v>32.599958502082998</v>
      </c>
      <c r="N4898">
        <v>47.203406446423301</v>
      </c>
      <c r="O4898">
        <v>46.124080755565799</v>
      </c>
      <c r="P4898">
        <v>-0.135599801955095</v>
      </c>
      <c r="Q4898">
        <v>0.232589637388773</v>
      </c>
      <c r="R4898">
        <v>0.96082197145887605</v>
      </c>
      <c r="S4898" t="s">
        <v>11466</v>
      </c>
      <c r="T4898" t="s">
        <v>13134</v>
      </c>
      <c r="U4898" t="s">
        <v>13134</v>
      </c>
      <c r="V4898" t="s">
        <v>13134</v>
      </c>
      <c r="W4898" t="s">
        <v>17970</v>
      </c>
      <c r="X4898">
        <v>5</v>
      </c>
      <c r="Y4898" t="s">
        <v>24339</v>
      </c>
      <c r="Z4898" t="s">
        <v>30866</v>
      </c>
      <c r="AA4898">
        <v>0.47413423893040862</v>
      </c>
      <c r="AB4898" t="str">
        <f>HYPERLINK("Melting_Curves/meltCurve_Q93077_HIST1H2AC.pdf", "Melting_Curves/meltCurve_Q93077_HIST1H2AC.pdf")</f>
        <v>Melting_Curves/meltCurve_Q93077_HIST1H2AC.pdf</v>
      </c>
    </row>
    <row r="4899" spans="1:28" x14ac:dyDescent="0.25">
      <c r="A4899" t="s">
        <v>4903</v>
      </c>
      <c r="B4899">
        <v>0.99472303558308395</v>
      </c>
      <c r="C4899">
        <v>0.92636932360498003</v>
      </c>
      <c r="D4899">
        <v>0.81894387283548997</v>
      </c>
      <c r="E4899">
        <v>0.71399911274808403</v>
      </c>
      <c r="F4899">
        <v>0.57340258400455302</v>
      </c>
      <c r="G4899">
        <v>0.224088573801488</v>
      </c>
      <c r="H4899">
        <v>0.110413353783755</v>
      </c>
      <c r="I4899">
        <v>8.2162296155814399E-2</v>
      </c>
      <c r="J4899">
        <v>8.0157983319479195E-2</v>
      </c>
      <c r="K4899">
        <v>8.5145438609684099E-2</v>
      </c>
      <c r="L4899">
        <v>634.31297603181395</v>
      </c>
      <c r="M4899">
        <v>12.744899933970901</v>
      </c>
      <c r="N4899">
        <v>49.838152519690098</v>
      </c>
      <c r="O4899">
        <v>48.592368379086302</v>
      </c>
      <c r="P4899">
        <v>-6.5016166881587706E-2</v>
      </c>
      <c r="Q4899">
        <v>8.6428945713207996E-3</v>
      </c>
      <c r="R4899">
        <v>0.98258537402272905</v>
      </c>
      <c r="S4899" t="s">
        <v>11467</v>
      </c>
      <c r="T4899" t="s">
        <v>13134</v>
      </c>
      <c r="U4899" t="s">
        <v>13134</v>
      </c>
      <c r="V4899" t="s">
        <v>13134</v>
      </c>
      <c r="W4899" t="s">
        <v>17971</v>
      </c>
      <c r="X4899">
        <v>28</v>
      </c>
      <c r="Y4899" t="s">
        <v>24340</v>
      </c>
      <c r="Z4899" t="s">
        <v>30867</v>
      </c>
      <c r="AA4899">
        <v>0.45675862836402031</v>
      </c>
      <c r="AB4899" t="str">
        <f>HYPERLINK("Melting_Curves/meltCurve_Q93084_4_ATP2A3.pdf", "Melting_Curves/meltCurve_Q93084_4_ATP2A3.pdf")</f>
        <v>Melting_Curves/meltCurve_Q93084_4_ATP2A3.pdf</v>
      </c>
    </row>
    <row r="4900" spans="1:28" x14ac:dyDescent="0.25">
      <c r="A4900" t="s">
        <v>4904</v>
      </c>
      <c r="B4900">
        <v>0.99472303558308395</v>
      </c>
      <c r="C4900">
        <v>0.97506265465932496</v>
      </c>
      <c r="D4900">
        <v>0.85142434018374702</v>
      </c>
      <c r="E4900">
        <v>0.50654107202171195</v>
      </c>
      <c r="F4900">
        <v>0.42248456856088701</v>
      </c>
      <c r="G4900">
        <v>0.17045280415363401</v>
      </c>
      <c r="H4900">
        <v>0.127082884800653</v>
      </c>
      <c r="I4900">
        <v>9.9772041763370303E-2</v>
      </c>
      <c r="J4900">
        <v>7.0508525579830394E-2</v>
      </c>
      <c r="K4900">
        <v>8.7233926165706396E-2</v>
      </c>
      <c r="L4900">
        <v>699.94832999507798</v>
      </c>
      <c r="M4900">
        <v>14.8063223721112</v>
      </c>
      <c r="N4900">
        <v>47.727838202915599</v>
      </c>
      <c r="O4900">
        <v>46.436405551368203</v>
      </c>
      <c r="P4900">
        <v>-7.44823153672695E-2</v>
      </c>
      <c r="Q4900">
        <v>6.5717124008459499E-2</v>
      </c>
      <c r="R4900">
        <v>0.98858203586606497</v>
      </c>
      <c r="S4900" t="s">
        <v>11468</v>
      </c>
      <c r="T4900" t="s">
        <v>13134</v>
      </c>
      <c r="U4900" t="s">
        <v>13134</v>
      </c>
      <c r="V4900" t="s">
        <v>13134</v>
      </c>
      <c r="W4900" t="s">
        <v>17972</v>
      </c>
      <c r="X4900">
        <v>4</v>
      </c>
      <c r="Y4900" t="s">
        <v>24341</v>
      </c>
      <c r="Z4900" t="s">
        <v>30868</v>
      </c>
      <c r="AA4900">
        <v>0.40705468222952912</v>
      </c>
      <c r="AB4900" t="str">
        <f>HYPERLINK("Melting_Curves/meltCurve_Q93100_4_PHKB.pdf", "Melting_Curves/meltCurve_Q93100_4_PHKB.pdf")</f>
        <v>Melting_Curves/meltCurve_Q93100_4_PHKB.pdf</v>
      </c>
    </row>
    <row r="4901" spans="1:28" x14ac:dyDescent="0.25">
      <c r="A4901" t="s">
        <v>4905</v>
      </c>
      <c r="B4901">
        <v>0.99472303558308395</v>
      </c>
      <c r="C4901">
        <v>0.97765911898515301</v>
      </c>
      <c r="D4901">
        <v>0.93790500502932805</v>
      </c>
      <c r="E4901">
        <v>0.88445721695815904</v>
      </c>
      <c r="F4901">
        <v>0.78510635099048998</v>
      </c>
      <c r="G4901">
        <v>0.64122104383092005</v>
      </c>
      <c r="H4901">
        <v>0.55268068937991</v>
      </c>
      <c r="I4901">
        <v>0.56361430368784704</v>
      </c>
      <c r="J4901">
        <v>0.63965077023302397</v>
      </c>
      <c r="K4901">
        <v>0.68921327963145995</v>
      </c>
      <c r="L4901">
        <v>998.69506566206906</v>
      </c>
      <c r="M4901">
        <v>20.4775734103712</v>
      </c>
      <c r="O4901">
        <v>48.312244451714498</v>
      </c>
      <c r="P4901">
        <v>-4.1685466487443999E-2</v>
      </c>
      <c r="Q4901">
        <v>0.606621720291872</v>
      </c>
      <c r="R4901">
        <v>0.93005020403704797</v>
      </c>
      <c r="S4901" t="s">
        <v>11469</v>
      </c>
      <c r="T4901" t="s">
        <v>13134</v>
      </c>
      <c r="U4901" t="s">
        <v>13134</v>
      </c>
      <c r="V4901" t="s">
        <v>13134</v>
      </c>
      <c r="W4901" t="s">
        <v>17973</v>
      </c>
      <c r="X4901">
        <v>1</v>
      </c>
      <c r="Y4901" t="s">
        <v>24342</v>
      </c>
      <c r="Z4901" t="s">
        <v>30869</v>
      </c>
      <c r="AA4901">
        <v>0.76591898047240592</v>
      </c>
      <c r="AB4901" t="str">
        <f>HYPERLINK("Melting_Curves/meltCurve_Q969E2_2_SCAMP4.pdf", "Melting_Curves/meltCurve_Q969E2_2_SCAMP4.pdf")</f>
        <v>Melting_Curves/meltCurve_Q969E2_2_SCAMP4.pdf</v>
      </c>
    </row>
    <row r="4902" spans="1:28" x14ac:dyDescent="0.25">
      <c r="A4902" t="s">
        <v>4906</v>
      </c>
      <c r="B4902">
        <v>0.99472303558308395</v>
      </c>
      <c r="C4902">
        <v>1.1253715867338301</v>
      </c>
      <c r="D4902">
        <v>1.1506110144880599</v>
      </c>
      <c r="E4902">
        <v>0.97025411884694102</v>
      </c>
      <c r="F4902">
        <v>0.53428507762534305</v>
      </c>
      <c r="G4902">
        <v>0.32671465275261502</v>
      </c>
      <c r="H4902">
        <v>0.15946749851600001</v>
      </c>
      <c r="I4902">
        <v>0.17385227451583399</v>
      </c>
      <c r="J4902">
        <v>0.228850330505909</v>
      </c>
      <c r="K4902">
        <v>0.17609390808172001</v>
      </c>
      <c r="L4902">
        <v>1734.7911727002099</v>
      </c>
      <c r="M4902">
        <v>34.727105810969</v>
      </c>
      <c r="N4902">
        <v>50.675665527558699</v>
      </c>
      <c r="O4902">
        <v>49.790182973590497</v>
      </c>
      <c r="P4902">
        <v>-0.14038796991940899</v>
      </c>
      <c r="Q4902">
        <v>0.19487484948893799</v>
      </c>
      <c r="R4902">
        <v>0.96955005502083402</v>
      </c>
      <c r="S4902" t="s">
        <v>11470</v>
      </c>
      <c r="T4902" t="s">
        <v>13134</v>
      </c>
      <c r="U4902" t="s">
        <v>13134</v>
      </c>
      <c r="V4902" t="s">
        <v>13134</v>
      </c>
      <c r="W4902" t="s">
        <v>17974</v>
      </c>
      <c r="X4902">
        <v>1</v>
      </c>
      <c r="Y4902" t="s">
        <v>24343</v>
      </c>
      <c r="Z4902" t="s">
        <v>30870</v>
      </c>
      <c r="AA4902">
        <v>0.54624311024236094</v>
      </c>
      <c r="AB4902" t="str">
        <f>HYPERLINK("Melting_Curves/meltCurve_Q969E8_TSR2.pdf", "Melting_Curves/meltCurve_Q969E8_TSR2.pdf")</f>
        <v>Melting_Curves/meltCurve_Q969E8_TSR2.pdf</v>
      </c>
    </row>
    <row r="4903" spans="1:28" x14ac:dyDescent="0.25">
      <c r="A4903" t="s">
        <v>4907</v>
      </c>
      <c r="B4903">
        <v>0.99472303558308395</v>
      </c>
      <c r="C4903">
        <v>1.09772451321414</v>
      </c>
      <c r="D4903">
        <v>0.74124663577349403</v>
      </c>
      <c r="E4903">
        <v>0.72318436876843295</v>
      </c>
      <c r="F4903">
        <v>0.81809864113442898</v>
      </c>
      <c r="G4903">
        <v>0.36777646108068202</v>
      </c>
      <c r="H4903">
        <v>0.20106179837083801</v>
      </c>
      <c r="I4903">
        <v>0.15466671469607701</v>
      </c>
      <c r="J4903">
        <v>0.12820089349814601</v>
      </c>
      <c r="K4903">
        <v>0.13769867811997299</v>
      </c>
      <c r="L4903">
        <v>588.51031156556496</v>
      </c>
      <c r="M4903">
        <v>11.278867257939501</v>
      </c>
      <c r="N4903">
        <v>52.3100741137158</v>
      </c>
      <c r="O4903">
        <v>50.618586660860501</v>
      </c>
      <c r="P4903">
        <v>-5.4940830734957397E-2</v>
      </c>
      <c r="Q4903">
        <v>1.40231534498437E-2</v>
      </c>
      <c r="R4903">
        <v>0.91819499829000495</v>
      </c>
      <c r="S4903" t="s">
        <v>11471</v>
      </c>
      <c r="T4903" t="s">
        <v>13134</v>
      </c>
      <c r="U4903" t="s">
        <v>13134</v>
      </c>
      <c r="V4903" t="s">
        <v>13134</v>
      </c>
      <c r="W4903" t="s">
        <v>17975</v>
      </c>
      <c r="X4903">
        <v>2</v>
      </c>
      <c r="Y4903" t="s">
        <v>24344</v>
      </c>
      <c r="Z4903" t="s">
        <v>30871</v>
      </c>
      <c r="AA4903">
        <v>0.53685263818926154</v>
      </c>
      <c r="AB4903" t="str">
        <f>HYPERLINK("Melting_Curves/meltCurve_Q969F8_KISS1R.pdf", "Melting_Curves/meltCurve_Q969F8_KISS1R.pdf")</f>
        <v>Melting_Curves/meltCurve_Q969F8_KISS1R.pdf</v>
      </c>
    </row>
    <row r="4904" spans="1:28" x14ac:dyDescent="0.25">
      <c r="A4904" t="s">
        <v>4908</v>
      </c>
      <c r="B4904">
        <v>0.99472303558308395</v>
      </c>
      <c r="C4904">
        <v>0.96312636458908796</v>
      </c>
      <c r="D4904">
        <v>1.0136032153474599</v>
      </c>
      <c r="E4904">
        <v>0.95411731646539999</v>
      </c>
      <c r="F4904">
        <v>0.79166667570370097</v>
      </c>
      <c r="G4904">
        <v>0.60326597897594403</v>
      </c>
      <c r="H4904">
        <v>0.25440963939595501</v>
      </c>
      <c r="I4904">
        <v>5.8520321836350801E-2</v>
      </c>
      <c r="J4904">
        <v>5.3670796162280501E-2</v>
      </c>
      <c r="K4904">
        <v>4.18563782374737E-2</v>
      </c>
      <c r="L4904">
        <v>1074.00257995175</v>
      </c>
      <c r="M4904">
        <v>19.743555070074901</v>
      </c>
      <c r="N4904">
        <v>54.397633000245698</v>
      </c>
      <c r="O4904">
        <v>53.848802230335998</v>
      </c>
      <c r="P4904">
        <v>-9.1665154748633196E-2</v>
      </c>
      <c r="Q4904">
        <v>0</v>
      </c>
      <c r="R4904">
        <v>0.99447259890167405</v>
      </c>
      <c r="S4904" t="s">
        <v>11472</v>
      </c>
      <c r="T4904" t="s">
        <v>13134</v>
      </c>
      <c r="U4904" t="s">
        <v>13134</v>
      </c>
      <c r="V4904" t="s">
        <v>13134</v>
      </c>
      <c r="W4904" t="s">
        <v>17976</v>
      </c>
      <c r="X4904">
        <v>4</v>
      </c>
      <c r="Y4904" t="s">
        <v>24345</v>
      </c>
      <c r="Z4904" t="s">
        <v>30872</v>
      </c>
      <c r="AA4904">
        <v>0.59193453476460245</v>
      </c>
      <c r="AB4904" t="str">
        <f>HYPERLINK("Melting_Curves/meltCurve_Q969G6_RFK.pdf", "Melting_Curves/meltCurve_Q969G6_RFK.pdf")</f>
        <v>Melting_Curves/meltCurve_Q969G6_RFK.pdf</v>
      </c>
    </row>
    <row r="4905" spans="1:28" x14ac:dyDescent="0.25">
      <c r="A4905" t="s">
        <v>4909</v>
      </c>
      <c r="B4905">
        <v>0.99472303558308395</v>
      </c>
      <c r="C4905">
        <v>0.83578315488538002</v>
      </c>
      <c r="D4905">
        <v>0.80818073814450997</v>
      </c>
      <c r="E4905">
        <v>0.63042987906696302</v>
      </c>
      <c r="F4905">
        <v>1.04770922488299</v>
      </c>
      <c r="G4905">
        <v>0.61168597993873097</v>
      </c>
      <c r="H4905">
        <v>0.41291831596147399</v>
      </c>
      <c r="I4905">
        <v>0.23618688632642901</v>
      </c>
      <c r="J4905">
        <v>0.213902944350855</v>
      </c>
      <c r="K4905">
        <v>0.14999374357130099</v>
      </c>
      <c r="L4905">
        <v>539.71952793250398</v>
      </c>
      <c r="M4905">
        <v>9.6629458224414595</v>
      </c>
      <c r="N4905">
        <v>55.854547273531097</v>
      </c>
      <c r="O4905">
        <v>53.619712322960403</v>
      </c>
      <c r="P4905">
        <v>-4.5078118106881802E-2</v>
      </c>
      <c r="Q4905">
        <v>0</v>
      </c>
      <c r="R4905">
        <v>0.80055084933647702</v>
      </c>
      <c r="S4905" t="s">
        <v>11473</v>
      </c>
      <c r="T4905" t="s">
        <v>13134</v>
      </c>
      <c r="U4905" t="s">
        <v>13134</v>
      </c>
      <c r="V4905" t="s">
        <v>13134</v>
      </c>
      <c r="W4905" t="s">
        <v>17977</v>
      </c>
      <c r="X4905">
        <v>2</v>
      </c>
      <c r="Y4905" t="s">
        <v>24346</v>
      </c>
      <c r="Z4905" t="s">
        <v>30873</v>
      </c>
      <c r="AA4905">
        <v>0.63456024832515467</v>
      </c>
      <c r="AB4905" t="str">
        <f>HYPERLINK("Melting_Curves/meltCurve_Q969H6_2_POP5.pdf", "Melting_Curves/meltCurve_Q969H6_2_POP5.pdf")</f>
        <v>Melting_Curves/meltCurve_Q969H6_2_POP5.pdf</v>
      </c>
    </row>
    <row r="4906" spans="1:28" x14ac:dyDescent="0.25">
      <c r="A4906" t="s">
        <v>4910</v>
      </c>
      <c r="B4906">
        <v>0.99472303558308395</v>
      </c>
      <c r="C4906">
        <v>0.96829572846348899</v>
      </c>
      <c r="D4906">
        <v>0.952375939524712</v>
      </c>
      <c r="E4906">
        <v>0.92068577663620299</v>
      </c>
      <c r="F4906">
        <v>0.73022587051148702</v>
      </c>
      <c r="G4906">
        <v>0.63353230146463602</v>
      </c>
      <c r="H4906">
        <v>0.53767632340488303</v>
      </c>
      <c r="I4906">
        <v>0.37553662157224099</v>
      </c>
      <c r="J4906">
        <v>0.207891554570172</v>
      </c>
      <c r="K4906">
        <v>0.17189049495680001</v>
      </c>
      <c r="L4906">
        <v>547.34543260368298</v>
      </c>
      <c r="M4906">
        <v>9.6074147136129096</v>
      </c>
      <c r="N4906">
        <v>56.971125020113099</v>
      </c>
      <c r="O4906">
        <v>54.666950658797099</v>
      </c>
      <c r="P4906">
        <v>-4.3961021901656697E-2</v>
      </c>
      <c r="Q4906">
        <v>0</v>
      </c>
      <c r="R4906">
        <v>0.98825857431604902</v>
      </c>
      <c r="S4906" t="s">
        <v>11474</v>
      </c>
      <c r="T4906" t="s">
        <v>13134</v>
      </c>
      <c r="U4906" t="s">
        <v>13134</v>
      </c>
      <c r="V4906" t="s">
        <v>13134</v>
      </c>
      <c r="W4906" t="s">
        <v>17978</v>
      </c>
      <c r="X4906">
        <v>6</v>
      </c>
      <c r="Y4906" t="s">
        <v>24347</v>
      </c>
      <c r="Z4906" t="s">
        <v>30874</v>
      </c>
      <c r="AA4906">
        <v>0.66355144812778544</v>
      </c>
      <c r="AB4906" t="str">
        <f>HYPERLINK("Melting_Curves/meltCurve_Q969H8_C19orf10.pdf", "Melting_Curves/meltCurve_Q969H8_C19orf10.pdf")</f>
        <v>Melting_Curves/meltCurve_Q969H8_C19orf10.pdf</v>
      </c>
    </row>
    <row r="4907" spans="1:28" x14ac:dyDescent="0.25">
      <c r="A4907" t="s">
        <v>4911</v>
      </c>
      <c r="B4907">
        <v>0.99472303558308395</v>
      </c>
      <c r="C4907">
        <v>0.90635303557557201</v>
      </c>
      <c r="D4907">
        <v>0.95738851087271604</v>
      </c>
      <c r="E4907">
        <v>0.70918698342744302</v>
      </c>
      <c r="F4907">
        <v>0.41792647768673202</v>
      </c>
      <c r="G4907">
        <v>0.19504138036920901</v>
      </c>
      <c r="H4907">
        <v>0.113375887451017</v>
      </c>
      <c r="I4907">
        <v>8.1180183812038995E-2</v>
      </c>
      <c r="J4907">
        <v>0.113782048075824</v>
      </c>
      <c r="K4907">
        <v>8.1200710557200295E-2</v>
      </c>
      <c r="L4907">
        <v>924.43064511046896</v>
      </c>
      <c r="M4907">
        <v>19.0108523983507</v>
      </c>
      <c r="N4907">
        <v>49.056578241171302</v>
      </c>
      <c r="O4907">
        <v>48.098008462940001</v>
      </c>
      <c r="P4907">
        <v>-9.1231526038895894E-2</v>
      </c>
      <c r="Q4907">
        <v>7.6763077887062395E-2</v>
      </c>
      <c r="R4907">
        <v>0.993837014638281</v>
      </c>
      <c r="S4907" t="s">
        <v>11475</v>
      </c>
      <c r="T4907" t="s">
        <v>13134</v>
      </c>
      <c r="U4907" t="s">
        <v>13134</v>
      </c>
      <c r="V4907" t="s">
        <v>13134</v>
      </c>
      <c r="W4907" t="s">
        <v>17979</v>
      </c>
      <c r="X4907">
        <v>3</v>
      </c>
      <c r="Y4907" t="s">
        <v>24348</v>
      </c>
      <c r="Z4907" t="s">
        <v>30875</v>
      </c>
      <c r="AA4907">
        <v>0.44790046763493158</v>
      </c>
      <c r="AB4907" t="str">
        <f>HYPERLINK("Melting_Curves/meltCurve_Q969K3_RNF34.pdf", "Melting_Curves/meltCurve_Q969K3_RNF34.pdf")</f>
        <v>Melting_Curves/meltCurve_Q969K3_RNF34.pdf</v>
      </c>
    </row>
    <row r="4908" spans="1:28" x14ac:dyDescent="0.25">
      <c r="A4908" t="s">
        <v>4912</v>
      </c>
      <c r="B4908">
        <v>0.99472303558308395</v>
      </c>
      <c r="C4908">
        <v>0.77457811586036796</v>
      </c>
      <c r="D4908">
        <v>0.76146901129319999</v>
      </c>
      <c r="E4908">
        <v>0.70857311076659701</v>
      </c>
      <c r="F4908">
        <v>0.58362029112032399</v>
      </c>
      <c r="G4908">
        <v>0.407132639213374</v>
      </c>
      <c r="H4908">
        <v>0.29249041616500998</v>
      </c>
      <c r="I4908">
        <v>0.17092274155648901</v>
      </c>
      <c r="J4908">
        <v>0.14050679962544699</v>
      </c>
      <c r="K4908">
        <v>0.123709929105419</v>
      </c>
      <c r="L4908">
        <v>389.91457725128299</v>
      </c>
      <c r="M4908">
        <v>7.6780134570842096</v>
      </c>
      <c r="N4908">
        <v>50.783262720413397</v>
      </c>
      <c r="O4908">
        <v>47.6826023121668</v>
      </c>
      <c r="P4908">
        <v>-4.0308900194841298E-2</v>
      </c>
      <c r="Q4908">
        <v>0</v>
      </c>
      <c r="R4908">
        <v>0.97000868724051703</v>
      </c>
      <c r="S4908" t="s">
        <v>11476</v>
      </c>
      <c r="T4908" t="s">
        <v>13134</v>
      </c>
      <c r="U4908" t="s">
        <v>13134</v>
      </c>
      <c r="V4908" t="s">
        <v>13134</v>
      </c>
      <c r="W4908" t="s">
        <v>17980</v>
      </c>
      <c r="X4908">
        <v>2</v>
      </c>
      <c r="Y4908" t="s">
        <v>24349</v>
      </c>
      <c r="Z4908" t="s">
        <v>30876</v>
      </c>
      <c r="AA4908">
        <v>0.49632900034055499</v>
      </c>
      <c r="AB4908" t="str">
        <f>HYPERLINK("Melting_Curves/meltCurve_Q969M3_YIPF5.pdf", "Melting_Curves/meltCurve_Q969M3_YIPF5.pdf")</f>
        <v>Melting_Curves/meltCurve_Q969M3_YIPF5.pdf</v>
      </c>
    </row>
    <row r="4909" spans="1:28" x14ac:dyDescent="0.25">
      <c r="A4909" t="s">
        <v>4913</v>
      </c>
      <c r="B4909">
        <v>0.99472303558308395</v>
      </c>
      <c r="C4909">
        <v>0.86956231479309398</v>
      </c>
      <c r="D4909">
        <v>0.74925371378375005</v>
      </c>
      <c r="E4909">
        <v>0.64483046518324205</v>
      </c>
      <c r="F4909">
        <v>0.56754080468044998</v>
      </c>
      <c r="G4909">
        <v>0.13723191634224799</v>
      </c>
      <c r="H4909">
        <v>7.1965657457189094E-2</v>
      </c>
      <c r="I4909">
        <v>5.4287658429569202E-2</v>
      </c>
      <c r="J4909">
        <v>5.1462901988524698E-2</v>
      </c>
      <c r="K4909">
        <v>5.2962583379538401E-2</v>
      </c>
      <c r="L4909">
        <v>583.12677909107401</v>
      </c>
      <c r="M4909">
        <v>11.991798095944301</v>
      </c>
      <c r="N4909">
        <v>48.627134546292801</v>
      </c>
      <c r="O4909">
        <v>47.334070161319197</v>
      </c>
      <c r="P4909">
        <v>-6.3351284621217696E-2</v>
      </c>
      <c r="Q4909">
        <v>0</v>
      </c>
      <c r="R4909">
        <v>0.96033613282747199</v>
      </c>
      <c r="S4909" t="s">
        <v>11477</v>
      </c>
      <c r="T4909" t="s">
        <v>13134</v>
      </c>
      <c r="U4909" t="s">
        <v>13134</v>
      </c>
      <c r="V4909" t="s">
        <v>13134</v>
      </c>
      <c r="W4909" t="s">
        <v>17981</v>
      </c>
      <c r="X4909">
        <v>8</v>
      </c>
      <c r="Y4909" t="s">
        <v>24350</v>
      </c>
      <c r="Z4909" t="s">
        <v>30877</v>
      </c>
      <c r="AA4909">
        <v>0.41792244240974319</v>
      </c>
      <c r="AB4909" t="str">
        <f>HYPERLINK("Melting_Curves/meltCurve_Q969N2_4_PIGT.pdf", "Melting_Curves/meltCurve_Q969N2_4_PIGT.pdf")</f>
        <v>Melting_Curves/meltCurve_Q969N2_4_PIGT.pdf</v>
      </c>
    </row>
    <row r="4910" spans="1:28" x14ac:dyDescent="0.25">
      <c r="A4910" t="s">
        <v>4914</v>
      </c>
      <c r="B4910">
        <v>0.99472303558308395</v>
      </c>
      <c r="C4910">
        <v>1.0758865809703599</v>
      </c>
      <c r="D4910">
        <v>0.92511751331814596</v>
      </c>
      <c r="E4910">
        <v>0.85443967130120102</v>
      </c>
      <c r="F4910">
        <v>0.66001727847866198</v>
      </c>
      <c r="G4910">
        <v>0.40759541074531602</v>
      </c>
      <c r="H4910">
        <v>0.24987957651732101</v>
      </c>
      <c r="I4910">
        <v>0.199196780113608</v>
      </c>
      <c r="J4910">
        <v>0.14646987528883901</v>
      </c>
      <c r="K4910">
        <v>0.17879946456963999</v>
      </c>
      <c r="L4910">
        <v>857.81392050893498</v>
      </c>
      <c r="M4910">
        <v>16.733163808286601</v>
      </c>
      <c r="N4910">
        <v>52.279368130373499</v>
      </c>
      <c r="O4910">
        <v>50.548918113052601</v>
      </c>
      <c r="P4910">
        <v>-7.1283659562351595E-2</v>
      </c>
      <c r="Q4910">
        <v>0.13869841229728</v>
      </c>
      <c r="R4910">
        <v>0.99186608870331205</v>
      </c>
      <c r="S4910" t="s">
        <v>11478</v>
      </c>
      <c r="T4910" t="s">
        <v>13134</v>
      </c>
      <c r="U4910" t="s">
        <v>13134</v>
      </c>
      <c r="V4910" t="s">
        <v>13134</v>
      </c>
      <c r="W4910" t="s">
        <v>17982</v>
      </c>
      <c r="X4910">
        <v>7</v>
      </c>
      <c r="Y4910" t="s">
        <v>24351</v>
      </c>
      <c r="Z4910" t="s">
        <v>30878</v>
      </c>
      <c r="AA4910">
        <v>0.56301457461037974</v>
      </c>
      <c r="AB4910" t="str">
        <f>HYPERLINK("Melting_Curves/meltCurve_Q969P0_3_IGSF8.pdf", "Melting_Curves/meltCurve_Q969P0_3_IGSF8.pdf")</f>
        <v>Melting_Curves/meltCurve_Q969P0_3_IGSF8.pdf</v>
      </c>
    </row>
    <row r="4911" spans="1:28" x14ac:dyDescent="0.25">
      <c r="A4911" t="s">
        <v>4915</v>
      </c>
      <c r="B4911">
        <v>0.99472303558308395</v>
      </c>
      <c r="C4911">
        <v>0.87220935473325201</v>
      </c>
      <c r="D4911">
        <v>0.75366456514467395</v>
      </c>
      <c r="E4911">
        <v>0.68293145293547797</v>
      </c>
      <c r="F4911">
        <v>0.55379047263134096</v>
      </c>
      <c r="G4911">
        <v>0.23817151574552201</v>
      </c>
      <c r="H4911">
        <v>0.119126683099457</v>
      </c>
      <c r="I4911">
        <v>9.3514490861160496E-2</v>
      </c>
      <c r="J4911">
        <v>0.103794984830714</v>
      </c>
      <c r="K4911">
        <v>8.0153791574463798E-2</v>
      </c>
      <c r="L4911">
        <v>518.50741417862798</v>
      </c>
      <c r="M4911">
        <v>10.521676482093801</v>
      </c>
      <c r="N4911">
        <v>49.2799138947804</v>
      </c>
      <c r="O4911">
        <v>47.5996456705249</v>
      </c>
      <c r="P4911">
        <v>-5.5283434053704401E-2</v>
      </c>
      <c r="Q4911">
        <v>0</v>
      </c>
      <c r="R4911">
        <v>0.97581681815729904</v>
      </c>
      <c r="S4911" t="s">
        <v>11479</v>
      </c>
      <c r="T4911" t="s">
        <v>13134</v>
      </c>
      <c r="U4911" t="s">
        <v>13134</v>
      </c>
      <c r="V4911" t="s">
        <v>13134</v>
      </c>
      <c r="W4911" t="s">
        <v>17983</v>
      </c>
      <c r="X4911">
        <v>3</v>
      </c>
      <c r="Y4911" t="s">
        <v>24352</v>
      </c>
      <c r="Z4911" t="s">
        <v>30879</v>
      </c>
      <c r="AA4911">
        <v>0.44361180992425242</v>
      </c>
      <c r="AB4911" t="str">
        <f>HYPERLINK("Melting_Curves/meltCurve_Q969R8_ITFG2.pdf", "Melting_Curves/meltCurve_Q969R8_ITFG2.pdf")</f>
        <v>Melting_Curves/meltCurve_Q969R8_ITFG2.pdf</v>
      </c>
    </row>
    <row r="4912" spans="1:28" x14ac:dyDescent="0.25">
      <c r="A4912" t="s">
        <v>4916</v>
      </c>
      <c r="B4912">
        <v>0.99472303558308395</v>
      </c>
      <c r="C4912">
        <v>0.96186210525012805</v>
      </c>
      <c r="D4912">
        <v>0.92637899268771196</v>
      </c>
      <c r="E4912">
        <v>0.76359457849451096</v>
      </c>
      <c r="F4912">
        <v>0.55776243245138402</v>
      </c>
      <c r="G4912">
        <v>0.34213888565259498</v>
      </c>
      <c r="H4912">
        <v>9.1750725978108905E-2</v>
      </c>
      <c r="I4912">
        <v>6.6054973631753694E-2</v>
      </c>
      <c r="J4912">
        <v>6.4547993574896795E-2</v>
      </c>
      <c r="K4912">
        <v>6.3600224676333E-2</v>
      </c>
      <c r="L4912">
        <v>743.18882702122301</v>
      </c>
      <c r="M4912">
        <v>14.6633174316898</v>
      </c>
      <c r="N4912">
        <v>50.730096969175797</v>
      </c>
      <c r="O4912">
        <v>49.768874940149601</v>
      </c>
      <c r="P4912">
        <v>-7.3172877951092202E-2</v>
      </c>
      <c r="Q4912">
        <v>6.6832275977630499E-3</v>
      </c>
      <c r="R4912">
        <v>0.99424426878289796</v>
      </c>
      <c r="S4912" t="s">
        <v>11480</v>
      </c>
      <c r="T4912" t="s">
        <v>13134</v>
      </c>
      <c r="U4912" t="s">
        <v>13134</v>
      </c>
      <c r="V4912" t="s">
        <v>13134</v>
      </c>
      <c r="W4912" t="s">
        <v>17984</v>
      </c>
      <c r="X4912">
        <v>15</v>
      </c>
      <c r="Y4912" t="s">
        <v>24353</v>
      </c>
      <c r="Z4912" t="s">
        <v>30880</v>
      </c>
      <c r="AA4912">
        <v>0.48063924999581908</v>
      </c>
      <c r="AB4912" t="str">
        <f>HYPERLINK("Melting_Curves/meltCurve_Q969S3_ZNF622.pdf", "Melting_Curves/meltCurve_Q969S3_ZNF622.pdf")</f>
        <v>Melting_Curves/meltCurve_Q969S3_ZNF622.pdf</v>
      </c>
    </row>
    <row r="4913" spans="1:28" x14ac:dyDescent="0.25">
      <c r="A4913" t="s">
        <v>4917</v>
      </c>
      <c r="B4913">
        <v>0.99472303558308395</v>
      </c>
      <c r="C4913">
        <v>1.02476486722622</v>
      </c>
      <c r="D4913">
        <v>0.93387128695352095</v>
      </c>
      <c r="E4913">
        <v>0.37905991928233701</v>
      </c>
      <c r="F4913">
        <v>0.18424155487409799</v>
      </c>
      <c r="G4913">
        <v>0.10114718281115601</v>
      </c>
      <c r="H4913">
        <v>5.5580868805298903E-2</v>
      </c>
      <c r="I4913">
        <v>4.5328441715250398E-2</v>
      </c>
      <c r="J4913">
        <v>3.59278433041164E-2</v>
      </c>
      <c r="K4913">
        <v>4.7745385390107697E-2</v>
      </c>
      <c r="L4913">
        <v>1507.56349603544</v>
      </c>
      <c r="M4913">
        <v>32.897767743473203</v>
      </c>
      <c r="N4913">
        <v>46.021661014918898</v>
      </c>
      <c r="O4913">
        <v>45.657373970209697</v>
      </c>
      <c r="P4913">
        <v>-0.168362343665796</v>
      </c>
      <c r="Q4913">
        <v>6.5353266431969703E-2</v>
      </c>
      <c r="R4913">
        <v>0.99396290945897903</v>
      </c>
      <c r="S4913" t="s">
        <v>11481</v>
      </c>
      <c r="T4913" t="s">
        <v>13134</v>
      </c>
      <c r="U4913" t="s">
        <v>13134</v>
      </c>
      <c r="V4913" t="s">
        <v>13134</v>
      </c>
      <c r="W4913" t="s">
        <v>17985</v>
      </c>
      <c r="X4913">
        <v>13</v>
      </c>
      <c r="Y4913" t="s">
        <v>24354</v>
      </c>
      <c r="Z4913" t="s">
        <v>30881</v>
      </c>
      <c r="AA4913">
        <v>0.34472167158933659</v>
      </c>
      <c r="AB4913" t="str">
        <f>HYPERLINK("Melting_Curves/meltCurve_Q969S9_2_GFM2.pdf", "Melting_Curves/meltCurve_Q969S9_2_GFM2.pdf")</f>
        <v>Melting_Curves/meltCurve_Q969S9_2_GFM2.pdf</v>
      </c>
    </row>
    <row r="4914" spans="1:28" x14ac:dyDescent="0.25">
      <c r="A4914" t="s">
        <v>4918</v>
      </c>
      <c r="B4914">
        <v>0.99472303558308395</v>
      </c>
      <c r="C4914">
        <v>0.97018936857162896</v>
      </c>
      <c r="D4914">
        <v>0.99454091477057904</v>
      </c>
      <c r="E4914">
        <v>0.91300807265512096</v>
      </c>
      <c r="F4914">
        <v>0.50069122280843703</v>
      </c>
      <c r="G4914">
        <v>0.112358258984416</v>
      </c>
      <c r="H4914">
        <v>4.7121755469876202E-2</v>
      </c>
      <c r="I4914">
        <v>4.4573272935514399E-2</v>
      </c>
      <c r="J4914">
        <v>4.15973996969351E-2</v>
      </c>
      <c r="K4914">
        <v>4.6721335575028701E-2</v>
      </c>
      <c r="L4914">
        <v>1671.82800326292</v>
      </c>
      <c r="M4914">
        <v>33.412380111772102</v>
      </c>
      <c r="N4914">
        <v>50.158422702300498</v>
      </c>
      <c r="O4914">
        <v>49.857968486441699</v>
      </c>
      <c r="P4914">
        <v>-0.160987541662273</v>
      </c>
      <c r="Q4914">
        <v>3.9101352372025701E-2</v>
      </c>
      <c r="R4914">
        <v>0.99928708887177697</v>
      </c>
      <c r="S4914" t="s">
        <v>11482</v>
      </c>
      <c r="T4914" t="s">
        <v>13134</v>
      </c>
      <c r="U4914" t="s">
        <v>13134</v>
      </c>
      <c r="V4914" t="s">
        <v>13134</v>
      </c>
      <c r="W4914" t="s">
        <v>17986</v>
      </c>
      <c r="X4914">
        <v>6</v>
      </c>
      <c r="Y4914" t="s">
        <v>24355</v>
      </c>
      <c r="Z4914" t="s">
        <v>30882</v>
      </c>
      <c r="AA4914">
        <v>0.4614130784342762</v>
      </c>
      <c r="AB4914" t="str">
        <f>HYPERLINK("Melting_Curves/meltCurve_Q969T7_2_NT5C3B.pdf", "Melting_Curves/meltCurve_Q969T7_2_NT5C3B.pdf")</f>
        <v>Melting_Curves/meltCurve_Q969T7_2_NT5C3B.pdf</v>
      </c>
    </row>
    <row r="4915" spans="1:28" x14ac:dyDescent="0.25">
      <c r="A4915" t="s">
        <v>4919</v>
      </c>
      <c r="B4915">
        <v>0.99472303558308395</v>
      </c>
      <c r="C4915">
        <v>0.89480806993233197</v>
      </c>
      <c r="D4915">
        <v>0.87311922433112199</v>
      </c>
      <c r="E4915">
        <v>0.85845954660546497</v>
      </c>
      <c r="F4915">
        <v>1.0275281225566</v>
      </c>
      <c r="G4915">
        <v>0.79325668375320002</v>
      </c>
      <c r="H4915">
        <v>0.32396678999577999</v>
      </c>
      <c r="I4915">
        <v>0.14571135602929999</v>
      </c>
      <c r="J4915">
        <v>0.115107935432265</v>
      </c>
      <c r="K4915">
        <v>0.119864553280356</v>
      </c>
      <c r="L4915">
        <v>2085.90883277476</v>
      </c>
      <c r="M4915">
        <v>37.536578852115497</v>
      </c>
      <c r="N4915">
        <v>55.959458792399403</v>
      </c>
      <c r="O4915">
        <v>55.413017980867998</v>
      </c>
      <c r="P4915">
        <v>-0.149883728070005</v>
      </c>
      <c r="Q4915">
        <v>0.11494469025169</v>
      </c>
      <c r="R4915">
        <v>0.96369782312589403</v>
      </c>
      <c r="S4915" t="s">
        <v>11483</v>
      </c>
      <c r="T4915" t="s">
        <v>13134</v>
      </c>
      <c r="U4915" t="s">
        <v>13134</v>
      </c>
      <c r="V4915" t="s">
        <v>13134</v>
      </c>
      <c r="W4915" t="s">
        <v>17987</v>
      </c>
      <c r="X4915">
        <v>8</v>
      </c>
      <c r="Y4915" t="s">
        <v>24356</v>
      </c>
      <c r="Z4915" t="s">
        <v>30883</v>
      </c>
      <c r="AA4915">
        <v>0.66654859389568932</v>
      </c>
      <c r="AB4915" t="str">
        <f>HYPERLINK("Melting_Curves/meltCurve_Q969U7_PSMG2.pdf", "Melting_Curves/meltCurve_Q969U7_PSMG2.pdf")</f>
        <v>Melting_Curves/meltCurve_Q969U7_PSMG2.pdf</v>
      </c>
    </row>
    <row r="4916" spans="1:28" x14ac:dyDescent="0.25">
      <c r="A4916" t="s">
        <v>4920</v>
      </c>
      <c r="B4916">
        <v>0.99472303558308395</v>
      </c>
      <c r="C4916">
        <v>0.90271325211683895</v>
      </c>
      <c r="D4916">
        <v>0.90452311039553501</v>
      </c>
      <c r="E4916">
        <v>0.77613128946123999</v>
      </c>
      <c r="F4916">
        <v>0.57659698453207897</v>
      </c>
      <c r="G4916">
        <v>0.145230442375341</v>
      </c>
      <c r="H4916">
        <v>5.90079518039342E-2</v>
      </c>
      <c r="I4916">
        <v>3.0982582604075999E-2</v>
      </c>
      <c r="J4916">
        <v>3.4814386541497003E-2</v>
      </c>
      <c r="K4916">
        <v>3.5061711237079601E-2</v>
      </c>
      <c r="L4916">
        <v>949.35993241663198</v>
      </c>
      <c r="M4916">
        <v>18.939736377221799</v>
      </c>
      <c r="N4916">
        <v>50.125301057991997</v>
      </c>
      <c r="O4916">
        <v>49.576523886937203</v>
      </c>
      <c r="P4916">
        <v>-9.5511441282289306E-2</v>
      </c>
      <c r="Q4916">
        <v>0</v>
      </c>
      <c r="R4916">
        <v>0.98404423798145801</v>
      </c>
      <c r="S4916" t="s">
        <v>11484</v>
      </c>
      <c r="T4916" t="s">
        <v>13134</v>
      </c>
      <c r="U4916" t="s">
        <v>13134</v>
      </c>
      <c r="V4916" t="s">
        <v>13134</v>
      </c>
      <c r="W4916" t="s">
        <v>17988</v>
      </c>
      <c r="X4916">
        <v>17</v>
      </c>
      <c r="Y4916" t="s">
        <v>24357</v>
      </c>
      <c r="Z4916" t="s">
        <v>30884</v>
      </c>
      <c r="AA4916">
        <v>0.45196297186299261</v>
      </c>
      <c r="AB4916" t="str">
        <f>HYPERLINK("Melting_Curves/meltCurve_Q969V3_2_NCLN.pdf", "Melting_Curves/meltCurve_Q969V3_2_NCLN.pdf")</f>
        <v>Melting_Curves/meltCurve_Q969V3_2_NCLN.pdf</v>
      </c>
    </row>
    <row r="4917" spans="1:28" x14ac:dyDescent="0.25">
      <c r="A4917" t="s">
        <v>4921</v>
      </c>
      <c r="B4917">
        <v>0.99472303558308395</v>
      </c>
      <c r="C4917">
        <v>1.12965766067548</v>
      </c>
      <c r="D4917">
        <v>0.82746011644519102</v>
      </c>
      <c r="E4917">
        <v>0.76039417965181499</v>
      </c>
      <c r="F4917">
        <v>0.69885432372953304</v>
      </c>
      <c r="G4917">
        <v>0.36492858823036201</v>
      </c>
      <c r="H4917">
        <v>0.22819084890723099</v>
      </c>
      <c r="I4917">
        <v>0.165526065516236</v>
      </c>
      <c r="J4917">
        <v>0.190564463691659</v>
      </c>
      <c r="K4917">
        <v>0.157892393659508</v>
      </c>
      <c r="L4917">
        <v>704.39845213718297</v>
      </c>
      <c r="M4917">
        <v>13.8293019391502</v>
      </c>
      <c r="N4917">
        <v>51.8629636062796</v>
      </c>
      <c r="O4917">
        <v>49.905605107117097</v>
      </c>
      <c r="P4917">
        <v>-6.1694449839755902E-2</v>
      </c>
      <c r="Q4917">
        <v>0.109580077945026</v>
      </c>
      <c r="R4917">
        <v>0.95966351880098699</v>
      </c>
      <c r="S4917" t="s">
        <v>11485</v>
      </c>
      <c r="T4917" t="s">
        <v>13134</v>
      </c>
      <c r="U4917" t="s">
        <v>13134</v>
      </c>
      <c r="V4917" t="s">
        <v>13134</v>
      </c>
      <c r="W4917" t="s">
        <v>17989</v>
      </c>
      <c r="X4917">
        <v>4</v>
      </c>
      <c r="Y4917" t="s">
        <v>24358</v>
      </c>
      <c r="Z4917" t="s">
        <v>30885</v>
      </c>
      <c r="AA4917">
        <v>0.54310451184603681</v>
      </c>
      <c r="AB4917" t="str">
        <f>HYPERLINK("Melting_Curves/meltCurve_Q969V5_MUL1.pdf", "Melting_Curves/meltCurve_Q969V5_MUL1.pdf")</f>
        <v>Melting_Curves/meltCurve_Q969V5_MUL1.pdf</v>
      </c>
    </row>
    <row r="4918" spans="1:28" x14ac:dyDescent="0.25">
      <c r="A4918" t="s">
        <v>4922</v>
      </c>
      <c r="B4918">
        <v>0.99472303558308395</v>
      </c>
      <c r="C4918">
        <v>1.2459192075136001</v>
      </c>
      <c r="D4918">
        <v>0.90884523497263703</v>
      </c>
      <c r="E4918">
        <v>0.75124497445192795</v>
      </c>
      <c r="F4918">
        <v>0.14144493135229999</v>
      </c>
      <c r="G4918">
        <v>0.106751795583413</v>
      </c>
      <c r="H4918">
        <v>3.3382268602416401E-2</v>
      </c>
      <c r="I4918">
        <v>5.2460497711147899E-2</v>
      </c>
      <c r="J4918">
        <v>5.1579653229851502E-2</v>
      </c>
      <c r="K4918">
        <v>4.4623330048802298E-2</v>
      </c>
      <c r="L4918">
        <v>2005.35671955711</v>
      </c>
      <c r="M4918">
        <v>42.052245347394603</v>
      </c>
      <c r="N4918">
        <v>47.8162467093195</v>
      </c>
      <c r="O4918">
        <v>47.579825272449099</v>
      </c>
      <c r="P4918">
        <v>-0.209109827588916</v>
      </c>
      <c r="Q4918">
        <v>5.3616432530363897E-2</v>
      </c>
      <c r="R4918">
        <v>0.96652645567964202</v>
      </c>
      <c r="S4918" t="s">
        <v>11486</v>
      </c>
      <c r="T4918" t="s">
        <v>13134</v>
      </c>
      <c r="U4918" t="s">
        <v>13134</v>
      </c>
      <c r="V4918" t="s">
        <v>13134</v>
      </c>
      <c r="W4918" t="s">
        <v>17990</v>
      </c>
      <c r="X4918">
        <v>3</v>
      </c>
      <c r="Y4918" t="s">
        <v>24359</v>
      </c>
      <c r="Z4918" t="s">
        <v>30886</v>
      </c>
      <c r="AA4918">
        <v>0.39357889233316468</v>
      </c>
      <c r="AB4918" t="str">
        <f>HYPERLINK("Melting_Curves/meltCurve_Q969X0_RILPL2.pdf", "Melting_Curves/meltCurve_Q969X0_RILPL2.pdf")</f>
        <v>Melting_Curves/meltCurve_Q969X0_RILPL2.pdf</v>
      </c>
    </row>
    <row r="4919" spans="1:28" x14ac:dyDescent="0.25">
      <c r="A4919" t="s">
        <v>4923</v>
      </c>
      <c r="B4919">
        <v>0.99472303558308395</v>
      </c>
      <c r="C4919">
        <v>0.939501719910668</v>
      </c>
      <c r="D4919">
        <v>0.90158080270146501</v>
      </c>
      <c r="E4919">
        <v>0.81650672705572003</v>
      </c>
      <c r="F4919">
        <v>0.606847417952037</v>
      </c>
      <c r="G4919">
        <v>0.42327515866844101</v>
      </c>
      <c r="H4919">
        <v>0.27049906762338899</v>
      </c>
      <c r="I4919">
        <v>0.11657937353091299</v>
      </c>
      <c r="J4919">
        <v>7.12498521273046E-2</v>
      </c>
      <c r="K4919">
        <v>7.1950692734140606E-2</v>
      </c>
      <c r="L4919">
        <v>623.17772187939204</v>
      </c>
      <c r="M4919">
        <v>11.958336406212901</v>
      </c>
      <c r="N4919">
        <v>52.112409339290203</v>
      </c>
      <c r="O4919">
        <v>50.719243108273197</v>
      </c>
      <c r="P4919">
        <v>-5.8958187336192097E-2</v>
      </c>
      <c r="Q4919">
        <v>0</v>
      </c>
      <c r="R4919">
        <v>0.99649552592942103</v>
      </c>
      <c r="S4919" t="s">
        <v>11487</v>
      </c>
      <c r="T4919" t="s">
        <v>13134</v>
      </c>
      <c r="U4919" t="s">
        <v>13134</v>
      </c>
      <c r="V4919" t="s">
        <v>13134</v>
      </c>
      <c r="W4919" t="s">
        <v>17991</v>
      </c>
      <c r="X4919">
        <v>3</v>
      </c>
      <c r="Y4919" t="s">
        <v>24360</v>
      </c>
      <c r="Z4919" t="s">
        <v>30887</v>
      </c>
      <c r="AA4919">
        <v>0.52728529564198645</v>
      </c>
      <c r="AB4919" t="str">
        <f>HYPERLINK("Melting_Curves/meltCurve_Q969X5_2_ERGIC1.pdf", "Melting_Curves/meltCurve_Q969X5_2_ERGIC1.pdf")</f>
        <v>Melting_Curves/meltCurve_Q969X5_2_ERGIC1.pdf</v>
      </c>
    </row>
    <row r="4920" spans="1:28" x14ac:dyDescent="0.25">
      <c r="A4920" t="s">
        <v>4924</v>
      </c>
      <c r="B4920">
        <v>0.99472303558308395</v>
      </c>
      <c r="C4920">
        <v>0.99859983806212405</v>
      </c>
      <c r="D4920">
        <v>0.888737315753518</v>
      </c>
      <c r="E4920">
        <v>0.72921036619420199</v>
      </c>
      <c r="F4920">
        <v>0.567160776382584</v>
      </c>
      <c r="G4920">
        <v>0.44331000075336602</v>
      </c>
      <c r="H4920">
        <v>0.27343352919101899</v>
      </c>
      <c r="I4920">
        <v>9.8738903807343306E-2</v>
      </c>
      <c r="J4920">
        <v>0.119976034148824</v>
      </c>
      <c r="K4920">
        <v>0.105751179867845</v>
      </c>
      <c r="L4920">
        <v>545.08281894560696</v>
      </c>
      <c r="M4920">
        <v>10.547107990037899</v>
      </c>
      <c r="N4920">
        <v>51.6807848013528</v>
      </c>
      <c r="O4920">
        <v>49.926663678115197</v>
      </c>
      <c r="P4920">
        <v>-5.2833946601170599E-2</v>
      </c>
      <c r="Q4920">
        <v>0</v>
      </c>
      <c r="R4920">
        <v>0.99151841338086599</v>
      </c>
      <c r="S4920" t="s">
        <v>11488</v>
      </c>
      <c r="T4920" t="s">
        <v>13134</v>
      </c>
      <c r="U4920" t="s">
        <v>13134</v>
      </c>
      <c r="V4920" t="s">
        <v>13134</v>
      </c>
      <c r="W4920" t="s">
        <v>17992</v>
      </c>
      <c r="X4920">
        <v>10</v>
      </c>
      <c r="Y4920" t="s">
        <v>24361</v>
      </c>
      <c r="Z4920" t="s">
        <v>30888</v>
      </c>
      <c r="AA4920">
        <v>0.51638765052071212</v>
      </c>
      <c r="AB4920" t="str">
        <f>HYPERLINK("Melting_Curves/meltCurve_Q969Y2_3_GTPBP3.pdf", "Melting_Curves/meltCurve_Q969Y2_3_GTPBP3.pdf")</f>
        <v>Melting_Curves/meltCurve_Q969Y2_3_GTPBP3.pdf</v>
      </c>
    </row>
    <row r="4921" spans="1:28" x14ac:dyDescent="0.25">
      <c r="A4921" t="s">
        <v>4925</v>
      </c>
      <c r="B4921">
        <v>0.99472303558308395</v>
      </c>
      <c r="C4921">
        <v>0.83978906964335098</v>
      </c>
      <c r="D4921">
        <v>0.92543649829908103</v>
      </c>
      <c r="E4921">
        <v>0.42348915857295699</v>
      </c>
      <c r="F4921">
        <v>0.12663918993558099</v>
      </c>
      <c r="G4921">
        <v>7.1244546429929403E-2</v>
      </c>
      <c r="H4921">
        <v>4.3993334475790201E-2</v>
      </c>
      <c r="I4921">
        <v>3.0704201039782601E-2</v>
      </c>
      <c r="J4921">
        <v>3.2719156797268001E-2</v>
      </c>
      <c r="K4921">
        <v>2.9888845406588701E-2</v>
      </c>
      <c r="L4921">
        <v>1286.0277769561001</v>
      </c>
      <c r="M4921">
        <v>27.938659850776901</v>
      </c>
      <c r="N4921">
        <v>46.157286172717001</v>
      </c>
      <c r="O4921">
        <v>45.796511292998503</v>
      </c>
      <c r="P4921">
        <v>-0.146879102214344</v>
      </c>
      <c r="Q4921">
        <v>3.6962668279369899E-2</v>
      </c>
      <c r="R4921">
        <v>0.98404980641724005</v>
      </c>
      <c r="S4921" t="s">
        <v>11489</v>
      </c>
      <c r="T4921" t="s">
        <v>13134</v>
      </c>
      <c r="U4921" t="s">
        <v>13134</v>
      </c>
      <c r="V4921" t="s">
        <v>13134</v>
      </c>
      <c r="W4921" t="s">
        <v>17993</v>
      </c>
      <c r="X4921">
        <v>20</v>
      </c>
      <c r="Y4921" t="s">
        <v>24362</v>
      </c>
      <c r="Z4921" t="s">
        <v>30889</v>
      </c>
      <c r="AA4921">
        <v>0.33320790902395969</v>
      </c>
      <c r="AB4921" t="str">
        <f>HYPERLINK("Melting_Curves/meltCurve_Q969Z0_TBRG4.pdf", "Melting_Curves/meltCurve_Q969Z0_TBRG4.pdf")</f>
        <v>Melting_Curves/meltCurve_Q969Z0_TBRG4.pdf</v>
      </c>
    </row>
    <row r="4922" spans="1:28" x14ac:dyDescent="0.25">
      <c r="A4922" t="s">
        <v>4926</v>
      </c>
      <c r="B4922">
        <v>0.99472303558308395</v>
      </c>
      <c r="C4922">
        <v>0.88826302984849403</v>
      </c>
      <c r="D4922">
        <v>0.99917239445135297</v>
      </c>
      <c r="E4922">
        <v>0.86321990436621798</v>
      </c>
      <c r="F4922">
        <v>0.67666460460626099</v>
      </c>
      <c r="G4922">
        <v>0.56706295155509401</v>
      </c>
      <c r="H4922">
        <v>0.53847547546486896</v>
      </c>
      <c r="I4922">
        <v>0.45370181078681199</v>
      </c>
      <c r="J4922">
        <v>0.600313035931761</v>
      </c>
      <c r="K4922">
        <v>0.517291231746421</v>
      </c>
      <c r="L4922">
        <v>1111.04802861761</v>
      </c>
      <c r="M4922">
        <v>22.901251641913799</v>
      </c>
      <c r="O4922">
        <v>48.149353890355798</v>
      </c>
      <c r="P4922">
        <v>-5.67700687338622E-2</v>
      </c>
      <c r="Q4922">
        <v>0.52257804782933903</v>
      </c>
      <c r="R4922">
        <v>0.939100385033519</v>
      </c>
      <c r="S4922" t="s">
        <v>11490</v>
      </c>
      <c r="T4922" t="s">
        <v>13134</v>
      </c>
      <c r="U4922" t="s">
        <v>13134</v>
      </c>
      <c r="V4922" t="s">
        <v>13134</v>
      </c>
      <c r="W4922" t="s">
        <v>17994</v>
      </c>
      <c r="X4922">
        <v>8</v>
      </c>
      <c r="Y4922" t="s">
        <v>24363</v>
      </c>
      <c r="Z4922" t="s">
        <v>30890</v>
      </c>
      <c r="AA4922">
        <v>0.71068496526375469</v>
      </c>
      <c r="AB4922" t="str">
        <f>HYPERLINK("Melting_Curves/meltCurve_Q96A00_PPP1R14A.pdf", "Melting_Curves/meltCurve_Q96A00_PPP1R14A.pdf")</f>
        <v>Melting_Curves/meltCurve_Q96A00_PPP1R14A.pdf</v>
      </c>
    </row>
    <row r="4923" spans="1:28" x14ac:dyDescent="0.25">
      <c r="A4923" t="s">
        <v>4927</v>
      </c>
      <c r="B4923">
        <v>0.99472303558308395</v>
      </c>
      <c r="C4923">
        <v>0.78623871303825399</v>
      </c>
      <c r="D4923">
        <v>0.886447166198847</v>
      </c>
      <c r="E4923">
        <v>1.0522033876693799</v>
      </c>
      <c r="F4923">
        <v>0.43105921762593502</v>
      </c>
      <c r="G4923">
        <v>0.16453596839659501</v>
      </c>
      <c r="H4923">
        <v>6.9755047102891696E-2</v>
      </c>
      <c r="I4923">
        <v>6.5503039564048196E-2</v>
      </c>
      <c r="J4923">
        <v>7.6873115684105695E-2</v>
      </c>
      <c r="K4923">
        <v>7.7550973613837101E-2</v>
      </c>
      <c r="L4923">
        <v>4243.2509081020198</v>
      </c>
      <c r="M4923">
        <v>85.033880791072207</v>
      </c>
      <c r="N4923">
        <v>50.017876227715497</v>
      </c>
      <c r="O4923">
        <v>49.873130355397301</v>
      </c>
      <c r="P4923">
        <v>-0.387758732419753</v>
      </c>
      <c r="Q4923">
        <v>9.0304275236021997E-2</v>
      </c>
      <c r="R4923">
        <v>0.957752990966107</v>
      </c>
      <c r="S4923" t="s">
        <v>11491</v>
      </c>
      <c r="T4923" t="s">
        <v>13134</v>
      </c>
      <c r="U4923" t="s">
        <v>13134</v>
      </c>
      <c r="V4923" t="s">
        <v>13134</v>
      </c>
      <c r="W4923" t="s">
        <v>17995</v>
      </c>
      <c r="X4923">
        <v>1</v>
      </c>
      <c r="Y4923" t="s">
        <v>24364</v>
      </c>
      <c r="Z4923" t="s">
        <v>30891</v>
      </c>
      <c r="AA4923">
        <v>0.48218470163869859</v>
      </c>
      <c r="AB4923" t="str">
        <f>HYPERLINK("Melting_Curves/meltCurve_Q96A19_CCDC102A.pdf", "Melting_Curves/meltCurve_Q96A19_CCDC102A.pdf")</f>
        <v>Melting_Curves/meltCurve_Q96A19_CCDC102A.pdf</v>
      </c>
    </row>
    <row r="4924" spans="1:28" x14ac:dyDescent="0.25">
      <c r="A4924" t="s">
        <v>4928</v>
      </c>
      <c r="B4924">
        <v>0.99472303558308395</v>
      </c>
      <c r="C4924">
        <v>1.0110469411449099</v>
      </c>
      <c r="D4924">
        <v>0.89058210339820998</v>
      </c>
      <c r="E4924">
        <v>0.80629804616699696</v>
      </c>
      <c r="F4924">
        <v>0.62856281923296498</v>
      </c>
      <c r="G4924">
        <v>0.28591552860104602</v>
      </c>
      <c r="H4924">
        <v>6.4194844387225503E-2</v>
      </c>
      <c r="I4924">
        <v>4.5647788844432498E-2</v>
      </c>
      <c r="J4924">
        <v>5.24943081818754E-2</v>
      </c>
      <c r="K4924">
        <v>4.5563056310324798E-2</v>
      </c>
      <c r="L4924">
        <v>894.10811751546998</v>
      </c>
      <c r="M4924">
        <v>17.527307952144099</v>
      </c>
      <c r="N4924">
        <v>51.026310051235598</v>
      </c>
      <c r="O4924">
        <v>50.362144619796403</v>
      </c>
      <c r="P4924">
        <v>-8.6802125171081296E-2</v>
      </c>
      <c r="Q4924">
        <v>2.4020430930528701E-3</v>
      </c>
      <c r="R4924">
        <v>0.99045070494813103</v>
      </c>
      <c r="S4924" t="s">
        <v>11492</v>
      </c>
      <c r="T4924" t="s">
        <v>13134</v>
      </c>
      <c r="U4924" t="s">
        <v>13134</v>
      </c>
      <c r="V4924" t="s">
        <v>13134</v>
      </c>
      <c r="W4924" t="s">
        <v>17996</v>
      </c>
      <c r="X4924">
        <v>21</v>
      </c>
      <c r="Y4924" t="s">
        <v>24365</v>
      </c>
      <c r="Z4924" t="s">
        <v>30892</v>
      </c>
      <c r="AA4924">
        <v>0.48446696968864422</v>
      </c>
      <c r="AB4924" t="str">
        <f>HYPERLINK("Melting_Curves/meltCurve_Q96A33_CCDC47.pdf", "Melting_Curves/meltCurve_Q96A33_CCDC47.pdf")</f>
        <v>Melting_Curves/meltCurve_Q96A33_CCDC47.pdf</v>
      </c>
    </row>
    <row r="4925" spans="1:28" x14ac:dyDescent="0.25">
      <c r="A4925" t="s">
        <v>4929</v>
      </c>
      <c r="B4925">
        <v>0.99472303558308395</v>
      </c>
      <c r="C4925">
        <v>0.98701361530800202</v>
      </c>
      <c r="D4925">
        <v>0.88192070708034598</v>
      </c>
      <c r="E4925">
        <v>0.71903974757850198</v>
      </c>
      <c r="F4925">
        <v>0.67006733840507804</v>
      </c>
      <c r="G4925">
        <v>0.34418550668449299</v>
      </c>
      <c r="H4925">
        <v>0.31910214142118698</v>
      </c>
      <c r="I4925">
        <v>0.254467081974665</v>
      </c>
      <c r="J4925">
        <v>0.25328521252367198</v>
      </c>
      <c r="K4925">
        <v>0.227358325203358</v>
      </c>
      <c r="L4925">
        <v>632.87485612435103</v>
      </c>
      <c r="M4925">
        <v>12.716623152828699</v>
      </c>
      <c r="N4925">
        <v>51.736273631206402</v>
      </c>
      <c r="O4925">
        <v>48.584967355286899</v>
      </c>
      <c r="P4925">
        <v>-5.2893559481850101E-2</v>
      </c>
      <c r="Q4925">
        <v>0.19181773783945599</v>
      </c>
      <c r="R4925">
        <v>0.98081587892428002</v>
      </c>
      <c r="S4925" t="s">
        <v>11493</v>
      </c>
      <c r="T4925" t="s">
        <v>13134</v>
      </c>
      <c r="U4925" t="s">
        <v>13134</v>
      </c>
      <c r="V4925" t="s">
        <v>13134</v>
      </c>
      <c r="W4925" t="s">
        <v>17997</v>
      </c>
      <c r="X4925">
        <v>1</v>
      </c>
      <c r="Y4925" t="s">
        <v>24366</v>
      </c>
      <c r="Z4925" t="s">
        <v>30893</v>
      </c>
      <c r="AA4925">
        <v>0.55713245863591987</v>
      </c>
      <c r="AB4925" t="str">
        <f>HYPERLINK("Melting_Curves/meltCurve_Q96A46_SLC25A28.pdf", "Melting_Curves/meltCurve_Q96A46_SLC25A28.pdf")</f>
        <v>Melting_Curves/meltCurve_Q96A46_SLC25A28.pdf</v>
      </c>
    </row>
    <row r="4926" spans="1:28" x14ac:dyDescent="0.25">
      <c r="A4926" t="s">
        <v>4930</v>
      </c>
      <c r="B4926">
        <v>0.99472303558308395</v>
      </c>
      <c r="C4926">
        <v>0.91931965053309594</v>
      </c>
      <c r="D4926">
        <v>0.86800021974893105</v>
      </c>
      <c r="E4926">
        <v>0.65821840405021903</v>
      </c>
      <c r="F4926">
        <v>0.31829647903469099</v>
      </c>
      <c r="G4926">
        <v>0.15993778346267001</v>
      </c>
      <c r="H4926">
        <v>0.101831950522488</v>
      </c>
      <c r="I4926">
        <v>6.0511867464785998E-2</v>
      </c>
      <c r="J4926">
        <v>9.0886097460623899E-2</v>
      </c>
      <c r="K4926">
        <v>6.8526468607123997E-2</v>
      </c>
      <c r="L4926">
        <v>845.63499116965102</v>
      </c>
      <c r="M4926">
        <v>17.7238741603291</v>
      </c>
      <c r="N4926">
        <v>48.044315654792698</v>
      </c>
      <c r="O4926">
        <v>47.116690670501903</v>
      </c>
      <c r="P4926">
        <v>-8.8616307497032198E-2</v>
      </c>
      <c r="Q4926">
        <v>5.7748172311242303E-2</v>
      </c>
      <c r="R4926">
        <v>0.99631193364193404</v>
      </c>
      <c r="S4926" t="s">
        <v>11494</v>
      </c>
      <c r="T4926" t="s">
        <v>13134</v>
      </c>
      <c r="U4926" t="s">
        <v>13134</v>
      </c>
      <c r="V4926" t="s">
        <v>13134</v>
      </c>
      <c r="W4926" t="s">
        <v>17998</v>
      </c>
      <c r="X4926">
        <v>2</v>
      </c>
      <c r="Y4926" t="s">
        <v>24367</v>
      </c>
      <c r="Z4926" t="s">
        <v>30894</v>
      </c>
      <c r="AA4926">
        <v>0.40969910950931959</v>
      </c>
      <c r="AB4926" t="str">
        <f>HYPERLINK("Melting_Curves/meltCurve_Q96A47_ISL2.pdf", "Melting_Curves/meltCurve_Q96A47_ISL2.pdf")</f>
        <v>Melting_Curves/meltCurve_Q96A47_ISL2.pdf</v>
      </c>
    </row>
    <row r="4927" spans="1:28" x14ac:dyDescent="0.25">
      <c r="A4927" t="s">
        <v>4931</v>
      </c>
      <c r="B4927">
        <v>0.99472303558308395</v>
      </c>
      <c r="C4927">
        <v>0.92170939471548996</v>
      </c>
      <c r="D4927">
        <v>1.0052285222061801</v>
      </c>
      <c r="E4927">
        <v>0.88411644449265903</v>
      </c>
      <c r="F4927">
        <v>0.67311213583801399</v>
      </c>
      <c r="G4927">
        <v>0.34260563311826397</v>
      </c>
      <c r="H4927">
        <v>0.146832312325439</v>
      </c>
      <c r="I4927">
        <v>8.9613270963212602E-2</v>
      </c>
      <c r="J4927">
        <v>9.2490069444270601E-2</v>
      </c>
      <c r="K4927">
        <v>7.9053634953277704E-2</v>
      </c>
      <c r="L4927">
        <v>1077.8508780437801</v>
      </c>
      <c r="M4927">
        <v>20.910416049405502</v>
      </c>
      <c r="N4927">
        <v>51.888053164813698</v>
      </c>
      <c r="O4927">
        <v>51.081635583899399</v>
      </c>
      <c r="P4927">
        <v>-9.5754274513971199E-2</v>
      </c>
      <c r="Q4927">
        <v>6.43607583784674E-2</v>
      </c>
      <c r="R4927">
        <v>0.99498476617696596</v>
      </c>
      <c r="S4927" t="s">
        <v>11495</v>
      </c>
      <c r="T4927" t="s">
        <v>13134</v>
      </c>
      <c r="U4927" t="s">
        <v>13134</v>
      </c>
      <c r="V4927" t="s">
        <v>13134</v>
      </c>
      <c r="W4927" t="s">
        <v>17999</v>
      </c>
      <c r="X4927">
        <v>14</v>
      </c>
      <c r="Y4927" t="s">
        <v>24368</v>
      </c>
      <c r="Z4927" t="s">
        <v>30895</v>
      </c>
      <c r="AA4927">
        <v>0.52934144483801482</v>
      </c>
      <c r="AB4927" t="str">
        <f>HYPERLINK("Melting_Curves/meltCurve_Q96A49_SYAP1.pdf", "Melting_Curves/meltCurve_Q96A49_SYAP1.pdf")</f>
        <v>Melting_Curves/meltCurve_Q96A49_SYAP1.pdf</v>
      </c>
    </row>
    <row r="4928" spans="1:28" x14ac:dyDescent="0.25">
      <c r="A4928" t="s">
        <v>4932</v>
      </c>
      <c r="B4928">
        <v>0.99472303558308395</v>
      </c>
      <c r="C4928">
        <v>0.901344628046722</v>
      </c>
      <c r="D4928">
        <v>0.70828940889529501</v>
      </c>
      <c r="E4928">
        <v>0.44447244706330502</v>
      </c>
      <c r="F4928">
        <v>0.139004369924009</v>
      </c>
      <c r="G4928">
        <v>7.0591746678753897E-2</v>
      </c>
      <c r="H4928">
        <v>5.2661711450079002E-2</v>
      </c>
      <c r="I4928">
        <v>3.9838016765568598E-2</v>
      </c>
      <c r="J4928">
        <v>3.6559310998030899E-2</v>
      </c>
      <c r="K4928">
        <v>3.2383347345294203E-2</v>
      </c>
      <c r="L4928">
        <v>781.32488705142498</v>
      </c>
      <c r="M4928">
        <v>17.224528804695201</v>
      </c>
      <c r="N4928">
        <v>45.481245640873702</v>
      </c>
      <c r="O4928">
        <v>44.762997850129203</v>
      </c>
      <c r="P4928">
        <v>-9.4065818877400398E-2</v>
      </c>
      <c r="Q4928">
        <v>2.22267377190817E-2</v>
      </c>
      <c r="R4928">
        <v>0.99669587694706796</v>
      </c>
      <c r="S4928" t="s">
        <v>11496</v>
      </c>
      <c r="T4928" t="s">
        <v>13134</v>
      </c>
      <c r="U4928" t="s">
        <v>13134</v>
      </c>
      <c r="V4928" t="s">
        <v>13134</v>
      </c>
      <c r="W4928" t="s">
        <v>18000</v>
      </c>
      <c r="X4928">
        <v>19</v>
      </c>
      <c r="Y4928" t="s">
        <v>24369</v>
      </c>
      <c r="Z4928" t="s">
        <v>30896</v>
      </c>
      <c r="AA4928">
        <v>0.31216238925768752</v>
      </c>
      <c r="AB4928" t="str">
        <f>HYPERLINK("Melting_Curves/meltCurve_Q96A65_EXOC4.pdf", "Melting_Curves/meltCurve_Q96A65_EXOC4.pdf")</f>
        <v>Melting_Curves/meltCurve_Q96A65_EXOC4.pdf</v>
      </c>
    </row>
    <row r="4929" spans="1:28" x14ac:dyDescent="0.25">
      <c r="A4929" t="s">
        <v>4933</v>
      </c>
      <c r="B4929">
        <v>0.99472303558308395</v>
      </c>
      <c r="C4929">
        <v>0.88122543719088997</v>
      </c>
      <c r="D4929">
        <v>1.0871110709953</v>
      </c>
      <c r="E4929">
        <v>0.72397321398666203</v>
      </c>
      <c r="F4929">
        <v>0.28507842256649402</v>
      </c>
      <c r="G4929">
        <v>0.31712501450666097</v>
      </c>
      <c r="H4929">
        <v>0.284411795344097</v>
      </c>
      <c r="I4929">
        <v>0.27211982450634398</v>
      </c>
      <c r="J4929">
        <v>0.36368531992477199</v>
      </c>
      <c r="K4929">
        <v>0.25830394377499499</v>
      </c>
      <c r="L4929">
        <v>11670.351207891101</v>
      </c>
      <c r="M4929">
        <v>250</v>
      </c>
      <c r="N4929">
        <v>46.850141463300297</v>
      </c>
      <c r="O4929">
        <v>46.678417656268998</v>
      </c>
      <c r="P4929">
        <v>-0.94156552113210501</v>
      </c>
      <c r="Q4929">
        <v>0.29678738436871599</v>
      </c>
      <c r="R4929">
        <v>0.97152340943739401</v>
      </c>
      <c r="S4929" t="s">
        <v>11497</v>
      </c>
      <c r="T4929" t="s">
        <v>13134</v>
      </c>
      <c r="U4929" t="s">
        <v>13134</v>
      </c>
      <c r="V4929" t="s">
        <v>13134</v>
      </c>
      <c r="W4929" t="s">
        <v>18001</v>
      </c>
      <c r="X4929">
        <v>4</v>
      </c>
      <c r="Y4929" t="s">
        <v>24370</v>
      </c>
      <c r="Z4929" t="s">
        <v>30897</v>
      </c>
      <c r="AA4929">
        <v>0.52378119564629244</v>
      </c>
      <c r="AB4929" t="str">
        <f>HYPERLINK("Melting_Curves/meltCurve_Q96A73_2_KIAA1191.pdf", "Melting_Curves/meltCurve_Q96A73_2_KIAA1191.pdf")</f>
        <v>Melting_Curves/meltCurve_Q96A73_2_KIAA1191.pdf</v>
      </c>
    </row>
    <row r="4930" spans="1:28" x14ac:dyDescent="0.25">
      <c r="A4930" t="s">
        <v>4934</v>
      </c>
      <c r="B4930">
        <v>0.99472303558308395</v>
      </c>
      <c r="C4930">
        <v>1.09697186229477</v>
      </c>
      <c r="D4930">
        <v>0.93817184227446704</v>
      </c>
      <c r="E4930">
        <v>0.86900172347426397</v>
      </c>
      <c r="F4930">
        <v>0.76246502853626896</v>
      </c>
      <c r="G4930">
        <v>0.50105762110951402</v>
      </c>
      <c r="H4930">
        <v>0.29947837331616001</v>
      </c>
      <c r="I4930">
        <v>0.23411499375651701</v>
      </c>
      <c r="J4930">
        <v>0.19446291360763199</v>
      </c>
      <c r="K4930">
        <v>0.15303147146204399</v>
      </c>
      <c r="L4930">
        <v>824.89014367522304</v>
      </c>
      <c r="M4930">
        <v>15.6247616903034</v>
      </c>
      <c r="N4930">
        <v>53.829137191551901</v>
      </c>
      <c r="O4930">
        <v>51.951674489802102</v>
      </c>
      <c r="P4930">
        <v>-6.5435990404456607E-2</v>
      </c>
      <c r="Q4930">
        <v>0.12978723027540001</v>
      </c>
      <c r="R4930">
        <v>0.98770384967837699</v>
      </c>
      <c r="S4930" t="s">
        <v>11498</v>
      </c>
      <c r="T4930" t="s">
        <v>13134</v>
      </c>
      <c r="U4930" t="s">
        <v>13134</v>
      </c>
      <c r="V4930" t="s">
        <v>13134</v>
      </c>
      <c r="W4930" t="s">
        <v>18002</v>
      </c>
      <c r="X4930">
        <v>5</v>
      </c>
      <c r="Y4930" t="s">
        <v>24371</v>
      </c>
      <c r="Z4930" t="s">
        <v>30898</v>
      </c>
      <c r="AA4930">
        <v>0.60304914121582531</v>
      </c>
      <c r="AB4930" t="str">
        <f>HYPERLINK("Melting_Curves/meltCurve_Q96AB3_ISOC2.pdf", "Melting_Curves/meltCurve_Q96AB3_ISOC2.pdf")</f>
        <v>Melting_Curves/meltCurve_Q96AB3_ISOC2.pdf</v>
      </c>
    </row>
    <row r="4931" spans="1:28" x14ac:dyDescent="0.25">
      <c r="A4931" t="s">
        <v>4935</v>
      </c>
      <c r="B4931">
        <v>0.99472303558308395</v>
      </c>
      <c r="C4931">
        <v>0.83658463310819797</v>
      </c>
      <c r="D4931">
        <v>0.71367540083840297</v>
      </c>
      <c r="E4931">
        <v>0.474565326636531</v>
      </c>
      <c r="F4931">
        <v>0.25652734905088398</v>
      </c>
      <c r="G4931">
        <v>0.12659738765668699</v>
      </c>
      <c r="H4931">
        <v>9.0720032888822202E-2</v>
      </c>
      <c r="I4931">
        <v>7.3540653593908795E-2</v>
      </c>
      <c r="J4931">
        <v>4.9056648839827598E-2</v>
      </c>
      <c r="K4931">
        <v>6.0310721422799397E-2</v>
      </c>
      <c r="L4931">
        <v>606.22033749665195</v>
      </c>
      <c r="M4931">
        <v>13.2598466013512</v>
      </c>
      <c r="N4931">
        <v>45.952095087117002</v>
      </c>
      <c r="O4931">
        <v>44.716183831354002</v>
      </c>
      <c r="P4931">
        <v>-7.17289581149015E-2</v>
      </c>
      <c r="Q4931">
        <v>3.2591668437421402E-2</v>
      </c>
      <c r="R4931">
        <v>0.99650852595287598</v>
      </c>
      <c r="S4931" t="s">
        <v>11499</v>
      </c>
      <c r="T4931" t="s">
        <v>13134</v>
      </c>
      <c r="U4931" t="s">
        <v>13134</v>
      </c>
      <c r="V4931" t="s">
        <v>13134</v>
      </c>
      <c r="W4931" t="s">
        <v>18003</v>
      </c>
      <c r="X4931">
        <v>6</v>
      </c>
      <c r="Y4931" t="s">
        <v>24372</v>
      </c>
      <c r="Z4931" t="s">
        <v>30899</v>
      </c>
      <c r="AA4931">
        <v>0.34207703115251159</v>
      </c>
      <c r="AB4931" t="str">
        <f>HYPERLINK("Melting_Curves/meltCurve_Q96AD5_PNPLA2.pdf", "Melting_Curves/meltCurve_Q96AD5_PNPLA2.pdf")</f>
        <v>Melting_Curves/meltCurve_Q96AD5_PNPLA2.pdf</v>
      </c>
    </row>
    <row r="4932" spans="1:28" x14ac:dyDescent="0.25">
      <c r="A4932" t="s">
        <v>4936</v>
      </c>
      <c r="B4932">
        <v>0.99472303558308395</v>
      </c>
      <c r="C4932">
        <v>1.02228572864442</v>
      </c>
      <c r="D4932">
        <v>0.98562304687024904</v>
      </c>
      <c r="E4932">
        <v>0.88520277692087301</v>
      </c>
      <c r="F4932">
        <v>0.62566742523805396</v>
      </c>
      <c r="G4932">
        <v>0.53080917849615405</v>
      </c>
      <c r="H4932">
        <v>0.54203911886941003</v>
      </c>
      <c r="I4932">
        <v>0.59757281680193197</v>
      </c>
      <c r="J4932">
        <v>0.826506693250594</v>
      </c>
      <c r="K4932">
        <v>0.64761318656239097</v>
      </c>
      <c r="L4932">
        <v>11687.5253687159</v>
      </c>
      <c r="M4932">
        <v>250</v>
      </c>
      <c r="O4932">
        <v>46.747109791932402</v>
      </c>
      <c r="P4932">
        <v>-0.49686485221891902</v>
      </c>
      <c r="Q4932">
        <v>0.62836806776785803</v>
      </c>
      <c r="R4932">
        <v>0.83424860656747901</v>
      </c>
      <c r="S4932" t="s">
        <v>11500</v>
      </c>
      <c r="T4932" t="s">
        <v>13134</v>
      </c>
      <c r="U4932" t="s">
        <v>13134</v>
      </c>
      <c r="V4932" t="s">
        <v>13134</v>
      </c>
      <c r="W4932" t="s">
        <v>18004</v>
      </c>
      <c r="X4932">
        <v>46</v>
      </c>
      <c r="Y4932" t="s">
        <v>24373</v>
      </c>
      <c r="Z4932" t="s">
        <v>30900</v>
      </c>
      <c r="AA4932">
        <v>0.7491801935888317</v>
      </c>
      <c r="AB4932" t="str">
        <f>HYPERLINK("Melting_Curves/meltCurve_Q96AE4_FUBP1.pdf", "Melting_Curves/meltCurve_Q96AE4_FUBP1.pdf")</f>
        <v>Melting_Curves/meltCurve_Q96AE4_FUBP1.pdf</v>
      </c>
    </row>
    <row r="4933" spans="1:28" x14ac:dyDescent="0.25">
      <c r="A4933" t="s">
        <v>4937</v>
      </c>
      <c r="B4933">
        <v>0.99472303558308395</v>
      </c>
      <c r="C4933">
        <v>1.10572930104528</v>
      </c>
      <c r="D4933">
        <v>0.948757386983891</v>
      </c>
      <c r="E4933">
        <v>0.80896488321095295</v>
      </c>
      <c r="F4933">
        <v>0.45386969297401403</v>
      </c>
      <c r="G4933">
        <v>0.35471320857790301</v>
      </c>
      <c r="H4933">
        <v>0.25416049748205699</v>
      </c>
      <c r="I4933">
        <v>0.30088455456924601</v>
      </c>
      <c r="J4933">
        <v>0.38377105773957199</v>
      </c>
      <c r="K4933">
        <v>0.28014440563474802</v>
      </c>
      <c r="L4933">
        <v>1430.34792710903</v>
      </c>
      <c r="M4933">
        <v>29.767172034497602</v>
      </c>
      <c r="N4933">
        <v>49.6397829234093</v>
      </c>
      <c r="O4933">
        <v>47.8358908138026</v>
      </c>
      <c r="P4933">
        <v>-0.107788941305009</v>
      </c>
      <c r="Q4933">
        <v>0.30713670273914101</v>
      </c>
      <c r="R4933">
        <v>0.97738908164607197</v>
      </c>
      <c r="S4933" t="s">
        <v>11501</v>
      </c>
      <c r="T4933" t="s">
        <v>13134</v>
      </c>
      <c r="U4933" t="s">
        <v>13134</v>
      </c>
      <c r="V4933" t="s">
        <v>13134</v>
      </c>
      <c r="W4933" t="s">
        <v>18005</v>
      </c>
      <c r="X4933">
        <v>45</v>
      </c>
      <c r="Y4933" t="s">
        <v>24373</v>
      </c>
      <c r="Z4933" t="s">
        <v>30901</v>
      </c>
      <c r="AA4933">
        <v>0.56654091050122546</v>
      </c>
      <c r="AB4933" t="str">
        <f>HYPERLINK("Melting_Curves/meltCurve_Q96AE4_2_FUBP1.pdf", "Melting_Curves/meltCurve_Q96AE4_2_FUBP1.pdf")</f>
        <v>Melting_Curves/meltCurve_Q96AE4_2_FUBP1.pdf</v>
      </c>
    </row>
    <row r="4934" spans="1:28" x14ac:dyDescent="0.25">
      <c r="A4934" t="s">
        <v>4938</v>
      </c>
      <c r="B4934">
        <v>0.99472303558308395</v>
      </c>
      <c r="C4934">
        <v>0.95558601279873501</v>
      </c>
      <c r="D4934">
        <v>1.1133587033530199</v>
      </c>
      <c r="E4934">
        <v>0.94860114978760601</v>
      </c>
      <c r="F4934">
        <v>0.58076698362261403</v>
      </c>
      <c r="G4934">
        <v>0.58058926735467098</v>
      </c>
      <c r="H4934">
        <v>0.33222551324972499</v>
      </c>
      <c r="I4934">
        <v>0.26147047868392098</v>
      </c>
      <c r="J4934">
        <v>0.24942839852992901</v>
      </c>
      <c r="K4934">
        <v>0.176196479615779</v>
      </c>
      <c r="L4934">
        <v>827.77060189832798</v>
      </c>
      <c r="M4934">
        <v>15.891210219204501</v>
      </c>
      <c r="N4934">
        <v>53.687652285751398</v>
      </c>
      <c r="O4934">
        <v>51.285900655350197</v>
      </c>
      <c r="P4934">
        <v>-6.2873406570859602E-2</v>
      </c>
      <c r="Q4934">
        <v>0.18841696424662299</v>
      </c>
      <c r="R4934">
        <v>0.95576227348319498</v>
      </c>
      <c r="S4934" t="s">
        <v>11502</v>
      </c>
      <c r="T4934" t="s">
        <v>13134</v>
      </c>
      <c r="U4934" t="s">
        <v>13134</v>
      </c>
      <c r="V4934" t="s">
        <v>13134</v>
      </c>
      <c r="W4934" t="s">
        <v>18006</v>
      </c>
      <c r="X4934">
        <v>18</v>
      </c>
      <c r="Y4934" t="s">
        <v>24374</v>
      </c>
      <c r="Z4934" t="s">
        <v>30902</v>
      </c>
      <c r="AA4934">
        <v>0.61106695593786431</v>
      </c>
      <c r="AB4934" t="str">
        <f>HYPERLINK("Melting_Curves/meltCurve_Q96AG4_LRRC59.pdf", "Melting_Curves/meltCurve_Q96AG4_LRRC59.pdf")</f>
        <v>Melting_Curves/meltCurve_Q96AG4_LRRC59.pdf</v>
      </c>
    </row>
    <row r="4935" spans="1:28" x14ac:dyDescent="0.25">
      <c r="A4935" t="s">
        <v>4939</v>
      </c>
      <c r="B4935">
        <v>0.99472303558308395</v>
      </c>
      <c r="C4935">
        <v>0.94341739841913097</v>
      </c>
      <c r="D4935">
        <v>0.86850639195416302</v>
      </c>
      <c r="E4935">
        <v>0.69972186103180301</v>
      </c>
      <c r="F4935">
        <v>0.53338153773112096</v>
      </c>
      <c r="G4935">
        <v>0.36350639297681703</v>
      </c>
      <c r="H4935">
        <v>0.318986679170776</v>
      </c>
      <c r="I4935">
        <v>0.28822339986837098</v>
      </c>
      <c r="J4935">
        <v>0.34170787218496901</v>
      </c>
      <c r="K4935">
        <v>0.35951740621703898</v>
      </c>
      <c r="L4935">
        <v>751.65884114887001</v>
      </c>
      <c r="M4935">
        <v>15.9061655282988</v>
      </c>
      <c r="N4935">
        <v>50.2723505976913</v>
      </c>
      <c r="O4935">
        <v>46.527812319754197</v>
      </c>
      <c r="P4935">
        <v>-5.9191231738361001E-2</v>
      </c>
      <c r="Q4935">
        <v>0.30748423101597799</v>
      </c>
      <c r="R4935">
        <v>0.98946387898235899</v>
      </c>
      <c r="S4935" t="s">
        <v>11503</v>
      </c>
      <c r="T4935" t="s">
        <v>13134</v>
      </c>
      <c r="U4935" t="s">
        <v>13134</v>
      </c>
      <c r="V4935" t="s">
        <v>13134</v>
      </c>
      <c r="W4935" t="s">
        <v>18007</v>
      </c>
      <c r="X4935">
        <v>8</v>
      </c>
      <c r="Y4935" t="s">
        <v>24375</v>
      </c>
      <c r="Z4935" t="s">
        <v>30903</v>
      </c>
      <c r="AA4935">
        <v>0.55818776910199597</v>
      </c>
      <c r="AB4935" t="str">
        <f>HYPERLINK("Melting_Curves/meltCurve_Q96AJ9_1_VTI1A.pdf", "Melting_Curves/meltCurve_Q96AJ9_1_VTI1A.pdf")</f>
        <v>Melting_Curves/meltCurve_Q96AJ9_1_VTI1A.pdf</v>
      </c>
    </row>
    <row r="4936" spans="1:28" x14ac:dyDescent="0.25">
      <c r="A4936" t="s">
        <v>4940</v>
      </c>
      <c r="B4936">
        <v>0.99472303558308395</v>
      </c>
      <c r="C4936">
        <v>1.1444318259564601</v>
      </c>
      <c r="D4936">
        <v>0.95884197055405895</v>
      </c>
      <c r="E4936">
        <v>0.80783114151630497</v>
      </c>
      <c r="F4936">
        <v>0.77145667537788198</v>
      </c>
      <c r="G4936">
        <v>0.42621664328314601</v>
      </c>
      <c r="H4936">
        <v>0.35406902302674098</v>
      </c>
      <c r="I4936">
        <v>0.26127116324093003</v>
      </c>
      <c r="J4936">
        <v>0.37524715540028297</v>
      </c>
      <c r="K4936">
        <v>0.31827600583242199</v>
      </c>
      <c r="L4936">
        <v>998.43844984088798</v>
      </c>
      <c r="M4936">
        <v>19.679597805068799</v>
      </c>
      <c r="N4936">
        <v>53.196239165253999</v>
      </c>
      <c r="O4936">
        <v>50.219559393058802</v>
      </c>
      <c r="P4936">
        <v>-6.8691083065112304E-2</v>
      </c>
      <c r="Q4936">
        <v>0.29886473830464899</v>
      </c>
      <c r="R4936">
        <v>0.950861901028071</v>
      </c>
      <c r="S4936" t="s">
        <v>11504</v>
      </c>
      <c r="T4936" t="s">
        <v>13134</v>
      </c>
      <c r="U4936" t="s">
        <v>13134</v>
      </c>
      <c r="V4936" t="s">
        <v>13134</v>
      </c>
      <c r="W4936" t="s">
        <v>18008</v>
      </c>
      <c r="X4936">
        <v>1</v>
      </c>
      <c r="Y4936" t="s">
        <v>24376</v>
      </c>
      <c r="Z4936" t="s">
        <v>30904</v>
      </c>
      <c r="AA4936">
        <v>0.62931395290643088</v>
      </c>
      <c r="AB4936" t="str">
        <f>HYPERLINK("Melting_Curves/meltCurve_Q96AP7_ESAM.pdf", "Melting_Curves/meltCurve_Q96AP7_ESAM.pdf")</f>
        <v>Melting_Curves/meltCurve_Q96AP7_ESAM.pdf</v>
      </c>
    </row>
    <row r="4937" spans="1:28" x14ac:dyDescent="0.25">
      <c r="A4937" t="s">
        <v>4941</v>
      </c>
      <c r="B4937">
        <v>0.99472303558308395</v>
      </c>
      <c r="C4937">
        <v>1.0187428483277401</v>
      </c>
      <c r="D4937">
        <v>0.873566259484579</v>
      </c>
      <c r="E4937">
        <v>0.82788706200586404</v>
      </c>
      <c r="F4937">
        <v>0.64342918727364595</v>
      </c>
      <c r="G4937">
        <v>0.30238047050654099</v>
      </c>
      <c r="H4937">
        <v>0.17040402286161099</v>
      </c>
      <c r="I4937">
        <v>9.0835395462982194E-2</v>
      </c>
      <c r="J4937">
        <v>0.102159372476</v>
      </c>
      <c r="K4937">
        <v>5.40855181270831E-2</v>
      </c>
      <c r="L4937">
        <v>817.60735902904901</v>
      </c>
      <c r="M4937">
        <v>15.9787112616697</v>
      </c>
      <c r="N4937">
        <v>51.4025529537127</v>
      </c>
      <c r="O4937">
        <v>50.387223425829497</v>
      </c>
      <c r="P4937">
        <v>-7.6504486895940096E-2</v>
      </c>
      <c r="Q4937">
        <v>3.5079937307512903E-2</v>
      </c>
      <c r="R4937">
        <v>0.99119431920239398</v>
      </c>
      <c r="S4937" t="s">
        <v>11505</v>
      </c>
      <c r="T4937" t="s">
        <v>13134</v>
      </c>
      <c r="U4937" t="s">
        <v>13134</v>
      </c>
      <c r="V4937" t="s">
        <v>13134</v>
      </c>
      <c r="W4937" t="s">
        <v>18009</v>
      </c>
      <c r="X4937">
        <v>5</v>
      </c>
      <c r="Y4937" t="s">
        <v>24377</v>
      </c>
      <c r="Z4937" t="s">
        <v>30905</v>
      </c>
      <c r="AA4937">
        <v>0.50852416546865897</v>
      </c>
      <c r="AB4937" t="str">
        <f>HYPERLINK("Melting_Curves/meltCurve_Q96AQ8_MCUR1.pdf", "Melting_Curves/meltCurve_Q96AQ8_MCUR1.pdf")</f>
        <v>Melting_Curves/meltCurve_Q96AQ8_MCUR1.pdf</v>
      </c>
    </row>
    <row r="4938" spans="1:28" x14ac:dyDescent="0.25">
      <c r="A4938" t="s">
        <v>4942</v>
      </c>
      <c r="B4938">
        <v>0.99472303558308395</v>
      </c>
      <c r="C4938">
        <v>0.94939712382363795</v>
      </c>
      <c r="D4938">
        <v>0.97215002094708602</v>
      </c>
      <c r="E4938">
        <v>0.84601996690549397</v>
      </c>
      <c r="F4938">
        <v>0.54287430631974898</v>
      </c>
      <c r="G4938">
        <v>0.48663464075712698</v>
      </c>
      <c r="H4938">
        <v>0.50425113391642196</v>
      </c>
      <c r="I4938">
        <v>0.59434373950821795</v>
      </c>
      <c r="J4938">
        <v>0.93867109777462998</v>
      </c>
      <c r="K4938">
        <v>0.66872874843218599</v>
      </c>
      <c r="L4938">
        <v>11667.3492781521</v>
      </c>
      <c r="M4938">
        <v>250</v>
      </c>
      <c r="O4938">
        <v>46.666403554480198</v>
      </c>
      <c r="P4938">
        <v>-0.50547070683170003</v>
      </c>
      <c r="Q4938">
        <v>0.62258394364358405</v>
      </c>
      <c r="R4938">
        <v>0.63493818664745105</v>
      </c>
      <c r="S4938" t="s">
        <v>11506</v>
      </c>
      <c r="T4938" t="s">
        <v>13134</v>
      </c>
      <c r="U4938" t="s">
        <v>13134</v>
      </c>
      <c r="V4938" t="s">
        <v>13134</v>
      </c>
      <c r="W4938" t="s">
        <v>18010</v>
      </c>
      <c r="X4938">
        <v>14</v>
      </c>
      <c r="Y4938" t="s">
        <v>24378</v>
      </c>
      <c r="Z4938" t="s">
        <v>30906</v>
      </c>
      <c r="AA4938">
        <v>0.744261046405853</v>
      </c>
      <c r="AB4938" t="str">
        <f>HYPERLINK("Melting_Curves/meltCurve_Q96AT1_KIAA1143.pdf", "Melting_Curves/meltCurve_Q96AT1_KIAA1143.pdf")</f>
        <v>Melting_Curves/meltCurve_Q96AT1_KIAA1143.pdf</v>
      </c>
    </row>
    <row r="4939" spans="1:28" x14ac:dyDescent="0.25">
      <c r="A4939" t="s">
        <v>4943</v>
      </c>
      <c r="B4939">
        <v>0.99472303558308395</v>
      </c>
      <c r="C4939">
        <v>0.921363046592795</v>
      </c>
      <c r="D4939">
        <v>1.0436943463999799</v>
      </c>
      <c r="E4939">
        <v>0.96306395533892197</v>
      </c>
      <c r="F4939">
        <v>0.81549498255327002</v>
      </c>
      <c r="G4939">
        <v>0.73417316469403204</v>
      </c>
      <c r="H4939">
        <v>0.53990180504276197</v>
      </c>
      <c r="I4939">
        <v>0.395127807818688</v>
      </c>
      <c r="J4939">
        <v>0.29715435192574502</v>
      </c>
      <c r="K4939">
        <v>0.160035351455736</v>
      </c>
      <c r="L4939">
        <v>645.17966682127201</v>
      </c>
      <c r="M4939">
        <v>11.0501218182999</v>
      </c>
      <c r="N4939">
        <v>58.386656540990302</v>
      </c>
      <c r="O4939">
        <v>56.572261075763997</v>
      </c>
      <c r="P4939">
        <v>-4.8848079507673899E-2</v>
      </c>
      <c r="Q4939">
        <v>0</v>
      </c>
      <c r="R4939">
        <v>0.98491594322403597</v>
      </c>
      <c r="S4939" t="s">
        <v>11507</v>
      </c>
      <c r="T4939" t="s">
        <v>13134</v>
      </c>
      <c r="U4939" t="s">
        <v>13134</v>
      </c>
      <c r="V4939" t="s">
        <v>13134</v>
      </c>
      <c r="W4939" t="s">
        <v>18011</v>
      </c>
      <c r="X4939">
        <v>6</v>
      </c>
      <c r="Y4939" t="s">
        <v>24379</v>
      </c>
      <c r="Z4939" t="s">
        <v>30907</v>
      </c>
      <c r="AA4939">
        <v>0.70572487683946572</v>
      </c>
      <c r="AB4939" t="str">
        <f>HYPERLINK("Melting_Curves/meltCurve_Q96AT9_RPE.pdf", "Melting_Curves/meltCurve_Q96AT9_RPE.pdf")</f>
        <v>Melting_Curves/meltCurve_Q96AT9_RPE.pdf</v>
      </c>
    </row>
    <row r="4940" spans="1:28" x14ac:dyDescent="0.25">
      <c r="A4940" t="s">
        <v>4944</v>
      </c>
      <c r="B4940">
        <v>0.99472303558308395</v>
      </c>
      <c r="C4940">
        <v>0.87068587736567304</v>
      </c>
      <c r="D4940">
        <v>0.762665087994294</v>
      </c>
      <c r="E4940">
        <v>0.49099356621667001</v>
      </c>
      <c r="F4940">
        <v>0.17313397012760401</v>
      </c>
      <c r="G4940">
        <v>6.5163449776280899E-2</v>
      </c>
      <c r="H4940">
        <v>3.6422066657148901E-2</v>
      </c>
      <c r="I4940">
        <v>2.0614898851002001E-2</v>
      </c>
      <c r="J4940">
        <v>2.4554427228776599E-2</v>
      </c>
      <c r="K4940">
        <v>2.71623022996677E-2</v>
      </c>
      <c r="L4940">
        <v>757.46421844610404</v>
      </c>
      <c r="M4940">
        <v>16.460860902738499</v>
      </c>
      <c r="N4940">
        <v>46.033918472061998</v>
      </c>
      <c r="O4940">
        <v>45.353024337584998</v>
      </c>
      <c r="P4940">
        <v>-9.0455148063075294E-2</v>
      </c>
      <c r="Q4940">
        <v>3.1804962068595101E-3</v>
      </c>
      <c r="R4940">
        <v>0.99512357027652099</v>
      </c>
      <c r="S4940" t="s">
        <v>11508</v>
      </c>
      <c r="T4940" t="s">
        <v>13134</v>
      </c>
      <c r="U4940" t="s">
        <v>13134</v>
      </c>
      <c r="V4940" t="s">
        <v>13134</v>
      </c>
      <c r="W4940" t="s">
        <v>18012</v>
      </c>
      <c r="X4940">
        <v>9</v>
      </c>
      <c r="Y4940" t="s">
        <v>24380</v>
      </c>
      <c r="Z4940" t="s">
        <v>30908</v>
      </c>
      <c r="AA4940">
        <v>0.32197739885429061</v>
      </c>
      <c r="AB4940" t="str">
        <f>HYPERLINK("Melting_Curves/meltCurve_Q96AX1_VPS33A.pdf", "Melting_Curves/meltCurve_Q96AX1_VPS33A.pdf")</f>
        <v>Melting_Curves/meltCurve_Q96AX1_VPS33A.pdf</v>
      </c>
    </row>
    <row r="4941" spans="1:28" x14ac:dyDescent="0.25">
      <c r="A4941" t="s">
        <v>4945</v>
      </c>
      <c r="B4941">
        <v>0.99472303558308395</v>
      </c>
      <c r="C4941">
        <v>0.98760888574166505</v>
      </c>
      <c r="D4941">
        <v>0.80735413865565597</v>
      </c>
      <c r="E4941">
        <v>0.76687761024963697</v>
      </c>
      <c r="F4941">
        <v>0.69192736076542305</v>
      </c>
      <c r="G4941">
        <v>0.45228736547694998</v>
      </c>
      <c r="H4941">
        <v>0.431264982569874</v>
      </c>
      <c r="I4941">
        <v>0.42443823765491501</v>
      </c>
      <c r="J4941">
        <v>0.574819868292475</v>
      </c>
      <c r="K4941">
        <v>0.46663270556442299</v>
      </c>
      <c r="L4941">
        <v>651.32565842097802</v>
      </c>
      <c r="M4941">
        <v>13.8693128588367</v>
      </c>
      <c r="N4941">
        <v>56.4549569257561</v>
      </c>
      <c r="O4941">
        <v>46.017639957333202</v>
      </c>
      <c r="P4941">
        <v>-4.1336931399322097E-2</v>
      </c>
      <c r="Q4941">
        <v>0.45146036672939899</v>
      </c>
      <c r="R4941">
        <v>0.91478775839869797</v>
      </c>
      <c r="S4941" t="s">
        <v>11509</v>
      </c>
      <c r="T4941" t="s">
        <v>13134</v>
      </c>
      <c r="U4941" t="s">
        <v>13134</v>
      </c>
      <c r="V4941" t="s">
        <v>13134</v>
      </c>
      <c r="W4941" t="s">
        <v>18013</v>
      </c>
      <c r="X4941">
        <v>4</v>
      </c>
      <c r="Y4941" t="s">
        <v>24381</v>
      </c>
      <c r="Z4941" t="s">
        <v>30909</v>
      </c>
      <c r="AA4941">
        <v>0.64779691772283821</v>
      </c>
      <c r="AB4941" t="str">
        <f>HYPERLINK("Melting_Curves/meltCurve_Q96B23_2_C18orf25.pdf", "Melting_Curves/meltCurve_Q96B23_2_C18orf25.pdf")</f>
        <v>Melting_Curves/meltCurve_Q96B23_2_C18orf25.pdf</v>
      </c>
    </row>
    <row r="4942" spans="1:28" x14ac:dyDescent="0.25">
      <c r="A4942" t="s">
        <v>4946</v>
      </c>
      <c r="B4942">
        <v>0.99472303558308395</v>
      </c>
      <c r="C4942">
        <v>0.98639244844770602</v>
      </c>
      <c r="D4942">
        <v>1.0601685551753</v>
      </c>
      <c r="E4942">
        <v>1.21934863294455</v>
      </c>
      <c r="F4942">
        <v>1.36105522300019</v>
      </c>
      <c r="G4942">
        <v>0.94615240101016795</v>
      </c>
      <c r="H4942">
        <v>0.59828000062473996</v>
      </c>
      <c r="I4942">
        <v>0.26361551598719601</v>
      </c>
      <c r="J4942">
        <v>0.165162862210919</v>
      </c>
      <c r="K4942">
        <v>0.13943173754645699</v>
      </c>
      <c r="L4942">
        <v>2290.0436387365598</v>
      </c>
      <c r="M4942">
        <v>39.736369988988898</v>
      </c>
      <c r="N4942">
        <v>58.1636944195822</v>
      </c>
      <c r="O4942">
        <v>57.485548310940899</v>
      </c>
      <c r="P4942">
        <v>-0.14644880208637701</v>
      </c>
      <c r="Q4942">
        <v>0.15254759563907799</v>
      </c>
      <c r="R4942">
        <v>0.89785969679023303</v>
      </c>
      <c r="S4942" t="s">
        <v>11510</v>
      </c>
      <c r="T4942" t="s">
        <v>13134</v>
      </c>
      <c r="U4942" t="s">
        <v>13134</v>
      </c>
      <c r="V4942" t="s">
        <v>13134</v>
      </c>
      <c r="W4942" t="s">
        <v>18014</v>
      </c>
      <c r="X4942">
        <v>11</v>
      </c>
      <c r="Y4942" t="s">
        <v>24382</v>
      </c>
      <c r="Z4942" t="s">
        <v>30910</v>
      </c>
      <c r="AA4942">
        <v>0.73853349003500557</v>
      </c>
      <c r="AB4942" t="str">
        <f>HYPERLINK("Melting_Curves/meltCurve_Q96B26_EXOSC8.pdf", "Melting_Curves/meltCurve_Q96B26_EXOSC8.pdf")</f>
        <v>Melting_Curves/meltCurve_Q96B26_EXOSC8.pdf</v>
      </c>
    </row>
    <row r="4943" spans="1:28" x14ac:dyDescent="0.25">
      <c r="A4943" t="s">
        <v>4947</v>
      </c>
      <c r="B4943">
        <v>0.99472303558308395</v>
      </c>
      <c r="C4943">
        <v>1.0631387940153201</v>
      </c>
      <c r="D4943">
        <v>0.99429429916109502</v>
      </c>
      <c r="E4943">
        <v>0.87737826510689898</v>
      </c>
      <c r="F4943">
        <v>0.64679163514210702</v>
      </c>
      <c r="G4943">
        <v>0.38762095552511899</v>
      </c>
      <c r="H4943">
        <v>0.26745013668300099</v>
      </c>
      <c r="I4943">
        <v>0.21658596917639</v>
      </c>
      <c r="J4943">
        <v>0.24158216539024399</v>
      </c>
      <c r="K4943">
        <v>0.25089596614405801</v>
      </c>
      <c r="L4943">
        <v>1122.30740866884</v>
      </c>
      <c r="M4943">
        <v>22.2258478910476</v>
      </c>
      <c r="N4943">
        <v>51.9041274646953</v>
      </c>
      <c r="O4943">
        <v>50.092147598241503</v>
      </c>
      <c r="P4943">
        <v>-8.5807011121948704E-2</v>
      </c>
      <c r="Q4943">
        <v>0.22645645015028301</v>
      </c>
      <c r="R4943">
        <v>0.99473723307420103</v>
      </c>
      <c r="S4943" t="s">
        <v>11511</v>
      </c>
      <c r="T4943" t="s">
        <v>13134</v>
      </c>
      <c r="U4943" t="s">
        <v>13134</v>
      </c>
      <c r="V4943" t="s">
        <v>13134</v>
      </c>
      <c r="W4943" t="s">
        <v>18015</v>
      </c>
      <c r="X4943">
        <v>8</v>
      </c>
      <c r="Y4943" t="s">
        <v>24383</v>
      </c>
      <c r="Z4943" t="s">
        <v>30911</v>
      </c>
      <c r="AA4943">
        <v>0.58288230819991127</v>
      </c>
      <c r="AB4943" t="str">
        <f>HYPERLINK("Melting_Curves/meltCurve_Q96B36_AKT1S1.pdf", "Melting_Curves/meltCurve_Q96B36_AKT1S1.pdf")</f>
        <v>Melting_Curves/meltCurve_Q96B36_AKT1S1.pdf</v>
      </c>
    </row>
    <row r="4944" spans="1:28" x14ac:dyDescent="0.25">
      <c r="A4944" t="s">
        <v>4948</v>
      </c>
      <c r="B4944">
        <v>0.99472303558308395</v>
      </c>
      <c r="C4944">
        <v>1.03179159828401</v>
      </c>
      <c r="D4944">
        <v>0.97178908961398902</v>
      </c>
      <c r="E4944">
        <v>0.92824631724196005</v>
      </c>
      <c r="F4944">
        <v>0.74593393225170901</v>
      </c>
      <c r="G4944">
        <v>0.56519301285373602</v>
      </c>
      <c r="H4944">
        <v>0.34978283830548701</v>
      </c>
      <c r="I4944">
        <v>0.25392785124525602</v>
      </c>
      <c r="J4944">
        <v>0.26874271899909902</v>
      </c>
      <c r="K4944">
        <v>0.22499306056580401</v>
      </c>
      <c r="L4944">
        <v>896.42815358024995</v>
      </c>
      <c r="M4944">
        <v>16.9968454146201</v>
      </c>
      <c r="N4944">
        <v>54.439090847458402</v>
      </c>
      <c r="O4944">
        <v>52.027022481623803</v>
      </c>
      <c r="P4944">
        <v>-6.4871936226566701E-2</v>
      </c>
      <c r="Q4944">
        <v>0.20576203803698201</v>
      </c>
      <c r="R4944">
        <v>0.99610505061378496</v>
      </c>
      <c r="S4944" t="s">
        <v>11512</v>
      </c>
      <c r="T4944" t="s">
        <v>13134</v>
      </c>
      <c r="U4944" t="s">
        <v>13134</v>
      </c>
      <c r="V4944" t="s">
        <v>13134</v>
      </c>
      <c r="W4944" t="s">
        <v>18016</v>
      </c>
      <c r="X4944">
        <v>2</v>
      </c>
      <c r="Y4944" t="s">
        <v>24384</v>
      </c>
      <c r="Z4944" t="s">
        <v>30912</v>
      </c>
      <c r="AA4944">
        <v>0.63506653109564437</v>
      </c>
      <c r="AB4944" t="str">
        <f>HYPERLINK("Melting_Curves/meltCurve_Q96B45_C10orf32.pdf", "Melting_Curves/meltCurve_Q96B45_C10orf32.pdf")</f>
        <v>Melting_Curves/meltCurve_Q96B45_C10orf32.pdf</v>
      </c>
    </row>
    <row r="4945" spans="1:28" x14ac:dyDescent="0.25">
      <c r="A4945" t="s">
        <v>4949</v>
      </c>
      <c r="B4945">
        <v>0.99472303558308395</v>
      </c>
      <c r="C4945">
        <v>1.0594506683229199</v>
      </c>
      <c r="D4945">
        <v>0.91422927655810204</v>
      </c>
      <c r="E4945">
        <v>0.77390970278134397</v>
      </c>
      <c r="F4945">
        <v>0.61351542429107797</v>
      </c>
      <c r="G4945">
        <v>0.44854964819297999</v>
      </c>
      <c r="H4945">
        <v>0.38676386028113602</v>
      </c>
      <c r="I4945">
        <v>0.44824161927580303</v>
      </c>
      <c r="J4945">
        <v>0.51422532311083802</v>
      </c>
      <c r="K4945">
        <v>0.53066581971637705</v>
      </c>
      <c r="L4945">
        <v>1089.8471158121899</v>
      </c>
      <c r="M4945">
        <v>23.052493297869301</v>
      </c>
      <c r="N4945">
        <v>53.301500557161802</v>
      </c>
      <c r="O4945">
        <v>46.925304744452497</v>
      </c>
      <c r="P4945">
        <v>-6.5943847851645199E-2</v>
      </c>
      <c r="Q4945">
        <v>0.46307280136899298</v>
      </c>
      <c r="R4945">
        <v>0.956551385983197</v>
      </c>
      <c r="S4945" t="s">
        <v>11513</v>
      </c>
      <c r="T4945" t="s">
        <v>13134</v>
      </c>
      <c r="U4945" t="s">
        <v>13134</v>
      </c>
      <c r="V4945" t="s">
        <v>13134</v>
      </c>
      <c r="W4945" t="s">
        <v>18017</v>
      </c>
      <c r="X4945">
        <v>4</v>
      </c>
      <c r="Y4945" t="s">
        <v>24385</v>
      </c>
      <c r="Z4945" t="s">
        <v>30913</v>
      </c>
      <c r="AA4945">
        <v>0.65232417316546498</v>
      </c>
      <c r="AB4945" t="str">
        <f>HYPERLINK("Melting_Curves/meltCurve_Q96B49_TOMM6.pdf", "Melting_Curves/meltCurve_Q96B49_TOMM6.pdf")</f>
        <v>Melting_Curves/meltCurve_Q96B49_TOMM6.pdf</v>
      </c>
    </row>
    <row r="4946" spans="1:28" x14ac:dyDescent="0.25">
      <c r="A4946" t="s">
        <v>4950</v>
      </c>
      <c r="B4946">
        <v>0.99472303558308395</v>
      </c>
      <c r="C4946">
        <v>0.86754858212604102</v>
      </c>
      <c r="D4946">
        <v>0.65143312892699401</v>
      </c>
      <c r="E4946">
        <v>0.30238434854459201</v>
      </c>
      <c r="F4946">
        <v>0.137742534209359</v>
      </c>
      <c r="G4946">
        <v>7.96785559078899E-2</v>
      </c>
      <c r="H4946">
        <v>4.6441422379681803E-2</v>
      </c>
      <c r="I4946">
        <v>3.8010496004702299E-2</v>
      </c>
      <c r="J4946">
        <v>3.8797902845935602E-2</v>
      </c>
      <c r="K4946">
        <v>3.5978123491714302E-2</v>
      </c>
      <c r="L4946">
        <v>806.184459657042</v>
      </c>
      <c r="M4946">
        <v>18.220001788365</v>
      </c>
      <c r="N4946">
        <v>44.424223891138702</v>
      </c>
      <c r="O4946">
        <v>43.724537160113101</v>
      </c>
      <c r="P4946">
        <v>-0.100532388362801</v>
      </c>
      <c r="Q4946">
        <v>3.5010980184022197E-2</v>
      </c>
      <c r="R4946">
        <v>0.99925618448887499</v>
      </c>
      <c r="S4946" t="s">
        <v>11514</v>
      </c>
      <c r="T4946" t="s">
        <v>13134</v>
      </c>
      <c r="U4946" t="s">
        <v>13134</v>
      </c>
      <c r="V4946" t="s">
        <v>13134</v>
      </c>
      <c r="W4946" t="s">
        <v>18018</v>
      </c>
      <c r="X4946">
        <v>5</v>
      </c>
      <c r="Y4946" t="s">
        <v>24386</v>
      </c>
      <c r="Z4946" t="s">
        <v>30914</v>
      </c>
      <c r="AA4946">
        <v>0.2838290344661038</v>
      </c>
      <c r="AB4946" t="str">
        <f>HYPERLINK("Melting_Curves/meltCurve_Q96BD8_SKA1.pdf", "Melting_Curves/meltCurve_Q96BD8_SKA1.pdf")</f>
        <v>Melting_Curves/meltCurve_Q96BD8_SKA1.pdf</v>
      </c>
    </row>
    <row r="4947" spans="1:28" x14ac:dyDescent="0.25">
      <c r="A4947" t="s">
        <v>4951</v>
      </c>
      <c r="B4947">
        <v>0.99472303558308395</v>
      </c>
      <c r="C4947">
        <v>1.0457634375579401</v>
      </c>
      <c r="D4947">
        <v>0.95598737211908902</v>
      </c>
      <c r="E4947">
        <v>0.86442526317930402</v>
      </c>
      <c r="F4947">
        <v>0.58229773999482703</v>
      </c>
      <c r="G4947">
        <v>0.27155392739055401</v>
      </c>
      <c r="H4947">
        <v>0.12545364489900801</v>
      </c>
      <c r="I4947">
        <v>8.9966979024409005E-2</v>
      </c>
      <c r="J4947">
        <v>0.126327125412354</v>
      </c>
      <c r="K4947">
        <v>0.10233972510414099</v>
      </c>
      <c r="L4947">
        <v>1131.6977763940899</v>
      </c>
      <c r="M4947">
        <v>22.435985998707999</v>
      </c>
      <c r="N4947">
        <v>50.897439140861501</v>
      </c>
      <c r="O4947">
        <v>50.045591498848601</v>
      </c>
      <c r="P4947">
        <v>-0.101870391598274</v>
      </c>
      <c r="Q4947">
        <v>9.1092555618956197E-2</v>
      </c>
      <c r="R4947">
        <v>0.99677842024298002</v>
      </c>
      <c r="S4947" t="s">
        <v>11515</v>
      </c>
      <c r="T4947" t="s">
        <v>13134</v>
      </c>
      <c r="U4947" t="s">
        <v>13134</v>
      </c>
      <c r="V4947" t="s">
        <v>13134</v>
      </c>
      <c r="W4947" t="s">
        <v>18019</v>
      </c>
      <c r="X4947">
        <v>7</v>
      </c>
      <c r="Y4947" t="s">
        <v>24387</v>
      </c>
      <c r="Z4947" t="s">
        <v>30915</v>
      </c>
      <c r="AA4947">
        <v>0.50807291020607948</v>
      </c>
      <c r="AB4947" t="str">
        <f>HYPERLINK("Melting_Curves/meltCurve_Q96BH1_RNF25.pdf", "Melting_Curves/meltCurve_Q96BH1_RNF25.pdf")</f>
        <v>Melting_Curves/meltCurve_Q96BH1_RNF25.pdf</v>
      </c>
    </row>
    <row r="4948" spans="1:28" x14ac:dyDescent="0.25">
      <c r="A4948" t="s">
        <v>4952</v>
      </c>
      <c r="B4948">
        <v>0.99472303558308395</v>
      </c>
      <c r="C4948">
        <v>0.98925180553314696</v>
      </c>
      <c r="D4948">
        <v>0.85094911882439805</v>
      </c>
      <c r="E4948">
        <v>0.68161111138799302</v>
      </c>
      <c r="F4948">
        <v>0.49717689296043399</v>
      </c>
      <c r="G4948">
        <v>0.34732164367127499</v>
      </c>
      <c r="H4948">
        <v>0.27116134342908799</v>
      </c>
      <c r="I4948">
        <v>0.239944064036926</v>
      </c>
      <c r="J4948">
        <v>0.31242162814832303</v>
      </c>
      <c r="K4948">
        <v>0.23335693806958499</v>
      </c>
      <c r="L4948">
        <v>722.08705885619997</v>
      </c>
      <c r="M4948">
        <v>15.167661714423099</v>
      </c>
      <c r="N4948">
        <v>49.752743059194103</v>
      </c>
      <c r="O4948">
        <v>46.802491658903499</v>
      </c>
      <c r="P4948">
        <v>-6.1576107534013699E-2</v>
      </c>
      <c r="Q4948">
        <v>0.240057892914914</v>
      </c>
      <c r="R4948">
        <v>0.99257384426768303</v>
      </c>
      <c r="S4948" t="s">
        <v>11516</v>
      </c>
      <c r="T4948" t="s">
        <v>13134</v>
      </c>
      <c r="U4948" t="s">
        <v>13134</v>
      </c>
      <c r="V4948" t="s">
        <v>13134</v>
      </c>
      <c r="W4948" t="s">
        <v>13956</v>
      </c>
      <c r="X4948">
        <v>9</v>
      </c>
      <c r="Y4948" t="s">
        <v>20448</v>
      </c>
      <c r="Z4948" t="s">
        <v>30916</v>
      </c>
      <c r="AA4948">
        <v>0.5253087531677042</v>
      </c>
      <c r="AB4948" t="str">
        <f>HYPERLINK("Melting_Curves/meltCurve_Q96BK5_PINX1.pdf", "Melting_Curves/meltCurve_Q96BK5_PINX1.pdf")</f>
        <v>Melting_Curves/meltCurve_Q96BK5_PINX1.pdf</v>
      </c>
    </row>
    <row r="4949" spans="1:28" x14ac:dyDescent="0.25">
      <c r="A4949" t="s">
        <v>4953</v>
      </c>
      <c r="B4949">
        <v>0.99472303558308395</v>
      </c>
      <c r="C4949">
        <v>0.89007089918048499</v>
      </c>
      <c r="D4949">
        <v>0.93858435747593605</v>
      </c>
      <c r="E4949">
        <v>0.829276760758345</v>
      </c>
      <c r="F4949">
        <v>0.87904381632441997</v>
      </c>
      <c r="G4949">
        <v>0.58437821410684099</v>
      </c>
      <c r="H4949">
        <v>0.61408849301095403</v>
      </c>
      <c r="I4949">
        <v>0.55675435262212702</v>
      </c>
      <c r="J4949">
        <v>0.811863291585467</v>
      </c>
      <c r="K4949">
        <v>0.56937712150914999</v>
      </c>
      <c r="L4949">
        <v>587.40359718771901</v>
      </c>
      <c r="M4949">
        <v>12.1914815731273</v>
      </c>
      <c r="O4949">
        <v>46.940104280313101</v>
      </c>
      <c r="P4949">
        <v>-2.5489052523307101E-2</v>
      </c>
      <c r="Q4949">
        <v>0.60753313384950702</v>
      </c>
      <c r="R4949">
        <v>0.69000040235328897</v>
      </c>
      <c r="S4949" t="s">
        <v>11517</v>
      </c>
      <c r="T4949" t="s">
        <v>13134</v>
      </c>
      <c r="U4949" t="s">
        <v>13134</v>
      </c>
      <c r="V4949" t="s">
        <v>13134</v>
      </c>
      <c r="W4949" t="s">
        <v>18020</v>
      </c>
      <c r="X4949">
        <v>5</v>
      </c>
      <c r="Y4949" t="s">
        <v>24388</v>
      </c>
      <c r="Z4949" t="s">
        <v>30917</v>
      </c>
      <c r="AA4949">
        <v>0.76571228034528638</v>
      </c>
      <c r="AB4949" t="str">
        <f>HYPERLINK("Melting_Curves/meltCurve_Q96BM9_ARL8A.pdf", "Melting_Curves/meltCurve_Q96BM9_ARL8A.pdf")</f>
        <v>Melting_Curves/meltCurve_Q96BM9_ARL8A.pdf</v>
      </c>
    </row>
    <row r="4950" spans="1:28" x14ac:dyDescent="0.25">
      <c r="A4950" t="s">
        <v>4954</v>
      </c>
      <c r="B4950">
        <v>0.99472303558308395</v>
      </c>
      <c r="C4950">
        <v>1.02671666554416</v>
      </c>
      <c r="D4950">
        <v>1.0636125421976399</v>
      </c>
      <c r="E4950">
        <v>0.75399692581480005</v>
      </c>
      <c r="F4950">
        <v>0.16566838887087701</v>
      </c>
      <c r="G4950">
        <v>9.9300408945318303E-2</v>
      </c>
      <c r="H4950">
        <v>4.9243337703494303E-2</v>
      </c>
      <c r="I4950">
        <v>2.5652610510254501E-2</v>
      </c>
      <c r="J4950">
        <v>3.7484277787628202E-2</v>
      </c>
      <c r="K4950">
        <v>2.2504734246018999E-2</v>
      </c>
      <c r="L4950">
        <v>1961.08019918949</v>
      </c>
      <c r="M4950">
        <v>40.989896874812402</v>
      </c>
      <c r="N4950">
        <v>47.951443535358997</v>
      </c>
      <c r="O4950">
        <v>47.729564060602897</v>
      </c>
      <c r="P4950">
        <v>-0.205196383817386</v>
      </c>
      <c r="Q4950">
        <v>4.42605478173402E-2</v>
      </c>
      <c r="R4950">
        <v>0.995462669724405</v>
      </c>
      <c r="S4950" t="s">
        <v>11518</v>
      </c>
      <c r="T4950" t="s">
        <v>13134</v>
      </c>
      <c r="U4950" t="s">
        <v>13134</v>
      </c>
      <c r="V4950" t="s">
        <v>13134</v>
      </c>
      <c r="W4950" t="s">
        <v>18021</v>
      </c>
      <c r="X4950">
        <v>11</v>
      </c>
      <c r="Y4950" t="s">
        <v>24389</v>
      </c>
      <c r="Z4950" t="s">
        <v>30918</v>
      </c>
      <c r="AA4950">
        <v>0.39270602074238281</v>
      </c>
      <c r="AB4950" t="str">
        <f>HYPERLINK("Melting_Curves/meltCurve_Q96BN8_FAM105B.pdf", "Melting_Curves/meltCurve_Q96BN8_FAM105B.pdf")</f>
        <v>Melting_Curves/meltCurve_Q96BN8_FAM105B.pdf</v>
      </c>
    </row>
    <row r="4951" spans="1:28" x14ac:dyDescent="0.25">
      <c r="A4951" t="s">
        <v>4955</v>
      </c>
      <c r="B4951">
        <v>0.99472303558308395</v>
      </c>
      <c r="C4951">
        <v>0.98476901293953201</v>
      </c>
      <c r="D4951">
        <v>0.96251042637513196</v>
      </c>
      <c r="E4951">
        <v>0.78950006238804804</v>
      </c>
      <c r="F4951">
        <v>0.29505486670506897</v>
      </c>
      <c r="G4951">
        <v>9.1967806086512602E-2</v>
      </c>
      <c r="H4951">
        <v>6.1422684056705902E-2</v>
      </c>
      <c r="I4951">
        <v>4.6486548255361797E-2</v>
      </c>
      <c r="J4951">
        <v>6.2683726702182099E-2</v>
      </c>
      <c r="K4951">
        <v>4.63045553536231E-2</v>
      </c>
      <c r="L4951">
        <v>1481.7617106482901</v>
      </c>
      <c r="M4951">
        <v>30.568799742020801</v>
      </c>
      <c r="N4951">
        <v>48.643441306999698</v>
      </c>
      <c r="O4951">
        <v>48.266993725482102</v>
      </c>
      <c r="P4951">
        <v>-0.150291009740915</v>
      </c>
      <c r="Q4951">
        <v>5.0790341422287298E-2</v>
      </c>
      <c r="R4951">
        <v>0.99954799301639097</v>
      </c>
      <c r="S4951" t="s">
        <v>11519</v>
      </c>
      <c r="T4951" t="s">
        <v>13134</v>
      </c>
      <c r="U4951" t="s">
        <v>13134</v>
      </c>
      <c r="V4951" t="s">
        <v>13134</v>
      </c>
      <c r="W4951" t="s">
        <v>18022</v>
      </c>
      <c r="X4951">
        <v>15</v>
      </c>
      <c r="Y4951" t="s">
        <v>24390</v>
      </c>
      <c r="Z4951" t="s">
        <v>30919</v>
      </c>
      <c r="AA4951">
        <v>0.41926187921413399</v>
      </c>
      <c r="AB4951" t="str">
        <f>HYPERLINK("Melting_Curves/meltCurve_Q96BP3_PPWD1.pdf", "Melting_Curves/meltCurve_Q96BP3_PPWD1.pdf")</f>
        <v>Melting_Curves/meltCurve_Q96BP3_PPWD1.pdf</v>
      </c>
    </row>
    <row r="4952" spans="1:28" x14ac:dyDescent="0.25">
      <c r="A4952" t="s">
        <v>4956</v>
      </c>
      <c r="B4952">
        <v>0.99472303558308395</v>
      </c>
      <c r="C4952">
        <v>0.92233285451997404</v>
      </c>
      <c r="D4952">
        <v>0.79757228587150197</v>
      </c>
      <c r="E4952">
        <v>0.61325136956080895</v>
      </c>
      <c r="F4952">
        <v>0.56087179035532198</v>
      </c>
      <c r="G4952">
        <v>0.20618466296815899</v>
      </c>
      <c r="H4952">
        <v>0.11585631262752499</v>
      </c>
      <c r="I4952">
        <v>7.1072985838248004E-2</v>
      </c>
      <c r="J4952">
        <v>7.5704261657397201E-2</v>
      </c>
      <c r="K4952">
        <v>0.102052469563899</v>
      </c>
      <c r="L4952">
        <v>559.16516769119198</v>
      </c>
      <c r="M4952">
        <v>11.4069823079912</v>
      </c>
      <c r="N4952">
        <v>49.055674961824003</v>
      </c>
      <c r="O4952">
        <v>47.585560393216902</v>
      </c>
      <c r="P4952">
        <v>-5.96956678159756E-2</v>
      </c>
      <c r="Q4952">
        <v>4.1822161485252701E-3</v>
      </c>
      <c r="R4952">
        <v>0.97749893891589901</v>
      </c>
      <c r="S4952" t="s">
        <v>11520</v>
      </c>
      <c r="T4952" t="s">
        <v>13134</v>
      </c>
      <c r="U4952" t="s">
        <v>13134</v>
      </c>
      <c r="V4952" t="s">
        <v>13134</v>
      </c>
      <c r="W4952" t="s">
        <v>18023</v>
      </c>
      <c r="X4952">
        <v>3</v>
      </c>
      <c r="Y4952" t="s">
        <v>24391</v>
      </c>
      <c r="Z4952" t="s">
        <v>30920</v>
      </c>
      <c r="AA4952">
        <v>0.43472280002743768</v>
      </c>
      <c r="AB4952" t="str">
        <f>HYPERLINK("Melting_Curves/meltCurve_Q96BQ5_CCDC127.pdf", "Melting_Curves/meltCurve_Q96BQ5_CCDC127.pdf")</f>
        <v>Melting_Curves/meltCurve_Q96BQ5_CCDC127.pdf</v>
      </c>
    </row>
    <row r="4953" spans="1:28" x14ac:dyDescent="0.25">
      <c r="A4953" t="s">
        <v>4957</v>
      </c>
      <c r="B4953">
        <v>0.99472303558308395</v>
      </c>
      <c r="C4953">
        <v>0.89887702883930598</v>
      </c>
      <c r="D4953">
        <v>0.96400936441676399</v>
      </c>
      <c r="E4953">
        <v>0.80474147325303302</v>
      </c>
      <c r="F4953">
        <v>0.48505373850699601</v>
      </c>
      <c r="G4953">
        <v>0.39703854249092702</v>
      </c>
      <c r="H4953">
        <v>0.21551090633723999</v>
      </c>
      <c r="I4953">
        <v>0.194409442358668</v>
      </c>
      <c r="J4953">
        <v>0.19743034661882999</v>
      </c>
      <c r="K4953">
        <v>0.129903039583109</v>
      </c>
      <c r="L4953">
        <v>768.18152215234295</v>
      </c>
      <c r="M4953">
        <v>15.447684258128</v>
      </c>
      <c r="N4953">
        <v>50.837148360518803</v>
      </c>
      <c r="O4953">
        <v>48.916924584443002</v>
      </c>
      <c r="P4953">
        <v>-6.7660053042242402E-2</v>
      </c>
      <c r="Q4953">
        <v>0.14306238512567601</v>
      </c>
      <c r="R4953">
        <v>0.985052892513258</v>
      </c>
      <c r="S4953" t="s">
        <v>11521</v>
      </c>
      <c r="T4953" t="s">
        <v>13134</v>
      </c>
      <c r="U4953" t="s">
        <v>13134</v>
      </c>
      <c r="V4953" t="s">
        <v>13134</v>
      </c>
      <c r="W4953" t="s">
        <v>18024</v>
      </c>
      <c r="X4953">
        <v>12</v>
      </c>
      <c r="Y4953" t="s">
        <v>24392</v>
      </c>
      <c r="Z4953" t="s">
        <v>30921</v>
      </c>
      <c r="AA4953">
        <v>0.52391837389697582</v>
      </c>
      <c r="AB4953" t="str">
        <f>HYPERLINK("Melting_Curves/meltCurve_Q96BR5_SELRC1.pdf", "Melting_Curves/meltCurve_Q96BR5_SELRC1.pdf")</f>
        <v>Melting_Curves/meltCurve_Q96BR5_SELRC1.pdf</v>
      </c>
    </row>
    <row r="4954" spans="1:28" x14ac:dyDescent="0.25">
      <c r="A4954" t="s">
        <v>4958</v>
      </c>
      <c r="B4954">
        <v>0.99472303558308395</v>
      </c>
      <c r="C4954">
        <v>0.93914725470907201</v>
      </c>
      <c r="D4954">
        <v>0.87613440307579404</v>
      </c>
      <c r="E4954">
        <v>0.476414979439504</v>
      </c>
      <c r="F4954">
        <v>0.14411988166452799</v>
      </c>
      <c r="G4954">
        <v>8.4272164642504199E-2</v>
      </c>
      <c r="H4954">
        <v>5.4068045528495402E-2</v>
      </c>
      <c r="I4954">
        <v>3.36426991486619E-2</v>
      </c>
      <c r="J4954">
        <v>4.4785382676666402E-2</v>
      </c>
      <c r="K4954">
        <v>3.5514626276747403E-2</v>
      </c>
      <c r="L4954">
        <v>1134.20928008894</v>
      </c>
      <c r="M4954">
        <v>24.5400545717035</v>
      </c>
      <c r="N4954">
        <v>46.375821420936497</v>
      </c>
      <c r="O4954">
        <v>45.915058555167597</v>
      </c>
      <c r="P4954">
        <v>-0.128288365939801</v>
      </c>
      <c r="Q4954">
        <v>3.9890881355862703E-2</v>
      </c>
      <c r="R4954">
        <v>0.99841416280742801</v>
      </c>
      <c r="S4954" t="s">
        <v>11522</v>
      </c>
      <c r="T4954" t="s">
        <v>13134</v>
      </c>
      <c r="U4954" t="s">
        <v>13134</v>
      </c>
      <c r="V4954" t="s">
        <v>13134</v>
      </c>
      <c r="W4954" t="s">
        <v>18025</v>
      </c>
      <c r="X4954">
        <v>4</v>
      </c>
      <c r="Y4954" t="s">
        <v>24393</v>
      </c>
      <c r="Z4954" t="s">
        <v>30922</v>
      </c>
      <c r="AA4954">
        <v>0.34320775737164361</v>
      </c>
      <c r="AB4954" t="str">
        <f>HYPERLINK("Melting_Curves/meltCurve_Q96BT7_ALKBH8.pdf", "Melting_Curves/meltCurve_Q96BT7_ALKBH8.pdf")</f>
        <v>Melting_Curves/meltCurve_Q96BT7_ALKBH8.pdf</v>
      </c>
    </row>
    <row r="4955" spans="1:28" x14ac:dyDescent="0.25">
      <c r="A4955" t="s">
        <v>4959</v>
      </c>
      <c r="B4955">
        <v>0.99472303558308395</v>
      </c>
      <c r="C4955">
        <v>0.92927770796694797</v>
      </c>
      <c r="D4955">
        <v>0.80471055934983904</v>
      </c>
      <c r="E4955">
        <v>0.62090413351556895</v>
      </c>
      <c r="F4955">
        <v>0.61803982227335497</v>
      </c>
      <c r="G4955">
        <v>0.27488938637039401</v>
      </c>
      <c r="H4955">
        <v>0.22602965331650099</v>
      </c>
      <c r="I4955">
        <v>0.15580145920333099</v>
      </c>
      <c r="J4955">
        <v>0.19102721670327399</v>
      </c>
      <c r="K4955">
        <v>0.25426426996217899</v>
      </c>
      <c r="L4955">
        <v>559.32754001102899</v>
      </c>
      <c r="M4955">
        <v>11.5710369603828</v>
      </c>
      <c r="N4955">
        <v>49.786083046664999</v>
      </c>
      <c r="O4955">
        <v>46.962464367439701</v>
      </c>
      <c r="P4955">
        <v>-5.2813489686343099E-2</v>
      </c>
      <c r="Q4955">
        <v>0.14283794547675799</v>
      </c>
      <c r="R4955">
        <v>0.96040112736694905</v>
      </c>
      <c r="S4955" t="s">
        <v>11523</v>
      </c>
      <c r="T4955" t="s">
        <v>13134</v>
      </c>
      <c r="U4955" t="s">
        <v>13134</v>
      </c>
      <c r="V4955" t="s">
        <v>13134</v>
      </c>
      <c r="W4955" t="s">
        <v>18026</v>
      </c>
      <c r="X4955">
        <v>3</v>
      </c>
      <c r="Y4955" t="s">
        <v>24394</v>
      </c>
      <c r="Z4955" t="s">
        <v>30923</v>
      </c>
      <c r="AA4955">
        <v>0.49456504654536793</v>
      </c>
      <c r="AB4955" t="str">
        <f>HYPERLINK("Melting_Curves/meltCurve_Q96BW1_3_UPRT.pdf", "Melting_Curves/meltCurve_Q96BW1_3_UPRT.pdf")</f>
        <v>Melting_Curves/meltCurve_Q96BW1_3_UPRT.pdf</v>
      </c>
    </row>
    <row r="4956" spans="1:28" x14ac:dyDescent="0.25">
      <c r="A4956" t="s">
        <v>4960</v>
      </c>
      <c r="B4956">
        <v>0.99472303558308395</v>
      </c>
      <c r="C4956">
        <v>1.06221717805145</v>
      </c>
      <c r="D4956">
        <v>1.02671581124157</v>
      </c>
      <c r="E4956">
        <v>0.88160201283045503</v>
      </c>
      <c r="F4956">
        <v>0.82275723131914102</v>
      </c>
      <c r="G4956">
        <v>0.67993455739157305</v>
      </c>
      <c r="H4956">
        <v>0.34268423714861901</v>
      </c>
      <c r="I4956">
        <v>0.41453106291312702</v>
      </c>
      <c r="J4956">
        <v>0.23362895549726501</v>
      </c>
      <c r="K4956">
        <v>0.16989134471914799</v>
      </c>
      <c r="L4956">
        <v>740.29766835141697</v>
      </c>
      <c r="M4956">
        <v>13.4306410336811</v>
      </c>
      <c r="N4956">
        <v>56.320368571826599</v>
      </c>
      <c r="O4956">
        <v>53.941093935206197</v>
      </c>
      <c r="P4956">
        <v>-5.4508094938685199E-2</v>
      </c>
      <c r="Q4956">
        <v>0.124459118126394</v>
      </c>
      <c r="R4956">
        <v>0.96846573172828199</v>
      </c>
      <c r="S4956" t="s">
        <v>11524</v>
      </c>
      <c r="T4956" t="s">
        <v>13134</v>
      </c>
      <c r="U4956" t="s">
        <v>13134</v>
      </c>
      <c r="V4956" t="s">
        <v>13134</v>
      </c>
      <c r="W4956" t="s">
        <v>18027</v>
      </c>
      <c r="X4956">
        <v>7</v>
      </c>
      <c r="Y4956" t="s">
        <v>24395</v>
      </c>
      <c r="Z4956" t="s">
        <v>30924</v>
      </c>
      <c r="AA4956">
        <v>0.66560394557025759</v>
      </c>
      <c r="AB4956" t="str">
        <f>HYPERLINK("Melting_Curves/meltCurve_Q96BW5_2_PTER.pdf", "Melting_Curves/meltCurve_Q96BW5_2_PTER.pdf")</f>
        <v>Melting_Curves/meltCurve_Q96BW5_2_PTER.pdf</v>
      </c>
    </row>
    <row r="4957" spans="1:28" x14ac:dyDescent="0.25">
      <c r="A4957" t="s">
        <v>4961</v>
      </c>
      <c r="B4957">
        <v>0.99472303558308395</v>
      </c>
      <c r="C4957">
        <v>1.0286463133794399</v>
      </c>
      <c r="D4957">
        <v>0.99057461470007402</v>
      </c>
      <c r="E4957">
        <v>0.88642168788806597</v>
      </c>
      <c r="F4957">
        <v>0.49613917615532199</v>
      </c>
      <c r="G4957">
        <v>0.17447601268367199</v>
      </c>
      <c r="H4957">
        <v>8.0545523095314195E-2</v>
      </c>
      <c r="I4957">
        <v>5.5674099303411197E-2</v>
      </c>
      <c r="J4957">
        <v>8.2319368500767598E-2</v>
      </c>
      <c r="K4957">
        <v>7.6088137302124007E-2</v>
      </c>
      <c r="L4957">
        <v>1416.57118113257</v>
      </c>
      <c r="M4957">
        <v>28.385817746854102</v>
      </c>
      <c r="N4957">
        <v>50.157337653402401</v>
      </c>
      <c r="O4957">
        <v>49.6584873519583</v>
      </c>
      <c r="P4957">
        <v>-0.13336900129166299</v>
      </c>
      <c r="Q4957">
        <v>6.67384542746325E-2</v>
      </c>
      <c r="R4957">
        <v>0.99912973905576297</v>
      </c>
      <c r="S4957" t="s">
        <v>11525</v>
      </c>
      <c r="T4957" t="s">
        <v>13134</v>
      </c>
      <c r="U4957" t="s">
        <v>13134</v>
      </c>
      <c r="V4957" t="s">
        <v>13134</v>
      </c>
      <c r="W4957" t="s">
        <v>18028</v>
      </c>
      <c r="X4957">
        <v>4</v>
      </c>
      <c r="Y4957" t="s">
        <v>24396</v>
      </c>
      <c r="Z4957" t="s">
        <v>30925</v>
      </c>
      <c r="AA4957">
        <v>0.4745461660322885</v>
      </c>
      <c r="AB4957" t="str">
        <f>HYPERLINK("Melting_Curves/meltCurve_Q96BX8_MOB3A.pdf", "Melting_Curves/meltCurve_Q96BX8_MOB3A.pdf")</f>
        <v>Melting_Curves/meltCurve_Q96BX8_MOB3A.pdf</v>
      </c>
    </row>
    <row r="4958" spans="1:28" x14ac:dyDescent="0.25">
      <c r="A4958" t="s">
        <v>4962</v>
      </c>
      <c r="B4958">
        <v>0.99472303558308395</v>
      </c>
      <c r="C4958">
        <v>1.1298495889183</v>
      </c>
      <c r="D4958">
        <v>0.83789517689163096</v>
      </c>
      <c r="E4958">
        <v>0.80925392818338804</v>
      </c>
      <c r="F4958">
        <v>0.56126065189602703</v>
      </c>
      <c r="G4958">
        <v>0.38043140928370101</v>
      </c>
      <c r="H4958">
        <v>0.20203253957436201</v>
      </c>
      <c r="I4958">
        <v>0.13061664234960699</v>
      </c>
      <c r="J4958">
        <v>0.147407859410703</v>
      </c>
      <c r="K4958">
        <v>0.103476838226049</v>
      </c>
      <c r="L4958">
        <v>721.14833896068296</v>
      </c>
      <c r="M4958">
        <v>14.2402753861607</v>
      </c>
      <c r="N4958">
        <v>51.244855762649799</v>
      </c>
      <c r="O4958">
        <v>49.674207901865103</v>
      </c>
      <c r="P4958">
        <v>-6.6144778665023801E-2</v>
      </c>
      <c r="Q4958">
        <v>7.7186001926771095E-2</v>
      </c>
      <c r="R4958">
        <v>0.97537422930704998</v>
      </c>
      <c r="S4958" t="s">
        <v>11526</v>
      </c>
      <c r="T4958" t="s">
        <v>13134</v>
      </c>
      <c r="U4958" t="s">
        <v>13134</v>
      </c>
      <c r="V4958" t="s">
        <v>13134</v>
      </c>
      <c r="W4958" t="s">
        <v>18029</v>
      </c>
      <c r="X4958">
        <v>9</v>
      </c>
      <c r="Y4958" t="s">
        <v>24397</v>
      </c>
      <c r="Z4958" t="s">
        <v>30926</v>
      </c>
      <c r="AA4958">
        <v>0.51700288383348936</v>
      </c>
      <c r="AB4958" t="str">
        <f>HYPERLINK("Melting_Curves/meltCurve_Q96BY7_ATG2B.pdf", "Melting_Curves/meltCurve_Q96BY7_ATG2B.pdf")</f>
        <v>Melting_Curves/meltCurve_Q96BY7_ATG2B.pdf</v>
      </c>
    </row>
    <row r="4959" spans="1:28" x14ac:dyDescent="0.25">
      <c r="A4959" t="s">
        <v>4963</v>
      </c>
      <c r="B4959">
        <v>0.99472303558308395</v>
      </c>
      <c r="C4959">
        <v>1.0530454917949099</v>
      </c>
      <c r="D4959">
        <v>0.90900562452691502</v>
      </c>
      <c r="E4959">
        <v>0.74913590340856295</v>
      </c>
      <c r="F4959">
        <v>0.67423111994349905</v>
      </c>
      <c r="G4959">
        <v>0.57639343867496295</v>
      </c>
      <c r="H4959">
        <v>0.53888624802505303</v>
      </c>
      <c r="I4959">
        <v>0.57413330317809497</v>
      </c>
      <c r="J4959">
        <v>0.86614579589052099</v>
      </c>
      <c r="K4959">
        <v>0.539062006901047</v>
      </c>
      <c r="L4959">
        <v>1232.21905038109</v>
      </c>
      <c r="M4959">
        <v>27.1826789862521</v>
      </c>
      <c r="O4959">
        <v>45.0878349220784</v>
      </c>
      <c r="P4959">
        <v>-5.6856956741221397E-2</v>
      </c>
      <c r="Q4959">
        <v>0.62276975795969203</v>
      </c>
      <c r="R4959">
        <v>0.75887182181641499</v>
      </c>
      <c r="S4959" t="s">
        <v>11527</v>
      </c>
      <c r="T4959" t="s">
        <v>13134</v>
      </c>
      <c r="U4959" t="s">
        <v>13134</v>
      </c>
      <c r="V4959" t="s">
        <v>13134</v>
      </c>
      <c r="W4959" t="s">
        <v>18030</v>
      </c>
      <c r="X4959">
        <v>10</v>
      </c>
      <c r="Y4959" t="s">
        <v>24398</v>
      </c>
      <c r="Z4959" t="s">
        <v>30927</v>
      </c>
      <c r="AA4959">
        <v>0.73013570092094193</v>
      </c>
      <c r="AB4959" t="str">
        <f>HYPERLINK("Melting_Curves/meltCurve_Q96BZ8_LENG1.pdf", "Melting_Curves/meltCurve_Q96BZ8_LENG1.pdf")</f>
        <v>Melting_Curves/meltCurve_Q96BZ8_LENG1.pdf</v>
      </c>
    </row>
    <row r="4960" spans="1:28" x14ac:dyDescent="0.25">
      <c r="A4960" t="s">
        <v>4964</v>
      </c>
      <c r="B4960">
        <v>0.99472303558308395</v>
      </c>
      <c r="C4960">
        <v>1.1641995834143599</v>
      </c>
      <c r="D4960">
        <v>0.97565437813917499</v>
      </c>
      <c r="E4960">
        <v>0.90972283569525603</v>
      </c>
      <c r="F4960">
        <v>0.57901542440456699</v>
      </c>
      <c r="G4960">
        <v>0.24654635289363799</v>
      </c>
      <c r="H4960">
        <v>0.15858345165662699</v>
      </c>
      <c r="I4960">
        <v>8.3989603190441103E-2</v>
      </c>
      <c r="J4960">
        <v>6.54428770923383E-2</v>
      </c>
      <c r="K4960">
        <v>8.0932801875488E-2</v>
      </c>
      <c r="L4960">
        <v>1242.26604037997</v>
      </c>
      <c r="M4960">
        <v>24.5462750314326</v>
      </c>
      <c r="N4960">
        <v>50.961126556940798</v>
      </c>
      <c r="O4960">
        <v>50.276836924366798</v>
      </c>
      <c r="P4960">
        <v>-0.112540276637165</v>
      </c>
      <c r="Q4960">
        <v>7.7972194141972095E-2</v>
      </c>
      <c r="R4960">
        <v>0.98377848476072505</v>
      </c>
      <c r="S4960" t="s">
        <v>11528</v>
      </c>
      <c r="T4960" t="s">
        <v>13134</v>
      </c>
      <c r="U4960" t="s">
        <v>13134</v>
      </c>
      <c r="V4960" t="s">
        <v>13134</v>
      </c>
      <c r="W4960" t="s">
        <v>18031</v>
      </c>
      <c r="X4960">
        <v>3</v>
      </c>
      <c r="Y4960" t="s">
        <v>24399</v>
      </c>
      <c r="Z4960" t="s">
        <v>30928</v>
      </c>
      <c r="AA4960">
        <v>0.50463269861535343</v>
      </c>
      <c r="AB4960" t="str">
        <f>HYPERLINK("Melting_Curves/meltCurve_Q96BZ9_TBC1D20.pdf", "Melting_Curves/meltCurve_Q96BZ9_TBC1D20.pdf")</f>
        <v>Melting_Curves/meltCurve_Q96BZ9_TBC1D20.pdf</v>
      </c>
    </row>
    <row r="4961" spans="1:28" x14ac:dyDescent="0.25">
      <c r="A4961" t="s">
        <v>4965</v>
      </c>
      <c r="B4961">
        <v>0.99472303558308395</v>
      </c>
      <c r="C4961">
        <v>0.94609277249827195</v>
      </c>
      <c r="D4961">
        <v>1.0290043422448001</v>
      </c>
      <c r="E4961">
        <v>0.91463776332177904</v>
      </c>
      <c r="F4961">
        <v>0.70186536910821196</v>
      </c>
      <c r="G4961">
        <v>0.61888942138271696</v>
      </c>
      <c r="H4961">
        <v>0.34370058614284599</v>
      </c>
      <c r="I4961">
        <v>0.42849373731343199</v>
      </c>
      <c r="J4961">
        <v>0.48050951694995597</v>
      </c>
      <c r="K4961">
        <v>0.35120892159480399</v>
      </c>
      <c r="L4961">
        <v>1013.0898122234501</v>
      </c>
      <c r="M4961">
        <v>19.928544406973899</v>
      </c>
      <c r="N4961">
        <v>55.039283302930798</v>
      </c>
      <c r="O4961">
        <v>50.332535879268498</v>
      </c>
      <c r="P4961">
        <v>-6.0298452396561703E-2</v>
      </c>
      <c r="Q4961">
        <v>0.39084887583947803</v>
      </c>
      <c r="R4961">
        <v>0.95437362971579198</v>
      </c>
      <c r="S4961" t="s">
        <v>11529</v>
      </c>
      <c r="T4961" t="s">
        <v>13134</v>
      </c>
      <c r="U4961" t="s">
        <v>13134</v>
      </c>
      <c r="V4961" t="s">
        <v>13134</v>
      </c>
      <c r="W4961" t="s">
        <v>18032</v>
      </c>
      <c r="X4961">
        <v>15</v>
      </c>
      <c r="Y4961" t="s">
        <v>24400</v>
      </c>
      <c r="Z4961" t="s">
        <v>30929</v>
      </c>
      <c r="AA4961">
        <v>0.67982663734740023</v>
      </c>
      <c r="AB4961" t="str">
        <f>HYPERLINK("Melting_Curves/meltCurve_Q96C01_FAM136A.pdf", "Melting_Curves/meltCurve_Q96C01_FAM136A.pdf")</f>
        <v>Melting_Curves/meltCurve_Q96C01_FAM136A.pdf</v>
      </c>
    </row>
    <row r="4962" spans="1:28" x14ac:dyDescent="0.25">
      <c r="A4962" t="s">
        <v>4966</v>
      </c>
      <c r="B4962">
        <v>0.99472303558308395</v>
      </c>
      <c r="C4962">
        <v>1.0146418482588</v>
      </c>
      <c r="D4962">
        <v>0.99543698016812499</v>
      </c>
      <c r="E4962">
        <v>0.92311892052200395</v>
      </c>
      <c r="F4962">
        <v>0.64761674530862301</v>
      </c>
      <c r="G4962">
        <v>0.26042044864526398</v>
      </c>
      <c r="H4962">
        <v>0.13348033586222399</v>
      </c>
      <c r="I4962">
        <v>0.114429765423264</v>
      </c>
      <c r="J4962">
        <v>0.14557554336846901</v>
      </c>
      <c r="K4962">
        <v>0.12890285122440701</v>
      </c>
      <c r="L4962">
        <v>1505.7832526090599</v>
      </c>
      <c r="M4962">
        <v>29.636738960100999</v>
      </c>
      <c r="N4962">
        <v>51.289708598241901</v>
      </c>
      <c r="O4962">
        <v>50.578354753173699</v>
      </c>
      <c r="P4962">
        <v>-0.128694047638161</v>
      </c>
      <c r="Q4962">
        <v>0.121483865736409</v>
      </c>
      <c r="R4962">
        <v>0.99888276068445103</v>
      </c>
      <c r="S4962" t="s">
        <v>11530</v>
      </c>
      <c r="T4962" t="s">
        <v>13134</v>
      </c>
      <c r="U4962" t="s">
        <v>13134</v>
      </c>
      <c r="V4962" t="s">
        <v>13134</v>
      </c>
      <c r="W4962" t="s">
        <v>18033</v>
      </c>
      <c r="X4962">
        <v>20</v>
      </c>
      <c r="Y4962" t="s">
        <v>24401</v>
      </c>
      <c r="Z4962" t="s">
        <v>30930</v>
      </c>
      <c r="AA4962">
        <v>0.53142498711786146</v>
      </c>
      <c r="AB4962" t="str">
        <f>HYPERLINK("Melting_Curves/meltCurve_Q96C19_EFHD2.pdf", "Melting_Curves/meltCurve_Q96C19_EFHD2.pdf")</f>
        <v>Melting_Curves/meltCurve_Q96C19_EFHD2.pdf</v>
      </c>
    </row>
    <row r="4963" spans="1:28" x14ac:dyDescent="0.25">
      <c r="A4963" t="s">
        <v>4967</v>
      </c>
      <c r="B4963">
        <v>0.99472303558308395</v>
      </c>
      <c r="C4963">
        <v>0.98883073515410902</v>
      </c>
      <c r="D4963">
        <v>0.97829717411785899</v>
      </c>
      <c r="E4963">
        <v>0.82445938652095496</v>
      </c>
      <c r="F4963">
        <v>0.53392360579868703</v>
      </c>
      <c r="G4963">
        <v>0.215961706277677</v>
      </c>
      <c r="H4963">
        <v>7.2478854750987504E-2</v>
      </c>
      <c r="I4963">
        <v>4.7128627573534698E-2</v>
      </c>
      <c r="J4963">
        <v>4.7279189567861403E-2</v>
      </c>
      <c r="K4963">
        <v>3.97892722157831E-2</v>
      </c>
      <c r="L4963">
        <v>1058.7517680235801</v>
      </c>
      <c r="M4963">
        <v>21.073844744194201</v>
      </c>
      <c r="N4963">
        <v>50.370678842139498</v>
      </c>
      <c r="O4963">
        <v>49.794258821106098</v>
      </c>
      <c r="P4963">
        <v>-0.102994442450794</v>
      </c>
      <c r="Q4963">
        <v>2.6585562694199701E-2</v>
      </c>
      <c r="R4963">
        <v>0.99923668957255696</v>
      </c>
      <c r="S4963" t="s">
        <v>11531</v>
      </c>
      <c r="T4963" t="s">
        <v>13134</v>
      </c>
      <c r="U4963" t="s">
        <v>13134</v>
      </c>
      <c r="V4963" t="s">
        <v>13134</v>
      </c>
      <c r="W4963" t="s">
        <v>18034</v>
      </c>
      <c r="X4963">
        <v>10</v>
      </c>
      <c r="Y4963" t="s">
        <v>24402</v>
      </c>
      <c r="Z4963" t="s">
        <v>30931</v>
      </c>
      <c r="AA4963">
        <v>0.46787416902832152</v>
      </c>
      <c r="AB4963" t="str">
        <f>HYPERLINK("Melting_Curves/meltCurve_Q96C23_GALM.pdf", "Melting_Curves/meltCurve_Q96C23_GALM.pdf")</f>
        <v>Melting_Curves/meltCurve_Q96C23_GALM.pdf</v>
      </c>
    </row>
    <row r="4964" spans="1:28" x14ac:dyDescent="0.25">
      <c r="A4964" t="s">
        <v>4968</v>
      </c>
      <c r="B4964">
        <v>0.99472303558308395</v>
      </c>
      <c r="C4964">
        <v>0.92467800385612298</v>
      </c>
      <c r="D4964">
        <v>0.836416222721721</v>
      </c>
      <c r="E4964">
        <v>0.705548990987097</v>
      </c>
      <c r="F4964">
        <v>0.73880809642265899</v>
      </c>
      <c r="G4964">
        <v>0.47623764610339597</v>
      </c>
      <c r="H4964">
        <v>0.285328701142531</v>
      </c>
      <c r="I4964">
        <v>0.19819656417550099</v>
      </c>
      <c r="J4964">
        <v>0.253943586475878</v>
      </c>
      <c r="K4964">
        <v>0.24248937313761801</v>
      </c>
      <c r="L4964">
        <v>473.69723835869797</v>
      </c>
      <c r="M4964">
        <v>9.1497205779053505</v>
      </c>
      <c r="N4964">
        <v>52.937805253291899</v>
      </c>
      <c r="O4964">
        <v>49.478647988828897</v>
      </c>
      <c r="P4964">
        <v>-4.2040160293503E-2</v>
      </c>
      <c r="Q4964">
        <v>9.1263103582993804E-2</v>
      </c>
      <c r="R4964">
        <v>0.95853674735818595</v>
      </c>
      <c r="S4964" t="s">
        <v>11532</v>
      </c>
      <c r="T4964" t="s">
        <v>13134</v>
      </c>
      <c r="U4964" t="s">
        <v>13134</v>
      </c>
      <c r="V4964" t="s">
        <v>13134</v>
      </c>
      <c r="W4964" t="s">
        <v>18035</v>
      </c>
      <c r="X4964">
        <v>16</v>
      </c>
      <c r="Y4964" t="s">
        <v>24403</v>
      </c>
      <c r="Z4964" t="s">
        <v>30932</v>
      </c>
      <c r="AA4964">
        <v>0.56486251706348334</v>
      </c>
      <c r="AB4964" t="str">
        <f>HYPERLINK("Melting_Curves/meltCurve_Q96C36_PYCR2.pdf", "Melting_Curves/meltCurve_Q96C36_PYCR2.pdf")</f>
        <v>Melting_Curves/meltCurve_Q96C36_PYCR2.pdf</v>
      </c>
    </row>
    <row r="4965" spans="1:28" x14ac:dyDescent="0.25">
      <c r="A4965" t="s">
        <v>4969</v>
      </c>
      <c r="B4965">
        <v>0.99472303558308395</v>
      </c>
      <c r="C4965">
        <v>0.97631341050464404</v>
      </c>
      <c r="D4965">
        <v>0.90064834526402304</v>
      </c>
      <c r="E4965">
        <v>0.778673627350428</v>
      </c>
      <c r="F4965">
        <v>1.16543725659972</v>
      </c>
      <c r="G4965">
        <v>0.91949825476784897</v>
      </c>
      <c r="H4965">
        <v>0.82295642615946896</v>
      </c>
      <c r="I4965">
        <v>0.85231718113427801</v>
      </c>
      <c r="J4965">
        <v>1.1741516411333801</v>
      </c>
      <c r="K4965">
        <v>0.91393858914624304</v>
      </c>
      <c r="L4965">
        <v>9990.9876517880293</v>
      </c>
      <c r="M4965">
        <v>250</v>
      </c>
      <c r="O4965">
        <v>39.961372232553302</v>
      </c>
      <c r="P4965">
        <v>-9.2350594271881095E-2</v>
      </c>
      <c r="Q4965">
        <v>0.94095266528671295</v>
      </c>
      <c r="R4965">
        <v>2.0869788299895501E-2</v>
      </c>
      <c r="S4965" t="s">
        <v>11533</v>
      </c>
      <c r="T4965" t="s">
        <v>13134</v>
      </c>
      <c r="U4965" t="s">
        <v>13134</v>
      </c>
      <c r="V4965" t="s">
        <v>13134</v>
      </c>
      <c r="W4965" t="s">
        <v>18036</v>
      </c>
      <c r="X4965">
        <v>11</v>
      </c>
      <c r="Y4965" t="s">
        <v>24404</v>
      </c>
      <c r="Z4965" t="s">
        <v>30933</v>
      </c>
      <c r="AA4965">
        <v>0.94679058609016409</v>
      </c>
      <c r="AB4965" t="str">
        <f>HYPERLINK("Melting_Curves/meltCurve_Q96C57_C12orf43.pdf", "Melting_Curves/meltCurve_Q96C57_C12orf43.pdf")</f>
        <v>Melting_Curves/meltCurve_Q96C57_C12orf43.pdf</v>
      </c>
    </row>
    <row r="4966" spans="1:28" x14ac:dyDescent="0.25">
      <c r="A4966" t="s">
        <v>4970</v>
      </c>
      <c r="B4966">
        <v>0.99472303558308395</v>
      </c>
      <c r="C4966">
        <v>0.99382717119914799</v>
      </c>
      <c r="D4966">
        <v>1.04871289314731</v>
      </c>
      <c r="E4966">
        <v>0.91966052791478303</v>
      </c>
      <c r="F4966">
        <v>0.71494972825737602</v>
      </c>
      <c r="G4966">
        <v>0.61282019310527802</v>
      </c>
      <c r="H4966">
        <v>0.42963874095855797</v>
      </c>
      <c r="I4966">
        <v>0.37053417432557001</v>
      </c>
      <c r="J4966">
        <v>0.22841061334860299</v>
      </c>
      <c r="K4966">
        <v>0.141665720102881</v>
      </c>
      <c r="L4966">
        <v>597.67368592384798</v>
      </c>
      <c r="M4966">
        <v>10.716932123875999</v>
      </c>
      <c r="N4966">
        <v>56.160311287195398</v>
      </c>
      <c r="O4966">
        <v>53.932503226469201</v>
      </c>
      <c r="P4966">
        <v>-4.7908504852848997E-2</v>
      </c>
      <c r="Q4966">
        <v>3.5969210963834701E-2</v>
      </c>
      <c r="R4966">
        <v>0.98398009275019704</v>
      </c>
      <c r="S4966" t="s">
        <v>11534</v>
      </c>
      <c r="T4966" t="s">
        <v>13134</v>
      </c>
      <c r="U4966" t="s">
        <v>13134</v>
      </c>
      <c r="V4966" t="s">
        <v>13134</v>
      </c>
      <c r="W4966" t="s">
        <v>18037</v>
      </c>
      <c r="X4966">
        <v>13</v>
      </c>
      <c r="Y4966" t="s">
        <v>24405</v>
      </c>
      <c r="Z4966" t="s">
        <v>30934</v>
      </c>
      <c r="AA4966">
        <v>0.64784383678753354</v>
      </c>
      <c r="AB4966" t="str">
        <f>HYPERLINK("Melting_Curves/meltCurve_Q96C86_DCPS.pdf", "Melting_Curves/meltCurve_Q96C86_DCPS.pdf")</f>
        <v>Melting_Curves/meltCurve_Q96C86_DCPS.pdf</v>
      </c>
    </row>
    <row r="4967" spans="1:28" x14ac:dyDescent="0.25">
      <c r="A4967" t="s">
        <v>4971</v>
      </c>
      <c r="B4967">
        <v>0.99472303558308395</v>
      </c>
      <c r="C4967">
        <v>1.0676910972948801</v>
      </c>
      <c r="D4967">
        <v>1.0316771442271999</v>
      </c>
      <c r="E4967">
        <v>0.98968504622523501</v>
      </c>
      <c r="F4967">
        <v>0.86761951769632895</v>
      </c>
      <c r="G4967">
        <v>0.75475361615129</v>
      </c>
      <c r="H4967">
        <v>0.71113534240271004</v>
      </c>
      <c r="I4967">
        <v>0.72113069530085505</v>
      </c>
      <c r="J4967">
        <v>1.03455796192147</v>
      </c>
      <c r="K4967">
        <v>0.79676985635411302</v>
      </c>
      <c r="L4967">
        <v>12513.475560815001</v>
      </c>
      <c r="M4967">
        <v>250</v>
      </c>
      <c r="O4967">
        <v>50.050674855793702</v>
      </c>
      <c r="P4967">
        <v>-0.245164538768018</v>
      </c>
      <c r="Q4967">
        <v>0.803669494450171</v>
      </c>
      <c r="R4967">
        <v>0.57533700247439501</v>
      </c>
      <c r="S4967" t="s">
        <v>11535</v>
      </c>
      <c r="T4967" t="s">
        <v>13134</v>
      </c>
      <c r="U4967" t="s">
        <v>13134</v>
      </c>
      <c r="V4967" t="s">
        <v>13134</v>
      </c>
      <c r="W4967" t="s">
        <v>18038</v>
      </c>
      <c r="X4967">
        <v>5</v>
      </c>
      <c r="Y4967" t="s">
        <v>24406</v>
      </c>
      <c r="Z4967" t="s">
        <v>30935</v>
      </c>
      <c r="AA4967">
        <v>0.88911604843222425</v>
      </c>
      <c r="AB4967" t="str">
        <f>HYPERLINK("Melting_Curves/meltCurve_Q96C90_PPP1R14B.pdf", "Melting_Curves/meltCurve_Q96C90_PPP1R14B.pdf")</f>
        <v>Melting_Curves/meltCurve_Q96C90_PPP1R14B.pdf</v>
      </c>
    </row>
    <row r="4968" spans="1:28" x14ac:dyDescent="0.25">
      <c r="A4968" t="s">
        <v>4972</v>
      </c>
      <c r="B4968">
        <v>0.99472303558308395</v>
      </c>
      <c r="C4968">
        <v>1.0048918650177201</v>
      </c>
      <c r="D4968">
        <v>0.91873540626704597</v>
      </c>
      <c r="E4968">
        <v>0.767185529469114</v>
      </c>
      <c r="F4968">
        <v>0.55354155372999903</v>
      </c>
      <c r="G4968">
        <v>0.20718248306296999</v>
      </c>
      <c r="H4968">
        <v>0.12771299292198099</v>
      </c>
      <c r="I4968">
        <v>7.0741969546144604E-2</v>
      </c>
      <c r="J4968">
        <v>9.3727322924327297E-2</v>
      </c>
      <c r="K4968">
        <v>8.8845685004135103E-2</v>
      </c>
      <c r="L4968">
        <v>911.56573322344605</v>
      </c>
      <c r="M4968">
        <v>18.2958655145232</v>
      </c>
      <c r="N4968">
        <v>50.167267856187998</v>
      </c>
      <c r="O4968">
        <v>49.239812391080498</v>
      </c>
      <c r="P4968">
        <v>-8.7424556189738906E-2</v>
      </c>
      <c r="Q4968">
        <v>5.8897886082780002E-2</v>
      </c>
      <c r="R4968">
        <v>0.99433252711812203</v>
      </c>
      <c r="S4968" t="s">
        <v>11536</v>
      </c>
      <c r="T4968" t="s">
        <v>13134</v>
      </c>
      <c r="U4968" t="s">
        <v>13134</v>
      </c>
      <c r="V4968" t="s">
        <v>13134</v>
      </c>
      <c r="W4968" t="s">
        <v>18039</v>
      </c>
      <c r="X4968">
        <v>7</v>
      </c>
      <c r="Y4968" t="s">
        <v>24407</v>
      </c>
      <c r="Z4968" t="s">
        <v>30936</v>
      </c>
      <c r="AA4968">
        <v>0.47563110413107962</v>
      </c>
      <c r="AB4968" t="str">
        <f>HYPERLINK("Melting_Curves/meltCurve_Q96CB9_4_NSUN4.pdf", "Melting_Curves/meltCurve_Q96CB9_4_NSUN4.pdf")</f>
        <v>Melting_Curves/meltCurve_Q96CB9_4_NSUN4.pdf</v>
      </c>
    </row>
    <row r="4969" spans="1:28" x14ac:dyDescent="0.25">
      <c r="A4969" t="s">
        <v>4973</v>
      </c>
      <c r="B4969">
        <v>0.99472303558308395</v>
      </c>
      <c r="C4969">
        <v>0.88774089523002297</v>
      </c>
      <c r="D4969">
        <v>1.0062872360395101</v>
      </c>
      <c r="E4969">
        <v>0.75232688253568303</v>
      </c>
      <c r="F4969">
        <v>0.492636292569127</v>
      </c>
      <c r="G4969">
        <v>0.41588357721188601</v>
      </c>
      <c r="H4969">
        <v>0.31036125580553803</v>
      </c>
      <c r="I4969">
        <v>0.29572623324959602</v>
      </c>
      <c r="J4969">
        <v>0.42396162878240301</v>
      </c>
      <c r="K4969">
        <v>0.29548736965662797</v>
      </c>
      <c r="L4969">
        <v>1123.2175784548699</v>
      </c>
      <c r="M4969">
        <v>23.4966494038691</v>
      </c>
      <c r="N4969">
        <v>50.155201518601601</v>
      </c>
      <c r="O4969">
        <v>47.461073812410604</v>
      </c>
      <c r="P4969">
        <v>-8.2447490391468703E-2</v>
      </c>
      <c r="Q4969">
        <v>0.33386578748804902</v>
      </c>
      <c r="R4969">
        <v>0.96384171170419797</v>
      </c>
      <c r="S4969" t="s">
        <v>11537</v>
      </c>
      <c r="T4969" t="s">
        <v>13134</v>
      </c>
      <c r="U4969" t="s">
        <v>13134</v>
      </c>
      <c r="V4969" t="s">
        <v>13134</v>
      </c>
      <c r="W4969" t="s">
        <v>18040</v>
      </c>
      <c r="X4969">
        <v>8</v>
      </c>
      <c r="Y4969" t="s">
        <v>24408</v>
      </c>
      <c r="Z4969" t="s">
        <v>30937</v>
      </c>
      <c r="AA4969">
        <v>0.58014627077507441</v>
      </c>
      <c r="AB4969" t="str">
        <f>HYPERLINK("Melting_Curves/meltCurve_Q96CF2_CHMP4C.pdf", "Melting_Curves/meltCurve_Q96CF2_CHMP4C.pdf")</f>
        <v>Melting_Curves/meltCurve_Q96CF2_CHMP4C.pdf</v>
      </c>
    </row>
    <row r="4970" spans="1:28" x14ac:dyDescent="0.25">
      <c r="A4970" t="s">
        <v>4974</v>
      </c>
      <c r="B4970">
        <v>0.99472303558308395</v>
      </c>
      <c r="C4970">
        <v>0.996964775308261</v>
      </c>
      <c r="D4970">
        <v>0.85302553929501501</v>
      </c>
      <c r="E4970">
        <v>0.68176590374152801</v>
      </c>
      <c r="F4970">
        <v>0.561112791014302</v>
      </c>
      <c r="G4970">
        <v>0.29168019475795598</v>
      </c>
      <c r="H4970">
        <v>0.21158603214119401</v>
      </c>
      <c r="I4970">
        <v>8.47756385081814E-2</v>
      </c>
      <c r="J4970">
        <v>8.0806259638118202E-2</v>
      </c>
      <c r="K4970">
        <v>6.4539361070922799E-2</v>
      </c>
      <c r="L4970">
        <v>582.82021079863205</v>
      </c>
      <c r="M4970">
        <v>11.581839352216599</v>
      </c>
      <c r="N4970">
        <v>50.3219022703409</v>
      </c>
      <c r="O4970">
        <v>48.891869234326997</v>
      </c>
      <c r="P4970">
        <v>-5.92380816227338E-2</v>
      </c>
      <c r="Q4970">
        <v>0</v>
      </c>
      <c r="R4970">
        <v>0.99312736237677801</v>
      </c>
      <c r="S4970" t="s">
        <v>11538</v>
      </c>
      <c r="T4970" t="s">
        <v>13134</v>
      </c>
      <c r="U4970" t="s">
        <v>13134</v>
      </c>
      <c r="V4970" t="s">
        <v>13134</v>
      </c>
      <c r="W4970" t="s">
        <v>18041</v>
      </c>
      <c r="X4970">
        <v>3</v>
      </c>
      <c r="Y4970" t="s">
        <v>24409</v>
      </c>
      <c r="Z4970" t="s">
        <v>30938</v>
      </c>
      <c r="AA4970">
        <v>0.47253629520032608</v>
      </c>
      <c r="AB4970" t="str">
        <f>HYPERLINK("Melting_Curves/meltCurve_Q96CM3_2_RPUSD4.pdf", "Melting_Curves/meltCurve_Q96CM3_2_RPUSD4.pdf")</f>
        <v>Melting_Curves/meltCurve_Q96CM3_2_RPUSD4.pdf</v>
      </c>
    </row>
    <row r="4971" spans="1:28" x14ac:dyDescent="0.25">
      <c r="A4971" t="s">
        <v>4975</v>
      </c>
      <c r="B4971">
        <v>0.99472303558308395</v>
      </c>
      <c r="C4971">
        <v>0.91797636291476903</v>
      </c>
      <c r="D4971">
        <v>1.0117106493255901</v>
      </c>
      <c r="E4971">
        <v>0.97039248815631296</v>
      </c>
      <c r="F4971">
        <v>0.84514760107685405</v>
      </c>
      <c r="G4971">
        <v>0.74217899917838104</v>
      </c>
      <c r="H4971">
        <v>0.43367749088584401</v>
      </c>
      <c r="I4971">
        <v>7.2619975003631806E-2</v>
      </c>
      <c r="J4971">
        <v>4.1363128928108603E-2</v>
      </c>
      <c r="K4971">
        <v>5.0052575222420903E-2</v>
      </c>
      <c r="L4971">
        <v>1237.5664807212299</v>
      </c>
      <c r="M4971">
        <v>22.039066979271499</v>
      </c>
      <c r="N4971">
        <v>56.153307167676402</v>
      </c>
      <c r="O4971">
        <v>55.697115305897597</v>
      </c>
      <c r="P4971">
        <v>-9.8925917894680304E-2</v>
      </c>
      <c r="Q4971">
        <v>0</v>
      </c>
      <c r="R4971">
        <v>0.98447977986852298</v>
      </c>
      <c r="S4971" t="s">
        <v>11539</v>
      </c>
      <c r="T4971" t="s">
        <v>13134</v>
      </c>
      <c r="U4971" t="s">
        <v>13134</v>
      </c>
      <c r="V4971" t="s">
        <v>13134</v>
      </c>
      <c r="W4971" t="s">
        <v>18042</v>
      </c>
      <c r="X4971">
        <v>9</v>
      </c>
      <c r="Y4971" t="s">
        <v>24410</v>
      </c>
      <c r="Z4971" t="s">
        <v>30939</v>
      </c>
      <c r="AA4971">
        <v>0.64769987837968201</v>
      </c>
      <c r="AB4971" t="str">
        <f>HYPERLINK("Melting_Curves/meltCurve_Q96CN7_ISOC1.pdf", "Melting_Curves/meltCurve_Q96CN7_ISOC1.pdf")</f>
        <v>Melting_Curves/meltCurve_Q96CN7_ISOC1.pdf</v>
      </c>
    </row>
    <row r="4972" spans="1:28" x14ac:dyDescent="0.25">
      <c r="A4972" t="s">
        <v>4976</v>
      </c>
      <c r="B4972">
        <v>0.99472303558308395</v>
      </c>
      <c r="C4972">
        <v>0.97889300208002195</v>
      </c>
      <c r="D4972">
        <v>0.691855495946057</v>
      </c>
      <c r="E4972">
        <v>0.288409092966323</v>
      </c>
      <c r="F4972">
        <v>0.14510910973837601</v>
      </c>
      <c r="G4972">
        <v>8.5172980601806406E-2</v>
      </c>
      <c r="H4972">
        <v>6.34731810255309E-2</v>
      </c>
      <c r="I4972">
        <v>3.8086635724334003E-2</v>
      </c>
      <c r="J4972">
        <v>6.04196625657826E-2</v>
      </c>
      <c r="K4972">
        <v>4.1028103256600203E-2</v>
      </c>
      <c r="L4972">
        <v>1047.6981144106501</v>
      </c>
      <c r="M4972">
        <v>23.572410983989101</v>
      </c>
      <c r="N4972">
        <v>44.676042976174699</v>
      </c>
      <c r="O4972">
        <v>44.129781347522702</v>
      </c>
      <c r="P4972">
        <v>-0.12590878073719</v>
      </c>
      <c r="Q4972">
        <v>5.7163458268200303E-2</v>
      </c>
      <c r="R4972">
        <v>0.99752660782232205</v>
      </c>
      <c r="S4972" t="s">
        <v>11540</v>
      </c>
      <c r="T4972" t="s">
        <v>13134</v>
      </c>
      <c r="U4972" t="s">
        <v>13134</v>
      </c>
      <c r="V4972" t="s">
        <v>13134</v>
      </c>
      <c r="W4972" t="s">
        <v>18043</v>
      </c>
      <c r="X4972">
        <v>10</v>
      </c>
      <c r="Y4972" t="s">
        <v>24411</v>
      </c>
      <c r="Z4972" t="s">
        <v>30940</v>
      </c>
      <c r="AA4972">
        <v>0.29993979580366292</v>
      </c>
      <c r="AB4972" t="str">
        <f>HYPERLINK("Melting_Curves/meltCurve_Q96CN9_GCC1.pdf", "Melting_Curves/meltCurve_Q96CN9_GCC1.pdf")</f>
        <v>Melting_Curves/meltCurve_Q96CN9_GCC1.pdf</v>
      </c>
    </row>
    <row r="4973" spans="1:28" x14ac:dyDescent="0.25">
      <c r="A4973" t="s">
        <v>4977</v>
      </c>
      <c r="B4973">
        <v>0.99472303558308395</v>
      </c>
      <c r="C4973">
        <v>1.08329270960313</v>
      </c>
      <c r="D4973">
        <v>0.98302047234650702</v>
      </c>
      <c r="E4973">
        <v>0.90487640563944505</v>
      </c>
      <c r="F4973">
        <v>0.58494933414221995</v>
      </c>
      <c r="G4973">
        <v>0.52458644016606204</v>
      </c>
      <c r="H4973">
        <v>0.45861547227376498</v>
      </c>
      <c r="I4973">
        <v>0.51231311310365002</v>
      </c>
      <c r="J4973">
        <v>0.74082700257372003</v>
      </c>
      <c r="K4973">
        <v>0.496523870202983</v>
      </c>
      <c r="L4973">
        <v>2445.3116356847099</v>
      </c>
      <c r="M4973">
        <v>51.148616476579598</v>
      </c>
      <c r="O4973">
        <v>47.735062939204099</v>
      </c>
      <c r="P4973">
        <v>-0.121453158233968</v>
      </c>
      <c r="Q4973">
        <v>0.54660986343406803</v>
      </c>
      <c r="R4973">
        <v>0.89225292543921797</v>
      </c>
      <c r="S4973" t="s">
        <v>11541</v>
      </c>
      <c r="T4973" t="s">
        <v>13134</v>
      </c>
      <c r="U4973" t="s">
        <v>13134</v>
      </c>
      <c r="V4973" t="s">
        <v>13134</v>
      </c>
      <c r="W4973" t="s">
        <v>18044</v>
      </c>
      <c r="X4973">
        <v>5</v>
      </c>
      <c r="Y4973" t="s">
        <v>24412</v>
      </c>
      <c r="Z4973" t="s">
        <v>30941</v>
      </c>
      <c r="AA4973">
        <v>0.71086422119166437</v>
      </c>
      <c r="AB4973" t="str">
        <f>HYPERLINK("Melting_Curves/meltCurve_Q96CP2_FLYWCH2.pdf", "Melting_Curves/meltCurve_Q96CP2_FLYWCH2.pdf")</f>
        <v>Melting_Curves/meltCurve_Q96CP2_FLYWCH2.pdf</v>
      </c>
    </row>
    <row r="4974" spans="1:28" x14ac:dyDescent="0.25">
      <c r="A4974" t="s">
        <v>4978</v>
      </c>
      <c r="B4974">
        <v>0.99472303558308395</v>
      </c>
      <c r="C4974">
        <v>1.0086520386792099</v>
      </c>
      <c r="D4974">
        <v>0.88202337797469499</v>
      </c>
      <c r="E4974">
        <v>0.62750396678014697</v>
      </c>
      <c r="F4974">
        <v>0.52771255319088195</v>
      </c>
      <c r="G4974">
        <v>0.35735538744175099</v>
      </c>
      <c r="H4974">
        <v>0.28562552509318201</v>
      </c>
      <c r="I4974">
        <v>0.239328513063332</v>
      </c>
      <c r="J4974">
        <v>0.28947510196952703</v>
      </c>
      <c r="K4974">
        <v>0.20273988151671199</v>
      </c>
      <c r="L4974">
        <v>684.89882922769198</v>
      </c>
      <c r="M4974">
        <v>14.3234697790399</v>
      </c>
      <c r="N4974">
        <v>49.893299288546601</v>
      </c>
      <c r="O4974">
        <v>46.913477869243501</v>
      </c>
      <c r="P4974">
        <v>-5.9196691632595201E-2</v>
      </c>
      <c r="Q4974">
        <v>0.22454917748794601</v>
      </c>
      <c r="R4974">
        <v>0.98756616749894999</v>
      </c>
      <c r="S4974" t="s">
        <v>11542</v>
      </c>
      <c r="T4974" t="s">
        <v>13134</v>
      </c>
      <c r="U4974" t="s">
        <v>13134</v>
      </c>
      <c r="V4974" t="s">
        <v>13134</v>
      </c>
      <c r="W4974" t="s">
        <v>18045</v>
      </c>
      <c r="X4974">
        <v>2</v>
      </c>
      <c r="Y4974" t="s">
        <v>24413</v>
      </c>
      <c r="Z4974" t="s">
        <v>30942</v>
      </c>
      <c r="AA4974">
        <v>0.52267192961398468</v>
      </c>
      <c r="AB4974" t="str">
        <f>HYPERLINK("Melting_Curves/meltCurve_Q96CQ1_SLC25A36.pdf", "Melting_Curves/meltCurve_Q96CQ1_SLC25A36.pdf")</f>
        <v>Melting_Curves/meltCurve_Q96CQ1_SLC25A36.pdf</v>
      </c>
    </row>
    <row r="4975" spans="1:28" x14ac:dyDescent="0.25">
      <c r="A4975" t="s">
        <v>4979</v>
      </c>
      <c r="B4975">
        <v>0.99472303558308395</v>
      </c>
      <c r="C4975">
        <v>0.78742818927013303</v>
      </c>
      <c r="D4975">
        <v>0.75872972162408403</v>
      </c>
      <c r="E4975">
        <v>0.43875921562899201</v>
      </c>
      <c r="F4975">
        <v>0.307901637638408</v>
      </c>
      <c r="G4975">
        <v>0.139741245800518</v>
      </c>
      <c r="H4975">
        <v>0.169968721830802</v>
      </c>
      <c r="I4975">
        <v>7.5528317800244604E-2</v>
      </c>
      <c r="J4975">
        <v>0.111465318086569</v>
      </c>
      <c r="K4975">
        <v>8.3298069086634494E-2</v>
      </c>
      <c r="L4975">
        <v>580.09864814097796</v>
      </c>
      <c r="M4975">
        <v>12.751084435078299</v>
      </c>
      <c r="N4975">
        <v>46.033616944433902</v>
      </c>
      <c r="O4975">
        <v>44.418658893845901</v>
      </c>
      <c r="P4975">
        <v>-6.6797838989894401E-2</v>
      </c>
      <c r="Q4975">
        <v>6.9410785604351904E-2</v>
      </c>
      <c r="R4975">
        <v>0.98344871922751698</v>
      </c>
      <c r="S4975" t="s">
        <v>11543</v>
      </c>
      <c r="T4975" t="s">
        <v>13134</v>
      </c>
      <c r="U4975" t="s">
        <v>13134</v>
      </c>
      <c r="V4975" t="s">
        <v>13134</v>
      </c>
      <c r="W4975" t="s">
        <v>18046</v>
      </c>
      <c r="X4975">
        <v>4</v>
      </c>
      <c r="Y4975" t="s">
        <v>24414</v>
      </c>
      <c r="Z4975" t="s">
        <v>30943</v>
      </c>
      <c r="AA4975">
        <v>0.36245792661961229</v>
      </c>
      <c r="AB4975" t="str">
        <f>HYPERLINK("Melting_Curves/meltCurve_Q96CS2_HAUS1.pdf", "Melting_Curves/meltCurve_Q96CS2_HAUS1.pdf")</f>
        <v>Melting_Curves/meltCurve_Q96CS2_HAUS1.pdf</v>
      </c>
    </row>
    <row r="4976" spans="1:28" x14ac:dyDescent="0.25">
      <c r="A4976" t="s">
        <v>4980</v>
      </c>
      <c r="B4976">
        <v>0.99472303558308395</v>
      </c>
      <c r="C4976">
        <v>0.929226466200336</v>
      </c>
      <c r="D4976">
        <v>0.87561360638361696</v>
      </c>
      <c r="E4976">
        <v>0.66583418481663204</v>
      </c>
      <c r="F4976">
        <v>0.32519200117709701</v>
      </c>
      <c r="G4976">
        <v>0.13252328801235899</v>
      </c>
      <c r="H4976">
        <v>8.7108359022346801E-2</v>
      </c>
      <c r="I4976">
        <v>5.5873570070661703E-2</v>
      </c>
      <c r="J4976">
        <v>6.2535679500665797E-2</v>
      </c>
      <c r="K4976">
        <v>4.5994693134722202E-2</v>
      </c>
      <c r="L4976">
        <v>871.45409632434303</v>
      </c>
      <c r="M4976">
        <v>18.189288989896099</v>
      </c>
      <c r="N4976">
        <v>48.124530071765399</v>
      </c>
      <c r="O4976">
        <v>47.342461906398398</v>
      </c>
      <c r="P4976">
        <v>-9.2320433142795005E-2</v>
      </c>
      <c r="Q4976">
        <v>3.8891664701884501E-2</v>
      </c>
      <c r="R4976">
        <v>0.99735439824264904</v>
      </c>
      <c r="S4976" t="s">
        <v>11544</v>
      </c>
      <c r="T4976" t="s">
        <v>13134</v>
      </c>
      <c r="U4976" t="s">
        <v>13134</v>
      </c>
      <c r="V4976" t="s">
        <v>13134</v>
      </c>
      <c r="W4976" t="s">
        <v>18047</v>
      </c>
      <c r="X4976">
        <v>16</v>
      </c>
      <c r="Y4976" t="s">
        <v>24415</v>
      </c>
      <c r="Z4976" t="s">
        <v>30944</v>
      </c>
      <c r="AA4976">
        <v>0.40349941948986562</v>
      </c>
      <c r="AB4976" t="str">
        <f>HYPERLINK("Melting_Curves/meltCurve_Q96CS3_FAF2.pdf", "Melting_Curves/meltCurve_Q96CS3_FAF2.pdf")</f>
        <v>Melting_Curves/meltCurve_Q96CS3_FAF2.pdf</v>
      </c>
    </row>
    <row r="4977" spans="1:28" x14ac:dyDescent="0.25">
      <c r="A4977" t="s">
        <v>4981</v>
      </c>
      <c r="B4977">
        <v>0.99472303558308395</v>
      </c>
      <c r="C4977">
        <v>0.92538861341921896</v>
      </c>
      <c r="D4977">
        <v>1.00870923860204</v>
      </c>
      <c r="E4977">
        <v>0.84017316063356096</v>
      </c>
      <c r="F4977">
        <v>0.62683184118324597</v>
      </c>
      <c r="G4977">
        <v>0.53411056041785399</v>
      </c>
      <c r="H4977">
        <v>0.47167845430108102</v>
      </c>
      <c r="I4977">
        <v>0.52446568649846603</v>
      </c>
      <c r="J4977">
        <v>0.73264172475371103</v>
      </c>
      <c r="K4977">
        <v>0.52124033188596997</v>
      </c>
      <c r="L4977">
        <v>1688.1357858661099</v>
      </c>
      <c r="M4977">
        <v>35.596044712145101</v>
      </c>
      <c r="O4977">
        <v>47.275897922313</v>
      </c>
      <c r="P4977">
        <v>-8.3255372292113106E-2</v>
      </c>
      <c r="Q4977">
        <v>0.557708361357524</v>
      </c>
      <c r="R4977">
        <v>0.88031955477392299</v>
      </c>
      <c r="S4977" t="s">
        <v>11545</v>
      </c>
      <c r="T4977" t="s">
        <v>13134</v>
      </c>
      <c r="U4977" t="s">
        <v>13134</v>
      </c>
      <c r="V4977" t="s">
        <v>13134</v>
      </c>
      <c r="W4977" t="s">
        <v>18048</v>
      </c>
      <c r="X4977">
        <v>22</v>
      </c>
      <c r="Y4977" t="s">
        <v>24416</v>
      </c>
      <c r="Z4977" t="s">
        <v>30945</v>
      </c>
      <c r="AA4977">
        <v>0.71323685235998047</v>
      </c>
      <c r="AB4977" t="str">
        <f>HYPERLINK("Melting_Curves/meltCurve_Q96CT7_CCDC124.pdf", "Melting_Curves/meltCurve_Q96CT7_CCDC124.pdf")</f>
        <v>Melting_Curves/meltCurve_Q96CT7_CCDC124.pdf</v>
      </c>
    </row>
    <row r="4978" spans="1:28" x14ac:dyDescent="0.25">
      <c r="A4978" t="s">
        <v>4982</v>
      </c>
      <c r="B4978">
        <v>0.99472303558308395</v>
      </c>
      <c r="C4978">
        <v>0.92618347134033396</v>
      </c>
      <c r="D4978">
        <v>0.85365690949344197</v>
      </c>
      <c r="E4978">
        <v>0.69765975327639096</v>
      </c>
      <c r="F4978">
        <v>0.50817816662813597</v>
      </c>
      <c r="G4978">
        <v>0.23897814533667799</v>
      </c>
      <c r="H4978">
        <v>0.151005532549017</v>
      </c>
      <c r="I4978">
        <v>7.2774464404488301E-2</v>
      </c>
      <c r="J4978">
        <v>5.0673924250432503E-2</v>
      </c>
      <c r="K4978">
        <v>5.28853948571118E-2</v>
      </c>
      <c r="L4978">
        <v>625.43480985180304</v>
      </c>
      <c r="M4978">
        <v>12.600834407411</v>
      </c>
      <c r="N4978">
        <v>49.634415710074201</v>
      </c>
      <c r="O4978">
        <v>48.4340949810232</v>
      </c>
      <c r="P4978">
        <v>-6.5054108908880207E-2</v>
      </c>
      <c r="Q4978">
        <v>0</v>
      </c>
      <c r="R4978">
        <v>0.99627359270104698</v>
      </c>
      <c r="S4978" t="s">
        <v>11546</v>
      </c>
      <c r="T4978" t="s">
        <v>13134</v>
      </c>
      <c r="U4978" t="s">
        <v>13134</v>
      </c>
      <c r="V4978" t="s">
        <v>13134</v>
      </c>
      <c r="W4978" t="s">
        <v>18049</v>
      </c>
      <c r="X4978">
        <v>6</v>
      </c>
      <c r="Y4978" t="s">
        <v>24417</v>
      </c>
      <c r="Z4978" t="s">
        <v>30946</v>
      </c>
      <c r="AA4978">
        <v>0.4480858197534266</v>
      </c>
      <c r="AB4978" t="str">
        <f>HYPERLINK("Melting_Curves/meltCurve_Q96CU9_FOXRED1.pdf", "Melting_Curves/meltCurve_Q96CU9_FOXRED1.pdf")</f>
        <v>Melting_Curves/meltCurve_Q96CU9_FOXRED1.pdf</v>
      </c>
    </row>
    <row r="4979" spans="1:28" x14ac:dyDescent="0.25">
      <c r="A4979" t="s">
        <v>4983</v>
      </c>
      <c r="B4979">
        <v>0.99472303558308395</v>
      </c>
      <c r="C4979">
        <v>0.90814709295333496</v>
      </c>
      <c r="D4979">
        <v>0.83074452004436505</v>
      </c>
      <c r="E4979">
        <v>0.70473329388536499</v>
      </c>
      <c r="F4979">
        <v>0.77850620633985201</v>
      </c>
      <c r="G4979">
        <v>0.31009170097551098</v>
      </c>
      <c r="H4979">
        <v>8.8431157870689406E-2</v>
      </c>
      <c r="I4979">
        <v>5.2723621200420401E-2</v>
      </c>
      <c r="J4979">
        <v>5.0369047467457399E-2</v>
      </c>
      <c r="K4979">
        <v>4.9807723927674102E-2</v>
      </c>
      <c r="L4979">
        <v>748.93545868219803</v>
      </c>
      <c r="M4979">
        <v>14.5754382741623</v>
      </c>
      <c r="N4979">
        <v>51.383392131790899</v>
      </c>
      <c r="O4979">
        <v>50.445220930606503</v>
      </c>
      <c r="P4979">
        <v>-7.2242155603631494E-2</v>
      </c>
      <c r="Q4979">
        <v>0</v>
      </c>
      <c r="R4979">
        <v>0.94473032602914597</v>
      </c>
      <c r="S4979" t="s">
        <v>11547</v>
      </c>
      <c r="T4979" t="s">
        <v>13134</v>
      </c>
      <c r="U4979" t="s">
        <v>13134</v>
      </c>
      <c r="V4979" t="s">
        <v>13134</v>
      </c>
      <c r="W4979" t="s">
        <v>18050</v>
      </c>
      <c r="X4979">
        <v>18</v>
      </c>
      <c r="Y4979" t="s">
        <v>24418</v>
      </c>
      <c r="Z4979" t="s">
        <v>30947</v>
      </c>
      <c r="AA4979">
        <v>0.49993782959605532</v>
      </c>
      <c r="AB4979" t="str">
        <f>HYPERLINK("Melting_Curves/meltCurve_Q96CW1_2_AP2M1.pdf", "Melting_Curves/meltCurve_Q96CW1_2_AP2M1.pdf")</f>
        <v>Melting_Curves/meltCurve_Q96CW1_2_AP2M1.pdf</v>
      </c>
    </row>
    <row r="4980" spans="1:28" x14ac:dyDescent="0.25">
      <c r="A4980" t="s">
        <v>4984</v>
      </c>
      <c r="B4980">
        <v>0.99472303558308395</v>
      </c>
      <c r="C4980">
        <v>0.86601827284177701</v>
      </c>
      <c r="D4980">
        <v>0.73441460558504001</v>
      </c>
      <c r="E4980">
        <v>0.65060054320010197</v>
      </c>
      <c r="F4980">
        <v>0.51091313874503597</v>
      </c>
      <c r="G4980">
        <v>0.20878172894028699</v>
      </c>
      <c r="H4980">
        <v>0.115649912726201</v>
      </c>
      <c r="I4980">
        <v>5.9251379868901298E-2</v>
      </c>
      <c r="J4980">
        <v>9.7735088831313405E-2</v>
      </c>
      <c r="K4980">
        <v>0.16032732241023201</v>
      </c>
      <c r="L4980">
        <v>521.33265973288496</v>
      </c>
      <c r="M4980">
        <v>10.787630372851501</v>
      </c>
      <c r="N4980">
        <v>48.562227290722703</v>
      </c>
      <c r="O4980">
        <v>46.755084520300599</v>
      </c>
      <c r="P4980">
        <v>-5.6233051427345297E-2</v>
      </c>
      <c r="Q4980">
        <v>2.5467124794141999E-2</v>
      </c>
      <c r="R4980">
        <v>0.96777325665677305</v>
      </c>
      <c r="S4980" t="s">
        <v>11548</v>
      </c>
      <c r="T4980" t="s">
        <v>13134</v>
      </c>
      <c r="U4980" t="s">
        <v>13134</v>
      </c>
      <c r="V4980" t="s">
        <v>13134</v>
      </c>
      <c r="W4980" t="s">
        <v>18051</v>
      </c>
      <c r="X4980">
        <v>1</v>
      </c>
      <c r="Y4980" t="s">
        <v>24419</v>
      </c>
      <c r="Z4980" t="s">
        <v>30948</v>
      </c>
      <c r="AA4980">
        <v>0.42811252476401018</v>
      </c>
      <c r="AB4980" t="str">
        <f>HYPERLINK("Melting_Curves/meltCurve_Q96CW5_3_TUBGCP3.pdf", "Melting_Curves/meltCurve_Q96CW5_3_TUBGCP3.pdf")</f>
        <v>Melting_Curves/meltCurve_Q96CW5_3_TUBGCP3.pdf</v>
      </c>
    </row>
    <row r="4981" spans="1:28" x14ac:dyDescent="0.25">
      <c r="A4981" t="s">
        <v>4985</v>
      </c>
      <c r="B4981">
        <v>0.99472303558308395</v>
      </c>
      <c r="C4981">
        <v>1.1228591002641699</v>
      </c>
      <c r="D4981">
        <v>1.013084154098</v>
      </c>
      <c r="E4981">
        <v>0.85729628175680805</v>
      </c>
      <c r="F4981">
        <v>0.63921821246525601</v>
      </c>
      <c r="G4981">
        <v>0.40961142211081703</v>
      </c>
      <c r="H4981">
        <v>0.213670432597697</v>
      </c>
      <c r="I4981">
        <v>0.160950306129164</v>
      </c>
      <c r="J4981">
        <v>0.16512040340586401</v>
      </c>
      <c r="K4981">
        <v>0.13721062511253301</v>
      </c>
      <c r="L4981">
        <v>954.95573141589705</v>
      </c>
      <c r="M4981">
        <v>18.637018354825798</v>
      </c>
      <c r="N4981">
        <v>52.073975238156699</v>
      </c>
      <c r="O4981">
        <v>50.66072169233</v>
      </c>
      <c r="P4981">
        <v>-8.01034555247849E-2</v>
      </c>
      <c r="Q4981">
        <v>0.12906143757608199</v>
      </c>
      <c r="R4981">
        <v>0.986340421172336</v>
      </c>
      <c r="S4981" t="s">
        <v>11549</v>
      </c>
      <c r="T4981" t="s">
        <v>13134</v>
      </c>
      <c r="U4981" t="s">
        <v>13134</v>
      </c>
      <c r="V4981" t="s">
        <v>13134</v>
      </c>
      <c r="W4981" t="s">
        <v>18052</v>
      </c>
      <c r="X4981">
        <v>7</v>
      </c>
      <c r="Y4981" t="s">
        <v>24420</v>
      </c>
      <c r="Z4981" t="s">
        <v>30949</v>
      </c>
      <c r="AA4981">
        <v>0.55519689729105248</v>
      </c>
      <c r="AB4981" t="str">
        <f>HYPERLINK("Melting_Curves/meltCurve_Q96CW6_SLC7A6OS.pdf", "Melting_Curves/meltCurve_Q96CW6_SLC7A6OS.pdf")</f>
        <v>Melting_Curves/meltCurve_Q96CW6_SLC7A6OS.pdf</v>
      </c>
    </row>
    <row r="4982" spans="1:28" x14ac:dyDescent="0.25">
      <c r="A4982" t="s">
        <v>4986</v>
      </c>
      <c r="B4982">
        <v>0.99472303558308395</v>
      </c>
      <c r="C4982">
        <v>0.97856466123658203</v>
      </c>
      <c r="D4982">
        <v>0.99798297662721902</v>
      </c>
      <c r="E4982">
        <v>0.70115246759298799</v>
      </c>
      <c r="F4982">
        <v>0.22108116829740701</v>
      </c>
      <c r="G4982">
        <v>9.7987238401715304E-2</v>
      </c>
      <c r="H4982">
        <v>5.6462797487941398E-2</v>
      </c>
      <c r="I4982">
        <v>5.7717638073182399E-2</v>
      </c>
      <c r="J4982">
        <v>6.2072920650846103E-2</v>
      </c>
      <c r="K4982">
        <v>4.9746910465757799E-2</v>
      </c>
      <c r="L4982">
        <v>1533.9605620756399</v>
      </c>
      <c r="M4982">
        <v>32.128148603752301</v>
      </c>
      <c r="N4982">
        <v>47.9311095406673</v>
      </c>
      <c r="O4982">
        <v>47.561236078601901</v>
      </c>
      <c r="P4982">
        <v>-0.158979685281292</v>
      </c>
      <c r="Q4982">
        <v>5.8615875768579802E-2</v>
      </c>
      <c r="R4982">
        <v>0.99919749371451505</v>
      </c>
      <c r="S4982" t="s">
        <v>11550</v>
      </c>
      <c r="T4982" t="s">
        <v>13134</v>
      </c>
      <c r="U4982" t="s">
        <v>13134</v>
      </c>
      <c r="V4982" t="s">
        <v>13134</v>
      </c>
      <c r="W4982" t="s">
        <v>18053</v>
      </c>
      <c r="X4982">
        <v>8</v>
      </c>
      <c r="Y4982" t="s">
        <v>24421</v>
      </c>
      <c r="Z4982" t="s">
        <v>30950</v>
      </c>
      <c r="AA4982">
        <v>0.40062389077253391</v>
      </c>
      <c r="AB4982" t="str">
        <f>HYPERLINK("Melting_Curves/meltCurve_Q96CX6_LRRC58.pdf", "Melting_Curves/meltCurve_Q96CX6_LRRC58.pdf")</f>
        <v>Melting_Curves/meltCurve_Q96CX6_LRRC58.pdf</v>
      </c>
    </row>
    <row r="4983" spans="1:28" x14ac:dyDescent="0.25">
      <c r="A4983" t="s">
        <v>4987</v>
      </c>
      <c r="B4983">
        <v>0.99472303558308395</v>
      </c>
      <c r="C4983">
        <v>1.13112832760601</v>
      </c>
      <c r="D4983">
        <v>0.804294484395781</v>
      </c>
      <c r="E4983">
        <v>0.88373886450532502</v>
      </c>
      <c r="F4983">
        <v>0.70342377083993701</v>
      </c>
      <c r="G4983">
        <v>0.449701772853909</v>
      </c>
      <c r="H4983">
        <v>0.29641088539160199</v>
      </c>
      <c r="I4983">
        <v>0.260900203631457</v>
      </c>
      <c r="J4983">
        <v>0.25020281420839402</v>
      </c>
      <c r="K4983">
        <v>0.32016267168636797</v>
      </c>
      <c r="L4983">
        <v>890.01264465859902</v>
      </c>
      <c r="M4983">
        <v>17.503763578570599</v>
      </c>
      <c r="N4983">
        <v>52.891870576755998</v>
      </c>
      <c r="O4983">
        <v>50.197185379020397</v>
      </c>
      <c r="P4983">
        <v>-6.57453688706372E-2</v>
      </c>
      <c r="Q4983">
        <v>0.245864899084973</v>
      </c>
      <c r="R4983">
        <v>0.94562652562826199</v>
      </c>
      <c r="S4983" t="s">
        <v>11551</v>
      </c>
      <c r="T4983" t="s">
        <v>13134</v>
      </c>
      <c r="U4983" t="s">
        <v>13134</v>
      </c>
      <c r="V4983" t="s">
        <v>13134</v>
      </c>
      <c r="W4983" t="s">
        <v>18054</v>
      </c>
      <c r="X4983">
        <v>1</v>
      </c>
      <c r="Y4983" t="s">
        <v>24422</v>
      </c>
      <c r="Z4983" t="s">
        <v>30951</v>
      </c>
      <c r="AA4983">
        <v>0.60619568832660431</v>
      </c>
      <c r="AB4983" t="str">
        <f>HYPERLINK("Melting_Curves/meltCurve_Q96D05_C10orf35.pdf", "Melting_Curves/meltCurve_Q96D05_C10orf35.pdf")</f>
        <v>Melting_Curves/meltCurve_Q96D05_C10orf35.pdf</v>
      </c>
    </row>
    <row r="4984" spans="1:28" x14ac:dyDescent="0.25">
      <c r="A4984" t="s">
        <v>4988</v>
      </c>
      <c r="B4984">
        <v>0.99472303558308395</v>
      </c>
      <c r="C4984">
        <v>1.0086490970038799</v>
      </c>
      <c r="D4984">
        <v>0.92029191315760706</v>
      </c>
      <c r="E4984">
        <v>0.81234128004938799</v>
      </c>
      <c r="F4984">
        <v>0.69691233106231099</v>
      </c>
      <c r="G4984">
        <v>0.484271789349632</v>
      </c>
      <c r="H4984">
        <v>0.385969733459816</v>
      </c>
      <c r="I4984">
        <v>0.344878138949684</v>
      </c>
      <c r="J4984">
        <v>0.50141273546100096</v>
      </c>
      <c r="K4984">
        <v>0.40080632474141897</v>
      </c>
      <c r="L4984">
        <v>858.538411087962</v>
      </c>
      <c r="M4984">
        <v>17.447457568833499</v>
      </c>
      <c r="N4984">
        <v>53.903660778238198</v>
      </c>
      <c r="O4984">
        <v>48.574309022512303</v>
      </c>
      <c r="P4984">
        <v>-5.4720032659790897E-2</v>
      </c>
      <c r="Q4984">
        <v>0.39066434467401501</v>
      </c>
      <c r="R4984">
        <v>0.96425917127873595</v>
      </c>
      <c r="S4984" t="s">
        <v>11552</v>
      </c>
      <c r="T4984" t="s">
        <v>13134</v>
      </c>
      <c r="U4984" t="s">
        <v>13134</v>
      </c>
      <c r="V4984" t="s">
        <v>13134</v>
      </c>
      <c r="W4984" t="s">
        <v>18055</v>
      </c>
      <c r="X4984">
        <v>5</v>
      </c>
      <c r="Y4984" t="s">
        <v>24423</v>
      </c>
      <c r="Z4984" t="s">
        <v>30952</v>
      </c>
      <c r="AA4984">
        <v>0.64880776786150929</v>
      </c>
      <c r="AB4984" t="str">
        <f>HYPERLINK("Melting_Curves/meltCurve_Q96D15_RCN3.pdf", "Melting_Curves/meltCurve_Q96D15_RCN3.pdf")</f>
        <v>Melting_Curves/meltCurve_Q96D15_RCN3.pdf</v>
      </c>
    </row>
    <row r="4985" spans="1:28" x14ac:dyDescent="0.25">
      <c r="A4985" t="s">
        <v>4989</v>
      </c>
      <c r="B4985">
        <v>0.99472303558308395</v>
      </c>
      <c r="C4985">
        <v>0.82474272315851604</v>
      </c>
      <c r="D4985">
        <v>0.67729226958172395</v>
      </c>
      <c r="E4985">
        <v>0.63170181274788395</v>
      </c>
      <c r="F4985">
        <v>0.67375839976883001</v>
      </c>
      <c r="G4985">
        <v>0.42209896847274597</v>
      </c>
      <c r="H4985">
        <v>0.35497716730381401</v>
      </c>
      <c r="I4985">
        <v>0.25573781167062398</v>
      </c>
      <c r="J4985">
        <v>0.43924722915756798</v>
      </c>
      <c r="K4985">
        <v>0.477005385515821</v>
      </c>
      <c r="L4985">
        <v>430.866868645404</v>
      </c>
      <c r="M4985">
        <v>9.57510667896155</v>
      </c>
      <c r="N4985">
        <v>51.541774203174299</v>
      </c>
      <c r="O4985">
        <v>43.167193814751101</v>
      </c>
      <c r="P4985">
        <v>-3.5969815946825599E-2</v>
      </c>
      <c r="Q4985">
        <v>0.35172516539668702</v>
      </c>
      <c r="R4985">
        <v>0.84550916860727998</v>
      </c>
      <c r="S4985" t="s">
        <v>11553</v>
      </c>
      <c r="T4985" t="s">
        <v>13134</v>
      </c>
      <c r="U4985" t="s">
        <v>13134</v>
      </c>
      <c r="V4985" t="s">
        <v>13134</v>
      </c>
      <c r="W4985" t="s">
        <v>18056</v>
      </c>
      <c r="X4985">
        <v>1</v>
      </c>
      <c r="Y4985" t="s">
        <v>24424</v>
      </c>
      <c r="Z4985" t="s">
        <v>30953</v>
      </c>
      <c r="AA4985">
        <v>0.55898129994726864</v>
      </c>
      <c r="AB4985" t="str">
        <f>HYPERLINK("Melting_Curves/meltCurve_Q96D31_2_ORAI1.pdf", "Melting_Curves/meltCurve_Q96D31_2_ORAI1.pdf")</f>
        <v>Melting_Curves/meltCurve_Q96D31_2_ORAI1.pdf</v>
      </c>
    </row>
    <row r="4986" spans="1:28" x14ac:dyDescent="0.25">
      <c r="A4986" t="s">
        <v>4990</v>
      </c>
      <c r="B4986">
        <v>0.99472303558308395</v>
      </c>
      <c r="C4986">
        <v>0.81679002071226603</v>
      </c>
      <c r="D4986">
        <v>0.63940319566045101</v>
      </c>
      <c r="E4986">
        <v>0.26626748964038699</v>
      </c>
      <c r="F4986">
        <v>0.144042593497061</v>
      </c>
      <c r="G4986">
        <v>9.5762479197009504E-2</v>
      </c>
      <c r="H4986">
        <v>6.6234667150465595E-2</v>
      </c>
      <c r="I4986">
        <v>4.6805205964706102E-2</v>
      </c>
      <c r="J4986">
        <v>6.1084548195198103E-2</v>
      </c>
      <c r="K4986">
        <v>5.6045148467302797E-2</v>
      </c>
      <c r="L4986">
        <v>787.14890186780997</v>
      </c>
      <c r="M4986">
        <v>17.975766084638899</v>
      </c>
      <c r="N4986">
        <v>44.0626204143378</v>
      </c>
      <c r="O4986">
        <v>43.2583049662029</v>
      </c>
      <c r="P4986">
        <v>-9.8413314242865202E-2</v>
      </c>
      <c r="Q4986">
        <v>5.2728661596176701E-2</v>
      </c>
      <c r="R4986">
        <v>0.99577180494654405</v>
      </c>
      <c r="S4986" t="s">
        <v>11554</v>
      </c>
      <c r="T4986" t="s">
        <v>13134</v>
      </c>
      <c r="U4986" t="s">
        <v>13134</v>
      </c>
      <c r="V4986" t="s">
        <v>13134</v>
      </c>
      <c r="W4986" t="s">
        <v>18057</v>
      </c>
      <c r="X4986">
        <v>12</v>
      </c>
      <c r="Y4986" t="s">
        <v>24425</v>
      </c>
      <c r="Z4986" t="s">
        <v>30954</v>
      </c>
      <c r="AA4986">
        <v>0.2832471957054073</v>
      </c>
      <c r="AB4986" t="str">
        <f>HYPERLINK("Melting_Curves/meltCurve_Q96D71_3_REPS1.pdf", "Melting_Curves/meltCurve_Q96D71_3_REPS1.pdf")</f>
        <v>Melting_Curves/meltCurve_Q96D71_3_REPS1.pdf</v>
      </c>
    </row>
    <row r="4987" spans="1:28" x14ac:dyDescent="0.25">
      <c r="A4987" t="s">
        <v>4991</v>
      </c>
      <c r="B4987">
        <v>0.99472303558308395</v>
      </c>
      <c r="C4987">
        <v>0.959801093276485</v>
      </c>
      <c r="D4987">
        <v>0.99265103571504298</v>
      </c>
      <c r="E4987">
        <v>0.89471225447692304</v>
      </c>
      <c r="F4987">
        <v>0.55822898331093196</v>
      </c>
      <c r="G4987">
        <v>0.43438445356303201</v>
      </c>
      <c r="H4987">
        <v>0.22462533977944399</v>
      </c>
      <c r="I4987">
        <v>0.18804878629951899</v>
      </c>
      <c r="J4987">
        <v>0.158652574341615</v>
      </c>
      <c r="K4987">
        <v>0.118380278291779</v>
      </c>
      <c r="L4987">
        <v>860.369687879146</v>
      </c>
      <c r="M4987">
        <v>16.857330218799799</v>
      </c>
      <c r="N4987">
        <v>51.9131218453918</v>
      </c>
      <c r="O4987">
        <v>50.3363269747746</v>
      </c>
      <c r="P4987">
        <v>-7.3376385647056799E-2</v>
      </c>
      <c r="Q4987">
        <v>0.123642940546274</v>
      </c>
      <c r="R4987">
        <v>0.99110475839626799</v>
      </c>
      <c r="S4987" t="s">
        <v>11555</v>
      </c>
      <c r="T4987" t="s">
        <v>13134</v>
      </c>
      <c r="U4987" t="s">
        <v>13134</v>
      </c>
      <c r="V4987" t="s">
        <v>13134</v>
      </c>
      <c r="W4987" t="s">
        <v>18058</v>
      </c>
      <c r="X4987">
        <v>8</v>
      </c>
      <c r="Y4987" t="s">
        <v>24426</v>
      </c>
      <c r="Z4987" t="s">
        <v>30955</v>
      </c>
      <c r="AA4987">
        <v>0.54871571724507007</v>
      </c>
      <c r="AB4987" t="str">
        <f>HYPERLINK("Melting_Curves/meltCurve_Q96DA6_2_DNAJC19.pdf", "Melting_Curves/meltCurve_Q96DA6_2_DNAJC19.pdf")</f>
        <v>Melting_Curves/meltCurve_Q96DA6_2_DNAJC19.pdf</v>
      </c>
    </row>
    <row r="4988" spans="1:28" x14ac:dyDescent="0.25">
      <c r="A4988" t="s">
        <v>4992</v>
      </c>
      <c r="B4988">
        <v>0.99472303558308395</v>
      </c>
      <c r="C4988">
        <v>0.98470930786975397</v>
      </c>
      <c r="D4988">
        <v>1.0673939048721</v>
      </c>
      <c r="E4988">
        <v>0.95118603533939305</v>
      </c>
      <c r="F4988">
        <v>0.66481737075970104</v>
      </c>
      <c r="G4988">
        <v>0.424200746718289</v>
      </c>
      <c r="H4988">
        <v>0.111152351379619</v>
      </c>
      <c r="I4988">
        <v>6.9512878287264102E-2</v>
      </c>
      <c r="J4988">
        <v>8.5187904793129099E-2</v>
      </c>
      <c r="K4988">
        <v>6.4185103042969996E-2</v>
      </c>
      <c r="L4988">
        <v>1134.9371544886001</v>
      </c>
      <c r="M4988">
        <v>21.780856201658899</v>
      </c>
      <c r="N4988">
        <v>52.344811173948301</v>
      </c>
      <c r="O4988">
        <v>51.673822419630604</v>
      </c>
      <c r="P4988">
        <v>-0.100416804365944</v>
      </c>
      <c r="Q4988">
        <v>4.7089828718365E-2</v>
      </c>
      <c r="R4988">
        <v>0.99123606949205001</v>
      </c>
      <c r="S4988" t="s">
        <v>11556</v>
      </c>
      <c r="T4988" t="s">
        <v>13134</v>
      </c>
      <c r="U4988" t="s">
        <v>13134</v>
      </c>
      <c r="V4988" t="s">
        <v>13134</v>
      </c>
      <c r="W4988" t="s">
        <v>18059</v>
      </c>
      <c r="X4988">
        <v>4</v>
      </c>
      <c r="Y4988" t="s">
        <v>24427</v>
      </c>
      <c r="Z4988" t="s">
        <v>30956</v>
      </c>
      <c r="AA4988">
        <v>0.53765607863524434</v>
      </c>
      <c r="AB4988" t="str">
        <f>HYPERLINK("Melting_Curves/meltCurve_Q96DB5_RMDN1.pdf", "Melting_Curves/meltCurve_Q96DB5_RMDN1.pdf")</f>
        <v>Melting_Curves/meltCurve_Q96DB5_RMDN1.pdf</v>
      </c>
    </row>
    <row r="4989" spans="1:28" x14ac:dyDescent="0.25">
      <c r="A4989" t="s">
        <v>4993</v>
      </c>
      <c r="B4989">
        <v>0.99472303558308395</v>
      </c>
      <c r="C4989">
        <v>0.93964191463118096</v>
      </c>
      <c r="D4989">
        <v>1.00286736621874</v>
      </c>
      <c r="E4989">
        <v>0.88368377134856202</v>
      </c>
      <c r="F4989">
        <v>0.73780344936187703</v>
      </c>
      <c r="G4989">
        <v>0.58439452484162702</v>
      </c>
      <c r="H4989">
        <v>0.41766605149590302</v>
      </c>
      <c r="I4989">
        <v>0.57913184433892995</v>
      </c>
      <c r="J4989">
        <v>0.65861903976780001</v>
      </c>
      <c r="K4989">
        <v>0.45142060107637899</v>
      </c>
      <c r="L4989">
        <v>1211.2777800656099</v>
      </c>
      <c r="M4989">
        <v>24.562017882099301</v>
      </c>
      <c r="O4989">
        <v>48.9916713237469</v>
      </c>
      <c r="P4989">
        <v>-5.9428875044568501E-2</v>
      </c>
      <c r="Q4989">
        <v>0.525856886991242</v>
      </c>
      <c r="R4989">
        <v>0.89612211395953001</v>
      </c>
      <c r="S4989" t="s">
        <v>11557</v>
      </c>
      <c r="T4989" t="s">
        <v>13134</v>
      </c>
      <c r="U4989" t="s">
        <v>13134</v>
      </c>
      <c r="V4989" t="s">
        <v>13134</v>
      </c>
      <c r="W4989" t="s">
        <v>18060</v>
      </c>
      <c r="X4989">
        <v>13</v>
      </c>
      <c r="Y4989" t="s">
        <v>24428</v>
      </c>
      <c r="Z4989" t="s">
        <v>30957</v>
      </c>
      <c r="AA4989">
        <v>0.72475027217152077</v>
      </c>
      <c r="AB4989" t="str">
        <f>HYPERLINK("Melting_Curves/meltCurve_Q96DE0_NUDT16.pdf", "Melting_Curves/meltCurve_Q96DE0_NUDT16.pdf")</f>
        <v>Melting_Curves/meltCurve_Q96DE0_NUDT16.pdf</v>
      </c>
    </row>
    <row r="4990" spans="1:28" x14ac:dyDescent="0.25">
      <c r="A4990" t="s">
        <v>4994</v>
      </c>
      <c r="B4990">
        <v>0.99472303558308395</v>
      </c>
      <c r="C4990">
        <v>1.0709545616846401</v>
      </c>
      <c r="D4990">
        <v>0.77259272624572495</v>
      </c>
      <c r="E4990">
        <v>0.62493324877541001</v>
      </c>
      <c r="F4990">
        <v>0.48434833234295399</v>
      </c>
      <c r="G4990">
        <v>0.17307313005779401</v>
      </c>
      <c r="H4990">
        <v>0.127092935755657</v>
      </c>
      <c r="I4990">
        <v>0.112072942012027</v>
      </c>
      <c r="J4990">
        <v>0.14921917487448999</v>
      </c>
      <c r="K4990">
        <v>0.126042696541249</v>
      </c>
      <c r="L4990">
        <v>717.66356376052204</v>
      </c>
      <c r="M4990">
        <v>14.994388849321901</v>
      </c>
      <c r="N4990">
        <v>48.529516757636401</v>
      </c>
      <c r="O4990">
        <v>47.035039200793904</v>
      </c>
      <c r="P4990">
        <v>-7.2280179619334597E-2</v>
      </c>
      <c r="Q4990">
        <v>9.3165535783478207E-2</v>
      </c>
      <c r="R4990">
        <v>0.97214646792375203</v>
      </c>
      <c r="S4990" t="s">
        <v>11558</v>
      </c>
      <c r="T4990" t="s">
        <v>13134</v>
      </c>
      <c r="U4990" t="s">
        <v>13134</v>
      </c>
      <c r="V4990" t="s">
        <v>13134</v>
      </c>
      <c r="W4990" t="s">
        <v>18061</v>
      </c>
      <c r="X4990">
        <v>1</v>
      </c>
      <c r="Y4990" t="s">
        <v>24429</v>
      </c>
      <c r="Z4990" t="s">
        <v>30958</v>
      </c>
      <c r="AA4990">
        <v>0.44155053548545969</v>
      </c>
      <c r="AB4990" t="str">
        <f>HYPERLINK("Melting_Curves/meltCurve_Q96DE5_ANAPC16.pdf", "Melting_Curves/meltCurve_Q96DE5_ANAPC16.pdf")</f>
        <v>Melting_Curves/meltCurve_Q96DE5_ANAPC16.pdf</v>
      </c>
    </row>
    <row r="4991" spans="1:28" x14ac:dyDescent="0.25">
      <c r="A4991" t="s">
        <v>4995</v>
      </c>
      <c r="B4991">
        <v>0.99472303558308395</v>
      </c>
      <c r="C4991">
        <v>1.0011748178031199</v>
      </c>
      <c r="D4991">
        <v>0.80823982540419403</v>
      </c>
      <c r="E4991">
        <v>0.60151494245748005</v>
      </c>
      <c r="F4991">
        <v>0.40311867960276299</v>
      </c>
      <c r="G4991">
        <v>0.272372418767373</v>
      </c>
      <c r="H4991">
        <v>0.20184586222064199</v>
      </c>
      <c r="I4991">
        <v>0.22370169723556901</v>
      </c>
      <c r="J4991">
        <v>0.37235989684547499</v>
      </c>
      <c r="K4991">
        <v>0.34251858579580802</v>
      </c>
      <c r="L4991">
        <v>928.75131565076003</v>
      </c>
      <c r="M4991">
        <v>20.269357602309501</v>
      </c>
      <c r="N4991">
        <v>47.724692780126702</v>
      </c>
      <c r="O4991">
        <v>45.381467617549397</v>
      </c>
      <c r="P4991">
        <v>-8.0700600078492696E-2</v>
      </c>
      <c r="Q4991">
        <v>0.277293723835147</v>
      </c>
      <c r="R4991">
        <v>0.96629229726990296</v>
      </c>
      <c r="S4991" t="s">
        <v>11559</v>
      </c>
      <c r="T4991" t="s">
        <v>13134</v>
      </c>
      <c r="U4991" t="s">
        <v>13134</v>
      </c>
      <c r="V4991" t="s">
        <v>13134</v>
      </c>
      <c r="W4991" t="s">
        <v>18062</v>
      </c>
      <c r="X4991">
        <v>23</v>
      </c>
      <c r="Y4991" t="s">
        <v>24430</v>
      </c>
      <c r="Z4991" t="s">
        <v>30959</v>
      </c>
      <c r="AA4991">
        <v>0.49897662462713482</v>
      </c>
      <c r="AB4991" t="str">
        <f>HYPERLINK("Melting_Curves/meltCurve_Q96DF8_DGCR14.pdf", "Melting_Curves/meltCurve_Q96DF8_DGCR14.pdf")</f>
        <v>Melting_Curves/meltCurve_Q96DF8_DGCR14.pdf</v>
      </c>
    </row>
    <row r="4992" spans="1:28" x14ac:dyDescent="0.25">
      <c r="A4992" t="s">
        <v>4996</v>
      </c>
      <c r="B4992">
        <v>0.99472303558308395</v>
      </c>
      <c r="C4992">
        <v>0.96942041829644898</v>
      </c>
      <c r="D4992">
        <v>1.05134559164172</v>
      </c>
      <c r="E4992">
        <v>0.92459190738141295</v>
      </c>
      <c r="F4992">
        <v>0.57687481785167605</v>
      </c>
      <c r="G4992">
        <v>0.39160896971880699</v>
      </c>
      <c r="H4992">
        <v>0.17130042999137399</v>
      </c>
      <c r="I4992">
        <v>0.103672683202907</v>
      </c>
      <c r="J4992">
        <v>8.72102288336217E-2</v>
      </c>
      <c r="K4992">
        <v>7.1415346424241702E-2</v>
      </c>
      <c r="L4992">
        <v>992.74026320831194</v>
      </c>
      <c r="M4992">
        <v>19.318018777921498</v>
      </c>
      <c r="N4992">
        <v>51.776574577691299</v>
      </c>
      <c r="O4992">
        <v>50.848165556317099</v>
      </c>
      <c r="P4992">
        <v>-8.8593777249188294E-2</v>
      </c>
      <c r="Q4992">
        <v>6.7261932532433094E-2</v>
      </c>
      <c r="R4992">
        <v>0.991369397313135</v>
      </c>
      <c r="S4992" t="s">
        <v>11560</v>
      </c>
      <c r="T4992" t="s">
        <v>13134</v>
      </c>
      <c r="U4992" t="s">
        <v>13134</v>
      </c>
      <c r="V4992" t="s">
        <v>13134</v>
      </c>
      <c r="W4992" t="s">
        <v>18063</v>
      </c>
      <c r="X4992">
        <v>11</v>
      </c>
      <c r="Y4992" t="s">
        <v>24431</v>
      </c>
      <c r="Z4992" t="s">
        <v>30960</v>
      </c>
      <c r="AA4992">
        <v>0.52750328739856311</v>
      </c>
      <c r="AB4992" t="str">
        <f>HYPERLINK("Melting_Curves/meltCurve_Q96DG6_CMBL.pdf", "Melting_Curves/meltCurve_Q96DG6_CMBL.pdf")</f>
        <v>Melting_Curves/meltCurve_Q96DG6_CMBL.pdf</v>
      </c>
    </row>
    <row r="4993" spans="1:28" x14ac:dyDescent="0.25">
      <c r="A4993" t="s">
        <v>4997</v>
      </c>
      <c r="B4993">
        <v>0.99472303558308395</v>
      </c>
      <c r="C4993">
        <v>0.99566196130717699</v>
      </c>
      <c r="D4993">
        <v>0.86427437349370695</v>
      </c>
      <c r="E4993">
        <v>0.81893546069785295</v>
      </c>
      <c r="F4993">
        <v>0.735049592390978</v>
      </c>
      <c r="G4993">
        <v>0.45620284686185503</v>
      </c>
      <c r="H4993">
        <v>0.151270814442067</v>
      </c>
      <c r="I4993">
        <v>9.53298432876825E-2</v>
      </c>
      <c r="J4993">
        <v>0.119325535407587</v>
      </c>
      <c r="K4993">
        <v>0.10040551460078</v>
      </c>
      <c r="L4993">
        <v>796.66065831516596</v>
      </c>
      <c r="M4993">
        <v>15.2111974208033</v>
      </c>
      <c r="N4993">
        <v>52.595913386227501</v>
      </c>
      <c r="O4993">
        <v>51.493140249948901</v>
      </c>
      <c r="P4993">
        <v>-7.1554981757958797E-2</v>
      </c>
      <c r="Q4993">
        <v>3.1177139805293699E-2</v>
      </c>
      <c r="R4993">
        <v>0.97849869185798199</v>
      </c>
      <c r="S4993" t="s">
        <v>11561</v>
      </c>
      <c r="T4993" t="s">
        <v>13134</v>
      </c>
      <c r="U4993" t="s">
        <v>13134</v>
      </c>
      <c r="V4993" t="s">
        <v>13134</v>
      </c>
      <c r="W4993" t="s">
        <v>18064</v>
      </c>
      <c r="X4993">
        <v>9</v>
      </c>
      <c r="Y4993" t="s">
        <v>24432</v>
      </c>
      <c r="Z4993" t="s">
        <v>30961</v>
      </c>
      <c r="AA4993">
        <v>0.54547839828817779</v>
      </c>
      <c r="AB4993" t="str">
        <f>HYPERLINK("Melting_Curves/meltCurve_Q96DI7_SNRNP40.pdf", "Melting_Curves/meltCurve_Q96DI7_SNRNP40.pdf")</f>
        <v>Melting_Curves/meltCurve_Q96DI7_SNRNP40.pdf</v>
      </c>
    </row>
    <row r="4994" spans="1:28" x14ac:dyDescent="0.25">
      <c r="A4994" t="s">
        <v>4998</v>
      </c>
      <c r="B4994">
        <v>0.99472303558308395</v>
      </c>
      <c r="C4994">
        <v>1.00791983423281</v>
      </c>
      <c r="D4994">
        <v>1.0455744904353801</v>
      </c>
      <c r="E4994">
        <v>0.84559636093523405</v>
      </c>
      <c r="F4994">
        <v>0.371551639991058</v>
      </c>
      <c r="G4994">
        <v>0.158174391423303</v>
      </c>
      <c r="H4994">
        <v>7.1157810234007801E-2</v>
      </c>
      <c r="I4994">
        <v>5.9104888772952002E-2</v>
      </c>
      <c r="J4994">
        <v>7.5187877052219798E-2</v>
      </c>
      <c r="K4994">
        <v>5.6416378458995803E-2</v>
      </c>
      <c r="L4994">
        <v>1499.8758523409199</v>
      </c>
      <c r="M4994">
        <v>30.555397952612399</v>
      </c>
      <c r="N4994">
        <v>49.3212452884299</v>
      </c>
      <c r="O4994">
        <v>48.878288371617302</v>
      </c>
      <c r="P4994">
        <v>-0.145732933302333</v>
      </c>
      <c r="Q4994">
        <v>6.7512404680415E-2</v>
      </c>
      <c r="R4994">
        <v>0.99731475209975295</v>
      </c>
      <c r="S4994" t="s">
        <v>11562</v>
      </c>
      <c r="T4994" t="s">
        <v>13134</v>
      </c>
      <c r="U4994" t="s">
        <v>13134</v>
      </c>
      <c r="V4994" t="s">
        <v>13134</v>
      </c>
      <c r="W4994" t="s">
        <v>18065</v>
      </c>
      <c r="X4994">
        <v>1</v>
      </c>
      <c r="Y4994" t="s">
        <v>24433</v>
      </c>
      <c r="Z4994" t="s">
        <v>30962</v>
      </c>
      <c r="AA4994">
        <v>0.44864571573710532</v>
      </c>
      <c r="AB4994" t="str">
        <f>HYPERLINK("Melting_Curves/meltCurve_Q96DT6_ATG4C.pdf", "Melting_Curves/meltCurve_Q96DT6_ATG4C.pdf")</f>
        <v>Melting_Curves/meltCurve_Q96DT6_ATG4C.pdf</v>
      </c>
    </row>
    <row r="4995" spans="1:28" x14ac:dyDescent="0.25">
      <c r="A4995" t="s">
        <v>4999</v>
      </c>
      <c r="B4995">
        <v>0.99472303558308395</v>
      </c>
      <c r="C4995">
        <v>0.78695324231138597</v>
      </c>
      <c r="D4995">
        <v>0.434913737377909</v>
      </c>
      <c r="E4995">
        <v>0.18145825516536099</v>
      </c>
      <c r="F4995">
        <v>0.16750997999884501</v>
      </c>
      <c r="G4995">
        <v>8.7005618604280494E-2</v>
      </c>
      <c r="H4995">
        <v>4.3173729502000602E-2</v>
      </c>
      <c r="I4995">
        <v>3.4955410318758297E-2</v>
      </c>
      <c r="J4995">
        <v>2.8796316454063602E-2</v>
      </c>
      <c r="K4995">
        <v>2.5786559615169201E-2</v>
      </c>
      <c r="L4995">
        <v>835.13453949802499</v>
      </c>
      <c r="M4995">
        <v>19.708704998323402</v>
      </c>
      <c r="N4995">
        <v>42.604507946073703</v>
      </c>
      <c r="O4995">
        <v>41.944880895698098</v>
      </c>
      <c r="P4995">
        <v>-0.11152835848128299</v>
      </c>
      <c r="Q4995">
        <v>5.0595734267102802E-2</v>
      </c>
      <c r="R4995">
        <v>0.99046836561251606</v>
      </c>
      <c r="S4995" t="s">
        <v>11563</v>
      </c>
      <c r="T4995" t="s">
        <v>13134</v>
      </c>
      <c r="U4995" t="s">
        <v>13134</v>
      </c>
      <c r="V4995" t="s">
        <v>13134</v>
      </c>
      <c r="W4995" t="s">
        <v>18066</v>
      </c>
      <c r="X4995">
        <v>1</v>
      </c>
      <c r="Y4995" t="s">
        <v>24434</v>
      </c>
      <c r="Z4995" t="s">
        <v>30963</v>
      </c>
      <c r="AA4995">
        <v>0.2349671156473882</v>
      </c>
      <c r="AB4995" t="str">
        <f>HYPERLINK("Melting_Curves/meltCurve_Q96DU7_ITPKC.pdf", "Melting_Curves/meltCurve_Q96DU7_ITPKC.pdf")</f>
        <v>Melting_Curves/meltCurve_Q96DU7_ITPKC.pdf</v>
      </c>
    </row>
    <row r="4996" spans="1:28" x14ac:dyDescent="0.25">
      <c r="A4996" t="s">
        <v>5000</v>
      </c>
      <c r="B4996">
        <v>0.99472303558308395</v>
      </c>
      <c r="C4996">
        <v>0.93924970383036399</v>
      </c>
      <c r="D4996">
        <v>0.74466232116000497</v>
      </c>
      <c r="E4996">
        <v>0.62388996825978704</v>
      </c>
      <c r="F4996">
        <v>0.51991382171243605</v>
      </c>
      <c r="G4996">
        <v>0.23860312768827699</v>
      </c>
      <c r="H4996">
        <v>0.162010587414607</v>
      </c>
      <c r="I4996">
        <v>6.8215089133161502E-2</v>
      </c>
      <c r="J4996">
        <v>0.10846286527446</v>
      </c>
      <c r="K4996">
        <v>9.8411658881733602E-2</v>
      </c>
      <c r="L4996">
        <v>517.09877746292102</v>
      </c>
      <c r="M4996">
        <v>10.592747338818</v>
      </c>
      <c r="N4996">
        <v>48.929421265145599</v>
      </c>
      <c r="O4996">
        <v>47.1728908904416</v>
      </c>
      <c r="P4996">
        <v>-5.5480529148178803E-2</v>
      </c>
      <c r="Q4996">
        <v>1.20956552725358E-2</v>
      </c>
      <c r="R4996">
        <v>0.98360968863864195</v>
      </c>
      <c r="S4996" t="s">
        <v>11564</v>
      </c>
      <c r="T4996" t="s">
        <v>13134</v>
      </c>
      <c r="U4996" t="s">
        <v>13134</v>
      </c>
      <c r="V4996" t="s">
        <v>13134</v>
      </c>
      <c r="W4996" t="s">
        <v>18067</v>
      </c>
      <c r="X4996">
        <v>3</v>
      </c>
      <c r="Y4996" t="s">
        <v>24435</v>
      </c>
      <c r="Z4996" t="s">
        <v>30964</v>
      </c>
      <c r="AA4996">
        <v>0.43600193347602823</v>
      </c>
      <c r="AB4996" t="str">
        <f>HYPERLINK("Melting_Curves/meltCurve_Q96DV4_MRPL38.pdf", "Melting_Curves/meltCurve_Q96DV4_MRPL38.pdf")</f>
        <v>Melting_Curves/meltCurve_Q96DV4_MRPL38.pdf</v>
      </c>
    </row>
    <row r="4997" spans="1:28" x14ac:dyDescent="0.25">
      <c r="A4997" t="s">
        <v>5001</v>
      </c>
      <c r="B4997">
        <v>0.99472303558308395</v>
      </c>
      <c r="C4997">
        <v>0.92422335500508601</v>
      </c>
      <c r="D4997">
        <v>0.83291485024738698</v>
      </c>
      <c r="E4997">
        <v>0.78077246443874304</v>
      </c>
      <c r="F4997">
        <v>0.65465227005558801</v>
      </c>
      <c r="G4997">
        <v>0.42212473144746598</v>
      </c>
      <c r="H4997">
        <v>0.247839126797296</v>
      </c>
      <c r="I4997">
        <v>8.2325534314415097E-2</v>
      </c>
      <c r="J4997">
        <v>9.2280989776962599E-2</v>
      </c>
      <c r="K4997">
        <v>8.6108823429896994E-2</v>
      </c>
      <c r="L4997">
        <v>590.44029403779803</v>
      </c>
      <c r="M4997">
        <v>11.372475315451201</v>
      </c>
      <c r="N4997">
        <v>51.918362312920799</v>
      </c>
      <c r="O4997">
        <v>50.390797316162796</v>
      </c>
      <c r="P4997">
        <v>-5.6438145231479699E-2</v>
      </c>
      <c r="Q4997">
        <v>0</v>
      </c>
      <c r="R4997">
        <v>0.985196116349771</v>
      </c>
      <c r="S4997" t="s">
        <v>11565</v>
      </c>
      <c r="T4997" t="s">
        <v>13134</v>
      </c>
      <c r="U4997" t="s">
        <v>13134</v>
      </c>
      <c r="V4997" t="s">
        <v>13134</v>
      </c>
      <c r="W4997" t="s">
        <v>18068</v>
      </c>
      <c r="X4997">
        <v>3</v>
      </c>
      <c r="Y4997" t="s">
        <v>24436</v>
      </c>
      <c r="Z4997" t="s">
        <v>30965</v>
      </c>
      <c r="AA4997">
        <v>0.52223096075896225</v>
      </c>
      <c r="AB4997" t="str">
        <f>HYPERLINK("Melting_Curves/meltCurve_Q96DX4_RSPRY1.pdf", "Melting_Curves/meltCurve_Q96DX4_RSPRY1.pdf")</f>
        <v>Melting_Curves/meltCurve_Q96DX4_RSPRY1.pdf</v>
      </c>
    </row>
    <row r="4998" spans="1:28" x14ac:dyDescent="0.25">
      <c r="A4998" t="s">
        <v>5002</v>
      </c>
      <c r="B4998">
        <v>0.99472303558308395</v>
      </c>
      <c r="C4998">
        <v>0.55392300789948601</v>
      </c>
      <c r="D4998">
        <v>1.01663990566749</v>
      </c>
      <c r="E4998">
        <v>0.62950844007685802</v>
      </c>
      <c r="F4998">
        <v>0.46341427213356101</v>
      </c>
      <c r="G4998">
        <v>0.30441844005559199</v>
      </c>
      <c r="H4998">
        <v>0.25030168856690699</v>
      </c>
      <c r="I4998">
        <v>0.12325473801619399</v>
      </c>
      <c r="J4998">
        <v>0.18874819103302501</v>
      </c>
      <c r="K4998">
        <v>0.16388443472740899</v>
      </c>
      <c r="L4998">
        <v>406.67650076930801</v>
      </c>
      <c r="M4998">
        <v>8.2811894034036992</v>
      </c>
      <c r="N4998">
        <v>49.464745905881699</v>
      </c>
      <c r="O4998">
        <v>46.494675865244098</v>
      </c>
      <c r="P4998">
        <v>-4.3281415190074002E-2</v>
      </c>
      <c r="Q4998">
        <v>2.8952313998005502E-2</v>
      </c>
      <c r="R4998">
        <v>0.81990740638598802</v>
      </c>
      <c r="S4998" t="s">
        <v>11566</v>
      </c>
      <c r="T4998" t="s">
        <v>13134</v>
      </c>
      <c r="U4998" t="s">
        <v>13134</v>
      </c>
      <c r="V4998" t="s">
        <v>13134</v>
      </c>
      <c r="W4998" t="s">
        <v>18069</v>
      </c>
      <c r="X4998">
        <v>3</v>
      </c>
      <c r="Y4998" t="s">
        <v>24437</v>
      </c>
      <c r="Z4998" t="s">
        <v>30966</v>
      </c>
      <c r="AA4998">
        <v>0.46401782257757718</v>
      </c>
      <c r="AB4998" t="str">
        <f>HYPERLINK("Melting_Curves/meltCurve_Q96DX7_TRIM44.pdf", "Melting_Curves/meltCurve_Q96DX7_TRIM44.pdf")</f>
        <v>Melting_Curves/meltCurve_Q96DX7_TRIM44.pdf</v>
      </c>
    </row>
    <row r="4999" spans="1:28" x14ac:dyDescent="0.25">
      <c r="A4999" t="s">
        <v>5003</v>
      </c>
      <c r="B4999">
        <v>0.99472303558308395</v>
      </c>
      <c r="C4999">
        <v>0.66458322158372696</v>
      </c>
      <c r="D4999">
        <v>0.79354092775182605</v>
      </c>
      <c r="E4999">
        <v>0.65440290676795998</v>
      </c>
      <c r="F4999">
        <v>0.57908114784179598</v>
      </c>
      <c r="G4999">
        <v>0.55586047630444002</v>
      </c>
      <c r="H4999">
        <v>0.80704178337351995</v>
      </c>
      <c r="I4999">
        <v>0.31687419978465597</v>
      </c>
      <c r="J4999">
        <v>0.33123666115859901</v>
      </c>
      <c r="K4999">
        <v>0.63003666922976798</v>
      </c>
      <c r="L4999">
        <v>303.35958871252802</v>
      </c>
      <c r="M4999">
        <v>6.9017485024715404</v>
      </c>
      <c r="N4999">
        <v>63.780532497318397</v>
      </c>
      <c r="O4999">
        <v>40.7085166879179</v>
      </c>
      <c r="P4999">
        <v>-2.3718670162515901E-2</v>
      </c>
      <c r="Q4999">
        <v>0.44149201617709199</v>
      </c>
      <c r="R4999">
        <v>0.48455643642131102</v>
      </c>
      <c r="S4999" t="s">
        <v>11567</v>
      </c>
      <c r="T4999" t="s">
        <v>13134</v>
      </c>
      <c r="U4999" t="s">
        <v>13134</v>
      </c>
      <c r="V4999" t="s">
        <v>13134</v>
      </c>
      <c r="W4999" t="s">
        <v>18070</v>
      </c>
      <c r="X4999">
        <v>3</v>
      </c>
      <c r="Y4999" t="s">
        <v>24438</v>
      </c>
      <c r="Z4999" t="s">
        <v>30967</v>
      </c>
      <c r="AA4999">
        <v>0.62173137798473388</v>
      </c>
      <c r="AB4999" t="str">
        <f>HYPERLINK("Melting_Curves/meltCurve_Q96DY2_IQCD.pdf", "Melting_Curves/meltCurve_Q96DY2_IQCD.pdf")</f>
        <v>Melting_Curves/meltCurve_Q96DY2_IQCD.pdf</v>
      </c>
    </row>
    <row r="5000" spans="1:28" x14ac:dyDescent="0.25">
      <c r="A5000" t="s">
        <v>5004</v>
      </c>
      <c r="B5000">
        <v>0.99472303558308395</v>
      </c>
      <c r="C5000">
        <v>1.0605691789125</v>
      </c>
      <c r="D5000">
        <v>0.87334271843539801</v>
      </c>
      <c r="E5000">
        <v>0.73961096243128899</v>
      </c>
      <c r="F5000">
        <v>0.696303955968261</v>
      </c>
      <c r="G5000">
        <v>0.377589577114396</v>
      </c>
      <c r="H5000">
        <v>0.15295951739774399</v>
      </c>
      <c r="I5000">
        <v>9.4522241410901306E-2</v>
      </c>
      <c r="J5000">
        <v>0.107188165193923</v>
      </c>
      <c r="K5000">
        <v>8.6672716666528996E-2</v>
      </c>
      <c r="L5000">
        <v>694.12909859875504</v>
      </c>
      <c r="M5000">
        <v>13.449407662507999</v>
      </c>
      <c r="N5000">
        <v>51.7214685098945</v>
      </c>
      <c r="O5000">
        <v>50.509461969517602</v>
      </c>
      <c r="P5000">
        <v>-6.5631217246695198E-2</v>
      </c>
      <c r="Q5000">
        <v>1.42362836891122E-2</v>
      </c>
      <c r="R5000">
        <v>0.97772022883329601</v>
      </c>
      <c r="S5000" t="s">
        <v>11568</v>
      </c>
      <c r="T5000" t="s">
        <v>13134</v>
      </c>
      <c r="U5000" t="s">
        <v>13134</v>
      </c>
      <c r="V5000" t="s">
        <v>13134</v>
      </c>
      <c r="W5000" t="s">
        <v>18071</v>
      </c>
      <c r="X5000">
        <v>8</v>
      </c>
      <c r="Y5000" t="s">
        <v>24439</v>
      </c>
      <c r="Z5000" t="s">
        <v>30968</v>
      </c>
      <c r="AA5000">
        <v>0.51612836456323063</v>
      </c>
      <c r="AB5000" t="str">
        <f>HYPERLINK("Melting_Curves/meltCurve_Q96DZ1_2_ERLEC1.pdf", "Melting_Curves/meltCurve_Q96DZ1_2_ERLEC1.pdf")</f>
        <v>Melting_Curves/meltCurve_Q96DZ1_2_ERLEC1.pdf</v>
      </c>
    </row>
    <row r="5001" spans="1:28" x14ac:dyDescent="0.25">
      <c r="A5001" t="s">
        <v>5005</v>
      </c>
      <c r="B5001">
        <v>0.99472303558308395</v>
      </c>
      <c r="C5001">
        <v>1.03777057317585</v>
      </c>
      <c r="D5001">
        <v>0.99140638527845704</v>
      </c>
      <c r="E5001">
        <v>0.87794613656673304</v>
      </c>
      <c r="F5001">
        <v>0.64208803709981699</v>
      </c>
      <c r="G5001">
        <v>0.49697803563981102</v>
      </c>
      <c r="H5001">
        <v>0.44179713789712499</v>
      </c>
      <c r="I5001">
        <v>0.44493290859912599</v>
      </c>
      <c r="J5001">
        <v>0.62809823208488003</v>
      </c>
      <c r="K5001">
        <v>0.476869797588652</v>
      </c>
      <c r="L5001">
        <v>1494.69613071496</v>
      </c>
      <c r="M5001">
        <v>30.816088920039899</v>
      </c>
      <c r="N5001">
        <v>56.700220937995098</v>
      </c>
      <c r="O5001">
        <v>48.300875571719097</v>
      </c>
      <c r="P5001">
        <v>-8.0677798361368194E-2</v>
      </c>
      <c r="Q5001">
        <v>0.494188183330664</v>
      </c>
      <c r="R5001">
        <v>0.95231518710151297</v>
      </c>
      <c r="S5001" t="s">
        <v>11569</v>
      </c>
      <c r="T5001" t="s">
        <v>13134</v>
      </c>
      <c r="U5001" t="s">
        <v>13134</v>
      </c>
      <c r="V5001" t="s">
        <v>13134</v>
      </c>
      <c r="W5001" t="s">
        <v>18072</v>
      </c>
      <c r="X5001">
        <v>8</v>
      </c>
      <c r="Y5001" t="s">
        <v>24440</v>
      </c>
      <c r="Z5001" t="s">
        <v>30969</v>
      </c>
      <c r="AA5001">
        <v>0.69101159811904356</v>
      </c>
      <c r="AB5001" t="str">
        <f>HYPERLINK("Melting_Curves/meltCurve_Q96E09_FAM122A.pdf", "Melting_Curves/meltCurve_Q96E09_FAM122A.pdf")</f>
        <v>Melting_Curves/meltCurve_Q96E09_FAM122A.pdf</v>
      </c>
    </row>
    <row r="5002" spans="1:28" x14ac:dyDescent="0.25">
      <c r="A5002" t="s">
        <v>5006</v>
      </c>
      <c r="B5002">
        <v>0.99472303558308395</v>
      </c>
      <c r="C5002">
        <v>0.98610886057951397</v>
      </c>
      <c r="D5002">
        <v>1.0196565741758401</v>
      </c>
      <c r="E5002">
        <v>0.83789726622930205</v>
      </c>
      <c r="F5002">
        <v>0.43004986797977102</v>
      </c>
      <c r="G5002">
        <v>0.25233479605487902</v>
      </c>
      <c r="H5002">
        <v>0.16281330444536199</v>
      </c>
      <c r="I5002">
        <v>0.14328314141571299</v>
      </c>
      <c r="J5002">
        <v>0.171606279551306</v>
      </c>
      <c r="K5002">
        <v>0.12118181637177999</v>
      </c>
      <c r="L5002">
        <v>1336.0813828932301</v>
      </c>
      <c r="M5002">
        <v>27.2428452697228</v>
      </c>
      <c r="N5002">
        <v>49.691580166290699</v>
      </c>
      <c r="O5002">
        <v>48.781413381656897</v>
      </c>
      <c r="P5002">
        <v>-0.118739530943258</v>
      </c>
      <c r="Q5002">
        <v>0.14954158935048401</v>
      </c>
      <c r="R5002">
        <v>0.99698609304044805</v>
      </c>
      <c r="S5002" t="s">
        <v>11570</v>
      </c>
      <c r="T5002" t="s">
        <v>13134</v>
      </c>
      <c r="U5002" t="s">
        <v>13134</v>
      </c>
      <c r="V5002" t="s">
        <v>13134</v>
      </c>
      <c r="W5002" t="s">
        <v>18073</v>
      </c>
      <c r="X5002">
        <v>10</v>
      </c>
      <c r="Y5002" t="s">
        <v>24441</v>
      </c>
      <c r="Z5002" t="s">
        <v>30970</v>
      </c>
      <c r="AA5002">
        <v>0.49716975985203632</v>
      </c>
      <c r="AB5002" t="str">
        <f>HYPERLINK("Melting_Curves/meltCurve_Q96E11_3_MRRF.pdf", "Melting_Curves/meltCurve_Q96E11_3_MRRF.pdf")</f>
        <v>Melting_Curves/meltCurve_Q96E11_3_MRRF.pdf</v>
      </c>
    </row>
    <row r="5003" spans="1:28" x14ac:dyDescent="0.25">
      <c r="A5003" t="s">
        <v>5007</v>
      </c>
      <c r="B5003">
        <v>0.99472303558308395</v>
      </c>
      <c r="C5003">
        <v>1.0246289839042699</v>
      </c>
      <c r="D5003">
        <v>0.96626180894638503</v>
      </c>
      <c r="E5003">
        <v>0.95074739298014099</v>
      </c>
      <c r="F5003">
        <v>0.79064080270035397</v>
      </c>
      <c r="G5003">
        <v>0.64081092768755099</v>
      </c>
      <c r="H5003">
        <v>0.350272140442492</v>
      </c>
      <c r="I5003">
        <v>0.15458678120229299</v>
      </c>
      <c r="J5003">
        <v>0.120291614645243</v>
      </c>
      <c r="K5003">
        <v>0.102012926599542</v>
      </c>
      <c r="L5003">
        <v>891.046541163607</v>
      </c>
      <c r="M5003">
        <v>16.216685763875098</v>
      </c>
      <c r="N5003">
        <v>55.161653708062197</v>
      </c>
      <c r="O5003">
        <v>54.131119976057498</v>
      </c>
      <c r="P5003">
        <v>-7.2603239869683797E-2</v>
      </c>
      <c r="Q5003">
        <v>3.0676826732930901E-2</v>
      </c>
      <c r="R5003">
        <v>0.995338349729882</v>
      </c>
      <c r="S5003" t="s">
        <v>11571</v>
      </c>
      <c r="T5003" t="s">
        <v>13134</v>
      </c>
      <c r="U5003" t="s">
        <v>13134</v>
      </c>
      <c r="V5003" t="s">
        <v>13134</v>
      </c>
      <c r="W5003" t="s">
        <v>18074</v>
      </c>
      <c r="X5003">
        <v>6</v>
      </c>
      <c r="Y5003" t="s">
        <v>24442</v>
      </c>
      <c r="Z5003" t="s">
        <v>30971</v>
      </c>
      <c r="AA5003">
        <v>0.62378184664146041</v>
      </c>
      <c r="AB5003" t="str">
        <f>HYPERLINK("Melting_Curves/meltCurve_Q96E22_NUS1.pdf", "Melting_Curves/meltCurve_Q96E22_NUS1.pdf")</f>
        <v>Melting_Curves/meltCurve_Q96E22_NUS1.pdf</v>
      </c>
    </row>
    <row r="5004" spans="1:28" x14ac:dyDescent="0.25">
      <c r="A5004" t="s">
        <v>5008</v>
      </c>
      <c r="B5004">
        <v>0.99472303558308395</v>
      </c>
      <c r="C5004">
        <v>0.97114968004342705</v>
      </c>
      <c r="D5004">
        <v>0.689259004293725</v>
      </c>
      <c r="E5004">
        <v>0.58231843648647397</v>
      </c>
      <c r="F5004">
        <v>0.42683196503035498</v>
      </c>
      <c r="G5004">
        <v>0.27340120187977202</v>
      </c>
      <c r="H5004">
        <v>0.153286857316179</v>
      </c>
      <c r="I5004">
        <v>0.13935600411027699</v>
      </c>
      <c r="J5004">
        <v>0.11046679117689601</v>
      </c>
      <c r="K5004">
        <v>0.11499305681550601</v>
      </c>
      <c r="L5004">
        <v>531.33536875348398</v>
      </c>
      <c r="M5004">
        <v>11.2145605363126</v>
      </c>
      <c r="N5004">
        <v>48.016683254091397</v>
      </c>
      <c r="O5004">
        <v>45.9474706520556</v>
      </c>
      <c r="P5004">
        <v>-5.68148631700661E-2</v>
      </c>
      <c r="Q5004">
        <v>6.9180852301639506E-2</v>
      </c>
      <c r="R5004">
        <v>0.98515902764039898</v>
      </c>
      <c r="S5004" t="s">
        <v>11572</v>
      </c>
      <c r="T5004" t="s">
        <v>13134</v>
      </c>
      <c r="U5004" t="s">
        <v>13134</v>
      </c>
      <c r="V5004" t="s">
        <v>13134</v>
      </c>
      <c r="W5004" t="s">
        <v>18075</v>
      </c>
      <c r="X5004">
        <v>2</v>
      </c>
      <c r="Y5004" t="s">
        <v>24443</v>
      </c>
      <c r="Z5004" t="s">
        <v>30972</v>
      </c>
      <c r="AA5004">
        <v>0.4244802517380068</v>
      </c>
      <c r="AB5004" t="str">
        <f>HYPERLINK("Melting_Curves/meltCurve_Q96E52_OMA1.pdf", "Melting_Curves/meltCurve_Q96E52_OMA1.pdf")</f>
        <v>Melting_Curves/meltCurve_Q96E52_OMA1.pdf</v>
      </c>
    </row>
    <row r="5005" spans="1:28" x14ac:dyDescent="0.25">
      <c r="A5005" t="s">
        <v>5009</v>
      </c>
      <c r="B5005">
        <v>0.99472303558308395</v>
      </c>
      <c r="C5005">
        <v>0.936558234211185</v>
      </c>
      <c r="D5005">
        <v>0.90117592204346897</v>
      </c>
      <c r="E5005">
        <v>0.33012922740852002</v>
      </c>
      <c r="F5005">
        <v>0.16351937707021799</v>
      </c>
      <c r="G5005">
        <v>9.2068852868102305E-2</v>
      </c>
      <c r="H5005">
        <v>5.0633284991588E-2</v>
      </c>
      <c r="I5005">
        <v>4.3993640558376297E-2</v>
      </c>
      <c r="J5005">
        <v>5.4067475702915001E-2</v>
      </c>
      <c r="K5005">
        <v>4.8186431403524597E-2</v>
      </c>
      <c r="L5005">
        <v>1467.7821340872599</v>
      </c>
      <c r="M5005">
        <v>32.292134910452702</v>
      </c>
      <c r="N5005">
        <v>45.647863514191599</v>
      </c>
      <c r="O5005">
        <v>45.280016459551803</v>
      </c>
      <c r="P5005">
        <v>-0.166825995201726</v>
      </c>
      <c r="Q5005">
        <v>6.4311722729670007E-2</v>
      </c>
      <c r="R5005">
        <v>0.99406102960220299</v>
      </c>
      <c r="S5005" t="s">
        <v>11573</v>
      </c>
      <c r="T5005" t="s">
        <v>13134</v>
      </c>
      <c r="U5005" t="s">
        <v>13134</v>
      </c>
      <c r="V5005" t="s">
        <v>13134</v>
      </c>
      <c r="W5005" t="s">
        <v>18076</v>
      </c>
      <c r="X5005">
        <v>13</v>
      </c>
      <c r="Y5005" t="s">
        <v>24444</v>
      </c>
      <c r="Z5005" t="s">
        <v>30973</v>
      </c>
      <c r="AA5005">
        <v>0.33251275599053132</v>
      </c>
      <c r="AB5005" t="str">
        <f>HYPERLINK("Melting_Curves/meltCurve_Q96EA4_SPDL1.pdf", "Melting_Curves/meltCurve_Q96EA4_SPDL1.pdf")</f>
        <v>Melting_Curves/meltCurve_Q96EA4_SPDL1.pdf</v>
      </c>
    </row>
    <row r="5006" spans="1:28" x14ac:dyDescent="0.25">
      <c r="A5006" t="s">
        <v>5010</v>
      </c>
      <c r="B5006">
        <v>0.99472303558308395</v>
      </c>
      <c r="C5006">
        <v>0.98966685541514599</v>
      </c>
      <c r="D5006">
        <v>0.86853276652836997</v>
      </c>
      <c r="E5006">
        <v>0.78438676027395204</v>
      </c>
      <c r="F5006">
        <v>0.69960882755234699</v>
      </c>
      <c r="G5006">
        <v>0.44750179501905102</v>
      </c>
      <c r="H5006">
        <v>0.31651351588967902</v>
      </c>
      <c r="I5006">
        <v>0.273664680773195</v>
      </c>
      <c r="J5006">
        <v>0.375743590547855</v>
      </c>
      <c r="K5006">
        <v>0.34862093106526199</v>
      </c>
      <c r="L5006">
        <v>712.25205331484301</v>
      </c>
      <c r="M5006">
        <v>14.3388973146126</v>
      </c>
      <c r="N5006">
        <v>52.877328629400999</v>
      </c>
      <c r="O5006">
        <v>48.736554143802898</v>
      </c>
      <c r="P5006">
        <v>-5.220580605103E-2</v>
      </c>
      <c r="Q5006">
        <v>0.29031517218868702</v>
      </c>
      <c r="R5006">
        <v>0.96732033234777903</v>
      </c>
      <c r="S5006" t="s">
        <v>11574</v>
      </c>
      <c r="T5006" t="s">
        <v>13134</v>
      </c>
      <c r="U5006" t="s">
        <v>13134</v>
      </c>
      <c r="V5006" t="s">
        <v>13134</v>
      </c>
      <c r="W5006" t="s">
        <v>18077</v>
      </c>
      <c r="X5006">
        <v>13</v>
      </c>
      <c r="Y5006" t="s">
        <v>24445</v>
      </c>
      <c r="Z5006" t="s">
        <v>30974</v>
      </c>
      <c r="AA5006">
        <v>0.60611022083857613</v>
      </c>
      <c r="AB5006" t="str">
        <f>HYPERLINK("Melting_Curves/meltCurve_Q96EB1_ELP4.pdf", "Melting_Curves/meltCurve_Q96EB1_ELP4.pdf")</f>
        <v>Melting_Curves/meltCurve_Q96EB1_ELP4.pdf</v>
      </c>
    </row>
    <row r="5007" spans="1:28" x14ac:dyDescent="0.25">
      <c r="A5007" t="s">
        <v>5011</v>
      </c>
      <c r="B5007">
        <v>0.99472303558308395</v>
      </c>
      <c r="C5007">
        <v>0.93004678614625802</v>
      </c>
      <c r="D5007">
        <v>0.94217310406222299</v>
      </c>
      <c r="E5007">
        <v>0.79769850685918797</v>
      </c>
      <c r="F5007">
        <v>0.43103214141856599</v>
      </c>
      <c r="G5007">
        <v>0.13861361869410599</v>
      </c>
      <c r="H5007">
        <v>7.3576663166993794E-2</v>
      </c>
      <c r="I5007">
        <v>4.6168634614418898E-2</v>
      </c>
      <c r="J5007">
        <v>5.0054976471293103E-2</v>
      </c>
      <c r="K5007">
        <v>3.9208267295012901E-2</v>
      </c>
      <c r="L5007">
        <v>1110.22990018162</v>
      </c>
      <c r="M5007">
        <v>22.5268579147846</v>
      </c>
      <c r="N5007">
        <v>49.441129119181198</v>
      </c>
      <c r="O5007">
        <v>48.901266271656397</v>
      </c>
      <c r="P5007">
        <v>-0.11120649909835099</v>
      </c>
      <c r="Q5007">
        <v>3.4392084457862897E-2</v>
      </c>
      <c r="R5007">
        <v>0.99655511702573796</v>
      </c>
      <c r="S5007" t="s">
        <v>11575</v>
      </c>
      <c r="T5007" t="s">
        <v>13134</v>
      </c>
      <c r="U5007" t="s">
        <v>13134</v>
      </c>
      <c r="V5007" t="s">
        <v>13134</v>
      </c>
      <c r="W5007" t="s">
        <v>18078</v>
      </c>
      <c r="X5007">
        <v>17</v>
      </c>
      <c r="Y5007" t="s">
        <v>24446</v>
      </c>
      <c r="Z5007" t="s">
        <v>30975</v>
      </c>
      <c r="AA5007">
        <v>0.44001713429723449</v>
      </c>
      <c r="AB5007" t="str">
        <f>HYPERLINK("Melting_Curves/meltCurve_Q96EB6_SIRT1.pdf", "Melting_Curves/meltCurve_Q96EB6_SIRT1.pdf")</f>
        <v>Melting_Curves/meltCurve_Q96EB6_SIRT1.pdf</v>
      </c>
    </row>
    <row r="5008" spans="1:28" x14ac:dyDescent="0.25">
      <c r="A5008" t="s">
        <v>5012</v>
      </c>
      <c r="B5008">
        <v>0.99472303558308395</v>
      </c>
      <c r="C5008">
        <v>0.965857500138813</v>
      </c>
      <c r="D5008">
        <v>0.86079062044115695</v>
      </c>
      <c r="E5008">
        <v>0.78264348522673999</v>
      </c>
      <c r="F5008">
        <v>0.67613803396150596</v>
      </c>
      <c r="G5008">
        <v>0.47448907250634498</v>
      </c>
      <c r="H5008">
        <v>0.33344947273942299</v>
      </c>
      <c r="I5008">
        <v>0.29874824897028401</v>
      </c>
      <c r="J5008">
        <v>0.25705828375170098</v>
      </c>
      <c r="K5008">
        <v>0.32719284747723898</v>
      </c>
      <c r="L5008">
        <v>590.30397649331201</v>
      </c>
      <c r="M5008">
        <v>11.710371200318299</v>
      </c>
      <c r="N5008">
        <v>53.145294973840201</v>
      </c>
      <c r="O5008">
        <v>49.005991210075699</v>
      </c>
      <c r="P5008">
        <v>-4.6225544793511597E-2</v>
      </c>
      <c r="Q5008">
        <v>0.226419560197721</v>
      </c>
      <c r="R5008">
        <v>0.98458428036169499</v>
      </c>
      <c r="S5008" t="s">
        <v>11576</v>
      </c>
      <c r="T5008" t="s">
        <v>13134</v>
      </c>
      <c r="U5008" t="s">
        <v>13134</v>
      </c>
      <c r="V5008" t="s">
        <v>13134</v>
      </c>
      <c r="W5008" t="s">
        <v>18079</v>
      </c>
      <c r="X5008">
        <v>2</v>
      </c>
      <c r="Y5008" t="s">
        <v>24447</v>
      </c>
      <c r="Z5008" t="s">
        <v>30976</v>
      </c>
      <c r="AA5008">
        <v>0.59380081103518956</v>
      </c>
      <c r="AB5008" t="str">
        <f>HYPERLINK("Melting_Curves/meltCurve_Q96EC8_YIPF6.pdf", "Melting_Curves/meltCurve_Q96EC8_YIPF6.pdf")</f>
        <v>Melting_Curves/meltCurve_Q96EC8_YIPF6.pdf</v>
      </c>
    </row>
    <row r="5009" spans="1:28" x14ac:dyDescent="0.25">
      <c r="A5009" t="s">
        <v>5013</v>
      </c>
      <c r="B5009">
        <v>0.99472303558308395</v>
      </c>
      <c r="C5009">
        <v>0.98063190122406396</v>
      </c>
      <c r="D5009">
        <v>1.11554017784447</v>
      </c>
      <c r="E5009">
        <v>0.92564459781368802</v>
      </c>
      <c r="F5009">
        <v>0.78302495014680096</v>
      </c>
      <c r="G5009">
        <v>0.64197177719695797</v>
      </c>
      <c r="H5009">
        <v>0.42023789286536101</v>
      </c>
      <c r="I5009">
        <v>0.16110457376439399</v>
      </c>
      <c r="J5009">
        <v>0.109139626570051</v>
      </c>
      <c r="K5009">
        <v>0.113995057002685</v>
      </c>
      <c r="L5009">
        <v>835.960258995559</v>
      </c>
      <c r="M5009">
        <v>15.071808853022899</v>
      </c>
      <c r="N5009">
        <v>55.551054430115002</v>
      </c>
      <c r="O5009">
        <v>54.516224120674501</v>
      </c>
      <c r="P5009">
        <v>-6.8326896063620399E-2</v>
      </c>
      <c r="Q5009">
        <v>1.15176485301022E-2</v>
      </c>
      <c r="R5009">
        <v>0.98190211281182505</v>
      </c>
      <c r="S5009" t="s">
        <v>11577</v>
      </c>
      <c r="T5009" t="s">
        <v>13134</v>
      </c>
      <c r="U5009" t="s">
        <v>13134</v>
      </c>
      <c r="V5009" t="s">
        <v>13134</v>
      </c>
      <c r="W5009" t="s">
        <v>18080</v>
      </c>
      <c r="X5009">
        <v>2</v>
      </c>
      <c r="Y5009" t="s">
        <v>24448</v>
      </c>
      <c r="Z5009" t="s">
        <v>30977</v>
      </c>
      <c r="AA5009">
        <v>0.63272230660177797</v>
      </c>
      <c r="AB5009" t="str">
        <f>HYPERLINK("Melting_Curves/meltCurve_Q96ED9_2_HOOK2.pdf", "Melting_Curves/meltCurve_Q96ED9_2_HOOK2.pdf")</f>
        <v>Melting_Curves/meltCurve_Q96ED9_2_HOOK2.pdf</v>
      </c>
    </row>
    <row r="5010" spans="1:28" x14ac:dyDescent="0.25">
      <c r="A5010" t="s">
        <v>5014</v>
      </c>
      <c r="B5010">
        <v>0.99472303558308395</v>
      </c>
      <c r="C5010">
        <v>0.95459189239417097</v>
      </c>
      <c r="D5010">
        <v>0.86014505179563105</v>
      </c>
      <c r="E5010">
        <v>0.77358276531027204</v>
      </c>
      <c r="F5010">
        <v>0.691732906625524</v>
      </c>
      <c r="G5010">
        <v>0.54015657078311496</v>
      </c>
      <c r="H5010">
        <v>0.257881104933122</v>
      </c>
      <c r="I5010">
        <v>8.4276462205844005E-2</v>
      </c>
      <c r="J5010">
        <v>8.0241491637308301E-2</v>
      </c>
      <c r="K5010">
        <v>8.1442602668181402E-2</v>
      </c>
      <c r="L5010">
        <v>634.51219553937506</v>
      </c>
      <c r="M5010">
        <v>12.0037735765384</v>
      </c>
      <c r="N5010">
        <v>52.859397516790899</v>
      </c>
      <c r="O5010">
        <v>51.456468794884501</v>
      </c>
      <c r="P5010">
        <v>-5.8334083677283197E-2</v>
      </c>
      <c r="Q5010">
        <v>0</v>
      </c>
      <c r="R5010">
        <v>0.97718279349367398</v>
      </c>
      <c r="S5010" t="s">
        <v>11578</v>
      </c>
      <c r="T5010" t="s">
        <v>13134</v>
      </c>
      <c r="U5010" t="s">
        <v>13134</v>
      </c>
      <c r="V5010" t="s">
        <v>13134</v>
      </c>
      <c r="W5010" t="s">
        <v>18081</v>
      </c>
      <c r="X5010">
        <v>11</v>
      </c>
      <c r="Y5010" t="s">
        <v>24449</v>
      </c>
      <c r="Z5010" t="s">
        <v>30978</v>
      </c>
      <c r="AA5010">
        <v>0.55012476480936834</v>
      </c>
      <c r="AB5010" t="str">
        <f>HYPERLINK("Melting_Curves/meltCurve_Q96EE3_SEH1L.pdf", "Melting_Curves/meltCurve_Q96EE3_SEH1L.pdf")</f>
        <v>Melting_Curves/meltCurve_Q96EE3_SEH1L.pdf</v>
      </c>
    </row>
    <row r="5011" spans="1:28" x14ac:dyDescent="0.25">
      <c r="A5011" t="s">
        <v>5015</v>
      </c>
      <c r="B5011">
        <v>0.99472303558308395</v>
      </c>
      <c r="C5011">
        <v>0.95912564915465004</v>
      </c>
      <c r="D5011">
        <v>0.961466486301365</v>
      </c>
      <c r="E5011">
        <v>0.90412800790803005</v>
      </c>
      <c r="F5011">
        <v>0.74628986750819604</v>
      </c>
      <c r="G5011">
        <v>0.60891934353259103</v>
      </c>
      <c r="H5011">
        <v>0.44625513625866498</v>
      </c>
      <c r="I5011">
        <v>0.30286296580808397</v>
      </c>
      <c r="J5011">
        <v>0.256166701097859</v>
      </c>
      <c r="K5011">
        <v>0.205898118900189</v>
      </c>
      <c r="L5011">
        <v>606.69855040830203</v>
      </c>
      <c r="M5011">
        <v>11.0522498398894</v>
      </c>
      <c r="N5011">
        <v>55.967944035680198</v>
      </c>
      <c r="O5011">
        <v>53.1884438720612</v>
      </c>
      <c r="P5011">
        <v>-4.6999126804597301E-2</v>
      </c>
      <c r="Q5011">
        <v>9.5575077141616102E-2</v>
      </c>
      <c r="R5011">
        <v>0.99808126264603703</v>
      </c>
      <c r="S5011" t="s">
        <v>11579</v>
      </c>
      <c r="T5011" t="s">
        <v>13134</v>
      </c>
      <c r="U5011" t="s">
        <v>13134</v>
      </c>
      <c r="V5011" t="s">
        <v>13134</v>
      </c>
      <c r="W5011" t="s">
        <v>18082</v>
      </c>
      <c r="X5011">
        <v>4</v>
      </c>
      <c r="Y5011" t="s">
        <v>24450</v>
      </c>
      <c r="Z5011" t="s">
        <v>30979</v>
      </c>
      <c r="AA5011">
        <v>0.64772103415820181</v>
      </c>
      <c r="AB5011" t="str">
        <f>HYPERLINK("Melting_Curves/meltCurve_Q96EF9_ZHX1_C8orf76.pdf", "Melting_Curves/meltCurve_Q96EF9_ZHX1_C8orf76.pdf")</f>
        <v>Melting_Curves/meltCurve_Q96EF9_ZHX1_C8orf76.pdf</v>
      </c>
    </row>
    <row r="5012" spans="1:28" x14ac:dyDescent="0.25">
      <c r="A5012" t="s">
        <v>5016</v>
      </c>
      <c r="B5012">
        <v>0.99472303558308395</v>
      </c>
      <c r="C5012">
        <v>0.91176012323908295</v>
      </c>
      <c r="D5012">
        <v>1.00515162176704</v>
      </c>
      <c r="E5012">
        <v>0.93244871747968505</v>
      </c>
      <c r="F5012">
        <v>0.74435863142311598</v>
      </c>
      <c r="G5012">
        <v>0.61996824833698505</v>
      </c>
      <c r="H5012">
        <v>0.46289436836252601</v>
      </c>
      <c r="I5012">
        <v>0.251082676948156</v>
      </c>
      <c r="J5012">
        <v>0.175674932237536</v>
      </c>
      <c r="K5012">
        <v>0.12516639539038499</v>
      </c>
      <c r="L5012">
        <v>647.90506931586003</v>
      </c>
      <c r="M5012">
        <v>11.5920320293817</v>
      </c>
      <c r="N5012">
        <v>55.892277395775302</v>
      </c>
      <c r="O5012">
        <v>54.306608369589703</v>
      </c>
      <c r="P5012">
        <v>-5.33785273581572E-2</v>
      </c>
      <c r="Q5012">
        <v>0</v>
      </c>
      <c r="R5012">
        <v>0.988907045700956</v>
      </c>
      <c r="S5012" t="s">
        <v>11580</v>
      </c>
      <c r="T5012" t="s">
        <v>13134</v>
      </c>
      <c r="U5012" t="s">
        <v>13134</v>
      </c>
      <c r="V5012" t="s">
        <v>13134</v>
      </c>
      <c r="W5012" t="s">
        <v>18083</v>
      </c>
      <c r="X5012">
        <v>4</v>
      </c>
      <c r="Y5012" t="s">
        <v>24451</v>
      </c>
      <c r="Z5012" t="s">
        <v>30980</v>
      </c>
      <c r="AA5012">
        <v>0.63954332194863062</v>
      </c>
      <c r="AB5012" t="str">
        <f>HYPERLINK("Melting_Curves/meltCurve_Q96EH3_MALSU1.pdf", "Melting_Curves/meltCurve_Q96EH3_MALSU1.pdf")</f>
        <v>Melting_Curves/meltCurve_Q96EH3_MALSU1.pdf</v>
      </c>
    </row>
    <row r="5013" spans="1:28" x14ac:dyDescent="0.25">
      <c r="A5013" t="s">
        <v>5017</v>
      </c>
      <c r="B5013">
        <v>0.99472303558308395</v>
      </c>
      <c r="C5013">
        <v>1.0353713485518401</v>
      </c>
      <c r="D5013">
        <v>0.94020305227934198</v>
      </c>
      <c r="E5013">
        <v>0.52795493568383001</v>
      </c>
      <c r="F5013">
        <v>0.19979716512084</v>
      </c>
      <c r="G5013">
        <v>0.112952812777498</v>
      </c>
      <c r="H5013">
        <v>6.9666720159670403E-2</v>
      </c>
      <c r="I5013">
        <v>4.5318826379152702E-2</v>
      </c>
      <c r="J5013">
        <v>5.6585774720588303E-2</v>
      </c>
      <c r="K5013">
        <v>4.38427779301356E-2</v>
      </c>
      <c r="L5013">
        <v>1267.01470369451</v>
      </c>
      <c r="M5013">
        <v>27.118385398648002</v>
      </c>
      <c r="N5013">
        <v>46.942841289591101</v>
      </c>
      <c r="O5013">
        <v>46.469766240098402</v>
      </c>
      <c r="P5013">
        <v>-0.13714256479005499</v>
      </c>
      <c r="Q5013">
        <v>5.9985203821825601E-2</v>
      </c>
      <c r="R5013">
        <v>0.997378968895823</v>
      </c>
      <c r="S5013" t="s">
        <v>11581</v>
      </c>
      <c r="T5013" t="s">
        <v>13134</v>
      </c>
      <c r="U5013" t="s">
        <v>13134</v>
      </c>
      <c r="V5013" t="s">
        <v>13134</v>
      </c>
      <c r="W5013" t="s">
        <v>18084</v>
      </c>
      <c r="X5013">
        <v>12</v>
      </c>
      <c r="Y5013" t="s">
        <v>24452</v>
      </c>
      <c r="Z5013" t="s">
        <v>30981</v>
      </c>
      <c r="AA5013">
        <v>0.37127003064449821</v>
      </c>
      <c r="AB5013" t="str">
        <f>HYPERLINK("Melting_Curves/meltCurve_Q96EK5_KIAA1279.pdf", "Melting_Curves/meltCurve_Q96EK5_KIAA1279.pdf")</f>
        <v>Melting_Curves/meltCurve_Q96EK5_KIAA1279.pdf</v>
      </c>
    </row>
    <row r="5014" spans="1:28" x14ac:dyDescent="0.25">
      <c r="A5014" t="s">
        <v>5018</v>
      </c>
      <c r="B5014">
        <v>0.99472303558308395</v>
      </c>
      <c r="C5014">
        <v>1.0114138443786</v>
      </c>
      <c r="D5014">
        <v>0.93526295213218302</v>
      </c>
      <c r="E5014">
        <v>0.92788278690424197</v>
      </c>
      <c r="F5014">
        <v>0.71966657422431102</v>
      </c>
      <c r="G5014">
        <v>0.61357391023941599</v>
      </c>
      <c r="H5014">
        <v>0.52989063908566303</v>
      </c>
      <c r="I5014">
        <v>0.31187571047976198</v>
      </c>
      <c r="J5014">
        <v>0.128538808507599</v>
      </c>
      <c r="K5014">
        <v>0.119197749810162</v>
      </c>
      <c r="L5014">
        <v>618.84852907989602</v>
      </c>
      <c r="M5014">
        <v>11.0233217507999</v>
      </c>
      <c r="N5014">
        <v>56.1399316212459</v>
      </c>
      <c r="O5014">
        <v>54.387314197632101</v>
      </c>
      <c r="P5014">
        <v>-5.0687437204727299E-2</v>
      </c>
      <c r="Q5014">
        <v>0</v>
      </c>
      <c r="R5014">
        <v>0.98071784130961104</v>
      </c>
      <c r="S5014" t="s">
        <v>11582</v>
      </c>
      <c r="T5014" t="s">
        <v>13134</v>
      </c>
      <c r="U5014" t="s">
        <v>13134</v>
      </c>
      <c r="V5014" t="s">
        <v>13134</v>
      </c>
      <c r="W5014" t="s">
        <v>18085</v>
      </c>
      <c r="X5014">
        <v>11</v>
      </c>
      <c r="Y5014" t="s">
        <v>24453</v>
      </c>
      <c r="Z5014" t="s">
        <v>30982</v>
      </c>
      <c r="AA5014">
        <v>0.64555466317308041</v>
      </c>
      <c r="AB5014" t="str">
        <f>HYPERLINK("Melting_Curves/meltCurve_Q96EK6_GNPNAT1.pdf", "Melting_Curves/meltCurve_Q96EK6_GNPNAT1.pdf")</f>
        <v>Melting_Curves/meltCurve_Q96EK6_GNPNAT1.pdf</v>
      </c>
    </row>
    <row r="5015" spans="1:28" x14ac:dyDescent="0.25">
      <c r="A5015" t="s">
        <v>5019</v>
      </c>
      <c r="B5015">
        <v>0.99472303558308395</v>
      </c>
      <c r="C5015">
        <v>0.89508758464382199</v>
      </c>
      <c r="D5015">
        <v>0.94935691579478598</v>
      </c>
      <c r="E5015">
        <v>0.69127627885264398</v>
      </c>
      <c r="F5015">
        <v>0.28522748678762599</v>
      </c>
      <c r="G5015">
        <v>0.141565530715697</v>
      </c>
      <c r="H5015">
        <v>8.3294517055789802E-2</v>
      </c>
      <c r="I5015">
        <v>6.3434999631253597E-2</v>
      </c>
      <c r="J5015">
        <v>6.8968689782671094E-2</v>
      </c>
      <c r="K5015">
        <v>5.7881605441837299E-2</v>
      </c>
      <c r="L5015">
        <v>1127.41414993021</v>
      </c>
      <c r="M5015">
        <v>23.533010321386399</v>
      </c>
      <c r="N5015">
        <v>48.1800588811222</v>
      </c>
      <c r="O5015">
        <v>47.565855168127001</v>
      </c>
      <c r="P5015">
        <v>-0.11598714404013501</v>
      </c>
      <c r="Q5015">
        <v>6.2264739227960199E-2</v>
      </c>
      <c r="R5015">
        <v>0.99329789096698995</v>
      </c>
      <c r="S5015" t="s">
        <v>11583</v>
      </c>
      <c r="T5015" t="s">
        <v>13134</v>
      </c>
      <c r="U5015" t="s">
        <v>13134</v>
      </c>
      <c r="V5015" t="s">
        <v>13134</v>
      </c>
      <c r="W5015" t="s">
        <v>18086</v>
      </c>
      <c r="X5015">
        <v>11</v>
      </c>
      <c r="Y5015" t="s">
        <v>24454</v>
      </c>
      <c r="Z5015" t="s">
        <v>30983</v>
      </c>
      <c r="AA5015">
        <v>0.41221007833263068</v>
      </c>
      <c r="AB5015" t="str">
        <f>HYPERLINK("Melting_Curves/meltCurve_Q96EK9_KTI12.pdf", "Melting_Curves/meltCurve_Q96EK9_KTI12.pdf")</f>
        <v>Melting_Curves/meltCurve_Q96EK9_KTI12.pdf</v>
      </c>
    </row>
    <row r="5016" spans="1:28" x14ac:dyDescent="0.25">
      <c r="A5016" t="s">
        <v>5020</v>
      </c>
      <c r="B5016">
        <v>0.99472303558308395</v>
      </c>
      <c r="C5016">
        <v>0.90943524140839405</v>
      </c>
      <c r="D5016">
        <v>1.0571877290516201</v>
      </c>
      <c r="E5016">
        <v>0.82739863337986497</v>
      </c>
      <c r="F5016">
        <v>0.48245237260892898</v>
      </c>
      <c r="G5016">
        <v>0.28446141782740197</v>
      </c>
      <c r="H5016">
        <v>0.13069467966584999</v>
      </c>
      <c r="I5016">
        <v>0.114032903191896</v>
      </c>
      <c r="J5016">
        <v>8.2146667888753896E-2</v>
      </c>
      <c r="K5016">
        <v>0.10427106211549</v>
      </c>
      <c r="L5016">
        <v>1078.3216521834099</v>
      </c>
      <c r="M5016">
        <v>21.6551735827397</v>
      </c>
      <c r="N5016">
        <v>50.279558584113097</v>
      </c>
      <c r="O5016">
        <v>49.3763145598747</v>
      </c>
      <c r="P5016">
        <v>-9.9321770712578597E-2</v>
      </c>
      <c r="Q5016">
        <v>9.4160919435469906E-2</v>
      </c>
      <c r="R5016">
        <v>0.98818021221056995</v>
      </c>
      <c r="S5016" t="s">
        <v>11584</v>
      </c>
      <c r="T5016" t="s">
        <v>13134</v>
      </c>
      <c r="U5016" t="s">
        <v>13134</v>
      </c>
      <c r="V5016" t="s">
        <v>13134</v>
      </c>
      <c r="W5016" t="s">
        <v>18087</v>
      </c>
      <c r="X5016">
        <v>4</v>
      </c>
      <c r="Y5016" t="s">
        <v>24455</v>
      </c>
      <c r="Z5016" t="s">
        <v>30984</v>
      </c>
      <c r="AA5016">
        <v>0.49084935758940512</v>
      </c>
      <c r="AB5016" t="str">
        <f>HYPERLINK("Melting_Curves/meltCurve_Q96EL3_MRPL53.pdf", "Melting_Curves/meltCurve_Q96EL3_MRPL53.pdf")</f>
        <v>Melting_Curves/meltCurve_Q96EL3_MRPL53.pdf</v>
      </c>
    </row>
    <row r="5017" spans="1:28" x14ac:dyDescent="0.25">
      <c r="A5017" t="s">
        <v>5021</v>
      </c>
      <c r="B5017">
        <v>0.99472303558308395</v>
      </c>
      <c r="C5017">
        <v>0.96759282325050699</v>
      </c>
      <c r="D5017">
        <v>1.1485525980597699</v>
      </c>
      <c r="E5017">
        <v>0.956840891666211</v>
      </c>
      <c r="F5017">
        <v>0.65631981169501596</v>
      </c>
      <c r="G5017">
        <v>0.54679848647545404</v>
      </c>
      <c r="H5017">
        <v>0.240305171221492</v>
      </c>
      <c r="I5017">
        <v>0.119506042618234</v>
      </c>
      <c r="J5017">
        <v>0.111762955962598</v>
      </c>
      <c r="K5017">
        <v>8.4757195833222096E-2</v>
      </c>
      <c r="L5017">
        <v>929.07489604471198</v>
      </c>
      <c r="M5017">
        <v>17.489622355605999</v>
      </c>
      <c r="N5017">
        <v>53.479116327215699</v>
      </c>
      <c r="O5017">
        <v>52.441609638175898</v>
      </c>
      <c r="P5017">
        <v>-7.8779744044768493E-2</v>
      </c>
      <c r="Q5017">
        <v>5.51863945747555E-2</v>
      </c>
      <c r="R5017">
        <v>0.97259808347270904</v>
      </c>
      <c r="S5017" t="s">
        <v>11585</v>
      </c>
      <c r="T5017" t="s">
        <v>13134</v>
      </c>
      <c r="U5017" t="s">
        <v>13134</v>
      </c>
      <c r="V5017" t="s">
        <v>13134</v>
      </c>
      <c r="W5017" t="s">
        <v>18088</v>
      </c>
      <c r="X5017">
        <v>7</v>
      </c>
      <c r="Y5017" t="s">
        <v>24456</v>
      </c>
      <c r="Z5017" t="s">
        <v>30985</v>
      </c>
      <c r="AA5017">
        <v>0.57706485550337183</v>
      </c>
      <c r="AB5017" t="str">
        <f>HYPERLINK("Melting_Curves/meltCurve_Q96EM0_L3HYPDH.pdf", "Melting_Curves/meltCurve_Q96EM0_L3HYPDH.pdf")</f>
        <v>Melting_Curves/meltCurve_Q96EM0_L3HYPDH.pdf</v>
      </c>
    </row>
    <row r="5018" spans="1:28" x14ac:dyDescent="0.25">
      <c r="A5018" t="s">
        <v>5022</v>
      </c>
      <c r="B5018">
        <v>0.99472303558308395</v>
      </c>
      <c r="C5018">
        <v>1.1888392546277899</v>
      </c>
      <c r="D5018">
        <v>0.85364769498041304</v>
      </c>
      <c r="E5018">
        <v>0.67286182980977205</v>
      </c>
      <c r="F5018">
        <v>0.803960268202628</v>
      </c>
      <c r="G5018">
        <v>0.40978679199136198</v>
      </c>
      <c r="H5018">
        <v>0.28199320911843601</v>
      </c>
      <c r="I5018">
        <v>0.16769886225488301</v>
      </c>
      <c r="J5018">
        <v>0.199428217074506</v>
      </c>
      <c r="K5018">
        <v>0.127904013439714</v>
      </c>
      <c r="L5018">
        <v>612.71339667815505</v>
      </c>
      <c r="M5018">
        <v>11.7192242748106</v>
      </c>
      <c r="N5018">
        <v>52.8484564123127</v>
      </c>
      <c r="O5018">
        <v>50.830050640151399</v>
      </c>
      <c r="P5018">
        <v>-5.4255897572015398E-2</v>
      </c>
      <c r="Q5018">
        <v>5.89473853580273E-2</v>
      </c>
      <c r="R5018">
        <v>0.92038734401053102</v>
      </c>
      <c r="S5018" t="s">
        <v>11586</v>
      </c>
      <c r="T5018" t="s">
        <v>13134</v>
      </c>
      <c r="U5018" t="s">
        <v>13134</v>
      </c>
      <c r="V5018" t="s">
        <v>13134</v>
      </c>
      <c r="W5018" t="s">
        <v>18089</v>
      </c>
      <c r="X5018">
        <v>2</v>
      </c>
      <c r="Y5018" t="s">
        <v>24457</v>
      </c>
      <c r="Z5018" t="s">
        <v>30986</v>
      </c>
      <c r="AA5018">
        <v>0.56038857261748831</v>
      </c>
      <c r="AB5018" t="str">
        <f>HYPERLINK("Melting_Curves/meltCurve_Q96EN8_MOCOS.pdf", "Melting_Curves/meltCurve_Q96EN8_MOCOS.pdf")</f>
        <v>Melting_Curves/meltCurve_Q96EN8_MOCOS.pdf</v>
      </c>
    </row>
    <row r="5019" spans="1:28" x14ac:dyDescent="0.25">
      <c r="A5019" t="s">
        <v>5023</v>
      </c>
      <c r="B5019">
        <v>0.99472303558308395</v>
      </c>
      <c r="C5019">
        <v>1.0389906117274501</v>
      </c>
      <c r="D5019">
        <v>0.97430779199588002</v>
      </c>
      <c r="E5019">
        <v>0.69478029067793701</v>
      </c>
      <c r="F5019">
        <v>0.341810643637661</v>
      </c>
      <c r="G5019">
        <v>0.15501990531874499</v>
      </c>
      <c r="H5019">
        <v>7.5700183396254506E-2</v>
      </c>
      <c r="I5019">
        <v>6.7141010523205105E-2</v>
      </c>
      <c r="J5019">
        <v>6.2043392501802498E-2</v>
      </c>
      <c r="K5019">
        <v>6.6803399930091906E-2</v>
      </c>
      <c r="L5019">
        <v>1111.9282961814599</v>
      </c>
      <c r="M5019">
        <v>23.0410792792722</v>
      </c>
      <c r="N5019">
        <v>48.538826879704096</v>
      </c>
      <c r="O5019">
        <v>47.899413349775401</v>
      </c>
      <c r="P5019">
        <v>-0.112767768535474</v>
      </c>
      <c r="Q5019">
        <v>6.2299209879764297E-2</v>
      </c>
      <c r="R5019">
        <v>0.99783690071252695</v>
      </c>
      <c r="S5019" t="s">
        <v>11587</v>
      </c>
      <c r="T5019" t="s">
        <v>13134</v>
      </c>
      <c r="U5019" t="s">
        <v>13134</v>
      </c>
      <c r="V5019" t="s">
        <v>13134</v>
      </c>
      <c r="W5019" t="s">
        <v>18090</v>
      </c>
      <c r="X5019">
        <v>4</v>
      </c>
      <c r="Y5019" t="s">
        <v>24458</v>
      </c>
      <c r="Z5019" t="s">
        <v>30987</v>
      </c>
      <c r="AA5019">
        <v>0.42361228498594111</v>
      </c>
      <c r="AB5019" t="str">
        <f>HYPERLINK("Melting_Curves/meltCurve_Q96EP1_5_CHFR.pdf", "Melting_Curves/meltCurve_Q96EP1_5_CHFR.pdf")</f>
        <v>Melting_Curves/meltCurve_Q96EP1_5_CHFR.pdf</v>
      </c>
    </row>
    <row r="5020" spans="1:28" x14ac:dyDescent="0.25">
      <c r="A5020" t="s">
        <v>5024</v>
      </c>
      <c r="B5020">
        <v>0.99472303558308395</v>
      </c>
      <c r="C5020">
        <v>1.0148707478925401</v>
      </c>
      <c r="D5020">
        <v>0.93368248797516595</v>
      </c>
      <c r="E5020">
        <v>0.78050488510509497</v>
      </c>
      <c r="F5020">
        <v>0.547746098201502</v>
      </c>
      <c r="G5020">
        <v>0.31397564768966302</v>
      </c>
      <c r="H5020">
        <v>0.25360505115217802</v>
      </c>
      <c r="I5020">
        <v>0.16971619045401101</v>
      </c>
      <c r="J5020">
        <v>0.26024828176345299</v>
      </c>
      <c r="K5020">
        <v>0.191541232453492</v>
      </c>
      <c r="L5020">
        <v>911.35483140786801</v>
      </c>
      <c r="M5020">
        <v>18.512612118991001</v>
      </c>
      <c r="N5020">
        <v>50.572443410461801</v>
      </c>
      <c r="O5020">
        <v>48.665234084177698</v>
      </c>
      <c r="P5020">
        <v>-7.6631916646535805E-2</v>
      </c>
      <c r="Q5020">
        <v>0.194247782756995</v>
      </c>
      <c r="R5020">
        <v>0.99361874985347998</v>
      </c>
      <c r="S5020" t="s">
        <v>11588</v>
      </c>
      <c r="T5020" t="s">
        <v>13134</v>
      </c>
      <c r="U5020" t="s">
        <v>13134</v>
      </c>
      <c r="V5020" t="s">
        <v>13134</v>
      </c>
      <c r="W5020" t="s">
        <v>18091</v>
      </c>
      <c r="X5020">
        <v>8</v>
      </c>
      <c r="Y5020" t="s">
        <v>24459</v>
      </c>
      <c r="Z5020" t="s">
        <v>30988</v>
      </c>
      <c r="AA5020">
        <v>0.53487732821588141</v>
      </c>
      <c r="AB5020" t="str">
        <f>HYPERLINK("Melting_Curves/meltCurve_Q96EP5_DAZAP1.pdf", "Melting_Curves/meltCurve_Q96EP5_DAZAP1.pdf")</f>
        <v>Melting_Curves/meltCurve_Q96EP5_DAZAP1.pdf</v>
      </c>
    </row>
    <row r="5021" spans="1:28" x14ac:dyDescent="0.25">
      <c r="A5021" t="s">
        <v>5025</v>
      </c>
      <c r="B5021">
        <v>0.99472303558308395</v>
      </c>
      <c r="C5021">
        <v>0.99809274487725097</v>
      </c>
      <c r="D5021">
        <v>0.74042162403828904</v>
      </c>
      <c r="E5021">
        <v>0.75557591761389498</v>
      </c>
      <c r="F5021">
        <v>0.65130353523857998</v>
      </c>
      <c r="G5021">
        <v>0.40466097507028698</v>
      </c>
      <c r="H5021">
        <v>0.32479290458799498</v>
      </c>
      <c r="I5021">
        <v>0.32733849003214199</v>
      </c>
      <c r="J5021">
        <v>0.37486498946129998</v>
      </c>
      <c r="K5021">
        <v>0.38304065839470602</v>
      </c>
      <c r="L5021">
        <v>570.57037212323701</v>
      </c>
      <c r="M5021">
        <v>11.899482105324999</v>
      </c>
      <c r="N5021">
        <v>52.178753291812399</v>
      </c>
      <c r="O5021">
        <v>46.655159996674101</v>
      </c>
      <c r="P5021">
        <v>-4.4044034933650097E-2</v>
      </c>
      <c r="Q5021">
        <v>0.30942543607288803</v>
      </c>
      <c r="R5021">
        <v>0.93922457140104598</v>
      </c>
      <c r="S5021" t="s">
        <v>11589</v>
      </c>
      <c r="T5021" t="s">
        <v>13134</v>
      </c>
      <c r="U5021" t="s">
        <v>13134</v>
      </c>
      <c r="V5021" t="s">
        <v>13134</v>
      </c>
      <c r="W5021" t="s">
        <v>18092</v>
      </c>
      <c r="X5021">
        <v>1</v>
      </c>
      <c r="Y5021" t="s">
        <v>24460</v>
      </c>
      <c r="Z5021" t="s">
        <v>30989</v>
      </c>
      <c r="AA5021">
        <v>0.58340961542533187</v>
      </c>
      <c r="AB5021" t="str">
        <f>HYPERLINK("Melting_Curves/meltCurve_Q96EP9_SLC10A4.pdf", "Melting_Curves/meltCurve_Q96EP9_SLC10A4.pdf")</f>
        <v>Melting_Curves/meltCurve_Q96EP9_SLC10A4.pdf</v>
      </c>
    </row>
    <row r="5022" spans="1:28" x14ac:dyDescent="0.25">
      <c r="A5022" t="s">
        <v>5026</v>
      </c>
      <c r="B5022">
        <v>0.99472303558308395</v>
      </c>
      <c r="C5022">
        <v>0.94458127922941604</v>
      </c>
      <c r="D5022">
        <v>0.96985000325192605</v>
      </c>
      <c r="E5022">
        <v>0.91989485119735503</v>
      </c>
      <c r="F5022">
        <v>0.654878253544385</v>
      </c>
      <c r="G5022">
        <v>0.34889065546509701</v>
      </c>
      <c r="H5022">
        <v>0.157958071262913</v>
      </c>
      <c r="I5022">
        <v>9.7949812524356195E-2</v>
      </c>
      <c r="J5022">
        <v>9.3811929641098593E-2</v>
      </c>
      <c r="K5022">
        <v>7.4648219753548406E-2</v>
      </c>
      <c r="L5022">
        <v>1080.32348057542</v>
      </c>
      <c r="M5022">
        <v>20.962903340684399</v>
      </c>
      <c r="N5022">
        <v>51.9003793478863</v>
      </c>
      <c r="O5022">
        <v>51.072912816706797</v>
      </c>
      <c r="P5022">
        <v>-9.55759705060754E-2</v>
      </c>
      <c r="Q5022">
        <v>6.8600140494868303E-2</v>
      </c>
      <c r="R5022">
        <v>0.99764057472265599</v>
      </c>
      <c r="S5022" t="s">
        <v>11590</v>
      </c>
      <c r="T5022" t="s">
        <v>13134</v>
      </c>
      <c r="U5022" t="s">
        <v>13134</v>
      </c>
      <c r="V5022" t="s">
        <v>13134</v>
      </c>
      <c r="W5022" t="s">
        <v>18093</v>
      </c>
      <c r="X5022">
        <v>3</v>
      </c>
      <c r="Y5022" t="s">
        <v>24461</v>
      </c>
      <c r="Z5022" t="s">
        <v>30990</v>
      </c>
      <c r="AA5022">
        <v>0.53108331968371014</v>
      </c>
      <c r="AB5022" t="str">
        <f>HYPERLINK("Melting_Curves/meltCurve_Q96EQ0_SGTB.pdf", "Melting_Curves/meltCurve_Q96EQ0_SGTB.pdf")</f>
        <v>Melting_Curves/meltCurve_Q96EQ0_SGTB.pdf</v>
      </c>
    </row>
    <row r="5023" spans="1:28" x14ac:dyDescent="0.25">
      <c r="A5023" t="s">
        <v>5027</v>
      </c>
      <c r="B5023">
        <v>0.99472303558308395</v>
      </c>
      <c r="C5023">
        <v>0.82156341853717696</v>
      </c>
      <c r="D5023">
        <v>0.88331980839273005</v>
      </c>
      <c r="E5023">
        <v>0.600057609991554</v>
      </c>
      <c r="F5023">
        <v>0.33828336129411501</v>
      </c>
      <c r="G5023">
        <v>0.108054597220213</v>
      </c>
      <c r="H5023">
        <v>7.06261164738195E-2</v>
      </c>
      <c r="I5023">
        <v>3.8270440564558798E-2</v>
      </c>
      <c r="J5023">
        <v>3.9734796983729399E-2</v>
      </c>
      <c r="K5023">
        <v>3.7253852815385603E-2</v>
      </c>
      <c r="L5023">
        <v>724.77333940642802</v>
      </c>
      <c r="M5023">
        <v>15.2030642081781</v>
      </c>
      <c r="N5023">
        <v>47.712230907838801</v>
      </c>
      <c r="O5023">
        <v>46.870853046914398</v>
      </c>
      <c r="P5023">
        <v>-8.0592014142943605E-2</v>
      </c>
      <c r="Q5023">
        <v>6.2386853457710896E-3</v>
      </c>
      <c r="R5023">
        <v>0.98426644092964499</v>
      </c>
      <c r="S5023" t="s">
        <v>11591</v>
      </c>
      <c r="T5023" t="s">
        <v>13134</v>
      </c>
      <c r="U5023" t="s">
        <v>13134</v>
      </c>
      <c r="V5023" t="s">
        <v>13134</v>
      </c>
      <c r="W5023" t="s">
        <v>14298</v>
      </c>
      <c r="X5023">
        <v>8</v>
      </c>
      <c r="Y5023" t="s">
        <v>20785</v>
      </c>
      <c r="Z5023" t="s">
        <v>30991</v>
      </c>
      <c r="AA5023">
        <v>0.3813201034379135</v>
      </c>
      <c r="AB5023" t="str">
        <f>HYPERLINK("Melting_Curves/meltCurve_Q96ER3_SAAL1.pdf", "Melting_Curves/meltCurve_Q96ER3_SAAL1.pdf")</f>
        <v>Melting_Curves/meltCurve_Q96ER3_SAAL1.pdf</v>
      </c>
    </row>
    <row r="5024" spans="1:28" x14ac:dyDescent="0.25">
      <c r="A5024" t="s">
        <v>5028</v>
      </c>
      <c r="B5024">
        <v>0.99472303558308395</v>
      </c>
      <c r="C5024">
        <v>0.882716836823212</v>
      </c>
      <c r="D5024">
        <v>0.98093239258333298</v>
      </c>
      <c r="E5024">
        <v>0.82702794306172001</v>
      </c>
      <c r="F5024">
        <v>0.50201936268492198</v>
      </c>
      <c r="G5024">
        <v>0.40588843059282498</v>
      </c>
      <c r="H5024">
        <v>8.6306774670671396E-2</v>
      </c>
      <c r="I5024">
        <v>8.1327485900723001E-2</v>
      </c>
      <c r="J5024">
        <v>7.2084784166393898E-2</v>
      </c>
      <c r="K5024">
        <v>6.2799739852997305E-2</v>
      </c>
      <c r="L5024">
        <v>786.10359254798004</v>
      </c>
      <c r="M5024">
        <v>15.4672264737923</v>
      </c>
      <c r="N5024">
        <v>50.9682880495047</v>
      </c>
      <c r="O5024">
        <v>49.9969994138186</v>
      </c>
      <c r="P5024">
        <v>-7.5688898954174494E-2</v>
      </c>
      <c r="Q5024">
        <v>2.1446103644942399E-2</v>
      </c>
      <c r="R5024">
        <v>0.97899451427292705</v>
      </c>
      <c r="S5024" t="s">
        <v>11592</v>
      </c>
      <c r="T5024" t="s">
        <v>13134</v>
      </c>
      <c r="U5024" t="s">
        <v>13134</v>
      </c>
      <c r="V5024" t="s">
        <v>13134</v>
      </c>
      <c r="W5024" t="s">
        <v>18094</v>
      </c>
      <c r="X5024">
        <v>13</v>
      </c>
      <c r="Y5024" t="s">
        <v>24462</v>
      </c>
      <c r="Z5024" t="s">
        <v>30992</v>
      </c>
      <c r="AA5024">
        <v>0.491396905035972</v>
      </c>
      <c r="AB5024" t="str">
        <f>HYPERLINK("Melting_Curves/meltCurve_Q96ER9_CCDC51.pdf", "Melting_Curves/meltCurve_Q96ER9_CCDC51.pdf")</f>
        <v>Melting_Curves/meltCurve_Q96ER9_CCDC51.pdf</v>
      </c>
    </row>
    <row r="5025" spans="1:28" x14ac:dyDescent="0.25">
      <c r="A5025" t="s">
        <v>5029</v>
      </c>
      <c r="B5025">
        <v>0.99472303558308395</v>
      </c>
      <c r="C5025">
        <v>1.01358341253757</v>
      </c>
      <c r="D5025">
        <v>0.89284598405076299</v>
      </c>
      <c r="E5025">
        <v>0.704753917122248</v>
      </c>
      <c r="F5025">
        <v>0.49981511429756398</v>
      </c>
      <c r="G5025">
        <v>0.27725468403827902</v>
      </c>
      <c r="H5025">
        <v>0.123393457322461</v>
      </c>
      <c r="I5025">
        <v>7.1260981466094206E-2</v>
      </c>
      <c r="J5025">
        <v>7.6337424560516301E-2</v>
      </c>
      <c r="K5025">
        <v>7.1649707631230894E-2</v>
      </c>
      <c r="L5025">
        <v>721.00958375712503</v>
      </c>
      <c r="M5025">
        <v>14.531847592117501</v>
      </c>
      <c r="N5025">
        <v>49.836847264953697</v>
      </c>
      <c r="O5025">
        <v>48.704647489546197</v>
      </c>
      <c r="P5025">
        <v>-7.2272129790684397E-2</v>
      </c>
      <c r="Q5025">
        <v>3.12075639825087E-2</v>
      </c>
      <c r="R5025">
        <v>0.99674461590534202</v>
      </c>
      <c r="S5025" t="s">
        <v>11593</v>
      </c>
      <c r="T5025" t="s">
        <v>13134</v>
      </c>
      <c r="U5025" t="s">
        <v>13134</v>
      </c>
      <c r="V5025" t="s">
        <v>13134</v>
      </c>
      <c r="W5025" t="s">
        <v>18095</v>
      </c>
      <c r="X5025">
        <v>9</v>
      </c>
      <c r="Y5025" t="s">
        <v>24463</v>
      </c>
      <c r="Z5025" t="s">
        <v>30993</v>
      </c>
      <c r="AA5025">
        <v>0.46008627603827312</v>
      </c>
      <c r="AB5025" t="str">
        <f>HYPERLINK("Melting_Curves/meltCurve_Q96ES7_CCDC101.pdf", "Melting_Curves/meltCurve_Q96ES7_CCDC101.pdf")</f>
        <v>Melting_Curves/meltCurve_Q96ES7_CCDC101.pdf</v>
      </c>
    </row>
    <row r="5026" spans="1:28" x14ac:dyDescent="0.25">
      <c r="A5026" t="s">
        <v>5030</v>
      </c>
      <c r="B5026">
        <v>0.99472303558308395</v>
      </c>
      <c r="C5026">
        <v>0.91452222913492198</v>
      </c>
      <c r="D5026">
        <v>0.91657778822130798</v>
      </c>
      <c r="E5026">
        <v>0.87280958049298396</v>
      </c>
      <c r="F5026">
        <v>0.50457440411582799</v>
      </c>
      <c r="G5026">
        <v>0.36678329155504003</v>
      </c>
      <c r="H5026">
        <v>0.20702557390613099</v>
      </c>
      <c r="I5026">
        <v>0.159783812584639</v>
      </c>
      <c r="J5026">
        <v>0.15168510301992899</v>
      </c>
      <c r="K5026">
        <v>0.17578699649468299</v>
      </c>
      <c r="L5026">
        <v>900.47628809487003</v>
      </c>
      <c r="M5026">
        <v>18.0335741483857</v>
      </c>
      <c r="N5026">
        <v>50.900701459736602</v>
      </c>
      <c r="O5026">
        <v>49.3314563583276</v>
      </c>
      <c r="P5026">
        <v>-7.8134514894686799E-2</v>
      </c>
      <c r="Q5026">
        <v>0.145083372705261</v>
      </c>
      <c r="R5026">
        <v>0.98682535479604605</v>
      </c>
      <c r="S5026" t="s">
        <v>11594</v>
      </c>
      <c r="T5026" t="s">
        <v>13134</v>
      </c>
      <c r="U5026" t="s">
        <v>13134</v>
      </c>
      <c r="V5026" t="s">
        <v>13134</v>
      </c>
      <c r="W5026" t="s">
        <v>18096</v>
      </c>
      <c r="X5026">
        <v>1</v>
      </c>
      <c r="Y5026" t="s">
        <v>24464</v>
      </c>
      <c r="Z5026" t="s">
        <v>30994</v>
      </c>
      <c r="AA5026">
        <v>0.52708495019379886</v>
      </c>
      <c r="AB5026" t="str">
        <f>HYPERLINK("Melting_Curves/meltCurve_Q96EU6_2_RRP36.pdf", "Melting_Curves/meltCurve_Q96EU6_2_RRP36.pdf")</f>
        <v>Melting_Curves/meltCurve_Q96EU6_2_RRP36.pdf</v>
      </c>
    </row>
    <row r="5027" spans="1:28" x14ac:dyDescent="0.25">
      <c r="A5027" t="s">
        <v>5031</v>
      </c>
      <c r="B5027">
        <v>0.99472303558308395</v>
      </c>
      <c r="C5027">
        <v>0.94586897258066704</v>
      </c>
      <c r="D5027">
        <v>0.86936556092831996</v>
      </c>
      <c r="E5027">
        <v>0.64172030143731196</v>
      </c>
      <c r="F5027">
        <v>0.33748199185225403</v>
      </c>
      <c r="G5027">
        <v>0.19180407433562999</v>
      </c>
      <c r="H5027">
        <v>0.12552635657099701</v>
      </c>
      <c r="I5027">
        <v>9.9925756208123301E-2</v>
      </c>
      <c r="J5027">
        <v>0.153153177165953</v>
      </c>
      <c r="K5027">
        <v>0.10191011215597701</v>
      </c>
      <c r="L5027">
        <v>862.20016514919098</v>
      </c>
      <c r="M5027">
        <v>18.177338117766599</v>
      </c>
      <c r="N5027">
        <v>48.043680910981301</v>
      </c>
      <c r="O5027">
        <v>46.869800869160002</v>
      </c>
      <c r="P5027">
        <v>-8.6955186675539003E-2</v>
      </c>
      <c r="Q5027">
        <v>0.10319567800675999</v>
      </c>
      <c r="R5027">
        <v>0.99720652294999401</v>
      </c>
      <c r="S5027" t="s">
        <v>11595</v>
      </c>
      <c r="T5027" t="s">
        <v>13134</v>
      </c>
      <c r="U5027" t="s">
        <v>13134</v>
      </c>
      <c r="V5027" t="s">
        <v>13134</v>
      </c>
      <c r="W5027" t="s">
        <v>18097</v>
      </c>
      <c r="X5027">
        <v>17</v>
      </c>
      <c r="Y5027" t="s">
        <v>24465</v>
      </c>
      <c r="Z5027" t="s">
        <v>30995</v>
      </c>
      <c r="AA5027">
        <v>0.42917172368884682</v>
      </c>
      <c r="AB5027" t="str">
        <f>HYPERLINK("Melting_Curves/meltCurve_Q96EV2_RBM33.pdf", "Melting_Curves/meltCurve_Q96EV2_RBM33.pdf")</f>
        <v>Melting_Curves/meltCurve_Q96EV2_RBM33.pdf</v>
      </c>
    </row>
    <row r="5028" spans="1:28" x14ac:dyDescent="0.25">
      <c r="A5028" t="s">
        <v>5032</v>
      </c>
      <c r="B5028">
        <v>0.99472303558308395</v>
      </c>
      <c r="C5028">
        <v>0.94480935935686705</v>
      </c>
      <c r="D5028">
        <v>0.95670457449049895</v>
      </c>
      <c r="E5028">
        <v>0.81822928464561595</v>
      </c>
      <c r="F5028">
        <v>0.58788447195836901</v>
      </c>
      <c r="G5028">
        <v>0.41079510902629301</v>
      </c>
      <c r="H5028">
        <v>0.192009181517896</v>
      </c>
      <c r="I5028">
        <v>7.6579180828363097E-2</v>
      </c>
      <c r="J5028">
        <v>6.1049903485837602E-2</v>
      </c>
      <c r="K5028">
        <v>5.7371890995692301E-2</v>
      </c>
      <c r="L5028">
        <v>715.60735525133998</v>
      </c>
      <c r="M5028">
        <v>13.828652319972001</v>
      </c>
      <c r="N5028">
        <v>51.7481630864905</v>
      </c>
      <c r="O5028">
        <v>50.702012704332098</v>
      </c>
      <c r="P5028">
        <v>-6.8195363307042595E-2</v>
      </c>
      <c r="Q5028">
        <v>0</v>
      </c>
      <c r="R5028">
        <v>0.99645099717142005</v>
      </c>
      <c r="S5028" t="s">
        <v>11596</v>
      </c>
      <c r="T5028" t="s">
        <v>13134</v>
      </c>
      <c r="U5028" t="s">
        <v>13134</v>
      </c>
      <c r="V5028" t="s">
        <v>13134</v>
      </c>
      <c r="W5028" t="s">
        <v>18098</v>
      </c>
      <c r="X5028">
        <v>8</v>
      </c>
      <c r="Y5028" t="s">
        <v>24466</v>
      </c>
      <c r="Z5028" t="s">
        <v>30996</v>
      </c>
      <c r="AA5028">
        <v>0.51288568507098042</v>
      </c>
      <c r="AB5028" t="str">
        <f>HYPERLINK("Melting_Curves/meltCurve_Q96EV8_DTNBP1.pdf", "Melting_Curves/meltCurve_Q96EV8_DTNBP1.pdf")</f>
        <v>Melting_Curves/meltCurve_Q96EV8_DTNBP1.pdf</v>
      </c>
    </row>
    <row r="5029" spans="1:28" x14ac:dyDescent="0.25">
      <c r="A5029" t="s">
        <v>5033</v>
      </c>
      <c r="B5029">
        <v>0.99472303558308395</v>
      </c>
      <c r="C5029">
        <v>0.87458592506162702</v>
      </c>
      <c r="D5029">
        <v>1.0981767674154601</v>
      </c>
      <c r="E5029">
        <v>0.93154783313918599</v>
      </c>
      <c r="F5029">
        <v>0.56674934593341697</v>
      </c>
      <c r="G5029">
        <v>0.54256724342574503</v>
      </c>
      <c r="H5029">
        <v>0.53496175223320697</v>
      </c>
      <c r="I5029">
        <v>0.450969383711251</v>
      </c>
      <c r="J5029">
        <v>0.62174686922808298</v>
      </c>
      <c r="K5029">
        <v>0.455650517148943</v>
      </c>
      <c r="L5029">
        <v>2652.4797297207401</v>
      </c>
      <c r="M5029">
        <v>55.094889444514301</v>
      </c>
      <c r="O5029">
        <v>48.080551455832797</v>
      </c>
      <c r="P5029">
        <v>-0.13724546253355699</v>
      </c>
      <c r="Q5029">
        <v>0.52091148645526597</v>
      </c>
      <c r="R5029">
        <v>0.91369364028012601</v>
      </c>
      <c r="S5029" t="s">
        <v>11597</v>
      </c>
      <c r="T5029" t="s">
        <v>13134</v>
      </c>
      <c r="U5029" t="s">
        <v>13134</v>
      </c>
      <c r="V5029" t="s">
        <v>13134</v>
      </c>
      <c r="W5029" t="s">
        <v>18099</v>
      </c>
      <c r="X5029">
        <v>4</v>
      </c>
      <c r="Y5029" t="s">
        <v>24467</v>
      </c>
      <c r="Z5029" t="s">
        <v>30997</v>
      </c>
      <c r="AA5029">
        <v>0.69971150725594788</v>
      </c>
      <c r="AB5029" t="str">
        <f>HYPERLINK("Melting_Curves/meltCurve_Q96EX1_SMIM12.pdf", "Melting_Curves/meltCurve_Q96EX1_SMIM12.pdf")</f>
        <v>Melting_Curves/meltCurve_Q96EX1_SMIM12.pdf</v>
      </c>
    </row>
    <row r="5030" spans="1:28" x14ac:dyDescent="0.25">
      <c r="A5030" t="s">
        <v>5034</v>
      </c>
      <c r="B5030">
        <v>0.99472303558308395</v>
      </c>
      <c r="C5030">
        <v>1.02480492634231</v>
      </c>
      <c r="D5030">
        <v>0.78182413014666396</v>
      </c>
      <c r="E5030">
        <v>0.76957716627177897</v>
      </c>
      <c r="F5030">
        <v>0.57332147759614205</v>
      </c>
      <c r="G5030">
        <v>0.36849563577089001</v>
      </c>
      <c r="H5030">
        <v>0.14153101574265201</v>
      </c>
      <c r="I5030">
        <v>6.3016468403634604E-2</v>
      </c>
      <c r="J5030">
        <v>6.7918498776550304E-2</v>
      </c>
      <c r="K5030">
        <v>4.5897043210864602E-2</v>
      </c>
      <c r="L5030">
        <v>639.28640751886405</v>
      </c>
      <c r="M5030">
        <v>12.5912383940131</v>
      </c>
      <c r="N5030">
        <v>50.772323168175603</v>
      </c>
      <c r="O5030">
        <v>49.542704370298402</v>
      </c>
      <c r="P5030">
        <v>-6.3550007976449802E-2</v>
      </c>
      <c r="Q5030">
        <v>0</v>
      </c>
      <c r="R5030">
        <v>0.98133310423183095</v>
      </c>
      <c r="S5030" t="s">
        <v>11598</v>
      </c>
      <c r="T5030" t="s">
        <v>13134</v>
      </c>
      <c r="U5030" t="s">
        <v>13134</v>
      </c>
      <c r="V5030" t="s">
        <v>13134</v>
      </c>
      <c r="W5030" t="s">
        <v>18100</v>
      </c>
      <c r="X5030">
        <v>3</v>
      </c>
      <c r="Y5030" t="s">
        <v>24468</v>
      </c>
      <c r="Z5030" t="s">
        <v>30998</v>
      </c>
      <c r="AA5030">
        <v>0.484253568893038</v>
      </c>
      <c r="AB5030" t="str">
        <f>HYPERLINK("Melting_Curves/meltCurve_Q96EX3_WDR34.pdf", "Melting_Curves/meltCurve_Q96EX3_WDR34.pdf")</f>
        <v>Melting_Curves/meltCurve_Q96EX3_WDR34.pdf</v>
      </c>
    </row>
    <row r="5031" spans="1:28" x14ac:dyDescent="0.25">
      <c r="A5031" t="s">
        <v>5035</v>
      </c>
      <c r="B5031">
        <v>0.99472303558308395</v>
      </c>
      <c r="C5031">
        <v>0.85506656980711704</v>
      </c>
      <c r="D5031">
        <v>0.64706011079884895</v>
      </c>
      <c r="E5031">
        <v>0.44875600801638199</v>
      </c>
      <c r="F5031">
        <v>0.27656530358600701</v>
      </c>
      <c r="G5031">
        <v>0.119526128970081</v>
      </c>
      <c r="H5031">
        <v>6.1698075282557302E-2</v>
      </c>
      <c r="I5031">
        <v>4.6930470110461302E-2</v>
      </c>
      <c r="J5031">
        <v>5.2903192146991199E-2</v>
      </c>
      <c r="K5031">
        <v>4.2079201689637101E-2</v>
      </c>
      <c r="L5031">
        <v>574.62227845898894</v>
      </c>
      <c r="M5031">
        <v>12.628348993742501</v>
      </c>
      <c r="N5031">
        <v>45.618410077922697</v>
      </c>
      <c r="O5031">
        <v>44.406783553401098</v>
      </c>
      <c r="P5031">
        <v>-6.9986671501501799E-2</v>
      </c>
      <c r="Q5031">
        <v>1.5779979097115399E-2</v>
      </c>
      <c r="R5031">
        <v>0.99541005217907497</v>
      </c>
      <c r="S5031" t="s">
        <v>11599</v>
      </c>
      <c r="T5031" t="s">
        <v>13134</v>
      </c>
      <c r="U5031" t="s">
        <v>13134</v>
      </c>
      <c r="V5031" t="s">
        <v>13134</v>
      </c>
      <c r="W5031" t="s">
        <v>18101</v>
      </c>
      <c r="X5031">
        <v>7</v>
      </c>
      <c r="Y5031" t="s">
        <v>24469</v>
      </c>
      <c r="Z5031" t="s">
        <v>30999</v>
      </c>
      <c r="AA5031">
        <v>0.32653359532236342</v>
      </c>
      <c r="AB5031" t="str">
        <f>HYPERLINK("Melting_Curves/meltCurve_Q96EY1_DNAJA3.pdf", "Melting_Curves/meltCurve_Q96EY1_DNAJA3.pdf")</f>
        <v>Melting_Curves/meltCurve_Q96EY1_DNAJA3.pdf</v>
      </c>
    </row>
    <row r="5032" spans="1:28" x14ac:dyDescent="0.25">
      <c r="A5032" t="s">
        <v>5036</v>
      </c>
      <c r="B5032">
        <v>0.99472303558308395</v>
      </c>
      <c r="C5032">
        <v>0.85599259784931003</v>
      </c>
      <c r="D5032">
        <v>0.83065416350783905</v>
      </c>
      <c r="E5032">
        <v>0.64758556883448903</v>
      </c>
      <c r="F5032">
        <v>0.19515616988182599</v>
      </c>
      <c r="G5032">
        <v>8.2333417733753203E-2</v>
      </c>
      <c r="H5032">
        <v>6.6590392733629405E-2</v>
      </c>
      <c r="I5032">
        <v>4.1944797300582003E-2</v>
      </c>
      <c r="J5032">
        <v>5.1581833648214899E-2</v>
      </c>
      <c r="K5032">
        <v>3.6642443303969201E-2</v>
      </c>
      <c r="L5032">
        <v>910.45797333484597</v>
      </c>
      <c r="M5032">
        <v>19.315347371375399</v>
      </c>
      <c r="N5032">
        <v>47.2669906538218</v>
      </c>
      <c r="O5032">
        <v>46.639980517771697</v>
      </c>
      <c r="P5032">
        <v>-0.100850022704857</v>
      </c>
      <c r="Q5032">
        <v>2.59626562814563E-2</v>
      </c>
      <c r="R5032">
        <v>0.98187000325070695</v>
      </c>
      <c r="S5032" t="s">
        <v>11600</v>
      </c>
      <c r="T5032" t="s">
        <v>13134</v>
      </c>
      <c r="U5032" t="s">
        <v>13134</v>
      </c>
      <c r="V5032" t="s">
        <v>13134</v>
      </c>
      <c r="W5032" t="s">
        <v>18102</v>
      </c>
      <c r="X5032">
        <v>5</v>
      </c>
      <c r="Y5032" t="s">
        <v>24470</v>
      </c>
      <c r="Z5032" t="s">
        <v>31000</v>
      </c>
      <c r="AA5032">
        <v>0.36872381744859528</v>
      </c>
      <c r="AB5032" t="str">
        <f>HYPERLINK("Melting_Curves/meltCurve_Q96EY5_MVB12A.pdf", "Melting_Curves/meltCurve_Q96EY5_MVB12A.pdf")</f>
        <v>Melting_Curves/meltCurve_Q96EY5_MVB12A.pdf</v>
      </c>
    </row>
    <row r="5033" spans="1:28" x14ac:dyDescent="0.25">
      <c r="A5033" t="s">
        <v>5037</v>
      </c>
      <c r="B5033">
        <v>0.99472303558308395</v>
      </c>
      <c r="C5033">
        <v>0.84604708993700894</v>
      </c>
      <c r="D5033">
        <v>0.47027321960708901</v>
      </c>
      <c r="E5033">
        <v>0.24135786034985299</v>
      </c>
      <c r="F5033">
        <v>0.108763169490088</v>
      </c>
      <c r="G5033">
        <v>4.9619070711232699E-2</v>
      </c>
      <c r="H5033">
        <v>3.01727830137083E-2</v>
      </c>
      <c r="I5033">
        <v>2.4258229992861601E-2</v>
      </c>
      <c r="J5033">
        <v>2.4966702785074499E-2</v>
      </c>
      <c r="K5033">
        <v>2.40150999330676E-2</v>
      </c>
      <c r="L5033">
        <v>827.033925146103</v>
      </c>
      <c r="M5033">
        <v>19.235414765632498</v>
      </c>
      <c r="N5033">
        <v>43.1339358339862</v>
      </c>
      <c r="O5033">
        <v>42.5387687230658</v>
      </c>
      <c r="P5033">
        <v>-0.109663694096663</v>
      </c>
      <c r="Q5033">
        <v>2.99597868753592E-2</v>
      </c>
      <c r="R5033">
        <v>0.99539827878429499</v>
      </c>
      <c r="S5033" t="s">
        <v>11601</v>
      </c>
      <c r="T5033" t="s">
        <v>13134</v>
      </c>
      <c r="U5033" t="s">
        <v>13134</v>
      </c>
      <c r="V5033" t="s">
        <v>13134</v>
      </c>
      <c r="W5033" t="s">
        <v>18103</v>
      </c>
      <c r="X5033">
        <v>3</v>
      </c>
      <c r="Y5033" t="s">
        <v>24471</v>
      </c>
      <c r="Z5033" t="s">
        <v>31001</v>
      </c>
      <c r="AA5033">
        <v>0.23860439608792991</v>
      </c>
      <c r="AB5033" t="str">
        <f>HYPERLINK("Melting_Curves/meltCurve_Q96EY7_PTCD3.pdf", "Melting_Curves/meltCurve_Q96EY7_PTCD3.pdf")</f>
        <v>Melting_Curves/meltCurve_Q96EY7_PTCD3.pdf</v>
      </c>
    </row>
    <row r="5034" spans="1:28" x14ac:dyDescent="0.25">
      <c r="A5034" t="s">
        <v>5038</v>
      </c>
      <c r="B5034">
        <v>0.99472303558308395</v>
      </c>
      <c r="C5034">
        <v>1.0173599613804201</v>
      </c>
      <c r="D5034">
        <v>0.97198566753898297</v>
      </c>
      <c r="E5034">
        <v>0.89050313238230405</v>
      </c>
      <c r="F5034">
        <v>0.69879657554344699</v>
      </c>
      <c r="G5034">
        <v>0.59409930289103496</v>
      </c>
      <c r="H5034">
        <v>0.45371698080804401</v>
      </c>
      <c r="I5034">
        <v>0.37087117052830798</v>
      </c>
      <c r="J5034">
        <v>0.37474209025303501</v>
      </c>
      <c r="K5034">
        <v>0.249371873007081</v>
      </c>
      <c r="L5034">
        <v>634.36803290541297</v>
      </c>
      <c r="M5034">
        <v>11.997721206844099</v>
      </c>
      <c r="N5034">
        <v>55.9488158935226</v>
      </c>
      <c r="O5034">
        <v>51.469375282024103</v>
      </c>
      <c r="P5034">
        <v>-4.4218417904966202E-2</v>
      </c>
      <c r="Q5034">
        <v>0.24140747046873401</v>
      </c>
      <c r="R5034">
        <v>0.98940528142484996</v>
      </c>
      <c r="S5034" t="s">
        <v>11602</v>
      </c>
      <c r="T5034" t="s">
        <v>13134</v>
      </c>
      <c r="U5034" t="s">
        <v>13134</v>
      </c>
      <c r="V5034" t="s">
        <v>13134</v>
      </c>
      <c r="W5034" t="s">
        <v>18104</v>
      </c>
      <c r="X5034">
        <v>10</v>
      </c>
      <c r="Y5034" t="s">
        <v>24472</v>
      </c>
      <c r="Z5034" t="s">
        <v>31002</v>
      </c>
      <c r="AA5034">
        <v>0.6590714781699476</v>
      </c>
      <c r="AB5034" t="str">
        <f>HYPERLINK("Melting_Curves/meltCurve_Q96EY8_MMAB.pdf", "Melting_Curves/meltCurve_Q96EY8_MMAB.pdf")</f>
        <v>Melting_Curves/meltCurve_Q96EY8_MMAB.pdf</v>
      </c>
    </row>
    <row r="5035" spans="1:28" x14ac:dyDescent="0.25">
      <c r="A5035" t="s">
        <v>5039</v>
      </c>
      <c r="B5035">
        <v>0.99472303558308395</v>
      </c>
      <c r="C5035">
        <v>1.0463099053309499</v>
      </c>
      <c r="D5035">
        <v>0.97237045404669498</v>
      </c>
      <c r="E5035">
        <v>0.82689781619961999</v>
      </c>
      <c r="F5035">
        <v>0.64868207551440105</v>
      </c>
      <c r="G5035">
        <v>0.37737771625211403</v>
      </c>
      <c r="H5035">
        <v>0.215676358551149</v>
      </c>
      <c r="I5035">
        <v>0.13279964844324099</v>
      </c>
      <c r="J5035">
        <v>0.10536340393391801</v>
      </c>
      <c r="K5035">
        <v>7.3991454215991098E-2</v>
      </c>
      <c r="L5035">
        <v>812.64842636624303</v>
      </c>
      <c r="M5035">
        <v>15.737283837736401</v>
      </c>
      <c r="N5035">
        <v>52.025576520681398</v>
      </c>
      <c r="O5035">
        <v>50.826179566817899</v>
      </c>
      <c r="P5035">
        <v>-7.31361775446627E-2</v>
      </c>
      <c r="Q5035">
        <v>5.5257205070330502E-2</v>
      </c>
      <c r="R5035">
        <v>0.99699665682543304</v>
      </c>
      <c r="S5035" t="s">
        <v>11603</v>
      </c>
      <c r="T5035" t="s">
        <v>13134</v>
      </c>
      <c r="U5035" t="s">
        <v>13134</v>
      </c>
      <c r="V5035" t="s">
        <v>13134</v>
      </c>
      <c r="W5035" t="s">
        <v>18105</v>
      </c>
      <c r="X5035">
        <v>7</v>
      </c>
      <c r="Y5035" t="s">
        <v>24473</v>
      </c>
      <c r="Z5035" t="s">
        <v>31003</v>
      </c>
      <c r="AA5035">
        <v>0.5336167708977102</v>
      </c>
      <c r="AB5035" t="str">
        <f>HYPERLINK("Melting_Curves/meltCurve_Q96EY9_ADAT3.pdf", "Melting_Curves/meltCurve_Q96EY9_ADAT3.pdf")</f>
        <v>Melting_Curves/meltCurve_Q96EY9_ADAT3.pdf</v>
      </c>
    </row>
    <row r="5036" spans="1:28" x14ac:dyDescent="0.25">
      <c r="A5036" t="s">
        <v>5040</v>
      </c>
      <c r="B5036">
        <v>0.99472303558308395</v>
      </c>
      <c r="C5036">
        <v>1.0057900756570499</v>
      </c>
      <c r="D5036">
        <v>0.92710062320728803</v>
      </c>
      <c r="E5036">
        <v>0.75793104272150702</v>
      </c>
      <c r="F5036">
        <v>0.562452332981071</v>
      </c>
      <c r="G5036">
        <v>0.31219870593100302</v>
      </c>
      <c r="H5036">
        <v>0.165600420817785</v>
      </c>
      <c r="I5036">
        <v>0.11835335845506301</v>
      </c>
      <c r="J5036">
        <v>9.9957765766959999E-2</v>
      </c>
      <c r="K5036">
        <v>8.9025371536706394E-2</v>
      </c>
      <c r="L5036">
        <v>758.09622882820202</v>
      </c>
      <c r="M5036">
        <v>15.074569159409201</v>
      </c>
      <c r="N5036">
        <v>50.712418929134202</v>
      </c>
      <c r="O5036">
        <v>49.429669630993999</v>
      </c>
      <c r="P5036">
        <v>-7.1748675601120193E-2</v>
      </c>
      <c r="Q5036">
        <v>5.90349783614499E-2</v>
      </c>
      <c r="R5036">
        <v>0.99829258496861994</v>
      </c>
      <c r="S5036" t="s">
        <v>11604</v>
      </c>
      <c r="T5036" t="s">
        <v>13134</v>
      </c>
      <c r="U5036" t="s">
        <v>13134</v>
      </c>
      <c r="V5036" t="s">
        <v>13134</v>
      </c>
      <c r="W5036" t="s">
        <v>18106</v>
      </c>
      <c r="X5036">
        <v>4</v>
      </c>
      <c r="Y5036" t="s">
        <v>24474</v>
      </c>
      <c r="Z5036" t="s">
        <v>31004</v>
      </c>
      <c r="AA5036">
        <v>0.49521556292370589</v>
      </c>
      <c r="AB5036" t="str">
        <f>HYPERLINK("Melting_Curves/meltCurve_Q96F24_2_NRBF2.pdf", "Melting_Curves/meltCurve_Q96F24_2_NRBF2.pdf")</f>
        <v>Melting_Curves/meltCurve_Q96F24_2_NRBF2.pdf</v>
      </c>
    </row>
    <row r="5037" spans="1:28" x14ac:dyDescent="0.25">
      <c r="A5037" t="s">
        <v>5041</v>
      </c>
      <c r="B5037">
        <v>0.99472303558308395</v>
      </c>
      <c r="C5037">
        <v>0.99376647666714002</v>
      </c>
      <c r="D5037">
        <v>0.84030315150106805</v>
      </c>
      <c r="E5037">
        <v>0.70130310687809605</v>
      </c>
      <c r="F5037">
        <v>0.30010902792827698</v>
      </c>
      <c r="G5037">
        <v>0.13922660955395999</v>
      </c>
      <c r="H5037">
        <v>9.3456489254322206E-2</v>
      </c>
      <c r="I5037">
        <v>6.1252214493708101E-2</v>
      </c>
      <c r="J5037">
        <v>9.1181087692964596E-2</v>
      </c>
      <c r="K5037">
        <v>5.9203322513899898E-2</v>
      </c>
      <c r="L5037">
        <v>952.66710986588305</v>
      </c>
      <c r="M5037">
        <v>19.912655249939299</v>
      </c>
      <c r="N5037">
        <v>48.142802478512699</v>
      </c>
      <c r="O5037">
        <v>47.367626154734602</v>
      </c>
      <c r="P5037">
        <v>-9.8957736461025306E-2</v>
      </c>
      <c r="Q5037">
        <v>5.8440433658897499E-2</v>
      </c>
      <c r="R5037">
        <v>0.99393772992451501</v>
      </c>
      <c r="S5037" t="s">
        <v>11605</v>
      </c>
      <c r="T5037" t="s">
        <v>13134</v>
      </c>
      <c r="U5037" t="s">
        <v>13134</v>
      </c>
      <c r="V5037" t="s">
        <v>13134</v>
      </c>
      <c r="W5037" t="s">
        <v>18107</v>
      </c>
      <c r="X5037">
        <v>16</v>
      </c>
      <c r="Y5037" t="s">
        <v>24475</v>
      </c>
      <c r="Z5037" t="s">
        <v>31005</v>
      </c>
      <c r="AA5037">
        <v>0.41119618178846817</v>
      </c>
      <c r="AB5037" t="str">
        <f>HYPERLINK("Melting_Curves/meltCurve_Q96F44_3_TRIM11.pdf", "Melting_Curves/meltCurve_Q96F44_3_TRIM11.pdf")</f>
        <v>Melting_Curves/meltCurve_Q96F44_3_TRIM11.pdf</v>
      </c>
    </row>
    <row r="5038" spans="1:28" x14ac:dyDescent="0.25">
      <c r="A5038" t="s">
        <v>5042</v>
      </c>
      <c r="B5038">
        <v>0.99472303558308395</v>
      </c>
      <c r="C5038">
        <v>0.69569171479417602</v>
      </c>
      <c r="D5038">
        <v>0.80677835663875497</v>
      </c>
      <c r="E5038">
        <v>0.77285289258259604</v>
      </c>
      <c r="F5038">
        <v>0.53294662616727995</v>
      </c>
      <c r="G5038">
        <v>0.26643444628524898</v>
      </c>
      <c r="H5038">
        <v>7.4024277385791398E-2</v>
      </c>
      <c r="I5038">
        <v>4.8287450070757597E-2</v>
      </c>
      <c r="J5038">
        <v>3.7894891465398699E-2</v>
      </c>
      <c r="K5038">
        <v>4.4505867255018303E-2</v>
      </c>
      <c r="L5038">
        <v>591.84302896173995</v>
      </c>
      <c r="M5038">
        <v>11.9514742527102</v>
      </c>
      <c r="N5038">
        <v>49.520526332800401</v>
      </c>
      <c r="O5038">
        <v>48.195174676936197</v>
      </c>
      <c r="P5038">
        <v>-6.2010362280487598E-2</v>
      </c>
      <c r="Q5038">
        <v>0</v>
      </c>
      <c r="R5038">
        <v>0.92783225877295195</v>
      </c>
      <c r="S5038" t="s">
        <v>11606</v>
      </c>
      <c r="T5038" t="s">
        <v>13134</v>
      </c>
      <c r="U5038" t="s">
        <v>13134</v>
      </c>
      <c r="V5038" t="s">
        <v>13134</v>
      </c>
      <c r="W5038" t="s">
        <v>18108</v>
      </c>
      <c r="X5038">
        <v>3</v>
      </c>
      <c r="Y5038" t="s">
        <v>24476</v>
      </c>
      <c r="Z5038" t="s">
        <v>31006</v>
      </c>
      <c r="AA5038">
        <v>0.44633976729705771</v>
      </c>
      <c r="AB5038" t="str">
        <f>HYPERLINK("Melting_Curves/meltCurve_Q96F46_IL17RA.pdf", "Melting_Curves/meltCurve_Q96F46_IL17RA.pdf")</f>
        <v>Melting_Curves/meltCurve_Q96F46_IL17RA.pdf</v>
      </c>
    </row>
    <row r="5039" spans="1:28" x14ac:dyDescent="0.25">
      <c r="A5039" t="s">
        <v>5043</v>
      </c>
      <c r="B5039">
        <v>0.99472303558308395</v>
      </c>
      <c r="C5039">
        <v>0.918544828093802</v>
      </c>
      <c r="D5039">
        <v>0.75222880834180705</v>
      </c>
      <c r="E5039">
        <v>0.50501949248910405</v>
      </c>
      <c r="F5039">
        <v>0.26778342657034299</v>
      </c>
      <c r="G5039">
        <v>0.14791833334135801</v>
      </c>
      <c r="H5039">
        <v>9.7580180124038005E-2</v>
      </c>
      <c r="I5039">
        <v>8.8150704881373901E-2</v>
      </c>
      <c r="J5039">
        <v>0.118283033791689</v>
      </c>
      <c r="K5039">
        <v>9.3343597396849803E-2</v>
      </c>
      <c r="L5039">
        <v>733.26137121239503</v>
      </c>
      <c r="M5039">
        <v>15.971408009488099</v>
      </c>
      <c r="N5039">
        <v>46.422759127381802</v>
      </c>
      <c r="O5039">
        <v>45.209214393944997</v>
      </c>
      <c r="P5039">
        <v>-8.1195228494550797E-2</v>
      </c>
      <c r="Q5039">
        <v>8.0736585726287294E-2</v>
      </c>
      <c r="R5039">
        <v>0.99811692148403397</v>
      </c>
      <c r="S5039" t="s">
        <v>11607</v>
      </c>
      <c r="T5039" t="s">
        <v>13134</v>
      </c>
      <c r="U5039" t="s">
        <v>13134</v>
      </c>
      <c r="V5039" t="s">
        <v>13134</v>
      </c>
      <c r="W5039" t="s">
        <v>18109</v>
      </c>
      <c r="X5039">
        <v>4</v>
      </c>
      <c r="Y5039" t="s">
        <v>24477</v>
      </c>
      <c r="Z5039" t="s">
        <v>31007</v>
      </c>
      <c r="AA5039">
        <v>0.37261799043353228</v>
      </c>
      <c r="AB5039" t="str">
        <f>HYPERLINK("Melting_Curves/meltCurve_Q96F63_CCDC97.pdf", "Melting_Curves/meltCurve_Q96F63_CCDC97.pdf")</f>
        <v>Melting_Curves/meltCurve_Q96F63_CCDC97.pdf</v>
      </c>
    </row>
    <row r="5040" spans="1:28" x14ac:dyDescent="0.25">
      <c r="A5040" t="s">
        <v>5044</v>
      </c>
      <c r="B5040">
        <v>0.99472303558308395</v>
      </c>
      <c r="C5040">
        <v>0.94264963649452205</v>
      </c>
      <c r="D5040">
        <v>0.77525260368862903</v>
      </c>
      <c r="E5040">
        <v>0.548167869175748</v>
      </c>
      <c r="F5040">
        <v>0.25148880677630098</v>
      </c>
      <c r="G5040">
        <v>0.112607049387524</v>
      </c>
      <c r="H5040">
        <v>7.1694389231845998E-2</v>
      </c>
      <c r="I5040">
        <v>5.5891810980509903E-2</v>
      </c>
      <c r="J5040">
        <v>5.6156941599403203E-2</v>
      </c>
      <c r="K5040">
        <v>4.2767457686060398E-2</v>
      </c>
      <c r="L5040">
        <v>759.65526927240603</v>
      </c>
      <c r="M5040">
        <v>16.300807084074801</v>
      </c>
      <c r="N5040">
        <v>46.796820815369898</v>
      </c>
      <c r="O5040">
        <v>45.917881341272903</v>
      </c>
      <c r="P5040">
        <v>-8.5849042825782498E-2</v>
      </c>
      <c r="Q5040">
        <v>3.2754894990302798E-2</v>
      </c>
      <c r="R5040">
        <v>0.99819731250432897</v>
      </c>
      <c r="S5040" t="s">
        <v>11608</v>
      </c>
      <c r="T5040" t="s">
        <v>13134</v>
      </c>
      <c r="U5040" t="s">
        <v>13134</v>
      </c>
      <c r="V5040" t="s">
        <v>13134</v>
      </c>
      <c r="W5040" t="s">
        <v>18110</v>
      </c>
      <c r="X5040">
        <v>14</v>
      </c>
      <c r="Y5040" t="s">
        <v>24478</v>
      </c>
      <c r="Z5040" t="s">
        <v>31008</v>
      </c>
      <c r="AA5040">
        <v>0.36116876897360251</v>
      </c>
      <c r="AB5040" t="str">
        <f>HYPERLINK("Melting_Curves/meltCurve_Q96F86_EDC3.pdf", "Melting_Curves/meltCurve_Q96F86_EDC3.pdf")</f>
        <v>Melting_Curves/meltCurve_Q96F86_EDC3.pdf</v>
      </c>
    </row>
    <row r="5041" spans="1:28" x14ac:dyDescent="0.25">
      <c r="A5041" t="s">
        <v>5045</v>
      </c>
      <c r="B5041">
        <v>0.99472303558308395</v>
      </c>
      <c r="C5041">
        <v>1.0380691405103299</v>
      </c>
      <c r="D5041">
        <v>0.89437451539019897</v>
      </c>
      <c r="E5041">
        <v>0.71517811939281195</v>
      </c>
      <c r="F5041">
        <v>0.299425319712878</v>
      </c>
      <c r="G5041">
        <v>7.5671119655347494E-2</v>
      </c>
      <c r="H5041">
        <v>4.8415574107016503E-2</v>
      </c>
      <c r="I5041">
        <v>3.3650396616693501E-2</v>
      </c>
      <c r="J5041">
        <v>4.9318043133173603E-2</v>
      </c>
      <c r="K5041">
        <v>4.6615163063540202E-2</v>
      </c>
      <c r="L5041">
        <v>1163.63037764152</v>
      </c>
      <c r="M5041">
        <v>24.172057255660601</v>
      </c>
      <c r="N5041">
        <v>48.273880652921399</v>
      </c>
      <c r="O5041">
        <v>47.813636503695299</v>
      </c>
      <c r="P5041">
        <v>-0.122276210433004</v>
      </c>
      <c r="Q5041">
        <v>3.25390450497344E-2</v>
      </c>
      <c r="R5041">
        <v>0.99627009688267198</v>
      </c>
      <c r="S5041" t="s">
        <v>11609</v>
      </c>
      <c r="T5041" t="s">
        <v>13134</v>
      </c>
      <c r="U5041" t="s">
        <v>13134</v>
      </c>
      <c r="V5041" t="s">
        <v>13134</v>
      </c>
      <c r="W5041" t="s">
        <v>18111</v>
      </c>
      <c r="X5041">
        <v>5</v>
      </c>
      <c r="Y5041" t="s">
        <v>24479</v>
      </c>
      <c r="Z5041" t="s">
        <v>31009</v>
      </c>
      <c r="AA5041">
        <v>0.40060030649515632</v>
      </c>
      <c r="AB5041" t="str">
        <f>HYPERLINK("Melting_Curves/meltCurve_Q96FC9_4_DDX11.pdf", "Melting_Curves/meltCurve_Q96FC9_4_DDX11.pdf")</f>
        <v>Melting_Curves/meltCurve_Q96FC9_4_DDX11.pdf</v>
      </c>
    </row>
    <row r="5042" spans="1:28" x14ac:dyDescent="0.25">
      <c r="A5042" t="s">
        <v>5046</v>
      </c>
      <c r="B5042">
        <v>0.99472303558308395</v>
      </c>
      <c r="C5042">
        <v>0.976419904439355</v>
      </c>
      <c r="D5042">
        <v>0.97686076117754195</v>
      </c>
      <c r="E5042">
        <v>0.89756280194556604</v>
      </c>
      <c r="F5042">
        <v>0.72381847732646099</v>
      </c>
      <c r="G5042">
        <v>0.51270900969565603</v>
      </c>
      <c r="H5042">
        <v>0.28580439929714302</v>
      </c>
      <c r="I5042">
        <v>0.171190533048417</v>
      </c>
      <c r="J5042">
        <v>0.16868519687734501</v>
      </c>
      <c r="K5042">
        <v>0.13729549463635299</v>
      </c>
      <c r="L5042">
        <v>839.88948785798698</v>
      </c>
      <c r="M5042">
        <v>15.882834326586901</v>
      </c>
      <c r="N5042">
        <v>53.628756591007601</v>
      </c>
      <c r="O5042">
        <v>52.0633432162292</v>
      </c>
      <c r="P5042">
        <v>-6.8691129976360094E-2</v>
      </c>
      <c r="Q5042">
        <v>9.9404776275722001E-2</v>
      </c>
      <c r="R5042">
        <v>0.99822397751849401</v>
      </c>
      <c r="S5042" t="s">
        <v>11610</v>
      </c>
      <c r="T5042" t="s">
        <v>13134</v>
      </c>
      <c r="U5042" t="s">
        <v>13134</v>
      </c>
      <c r="V5042" t="s">
        <v>13134</v>
      </c>
      <c r="W5042" t="s">
        <v>18112</v>
      </c>
      <c r="X5042">
        <v>2</v>
      </c>
      <c r="Y5042" t="s">
        <v>24480</v>
      </c>
      <c r="Z5042" t="s">
        <v>31010</v>
      </c>
      <c r="AA5042">
        <v>0.59142335336410079</v>
      </c>
      <c r="AB5042" t="str">
        <f>HYPERLINK("Melting_Curves/meltCurve_Q96FH0_2_MEF2BNB.pdf", "Melting_Curves/meltCurve_Q96FH0_2_MEF2BNB.pdf")</f>
        <v>Melting_Curves/meltCurve_Q96FH0_2_MEF2BNB.pdf</v>
      </c>
    </row>
    <row r="5043" spans="1:28" x14ac:dyDescent="0.25">
      <c r="A5043" t="s">
        <v>5047</v>
      </c>
      <c r="B5043">
        <v>0.99472303558308395</v>
      </c>
      <c r="C5043">
        <v>0.934123340993401</v>
      </c>
      <c r="D5043">
        <v>0.81905430575850902</v>
      </c>
      <c r="E5043">
        <v>0.63950773754775403</v>
      </c>
      <c r="F5043">
        <v>0.475690000984615</v>
      </c>
      <c r="G5043">
        <v>0.28253558249693</v>
      </c>
      <c r="H5043">
        <v>0.135051890631013</v>
      </c>
      <c r="I5043">
        <v>0.101221389115875</v>
      </c>
      <c r="J5043">
        <v>7.5022605277198007E-2</v>
      </c>
      <c r="K5043">
        <v>8.3280201497600903E-2</v>
      </c>
      <c r="L5043">
        <v>561.07441408034094</v>
      </c>
      <c r="M5043">
        <v>11.439527302717799</v>
      </c>
      <c r="N5043">
        <v>49.173044246684903</v>
      </c>
      <c r="O5043">
        <v>47.619960814770202</v>
      </c>
      <c r="P5043">
        <v>-5.9205763613571702E-2</v>
      </c>
      <c r="Q5043">
        <v>1.4449285091423399E-2</v>
      </c>
      <c r="R5043">
        <v>0.99687781272323295</v>
      </c>
      <c r="S5043" t="s">
        <v>11611</v>
      </c>
      <c r="T5043" t="s">
        <v>13134</v>
      </c>
      <c r="U5043" t="s">
        <v>13134</v>
      </c>
      <c r="V5043" t="s">
        <v>13134</v>
      </c>
      <c r="W5043" t="s">
        <v>18113</v>
      </c>
      <c r="X5043">
        <v>7</v>
      </c>
      <c r="Y5043" t="s">
        <v>24481</v>
      </c>
      <c r="Z5043" t="s">
        <v>31011</v>
      </c>
      <c r="AA5043">
        <v>0.44128653072594581</v>
      </c>
      <c r="AB5043" t="str">
        <f>HYPERLINK("Melting_Curves/meltCurve_Q96FJ2_DYNLL2.pdf", "Melting_Curves/meltCurve_Q96FJ2_DYNLL2.pdf")</f>
        <v>Melting_Curves/meltCurve_Q96FJ2_DYNLL2.pdf</v>
      </c>
    </row>
    <row r="5044" spans="1:28" x14ac:dyDescent="0.25">
      <c r="A5044" t="s">
        <v>5048</v>
      </c>
      <c r="B5044">
        <v>0.99472303558308395</v>
      </c>
      <c r="C5044">
        <v>0.98874878356856</v>
      </c>
      <c r="D5044">
        <v>1.2009033398130899</v>
      </c>
      <c r="E5044">
        <v>1.3289825996309399</v>
      </c>
      <c r="F5044">
        <v>1.0624447395313099</v>
      </c>
      <c r="G5044">
        <v>0.84614923017696198</v>
      </c>
      <c r="H5044">
        <v>0.42914506590629797</v>
      </c>
      <c r="I5044">
        <v>0.124379840724278</v>
      </c>
      <c r="J5044">
        <v>5.8668712460112599E-2</v>
      </c>
      <c r="K5044">
        <v>6.00132749340445E-2</v>
      </c>
      <c r="L5044">
        <v>1951.83038249878</v>
      </c>
      <c r="M5044">
        <v>34.445656432206299</v>
      </c>
      <c r="N5044">
        <v>56.835917965159702</v>
      </c>
      <c r="O5044">
        <v>56.474087278756699</v>
      </c>
      <c r="P5044">
        <v>-0.14494298716224999</v>
      </c>
      <c r="Q5044">
        <v>4.9460165201798703E-2</v>
      </c>
      <c r="R5044">
        <v>0.92926094737159404</v>
      </c>
      <c r="S5044" t="s">
        <v>11612</v>
      </c>
      <c r="T5044" t="s">
        <v>13134</v>
      </c>
      <c r="U5044" t="s">
        <v>13134</v>
      </c>
      <c r="V5044" t="s">
        <v>13134</v>
      </c>
      <c r="W5044" t="s">
        <v>18114</v>
      </c>
      <c r="X5044">
        <v>5</v>
      </c>
      <c r="Y5044" t="s">
        <v>24482</v>
      </c>
      <c r="Z5044" t="s">
        <v>31012</v>
      </c>
      <c r="AA5044">
        <v>0.67716120484794473</v>
      </c>
      <c r="AB5044" t="str">
        <f>HYPERLINK("Melting_Curves/meltCurve_Q96FK6_WDR89.pdf", "Melting_Curves/meltCurve_Q96FK6_WDR89.pdf")</f>
        <v>Melting_Curves/meltCurve_Q96FK6_WDR89.pdf</v>
      </c>
    </row>
    <row r="5045" spans="1:28" x14ac:dyDescent="0.25">
      <c r="A5045" t="s">
        <v>5049</v>
      </c>
      <c r="B5045">
        <v>0.99472303558308395</v>
      </c>
      <c r="C5045">
        <v>1.04394200632915</v>
      </c>
      <c r="D5045">
        <v>0.97184435640017397</v>
      </c>
      <c r="E5045">
        <v>0.73484534371293297</v>
      </c>
      <c r="F5045">
        <v>0.33753965572397598</v>
      </c>
      <c r="G5045">
        <v>0.112079419915697</v>
      </c>
      <c r="H5045">
        <v>7.3881305622078799E-2</v>
      </c>
      <c r="I5045">
        <v>4.20317190052302E-2</v>
      </c>
      <c r="J5045">
        <v>5.03091547477129E-2</v>
      </c>
      <c r="K5045">
        <v>4.0292900595398598E-2</v>
      </c>
      <c r="L5045">
        <v>1205.41737215281</v>
      </c>
      <c r="M5045">
        <v>24.860603966748599</v>
      </c>
      <c r="N5045">
        <v>48.665530228939097</v>
      </c>
      <c r="O5045">
        <v>48.176608051709799</v>
      </c>
      <c r="P5045">
        <v>-0.12338853876581</v>
      </c>
      <c r="Q5045">
        <v>4.3569975505874603E-2</v>
      </c>
      <c r="R5045">
        <v>0.99837324229221802</v>
      </c>
      <c r="S5045" t="s">
        <v>11613</v>
      </c>
      <c r="T5045" t="s">
        <v>13134</v>
      </c>
      <c r="U5045" t="s">
        <v>13134</v>
      </c>
      <c r="V5045" t="s">
        <v>13134</v>
      </c>
      <c r="W5045" t="s">
        <v>18115</v>
      </c>
      <c r="X5045">
        <v>13</v>
      </c>
      <c r="Y5045" t="s">
        <v>24483</v>
      </c>
      <c r="Z5045" t="s">
        <v>31013</v>
      </c>
      <c r="AA5045">
        <v>0.41808641527697288</v>
      </c>
      <c r="AB5045" t="str">
        <f>HYPERLINK("Melting_Curves/meltCurve_Q96FS4_SIPA1.pdf", "Melting_Curves/meltCurve_Q96FS4_SIPA1.pdf")</f>
        <v>Melting_Curves/meltCurve_Q96FS4_SIPA1.pdf</v>
      </c>
    </row>
    <row r="5046" spans="1:28" x14ac:dyDescent="0.25">
      <c r="A5046" t="s">
        <v>5050</v>
      </c>
      <c r="B5046">
        <v>0.99472303558308395</v>
      </c>
      <c r="C5046">
        <v>0.88911971320680705</v>
      </c>
      <c r="D5046">
        <v>0.60372447756984104</v>
      </c>
      <c r="E5046">
        <v>0.38533082292965398</v>
      </c>
      <c r="F5046">
        <v>0.178195818504157</v>
      </c>
      <c r="G5046">
        <v>8.7046906539618593E-2</v>
      </c>
      <c r="H5046">
        <v>5.8174088239743099E-2</v>
      </c>
      <c r="I5046">
        <v>4.4568350978434201E-2</v>
      </c>
      <c r="J5046">
        <v>5.6786149493855201E-2</v>
      </c>
      <c r="K5046">
        <v>4.9645383183030897E-2</v>
      </c>
      <c r="L5046">
        <v>705.683613007394</v>
      </c>
      <c r="M5046">
        <v>15.864082501767101</v>
      </c>
      <c r="N5046">
        <v>44.717673115441997</v>
      </c>
      <c r="O5046">
        <v>43.794247366070202</v>
      </c>
      <c r="P5046">
        <v>-8.6951789965061699E-2</v>
      </c>
      <c r="Q5046">
        <v>3.9923999744230998E-2</v>
      </c>
      <c r="R5046">
        <v>0.99602738710019101</v>
      </c>
      <c r="S5046" t="s">
        <v>11614</v>
      </c>
      <c r="T5046" t="s">
        <v>13134</v>
      </c>
      <c r="U5046" t="s">
        <v>13134</v>
      </c>
      <c r="V5046" t="s">
        <v>13134</v>
      </c>
      <c r="W5046" t="s">
        <v>18116</v>
      </c>
      <c r="X5046">
        <v>15</v>
      </c>
      <c r="Y5046" t="s">
        <v>24484</v>
      </c>
      <c r="Z5046" t="s">
        <v>31014</v>
      </c>
      <c r="AA5046">
        <v>0.3001749275365368</v>
      </c>
      <c r="AB5046" t="str">
        <f>HYPERLINK("Melting_Curves/meltCurve_Q96FV9_THOC1.pdf", "Melting_Curves/meltCurve_Q96FV9_THOC1.pdf")</f>
        <v>Melting_Curves/meltCurve_Q96FV9_THOC1.pdf</v>
      </c>
    </row>
    <row r="5047" spans="1:28" x14ac:dyDescent="0.25">
      <c r="A5047" t="s">
        <v>5051</v>
      </c>
      <c r="B5047">
        <v>0.99472303558308395</v>
      </c>
      <c r="C5047">
        <v>1.05215111202522</v>
      </c>
      <c r="D5047">
        <v>0.88911462175640299</v>
      </c>
      <c r="E5047">
        <v>1.1000478966693401</v>
      </c>
      <c r="F5047">
        <v>0.94891107275544795</v>
      </c>
      <c r="G5047">
        <v>0.77722256221513697</v>
      </c>
      <c r="H5047">
        <v>0.45479225944978402</v>
      </c>
      <c r="I5047">
        <v>0.79468786059624297</v>
      </c>
      <c r="J5047">
        <v>0.82019262878025001</v>
      </c>
      <c r="K5047">
        <v>0.70812151982916305</v>
      </c>
      <c r="L5047">
        <v>2822.8883570422699</v>
      </c>
      <c r="M5047">
        <v>54.0117166101886</v>
      </c>
      <c r="O5047">
        <v>52.192860060694102</v>
      </c>
      <c r="P5047">
        <v>-7.7877065896856307E-2</v>
      </c>
      <c r="Q5047">
        <v>0.69898196844310501</v>
      </c>
      <c r="R5047">
        <v>0.65444286570902099</v>
      </c>
      <c r="S5047" t="s">
        <v>11615</v>
      </c>
      <c r="T5047" t="s">
        <v>13134</v>
      </c>
      <c r="U5047" t="s">
        <v>13134</v>
      </c>
      <c r="V5047" t="s">
        <v>13134</v>
      </c>
      <c r="W5047" t="s">
        <v>18117</v>
      </c>
      <c r="X5047">
        <v>1</v>
      </c>
      <c r="Y5047" t="s">
        <v>24485</v>
      </c>
      <c r="Z5047" t="s">
        <v>31015</v>
      </c>
      <c r="AA5047">
        <v>0.85273777131057205</v>
      </c>
      <c r="AB5047" t="str">
        <f>HYPERLINK("Melting_Curves/meltCurve_Q96FX2_DPH3.pdf", "Melting_Curves/meltCurve_Q96FX2_DPH3.pdf")</f>
        <v>Melting_Curves/meltCurve_Q96FX2_DPH3.pdf</v>
      </c>
    </row>
    <row r="5048" spans="1:28" x14ac:dyDescent="0.25">
      <c r="A5048" t="s">
        <v>5052</v>
      </c>
      <c r="B5048">
        <v>0.99472303558308395</v>
      </c>
      <c r="C5048">
        <v>1.0206587361467201</v>
      </c>
      <c r="D5048">
        <v>0.87459701337142404</v>
      </c>
      <c r="E5048">
        <v>0.76809405078252802</v>
      </c>
      <c r="F5048">
        <v>0.68576179649369295</v>
      </c>
      <c r="G5048">
        <v>0.43724863321093999</v>
      </c>
      <c r="H5048">
        <v>0.19502951815017999</v>
      </c>
      <c r="I5048">
        <v>9.0065273800876505E-2</v>
      </c>
      <c r="J5048">
        <v>2.3046974661201598E-2</v>
      </c>
      <c r="K5048">
        <v>4.2446910584320999E-2</v>
      </c>
      <c r="L5048">
        <v>714.23284389897697</v>
      </c>
      <c r="M5048">
        <v>13.7016305740786</v>
      </c>
      <c r="N5048">
        <v>52.127569195368899</v>
      </c>
      <c r="O5048">
        <v>51.054811604412599</v>
      </c>
      <c r="P5048">
        <v>-6.7102408189236101E-2</v>
      </c>
      <c r="Q5048">
        <v>0</v>
      </c>
      <c r="R5048">
        <v>0.98615802914621198</v>
      </c>
      <c r="S5048" t="s">
        <v>11616</v>
      </c>
      <c r="T5048" t="s">
        <v>13134</v>
      </c>
      <c r="U5048" t="s">
        <v>13134</v>
      </c>
      <c r="V5048" t="s">
        <v>13134</v>
      </c>
      <c r="W5048" t="s">
        <v>18118</v>
      </c>
      <c r="X5048">
        <v>3</v>
      </c>
      <c r="Y5048" t="s">
        <v>24486</v>
      </c>
      <c r="Z5048" t="s">
        <v>31016</v>
      </c>
      <c r="AA5048">
        <v>0.52514446200749143</v>
      </c>
      <c r="AB5048" t="str">
        <f>HYPERLINK("Melting_Curves/meltCurve_Q96FX7_TRMT61A.pdf", "Melting_Curves/meltCurve_Q96FX7_TRMT61A.pdf")</f>
        <v>Melting_Curves/meltCurve_Q96FX7_TRMT61A.pdf</v>
      </c>
    </row>
    <row r="5049" spans="1:28" x14ac:dyDescent="0.25">
      <c r="A5049" t="s">
        <v>5053</v>
      </c>
      <c r="B5049">
        <v>0.99472303558308395</v>
      </c>
      <c r="C5049">
        <v>0.80715221386467895</v>
      </c>
      <c r="D5049">
        <v>0.81515195874812796</v>
      </c>
      <c r="E5049">
        <v>0.486231253724076</v>
      </c>
      <c r="F5049">
        <v>0.230220806279784</v>
      </c>
      <c r="G5049">
        <v>0.120966544628441</v>
      </c>
      <c r="H5049">
        <v>8.4318868118889403E-2</v>
      </c>
      <c r="I5049">
        <v>5.3830155525140103E-2</v>
      </c>
      <c r="J5049">
        <v>6.5060901257256901E-2</v>
      </c>
      <c r="K5049">
        <v>5.1656871954128498E-2</v>
      </c>
      <c r="L5049">
        <v>692.87934396800699</v>
      </c>
      <c r="M5049">
        <v>15.033123655507101</v>
      </c>
      <c r="N5049">
        <v>46.314439722167101</v>
      </c>
      <c r="O5049">
        <v>45.297677528254397</v>
      </c>
      <c r="P5049">
        <v>-8.0064064111948496E-2</v>
      </c>
      <c r="Q5049">
        <v>3.5103236650419499E-2</v>
      </c>
      <c r="R5049">
        <v>0.98672944625679004</v>
      </c>
      <c r="S5049" t="s">
        <v>11617</v>
      </c>
      <c r="T5049" t="s">
        <v>13134</v>
      </c>
      <c r="U5049" t="s">
        <v>13134</v>
      </c>
      <c r="V5049" t="s">
        <v>13134</v>
      </c>
      <c r="W5049" t="s">
        <v>18119</v>
      </c>
      <c r="X5049">
        <v>5</v>
      </c>
      <c r="Y5049" t="s">
        <v>24487</v>
      </c>
      <c r="Z5049" t="s">
        <v>31017</v>
      </c>
      <c r="AA5049">
        <v>0.34957995268383713</v>
      </c>
      <c r="AB5049" t="str">
        <f>HYPERLINK("Melting_Curves/meltCurve_Q96FZ2_C3orf37.pdf", "Melting_Curves/meltCurve_Q96FZ2_C3orf37.pdf")</f>
        <v>Melting_Curves/meltCurve_Q96FZ2_C3orf37.pdf</v>
      </c>
    </row>
    <row r="5050" spans="1:28" x14ac:dyDescent="0.25">
      <c r="A5050" t="s">
        <v>5054</v>
      </c>
      <c r="B5050">
        <v>0.99472303558308395</v>
      </c>
      <c r="C5050">
        <v>0.92848090253813897</v>
      </c>
      <c r="D5050">
        <v>0.88382687724845299</v>
      </c>
      <c r="E5050">
        <v>0.81183836665813602</v>
      </c>
      <c r="F5050">
        <v>0.70447573421959198</v>
      </c>
      <c r="G5050">
        <v>0.44572044466213601</v>
      </c>
      <c r="H5050">
        <v>0.29505859419670899</v>
      </c>
      <c r="I5050">
        <v>0.22648757172004899</v>
      </c>
      <c r="J5050">
        <v>0.16191455858144399</v>
      </c>
      <c r="K5050">
        <v>0.20333230759867099</v>
      </c>
      <c r="L5050">
        <v>606.21170335441604</v>
      </c>
      <c r="M5050">
        <v>11.6524105236346</v>
      </c>
      <c r="N5050">
        <v>53.0000452365258</v>
      </c>
      <c r="O5050">
        <v>50.563183487594301</v>
      </c>
      <c r="P5050">
        <v>-5.20667615881555E-2</v>
      </c>
      <c r="Q5050">
        <v>9.6513029240539297E-2</v>
      </c>
      <c r="R5050">
        <v>0.98822326265495297</v>
      </c>
      <c r="S5050" t="s">
        <v>11618</v>
      </c>
      <c r="T5050" t="s">
        <v>13134</v>
      </c>
      <c r="U5050" t="s">
        <v>13134</v>
      </c>
      <c r="V5050" t="s">
        <v>13134</v>
      </c>
      <c r="W5050" t="s">
        <v>18120</v>
      </c>
      <c r="X5050">
        <v>6</v>
      </c>
      <c r="Y5050" t="s">
        <v>24488</v>
      </c>
      <c r="Z5050" t="s">
        <v>31018</v>
      </c>
      <c r="AA5050">
        <v>0.57088480449670387</v>
      </c>
      <c r="AB5050" t="str">
        <f>HYPERLINK("Melting_Curves/meltCurve_Q96FZ7_CHMP6.pdf", "Melting_Curves/meltCurve_Q96FZ7_CHMP6.pdf")</f>
        <v>Melting_Curves/meltCurve_Q96FZ7_CHMP6.pdf</v>
      </c>
    </row>
    <row r="5051" spans="1:28" x14ac:dyDescent="0.25">
      <c r="A5051" t="s">
        <v>5055</v>
      </c>
      <c r="B5051">
        <v>0.99472303558308395</v>
      </c>
      <c r="C5051">
        <v>0.99253465185273404</v>
      </c>
      <c r="D5051">
        <v>0.97776040353217997</v>
      </c>
      <c r="E5051">
        <v>0.94281828259967304</v>
      </c>
      <c r="F5051">
        <v>0.78749130994974204</v>
      </c>
      <c r="G5051">
        <v>0.65491489583156504</v>
      </c>
      <c r="H5051">
        <v>0.54749191325374202</v>
      </c>
      <c r="I5051">
        <v>0.56308428940138799</v>
      </c>
      <c r="J5051">
        <v>0.59821871810739802</v>
      </c>
      <c r="K5051">
        <v>0.36348843578703999</v>
      </c>
      <c r="L5051">
        <v>735.71126082537796</v>
      </c>
      <c r="M5051">
        <v>14.1149642303407</v>
      </c>
      <c r="N5051">
        <v>62.974031937403403</v>
      </c>
      <c r="O5051">
        <v>51.110040222339201</v>
      </c>
      <c r="P5051">
        <v>-3.7558290081926397E-2</v>
      </c>
      <c r="Q5051">
        <v>0.45607812405954901</v>
      </c>
      <c r="R5051">
        <v>0.93909697365049905</v>
      </c>
      <c r="S5051" t="s">
        <v>11619</v>
      </c>
      <c r="T5051" t="s">
        <v>13134</v>
      </c>
      <c r="U5051" t="s">
        <v>13134</v>
      </c>
      <c r="V5051" t="s">
        <v>13134</v>
      </c>
      <c r="W5051" t="s">
        <v>18121</v>
      </c>
      <c r="X5051">
        <v>31</v>
      </c>
      <c r="Y5051" t="s">
        <v>24489</v>
      </c>
      <c r="Z5051" t="s">
        <v>31019</v>
      </c>
      <c r="AA5051">
        <v>0.74129836834962737</v>
      </c>
      <c r="AB5051" t="str">
        <f>HYPERLINK("Melting_Curves/meltCurve_Q96G03_PGM2.pdf", "Melting_Curves/meltCurve_Q96G03_PGM2.pdf")</f>
        <v>Melting_Curves/meltCurve_Q96G03_PGM2.pdf</v>
      </c>
    </row>
    <row r="5052" spans="1:28" x14ac:dyDescent="0.25">
      <c r="A5052" t="s">
        <v>5056</v>
      </c>
      <c r="B5052">
        <v>0.99472303558308395</v>
      </c>
      <c r="C5052">
        <v>0.97350236623171704</v>
      </c>
      <c r="D5052">
        <v>0.77914231841817905</v>
      </c>
      <c r="E5052">
        <v>0.64535293298496399</v>
      </c>
      <c r="F5052">
        <v>0.50223079055630504</v>
      </c>
      <c r="G5052">
        <v>0.34541925411326102</v>
      </c>
      <c r="H5052">
        <v>0.40842067817109901</v>
      </c>
      <c r="I5052">
        <v>0.37077378469251898</v>
      </c>
      <c r="J5052">
        <v>0.42559235226730302</v>
      </c>
      <c r="K5052">
        <v>0.40944212212961201</v>
      </c>
      <c r="L5052">
        <v>785.74773280109298</v>
      </c>
      <c r="M5052">
        <v>17.382768342231</v>
      </c>
      <c r="N5052">
        <v>49.406641954330901</v>
      </c>
      <c r="O5052">
        <v>44.617164169609801</v>
      </c>
      <c r="P5052">
        <v>-5.9799250154674001E-2</v>
      </c>
      <c r="Q5052">
        <v>0.38607663211134302</v>
      </c>
      <c r="R5052">
        <v>0.97791655584834902</v>
      </c>
      <c r="S5052" t="s">
        <v>11620</v>
      </c>
      <c r="T5052" t="s">
        <v>13134</v>
      </c>
      <c r="U5052" t="s">
        <v>13134</v>
      </c>
      <c r="V5052" t="s">
        <v>13134</v>
      </c>
      <c r="W5052" t="s">
        <v>18122</v>
      </c>
      <c r="X5052">
        <v>4</v>
      </c>
      <c r="Y5052" t="s">
        <v>24490</v>
      </c>
      <c r="Z5052" t="s">
        <v>31020</v>
      </c>
      <c r="AA5052">
        <v>0.56470835319778501</v>
      </c>
      <c r="AB5052" t="str">
        <f>HYPERLINK("Melting_Curves/meltCurve_Q96G25_MED8.pdf", "Melting_Curves/meltCurve_Q96G25_MED8.pdf")</f>
        <v>Melting_Curves/meltCurve_Q96G25_MED8.pdf</v>
      </c>
    </row>
    <row r="5053" spans="1:28" x14ac:dyDescent="0.25">
      <c r="A5053" t="s">
        <v>5057</v>
      </c>
      <c r="B5053">
        <v>0.99472303558308395</v>
      </c>
      <c r="C5053">
        <v>0.91095564795433004</v>
      </c>
      <c r="D5053">
        <v>0.79798701311021403</v>
      </c>
      <c r="E5053">
        <v>0.52690870007533896</v>
      </c>
      <c r="F5053">
        <v>0.37741987879208</v>
      </c>
      <c r="G5053">
        <v>0.178357737322906</v>
      </c>
      <c r="H5053">
        <v>0.12469822196112899</v>
      </c>
      <c r="I5053">
        <v>5.3392590196322302E-2</v>
      </c>
      <c r="J5053">
        <v>4.5158411325533498E-2</v>
      </c>
      <c r="K5053">
        <v>4.9585077974063203E-2</v>
      </c>
      <c r="L5053">
        <v>595.61966728798404</v>
      </c>
      <c r="M5053">
        <v>12.565869642251201</v>
      </c>
      <c r="N5053">
        <v>47.506548411426003</v>
      </c>
      <c r="O5053">
        <v>46.247405447043199</v>
      </c>
      <c r="P5053">
        <v>-6.6995329932732203E-2</v>
      </c>
      <c r="Q5053">
        <v>1.3920873948716101E-2</v>
      </c>
      <c r="R5053">
        <v>0.996943112475419</v>
      </c>
      <c r="S5053" t="s">
        <v>11621</v>
      </c>
      <c r="T5053" t="s">
        <v>13134</v>
      </c>
      <c r="U5053" t="s">
        <v>13134</v>
      </c>
      <c r="V5053" t="s">
        <v>13134</v>
      </c>
      <c r="W5053" t="s">
        <v>18123</v>
      </c>
      <c r="X5053">
        <v>9</v>
      </c>
      <c r="Y5053" t="s">
        <v>24491</v>
      </c>
      <c r="Z5053" t="s">
        <v>31021</v>
      </c>
      <c r="AA5053">
        <v>0.38533185648243728</v>
      </c>
      <c r="AB5053" t="str">
        <f>HYPERLINK("Melting_Curves/meltCurve_Q96G28_CCDC104.pdf", "Melting_Curves/meltCurve_Q96G28_CCDC104.pdf")</f>
        <v>Melting_Curves/meltCurve_Q96G28_CCDC104.pdf</v>
      </c>
    </row>
    <row r="5054" spans="1:28" x14ac:dyDescent="0.25">
      <c r="A5054" t="s">
        <v>5058</v>
      </c>
      <c r="B5054">
        <v>0.99472303558308395</v>
      </c>
      <c r="C5054">
        <v>0.93139732943374698</v>
      </c>
      <c r="D5054">
        <v>0.91977824140097297</v>
      </c>
      <c r="E5054">
        <v>0.72842105114576605</v>
      </c>
      <c r="F5054">
        <v>0.36923642050231298</v>
      </c>
      <c r="G5054">
        <v>0.171123813759717</v>
      </c>
      <c r="H5054">
        <v>0.108504635528219</v>
      </c>
      <c r="I5054">
        <v>8.28030521788371E-2</v>
      </c>
      <c r="J5054">
        <v>7.8338305701583094E-2</v>
      </c>
      <c r="K5054">
        <v>5.5153367184361902E-2</v>
      </c>
      <c r="L5054">
        <v>958.30368139274105</v>
      </c>
      <c r="M5054">
        <v>19.763084963491899</v>
      </c>
      <c r="N5054">
        <v>48.814977378333197</v>
      </c>
      <c r="O5054">
        <v>48.001301825945198</v>
      </c>
      <c r="P5054">
        <v>-9.65809943165373E-2</v>
      </c>
      <c r="Q5054">
        <v>6.1714252290690198E-2</v>
      </c>
      <c r="R5054">
        <v>0.99728875562695696</v>
      </c>
      <c r="S5054" t="s">
        <v>11622</v>
      </c>
      <c r="T5054" t="s">
        <v>13134</v>
      </c>
      <c r="U5054" t="s">
        <v>13134</v>
      </c>
      <c r="V5054" t="s">
        <v>13134</v>
      </c>
      <c r="W5054" t="s">
        <v>18124</v>
      </c>
      <c r="X5054">
        <v>24</v>
      </c>
      <c r="Y5054" t="s">
        <v>24492</v>
      </c>
      <c r="Z5054" t="s">
        <v>31022</v>
      </c>
      <c r="AA5054">
        <v>0.43368796392114223</v>
      </c>
      <c r="AB5054" t="str">
        <f>HYPERLINK("Melting_Curves/meltCurve_Q96G46_DUS3L.pdf", "Melting_Curves/meltCurve_Q96G46_DUS3L.pdf")</f>
        <v>Melting_Curves/meltCurve_Q96G46_DUS3L.pdf</v>
      </c>
    </row>
    <row r="5055" spans="1:28" x14ac:dyDescent="0.25">
      <c r="A5055" t="s">
        <v>5059</v>
      </c>
      <c r="B5055">
        <v>0.99472303558308395</v>
      </c>
      <c r="C5055">
        <v>0.99345008181134598</v>
      </c>
      <c r="D5055">
        <v>0.91368226872342495</v>
      </c>
      <c r="E5055">
        <v>0.72712949484026101</v>
      </c>
      <c r="F5055">
        <v>0.464116333605682</v>
      </c>
      <c r="G5055">
        <v>0.25045927537322699</v>
      </c>
      <c r="H5055">
        <v>0.16724003481559799</v>
      </c>
      <c r="I5055">
        <v>0.12767108445799799</v>
      </c>
      <c r="J5055">
        <v>0.17734673891389399</v>
      </c>
      <c r="K5055">
        <v>0.156488884276787</v>
      </c>
      <c r="L5055">
        <v>897.38540502538501</v>
      </c>
      <c r="M5055">
        <v>18.463460810290901</v>
      </c>
      <c r="N5055">
        <v>49.460189686106197</v>
      </c>
      <c r="O5055">
        <v>48.043927033179202</v>
      </c>
      <c r="P5055">
        <v>-8.2928899911141205E-2</v>
      </c>
      <c r="Q5055">
        <v>0.13687855875830399</v>
      </c>
      <c r="R5055">
        <v>0.99752336676672804</v>
      </c>
      <c r="S5055" t="s">
        <v>11623</v>
      </c>
      <c r="T5055" t="s">
        <v>13134</v>
      </c>
      <c r="U5055" t="s">
        <v>13134</v>
      </c>
      <c r="V5055" t="s">
        <v>13134</v>
      </c>
      <c r="W5055" t="s">
        <v>18125</v>
      </c>
      <c r="X5055">
        <v>14</v>
      </c>
      <c r="Y5055" t="s">
        <v>24493</v>
      </c>
      <c r="Z5055" t="s">
        <v>31023</v>
      </c>
      <c r="AA5055">
        <v>0.48385968885293212</v>
      </c>
      <c r="AB5055" t="str">
        <f>HYPERLINK("Melting_Curves/meltCurve_Q96G74_3_OTUD5.pdf", "Melting_Curves/meltCurve_Q96G74_3_OTUD5.pdf")</f>
        <v>Melting_Curves/meltCurve_Q96G74_3_OTUD5.pdf</v>
      </c>
    </row>
    <row r="5056" spans="1:28" x14ac:dyDescent="0.25">
      <c r="A5056" t="s">
        <v>5060</v>
      </c>
      <c r="B5056">
        <v>0.99472303558308395</v>
      </c>
      <c r="C5056">
        <v>0.97634242588880504</v>
      </c>
      <c r="D5056">
        <v>0.85357942161850497</v>
      </c>
      <c r="E5056">
        <v>0.648276646219763</v>
      </c>
      <c r="F5056">
        <v>0.25938978411548602</v>
      </c>
      <c r="G5056">
        <v>0.14280102399435499</v>
      </c>
      <c r="H5056">
        <v>8.8294730190913301E-2</v>
      </c>
      <c r="I5056">
        <v>6.8813314344552207E-2</v>
      </c>
      <c r="J5056">
        <v>9.1769581993964594E-2</v>
      </c>
      <c r="K5056">
        <v>6.4224728392413E-2</v>
      </c>
      <c r="L5056">
        <v>968.037849108042</v>
      </c>
      <c r="M5056">
        <v>20.442523154431498</v>
      </c>
      <c r="N5056">
        <v>47.682983816584503</v>
      </c>
      <c r="O5056">
        <v>46.907947647918</v>
      </c>
      <c r="P5056">
        <v>-0.10178979889296</v>
      </c>
      <c r="Q5056">
        <v>6.5749386769546198E-2</v>
      </c>
      <c r="R5056">
        <v>0.99677488540205395</v>
      </c>
      <c r="S5056" t="s">
        <v>11624</v>
      </c>
      <c r="T5056" t="s">
        <v>13134</v>
      </c>
      <c r="U5056" t="s">
        <v>13134</v>
      </c>
      <c r="V5056" t="s">
        <v>13134</v>
      </c>
      <c r="W5056" t="s">
        <v>18126</v>
      </c>
      <c r="X5056">
        <v>7</v>
      </c>
      <c r="Y5056" t="s">
        <v>24494</v>
      </c>
      <c r="Z5056" t="s">
        <v>31024</v>
      </c>
      <c r="AA5056">
        <v>0.39993119367763957</v>
      </c>
      <c r="AB5056" t="str">
        <f>HYPERLINK("Melting_Curves/meltCurve_Q96GA3_LTV1.pdf", "Melting_Curves/meltCurve_Q96GA3_LTV1.pdf")</f>
        <v>Melting_Curves/meltCurve_Q96GA3_LTV1.pdf</v>
      </c>
    </row>
    <row r="5057" spans="1:28" x14ac:dyDescent="0.25">
      <c r="A5057" t="s">
        <v>5061</v>
      </c>
      <c r="B5057">
        <v>0.99472303558308395</v>
      </c>
      <c r="C5057">
        <v>1.02146259654939</v>
      </c>
      <c r="D5057">
        <v>1.03561739236484</v>
      </c>
      <c r="E5057">
        <v>0.96614973804292603</v>
      </c>
      <c r="F5057">
        <v>0.78375147253452704</v>
      </c>
      <c r="G5057">
        <v>0.64081076133216996</v>
      </c>
      <c r="H5057">
        <v>0.52852931362489797</v>
      </c>
      <c r="I5057">
        <v>0.59319772019935901</v>
      </c>
      <c r="J5057">
        <v>0.68024433546583896</v>
      </c>
      <c r="K5057">
        <v>0.35307911448621898</v>
      </c>
      <c r="L5057">
        <v>1227.6180119471401</v>
      </c>
      <c r="M5057">
        <v>24.163372484485201</v>
      </c>
      <c r="O5057">
        <v>50.460777406150598</v>
      </c>
      <c r="P5057">
        <v>-5.6228473647216101E-2</v>
      </c>
      <c r="Q5057">
        <v>0.53031575811945098</v>
      </c>
      <c r="R5057">
        <v>0.88207259172496599</v>
      </c>
      <c r="S5057" t="s">
        <v>11625</v>
      </c>
      <c r="T5057" t="s">
        <v>13134</v>
      </c>
      <c r="U5057" t="s">
        <v>13134</v>
      </c>
      <c r="V5057" t="s">
        <v>13134</v>
      </c>
      <c r="W5057" t="s">
        <v>18127</v>
      </c>
      <c r="X5057">
        <v>7</v>
      </c>
      <c r="Y5057" t="s">
        <v>24495</v>
      </c>
      <c r="Z5057" t="s">
        <v>31025</v>
      </c>
      <c r="AA5057">
        <v>0.75085540826453612</v>
      </c>
      <c r="AB5057" t="str">
        <f>HYPERLINK("Melting_Curves/meltCurve_Q96GA7_SDSL.pdf", "Melting_Curves/meltCurve_Q96GA7_SDSL.pdf")</f>
        <v>Melting_Curves/meltCurve_Q96GA7_SDSL.pdf</v>
      </c>
    </row>
    <row r="5058" spans="1:28" x14ac:dyDescent="0.25">
      <c r="A5058" t="s">
        <v>5062</v>
      </c>
      <c r="B5058">
        <v>0.99472303558308395</v>
      </c>
      <c r="C5058">
        <v>0.94773791868408297</v>
      </c>
      <c r="D5058">
        <v>1.05708017580874</v>
      </c>
      <c r="E5058">
        <v>0.91773180029152002</v>
      </c>
      <c r="F5058">
        <v>0.72630884984462996</v>
      </c>
      <c r="G5058">
        <v>0.633490058998042</v>
      </c>
      <c r="H5058">
        <v>0.42957187838816302</v>
      </c>
      <c r="I5058">
        <v>0.63459292749323404</v>
      </c>
      <c r="J5058">
        <v>0.68018019236465699</v>
      </c>
      <c r="K5058">
        <v>0.44518710496897101</v>
      </c>
      <c r="L5058">
        <v>1400.2899877039699</v>
      </c>
      <c r="M5058">
        <v>28.3411888231029</v>
      </c>
      <c r="O5058">
        <v>49.164273663122302</v>
      </c>
      <c r="P5058">
        <v>-6.4340880859809393E-2</v>
      </c>
      <c r="Q5058">
        <v>0.55354775684117996</v>
      </c>
      <c r="R5058">
        <v>0.86652459902380097</v>
      </c>
      <c r="S5058" t="s">
        <v>11626</v>
      </c>
      <c r="T5058" t="s">
        <v>13134</v>
      </c>
      <c r="U5058" t="s">
        <v>13134</v>
      </c>
      <c r="V5058" t="s">
        <v>13134</v>
      </c>
      <c r="W5058" t="s">
        <v>18128</v>
      </c>
      <c r="X5058">
        <v>18</v>
      </c>
      <c r="Y5058" t="s">
        <v>24496</v>
      </c>
      <c r="Z5058" t="s">
        <v>31026</v>
      </c>
      <c r="AA5058">
        <v>0.74124035527131393</v>
      </c>
      <c r="AB5058" t="str">
        <f>HYPERLINK("Melting_Curves/meltCurve_Q96GD0_PDXP.pdf", "Melting_Curves/meltCurve_Q96GD0_PDXP.pdf")</f>
        <v>Melting_Curves/meltCurve_Q96GD0_PDXP.pdf</v>
      </c>
    </row>
    <row r="5059" spans="1:28" x14ac:dyDescent="0.25">
      <c r="A5059" t="s">
        <v>5063</v>
      </c>
      <c r="B5059">
        <v>0.99472303558308395</v>
      </c>
      <c r="C5059">
        <v>0.84087246736528498</v>
      </c>
      <c r="D5059">
        <v>0.80410923145623803</v>
      </c>
      <c r="E5059">
        <v>0.571362961937668</v>
      </c>
      <c r="F5059">
        <v>0.40743061915721901</v>
      </c>
      <c r="G5059">
        <v>0.21687853775860999</v>
      </c>
      <c r="H5059">
        <v>0.133380622671949</v>
      </c>
      <c r="I5059">
        <v>0.106187376956608</v>
      </c>
      <c r="J5059">
        <v>0.13708717253382899</v>
      </c>
      <c r="K5059">
        <v>0.16532301279889799</v>
      </c>
      <c r="L5059">
        <v>590.72667227934596</v>
      </c>
      <c r="M5059">
        <v>12.582283210830701</v>
      </c>
      <c r="N5059">
        <v>47.720107116166403</v>
      </c>
      <c r="O5059">
        <v>45.810504116624003</v>
      </c>
      <c r="P5059">
        <v>-6.2361485152245003E-2</v>
      </c>
      <c r="Q5059">
        <v>9.1980962935223995E-2</v>
      </c>
      <c r="R5059">
        <v>0.98654212264878005</v>
      </c>
      <c r="S5059" t="s">
        <v>11627</v>
      </c>
      <c r="T5059" t="s">
        <v>13134</v>
      </c>
      <c r="U5059" t="s">
        <v>13134</v>
      </c>
      <c r="V5059" t="s">
        <v>13134</v>
      </c>
      <c r="W5059" t="s">
        <v>18129</v>
      </c>
      <c r="X5059">
        <v>1</v>
      </c>
      <c r="Y5059" t="s">
        <v>24497</v>
      </c>
      <c r="Z5059" t="s">
        <v>31027</v>
      </c>
      <c r="AA5059">
        <v>0.42081337401485908</v>
      </c>
      <c r="AB5059" t="str">
        <f>HYPERLINK("Melting_Curves/meltCurve_Q96GF1_RNF185.pdf", "Melting_Curves/meltCurve_Q96GF1_RNF185.pdf")</f>
        <v>Melting_Curves/meltCurve_Q96GF1_RNF185.pdf</v>
      </c>
    </row>
    <row r="5060" spans="1:28" x14ac:dyDescent="0.25">
      <c r="A5060" t="s">
        <v>5064</v>
      </c>
      <c r="B5060">
        <v>0.99472303558308395</v>
      </c>
      <c r="C5060">
        <v>0.935457321331012</v>
      </c>
      <c r="D5060">
        <v>1.01131900234227</v>
      </c>
      <c r="E5060">
        <v>0.88175932330849305</v>
      </c>
      <c r="F5060">
        <v>0.57203949515892705</v>
      </c>
      <c r="G5060">
        <v>0.15849537054844601</v>
      </c>
      <c r="H5060">
        <v>8.1889502342426104E-2</v>
      </c>
      <c r="I5060">
        <v>6.3969193004228805E-2</v>
      </c>
      <c r="J5060">
        <v>6.7604558680189705E-2</v>
      </c>
      <c r="K5060">
        <v>6.0593339551276999E-2</v>
      </c>
      <c r="L5060">
        <v>1452.5597634945</v>
      </c>
      <c r="M5060">
        <v>28.846258871536801</v>
      </c>
      <c r="N5060">
        <v>50.563557155581002</v>
      </c>
      <c r="O5060">
        <v>50.115096509623797</v>
      </c>
      <c r="P5060">
        <v>-0.135838154930084</v>
      </c>
      <c r="Q5060">
        <v>5.6031706448234603E-2</v>
      </c>
      <c r="R5060">
        <v>0.99592863730449699</v>
      </c>
      <c r="S5060" t="s">
        <v>11628</v>
      </c>
      <c r="T5060" t="s">
        <v>13134</v>
      </c>
      <c r="U5060" t="s">
        <v>13134</v>
      </c>
      <c r="V5060" t="s">
        <v>13134</v>
      </c>
      <c r="W5060" t="s">
        <v>18130</v>
      </c>
      <c r="X5060">
        <v>10</v>
      </c>
      <c r="Y5060" t="s">
        <v>24498</v>
      </c>
      <c r="Z5060" t="s">
        <v>31028</v>
      </c>
      <c r="AA5060">
        <v>0.48255220884960082</v>
      </c>
      <c r="AB5060" t="str">
        <f>HYPERLINK("Melting_Curves/meltCurve_Q96GG9_DCUN1D1.pdf", "Melting_Curves/meltCurve_Q96GG9_DCUN1D1.pdf")</f>
        <v>Melting_Curves/meltCurve_Q96GG9_DCUN1D1.pdf</v>
      </c>
    </row>
    <row r="5061" spans="1:28" x14ac:dyDescent="0.25">
      <c r="A5061" t="s">
        <v>5065</v>
      </c>
      <c r="B5061">
        <v>0.99472303558308395</v>
      </c>
      <c r="C5061">
        <v>1.05915232740655</v>
      </c>
      <c r="D5061">
        <v>1.00820391720351</v>
      </c>
      <c r="E5061">
        <v>0.92934758295181497</v>
      </c>
      <c r="F5061">
        <v>0.71218188228422696</v>
      </c>
      <c r="G5061">
        <v>0.60610903561641805</v>
      </c>
      <c r="H5061">
        <v>0.395608827966344</v>
      </c>
      <c r="I5061">
        <v>0.34826301815096899</v>
      </c>
      <c r="J5061">
        <v>0.21668897641122201</v>
      </c>
      <c r="K5061">
        <v>0.12079588185213</v>
      </c>
      <c r="L5061">
        <v>631.55424059012205</v>
      </c>
      <c r="M5061">
        <v>11.4310668350755</v>
      </c>
      <c r="N5061">
        <v>55.707419051589497</v>
      </c>
      <c r="O5061">
        <v>53.639165244447099</v>
      </c>
      <c r="P5061">
        <v>-5.0900381203728702E-2</v>
      </c>
      <c r="Q5061">
        <v>4.4897160928683198E-2</v>
      </c>
      <c r="R5061">
        <v>0.98460409345586597</v>
      </c>
      <c r="S5061" t="s">
        <v>11629</v>
      </c>
      <c r="T5061" t="s">
        <v>13134</v>
      </c>
      <c r="U5061" t="s">
        <v>13134</v>
      </c>
      <c r="V5061" t="s">
        <v>13134</v>
      </c>
      <c r="W5061" t="s">
        <v>18131</v>
      </c>
      <c r="X5061">
        <v>11</v>
      </c>
      <c r="Y5061" t="s">
        <v>24499</v>
      </c>
      <c r="Z5061" t="s">
        <v>31029</v>
      </c>
      <c r="AA5061">
        <v>0.6380273303760523</v>
      </c>
      <c r="AB5061" t="str">
        <f>HYPERLINK("Melting_Curves/meltCurve_Q96GK7_FAHD2A.pdf", "Melting_Curves/meltCurve_Q96GK7_FAHD2A.pdf")</f>
        <v>Melting_Curves/meltCurve_Q96GK7_FAHD2A.pdf</v>
      </c>
    </row>
    <row r="5062" spans="1:28" x14ac:dyDescent="0.25">
      <c r="A5062" t="s">
        <v>5066</v>
      </c>
      <c r="B5062">
        <v>0.99472303558308395</v>
      </c>
      <c r="C5062">
        <v>0.91400252201478804</v>
      </c>
      <c r="D5062">
        <v>0.67264921456487403</v>
      </c>
      <c r="E5062">
        <v>0.36527041021457402</v>
      </c>
      <c r="F5062">
        <v>0.167836761737993</v>
      </c>
      <c r="G5062">
        <v>9.7574732820204901E-2</v>
      </c>
      <c r="H5062">
        <v>6.3138558983479101E-2</v>
      </c>
      <c r="I5062">
        <v>5.1592456776138697E-2</v>
      </c>
      <c r="J5062">
        <v>5.9693409165688202E-2</v>
      </c>
      <c r="K5062">
        <v>5.23914078949251E-2</v>
      </c>
      <c r="L5062">
        <v>804.67224972496695</v>
      </c>
      <c r="M5062">
        <v>18.002665936101</v>
      </c>
      <c r="N5062">
        <v>44.963448361221701</v>
      </c>
      <c r="O5062">
        <v>44.156824534410099</v>
      </c>
      <c r="P5062">
        <v>-9.6779793061597993E-2</v>
      </c>
      <c r="Q5062">
        <v>5.0523411154970499E-2</v>
      </c>
      <c r="R5062">
        <v>0.99938509877267101</v>
      </c>
      <c r="S5062" t="s">
        <v>11630</v>
      </c>
      <c r="T5062" t="s">
        <v>13134</v>
      </c>
      <c r="U5062" t="s">
        <v>13134</v>
      </c>
      <c r="V5062" t="s">
        <v>13134</v>
      </c>
      <c r="W5062" t="s">
        <v>18132</v>
      </c>
      <c r="X5062">
        <v>10</v>
      </c>
      <c r="Y5062" t="s">
        <v>24500</v>
      </c>
      <c r="Z5062" t="s">
        <v>31030</v>
      </c>
      <c r="AA5062">
        <v>0.30979732753760569</v>
      </c>
      <c r="AB5062" t="str">
        <f>HYPERLINK("Melting_Curves/meltCurve_Q96GM5_SMARCD1.pdf", "Melting_Curves/meltCurve_Q96GM5_SMARCD1.pdf")</f>
        <v>Melting_Curves/meltCurve_Q96GM5_SMARCD1.pdf</v>
      </c>
    </row>
    <row r="5063" spans="1:28" x14ac:dyDescent="0.25">
      <c r="A5063" t="s">
        <v>5067</v>
      </c>
      <c r="B5063">
        <v>0.99472303558308395</v>
      </c>
      <c r="C5063">
        <v>0.94058886554979204</v>
      </c>
      <c r="D5063">
        <v>0.79063754897010796</v>
      </c>
      <c r="E5063">
        <v>0.61249786970072795</v>
      </c>
      <c r="F5063">
        <v>0.48451612369348501</v>
      </c>
      <c r="G5063">
        <v>0.270949643945885</v>
      </c>
      <c r="H5063">
        <v>0.15211800432160599</v>
      </c>
      <c r="I5063">
        <v>6.6884302066743395E-2</v>
      </c>
      <c r="J5063">
        <v>6.1493263318142498E-2</v>
      </c>
      <c r="K5063">
        <v>5.36853030115058E-2</v>
      </c>
      <c r="L5063">
        <v>542.88039406414305</v>
      </c>
      <c r="M5063">
        <v>11.0898552260958</v>
      </c>
      <c r="N5063">
        <v>48.9528816686894</v>
      </c>
      <c r="O5063">
        <v>47.441967664878298</v>
      </c>
      <c r="P5063">
        <v>-5.8458151373471198E-2</v>
      </c>
      <c r="Q5063">
        <v>0</v>
      </c>
      <c r="R5063">
        <v>0.99485278314165104</v>
      </c>
      <c r="S5063" t="s">
        <v>11631</v>
      </c>
      <c r="T5063" t="s">
        <v>13134</v>
      </c>
      <c r="U5063" t="s">
        <v>13134</v>
      </c>
      <c r="V5063" t="s">
        <v>13134</v>
      </c>
      <c r="W5063" t="s">
        <v>18133</v>
      </c>
      <c r="X5063">
        <v>10</v>
      </c>
      <c r="Y5063" t="s">
        <v>24501</v>
      </c>
      <c r="Z5063" t="s">
        <v>31031</v>
      </c>
      <c r="AA5063">
        <v>0.43140808172738432</v>
      </c>
      <c r="AB5063" t="str">
        <f>HYPERLINK("Melting_Curves/meltCurve_Q96GM8_TOE1.pdf", "Melting_Curves/meltCurve_Q96GM8_TOE1.pdf")</f>
        <v>Melting_Curves/meltCurve_Q96GM8_TOE1.pdf</v>
      </c>
    </row>
    <row r="5064" spans="1:28" x14ac:dyDescent="0.25">
      <c r="A5064" t="s">
        <v>5068</v>
      </c>
      <c r="B5064">
        <v>0.99472303558308395</v>
      </c>
      <c r="C5064">
        <v>0.91478652206497402</v>
      </c>
      <c r="D5064">
        <v>1.05852762207797</v>
      </c>
      <c r="E5064">
        <v>0.91744901322730499</v>
      </c>
      <c r="F5064">
        <v>0.41191874633540398</v>
      </c>
      <c r="G5064">
        <v>0.331410120159574</v>
      </c>
      <c r="H5064">
        <v>0.23016543856643201</v>
      </c>
      <c r="I5064">
        <v>0.20106995743728201</v>
      </c>
      <c r="J5064">
        <v>0.24591987377486901</v>
      </c>
      <c r="K5064">
        <v>0.14840402960284299</v>
      </c>
      <c r="L5064">
        <v>1921.5125156151801</v>
      </c>
      <c r="M5064">
        <v>39.275730367818497</v>
      </c>
      <c r="N5064">
        <v>49.672616273388797</v>
      </c>
      <c r="O5064">
        <v>48.797346987841699</v>
      </c>
      <c r="P5064">
        <v>-0.15625788551019201</v>
      </c>
      <c r="Q5064">
        <v>0.223443804569499</v>
      </c>
      <c r="R5064">
        <v>0.97961335886566303</v>
      </c>
      <c r="S5064" t="s">
        <v>11632</v>
      </c>
      <c r="T5064" t="s">
        <v>13134</v>
      </c>
      <c r="U5064" t="s">
        <v>13134</v>
      </c>
      <c r="V5064" t="s">
        <v>13134</v>
      </c>
      <c r="W5064" t="s">
        <v>18134</v>
      </c>
      <c r="X5064">
        <v>2</v>
      </c>
      <c r="Y5064" t="s">
        <v>24502</v>
      </c>
      <c r="Z5064" t="s">
        <v>31032</v>
      </c>
      <c r="AA5064">
        <v>0.53481420812593661</v>
      </c>
      <c r="AB5064" t="str">
        <f>HYPERLINK("Melting_Curves/meltCurve_Q96GQ7_DDX27.pdf", "Melting_Curves/meltCurve_Q96GQ7_DDX27.pdf")</f>
        <v>Melting_Curves/meltCurve_Q96GQ7_DDX27.pdf</v>
      </c>
    </row>
    <row r="5065" spans="1:28" x14ac:dyDescent="0.25">
      <c r="A5065" t="s">
        <v>5069</v>
      </c>
      <c r="B5065">
        <v>0.99472303558308395</v>
      </c>
      <c r="C5065">
        <v>0.98773130086609895</v>
      </c>
      <c r="D5065">
        <v>1.05442797454922</v>
      </c>
      <c r="E5065">
        <v>0.91372250922368803</v>
      </c>
      <c r="F5065">
        <v>0.70946658221924097</v>
      </c>
      <c r="G5065">
        <v>0.52986903647794603</v>
      </c>
      <c r="H5065">
        <v>0.18818485953974901</v>
      </c>
      <c r="I5065">
        <v>0.14025641933387001</v>
      </c>
      <c r="J5065">
        <v>0.152829583948383</v>
      </c>
      <c r="K5065">
        <v>0.11320269598916401</v>
      </c>
      <c r="L5065">
        <v>1001.18787797094</v>
      </c>
      <c r="M5065">
        <v>18.9927361262876</v>
      </c>
      <c r="N5065">
        <v>53.283964903891999</v>
      </c>
      <c r="O5065">
        <v>52.140291662350002</v>
      </c>
      <c r="P5065">
        <v>-8.2700860703209797E-2</v>
      </c>
      <c r="Q5065">
        <v>9.1889690625434395E-2</v>
      </c>
      <c r="R5065">
        <v>0.98868482972098504</v>
      </c>
      <c r="S5065" t="s">
        <v>11633</v>
      </c>
      <c r="T5065" t="s">
        <v>13134</v>
      </c>
      <c r="U5065" t="s">
        <v>13134</v>
      </c>
      <c r="V5065" t="s">
        <v>13134</v>
      </c>
      <c r="W5065" t="s">
        <v>18135</v>
      </c>
      <c r="X5065">
        <v>14</v>
      </c>
      <c r="Y5065" t="s">
        <v>24503</v>
      </c>
      <c r="Z5065" t="s">
        <v>31033</v>
      </c>
      <c r="AA5065">
        <v>0.57999561486038165</v>
      </c>
      <c r="AB5065" t="str">
        <f>HYPERLINK("Melting_Curves/meltCurve_Q96GS4_C17orf59.pdf", "Melting_Curves/meltCurve_Q96GS4_C17orf59.pdf")</f>
        <v>Melting_Curves/meltCurve_Q96GS4_C17orf59.pdf</v>
      </c>
    </row>
    <row r="5066" spans="1:28" x14ac:dyDescent="0.25">
      <c r="A5066" t="s">
        <v>5070</v>
      </c>
      <c r="B5066">
        <v>0.99472303558308395</v>
      </c>
      <c r="C5066">
        <v>0.96706918662060204</v>
      </c>
      <c r="D5066">
        <v>0.82236920248901901</v>
      </c>
      <c r="E5066">
        <v>0.80318808214604198</v>
      </c>
      <c r="F5066">
        <v>0.76531501248914702</v>
      </c>
      <c r="G5066">
        <v>0.47002322296636101</v>
      </c>
      <c r="H5066">
        <v>0.33047175492687397</v>
      </c>
      <c r="I5066">
        <v>0.25305950985380399</v>
      </c>
      <c r="J5066">
        <v>0.30788295328388199</v>
      </c>
      <c r="K5066">
        <v>0.42037984317501798</v>
      </c>
      <c r="L5066">
        <v>664.17436323878997</v>
      </c>
      <c r="M5066">
        <v>13.179820337287801</v>
      </c>
      <c r="N5066">
        <v>53.6389885981649</v>
      </c>
      <c r="O5066">
        <v>49.275515490696797</v>
      </c>
      <c r="P5066">
        <v>-4.8502367994098503E-2</v>
      </c>
      <c r="Q5066">
        <v>0.27477641487140297</v>
      </c>
      <c r="R5066">
        <v>0.92754808249013398</v>
      </c>
      <c r="S5066" t="s">
        <v>11634</v>
      </c>
      <c r="T5066" t="s">
        <v>13134</v>
      </c>
      <c r="U5066" t="s">
        <v>13134</v>
      </c>
      <c r="V5066" t="s">
        <v>13134</v>
      </c>
      <c r="W5066" t="s">
        <v>18136</v>
      </c>
      <c r="X5066">
        <v>2</v>
      </c>
      <c r="Y5066" t="s">
        <v>24504</v>
      </c>
      <c r="Z5066" t="s">
        <v>31034</v>
      </c>
      <c r="AA5066">
        <v>0.61626737575605661</v>
      </c>
      <c r="AB5066" t="str">
        <f>HYPERLINK("Melting_Curves/meltCurve_Q96GS6_ABHD17A.pdf", "Melting_Curves/meltCurve_Q96GS6_ABHD17A.pdf")</f>
        <v>Melting_Curves/meltCurve_Q96GS6_ABHD17A.pdf</v>
      </c>
    </row>
    <row r="5067" spans="1:28" x14ac:dyDescent="0.25">
      <c r="A5067" t="s">
        <v>5071</v>
      </c>
      <c r="B5067">
        <v>0.99472303558308395</v>
      </c>
      <c r="C5067">
        <v>0.945683807565039</v>
      </c>
      <c r="D5067">
        <v>1.0082225477979301</v>
      </c>
      <c r="E5067">
        <v>0.94705012136854405</v>
      </c>
      <c r="F5067">
        <v>0.868941487946436</v>
      </c>
      <c r="G5067">
        <v>0.71209613027397101</v>
      </c>
      <c r="H5067">
        <v>0.77034588173552099</v>
      </c>
      <c r="I5067">
        <v>0.76172366866900698</v>
      </c>
      <c r="J5067">
        <v>1.1061410993974401</v>
      </c>
      <c r="K5067">
        <v>0.98088148604384395</v>
      </c>
      <c r="L5067">
        <v>4465.01512181416</v>
      </c>
      <c r="M5067">
        <v>95.397549010033501</v>
      </c>
      <c r="O5067">
        <v>46.783751852071497</v>
      </c>
      <c r="P5067">
        <v>-6.7978136481978202E-2</v>
      </c>
      <c r="Q5067">
        <v>0.86665186916130998</v>
      </c>
      <c r="R5067">
        <v>0.19049363255583401</v>
      </c>
      <c r="S5067" t="s">
        <v>11635</v>
      </c>
      <c r="T5067" t="s">
        <v>13134</v>
      </c>
      <c r="U5067" t="s">
        <v>13134</v>
      </c>
      <c r="V5067" t="s">
        <v>13134</v>
      </c>
      <c r="W5067" t="s">
        <v>18137</v>
      </c>
      <c r="X5067">
        <v>10</v>
      </c>
      <c r="Y5067" t="s">
        <v>24505</v>
      </c>
      <c r="Z5067" t="s">
        <v>31035</v>
      </c>
      <c r="AA5067">
        <v>0.91030667512572805</v>
      </c>
      <c r="AB5067" t="str">
        <f>HYPERLINK("Melting_Curves/meltCurve_Q96GU1_2_PAGE5.pdf", "Melting_Curves/meltCurve_Q96GU1_2_PAGE5.pdf")</f>
        <v>Melting_Curves/meltCurve_Q96GU1_2_PAGE5.pdf</v>
      </c>
    </row>
    <row r="5068" spans="1:28" x14ac:dyDescent="0.25">
      <c r="A5068" t="s">
        <v>5072</v>
      </c>
      <c r="B5068">
        <v>0.99472303558308395</v>
      </c>
      <c r="C5068">
        <v>1.0303271297796399</v>
      </c>
      <c r="D5068">
        <v>0.86279370777396602</v>
      </c>
      <c r="E5068">
        <v>0.67761322638170995</v>
      </c>
      <c r="F5068">
        <v>0.50471959921708398</v>
      </c>
      <c r="G5068">
        <v>0.24227238728070899</v>
      </c>
      <c r="H5068">
        <v>0.136247723683454</v>
      </c>
      <c r="I5068">
        <v>0.14070485321344101</v>
      </c>
      <c r="J5068">
        <v>0.12552318408827001</v>
      </c>
      <c r="K5068">
        <v>0.12926575673625201</v>
      </c>
      <c r="L5068">
        <v>750.89349025835202</v>
      </c>
      <c r="M5068">
        <v>15.405967165624</v>
      </c>
      <c r="N5068">
        <v>49.423033710406202</v>
      </c>
      <c r="O5068">
        <v>47.941338958389203</v>
      </c>
      <c r="P5068">
        <v>-7.2645308613202897E-2</v>
      </c>
      <c r="Q5068">
        <v>9.5831539431552398E-2</v>
      </c>
      <c r="R5068">
        <v>0.99132049884897799</v>
      </c>
      <c r="S5068" t="s">
        <v>11636</v>
      </c>
      <c r="T5068" t="s">
        <v>13134</v>
      </c>
      <c r="U5068" t="s">
        <v>13134</v>
      </c>
      <c r="V5068" t="s">
        <v>13134</v>
      </c>
      <c r="W5068" t="s">
        <v>18138</v>
      </c>
      <c r="X5068">
        <v>2</v>
      </c>
      <c r="Y5068" t="s">
        <v>24506</v>
      </c>
      <c r="Z5068" t="s">
        <v>31036</v>
      </c>
      <c r="AA5068">
        <v>0.46842769245835669</v>
      </c>
      <c r="AB5068" t="str">
        <f>HYPERLINK("Melting_Curves/meltCurve_Q96GV9_C5orf30.pdf", "Melting_Curves/meltCurve_Q96GV9_C5orf30.pdf")</f>
        <v>Melting_Curves/meltCurve_Q96GV9_C5orf30.pdf</v>
      </c>
    </row>
    <row r="5069" spans="1:28" x14ac:dyDescent="0.25">
      <c r="A5069" t="s">
        <v>5073</v>
      </c>
      <c r="B5069">
        <v>0.99472303558308395</v>
      </c>
      <c r="C5069">
        <v>0.92373038735242496</v>
      </c>
      <c r="D5069">
        <v>0.97259763912656605</v>
      </c>
      <c r="E5069">
        <v>0.85936994832796598</v>
      </c>
      <c r="F5069">
        <v>0.66853662551788995</v>
      </c>
      <c r="G5069">
        <v>0.58588197484430504</v>
      </c>
      <c r="H5069">
        <v>0.44796881227594498</v>
      </c>
      <c r="I5069">
        <v>0.39922990433543398</v>
      </c>
      <c r="J5069">
        <v>0.173878599424652</v>
      </c>
      <c r="K5069">
        <v>0.117475082730396</v>
      </c>
      <c r="L5069">
        <v>506.833799916673</v>
      </c>
      <c r="M5069">
        <v>9.1214958566689095</v>
      </c>
      <c r="N5069">
        <v>55.564767143393098</v>
      </c>
      <c r="O5069">
        <v>53.089519110003103</v>
      </c>
      <c r="P5069">
        <v>-4.2983042708363901E-2</v>
      </c>
      <c r="Q5069">
        <v>0</v>
      </c>
      <c r="R5069">
        <v>0.976302398052042</v>
      </c>
      <c r="S5069" t="s">
        <v>11637</v>
      </c>
      <c r="T5069" t="s">
        <v>13134</v>
      </c>
      <c r="U5069" t="s">
        <v>13134</v>
      </c>
      <c r="V5069" t="s">
        <v>13134</v>
      </c>
      <c r="W5069" t="s">
        <v>18139</v>
      </c>
      <c r="X5069">
        <v>15</v>
      </c>
      <c r="Y5069" t="s">
        <v>24507</v>
      </c>
      <c r="Z5069" t="s">
        <v>31037</v>
      </c>
      <c r="AA5069">
        <v>0.62526526891435863</v>
      </c>
      <c r="AB5069" t="str">
        <f>HYPERLINK("Melting_Curves/meltCurve_Q96GW9_MARS2.pdf", "Melting_Curves/meltCurve_Q96GW9_MARS2.pdf")</f>
        <v>Melting_Curves/meltCurve_Q96GW9_MARS2.pdf</v>
      </c>
    </row>
    <row r="5070" spans="1:28" x14ac:dyDescent="0.25">
      <c r="A5070" t="s">
        <v>5074</v>
      </c>
      <c r="B5070">
        <v>0.99472303558308395</v>
      </c>
      <c r="C5070">
        <v>0.972196563387283</v>
      </c>
      <c r="D5070">
        <v>0.98403587921247104</v>
      </c>
      <c r="E5070">
        <v>0.92666491014970798</v>
      </c>
      <c r="F5070">
        <v>0.66005808893812801</v>
      </c>
      <c r="G5070">
        <v>0.38106059154388</v>
      </c>
      <c r="H5070">
        <v>0.15275630076809399</v>
      </c>
      <c r="I5070">
        <v>6.0278877534748601E-2</v>
      </c>
      <c r="J5070">
        <v>5.96600625951684E-2</v>
      </c>
      <c r="K5070">
        <v>4.77892349110162E-2</v>
      </c>
      <c r="L5070">
        <v>1021.7440363703899</v>
      </c>
      <c r="M5070">
        <v>19.643581875441001</v>
      </c>
      <c r="N5070">
        <v>52.1664616700224</v>
      </c>
      <c r="O5070">
        <v>51.484086871605399</v>
      </c>
      <c r="P5070">
        <v>-9.2731595346047899E-2</v>
      </c>
      <c r="Q5070">
        <v>2.7868803372552799E-2</v>
      </c>
      <c r="R5070">
        <v>0.99860286138407095</v>
      </c>
      <c r="S5070" t="s">
        <v>11638</v>
      </c>
      <c r="T5070" t="s">
        <v>13134</v>
      </c>
      <c r="U5070" t="s">
        <v>13134</v>
      </c>
      <c r="V5070" t="s">
        <v>13134</v>
      </c>
      <c r="W5070" t="s">
        <v>18140</v>
      </c>
      <c r="X5070">
        <v>5</v>
      </c>
      <c r="Y5070" t="s">
        <v>24508</v>
      </c>
      <c r="Z5070" t="s">
        <v>31038</v>
      </c>
      <c r="AA5070">
        <v>0.52729894133017896</v>
      </c>
      <c r="AB5070" t="str">
        <f>HYPERLINK("Melting_Curves/meltCurve_Q96GX2_ATXN7L3B.pdf", "Melting_Curves/meltCurve_Q96GX2_ATXN7L3B.pdf")</f>
        <v>Melting_Curves/meltCurve_Q96GX2_ATXN7L3B.pdf</v>
      </c>
    </row>
    <row r="5071" spans="1:28" x14ac:dyDescent="0.25">
      <c r="A5071" t="s">
        <v>5075</v>
      </c>
      <c r="B5071">
        <v>0.99472303558308395</v>
      </c>
      <c r="C5071">
        <v>0.922472266714498</v>
      </c>
      <c r="D5071">
        <v>0.69095735765852195</v>
      </c>
      <c r="E5071">
        <v>0.46110822205424101</v>
      </c>
      <c r="F5071">
        <v>0.258320974084985</v>
      </c>
      <c r="G5071">
        <v>0.134659393126042</v>
      </c>
      <c r="H5071">
        <v>8.3314454875512298E-2</v>
      </c>
      <c r="I5071">
        <v>6.74896613901175E-2</v>
      </c>
      <c r="J5071">
        <v>9.6413177275122205E-2</v>
      </c>
      <c r="K5071">
        <v>8.0071605355214195E-2</v>
      </c>
      <c r="L5071">
        <v>693.851815235858</v>
      </c>
      <c r="M5071">
        <v>15.261161739757499</v>
      </c>
      <c r="N5071">
        <v>45.8804640386805</v>
      </c>
      <c r="O5071">
        <v>44.705998622083897</v>
      </c>
      <c r="P5071">
        <v>-7.9844254961586897E-2</v>
      </c>
      <c r="Q5071">
        <v>6.4506304839822406E-2</v>
      </c>
      <c r="R5071">
        <v>0.99686884406853005</v>
      </c>
      <c r="S5071" t="s">
        <v>11639</v>
      </c>
      <c r="T5071" t="s">
        <v>13134</v>
      </c>
      <c r="U5071" t="s">
        <v>13134</v>
      </c>
      <c r="V5071" t="s">
        <v>13134</v>
      </c>
      <c r="W5071" t="s">
        <v>18141</v>
      </c>
      <c r="X5071">
        <v>6</v>
      </c>
      <c r="Y5071" t="s">
        <v>24509</v>
      </c>
      <c r="Z5071" t="s">
        <v>31039</v>
      </c>
      <c r="AA5071">
        <v>0.34965964063385541</v>
      </c>
      <c r="AB5071" t="str">
        <f>HYPERLINK("Melting_Curves/meltCurve_Q96GX5_2_MASTL.pdf", "Melting_Curves/meltCurve_Q96GX5_2_MASTL.pdf")</f>
        <v>Melting_Curves/meltCurve_Q96GX5_2_MASTL.pdf</v>
      </c>
    </row>
    <row r="5072" spans="1:28" x14ac:dyDescent="0.25">
      <c r="A5072" t="s">
        <v>5076</v>
      </c>
      <c r="B5072">
        <v>0.99472303558308395</v>
      </c>
      <c r="C5072">
        <v>0.98121167765615502</v>
      </c>
      <c r="D5072">
        <v>0.96243390477030599</v>
      </c>
      <c r="E5072">
        <v>0.84406068696550896</v>
      </c>
      <c r="F5072">
        <v>0.61925296112303796</v>
      </c>
      <c r="G5072">
        <v>0.32343235869639703</v>
      </c>
      <c r="H5072">
        <v>9.2026510800258698E-2</v>
      </c>
      <c r="I5072">
        <v>4.32575757045243E-2</v>
      </c>
      <c r="J5072">
        <v>5.9190641763653497E-2</v>
      </c>
      <c r="K5072">
        <v>4.2442290594742298E-2</v>
      </c>
      <c r="L5072">
        <v>952.55151466682196</v>
      </c>
      <c r="M5072">
        <v>18.576289073080101</v>
      </c>
      <c r="N5072">
        <v>51.353506232199798</v>
      </c>
      <c r="O5072">
        <v>50.694656621711601</v>
      </c>
      <c r="P5072">
        <v>-9.0375539674123706E-2</v>
      </c>
      <c r="Q5072">
        <v>1.3504264602136599E-2</v>
      </c>
      <c r="R5072">
        <v>0.99737789917188102</v>
      </c>
      <c r="S5072" t="s">
        <v>11640</v>
      </c>
      <c r="T5072" t="s">
        <v>13134</v>
      </c>
      <c r="U5072" t="s">
        <v>13134</v>
      </c>
      <c r="V5072" t="s">
        <v>13134</v>
      </c>
      <c r="W5072" t="s">
        <v>18142</v>
      </c>
      <c r="X5072">
        <v>8</v>
      </c>
      <c r="Y5072" t="s">
        <v>24510</v>
      </c>
      <c r="Z5072" t="s">
        <v>31040</v>
      </c>
      <c r="AA5072">
        <v>0.49749551028262412</v>
      </c>
      <c r="AB5072" t="str">
        <f>HYPERLINK("Melting_Curves/meltCurve_Q96H20_SNF8.pdf", "Melting_Curves/meltCurve_Q96H20_SNF8.pdf")</f>
        <v>Melting_Curves/meltCurve_Q96H20_SNF8.pdf</v>
      </c>
    </row>
    <row r="5073" spans="1:28" x14ac:dyDescent="0.25">
      <c r="A5073" t="s">
        <v>5077</v>
      </c>
      <c r="B5073">
        <v>0.99472303558308395</v>
      </c>
      <c r="C5073">
        <v>0.81600803054521598</v>
      </c>
      <c r="D5073">
        <v>0.62794805935713605</v>
      </c>
      <c r="E5073">
        <v>0.44020992436789602</v>
      </c>
      <c r="F5073">
        <v>0.27322407893322298</v>
      </c>
      <c r="G5073">
        <v>9.3126259347067697E-2</v>
      </c>
      <c r="H5073">
        <v>7.2838789057198497E-2</v>
      </c>
      <c r="I5073">
        <v>4.5665055476153897E-2</v>
      </c>
      <c r="J5073">
        <v>6.3936234030207498E-2</v>
      </c>
      <c r="K5073">
        <v>4.9667181219438701E-2</v>
      </c>
      <c r="L5073">
        <v>558.76117546992998</v>
      </c>
      <c r="M5073">
        <v>12.3770576098534</v>
      </c>
      <c r="N5073">
        <v>45.293419395175597</v>
      </c>
      <c r="O5073">
        <v>44.014980742537198</v>
      </c>
      <c r="P5073">
        <v>-6.8917097402382194E-2</v>
      </c>
      <c r="Q5073">
        <v>1.98844523443929E-2</v>
      </c>
      <c r="R5073">
        <v>0.99209271653526998</v>
      </c>
      <c r="S5073" t="s">
        <v>11641</v>
      </c>
      <c r="T5073" t="s">
        <v>13134</v>
      </c>
      <c r="U5073" t="s">
        <v>13134</v>
      </c>
      <c r="V5073" t="s">
        <v>13134</v>
      </c>
      <c r="W5073" t="s">
        <v>18143</v>
      </c>
      <c r="X5073">
        <v>3</v>
      </c>
      <c r="Y5073" t="s">
        <v>24511</v>
      </c>
      <c r="Z5073" t="s">
        <v>31041</v>
      </c>
      <c r="AA5073">
        <v>0.31942337770668389</v>
      </c>
      <c r="AB5073" t="str">
        <f>HYPERLINK("Melting_Curves/meltCurve_Q96H55_2_MYO19.pdf", "Melting_Curves/meltCurve_Q96H55_2_MYO19.pdf")</f>
        <v>Melting_Curves/meltCurve_Q96H55_2_MYO19.pdf</v>
      </c>
    </row>
    <row r="5074" spans="1:28" x14ac:dyDescent="0.25">
      <c r="A5074" t="s">
        <v>5078</v>
      </c>
      <c r="B5074">
        <v>0.99472303558308395</v>
      </c>
      <c r="C5074">
        <v>1.00303797985115</v>
      </c>
      <c r="D5074">
        <v>0.74417985961139599</v>
      </c>
      <c r="E5074">
        <v>0.56498178878168204</v>
      </c>
      <c r="F5074">
        <v>0.41948035973360898</v>
      </c>
      <c r="G5074">
        <v>0.23337193858359701</v>
      </c>
      <c r="H5074">
        <v>0.17163917424157099</v>
      </c>
      <c r="I5074">
        <v>0.122856740967109</v>
      </c>
      <c r="J5074">
        <v>0.143643681863904</v>
      </c>
      <c r="K5074">
        <v>0.14401580180259499</v>
      </c>
      <c r="L5074">
        <v>639.555685617785</v>
      </c>
      <c r="M5074">
        <v>13.6275113241888</v>
      </c>
      <c r="N5074">
        <v>47.831718909899401</v>
      </c>
      <c r="O5074">
        <v>45.955212801218103</v>
      </c>
      <c r="P5074">
        <v>-6.5756450872130098E-2</v>
      </c>
      <c r="Q5074">
        <v>0.113144752002888</v>
      </c>
      <c r="R5074">
        <v>0.98819972585017701</v>
      </c>
      <c r="S5074" t="s">
        <v>11642</v>
      </c>
      <c r="T5074" t="s">
        <v>13134</v>
      </c>
      <c r="U5074" t="s">
        <v>13134</v>
      </c>
      <c r="V5074" t="s">
        <v>13134</v>
      </c>
      <c r="W5074" t="s">
        <v>18144</v>
      </c>
      <c r="X5074">
        <v>2</v>
      </c>
      <c r="Y5074" t="s">
        <v>24512</v>
      </c>
      <c r="Z5074" t="s">
        <v>31042</v>
      </c>
      <c r="AA5074">
        <v>0.43040363735933318</v>
      </c>
      <c r="AB5074" t="str">
        <f>HYPERLINK("Melting_Curves/meltCurve_Q96HA1_2_POM121.pdf", "Melting_Curves/meltCurve_Q96HA1_2_POM121.pdf")</f>
        <v>Melting_Curves/meltCurve_Q96HA1_2_POM121.pdf</v>
      </c>
    </row>
    <row r="5075" spans="1:28" x14ac:dyDescent="0.25">
      <c r="A5075" t="s">
        <v>5079</v>
      </c>
      <c r="B5075">
        <v>0.99472303558308395</v>
      </c>
      <c r="C5075">
        <v>1.00833758687501</v>
      </c>
      <c r="D5075">
        <v>0.83176321729999503</v>
      </c>
      <c r="E5075">
        <v>0.697001402618739</v>
      </c>
      <c r="F5075">
        <v>0.54611444520167196</v>
      </c>
      <c r="G5075">
        <v>0.39514413347973798</v>
      </c>
      <c r="H5075">
        <v>0.27034036047218502</v>
      </c>
      <c r="I5075">
        <v>0.31193896496032397</v>
      </c>
      <c r="J5075">
        <v>0.39432702429331001</v>
      </c>
      <c r="K5075">
        <v>0.45334968116130098</v>
      </c>
      <c r="L5075">
        <v>810.95416890699801</v>
      </c>
      <c r="M5075">
        <v>17.350190073628699</v>
      </c>
      <c r="N5075">
        <v>50.258751529195898</v>
      </c>
      <c r="O5075">
        <v>46.132699636111198</v>
      </c>
      <c r="P5075">
        <v>-6.0969424260436299E-2</v>
      </c>
      <c r="Q5075">
        <v>0.35158663114201899</v>
      </c>
      <c r="R5075">
        <v>0.95414394931664004</v>
      </c>
      <c r="S5075" t="s">
        <v>11643</v>
      </c>
      <c r="T5075" t="s">
        <v>13134</v>
      </c>
      <c r="U5075" t="s">
        <v>13134</v>
      </c>
      <c r="V5075" t="s">
        <v>13134</v>
      </c>
      <c r="W5075" t="s">
        <v>18145</v>
      </c>
      <c r="X5075">
        <v>2</v>
      </c>
      <c r="Y5075" t="s">
        <v>24513</v>
      </c>
      <c r="Z5075" t="s">
        <v>31043</v>
      </c>
      <c r="AA5075">
        <v>0.57329960464690521</v>
      </c>
      <c r="AB5075" t="str">
        <f>HYPERLINK("Melting_Curves/meltCurve_Q96HA4_4_C1orf159.pdf", "Melting_Curves/meltCurve_Q96HA4_4_C1orf159.pdf")</f>
        <v>Melting_Curves/meltCurve_Q96HA4_4_C1orf159.pdf</v>
      </c>
    </row>
    <row r="5076" spans="1:28" x14ac:dyDescent="0.25">
      <c r="A5076" t="s">
        <v>5080</v>
      </c>
      <c r="B5076">
        <v>0.99472303558308395</v>
      </c>
      <c r="C5076">
        <v>0.79899954274475904</v>
      </c>
      <c r="D5076">
        <v>0.35865272113833402</v>
      </c>
      <c r="E5076">
        <v>0.28543712979202301</v>
      </c>
      <c r="F5076">
        <v>0.17882743463054901</v>
      </c>
      <c r="G5076">
        <v>0.107230994195018</v>
      </c>
      <c r="H5076">
        <v>6.2620039997586294E-2</v>
      </c>
      <c r="I5076">
        <v>4.8097793170212497E-2</v>
      </c>
      <c r="J5076">
        <v>5.0061210715491897E-2</v>
      </c>
      <c r="K5076">
        <v>3.4190766793568902E-2</v>
      </c>
      <c r="L5076">
        <v>782.03385112735805</v>
      </c>
      <c r="M5076">
        <v>18.5336288290016</v>
      </c>
      <c r="N5076">
        <v>42.546235703341402</v>
      </c>
      <c r="O5076">
        <v>41.713363536660701</v>
      </c>
      <c r="P5076">
        <v>-0.10321070686933601</v>
      </c>
      <c r="Q5076">
        <v>7.0861666590651295E-2</v>
      </c>
      <c r="R5076">
        <v>0.97378809802350697</v>
      </c>
      <c r="S5076" t="s">
        <v>11644</v>
      </c>
      <c r="T5076" t="s">
        <v>13134</v>
      </c>
      <c r="U5076" t="s">
        <v>13134</v>
      </c>
      <c r="V5076" t="s">
        <v>13134</v>
      </c>
      <c r="W5076" t="s">
        <v>18146</v>
      </c>
      <c r="X5076">
        <v>10</v>
      </c>
      <c r="Y5076" t="s">
        <v>24514</v>
      </c>
      <c r="Z5076" t="s">
        <v>31044</v>
      </c>
      <c r="AA5076">
        <v>0.24816188751700391</v>
      </c>
      <c r="AB5076" t="str">
        <f>HYPERLINK("Melting_Curves/meltCurve_Q96HA7_2_TONSL.pdf", "Melting_Curves/meltCurve_Q96HA7_2_TONSL.pdf")</f>
        <v>Melting_Curves/meltCurve_Q96HA7_2_TONSL.pdf</v>
      </c>
    </row>
    <row r="5077" spans="1:28" x14ac:dyDescent="0.25">
      <c r="A5077" t="s">
        <v>5081</v>
      </c>
      <c r="B5077">
        <v>0.99472303558308395</v>
      </c>
      <c r="C5077">
        <v>1.0138793913700299</v>
      </c>
      <c r="D5077">
        <v>1.0109802631842699</v>
      </c>
      <c r="E5077">
        <v>0.91066428760273099</v>
      </c>
      <c r="F5077">
        <v>0.638302569491498</v>
      </c>
      <c r="G5077">
        <v>0.39265681658405999</v>
      </c>
      <c r="H5077">
        <v>0.14490733248134099</v>
      </c>
      <c r="I5077">
        <v>7.8597621040884205E-2</v>
      </c>
      <c r="J5077">
        <v>8.1612309388867904E-2</v>
      </c>
      <c r="K5077">
        <v>6.3145323298913703E-2</v>
      </c>
      <c r="L5077">
        <v>1011.89193671056</v>
      </c>
      <c r="M5077">
        <v>19.540049639857799</v>
      </c>
      <c r="N5077">
        <v>52.044039138261098</v>
      </c>
      <c r="O5077">
        <v>51.2523005366549</v>
      </c>
      <c r="P5077">
        <v>-9.0908318450735104E-2</v>
      </c>
      <c r="Q5077">
        <v>4.6247222717387501E-2</v>
      </c>
      <c r="R5077">
        <v>0.99736562914189097</v>
      </c>
      <c r="S5077" t="s">
        <v>11645</v>
      </c>
      <c r="T5077" t="s">
        <v>13134</v>
      </c>
      <c r="U5077" t="s">
        <v>13134</v>
      </c>
      <c r="V5077" t="s">
        <v>13134</v>
      </c>
      <c r="W5077" t="s">
        <v>18147</v>
      </c>
      <c r="X5077">
        <v>29</v>
      </c>
      <c r="Y5077" t="s">
        <v>24515</v>
      </c>
      <c r="Z5077" t="s">
        <v>31045</v>
      </c>
      <c r="AA5077">
        <v>0.52913003849426032</v>
      </c>
      <c r="AB5077" t="str">
        <f>HYPERLINK("Melting_Curves/meltCurve_Q96HC4_PDLIM5.pdf", "Melting_Curves/meltCurve_Q96HC4_PDLIM5.pdf")</f>
        <v>Melting_Curves/meltCurve_Q96HC4_PDLIM5.pdf</v>
      </c>
    </row>
    <row r="5078" spans="1:28" x14ac:dyDescent="0.25">
      <c r="A5078" t="s">
        <v>5082</v>
      </c>
      <c r="B5078">
        <v>0.99472303558308395</v>
      </c>
      <c r="C5078">
        <v>1.03546769485299</v>
      </c>
      <c r="D5078">
        <v>0.90892707968363595</v>
      </c>
      <c r="E5078">
        <v>0.78625345877651798</v>
      </c>
      <c r="F5078">
        <v>0.67380283338660096</v>
      </c>
      <c r="G5078">
        <v>0.37456566313834599</v>
      </c>
      <c r="H5078">
        <v>0.26951312927255</v>
      </c>
      <c r="I5078">
        <v>0.16034675696528</v>
      </c>
      <c r="J5078">
        <v>0.170539584108307</v>
      </c>
      <c r="K5078">
        <v>0.155550903464589</v>
      </c>
      <c r="L5078">
        <v>727.53635982559297</v>
      </c>
      <c r="M5078">
        <v>14.222729605709</v>
      </c>
      <c r="N5078">
        <v>52.059144232344202</v>
      </c>
      <c r="O5078">
        <v>50.173701519019303</v>
      </c>
      <c r="P5078">
        <v>-6.31053407018385E-2</v>
      </c>
      <c r="Q5078">
        <v>0.10964088815463199</v>
      </c>
      <c r="R5078">
        <v>0.99079603215184497</v>
      </c>
      <c r="S5078" t="s">
        <v>11646</v>
      </c>
      <c r="T5078" t="s">
        <v>13134</v>
      </c>
      <c r="U5078" t="s">
        <v>13134</v>
      </c>
      <c r="V5078" t="s">
        <v>13134</v>
      </c>
      <c r="W5078" t="s">
        <v>18148</v>
      </c>
      <c r="X5078">
        <v>7</v>
      </c>
      <c r="Y5078" t="s">
        <v>24516</v>
      </c>
      <c r="Z5078" t="s">
        <v>31046</v>
      </c>
      <c r="AA5078">
        <v>0.5487114078392058</v>
      </c>
      <c r="AB5078" t="str">
        <f>HYPERLINK("Melting_Curves/meltCurve_Q96HD1_CRELD1.pdf", "Melting_Curves/meltCurve_Q96HD1_CRELD1.pdf")</f>
        <v>Melting_Curves/meltCurve_Q96HD1_CRELD1.pdf</v>
      </c>
    </row>
    <row r="5079" spans="1:28" x14ac:dyDescent="0.25">
      <c r="A5079" t="s">
        <v>5083</v>
      </c>
      <c r="B5079">
        <v>0.99472303558308395</v>
      </c>
      <c r="C5079">
        <v>1.00678039580294</v>
      </c>
      <c r="D5079">
        <v>0.96880833123201004</v>
      </c>
      <c r="E5079">
        <v>0.91751586397957596</v>
      </c>
      <c r="F5079">
        <v>0.60540367954387697</v>
      </c>
      <c r="G5079">
        <v>0.16211837007662</v>
      </c>
      <c r="H5079">
        <v>8.2636708608998799E-2</v>
      </c>
      <c r="I5079">
        <v>5.0742789447661897E-2</v>
      </c>
      <c r="J5079">
        <v>4.9817455734721398E-2</v>
      </c>
      <c r="K5079">
        <v>5.6218528401820997E-2</v>
      </c>
      <c r="L5079">
        <v>1582.98226469877</v>
      </c>
      <c r="M5079">
        <v>31.252094881945499</v>
      </c>
      <c r="N5079">
        <v>50.821106196052497</v>
      </c>
      <c r="O5079">
        <v>50.4459991616568</v>
      </c>
      <c r="P5079">
        <v>-0.14723285573147801</v>
      </c>
      <c r="Q5079">
        <v>4.9373504046629303E-2</v>
      </c>
      <c r="R5079">
        <v>0.99883151135062398</v>
      </c>
      <c r="S5079" t="s">
        <v>11647</v>
      </c>
      <c r="T5079" t="s">
        <v>13134</v>
      </c>
      <c r="U5079" t="s">
        <v>13134</v>
      </c>
      <c r="V5079" t="s">
        <v>13134</v>
      </c>
      <c r="W5079" t="s">
        <v>18149</v>
      </c>
      <c r="X5079">
        <v>20</v>
      </c>
      <c r="Y5079" t="s">
        <v>24517</v>
      </c>
      <c r="Z5079" t="s">
        <v>31047</v>
      </c>
      <c r="AA5079">
        <v>0.48741070800443359</v>
      </c>
      <c r="AB5079" t="str">
        <f>HYPERLINK("Melting_Curves/meltCurve_Q96HE7_ERO1L.pdf", "Melting_Curves/meltCurve_Q96HE7_ERO1L.pdf")</f>
        <v>Melting_Curves/meltCurve_Q96HE7_ERO1L.pdf</v>
      </c>
    </row>
    <row r="5080" spans="1:28" x14ac:dyDescent="0.25">
      <c r="A5080" t="s">
        <v>5084</v>
      </c>
      <c r="B5080">
        <v>0.99472303558308395</v>
      </c>
      <c r="C5080">
        <v>1.0357420017633301</v>
      </c>
      <c r="D5080">
        <v>0.82868041777647405</v>
      </c>
      <c r="E5080">
        <v>0.68947439646401498</v>
      </c>
      <c r="F5080">
        <v>0.52330127405007998</v>
      </c>
      <c r="G5080">
        <v>0.36852440278686599</v>
      </c>
      <c r="H5080">
        <v>0.27765157807395702</v>
      </c>
      <c r="I5080">
        <v>0.18806732674534299</v>
      </c>
      <c r="J5080">
        <v>0.178139073280212</v>
      </c>
      <c r="K5080">
        <v>0.157256289415517</v>
      </c>
      <c r="L5080">
        <v>586.19197763758496</v>
      </c>
      <c r="M5080">
        <v>11.890899198020501</v>
      </c>
      <c r="N5080">
        <v>50.507208912833697</v>
      </c>
      <c r="O5080">
        <v>47.965291795296899</v>
      </c>
      <c r="P5080">
        <v>-5.4310302179113597E-2</v>
      </c>
      <c r="Q5080">
        <v>0.123915184702078</v>
      </c>
      <c r="R5080">
        <v>0.99037529894840504</v>
      </c>
      <c r="S5080" t="s">
        <v>11648</v>
      </c>
      <c r="T5080" t="s">
        <v>13134</v>
      </c>
      <c r="U5080" t="s">
        <v>13134</v>
      </c>
      <c r="V5080" t="s">
        <v>13134</v>
      </c>
      <c r="W5080" t="s">
        <v>18150</v>
      </c>
      <c r="X5080">
        <v>2</v>
      </c>
      <c r="Y5080" t="s">
        <v>24518</v>
      </c>
      <c r="Z5080" t="s">
        <v>31048</v>
      </c>
      <c r="AA5080">
        <v>0.50894084688147767</v>
      </c>
      <c r="AB5080" t="str">
        <f>HYPERLINK("Melting_Curves/meltCurve_Q96HJ9_C7orf55.pdf", "Melting_Curves/meltCurve_Q96HJ9_C7orf55.pdf")</f>
        <v>Melting_Curves/meltCurve_Q96HJ9_C7orf55.pdf</v>
      </c>
    </row>
    <row r="5081" spans="1:28" x14ac:dyDescent="0.25">
      <c r="A5081" t="s">
        <v>5085</v>
      </c>
      <c r="B5081">
        <v>0.99472303558308395</v>
      </c>
      <c r="C5081">
        <v>0.90374404285750498</v>
      </c>
      <c r="D5081">
        <v>0.821358574857188</v>
      </c>
      <c r="E5081">
        <v>0.68286799378371599</v>
      </c>
      <c r="F5081">
        <v>0.44872801750976499</v>
      </c>
      <c r="G5081">
        <v>0.31983106165729303</v>
      </c>
      <c r="H5081">
        <v>0.45452073695019701</v>
      </c>
      <c r="I5081">
        <v>0.54681016619510803</v>
      </c>
      <c r="J5081">
        <v>0.75627467449748798</v>
      </c>
      <c r="K5081">
        <v>0.45300128432474301</v>
      </c>
      <c r="L5081">
        <v>999.49592242547703</v>
      </c>
      <c r="M5081">
        <v>22.641828509854999</v>
      </c>
      <c r="N5081">
        <v>59.301664264082</v>
      </c>
      <c r="O5081">
        <v>43.803771124537597</v>
      </c>
      <c r="P5081">
        <v>-6.4810931303453098E-2</v>
      </c>
      <c r="Q5081">
        <v>0.498467022502668</v>
      </c>
      <c r="R5081">
        <v>0.73561173281057701</v>
      </c>
      <c r="S5081" t="s">
        <v>11649</v>
      </c>
      <c r="T5081" t="s">
        <v>13134</v>
      </c>
      <c r="U5081" t="s">
        <v>13134</v>
      </c>
      <c r="V5081" t="s">
        <v>13134</v>
      </c>
      <c r="W5081" t="s">
        <v>18151</v>
      </c>
      <c r="X5081">
        <v>1</v>
      </c>
      <c r="Y5081" t="s">
        <v>24519</v>
      </c>
      <c r="Z5081" t="s">
        <v>31049</v>
      </c>
      <c r="AA5081">
        <v>0.62299671684001079</v>
      </c>
      <c r="AB5081" t="str">
        <f>HYPERLINK("Melting_Curves/meltCurve_Q96HQ2_2_CDKN2AIPNL.pdf", "Melting_Curves/meltCurve_Q96HQ2_2_CDKN2AIPNL.pdf")</f>
        <v>Melting_Curves/meltCurve_Q96HQ2_2_CDKN2AIPNL.pdf</v>
      </c>
    </row>
    <row r="5082" spans="1:28" x14ac:dyDescent="0.25">
      <c r="A5082" t="s">
        <v>5086</v>
      </c>
      <c r="B5082">
        <v>0.99472303558308395</v>
      </c>
      <c r="C5082">
        <v>0.79255508684185905</v>
      </c>
      <c r="D5082">
        <v>1.10806146259281</v>
      </c>
      <c r="E5082">
        <v>0.79883405017951603</v>
      </c>
      <c r="F5082">
        <v>0.434913687603183</v>
      </c>
      <c r="G5082">
        <v>0.52250017523067305</v>
      </c>
      <c r="H5082">
        <v>0.56404582181363305</v>
      </c>
      <c r="I5082">
        <v>0.52386890676786002</v>
      </c>
      <c r="J5082">
        <v>0.87564225792989103</v>
      </c>
      <c r="K5082">
        <v>0.70355610612309305</v>
      </c>
      <c r="L5082">
        <v>11648.4886227282</v>
      </c>
      <c r="M5082">
        <v>250</v>
      </c>
      <c r="O5082">
        <v>46.590972804420502</v>
      </c>
      <c r="P5082">
        <v>-0.53110097133734302</v>
      </c>
      <c r="Q5082">
        <v>0.60408782602147504</v>
      </c>
      <c r="R5082">
        <v>0.59051255146185899</v>
      </c>
      <c r="S5082" t="s">
        <v>11650</v>
      </c>
      <c r="T5082" t="s">
        <v>13134</v>
      </c>
      <c r="U5082" t="s">
        <v>13134</v>
      </c>
      <c r="V5082" t="s">
        <v>13134</v>
      </c>
      <c r="W5082" t="s">
        <v>18152</v>
      </c>
      <c r="X5082">
        <v>6</v>
      </c>
      <c r="Y5082" t="s">
        <v>24520</v>
      </c>
      <c r="Z5082" t="s">
        <v>31050</v>
      </c>
      <c r="AA5082">
        <v>0.73073231307073361</v>
      </c>
      <c r="AB5082" t="str">
        <f>HYPERLINK("Melting_Curves/meltCurve_Q96HR9_REEP6.pdf", "Melting_Curves/meltCurve_Q96HR9_REEP6.pdf")</f>
        <v>Melting_Curves/meltCurve_Q96HR9_REEP6.pdf</v>
      </c>
    </row>
    <row r="5083" spans="1:28" x14ac:dyDescent="0.25">
      <c r="A5083" t="s">
        <v>5087</v>
      </c>
      <c r="B5083">
        <v>0.99472303558308395</v>
      </c>
      <c r="C5083">
        <v>0.91146479298368399</v>
      </c>
      <c r="D5083">
        <v>0.74497709016623204</v>
      </c>
      <c r="E5083">
        <v>0.62047141718425003</v>
      </c>
      <c r="F5083">
        <v>0.70630376608185297</v>
      </c>
      <c r="G5083">
        <v>0.34732797996278503</v>
      </c>
      <c r="H5083">
        <v>0.208461228448025</v>
      </c>
      <c r="I5083">
        <v>0.12021826790179101</v>
      </c>
      <c r="J5083">
        <v>0.109068665025982</v>
      </c>
      <c r="K5083">
        <v>9.1601952134219802E-2</v>
      </c>
      <c r="L5083">
        <v>464.77665423944802</v>
      </c>
      <c r="M5083">
        <v>9.1935632799631506</v>
      </c>
      <c r="N5083">
        <v>50.554570879456897</v>
      </c>
      <c r="O5083">
        <v>48.335143336099001</v>
      </c>
      <c r="P5083">
        <v>-4.7582990332939702E-2</v>
      </c>
      <c r="Q5083">
        <v>0</v>
      </c>
      <c r="R5083">
        <v>0.95078820055815105</v>
      </c>
      <c r="S5083" t="s">
        <v>11651</v>
      </c>
      <c r="T5083" t="s">
        <v>13134</v>
      </c>
      <c r="U5083" t="s">
        <v>13134</v>
      </c>
      <c r="V5083" t="s">
        <v>13134</v>
      </c>
      <c r="W5083" t="s">
        <v>18153</v>
      </c>
      <c r="X5083">
        <v>15</v>
      </c>
      <c r="Y5083" t="s">
        <v>24521</v>
      </c>
      <c r="Z5083" t="s">
        <v>31051</v>
      </c>
      <c r="AA5083">
        <v>0.48606200262429639</v>
      </c>
      <c r="AB5083" t="str">
        <f>HYPERLINK("Melting_Curves/meltCurve_Q96HS1_PGAM5.pdf", "Melting_Curves/meltCurve_Q96HS1_PGAM5.pdf")</f>
        <v>Melting_Curves/meltCurve_Q96HS1_PGAM5.pdf</v>
      </c>
    </row>
    <row r="5084" spans="1:28" x14ac:dyDescent="0.25">
      <c r="A5084" t="s">
        <v>5088</v>
      </c>
      <c r="B5084">
        <v>0.99472303558308395</v>
      </c>
      <c r="C5084">
        <v>0.95794585107423502</v>
      </c>
      <c r="D5084">
        <v>0.76371104441118898</v>
      </c>
      <c r="E5084">
        <v>0.68325209311809598</v>
      </c>
      <c r="F5084">
        <v>0.82448596108074401</v>
      </c>
      <c r="G5084">
        <v>0.445635429493772</v>
      </c>
      <c r="H5084">
        <v>0.13542857149140999</v>
      </c>
      <c r="I5084">
        <v>8.7551664918123495E-2</v>
      </c>
      <c r="J5084">
        <v>0.14679299951264699</v>
      </c>
      <c r="K5084">
        <v>0.13854875455725901</v>
      </c>
      <c r="L5084">
        <v>560.11127235599895</v>
      </c>
      <c r="M5084">
        <v>10.7481666228464</v>
      </c>
      <c r="N5084">
        <v>52.112261736069698</v>
      </c>
      <c r="O5084">
        <v>50.405533417520097</v>
      </c>
      <c r="P5084">
        <v>-5.3328128017667502E-2</v>
      </c>
      <c r="Q5084">
        <v>0</v>
      </c>
      <c r="R5084">
        <v>0.90959654709610505</v>
      </c>
      <c r="S5084" t="s">
        <v>11652</v>
      </c>
      <c r="T5084" t="s">
        <v>13134</v>
      </c>
      <c r="U5084" t="s">
        <v>13134</v>
      </c>
      <c r="V5084" t="s">
        <v>13134</v>
      </c>
      <c r="W5084" t="s">
        <v>18154</v>
      </c>
      <c r="X5084">
        <v>12</v>
      </c>
      <c r="Y5084" t="s">
        <v>24522</v>
      </c>
      <c r="Z5084" t="s">
        <v>31052</v>
      </c>
      <c r="AA5084">
        <v>0.52900137271136094</v>
      </c>
      <c r="AB5084" t="str">
        <f>HYPERLINK("Melting_Curves/meltCurve_Q96HW7_INTS4.pdf", "Melting_Curves/meltCurve_Q96HW7_INTS4.pdf")</f>
        <v>Melting_Curves/meltCurve_Q96HW7_INTS4.pdf</v>
      </c>
    </row>
    <row r="5085" spans="1:28" x14ac:dyDescent="0.25">
      <c r="A5085" t="s">
        <v>5089</v>
      </c>
      <c r="B5085">
        <v>0.99472303558308395</v>
      </c>
      <c r="C5085">
        <v>0.98632129489964704</v>
      </c>
      <c r="D5085">
        <v>0.89776601884996099</v>
      </c>
      <c r="E5085">
        <v>0.77647571596127996</v>
      </c>
      <c r="F5085">
        <v>0.54703747996962604</v>
      </c>
      <c r="G5085">
        <v>0.36117329598534498</v>
      </c>
      <c r="H5085">
        <v>0.210122803554224</v>
      </c>
      <c r="I5085">
        <v>0.18247180747514799</v>
      </c>
      <c r="J5085">
        <v>0.21483851511370999</v>
      </c>
      <c r="K5085">
        <v>0.21280312104539401</v>
      </c>
      <c r="L5085">
        <v>791.90248907518196</v>
      </c>
      <c r="M5085">
        <v>16.0308730567635</v>
      </c>
      <c r="N5085">
        <v>50.740465766189203</v>
      </c>
      <c r="O5085">
        <v>48.649073566761999</v>
      </c>
      <c r="P5085">
        <v>-6.8152471892741706E-2</v>
      </c>
      <c r="Q5085">
        <v>0.17277205939038801</v>
      </c>
      <c r="R5085">
        <v>0.99507198166698596</v>
      </c>
      <c r="S5085" t="s">
        <v>11653</v>
      </c>
      <c r="T5085" t="s">
        <v>13134</v>
      </c>
      <c r="U5085" t="s">
        <v>13134</v>
      </c>
      <c r="V5085" t="s">
        <v>13134</v>
      </c>
      <c r="W5085" t="s">
        <v>18155</v>
      </c>
      <c r="X5085">
        <v>14</v>
      </c>
      <c r="Y5085" t="s">
        <v>24523</v>
      </c>
      <c r="Z5085" t="s">
        <v>31053</v>
      </c>
      <c r="AA5085">
        <v>0.53053000028227049</v>
      </c>
      <c r="AB5085" t="str">
        <f>HYPERLINK("Melting_Curves/meltCurve_Q96HY6_DDRGK1.pdf", "Melting_Curves/meltCurve_Q96HY6_DDRGK1.pdf")</f>
        <v>Melting_Curves/meltCurve_Q96HY6_DDRGK1.pdf</v>
      </c>
    </row>
    <row r="5086" spans="1:28" x14ac:dyDescent="0.25">
      <c r="A5086" t="s">
        <v>5090</v>
      </c>
      <c r="B5086">
        <v>0.99472303558308395</v>
      </c>
      <c r="C5086">
        <v>1.21925132497927</v>
      </c>
      <c r="D5086">
        <v>0.90710578478334403</v>
      </c>
      <c r="E5086">
        <v>0.87326903877807505</v>
      </c>
      <c r="F5086">
        <v>0.88842781121123005</v>
      </c>
      <c r="G5086">
        <v>0.53432573541883599</v>
      </c>
      <c r="H5086">
        <v>0.249705394060102</v>
      </c>
      <c r="I5086">
        <v>0.13516306930684099</v>
      </c>
      <c r="J5086">
        <v>8.26366067665531E-2</v>
      </c>
      <c r="K5086">
        <v>8.0345835159106996E-2</v>
      </c>
      <c r="L5086">
        <v>1167.3329403351199</v>
      </c>
      <c r="M5086">
        <v>21.6467234672788</v>
      </c>
      <c r="N5086">
        <v>54.242150844569302</v>
      </c>
      <c r="O5086">
        <v>53.472655377113597</v>
      </c>
      <c r="P5086">
        <v>-9.5218489822727598E-2</v>
      </c>
      <c r="Q5086">
        <v>5.9171527111121502E-2</v>
      </c>
      <c r="R5086">
        <v>0.95940856175988098</v>
      </c>
      <c r="S5086" t="s">
        <v>11654</v>
      </c>
      <c r="T5086" t="s">
        <v>13134</v>
      </c>
      <c r="U5086" t="s">
        <v>13134</v>
      </c>
      <c r="V5086" t="s">
        <v>13134</v>
      </c>
      <c r="W5086" t="s">
        <v>18156</v>
      </c>
      <c r="X5086">
        <v>8</v>
      </c>
      <c r="Y5086" t="s">
        <v>24524</v>
      </c>
      <c r="Z5086" t="s">
        <v>31054</v>
      </c>
      <c r="AA5086">
        <v>0.6002548564540291</v>
      </c>
      <c r="AB5086" t="str">
        <f>HYPERLINK("Melting_Curves/meltCurve_Q96I15_SCLY.pdf", "Melting_Curves/meltCurve_Q96I15_SCLY.pdf")</f>
        <v>Melting_Curves/meltCurve_Q96I15_SCLY.pdf</v>
      </c>
    </row>
    <row r="5087" spans="1:28" x14ac:dyDescent="0.25">
      <c r="A5087" t="s">
        <v>5091</v>
      </c>
      <c r="B5087">
        <v>0.99472303558308395</v>
      </c>
      <c r="C5087">
        <v>1.0528399372319699</v>
      </c>
      <c r="D5087">
        <v>0.91468963644871804</v>
      </c>
      <c r="E5087">
        <v>0.63235018153723799</v>
      </c>
      <c r="F5087">
        <v>0.26158030299440299</v>
      </c>
      <c r="G5087">
        <v>0.100525133606455</v>
      </c>
      <c r="H5087">
        <v>6.3483398974470598E-2</v>
      </c>
      <c r="I5087">
        <v>4.2373869294942003E-2</v>
      </c>
      <c r="J5087">
        <v>5.4952713109988997E-2</v>
      </c>
      <c r="K5087">
        <v>4.2029930360500803E-2</v>
      </c>
      <c r="L5087">
        <v>1121.82378142268</v>
      </c>
      <c r="M5087">
        <v>23.5965908599477</v>
      </c>
      <c r="N5087">
        <v>47.731054910960097</v>
      </c>
      <c r="O5087">
        <v>47.204271115398903</v>
      </c>
      <c r="P5087">
        <v>-0.119390889556343</v>
      </c>
      <c r="Q5087">
        <v>4.4664605825504501E-2</v>
      </c>
      <c r="R5087">
        <v>0.99744867748941601</v>
      </c>
      <c r="S5087" t="s">
        <v>11655</v>
      </c>
      <c r="T5087" t="s">
        <v>13134</v>
      </c>
      <c r="U5087" t="s">
        <v>13134</v>
      </c>
      <c r="V5087" t="s">
        <v>13134</v>
      </c>
      <c r="W5087" t="s">
        <v>18157</v>
      </c>
      <c r="X5087">
        <v>20</v>
      </c>
      <c r="Y5087" t="s">
        <v>24525</v>
      </c>
      <c r="Z5087" t="s">
        <v>31055</v>
      </c>
      <c r="AA5087">
        <v>0.38943281661142681</v>
      </c>
      <c r="AB5087" t="str">
        <f>HYPERLINK("Melting_Curves/meltCurve_Q96I24_FUBP3.pdf", "Melting_Curves/meltCurve_Q96I24_FUBP3.pdf")</f>
        <v>Melting_Curves/meltCurve_Q96I24_FUBP3.pdf</v>
      </c>
    </row>
    <row r="5088" spans="1:28" x14ac:dyDescent="0.25">
      <c r="A5088" t="s">
        <v>5092</v>
      </c>
      <c r="B5088">
        <v>0.99472303558308395</v>
      </c>
      <c r="C5088">
        <v>0.90312605291498704</v>
      </c>
      <c r="D5088">
        <v>0.70867800094406097</v>
      </c>
      <c r="E5088">
        <v>0.42560266970962901</v>
      </c>
      <c r="F5088">
        <v>0.17759193520417799</v>
      </c>
      <c r="G5088">
        <v>0.111661510019615</v>
      </c>
      <c r="H5088">
        <v>7.51596763750918E-2</v>
      </c>
      <c r="I5088">
        <v>5.1478108896960799E-2</v>
      </c>
      <c r="J5088">
        <v>5.2394562900840498E-2</v>
      </c>
      <c r="K5088">
        <v>4.8838953306172099E-2</v>
      </c>
      <c r="L5088">
        <v>756.524969969484</v>
      </c>
      <c r="M5088">
        <v>16.7210402333743</v>
      </c>
      <c r="N5088">
        <v>45.491509653771203</v>
      </c>
      <c r="O5088">
        <v>44.611634183925297</v>
      </c>
      <c r="P5088">
        <v>-8.9633570047847694E-2</v>
      </c>
      <c r="Q5088">
        <v>4.3495797931084303E-2</v>
      </c>
      <c r="R5088">
        <v>0.99906125390074796</v>
      </c>
      <c r="S5088" t="s">
        <v>11656</v>
      </c>
      <c r="T5088" t="s">
        <v>13134</v>
      </c>
      <c r="U5088" t="s">
        <v>13134</v>
      </c>
      <c r="V5088" t="s">
        <v>13134</v>
      </c>
      <c r="W5088" t="s">
        <v>18158</v>
      </c>
      <c r="X5088">
        <v>15</v>
      </c>
      <c r="Y5088" t="s">
        <v>24526</v>
      </c>
      <c r="Z5088" t="s">
        <v>31056</v>
      </c>
      <c r="AA5088">
        <v>0.32448980637317448</v>
      </c>
      <c r="AB5088" t="str">
        <f>HYPERLINK("Melting_Curves/meltCurve_Q96I25_RBM17.pdf", "Melting_Curves/meltCurve_Q96I25_RBM17.pdf")</f>
        <v>Melting_Curves/meltCurve_Q96I25_RBM17.pdf</v>
      </c>
    </row>
    <row r="5089" spans="1:28" x14ac:dyDescent="0.25">
      <c r="A5089" t="s">
        <v>5093</v>
      </c>
      <c r="B5089">
        <v>0.99472303558308395</v>
      </c>
      <c r="C5089">
        <v>0.96975465361161794</v>
      </c>
      <c r="D5089">
        <v>0.88901565722032305</v>
      </c>
      <c r="E5089">
        <v>0.52892461533283497</v>
      </c>
      <c r="F5089">
        <v>0.252682076534543</v>
      </c>
      <c r="G5089">
        <v>6.5591544896668297E-2</v>
      </c>
      <c r="H5089">
        <v>5.4528321640325297E-2</v>
      </c>
      <c r="I5089">
        <v>2.8726957975394599E-2</v>
      </c>
      <c r="J5089">
        <v>2.2739085641241202E-2</v>
      </c>
      <c r="K5089">
        <v>3.13895689560066E-2</v>
      </c>
      <c r="L5089">
        <v>966.63062842906697</v>
      </c>
      <c r="M5089">
        <v>20.5914630149224</v>
      </c>
      <c r="N5089">
        <v>47.051251593211497</v>
      </c>
      <c r="O5089">
        <v>46.507260909985803</v>
      </c>
      <c r="P5089">
        <v>-0.108138085004433</v>
      </c>
      <c r="Q5089">
        <v>2.3078657084115901E-2</v>
      </c>
      <c r="R5089">
        <v>0.99868623303520199</v>
      </c>
      <c r="S5089" t="s">
        <v>11657</v>
      </c>
      <c r="T5089" t="s">
        <v>13134</v>
      </c>
      <c r="U5089" t="s">
        <v>13134</v>
      </c>
      <c r="V5089" t="s">
        <v>13134</v>
      </c>
      <c r="W5089" t="s">
        <v>18159</v>
      </c>
      <c r="X5089">
        <v>2</v>
      </c>
      <c r="Y5089" t="s">
        <v>24527</v>
      </c>
      <c r="Z5089" t="s">
        <v>31057</v>
      </c>
      <c r="AA5089">
        <v>0.35894675371715418</v>
      </c>
      <c r="AB5089" t="str">
        <f>HYPERLINK("Melting_Curves/meltCurve_Q96I34_PPP1R16A.pdf", "Melting_Curves/meltCurve_Q96I34_PPP1R16A.pdf")</f>
        <v>Melting_Curves/meltCurve_Q96I34_PPP1R16A.pdf</v>
      </c>
    </row>
    <row r="5090" spans="1:28" x14ac:dyDescent="0.25">
      <c r="A5090" t="s">
        <v>5094</v>
      </c>
      <c r="B5090">
        <v>0.99472303558308395</v>
      </c>
      <c r="C5090">
        <v>1.0666450556023901</v>
      </c>
      <c r="D5090">
        <v>0.92634849017796805</v>
      </c>
      <c r="E5090">
        <v>0.869959949685152</v>
      </c>
      <c r="F5090">
        <v>0.66850656457678803</v>
      </c>
      <c r="G5090">
        <v>0.54899395718821298</v>
      </c>
      <c r="H5090">
        <v>0.42921861341955703</v>
      </c>
      <c r="I5090">
        <v>0.48167605545497</v>
      </c>
      <c r="J5090">
        <v>0.51540123754944001</v>
      </c>
      <c r="K5090">
        <v>0.60390647301929401</v>
      </c>
      <c r="L5090">
        <v>1195.2234702068299</v>
      </c>
      <c r="M5090">
        <v>24.655014113190099</v>
      </c>
      <c r="O5090">
        <v>48.162379127023002</v>
      </c>
      <c r="P5090">
        <v>-6.3107232425321805E-2</v>
      </c>
      <c r="Q5090">
        <v>0.50689948599858103</v>
      </c>
      <c r="R5090">
        <v>0.94725665164916995</v>
      </c>
      <c r="S5090" t="s">
        <v>11658</v>
      </c>
      <c r="T5090" t="s">
        <v>13134</v>
      </c>
      <c r="U5090" t="s">
        <v>13134</v>
      </c>
      <c r="V5090" t="s">
        <v>13134</v>
      </c>
      <c r="W5090" t="s">
        <v>18160</v>
      </c>
      <c r="X5090">
        <v>2</v>
      </c>
      <c r="Y5090" t="s">
        <v>24528</v>
      </c>
      <c r="Z5090" t="s">
        <v>31058</v>
      </c>
      <c r="AA5090">
        <v>0.69990585130883221</v>
      </c>
      <c r="AB5090" t="str">
        <f>HYPERLINK("Melting_Curves/meltCurve_Q96I36_COX14.pdf", "Melting_Curves/meltCurve_Q96I36_COX14.pdf")</f>
        <v>Melting_Curves/meltCurve_Q96I36_COX14.pdf</v>
      </c>
    </row>
    <row r="5091" spans="1:28" x14ac:dyDescent="0.25">
      <c r="A5091" t="s">
        <v>5095</v>
      </c>
      <c r="B5091">
        <v>0.99472303558308395</v>
      </c>
      <c r="C5091">
        <v>1.0579159740519799</v>
      </c>
      <c r="D5091">
        <v>0.96771626345856598</v>
      </c>
      <c r="E5091">
        <v>0.86601764582922902</v>
      </c>
      <c r="F5091">
        <v>0.63563524540731398</v>
      </c>
      <c r="G5091">
        <v>0.46122953749522</v>
      </c>
      <c r="H5091">
        <v>0.34802820331761503</v>
      </c>
      <c r="I5091">
        <v>0.393870693265436</v>
      </c>
      <c r="J5091">
        <v>0.49560935608897699</v>
      </c>
      <c r="K5091">
        <v>0.26588716829583298</v>
      </c>
      <c r="L5091">
        <v>1114.38956812519</v>
      </c>
      <c r="M5091">
        <v>22.546816628317099</v>
      </c>
      <c r="N5091">
        <v>52.527860734725301</v>
      </c>
      <c r="O5091">
        <v>49.0417043623059</v>
      </c>
      <c r="P5091">
        <v>-7.26445153962373E-2</v>
      </c>
      <c r="Q5091">
        <v>0.36797486272918101</v>
      </c>
      <c r="R5091">
        <v>0.95914064766825702</v>
      </c>
      <c r="S5091" t="s">
        <v>11659</v>
      </c>
      <c r="T5091" t="s">
        <v>13134</v>
      </c>
      <c r="U5091" t="s">
        <v>13134</v>
      </c>
      <c r="V5091" t="s">
        <v>13134</v>
      </c>
      <c r="W5091" t="s">
        <v>18161</v>
      </c>
      <c r="X5091">
        <v>10</v>
      </c>
      <c r="Y5091" t="s">
        <v>24529</v>
      </c>
      <c r="Z5091" t="s">
        <v>31059</v>
      </c>
      <c r="AA5091">
        <v>0.63643481704216598</v>
      </c>
      <c r="AB5091" t="str">
        <f>HYPERLINK("Melting_Curves/meltCurve_Q96I51_WBSCR16.pdf", "Melting_Curves/meltCurve_Q96I51_WBSCR16.pdf")</f>
        <v>Melting_Curves/meltCurve_Q96I51_WBSCR16.pdf</v>
      </c>
    </row>
    <row r="5092" spans="1:28" x14ac:dyDescent="0.25">
      <c r="A5092" t="s">
        <v>5096</v>
      </c>
      <c r="B5092">
        <v>0.99472303558308395</v>
      </c>
      <c r="C5092">
        <v>1.01534919141766</v>
      </c>
      <c r="D5092">
        <v>0.86330571310518001</v>
      </c>
      <c r="E5092">
        <v>0.74439408296662302</v>
      </c>
      <c r="F5092">
        <v>0.458345262915763</v>
      </c>
      <c r="G5092">
        <v>0.13194341860931999</v>
      </c>
      <c r="H5092">
        <v>6.2421114445568901E-2</v>
      </c>
      <c r="I5092">
        <v>4.5732453072071001E-2</v>
      </c>
      <c r="J5092">
        <v>5.3293229668675002E-2</v>
      </c>
      <c r="K5092">
        <v>3.7346827671144903E-2</v>
      </c>
      <c r="L5092">
        <v>906.36853405480201</v>
      </c>
      <c r="M5092">
        <v>18.442798698551702</v>
      </c>
      <c r="N5092">
        <v>49.239058433318597</v>
      </c>
      <c r="O5092">
        <v>48.577983078488799</v>
      </c>
      <c r="P5092">
        <v>-9.3272296865934606E-2</v>
      </c>
      <c r="Q5092">
        <v>1.7334179322205701E-2</v>
      </c>
      <c r="R5092">
        <v>0.99286665543472197</v>
      </c>
      <c r="S5092" t="s">
        <v>11660</v>
      </c>
      <c r="T5092" t="s">
        <v>13134</v>
      </c>
      <c r="U5092" t="s">
        <v>13134</v>
      </c>
      <c r="V5092" t="s">
        <v>13134</v>
      </c>
      <c r="W5092" t="s">
        <v>18162</v>
      </c>
      <c r="X5092">
        <v>14</v>
      </c>
      <c r="Y5092" t="s">
        <v>24530</v>
      </c>
      <c r="Z5092" t="s">
        <v>31060</v>
      </c>
      <c r="AA5092">
        <v>0.43010658858269463</v>
      </c>
      <c r="AB5092" t="str">
        <f>HYPERLINK("Melting_Curves/meltCurve_Q96I59_NARS2.pdf", "Melting_Curves/meltCurve_Q96I59_NARS2.pdf")</f>
        <v>Melting_Curves/meltCurve_Q96I59_NARS2.pdf</v>
      </c>
    </row>
    <row r="5093" spans="1:28" x14ac:dyDescent="0.25">
      <c r="A5093" t="s">
        <v>5097</v>
      </c>
      <c r="B5093">
        <v>0.99472303558308395</v>
      </c>
      <c r="C5093">
        <v>0.88014597141631401</v>
      </c>
      <c r="D5093">
        <v>1.0278939427426299</v>
      </c>
      <c r="E5093">
        <v>0.84923649353519903</v>
      </c>
      <c r="F5093">
        <v>0.47172176393514398</v>
      </c>
      <c r="G5093">
        <v>0.13740630405613399</v>
      </c>
      <c r="H5093">
        <v>8.51205908267198E-2</v>
      </c>
      <c r="I5093">
        <v>5.5645687925743703E-2</v>
      </c>
      <c r="J5093">
        <v>6.9640237469284799E-2</v>
      </c>
      <c r="K5093">
        <v>5.99536342961135E-2</v>
      </c>
      <c r="L5093">
        <v>1371.91336722492</v>
      </c>
      <c r="M5093">
        <v>27.633112143524901</v>
      </c>
      <c r="N5093">
        <v>49.866571202067902</v>
      </c>
      <c r="O5093">
        <v>49.3896186685404</v>
      </c>
      <c r="P5093">
        <v>-0.131877381231785</v>
      </c>
      <c r="Q5093">
        <v>5.7172497861454598E-2</v>
      </c>
      <c r="R5093">
        <v>0.98979581220465296</v>
      </c>
      <c r="S5093" t="s">
        <v>11661</v>
      </c>
      <c r="T5093" t="s">
        <v>13134</v>
      </c>
      <c r="U5093" t="s">
        <v>13134</v>
      </c>
      <c r="V5093" t="s">
        <v>13134</v>
      </c>
      <c r="W5093" t="s">
        <v>18163</v>
      </c>
      <c r="X5093">
        <v>23</v>
      </c>
      <c r="Y5093" t="s">
        <v>24531</v>
      </c>
      <c r="Z5093" t="s">
        <v>31061</v>
      </c>
      <c r="AA5093">
        <v>0.4614134966799448</v>
      </c>
      <c r="AB5093" t="str">
        <f>HYPERLINK("Melting_Curves/meltCurve_Q96I99_SUCLG2.pdf", "Melting_Curves/meltCurve_Q96I99_SUCLG2.pdf")</f>
        <v>Melting_Curves/meltCurve_Q96I99_SUCLG2.pdf</v>
      </c>
    </row>
    <row r="5094" spans="1:28" x14ac:dyDescent="0.25">
      <c r="A5094" t="s">
        <v>5098</v>
      </c>
      <c r="B5094">
        <v>0.99472303558308395</v>
      </c>
      <c r="C5094">
        <v>0.93033212260649401</v>
      </c>
      <c r="D5094">
        <v>0.85539702433324705</v>
      </c>
      <c r="E5094">
        <v>0.70947698017526395</v>
      </c>
      <c r="F5094">
        <v>0.60017086242723505</v>
      </c>
      <c r="G5094">
        <v>0.29877656504537597</v>
      </c>
      <c r="H5094">
        <v>0.14699126604069901</v>
      </c>
      <c r="I5094">
        <v>8.5987702727784707E-2</v>
      </c>
      <c r="J5094">
        <v>7.8419153841592606E-2</v>
      </c>
      <c r="K5094">
        <v>7.0865299358289793E-2</v>
      </c>
      <c r="L5094">
        <v>610.01876698242597</v>
      </c>
      <c r="M5094">
        <v>12.087135429169599</v>
      </c>
      <c r="N5094">
        <v>50.4684346155017</v>
      </c>
      <c r="O5094">
        <v>49.146583268277197</v>
      </c>
      <c r="P5094">
        <v>-6.1499538236934902E-2</v>
      </c>
      <c r="Q5094">
        <v>0</v>
      </c>
      <c r="R5094">
        <v>0.98988862536530398</v>
      </c>
      <c r="S5094" t="s">
        <v>11662</v>
      </c>
      <c r="T5094" t="s">
        <v>13134</v>
      </c>
      <c r="U5094" t="s">
        <v>13134</v>
      </c>
      <c r="V5094" t="s">
        <v>13134</v>
      </c>
      <c r="W5094" t="s">
        <v>18164</v>
      </c>
      <c r="X5094">
        <v>9</v>
      </c>
      <c r="Y5094" t="s">
        <v>24532</v>
      </c>
      <c r="Z5094" t="s">
        <v>31062</v>
      </c>
      <c r="AA5094">
        <v>0.47584255089959199</v>
      </c>
      <c r="AB5094" t="str">
        <f>HYPERLINK("Melting_Curves/meltCurve_Q96IJ6_GMPPA.pdf", "Melting_Curves/meltCurve_Q96IJ6_GMPPA.pdf")</f>
        <v>Melting_Curves/meltCurve_Q96IJ6_GMPPA.pdf</v>
      </c>
    </row>
    <row r="5095" spans="1:28" x14ac:dyDescent="0.25">
      <c r="A5095" t="s">
        <v>5099</v>
      </c>
      <c r="B5095">
        <v>0.99472303558308395</v>
      </c>
      <c r="C5095">
        <v>0.94079210991844697</v>
      </c>
      <c r="D5095">
        <v>0.811711922143175</v>
      </c>
      <c r="E5095">
        <v>0.64789837341429701</v>
      </c>
      <c r="F5095">
        <v>0.32487464941881</v>
      </c>
      <c r="G5095">
        <v>0.21235843363128901</v>
      </c>
      <c r="H5095">
        <v>0.14649511320018199</v>
      </c>
      <c r="I5095">
        <v>9.4107594625338506E-2</v>
      </c>
      <c r="J5095">
        <v>0.12607833771558599</v>
      </c>
      <c r="K5095">
        <v>8.2413342723417798E-2</v>
      </c>
      <c r="L5095">
        <v>723.37382624621796</v>
      </c>
      <c r="M5095">
        <v>15.2520052038551</v>
      </c>
      <c r="N5095">
        <v>47.983170522779503</v>
      </c>
      <c r="O5095">
        <v>46.635204669033698</v>
      </c>
      <c r="P5095">
        <v>-7.51571399840084E-2</v>
      </c>
      <c r="Q5095">
        <v>8.0871802777052401E-2</v>
      </c>
      <c r="R5095">
        <v>0.995648351607622</v>
      </c>
      <c r="S5095" t="s">
        <v>11663</v>
      </c>
      <c r="T5095" t="s">
        <v>13134</v>
      </c>
      <c r="U5095" t="s">
        <v>13134</v>
      </c>
      <c r="V5095" t="s">
        <v>13134</v>
      </c>
      <c r="W5095" t="s">
        <v>18165</v>
      </c>
      <c r="X5095">
        <v>3</v>
      </c>
      <c r="Y5095" t="s">
        <v>24533</v>
      </c>
      <c r="Z5095" t="s">
        <v>31063</v>
      </c>
      <c r="AA5095">
        <v>0.42027233409656328</v>
      </c>
      <c r="AB5095" t="str">
        <f>HYPERLINK("Melting_Curves/meltCurve_Q96IQ9_ZNF414.pdf", "Melting_Curves/meltCurve_Q96IQ9_ZNF414.pdf")</f>
        <v>Melting_Curves/meltCurve_Q96IQ9_ZNF414.pdf</v>
      </c>
    </row>
    <row r="5096" spans="1:28" x14ac:dyDescent="0.25">
      <c r="A5096" t="s">
        <v>5100</v>
      </c>
      <c r="B5096">
        <v>0.99472303558308395</v>
      </c>
      <c r="C5096">
        <v>0.98471270474149197</v>
      </c>
      <c r="D5096">
        <v>0.85406341804567798</v>
      </c>
      <c r="E5096">
        <v>0.46332168684290098</v>
      </c>
      <c r="F5096">
        <v>0.32068317566110599</v>
      </c>
      <c r="G5096">
        <v>0.222171665281341</v>
      </c>
      <c r="H5096">
        <v>0.271125554440653</v>
      </c>
      <c r="I5096">
        <v>0.16895678794042199</v>
      </c>
      <c r="J5096">
        <v>0.21584772179863401</v>
      </c>
      <c r="K5096">
        <v>0.189809192209933</v>
      </c>
      <c r="L5096">
        <v>1109.9390880062599</v>
      </c>
      <c r="M5096">
        <v>24.440532151303898</v>
      </c>
      <c r="N5096">
        <v>46.469530629012198</v>
      </c>
      <c r="O5096">
        <v>45.113086128591497</v>
      </c>
      <c r="P5096">
        <v>-0.106589290046923</v>
      </c>
      <c r="Q5096">
        <v>0.21302798150642699</v>
      </c>
      <c r="R5096">
        <v>0.99245674089681102</v>
      </c>
      <c r="S5096" t="s">
        <v>11664</v>
      </c>
      <c r="T5096" t="s">
        <v>13134</v>
      </c>
      <c r="U5096" t="s">
        <v>13134</v>
      </c>
      <c r="V5096" t="s">
        <v>13134</v>
      </c>
      <c r="W5096" t="s">
        <v>18166</v>
      </c>
      <c r="X5096">
        <v>3</v>
      </c>
      <c r="Y5096" t="s">
        <v>24534</v>
      </c>
      <c r="Z5096" t="s">
        <v>31064</v>
      </c>
      <c r="AA5096">
        <v>0.44053629381715259</v>
      </c>
      <c r="AB5096" t="str">
        <f>HYPERLINK("Melting_Curves/meltCurve_Q96IR2_ZNF845.pdf", "Melting_Curves/meltCurve_Q96IR2_ZNF845.pdf")</f>
        <v>Melting_Curves/meltCurve_Q96IR2_ZNF845.pdf</v>
      </c>
    </row>
    <row r="5097" spans="1:28" x14ac:dyDescent="0.25">
      <c r="A5097" t="s">
        <v>5101</v>
      </c>
      <c r="B5097">
        <v>0.99472303558308395</v>
      </c>
      <c r="C5097">
        <v>0.85565018754075906</v>
      </c>
      <c r="D5097">
        <v>1.0003163084127999</v>
      </c>
      <c r="E5097">
        <v>0.68669628719243803</v>
      </c>
      <c r="F5097">
        <v>0.36744272664734101</v>
      </c>
      <c r="G5097">
        <v>0.20819230444321499</v>
      </c>
      <c r="H5097">
        <v>8.4644070312691402E-2</v>
      </c>
      <c r="I5097">
        <v>7.2524725552759295E-2</v>
      </c>
      <c r="J5097">
        <v>8.8124474946306999E-2</v>
      </c>
      <c r="K5097">
        <v>6.7544459205396201E-2</v>
      </c>
      <c r="L5097">
        <v>956.678918371343</v>
      </c>
      <c r="M5097">
        <v>19.763413504549298</v>
      </c>
      <c r="N5097">
        <v>48.757601762628603</v>
      </c>
      <c r="O5097">
        <v>47.919136147023799</v>
      </c>
      <c r="P5097">
        <v>-9.6273971491785806E-2</v>
      </c>
      <c r="Q5097">
        <v>6.6313480643945696E-2</v>
      </c>
      <c r="R5097">
        <v>0.98312578603233003</v>
      </c>
      <c r="S5097" t="s">
        <v>11665</v>
      </c>
      <c r="T5097" t="s">
        <v>13134</v>
      </c>
      <c r="U5097" t="s">
        <v>13134</v>
      </c>
      <c r="V5097" t="s">
        <v>13134</v>
      </c>
      <c r="W5097" t="s">
        <v>18167</v>
      </c>
      <c r="X5097">
        <v>6</v>
      </c>
      <c r="Y5097" t="s">
        <v>24535</v>
      </c>
      <c r="Z5097" t="s">
        <v>31065</v>
      </c>
      <c r="AA5097">
        <v>0.43387754686048102</v>
      </c>
      <c r="AB5097" t="str">
        <f>HYPERLINK("Melting_Curves/meltCurve_Q96IU4_ABHD14B.pdf", "Melting_Curves/meltCurve_Q96IU4_ABHD14B.pdf")</f>
        <v>Melting_Curves/meltCurve_Q96IU4_ABHD14B.pdf</v>
      </c>
    </row>
    <row r="5098" spans="1:28" x14ac:dyDescent="0.25">
      <c r="A5098" t="s">
        <v>5102</v>
      </c>
      <c r="B5098">
        <v>0.99472303558308395</v>
      </c>
      <c r="C5098">
        <v>0.94128534493669902</v>
      </c>
      <c r="D5098">
        <v>0.87743774306093802</v>
      </c>
      <c r="E5098">
        <v>0.58730942719201795</v>
      </c>
      <c r="F5098">
        <v>0.18741790898607</v>
      </c>
      <c r="G5098">
        <v>0.10613872251249699</v>
      </c>
      <c r="H5098">
        <v>5.2766100239495503E-2</v>
      </c>
      <c r="I5098">
        <v>4.2501062860097298E-2</v>
      </c>
      <c r="J5098">
        <v>4.9742146634947297E-2</v>
      </c>
      <c r="K5098">
        <v>3.3724486339447197E-2</v>
      </c>
      <c r="L5098">
        <v>1058.0918141101099</v>
      </c>
      <c r="M5098">
        <v>22.530579324966599</v>
      </c>
      <c r="N5098">
        <v>47.128108803540599</v>
      </c>
      <c r="O5098">
        <v>46.597189063860597</v>
      </c>
      <c r="P5098">
        <v>-0.11628086789879601</v>
      </c>
      <c r="Q5098">
        <v>3.8062210595672899E-2</v>
      </c>
      <c r="R5098">
        <v>0.99734684124532802</v>
      </c>
      <c r="S5098" t="s">
        <v>11666</v>
      </c>
      <c r="T5098" t="s">
        <v>13134</v>
      </c>
      <c r="U5098" t="s">
        <v>13134</v>
      </c>
      <c r="V5098" t="s">
        <v>13134</v>
      </c>
      <c r="W5098" t="s">
        <v>18168</v>
      </c>
      <c r="X5098">
        <v>13</v>
      </c>
      <c r="Y5098" t="s">
        <v>24536</v>
      </c>
      <c r="Z5098" t="s">
        <v>31066</v>
      </c>
      <c r="AA5098">
        <v>0.36745146970350068</v>
      </c>
      <c r="AB5098" t="str">
        <f>HYPERLINK("Melting_Curves/meltCurve_Q96IV0_NGLY1.pdf", "Melting_Curves/meltCurve_Q96IV0_NGLY1.pdf")</f>
        <v>Melting_Curves/meltCurve_Q96IV0_NGLY1.pdf</v>
      </c>
    </row>
    <row r="5099" spans="1:28" x14ac:dyDescent="0.25">
      <c r="A5099" t="s">
        <v>5103</v>
      </c>
      <c r="B5099">
        <v>0.99472303558308395</v>
      </c>
      <c r="C5099">
        <v>0.95583698997551303</v>
      </c>
      <c r="D5099">
        <v>0.74085444709589199</v>
      </c>
      <c r="E5099">
        <v>0.67819103163888805</v>
      </c>
      <c r="F5099">
        <v>0.61349727508730301</v>
      </c>
      <c r="G5099">
        <v>0.36754834594811298</v>
      </c>
      <c r="H5099">
        <v>0.30062893935198098</v>
      </c>
      <c r="I5099">
        <v>0.34491179082448797</v>
      </c>
      <c r="J5099">
        <v>0.40796473155367402</v>
      </c>
      <c r="K5099">
        <v>0.63380468683975899</v>
      </c>
      <c r="L5099">
        <v>686.69714376315505</v>
      </c>
      <c r="M5099">
        <v>15.216090450233899</v>
      </c>
      <c r="N5099">
        <v>50.9743387442577</v>
      </c>
      <c r="O5099">
        <v>44.371726075877199</v>
      </c>
      <c r="P5099">
        <v>-5.0358959783746597E-2</v>
      </c>
      <c r="Q5099">
        <v>0.41264798902465499</v>
      </c>
      <c r="R5099">
        <v>0.82559634501187495</v>
      </c>
      <c r="S5099" t="s">
        <v>11667</v>
      </c>
      <c r="T5099" t="s">
        <v>13134</v>
      </c>
      <c r="U5099" t="s">
        <v>13134</v>
      </c>
      <c r="V5099" t="s">
        <v>13134</v>
      </c>
      <c r="W5099" t="s">
        <v>18169</v>
      </c>
      <c r="X5099">
        <v>3</v>
      </c>
      <c r="Y5099" t="s">
        <v>24537</v>
      </c>
      <c r="Z5099" t="s">
        <v>31067</v>
      </c>
      <c r="AA5099">
        <v>0.58533188608372844</v>
      </c>
      <c r="AB5099" t="str">
        <f>HYPERLINK("Melting_Curves/meltCurve_Q96IX5_USMG5.pdf", "Melting_Curves/meltCurve_Q96IX5_USMG5.pdf")</f>
        <v>Melting_Curves/meltCurve_Q96IX5_USMG5.pdf</v>
      </c>
    </row>
    <row r="5100" spans="1:28" x14ac:dyDescent="0.25">
      <c r="A5100" t="s">
        <v>5104</v>
      </c>
      <c r="B5100">
        <v>0.99472303558308395</v>
      </c>
      <c r="C5100">
        <v>0.92148193845632997</v>
      </c>
      <c r="D5100">
        <v>1.00930332431114</v>
      </c>
      <c r="E5100">
        <v>0.87958539742195296</v>
      </c>
      <c r="F5100">
        <v>0.38868051575731999</v>
      </c>
      <c r="G5100">
        <v>0.32608682765070002</v>
      </c>
      <c r="H5100">
        <v>0.120011212930142</v>
      </c>
      <c r="I5100">
        <v>0.190817276651784</v>
      </c>
      <c r="J5100">
        <v>0.111995966714697</v>
      </c>
      <c r="K5100">
        <v>7.7052589541857799E-2</v>
      </c>
      <c r="L5100">
        <v>1287.06057214476</v>
      </c>
      <c r="M5100">
        <v>26.159408985510701</v>
      </c>
      <c r="N5100">
        <v>49.794417437049802</v>
      </c>
      <c r="O5100">
        <v>48.9158531578245</v>
      </c>
      <c r="P5100">
        <v>-0.115784598545456</v>
      </c>
      <c r="Q5100">
        <v>0.13398059376722499</v>
      </c>
      <c r="R5100">
        <v>0.97727986216865603</v>
      </c>
      <c r="S5100" t="s">
        <v>11668</v>
      </c>
      <c r="T5100" t="s">
        <v>13134</v>
      </c>
      <c r="U5100" t="s">
        <v>13134</v>
      </c>
      <c r="V5100" t="s">
        <v>13134</v>
      </c>
      <c r="W5100" t="s">
        <v>18170</v>
      </c>
      <c r="X5100">
        <v>3</v>
      </c>
      <c r="Y5100" t="s">
        <v>24538</v>
      </c>
      <c r="Z5100" t="s">
        <v>31068</v>
      </c>
      <c r="AA5100">
        <v>0.49305078985613271</v>
      </c>
      <c r="AB5100" t="str">
        <f>HYPERLINK("Melting_Curves/meltCurve_Q96IY1_NSL1.pdf", "Melting_Curves/meltCurve_Q96IY1_NSL1.pdf")</f>
        <v>Melting_Curves/meltCurve_Q96IY1_NSL1.pdf</v>
      </c>
    </row>
    <row r="5101" spans="1:28" x14ac:dyDescent="0.25">
      <c r="A5101" t="s">
        <v>5105</v>
      </c>
      <c r="B5101">
        <v>0.99472303558308395</v>
      </c>
      <c r="C5101">
        <v>0.95597309606730396</v>
      </c>
      <c r="D5101">
        <v>0.92058281417286703</v>
      </c>
      <c r="E5101">
        <v>0.79811643317234804</v>
      </c>
      <c r="F5101">
        <v>0.67974374553899597</v>
      </c>
      <c r="G5101">
        <v>0.55533424295099398</v>
      </c>
      <c r="H5101">
        <v>0.45369400295942502</v>
      </c>
      <c r="I5101">
        <v>0.438110816095439</v>
      </c>
      <c r="J5101">
        <v>0.58415719607232297</v>
      </c>
      <c r="K5101">
        <v>0.53264099804041398</v>
      </c>
      <c r="L5101">
        <v>808.26598124036502</v>
      </c>
      <c r="M5101">
        <v>16.931590488641302</v>
      </c>
      <c r="N5101">
        <v>65.011466295372301</v>
      </c>
      <c r="O5101">
        <v>47.086170484002899</v>
      </c>
      <c r="P5101">
        <v>-4.5451140455844502E-2</v>
      </c>
      <c r="Q5101">
        <v>0.49443951296532901</v>
      </c>
      <c r="R5101">
        <v>0.95182840235071897</v>
      </c>
      <c r="S5101" t="s">
        <v>11669</v>
      </c>
      <c r="T5101" t="s">
        <v>13134</v>
      </c>
      <c r="U5101" t="s">
        <v>13134</v>
      </c>
      <c r="V5101" t="s">
        <v>13134</v>
      </c>
      <c r="W5101" t="s">
        <v>18171</v>
      </c>
      <c r="X5101">
        <v>9</v>
      </c>
      <c r="Y5101" t="s">
        <v>24539</v>
      </c>
      <c r="Z5101" t="s">
        <v>31069</v>
      </c>
      <c r="AA5101">
        <v>0.68442991816634347</v>
      </c>
      <c r="AB5101" t="str">
        <f>HYPERLINK("Melting_Curves/meltCurve_Q96IZ7_2_RSRC1.pdf", "Melting_Curves/meltCurve_Q96IZ7_2_RSRC1.pdf")</f>
        <v>Melting_Curves/meltCurve_Q96IZ7_2_RSRC1.pdf</v>
      </c>
    </row>
    <row r="5102" spans="1:28" x14ac:dyDescent="0.25">
      <c r="A5102" t="s">
        <v>5106</v>
      </c>
      <c r="B5102">
        <v>0.99472303558308395</v>
      </c>
      <c r="C5102">
        <v>0.82400297894715102</v>
      </c>
      <c r="D5102">
        <v>0.89159430080412505</v>
      </c>
      <c r="E5102">
        <v>0.63397557155273498</v>
      </c>
      <c r="F5102">
        <v>0.35499599664561998</v>
      </c>
      <c r="G5102">
        <v>0.25136391848166301</v>
      </c>
      <c r="H5102">
        <v>0.106357455791472</v>
      </c>
      <c r="I5102">
        <v>4.8112963582333398E-2</v>
      </c>
      <c r="J5102">
        <v>4.9364522202388801E-2</v>
      </c>
      <c r="K5102">
        <v>5.2714687520739101E-2</v>
      </c>
      <c r="L5102">
        <v>612.99440735559494</v>
      </c>
      <c r="M5102">
        <v>12.6682160916119</v>
      </c>
      <c r="N5102">
        <v>48.410562646821397</v>
      </c>
      <c r="O5102">
        <v>47.230151745664202</v>
      </c>
      <c r="P5102">
        <v>-6.6874763341736906E-2</v>
      </c>
      <c r="Q5102">
        <v>2.8944749118782701E-3</v>
      </c>
      <c r="R5102">
        <v>0.98449291290869101</v>
      </c>
      <c r="S5102" t="s">
        <v>11670</v>
      </c>
      <c r="T5102" t="s">
        <v>13134</v>
      </c>
      <c r="U5102" t="s">
        <v>13134</v>
      </c>
      <c r="V5102" t="s">
        <v>13134</v>
      </c>
      <c r="W5102" t="s">
        <v>18172</v>
      </c>
      <c r="X5102">
        <v>9</v>
      </c>
      <c r="Y5102" t="s">
        <v>24540</v>
      </c>
      <c r="Z5102" t="s">
        <v>31070</v>
      </c>
      <c r="AA5102">
        <v>0.40972256445839977</v>
      </c>
      <c r="AB5102" t="str">
        <f>HYPERLINK("Melting_Curves/meltCurve_Q96J01_THOC3.pdf", "Melting_Curves/meltCurve_Q96J01_THOC3.pdf")</f>
        <v>Melting_Curves/meltCurve_Q96J01_THOC3.pdf</v>
      </c>
    </row>
    <row r="5103" spans="1:28" x14ac:dyDescent="0.25">
      <c r="A5103" t="s">
        <v>5107</v>
      </c>
      <c r="B5103">
        <v>0.99472303558308395</v>
      </c>
      <c r="C5103">
        <v>0.97623109576966205</v>
      </c>
      <c r="D5103">
        <v>0.84465755680444699</v>
      </c>
      <c r="E5103">
        <v>0.57862330261083805</v>
      </c>
      <c r="F5103">
        <v>0.20148863675779</v>
      </c>
      <c r="G5103">
        <v>9.6844210920464593E-2</v>
      </c>
      <c r="H5103">
        <v>6.2543642700889704E-2</v>
      </c>
      <c r="I5103">
        <v>4.8635561997941397E-2</v>
      </c>
      <c r="J5103">
        <v>4.6657195232782903E-2</v>
      </c>
      <c r="K5103">
        <v>4.0140815887146603E-2</v>
      </c>
      <c r="L5103">
        <v>989.25117497879899</v>
      </c>
      <c r="M5103">
        <v>21.108390793208599</v>
      </c>
      <c r="N5103">
        <v>47.043899094926999</v>
      </c>
      <c r="O5103">
        <v>46.4507661223982</v>
      </c>
      <c r="P5103">
        <v>-0.109234856355356</v>
      </c>
      <c r="Q5103">
        <v>3.8503814863509497E-2</v>
      </c>
      <c r="R5103">
        <v>0.99830278955530805</v>
      </c>
      <c r="S5103" t="s">
        <v>11671</v>
      </c>
      <c r="T5103" t="s">
        <v>13134</v>
      </c>
      <c r="U5103" t="s">
        <v>13134</v>
      </c>
      <c r="V5103" t="s">
        <v>13134</v>
      </c>
      <c r="W5103" t="s">
        <v>18173</v>
      </c>
      <c r="X5103">
        <v>11</v>
      </c>
      <c r="Y5103" t="s">
        <v>24541</v>
      </c>
      <c r="Z5103" t="s">
        <v>31071</v>
      </c>
      <c r="AA5103">
        <v>0.36599615730192331</v>
      </c>
      <c r="AB5103" t="str">
        <f>HYPERLINK("Melting_Curves/meltCurve_Q96J02_2_ITCH.pdf", "Melting_Curves/meltCurve_Q96J02_2_ITCH.pdf")</f>
        <v>Melting_Curves/meltCurve_Q96J02_2_ITCH.pdf</v>
      </c>
    </row>
    <row r="5104" spans="1:28" x14ac:dyDescent="0.25">
      <c r="A5104" t="s">
        <v>5108</v>
      </c>
      <c r="B5104">
        <v>0.99472303558308395</v>
      </c>
      <c r="C5104">
        <v>0.92870787177787595</v>
      </c>
      <c r="D5104">
        <v>0.93138739357177203</v>
      </c>
      <c r="E5104">
        <v>0.68624684474778297</v>
      </c>
      <c r="F5104">
        <v>0.52248034771791596</v>
      </c>
      <c r="G5104">
        <v>0.236095800778864</v>
      </c>
      <c r="H5104">
        <v>0.13174371485478301</v>
      </c>
      <c r="I5104">
        <v>5.8406182478460203E-2</v>
      </c>
      <c r="J5104">
        <v>8.7241503162631906E-2</v>
      </c>
      <c r="K5104">
        <v>6.85074433670574E-2</v>
      </c>
      <c r="L5104">
        <v>725.15859645055104</v>
      </c>
      <c r="M5104">
        <v>14.6371725293052</v>
      </c>
      <c r="N5104">
        <v>49.753004027658001</v>
      </c>
      <c r="O5104">
        <v>48.645090660406801</v>
      </c>
      <c r="P5104">
        <v>-7.2971116915021797E-2</v>
      </c>
      <c r="Q5104">
        <v>3.0060781008635198E-2</v>
      </c>
      <c r="R5104">
        <v>0.99315000217153604</v>
      </c>
      <c r="S5104" t="s">
        <v>11672</v>
      </c>
      <c r="T5104" t="s">
        <v>13134</v>
      </c>
      <c r="U5104" t="s">
        <v>13134</v>
      </c>
      <c r="V5104" t="s">
        <v>13134</v>
      </c>
      <c r="W5104" t="s">
        <v>18174</v>
      </c>
      <c r="X5104">
        <v>1</v>
      </c>
      <c r="Y5104" t="s">
        <v>24542</v>
      </c>
      <c r="Z5104" t="s">
        <v>31072</v>
      </c>
      <c r="AA5104">
        <v>0.45689332675987981</v>
      </c>
      <c r="AB5104" t="str">
        <f>HYPERLINK("Melting_Curves/meltCurve_Q96JA1_LRIG1.pdf", "Melting_Curves/meltCurve_Q96JA1_LRIG1.pdf")</f>
        <v>Melting_Curves/meltCurve_Q96JA1_LRIG1.pdf</v>
      </c>
    </row>
    <row r="5105" spans="1:28" x14ac:dyDescent="0.25">
      <c r="A5105" t="s">
        <v>5109</v>
      </c>
      <c r="B5105">
        <v>0.99472303558308395</v>
      </c>
      <c r="C5105">
        <v>0.89230255454427498</v>
      </c>
      <c r="D5105">
        <v>0.650895608180038</v>
      </c>
      <c r="E5105">
        <v>0.32267670827436401</v>
      </c>
      <c r="F5105">
        <v>0.153864252460091</v>
      </c>
      <c r="G5105">
        <v>0.107060673831081</v>
      </c>
      <c r="H5105">
        <v>5.0989467575537899E-2</v>
      </c>
      <c r="I5105">
        <v>3.0640888093526299E-2</v>
      </c>
      <c r="J5105">
        <v>2.2607216734337899E-2</v>
      </c>
      <c r="K5105">
        <v>1.5735397234717501E-2</v>
      </c>
      <c r="L5105">
        <v>769.97133426428604</v>
      </c>
      <c r="M5105">
        <v>17.302724214326101</v>
      </c>
      <c r="N5105">
        <v>44.6493498671081</v>
      </c>
      <c r="O5105">
        <v>43.918345818494601</v>
      </c>
      <c r="P5105">
        <v>-9.5729974993633699E-2</v>
      </c>
      <c r="Q5105">
        <v>2.8115754675159501E-2</v>
      </c>
      <c r="R5105">
        <v>0.998278316476929</v>
      </c>
      <c r="S5105" t="s">
        <v>11673</v>
      </c>
      <c r="T5105" t="s">
        <v>13134</v>
      </c>
      <c r="U5105" t="s">
        <v>13134</v>
      </c>
      <c r="V5105" t="s">
        <v>13134</v>
      </c>
      <c r="W5105" t="s">
        <v>18175</v>
      </c>
      <c r="X5105">
        <v>5</v>
      </c>
      <c r="Y5105" t="s">
        <v>24543</v>
      </c>
      <c r="Z5105" t="s">
        <v>31073</v>
      </c>
      <c r="AA5105">
        <v>0.28860804473751323</v>
      </c>
      <c r="AB5105" t="str">
        <f>HYPERLINK("Melting_Curves/meltCurve_Q96JB2_COG3.pdf", "Melting_Curves/meltCurve_Q96JB2_COG3.pdf")</f>
        <v>Melting_Curves/meltCurve_Q96JB2_COG3.pdf</v>
      </c>
    </row>
    <row r="5106" spans="1:28" x14ac:dyDescent="0.25">
      <c r="A5106" t="s">
        <v>5110</v>
      </c>
      <c r="B5106">
        <v>0.99472303558308395</v>
      </c>
      <c r="C5106">
        <v>0.93158335335911802</v>
      </c>
      <c r="D5106">
        <v>0.58095286665209001</v>
      </c>
      <c r="E5106">
        <v>0.38191181878279401</v>
      </c>
      <c r="F5106">
        <v>0.25978934298997902</v>
      </c>
      <c r="G5106">
        <v>0.123738360655184</v>
      </c>
      <c r="H5106">
        <v>6.6172588191924897E-2</v>
      </c>
      <c r="I5106">
        <v>5.3154347627114899E-2</v>
      </c>
      <c r="J5106">
        <v>6.0740311178028E-2</v>
      </c>
      <c r="K5106">
        <v>6.3345725654789603E-2</v>
      </c>
      <c r="L5106">
        <v>671.18002706880304</v>
      </c>
      <c r="M5106">
        <v>15.049268884864</v>
      </c>
      <c r="N5106">
        <v>44.941428241310703</v>
      </c>
      <c r="O5106">
        <v>43.833604805375202</v>
      </c>
      <c r="P5106">
        <v>-8.11885713112728E-2</v>
      </c>
      <c r="Q5106">
        <v>5.4191532723236298E-2</v>
      </c>
      <c r="R5106">
        <v>0.98698267257441796</v>
      </c>
      <c r="S5106" t="s">
        <v>11674</v>
      </c>
      <c r="T5106" t="s">
        <v>13134</v>
      </c>
      <c r="U5106" t="s">
        <v>13134</v>
      </c>
      <c r="V5106" t="s">
        <v>13134</v>
      </c>
      <c r="W5106" t="s">
        <v>18176</v>
      </c>
      <c r="X5106">
        <v>10</v>
      </c>
      <c r="Y5106" t="s">
        <v>24544</v>
      </c>
      <c r="Z5106" t="s">
        <v>31074</v>
      </c>
      <c r="AA5106">
        <v>0.31645826675914679</v>
      </c>
      <c r="AB5106" t="str">
        <f>HYPERLINK("Melting_Curves/meltCurve_Q96JB3_2_HIC2.pdf", "Melting_Curves/meltCurve_Q96JB3_2_HIC2.pdf")</f>
        <v>Melting_Curves/meltCurve_Q96JB3_2_HIC2.pdf</v>
      </c>
    </row>
    <row r="5107" spans="1:28" x14ac:dyDescent="0.25">
      <c r="A5107" t="s">
        <v>5111</v>
      </c>
      <c r="B5107">
        <v>0.99472303558308395</v>
      </c>
      <c r="C5107">
        <v>0.88190358713404704</v>
      </c>
      <c r="D5107">
        <v>0.86758158282430997</v>
      </c>
      <c r="E5107">
        <v>0.70780647384729101</v>
      </c>
      <c r="F5107">
        <v>0.372534841094602</v>
      </c>
      <c r="G5107">
        <v>0.19205683957696301</v>
      </c>
      <c r="H5107">
        <v>0.12964916766486601</v>
      </c>
      <c r="I5107">
        <v>5.6181082020596199E-2</v>
      </c>
      <c r="J5107">
        <v>7.1767791406515194E-2</v>
      </c>
      <c r="K5107">
        <v>8.1085785358423298E-2</v>
      </c>
      <c r="L5107">
        <v>754.22717560492697</v>
      </c>
      <c r="M5107">
        <v>15.5900428388934</v>
      </c>
      <c r="N5107">
        <v>48.672518610105598</v>
      </c>
      <c r="O5107">
        <v>47.603765949675697</v>
      </c>
      <c r="P5107">
        <v>-7.8204814313130602E-2</v>
      </c>
      <c r="Q5107">
        <v>4.4898287401919798E-2</v>
      </c>
      <c r="R5107">
        <v>0.99134016974357797</v>
      </c>
      <c r="S5107" t="s">
        <v>11675</v>
      </c>
      <c r="T5107" t="s">
        <v>13134</v>
      </c>
      <c r="U5107" t="s">
        <v>13134</v>
      </c>
      <c r="V5107" t="s">
        <v>13134</v>
      </c>
      <c r="W5107" t="s">
        <v>18177</v>
      </c>
      <c r="X5107">
        <v>12</v>
      </c>
      <c r="Y5107" t="s">
        <v>24545</v>
      </c>
      <c r="Z5107" t="s">
        <v>31075</v>
      </c>
      <c r="AA5107">
        <v>0.42672557051082849</v>
      </c>
      <c r="AB5107" t="str">
        <f>HYPERLINK("Melting_Curves/meltCurve_Q96JB5_2_CDK5RAP3.pdf", "Melting_Curves/meltCurve_Q96JB5_2_CDK5RAP3.pdf")</f>
        <v>Melting_Curves/meltCurve_Q96JB5_2_CDK5RAP3.pdf</v>
      </c>
    </row>
    <row r="5108" spans="1:28" x14ac:dyDescent="0.25">
      <c r="A5108" t="s">
        <v>5112</v>
      </c>
      <c r="B5108">
        <v>0.99472303558308395</v>
      </c>
      <c r="C5108">
        <v>1.02916031324722</v>
      </c>
      <c r="D5108">
        <v>0.88069094911199997</v>
      </c>
      <c r="E5108">
        <v>0.63511562241583797</v>
      </c>
      <c r="F5108">
        <v>0.28904964772212899</v>
      </c>
      <c r="G5108">
        <v>0.152081870939893</v>
      </c>
      <c r="H5108">
        <v>9.6746908566950798E-2</v>
      </c>
      <c r="I5108">
        <v>5.7039906525612097E-2</v>
      </c>
      <c r="J5108">
        <v>6.3697984990098697E-2</v>
      </c>
      <c r="K5108">
        <v>5.5597751668913301E-2</v>
      </c>
      <c r="L5108">
        <v>960.87733344294304</v>
      </c>
      <c r="M5108">
        <v>20.198610808397699</v>
      </c>
      <c r="N5108">
        <v>47.860701727280599</v>
      </c>
      <c r="O5108">
        <v>47.112532101420101</v>
      </c>
      <c r="P5108">
        <v>-0.10102728855629101</v>
      </c>
      <c r="Q5108">
        <v>5.7459465923885303E-2</v>
      </c>
      <c r="R5108">
        <v>0.99782671576395998</v>
      </c>
      <c r="S5108" t="s">
        <v>11676</v>
      </c>
      <c r="T5108" t="s">
        <v>13134</v>
      </c>
      <c r="U5108" t="s">
        <v>13134</v>
      </c>
      <c r="V5108" t="s">
        <v>13134</v>
      </c>
      <c r="W5108" t="s">
        <v>18178</v>
      </c>
      <c r="X5108">
        <v>9</v>
      </c>
      <c r="Y5108" t="s">
        <v>24546</v>
      </c>
      <c r="Z5108" t="s">
        <v>31076</v>
      </c>
      <c r="AA5108">
        <v>0.40172508728542983</v>
      </c>
      <c r="AB5108" t="str">
        <f>HYPERLINK("Melting_Curves/meltCurve_Q96JC1_2_VPS39.pdf", "Melting_Curves/meltCurve_Q96JC1_2_VPS39.pdf")</f>
        <v>Melting_Curves/meltCurve_Q96JC1_2_VPS39.pdf</v>
      </c>
    </row>
    <row r="5109" spans="1:28" x14ac:dyDescent="0.25">
      <c r="A5109" t="s">
        <v>5113</v>
      </c>
      <c r="B5109">
        <v>0.99472303558308395</v>
      </c>
      <c r="C5109">
        <v>0.96264803020784395</v>
      </c>
      <c r="D5109">
        <v>0.956830226812179</v>
      </c>
      <c r="E5109">
        <v>0.58902986162359805</v>
      </c>
      <c r="F5109">
        <v>0.32087445439258699</v>
      </c>
      <c r="G5109">
        <v>0.26560476830080199</v>
      </c>
      <c r="H5109">
        <v>0.29798889805684797</v>
      </c>
      <c r="I5109">
        <v>0.39421787150982301</v>
      </c>
      <c r="J5109">
        <v>0.67700245206653598</v>
      </c>
      <c r="K5109">
        <v>0.37505400567624803</v>
      </c>
      <c r="L5109">
        <v>2507.4700777446601</v>
      </c>
      <c r="M5109">
        <v>54.5731913030519</v>
      </c>
      <c r="N5109">
        <v>47.243509963484101</v>
      </c>
      <c r="O5109">
        <v>45.8853484685403</v>
      </c>
      <c r="P5109">
        <v>-0.181914206508478</v>
      </c>
      <c r="Q5109">
        <v>0.38818372537017198</v>
      </c>
      <c r="R5109">
        <v>0.85539819289809305</v>
      </c>
      <c r="S5109" t="s">
        <v>11677</v>
      </c>
      <c r="T5109" t="s">
        <v>13134</v>
      </c>
      <c r="U5109" t="s">
        <v>13134</v>
      </c>
      <c r="V5109" t="s">
        <v>13134</v>
      </c>
      <c r="W5109" t="s">
        <v>18179</v>
      </c>
      <c r="X5109">
        <v>1</v>
      </c>
      <c r="Y5109" t="s">
        <v>24547</v>
      </c>
      <c r="Z5109" t="s">
        <v>31077</v>
      </c>
      <c r="AA5109">
        <v>0.57168606653663911</v>
      </c>
      <c r="AB5109" t="str">
        <f>HYPERLINK("Melting_Curves/meltCurve_Q96JC9_EAF1.pdf", "Melting_Curves/meltCurve_Q96JC9_EAF1.pdf")</f>
        <v>Melting_Curves/meltCurve_Q96JC9_EAF1.pdf</v>
      </c>
    </row>
    <row r="5110" spans="1:28" x14ac:dyDescent="0.25">
      <c r="A5110" t="s">
        <v>5114</v>
      </c>
      <c r="B5110">
        <v>0.99472303558308395</v>
      </c>
      <c r="C5110">
        <v>0.88631293435451697</v>
      </c>
      <c r="D5110">
        <v>0.82792418167153803</v>
      </c>
      <c r="E5110">
        <v>0.630176875255406</v>
      </c>
      <c r="F5110">
        <v>0.26489497300889098</v>
      </c>
      <c r="G5110">
        <v>0.13894257321289999</v>
      </c>
      <c r="H5110">
        <v>7.6541492088671906E-2</v>
      </c>
      <c r="I5110">
        <v>7.6038346818291996E-2</v>
      </c>
      <c r="J5110">
        <v>6.2669689737594805E-2</v>
      </c>
      <c r="K5110">
        <v>5.1677081284204701E-2</v>
      </c>
      <c r="L5110">
        <v>784.65109524434899</v>
      </c>
      <c r="M5110">
        <v>16.610268755207201</v>
      </c>
      <c r="N5110">
        <v>47.475167279705403</v>
      </c>
      <c r="O5110">
        <v>46.570154328492897</v>
      </c>
      <c r="P5110">
        <v>-8.5636778943339195E-2</v>
      </c>
      <c r="Q5110">
        <v>3.9666916858260598E-2</v>
      </c>
      <c r="R5110">
        <v>0.99237212646947803</v>
      </c>
      <c r="S5110" t="s">
        <v>11678</v>
      </c>
      <c r="T5110" t="s">
        <v>13134</v>
      </c>
      <c r="U5110" t="s">
        <v>13134</v>
      </c>
      <c r="V5110" t="s">
        <v>13134</v>
      </c>
      <c r="W5110" t="s">
        <v>18180</v>
      </c>
      <c r="X5110">
        <v>6</v>
      </c>
      <c r="Y5110" t="s">
        <v>24548</v>
      </c>
      <c r="Z5110" t="s">
        <v>31078</v>
      </c>
      <c r="AA5110">
        <v>0.38531691070849988</v>
      </c>
      <c r="AB5110" t="str">
        <f>HYPERLINK("Melting_Curves/meltCurve_Q96JG6_CCDC132.pdf", "Melting_Curves/meltCurve_Q96JG6_CCDC132.pdf")</f>
        <v>Melting_Curves/meltCurve_Q96JG6_CCDC132.pdf</v>
      </c>
    </row>
    <row r="5111" spans="1:28" x14ac:dyDescent="0.25">
      <c r="A5111" t="s">
        <v>5115</v>
      </c>
      <c r="B5111">
        <v>0.99472303558308395</v>
      </c>
      <c r="C5111">
        <v>0.893264717779233</v>
      </c>
      <c r="D5111">
        <v>0.56658680415132701</v>
      </c>
      <c r="E5111">
        <v>0.25310383305557299</v>
      </c>
      <c r="F5111">
        <v>0.175906999967362</v>
      </c>
      <c r="G5111">
        <v>0.10043218935548601</v>
      </c>
      <c r="H5111">
        <v>7.0424315650685507E-2</v>
      </c>
      <c r="I5111">
        <v>5.4593699478256999E-2</v>
      </c>
      <c r="J5111">
        <v>6.6474046947951795E-2</v>
      </c>
      <c r="K5111">
        <v>5.4427306186204998E-2</v>
      </c>
      <c r="L5111">
        <v>878.24490969822796</v>
      </c>
      <c r="M5111">
        <v>20.198389181783199</v>
      </c>
      <c r="N5111">
        <v>43.806780748595898</v>
      </c>
      <c r="O5111">
        <v>43.061471390420103</v>
      </c>
      <c r="P5111">
        <v>-0.109089226775647</v>
      </c>
      <c r="Q5111">
        <v>6.9748597264648493E-2</v>
      </c>
      <c r="R5111">
        <v>0.99615788761419999</v>
      </c>
      <c r="S5111" t="s">
        <v>11679</v>
      </c>
      <c r="T5111" t="s">
        <v>13134</v>
      </c>
      <c r="U5111" t="s">
        <v>13134</v>
      </c>
      <c r="V5111" t="s">
        <v>13134</v>
      </c>
      <c r="W5111" t="s">
        <v>18181</v>
      </c>
      <c r="X5111">
        <v>15</v>
      </c>
      <c r="Y5111" t="s">
        <v>24549</v>
      </c>
      <c r="Z5111" t="s">
        <v>31079</v>
      </c>
      <c r="AA5111">
        <v>0.28310720660163652</v>
      </c>
      <c r="AB5111" t="str">
        <f>HYPERLINK("Melting_Curves/meltCurve_Q96JH7_VCPIP1.pdf", "Melting_Curves/meltCurve_Q96JH7_VCPIP1.pdf")</f>
        <v>Melting_Curves/meltCurve_Q96JH7_VCPIP1.pdf</v>
      </c>
    </row>
    <row r="5112" spans="1:28" x14ac:dyDescent="0.25">
      <c r="A5112" t="s">
        <v>5116</v>
      </c>
      <c r="B5112">
        <v>0.99472303558308395</v>
      </c>
      <c r="C5112">
        <v>0.95350264483697</v>
      </c>
      <c r="D5112">
        <v>0.93111660418548703</v>
      </c>
      <c r="E5112">
        <v>0.85473611317542297</v>
      </c>
      <c r="F5112">
        <v>0.67316979274005495</v>
      </c>
      <c r="G5112">
        <v>0.41027877136997498</v>
      </c>
      <c r="H5112">
        <v>0.15504911119547901</v>
      </c>
      <c r="I5112">
        <v>7.5316883156547706E-2</v>
      </c>
      <c r="J5112">
        <v>6.5560933685201703E-2</v>
      </c>
      <c r="K5112">
        <v>7.63337412386563E-2</v>
      </c>
      <c r="L5112">
        <v>847.76860598949497</v>
      </c>
      <c r="M5112">
        <v>16.276331676477401</v>
      </c>
      <c r="N5112">
        <v>52.197274323319</v>
      </c>
      <c r="O5112">
        <v>51.318776273161198</v>
      </c>
      <c r="P5112">
        <v>-7.7943587379078194E-2</v>
      </c>
      <c r="Q5112">
        <v>1.7057291119594701E-2</v>
      </c>
      <c r="R5112">
        <v>0.99460878177064305</v>
      </c>
      <c r="S5112" t="s">
        <v>11680</v>
      </c>
      <c r="T5112" t="s">
        <v>13134</v>
      </c>
      <c r="U5112" t="s">
        <v>13134</v>
      </c>
      <c r="V5112" t="s">
        <v>13134</v>
      </c>
      <c r="W5112" t="s">
        <v>18182</v>
      </c>
      <c r="X5112">
        <v>5</v>
      </c>
      <c r="Y5112" t="s">
        <v>24550</v>
      </c>
      <c r="Z5112" t="s">
        <v>31080</v>
      </c>
      <c r="AA5112">
        <v>0.52830934018998577</v>
      </c>
      <c r="AB5112" t="str">
        <f>HYPERLINK("Melting_Curves/meltCurve_Q96JJ7_TMX3.pdf", "Melting_Curves/meltCurve_Q96JJ7_TMX3.pdf")</f>
        <v>Melting_Curves/meltCurve_Q96JJ7_TMX3.pdf</v>
      </c>
    </row>
    <row r="5113" spans="1:28" x14ac:dyDescent="0.25">
      <c r="A5113" t="s">
        <v>5117</v>
      </c>
      <c r="B5113">
        <v>0.99472303558308395</v>
      </c>
      <c r="C5113">
        <v>1.01829770090113</v>
      </c>
      <c r="D5113">
        <v>0.77692511552441401</v>
      </c>
      <c r="E5113">
        <v>0.50666874629464198</v>
      </c>
      <c r="F5113">
        <v>0.23914342073459699</v>
      </c>
      <c r="G5113">
        <v>0.104791540546732</v>
      </c>
      <c r="H5113">
        <v>7.0823151083980407E-2</v>
      </c>
      <c r="I5113">
        <v>6.3506153871834697E-2</v>
      </c>
      <c r="J5113">
        <v>7.1822109507863496E-2</v>
      </c>
      <c r="K5113">
        <v>7.82184752238895E-2</v>
      </c>
      <c r="L5113">
        <v>881.69760093321599</v>
      </c>
      <c r="M5113">
        <v>19.079401376546102</v>
      </c>
      <c r="N5113">
        <v>46.526408890021202</v>
      </c>
      <c r="O5113">
        <v>45.713318409665199</v>
      </c>
      <c r="P5113">
        <v>-9.8035845319655798E-2</v>
      </c>
      <c r="Q5113">
        <v>6.0480074048374501E-2</v>
      </c>
      <c r="R5113">
        <v>0.99546394386479498</v>
      </c>
      <c r="S5113" t="s">
        <v>11681</v>
      </c>
      <c r="T5113" t="s">
        <v>13134</v>
      </c>
      <c r="U5113" t="s">
        <v>13134</v>
      </c>
      <c r="V5113" t="s">
        <v>13134</v>
      </c>
      <c r="W5113" t="s">
        <v>18183</v>
      </c>
      <c r="X5113">
        <v>12</v>
      </c>
      <c r="Y5113" t="s">
        <v>24551</v>
      </c>
      <c r="Z5113" t="s">
        <v>31081</v>
      </c>
      <c r="AA5113">
        <v>0.36247539401594081</v>
      </c>
      <c r="AB5113" t="str">
        <f>HYPERLINK("Melting_Curves/meltCurve_Q96JM3_CHAMP1.pdf", "Melting_Curves/meltCurve_Q96JM3_CHAMP1.pdf")</f>
        <v>Melting_Curves/meltCurve_Q96JM3_CHAMP1.pdf</v>
      </c>
    </row>
    <row r="5114" spans="1:28" x14ac:dyDescent="0.25">
      <c r="A5114" t="s">
        <v>5118</v>
      </c>
      <c r="B5114">
        <v>0.99472303558308395</v>
      </c>
      <c r="C5114">
        <v>0.88892199167323305</v>
      </c>
      <c r="D5114">
        <v>0.848356752626932</v>
      </c>
      <c r="E5114">
        <v>0.61216040135384198</v>
      </c>
      <c r="F5114">
        <v>0.41671659310569698</v>
      </c>
      <c r="G5114">
        <v>0.21343180387546001</v>
      </c>
      <c r="H5114">
        <v>0.154893067712851</v>
      </c>
      <c r="I5114">
        <v>0.108969441537221</v>
      </c>
      <c r="J5114">
        <v>0.16500325446835001</v>
      </c>
      <c r="K5114">
        <v>0.12515186734168399</v>
      </c>
      <c r="L5114">
        <v>671.89058654791199</v>
      </c>
      <c r="M5114">
        <v>14.1412244525192</v>
      </c>
      <c r="N5114">
        <v>48.277023750981101</v>
      </c>
      <c r="O5114">
        <v>46.593034376952197</v>
      </c>
      <c r="P5114">
        <v>-6.82766497010691E-2</v>
      </c>
      <c r="Q5114">
        <v>0.100272664849984</v>
      </c>
      <c r="R5114">
        <v>0.99271770727475594</v>
      </c>
      <c r="S5114" t="s">
        <v>11682</v>
      </c>
      <c r="T5114" t="s">
        <v>13134</v>
      </c>
      <c r="U5114" t="s">
        <v>13134</v>
      </c>
      <c r="V5114" t="s">
        <v>13134</v>
      </c>
      <c r="W5114" t="s">
        <v>18184</v>
      </c>
      <c r="X5114">
        <v>5</v>
      </c>
      <c r="Y5114" t="s">
        <v>24552</v>
      </c>
      <c r="Z5114" t="s">
        <v>31082</v>
      </c>
      <c r="AA5114">
        <v>0.43771810135865252</v>
      </c>
      <c r="AB5114" t="str">
        <f>HYPERLINK("Melting_Curves/meltCurve_Q96JP5_2_ZFP91.pdf", "Melting_Curves/meltCurve_Q96JP5_2_ZFP91.pdf")</f>
        <v>Melting_Curves/meltCurve_Q96JP5_2_ZFP91.pdf</v>
      </c>
    </row>
    <row r="5115" spans="1:28" x14ac:dyDescent="0.25">
      <c r="A5115" t="s">
        <v>5119</v>
      </c>
      <c r="B5115">
        <v>0.99472303558308395</v>
      </c>
      <c r="C5115">
        <v>0.99917044870524396</v>
      </c>
      <c r="D5115">
        <v>1.1561671673941201</v>
      </c>
      <c r="E5115">
        <v>0.92209319677618595</v>
      </c>
      <c r="F5115">
        <v>0.64521097291574303</v>
      </c>
      <c r="G5115">
        <v>0.65855303663236997</v>
      </c>
      <c r="H5115">
        <v>0.65082055426127905</v>
      </c>
      <c r="I5115">
        <v>0.91052390328945698</v>
      </c>
      <c r="J5115">
        <v>1.36751925330475</v>
      </c>
      <c r="K5115">
        <v>0.98470334860308995</v>
      </c>
      <c r="L5115">
        <v>1381.5993025699199</v>
      </c>
      <c r="M5115">
        <v>21.293281348324498</v>
      </c>
      <c r="O5115">
        <v>64.3201325464766</v>
      </c>
      <c r="P5115">
        <v>1.2132824602893499E-2</v>
      </c>
      <c r="Q5115">
        <v>1.1465936879040199</v>
      </c>
      <c r="R5115">
        <v>-6.9384958673101904E-2</v>
      </c>
      <c r="S5115" t="s">
        <v>11683</v>
      </c>
      <c r="T5115" t="s">
        <v>13134</v>
      </c>
      <c r="U5115" t="s">
        <v>13134</v>
      </c>
      <c r="V5115" t="s">
        <v>13134</v>
      </c>
      <c r="W5115" t="s">
        <v>18185</v>
      </c>
      <c r="X5115">
        <v>6</v>
      </c>
      <c r="Y5115" t="s">
        <v>24553</v>
      </c>
      <c r="Z5115" t="s">
        <v>31083</v>
      </c>
      <c r="AA5115">
        <v>1.0153510252202029</v>
      </c>
      <c r="AB5115" t="str">
        <f>HYPERLINK("Melting_Curves/meltCurve_Q96K17_BTF3L4.pdf", "Melting_Curves/meltCurve_Q96K17_BTF3L4.pdf")</f>
        <v>Melting_Curves/meltCurve_Q96K17_BTF3L4.pdf</v>
      </c>
    </row>
    <row r="5116" spans="1:28" x14ac:dyDescent="0.25">
      <c r="A5116" t="s">
        <v>5120</v>
      </c>
      <c r="B5116">
        <v>0.99472303558308395</v>
      </c>
      <c r="C5116">
        <v>1.01312099936294</v>
      </c>
      <c r="D5116">
        <v>0.80261488165719996</v>
      </c>
      <c r="E5116">
        <v>0.69191787458243903</v>
      </c>
      <c r="F5116">
        <v>0.47269842472857698</v>
      </c>
      <c r="G5116">
        <v>0.214448979540939</v>
      </c>
      <c r="H5116">
        <v>0.220952488957573</v>
      </c>
      <c r="I5116">
        <v>0.14662711212427401</v>
      </c>
      <c r="J5116">
        <v>0.41267871207957402</v>
      </c>
      <c r="K5116">
        <v>0.13329079646139799</v>
      </c>
      <c r="L5116">
        <v>801.157691042382</v>
      </c>
      <c r="M5116">
        <v>16.8975116727458</v>
      </c>
      <c r="N5116">
        <v>48.906427512067097</v>
      </c>
      <c r="O5116">
        <v>46.763650490466397</v>
      </c>
      <c r="P5116">
        <v>-7.2130480493352606E-2</v>
      </c>
      <c r="Q5116">
        <v>0.20156979199578601</v>
      </c>
      <c r="R5116">
        <v>0.93433721590262098</v>
      </c>
      <c r="S5116" t="s">
        <v>11684</v>
      </c>
      <c r="T5116" t="s">
        <v>13134</v>
      </c>
      <c r="U5116" t="s">
        <v>13134</v>
      </c>
      <c r="V5116" t="s">
        <v>13134</v>
      </c>
      <c r="W5116" t="s">
        <v>18186</v>
      </c>
      <c r="X5116">
        <v>3</v>
      </c>
      <c r="Y5116" t="s">
        <v>24554</v>
      </c>
      <c r="Z5116" t="s">
        <v>31084</v>
      </c>
      <c r="AA5116">
        <v>0.49308496741697849</v>
      </c>
      <c r="AB5116" t="str">
        <f>HYPERLINK("Melting_Curves/meltCurve_Q96K19_2_RNF170.pdf", "Melting_Curves/meltCurve_Q96K19_2_RNF170.pdf")</f>
        <v>Melting_Curves/meltCurve_Q96K19_2_RNF170.pdf</v>
      </c>
    </row>
    <row r="5117" spans="1:28" x14ac:dyDescent="0.25">
      <c r="A5117" t="s">
        <v>5121</v>
      </c>
      <c r="B5117">
        <v>0.99472303558308395</v>
      </c>
      <c r="C5117">
        <v>0.96320968026397302</v>
      </c>
      <c r="D5117">
        <v>0.854786242180539</v>
      </c>
      <c r="E5117">
        <v>0.80103805775172898</v>
      </c>
      <c r="F5117">
        <v>0.51689644764089704</v>
      </c>
      <c r="G5117">
        <v>0.16581499577508901</v>
      </c>
      <c r="H5117">
        <v>9.7247856521937695E-2</v>
      </c>
      <c r="I5117">
        <v>6.3550451078106598E-2</v>
      </c>
      <c r="J5117">
        <v>7.3722243325931303E-2</v>
      </c>
      <c r="K5117">
        <v>6.0409785761010401E-2</v>
      </c>
      <c r="L5117">
        <v>929.53253782635102</v>
      </c>
      <c r="M5117">
        <v>18.712794541915301</v>
      </c>
      <c r="N5117">
        <v>49.8826541869403</v>
      </c>
      <c r="O5117">
        <v>49.116785932703102</v>
      </c>
      <c r="P5117">
        <v>-9.1658816649858102E-2</v>
      </c>
      <c r="Q5117">
        <v>3.7707486823968399E-2</v>
      </c>
      <c r="R5117">
        <v>0.98913670635222095</v>
      </c>
      <c r="S5117" t="s">
        <v>11685</v>
      </c>
      <c r="T5117" t="s">
        <v>13134</v>
      </c>
      <c r="U5117" t="s">
        <v>13134</v>
      </c>
      <c r="V5117" t="s">
        <v>13134</v>
      </c>
      <c r="W5117" t="s">
        <v>18187</v>
      </c>
      <c r="X5117">
        <v>8</v>
      </c>
      <c r="Y5117" t="s">
        <v>24555</v>
      </c>
      <c r="Z5117" t="s">
        <v>31085</v>
      </c>
      <c r="AA5117">
        <v>0.45847522779169247</v>
      </c>
      <c r="AB5117" t="str">
        <f>HYPERLINK("Melting_Curves/meltCurve_Q96KA5_2_CLPTM1L.pdf", "Melting_Curves/meltCurve_Q96KA5_2_CLPTM1L.pdf")</f>
        <v>Melting_Curves/meltCurve_Q96KA5_2_CLPTM1L.pdf</v>
      </c>
    </row>
    <row r="5118" spans="1:28" x14ac:dyDescent="0.25">
      <c r="A5118" t="s">
        <v>5122</v>
      </c>
      <c r="B5118">
        <v>0.99472303558308395</v>
      </c>
      <c r="C5118">
        <v>0.91778971569793799</v>
      </c>
      <c r="D5118">
        <v>0.97175305348546803</v>
      </c>
      <c r="E5118">
        <v>0.52872034135065504</v>
      </c>
      <c r="F5118">
        <v>0.16406810857544801</v>
      </c>
      <c r="G5118">
        <v>9.7037386942623302E-2</v>
      </c>
      <c r="H5118">
        <v>6.4086163756136794E-2</v>
      </c>
      <c r="I5118">
        <v>5.1691606046341501E-2</v>
      </c>
      <c r="J5118">
        <v>6.39868614542176E-2</v>
      </c>
      <c r="K5118">
        <v>5.0820220255725503E-2</v>
      </c>
      <c r="L5118">
        <v>1470.4322091329</v>
      </c>
      <c r="M5118">
        <v>31.519982053215202</v>
      </c>
      <c r="N5118">
        <v>46.851184998374499</v>
      </c>
      <c r="O5118">
        <v>46.464224424865897</v>
      </c>
      <c r="P5118">
        <v>-0.15889938535996101</v>
      </c>
      <c r="Q5118">
        <v>6.3058227244965903E-2</v>
      </c>
      <c r="R5118">
        <v>0.994935863597049</v>
      </c>
      <c r="S5118" t="s">
        <v>11686</v>
      </c>
      <c r="T5118" t="s">
        <v>13134</v>
      </c>
      <c r="U5118" t="s">
        <v>13134</v>
      </c>
      <c r="V5118" t="s">
        <v>13134</v>
      </c>
      <c r="W5118" t="s">
        <v>18188</v>
      </c>
      <c r="X5118">
        <v>16</v>
      </c>
      <c r="Y5118" t="s">
        <v>24556</v>
      </c>
      <c r="Z5118" t="s">
        <v>31086</v>
      </c>
      <c r="AA5118">
        <v>0.36935998262983888</v>
      </c>
      <c r="AB5118" t="str">
        <f>HYPERLINK("Melting_Curves/meltCurve_Q96KB5_PBK.pdf", "Melting_Curves/meltCurve_Q96KB5_PBK.pdf")</f>
        <v>Melting_Curves/meltCurve_Q96KB5_PBK.pdf</v>
      </c>
    </row>
    <row r="5119" spans="1:28" x14ac:dyDescent="0.25">
      <c r="A5119" t="s">
        <v>5123</v>
      </c>
      <c r="B5119">
        <v>0.99472303558308395</v>
      </c>
      <c r="C5119">
        <v>0.98678924840850302</v>
      </c>
      <c r="D5119">
        <v>0.89279198286874895</v>
      </c>
      <c r="E5119">
        <v>0.59387048391156805</v>
      </c>
      <c r="F5119">
        <v>0.26742684904325698</v>
      </c>
      <c r="G5119">
        <v>0.11872581654324101</v>
      </c>
      <c r="H5119">
        <v>7.1629057841128899E-2</v>
      </c>
      <c r="I5119">
        <v>3.4966021558468598E-2</v>
      </c>
      <c r="J5119">
        <v>6.1889991785576901E-2</v>
      </c>
      <c r="K5119">
        <v>2.6575675576842601E-2</v>
      </c>
      <c r="L5119">
        <v>963.88383401458395</v>
      </c>
      <c r="M5119">
        <v>20.3603705872804</v>
      </c>
      <c r="N5119">
        <v>47.527760339990301</v>
      </c>
      <c r="O5119">
        <v>46.891584309059901</v>
      </c>
      <c r="P5119">
        <v>-0.104383951647186</v>
      </c>
      <c r="Q5119">
        <v>3.8410345585625602E-2</v>
      </c>
      <c r="R5119">
        <v>0.99944360125504905</v>
      </c>
      <c r="S5119" t="s">
        <v>11687</v>
      </c>
      <c r="T5119" t="s">
        <v>13134</v>
      </c>
      <c r="U5119" t="s">
        <v>13134</v>
      </c>
      <c r="V5119" t="s">
        <v>13134</v>
      </c>
      <c r="W5119" t="s">
        <v>18189</v>
      </c>
      <c r="X5119">
        <v>3</v>
      </c>
      <c r="Y5119" t="s">
        <v>24557</v>
      </c>
      <c r="Z5119" t="s">
        <v>31087</v>
      </c>
      <c r="AA5119">
        <v>0.3820502339672715</v>
      </c>
      <c r="AB5119" t="str">
        <f>HYPERLINK("Melting_Curves/meltCurve_Q96KC2_ARL5B.pdf", "Melting_Curves/meltCurve_Q96KC2_ARL5B.pdf")</f>
        <v>Melting_Curves/meltCurve_Q96KC2_ARL5B.pdf</v>
      </c>
    </row>
    <row r="5120" spans="1:28" x14ac:dyDescent="0.25">
      <c r="A5120" t="s">
        <v>5124</v>
      </c>
      <c r="B5120">
        <v>0.99472303558308395</v>
      </c>
      <c r="C5120">
        <v>1.09212664839204</v>
      </c>
      <c r="D5120">
        <v>0.97888154200961297</v>
      </c>
      <c r="E5120">
        <v>0.92122371393226099</v>
      </c>
      <c r="F5120">
        <v>0.65799731360973002</v>
      </c>
      <c r="G5120">
        <v>0.35161700840617799</v>
      </c>
      <c r="H5120">
        <v>0.200198430369668</v>
      </c>
      <c r="I5120">
        <v>0.17883787824257799</v>
      </c>
      <c r="J5120">
        <v>0.22171925957809799</v>
      </c>
      <c r="K5120">
        <v>0.174498758428448</v>
      </c>
      <c r="L5120">
        <v>1301.1970074666301</v>
      </c>
      <c r="M5120">
        <v>25.592083253578501</v>
      </c>
      <c r="N5120">
        <v>51.753638954352603</v>
      </c>
      <c r="O5120">
        <v>50.536340971173999</v>
      </c>
      <c r="P5120">
        <v>-0.103667195529385</v>
      </c>
      <c r="Q5120">
        <v>0.18116924112779301</v>
      </c>
      <c r="R5120">
        <v>0.99190124055722095</v>
      </c>
      <c r="S5120" t="s">
        <v>11688</v>
      </c>
      <c r="T5120" t="s">
        <v>13134</v>
      </c>
      <c r="U5120" t="s">
        <v>13134</v>
      </c>
      <c r="V5120" t="s">
        <v>13134</v>
      </c>
      <c r="W5120" t="s">
        <v>18190</v>
      </c>
      <c r="X5120">
        <v>10</v>
      </c>
      <c r="Y5120" t="s">
        <v>24558</v>
      </c>
      <c r="Z5120" t="s">
        <v>31088</v>
      </c>
      <c r="AA5120">
        <v>0.56593166600062494</v>
      </c>
      <c r="AB5120" t="str">
        <f>HYPERLINK("Melting_Curves/meltCurve_Q96KC8_DNAJC1.pdf", "Melting_Curves/meltCurve_Q96KC8_DNAJC1.pdf")</f>
        <v>Melting_Curves/meltCurve_Q96KC8_DNAJC1.pdf</v>
      </c>
    </row>
    <row r="5121" spans="1:28" x14ac:dyDescent="0.25">
      <c r="A5121" t="s">
        <v>5125</v>
      </c>
      <c r="B5121">
        <v>0.99472303558308395</v>
      </c>
      <c r="C5121">
        <v>0.854198614705166</v>
      </c>
      <c r="D5121">
        <v>0.92110681948136797</v>
      </c>
      <c r="E5121">
        <v>0.613776461466775</v>
      </c>
      <c r="F5121">
        <v>0.38899778139258101</v>
      </c>
      <c r="G5121">
        <v>0.34125095370314401</v>
      </c>
      <c r="H5121">
        <v>0.29578362839170502</v>
      </c>
      <c r="I5121">
        <v>0.31811267514923303</v>
      </c>
      <c r="J5121">
        <v>0.41269478955653999</v>
      </c>
      <c r="K5121">
        <v>0.36526522284342999</v>
      </c>
      <c r="L5121">
        <v>1158.36531418863</v>
      </c>
      <c r="M5121">
        <v>25.253780779224101</v>
      </c>
      <c r="N5121">
        <v>48.039675582271897</v>
      </c>
      <c r="O5121">
        <v>45.584272357106997</v>
      </c>
      <c r="P5121">
        <v>-9.1374663314061799E-2</v>
      </c>
      <c r="Q5121">
        <v>0.34026619954934501</v>
      </c>
      <c r="R5121">
        <v>0.95974470065901796</v>
      </c>
      <c r="S5121" t="s">
        <v>11689</v>
      </c>
      <c r="T5121" t="s">
        <v>13134</v>
      </c>
      <c r="U5121" t="s">
        <v>13134</v>
      </c>
      <c r="V5121" t="s">
        <v>13134</v>
      </c>
      <c r="W5121" t="s">
        <v>18191</v>
      </c>
      <c r="X5121">
        <v>1</v>
      </c>
      <c r="Y5121" t="s">
        <v>24559</v>
      </c>
      <c r="Z5121" t="s">
        <v>31089</v>
      </c>
      <c r="AA5121">
        <v>0.54065109197139649</v>
      </c>
      <c r="AB5121" t="str">
        <f>HYPERLINK("Melting_Curves/meltCurve_Q96KF7_SMIM8.pdf", "Melting_Curves/meltCurve_Q96KF7_SMIM8.pdf")</f>
        <v>Melting_Curves/meltCurve_Q96KF7_SMIM8.pdf</v>
      </c>
    </row>
    <row r="5122" spans="1:28" x14ac:dyDescent="0.25">
      <c r="A5122" t="s">
        <v>5126</v>
      </c>
      <c r="B5122">
        <v>0.99472303558308395</v>
      </c>
      <c r="C5122">
        <v>0.97965661579201901</v>
      </c>
      <c r="D5122">
        <v>0.84833152274230605</v>
      </c>
      <c r="E5122">
        <v>0.59222944571093195</v>
      </c>
      <c r="F5122">
        <v>0.387081483503048</v>
      </c>
      <c r="G5122">
        <v>0.12510605629495899</v>
      </c>
      <c r="H5122">
        <v>6.4460018899758803E-2</v>
      </c>
      <c r="I5122">
        <v>1.7187136091890601E-2</v>
      </c>
      <c r="J5122">
        <v>1.98921345785938E-2</v>
      </c>
      <c r="K5122">
        <v>1.33572670688004E-2</v>
      </c>
      <c r="L5122">
        <v>748.82590799279103</v>
      </c>
      <c r="M5122">
        <v>15.598710440888301</v>
      </c>
      <c r="N5122">
        <v>48.005629292258803</v>
      </c>
      <c r="O5122">
        <v>47.237421653705901</v>
      </c>
      <c r="P5122">
        <v>-8.2562003971475895E-2</v>
      </c>
      <c r="Q5122">
        <v>0</v>
      </c>
      <c r="R5122">
        <v>0.996710607332292</v>
      </c>
      <c r="S5122" t="s">
        <v>11690</v>
      </c>
      <c r="T5122" t="s">
        <v>13134</v>
      </c>
      <c r="U5122" t="s">
        <v>13134</v>
      </c>
      <c r="V5122" t="s">
        <v>13134</v>
      </c>
      <c r="W5122" t="s">
        <v>18192</v>
      </c>
      <c r="X5122">
        <v>4</v>
      </c>
      <c r="Y5122" t="s">
        <v>24560</v>
      </c>
      <c r="Z5122" t="s">
        <v>31090</v>
      </c>
      <c r="AA5122">
        <v>0.38745911772941322</v>
      </c>
      <c r="AB5122" t="str">
        <f>HYPERLINK("Melting_Curves/meltCurve_Q96KM6_ZNF512B.pdf", "Melting_Curves/meltCurve_Q96KM6_ZNF512B.pdf")</f>
        <v>Melting_Curves/meltCurve_Q96KM6_ZNF512B.pdf</v>
      </c>
    </row>
    <row r="5123" spans="1:28" x14ac:dyDescent="0.25">
      <c r="A5123" t="s">
        <v>5127</v>
      </c>
      <c r="B5123">
        <v>0.99472303558308395</v>
      </c>
      <c r="C5123">
        <v>0.88046795114295595</v>
      </c>
      <c r="D5123">
        <v>0.69437234919865098</v>
      </c>
      <c r="E5123">
        <v>0.39304467371834401</v>
      </c>
      <c r="F5123">
        <v>0.12525954319236399</v>
      </c>
      <c r="G5123">
        <v>5.7940430544698399E-2</v>
      </c>
      <c r="H5123">
        <v>3.3932395412993303E-2</v>
      </c>
      <c r="I5123">
        <v>2.1032523983900101E-2</v>
      </c>
      <c r="J5123">
        <v>2.1605142763597401E-2</v>
      </c>
      <c r="K5123">
        <v>2.1034880739522799E-2</v>
      </c>
      <c r="L5123">
        <v>775.36792681775296</v>
      </c>
      <c r="M5123">
        <v>17.210282500269599</v>
      </c>
      <c r="N5123">
        <v>45.0997730345319</v>
      </c>
      <c r="O5123">
        <v>44.457525525691899</v>
      </c>
      <c r="P5123">
        <v>-9.5921662581783904E-2</v>
      </c>
      <c r="Q5123">
        <v>8.9206997522618594E-3</v>
      </c>
      <c r="R5123">
        <v>0.99815369786958197</v>
      </c>
      <c r="S5123" t="s">
        <v>11691</v>
      </c>
      <c r="T5123" t="s">
        <v>13134</v>
      </c>
      <c r="U5123" t="s">
        <v>13134</v>
      </c>
      <c r="V5123" t="s">
        <v>13134</v>
      </c>
      <c r="W5123" t="s">
        <v>18193</v>
      </c>
      <c r="X5123">
        <v>14</v>
      </c>
      <c r="Y5123" t="s">
        <v>24561</v>
      </c>
      <c r="Z5123" t="s">
        <v>31091</v>
      </c>
      <c r="AA5123">
        <v>0.29275178725125273</v>
      </c>
      <c r="AB5123" t="str">
        <f>HYPERLINK("Melting_Curves/meltCurve_Q96KP1_EXOC2.pdf", "Melting_Curves/meltCurve_Q96KP1_EXOC2.pdf")</f>
        <v>Melting_Curves/meltCurve_Q96KP1_EXOC2.pdf</v>
      </c>
    </row>
    <row r="5124" spans="1:28" x14ac:dyDescent="0.25">
      <c r="A5124" t="s">
        <v>5128</v>
      </c>
      <c r="B5124">
        <v>0.99472303558308395</v>
      </c>
      <c r="C5124">
        <v>1.0026095671036701</v>
      </c>
      <c r="D5124">
        <v>0.958675130143682</v>
      </c>
      <c r="E5124">
        <v>0.92098194186586402</v>
      </c>
      <c r="F5124">
        <v>0.83783549365910703</v>
      </c>
      <c r="G5124">
        <v>0.64405060336395203</v>
      </c>
      <c r="H5124">
        <v>0.51622526059972396</v>
      </c>
      <c r="I5124">
        <v>0.46311143543599098</v>
      </c>
      <c r="J5124">
        <v>0.44429741271623202</v>
      </c>
      <c r="K5124">
        <v>0.30789456400092502</v>
      </c>
      <c r="L5124">
        <v>662.72299450511196</v>
      </c>
      <c r="M5124">
        <v>12.193443608586399</v>
      </c>
      <c r="N5124">
        <v>58.617488782925903</v>
      </c>
      <c r="O5124">
        <v>52.9509015717559</v>
      </c>
      <c r="P5124">
        <v>-4.06436023662669E-2</v>
      </c>
      <c r="Q5124">
        <v>0.29416894495585799</v>
      </c>
      <c r="R5124">
        <v>0.98708498657905097</v>
      </c>
      <c r="S5124" t="s">
        <v>11692</v>
      </c>
      <c r="T5124" t="s">
        <v>13134</v>
      </c>
      <c r="U5124" t="s">
        <v>13134</v>
      </c>
      <c r="V5124" t="s">
        <v>13134</v>
      </c>
      <c r="W5124" t="s">
        <v>18194</v>
      </c>
      <c r="X5124">
        <v>23</v>
      </c>
      <c r="Y5124" t="s">
        <v>24562</v>
      </c>
      <c r="Z5124" t="s">
        <v>31092</v>
      </c>
      <c r="AA5124">
        <v>0.71415783107469866</v>
      </c>
      <c r="AB5124" t="str">
        <f>HYPERLINK("Melting_Curves/meltCurve_Q96KP4_CNDP2.pdf", "Melting_Curves/meltCurve_Q96KP4_CNDP2.pdf")</f>
        <v>Melting_Curves/meltCurve_Q96KP4_CNDP2.pdf</v>
      </c>
    </row>
    <row r="5125" spans="1:28" x14ac:dyDescent="0.25">
      <c r="A5125" t="s">
        <v>5129</v>
      </c>
      <c r="B5125">
        <v>0.99472303558308395</v>
      </c>
      <c r="C5125">
        <v>0.86551536989001698</v>
      </c>
      <c r="D5125">
        <v>0.78146686448555502</v>
      </c>
      <c r="E5125">
        <v>0.57301282827646405</v>
      </c>
      <c r="F5125">
        <v>0.479649465806677</v>
      </c>
      <c r="G5125">
        <v>0.25171653439194702</v>
      </c>
      <c r="H5125">
        <v>0.12235637292804601</v>
      </c>
      <c r="I5125">
        <v>8.3416982877734094E-2</v>
      </c>
      <c r="J5125">
        <v>9.1028714462298405E-2</v>
      </c>
      <c r="K5125">
        <v>7.8075987737357397E-2</v>
      </c>
      <c r="L5125">
        <v>495.78022280790799</v>
      </c>
      <c r="M5125">
        <v>10.240731591576001</v>
      </c>
      <c r="N5125">
        <v>48.412578593933503</v>
      </c>
      <c r="O5125">
        <v>46.675460379679897</v>
      </c>
      <c r="P5125">
        <v>-5.4875086288996601E-2</v>
      </c>
      <c r="Q5125">
        <v>0</v>
      </c>
      <c r="R5125">
        <v>0.98996497244887405</v>
      </c>
      <c r="S5125" t="s">
        <v>11693</v>
      </c>
      <c r="T5125" t="s">
        <v>13134</v>
      </c>
      <c r="U5125" t="s">
        <v>13134</v>
      </c>
      <c r="V5125" t="s">
        <v>13134</v>
      </c>
      <c r="W5125" t="s">
        <v>18195</v>
      </c>
      <c r="X5125">
        <v>3</v>
      </c>
      <c r="Y5125" t="s">
        <v>24563</v>
      </c>
      <c r="Z5125" t="s">
        <v>31093</v>
      </c>
      <c r="AA5125">
        <v>0.41822705983514508</v>
      </c>
      <c r="AB5125" t="str">
        <f>HYPERLINK("Melting_Curves/meltCurve_Q96KR1_ZFR.pdf", "Melting_Curves/meltCurve_Q96KR1_ZFR.pdf")</f>
        <v>Melting_Curves/meltCurve_Q96KR1_ZFR.pdf</v>
      </c>
    </row>
    <row r="5126" spans="1:28" x14ac:dyDescent="0.25">
      <c r="A5126" t="s">
        <v>5130</v>
      </c>
      <c r="B5126">
        <v>0.99472303558308395</v>
      </c>
      <c r="C5126">
        <v>0.92947632313978601</v>
      </c>
      <c r="D5126">
        <v>0.56490500590430404</v>
      </c>
      <c r="E5126">
        <v>0.33255610862076901</v>
      </c>
      <c r="F5126">
        <v>0.158502977256684</v>
      </c>
      <c r="G5126">
        <v>0.102099920763681</v>
      </c>
      <c r="H5126">
        <v>6.4382864848942595E-2</v>
      </c>
      <c r="I5126">
        <v>4.7074180960078003E-2</v>
      </c>
      <c r="J5126">
        <v>5.90592252913371E-2</v>
      </c>
      <c r="K5126">
        <v>4.9458437388067503E-2</v>
      </c>
      <c r="L5126">
        <v>804.35442346213097</v>
      </c>
      <c r="M5126">
        <v>18.295631456124401</v>
      </c>
      <c r="N5126">
        <v>44.256455430138097</v>
      </c>
      <c r="O5126">
        <v>43.449147952993798</v>
      </c>
      <c r="P5126">
        <v>-9.9286516682323606E-2</v>
      </c>
      <c r="Q5126">
        <v>5.6886346809862202E-2</v>
      </c>
      <c r="R5126">
        <v>0.99297818719373399</v>
      </c>
      <c r="S5126" t="s">
        <v>11694</v>
      </c>
      <c r="T5126" t="s">
        <v>13134</v>
      </c>
      <c r="U5126" t="s">
        <v>13134</v>
      </c>
      <c r="V5126" t="s">
        <v>13134</v>
      </c>
      <c r="W5126" t="s">
        <v>18196</v>
      </c>
      <c r="X5126">
        <v>9</v>
      </c>
      <c r="Y5126" t="s">
        <v>24564</v>
      </c>
      <c r="Z5126" t="s">
        <v>31094</v>
      </c>
      <c r="AA5126">
        <v>0.29117701554749459</v>
      </c>
      <c r="AB5126" t="str">
        <f>HYPERLINK("Melting_Curves/meltCurve_Q96L91_3_EP400.pdf", "Melting_Curves/meltCurve_Q96L91_3_EP400.pdf")</f>
        <v>Melting_Curves/meltCurve_Q96L91_3_EP400.pdf</v>
      </c>
    </row>
    <row r="5127" spans="1:28" x14ac:dyDescent="0.25">
      <c r="A5127" t="s">
        <v>5131</v>
      </c>
      <c r="B5127">
        <v>0.99472303558308395</v>
      </c>
      <c r="C5127">
        <v>0.87687272387130399</v>
      </c>
      <c r="D5127">
        <v>1.0331268906430899</v>
      </c>
      <c r="E5127">
        <v>0.56340486983911098</v>
      </c>
      <c r="F5127">
        <v>0.110582778332438</v>
      </c>
      <c r="G5127">
        <v>5.7028433069822498E-2</v>
      </c>
      <c r="H5127">
        <v>3.2260349692372597E-2</v>
      </c>
      <c r="I5127">
        <v>2.8626691857600198E-2</v>
      </c>
      <c r="J5127">
        <v>2.8167311046958101E-2</v>
      </c>
      <c r="K5127">
        <v>2.1583588374438599E-2</v>
      </c>
      <c r="L5127">
        <v>1976.8429935603899</v>
      </c>
      <c r="M5127">
        <v>42.193756795898203</v>
      </c>
      <c r="N5127">
        <v>46.934269228661002</v>
      </c>
      <c r="O5127">
        <v>46.746678698901398</v>
      </c>
      <c r="P5127">
        <v>-0.21756653632859699</v>
      </c>
      <c r="Q5127">
        <v>3.5829305726969699E-2</v>
      </c>
      <c r="R5127">
        <v>0.989114813865136</v>
      </c>
      <c r="S5127" t="s">
        <v>11695</v>
      </c>
      <c r="T5127" t="s">
        <v>13134</v>
      </c>
      <c r="U5127" t="s">
        <v>13134</v>
      </c>
      <c r="V5127" t="s">
        <v>13134</v>
      </c>
      <c r="W5127" t="s">
        <v>18197</v>
      </c>
      <c r="X5127">
        <v>8</v>
      </c>
      <c r="Y5127" t="s">
        <v>24565</v>
      </c>
      <c r="Z5127" t="s">
        <v>31095</v>
      </c>
      <c r="AA5127">
        <v>0.35525311722401298</v>
      </c>
      <c r="AB5127" t="str">
        <f>HYPERLINK("Melting_Curves/meltCurve_Q96L92_3_SNX27.pdf", "Melting_Curves/meltCurve_Q96L92_3_SNX27.pdf")</f>
        <v>Melting_Curves/meltCurve_Q96L92_3_SNX27.pdf</v>
      </c>
    </row>
    <row r="5128" spans="1:28" x14ac:dyDescent="0.25">
      <c r="A5128" t="s">
        <v>5132</v>
      </c>
      <c r="B5128">
        <v>0.99472303558308395</v>
      </c>
      <c r="C5128">
        <v>0.99473629760831705</v>
      </c>
      <c r="D5128">
        <v>1.0932284989140899</v>
      </c>
      <c r="E5128">
        <v>1.01317098717817</v>
      </c>
      <c r="F5128">
        <v>0.90560903579857799</v>
      </c>
      <c r="G5128">
        <v>0.76517114785765905</v>
      </c>
      <c r="H5128">
        <v>0.75386158981057105</v>
      </c>
      <c r="I5128">
        <v>0.74004688682764797</v>
      </c>
      <c r="J5128">
        <v>0.803665482882716</v>
      </c>
      <c r="K5128">
        <v>0.54910093096369195</v>
      </c>
      <c r="L5128">
        <v>1334.4273792244601</v>
      </c>
      <c r="M5128">
        <v>25.720694924405301</v>
      </c>
      <c r="O5128">
        <v>51.5708976115288</v>
      </c>
      <c r="P5128">
        <v>-3.7511491228412103E-2</v>
      </c>
      <c r="Q5128">
        <v>0.69915618072819197</v>
      </c>
      <c r="R5128">
        <v>0.81774072198403502</v>
      </c>
      <c r="S5128" t="s">
        <v>11696</v>
      </c>
      <c r="T5128" t="s">
        <v>13134</v>
      </c>
      <c r="U5128" t="s">
        <v>13134</v>
      </c>
      <c r="V5128" t="s">
        <v>13134</v>
      </c>
      <c r="W5128" t="s">
        <v>18198</v>
      </c>
      <c r="X5128">
        <v>4</v>
      </c>
      <c r="Y5128" t="s">
        <v>24566</v>
      </c>
      <c r="Z5128" t="s">
        <v>31096</v>
      </c>
      <c r="AA5128">
        <v>0.85092011686528513</v>
      </c>
      <c r="AB5128" t="str">
        <f>HYPERLINK("Melting_Curves/meltCurve_Q96L93_6_KIF16B.pdf", "Melting_Curves/meltCurve_Q96L93_6_KIF16B.pdf")</f>
        <v>Melting_Curves/meltCurve_Q96L93_6_KIF16B.pdf</v>
      </c>
    </row>
    <row r="5129" spans="1:28" x14ac:dyDescent="0.25">
      <c r="A5129" t="s">
        <v>5133</v>
      </c>
      <c r="B5129">
        <v>0.99472303558308395</v>
      </c>
      <c r="C5129">
        <v>0.62816537190178301</v>
      </c>
      <c r="D5129">
        <v>1.25285338108084</v>
      </c>
      <c r="E5129">
        <v>0.73305130173250199</v>
      </c>
      <c r="F5129">
        <v>0.44521762635013201</v>
      </c>
      <c r="G5129">
        <v>0.25540104004713199</v>
      </c>
      <c r="H5129">
        <v>0.11115064681653</v>
      </c>
      <c r="I5129">
        <v>5.7543611219548603E-2</v>
      </c>
      <c r="J5129">
        <v>1.8521816817113301E-2</v>
      </c>
      <c r="K5129">
        <v>3.5996912202452797E-2</v>
      </c>
      <c r="L5129">
        <v>994.40060263832004</v>
      </c>
      <c r="M5129">
        <v>20.011598489816699</v>
      </c>
      <c r="N5129">
        <v>49.877776022645101</v>
      </c>
      <c r="O5129">
        <v>49.202984089371803</v>
      </c>
      <c r="P5129">
        <v>-9.8015827898579003E-2</v>
      </c>
      <c r="Q5129">
        <v>3.6056094057427601E-2</v>
      </c>
      <c r="R5129">
        <v>0.86752680131098203</v>
      </c>
      <c r="S5129" t="s">
        <v>11697</v>
      </c>
      <c r="T5129" t="s">
        <v>13134</v>
      </c>
      <c r="U5129" t="s">
        <v>13134</v>
      </c>
      <c r="V5129" t="s">
        <v>13134</v>
      </c>
      <c r="W5129" t="s">
        <v>18199</v>
      </c>
      <c r="X5129">
        <v>2</v>
      </c>
      <c r="Y5129" t="s">
        <v>24567</v>
      </c>
      <c r="Z5129" t="s">
        <v>31097</v>
      </c>
      <c r="AA5129">
        <v>0.45653211769289681</v>
      </c>
      <c r="AB5129" t="str">
        <f>HYPERLINK("Melting_Curves/meltCurve_Q96LA8_2_PRMT6.pdf", "Melting_Curves/meltCurve_Q96LA8_2_PRMT6.pdf")</f>
        <v>Melting_Curves/meltCurve_Q96LA8_2_PRMT6.pdf</v>
      </c>
    </row>
    <row r="5130" spans="1:28" x14ac:dyDescent="0.25">
      <c r="A5130" t="s">
        <v>5134</v>
      </c>
      <c r="B5130">
        <v>0.99472303558308395</v>
      </c>
      <c r="C5130">
        <v>1.0091377740279801</v>
      </c>
      <c r="D5130">
        <v>0.75305187695100695</v>
      </c>
      <c r="E5130">
        <v>0.44326231141899802</v>
      </c>
      <c r="F5130">
        <v>0.157013600068622</v>
      </c>
      <c r="G5130">
        <v>9.8630714563614302E-2</v>
      </c>
      <c r="H5130">
        <v>7.3459905500284403E-2</v>
      </c>
      <c r="I5130">
        <v>6.0657678424923998E-2</v>
      </c>
      <c r="J5130">
        <v>7.4859956113835696E-2</v>
      </c>
      <c r="K5130">
        <v>5.0310016782795001E-2</v>
      </c>
      <c r="L5130">
        <v>961.57168164559903</v>
      </c>
      <c r="M5130">
        <v>21.114119023835499</v>
      </c>
      <c r="N5130">
        <v>45.815165877128599</v>
      </c>
      <c r="O5130">
        <v>45.139014242863603</v>
      </c>
      <c r="P5130">
        <v>-0.11001754466564</v>
      </c>
      <c r="Q5130">
        <v>5.9216337133915199E-2</v>
      </c>
      <c r="R5130">
        <v>0.99612988489825405</v>
      </c>
      <c r="S5130" t="s">
        <v>11698</v>
      </c>
      <c r="T5130" t="s">
        <v>13134</v>
      </c>
      <c r="U5130" t="s">
        <v>13134</v>
      </c>
      <c r="V5130" t="s">
        <v>13134</v>
      </c>
      <c r="W5130" t="s">
        <v>18200</v>
      </c>
      <c r="X5130">
        <v>4</v>
      </c>
      <c r="Y5130" t="s">
        <v>24568</v>
      </c>
      <c r="Z5130" t="s">
        <v>31098</v>
      </c>
      <c r="AA5130">
        <v>0.33808643113907427</v>
      </c>
      <c r="AB5130" t="str">
        <f>HYPERLINK("Melting_Curves/meltCurve_Q96LB3_IFT74.pdf", "Melting_Curves/meltCurve_Q96LB3_IFT74.pdf")</f>
        <v>Melting_Curves/meltCurve_Q96LB3_IFT74.pdf</v>
      </c>
    </row>
    <row r="5131" spans="1:28" x14ac:dyDescent="0.25">
      <c r="A5131" t="s">
        <v>5135</v>
      </c>
      <c r="B5131">
        <v>0.99472303558308395</v>
      </c>
      <c r="C5131">
        <v>1.02383831265266</v>
      </c>
      <c r="D5131">
        <v>0.85632215169485904</v>
      </c>
      <c r="E5131">
        <v>0.58193906802569995</v>
      </c>
      <c r="F5131">
        <v>0.51083546776767996</v>
      </c>
      <c r="G5131">
        <v>0.284674621637453</v>
      </c>
      <c r="H5131">
        <v>0.19248217907936499</v>
      </c>
      <c r="I5131">
        <v>0.13326601093295301</v>
      </c>
      <c r="J5131">
        <v>0.16651093640445799</v>
      </c>
      <c r="K5131">
        <v>0.132673238355866</v>
      </c>
      <c r="L5131">
        <v>650.15918927715302</v>
      </c>
      <c r="M5131">
        <v>13.484971497822199</v>
      </c>
      <c r="N5131">
        <v>49.146827560284201</v>
      </c>
      <c r="O5131">
        <v>47.1903964847655</v>
      </c>
      <c r="P5131">
        <v>-6.3379851876069607E-2</v>
      </c>
      <c r="Q5131">
        <v>0.11295000486979399</v>
      </c>
      <c r="R5131">
        <v>0.984765823715268</v>
      </c>
      <c r="S5131" t="s">
        <v>11699</v>
      </c>
      <c r="T5131" t="s">
        <v>13134</v>
      </c>
      <c r="U5131" t="s">
        <v>13134</v>
      </c>
      <c r="V5131" t="s">
        <v>13134</v>
      </c>
      <c r="W5131" t="s">
        <v>18201</v>
      </c>
      <c r="X5131">
        <v>5</v>
      </c>
      <c r="Y5131" t="s">
        <v>24569</v>
      </c>
      <c r="Z5131" t="s">
        <v>31099</v>
      </c>
      <c r="AA5131">
        <v>0.46759383215625222</v>
      </c>
      <c r="AB5131" t="str">
        <f>HYPERLINK("Melting_Curves/meltCurve_Q96LD4_TRIM47.pdf", "Melting_Curves/meltCurve_Q96LD4_TRIM47.pdf")</f>
        <v>Melting_Curves/meltCurve_Q96LD4_TRIM47.pdf</v>
      </c>
    </row>
    <row r="5132" spans="1:28" x14ac:dyDescent="0.25">
      <c r="A5132" t="s">
        <v>5136</v>
      </c>
      <c r="B5132">
        <v>0.99472303558308395</v>
      </c>
      <c r="C5132">
        <v>1.00163966920393</v>
      </c>
      <c r="D5132">
        <v>0.982839315425027</v>
      </c>
      <c r="E5132">
        <v>0.83200554430565399</v>
      </c>
      <c r="F5132">
        <v>0.268880481609583</v>
      </c>
      <c r="G5132">
        <v>0.12518038210990101</v>
      </c>
      <c r="H5132">
        <v>7.13200914323735E-2</v>
      </c>
      <c r="I5132">
        <v>4.8267996471941799E-2</v>
      </c>
      <c r="J5132">
        <v>4.2475267034871998E-2</v>
      </c>
      <c r="K5132">
        <v>2.6309360905294201E-2</v>
      </c>
      <c r="L5132">
        <v>1694.91141666257</v>
      </c>
      <c r="M5132">
        <v>34.900989858632897</v>
      </c>
      <c r="N5132">
        <v>48.7210086273301</v>
      </c>
      <c r="O5132">
        <v>48.404811381107997</v>
      </c>
      <c r="P5132">
        <v>-0.170634697033234</v>
      </c>
      <c r="Q5132">
        <v>5.3378034733556602E-2</v>
      </c>
      <c r="R5132">
        <v>0.99827675566339502</v>
      </c>
      <c r="S5132" t="s">
        <v>11700</v>
      </c>
      <c r="T5132" t="s">
        <v>13134</v>
      </c>
      <c r="U5132" t="s">
        <v>13134</v>
      </c>
      <c r="V5132" t="s">
        <v>13134</v>
      </c>
      <c r="W5132" t="s">
        <v>18202</v>
      </c>
      <c r="X5132">
        <v>7</v>
      </c>
      <c r="Y5132" t="s">
        <v>24570</v>
      </c>
      <c r="Z5132" t="s">
        <v>31100</v>
      </c>
      <c r="AA5132">
        <v>0.42243218278856431</v>
      </c>
      <c r="AB5132" t="str">
        <f>HYPERLINK("Melting_Curves/meltCurve_Q96LJ7_DHRS1.pdf", "Melting_Curves/meltCurve_Q96LJ7_DHRS1.pdf")</f>
        <v>Melting_Curves/meltCurve_Q96LJ7_DHRS1.pdf</v>
      </c>
    </row>
    <row r="5133" spans="1:28" x14ac:dyDescent="0.25">
      <c r="A5133" t="s">
        <v>5137</v>
      </c>
      <c r="B5133">
        <v>0.99472303558308395</v>
      </c>
      <c r="C5133">
        <v>1.1003525477652101</v>
      </c>
      <c r="D5133">
        <v>0.93788044592724995</v>
      </c>
      <c r="E5133">
        <v>0.85777191612530101</v>
      </c>
      <c r="F5133">
        <v>0.57161239009298703</v>
      </c>
      <c r="G5133">
        <v>0.244469280284352</v>
      </c>
      <c r="H5133">
        <v>0.15421017937790699</v>
      </c>
      <c r="I5133">
        <v>0.13569729557208901</v>
      </c>
      <c r="J5133">
        <v>0.13610288818308899</v>
      </c>
      <c r="K5133">
        <v>0.11350301706232301</v>
      </c>
      <c r="L5133">
        <v>1167.2419140756399</v>
      </c>
      <c r="M5133">
        <v>23.286880342235399</v>
      </c>
      <c r="N5133">
        <v>50.700155694012899</v>
      </c>
      <c r="O5133">
        <v>49.759193410268402</v>
      </c>
      <c r="P5133">
        <v>-0.10340722790651399</v>
      </c>
      <c r="Q5133">
        <v>0.116177266390377</v>
      </c>
      <c r="R5133">
        <v>0.99091055747199097</v>
      </c>
      <c r="S5133" t="s">
        <v>11701</v>
      </c>
      <c r="T5133" t="s">
        <v>13134</v>
      </c>
      <c r="U5133" t="s">
        <v>13134</v>
      </c>
      <c r="V5133" t="s">
        <v>13134</v>
      </c>
      <c r="W5133" t="s">
        <v>18203</v>
      </c>
      <c r="X5133">
        <v>5</v>
      </c>
      <c r="Y5133" t="s">
        <v>24571</v>
      </c>
      <c r="Z5133" t="s">
        <v>31101</v>
      </c>
      <c r="AA5133">
        <v>0.51167740436878606</v>
      </c>
      <c r="AB5133" t="str">
        <f>HYPERLINK("Melting_Curves/meltCurve_Q96LJ8_UBXN10.pdf", "Melting_Curves/meltCurve_Q96LJ8_UBXN10.pdf")</f>
        <v>Melting_Curves/meltCurve_Q96LJ8_UBXN10.pdf</v>
      </c>
    </row>
    <row r="5134" spans="1:28" x14ac:dyDescent="0.25">
      <c r="A5134" t="s">
        <v>5138</v>
      </c>
      <c r="B5134">
        <v>0.99472303558308395</v>
      </c>
      <c r="C5134">
        <v>0.86511946703637999</v>
      </c>
      <c r="D5134">
        <v>0.80158956181962804</v>
      </c>
      <c r="E5134">
        <v>0.79746946241379901</v>
      </c>
      <c r="F5134">
        <v>1.2250051557738399</v>
      </c>
      <c r="G5134">
        <v>0.67579200313360699</v>
      </c>
      <c r="H5134">
        <v>0.39236302353459102</v>
      </c>
      <c r="I5134">
        <v>0.199135511851465</v>
      </c>
      <c r="J5134">
        <v>0.27399517014937103</v>
      </c>
      <c r="K5134">
        <v>0.41257586784272399</v>
      </c>
      <c r="L5134">
        <v>6444.7693599116801</v>
      </c>
      <c r="M5134">
        <v>119.694616592316</v>
      </c>
      <c r="N5134">
        <v>54.305407367049497</v>
      </c>
      <c r="O5134">
        <v>53.828409895980798</v>
      </c>
      <c r="P5134">
        <v>-0.37836506101050299</v>
      </c>
      <c r="Q5134">
        <v>0.31937493951799101</v>
      </c>
      <c r="R5134">
        <v>0.82142967250152599</v>
      </c>
      <c r="S5134" t="s">
        <v>11702</v>
      </c>
      <c r="T5134" t="s">
        <v>13134</v>
      </c>
      <c r="U5134" t="s">
        <v>13134</v>
      </c>
      <c r="V5134" t="s">
        <v>13134</v>
      </c>
      <c r="W5134" t="s">
        <v>18204</v>
      </c>
      <c r="X5134">
        <v>1</v>
      </c>
      <c r="Y5134" t="s">
        <v>24572</v>
      </c>
      <c r="Z5134" t="s">
        <v>31102</v>
      </c>
      <c r="AA5134">
        <v>0.7017911961674036</v>
      </c>
      <c r="AB5134" t="str">
        <f>HYPERLINK("Melting_Curves/meltCurve_Q96M20_2_CNBD2.pdf", "Melting_Curves/meltCurve_Q96M20_2_CNBD2.pdf")</f>
        <v>Melting_Curves/meltCurve_Q96M20_2_CNBD2.pdf</v>
      </c>
    </row>
    <row r="5135" spans="1:28" x14ac:dyDescent="0.25">
      <c r="A5135" t="s">
        <v>5139</v>
      </c>
      <c r="B5135">
        <v>0.99472303558308395</v>
      </c>
      <c r="C5135">
        <v>0.97785585324550295</v>
      </c>
      <c r="D5135">
        <v>1.0069270911710599</v>
      </c>
      <c r="E5135">
        <v>0.89085529850760703</v>
      </c>
      <c r="F5135">
        <v>0.70864603327361897</v>
      </c>
      <c r="G5135">
        <v>0.59916183821826796</v>
      </c>
      <c r="H5135">
        <v>0.59818181416706895</v>
      </c>
      <c r="I5135">
        <v>0.60353666450548704</v>
      </c>
      <c r="J5135">
        <v>0.85875319538885397</v>
      </c>
      <c r="K5135">
        <v>0.64566775892585204</v>
      </c>
      <c r="L5135">
        <v>1979.4127877525</v>
      </c>
      <c r="M5135">
        <v>41.690411412485602</v>
      </c>
      <c r="O5135">
        <v>47.370003611564599</v>
      </c>
      <c r="P5135">
        <v>-7.4165895311013599E-2</v>
      </c>
      <c r="Q5135">
        <v>0.66292178833367699</v>
      </c>
      <c r="R5135">
        <v>0.81194214557864597</v>
      </c>
      <c r="S5135" t="s">
        <v>11703</v>
      </c>
      <c r="T5135" t="s">
        <v>13134</v>
      </c>
      <c r="U5135" t="s">
        <v>13134</v>
      </c>
      <c r="V5135" t="s">
        <v>13134</v>
      </c>
      <c r="W5135" t="s">
        <v>18205</v>
      </c>
      <c r="X5135">
        <v>7</v>
      </c>
      <c r="Y5135" t="s">
        <v>24573</v>
      </c>
      <c r="Z5135" t="s">
        <v>31103</v>
      </c>
      <c r="AA5135">
        <v>0.78167936300889074</v>
      </c>
      <c r="AB5135" t="str">
        <f>HYPERLINK("Melting_Curves/meltCurve_Q96M27_PRRC1.pdf", "Melting_Curves/meltCurve_Q96M27_PRRC1.pdf")</f>
        <v>Melting_Curves/meltCurve_Q96M27_PRRC1.pdf</v>
      </c>
    </row>
    <row r="5136" spans="1:28" x14ac:dyDescent="0.25">
      <c r="A5136" t="s">
        <v>5140</v>
      </c>
      <c r="B5136">
        <v>0.99472303558308395</v>
      </c>
      <c r="C5136">
        <v>0.92797149197145301</v>
      </c>
      <c r="D5136">
        <v>0.77550650873537197</v>
      </c>
      <c r="E5136">
        <v>0.70542688673110898</v>
      </c>
      <c r="F5136">
        <v>0.63715715110697602</v>
      </c>
      <c r="G5136">
        <v>0.22776218815763299</v>
      </c>
      <c r="H5136">
        <v>0.141891959211702</v>
      </c>
      <c r="I5136">
        <v>0.11023117343776501</v>
      </c>
      <c r="J5136">
        <v>0.11852387443997101</v>
      </c>
      <c r="K5136">
        <v>0.13932897235813901</v>
      </c>
      <c r="L5136">
        <v>579.71332980638294</v>
      </c>
      <c r="M5136">
        <v>11.654910407012601</v>
      </c>
      <c r="N5136">
        <v>50.052858801975503</v>
      </c>
      <c r="O5136">
        <v>48.343195545562402</v>
      </c>
      <c r="P5136">
        <v>-5.8168986016701202E-2</v>
      </c>
      <c r="Q5136">
        <v>3.5148006512154502E-2</v>
      </c>
      <c r="R5136">
        <v>0.96109935619280396</v>
      </c>
      <c r="S5136" t="s">
        <v>11704</v>
      </c>
      <c r="T5136" t="s">
        <v>13134</v>
      </c>
      <c r="U5136" t="s">
        <v>13134</v>
      </c>
      <c r="V5136" t="s">
        <v>13134</v>
      </c>
      <c r="W5136" t="s">
        <v>18206</v>
      </c>
      <c r="X5136">
        <v>1</v>
      </c>
      <c r="Y5136" t="s">
        <v>24574</v>
      </c>
      <c r="Z5136" t="s">
        <v>31104</v>
      </c>
      <c r="AA5136">
        <v>0.47331631020242149</v>
      </c>
      <c r="AB5136" t="str">
        <f>HYPERLINK("Melting_Curves/meltCurve_Q96MB7_HARBI1.pdf", "Melting_Curves/meltCurve_Q96MB7_HARBI1.pdf")</f>
        <v>Melting_Curves/meltCurve_Q96MB7_HARBI1.pdf</v>
      </c>
    </row>
    <row r="5137" spans="1:28" x14ac:dyDescent="0.25">
      <c r="A5137" t="s">
        <v>5141</v>
      </c>
      <c r="B5137">
        <v>0.99472303558308395</v>
      </c>
      <c r="C5137">
        <v>0.98036162042789399</v>
      </c>
      <c r="D5137">
        <v>0.87466345210012097</v>
      </c>
      <c r="E5137">
        <v>0.92213013946335498</v>
      </c>
      <c r="F5137">
        <v>0.72650319450123801</v>
      </c>
      <c r="G5137">
        <v>0.33229713577622899</v>
      </c>
      <c r="H5137">
        <v>8.5763788057245202E-2</v>
      </c>
      <c r="I5137">
        <v>5.0924245742011702E-2</v>
      </c>
      <c r="J5137">
        <v>4.7789909444715603E-2</v>
      </c>
      <c r="K5137">
        <v>4.4764779119886203E-2</v>
      </c>
      <c r="L5137">
        <v>1255.70074800468</v>
      </c>
      <c r="M5137">
        <v>24.151535197685799</v>
      </c>
      <c r="N5137">
        <v>52.111312724680197</v>
      </c>
      <c r="O5137">
        <v>51.640064342708001</v>
      </c>
      <c r="P5137">
        <v>-0.113794713650451</v>
      </c>
      <c r="Q5137">
        <v>2.6765686334291501E-2</v>
      </c>
      <c r="R5137">
        <v>0.98995701699759597</v>
      </c>
      <c r="S5137" t="s">
        <v>11705</v>
      </c>
      <c r="T5137" t="s">
        <v>13134</v>
      </c>
      <c r="U5137" t="s">
        <v>13134</v>
      </c>
      <c r="V5137" t="s">
        <v>13134</v>
      </c>
      <c r="W5137" t="s">
        <v>18207</v>
      </c>
      <c r="X5137">
        <v>12</v>
      </c>
      <c r="Y5137" t="s">
        <v>24575</v>
      </c>
      <c r="Z5137" t="s">
        <v>31105</v>
      </c>
      <c r="AA5137">
        <v>0.52231180744797778</v>
      </c>
      <c r="AB5137" t="str">
        <f>HYPERLINK("Melting_Curves/meltCurve_Q96ME1_4_FBXL18.pdf", "Melting_Curves/meltCurve_Q96ME1_4_FBXL18.pdf")</f>
        <v>Melting_Curves/meltCurve_Q96ME1_4_FBXL18.pdf</v>
      </c>
    </row>
    <row r="5138" spans="1:28" x14ac:dyDescent="0.25">
      <c r="A5138" t="s">
        <v>5142</v>
      </c>
      <c r="B5138">
        <v>0.99472303558308395</v>
      </c>
      <c r="C5138">
        <v>0.98731131158163898</v>
      </c>
      <c r="D5138">
        <v>0.76784739443953998</v>
      </c>
      <c r="E5138">
        <v>0.57949525403454505</v>
      </c>
      <c r="F5138">
        <v>0.50060101149021297</v>
      </c>
      <c r="G5138">
        <v>0.18333654159530499</v>
      </c>
      <c r="H5138">
        <v>0.14747933757052201</v>
      </c>
      <c r="I5138">
        <v>7.6341894831324197E-2</v>
      </c>
      <c r="J5138">
        <v>0.12341850815698301</v>
      </c>
      <c r="K5138">
        <v>0.112802281764603</v>
      </c>
      <c r="L5138">
        <v>608.17880436406097</v>
      </c>
      <c r="M5138">
        <v>12.6984184118543</v>
      </c>
      <c r="N5138">
        <v>48.377991652251303</v>
      </c>
      <c r="O5138">
        <v>46.752903371848298</v>
      </c>
      <c r="P5138">
        <v>-6.3864233039795298E-2</v>
      </c>
      <c r="Q5138">
        <v>5.9643806761072303E-2</v>
      </c>
      <c r="R5138">
        <v>0.97922181574501699</v>
      </c>
      <c r="S5138" t="s">
        <v>11706</v>
      </c>
      <c r="T5138" t="s">
        <v>13134</v>
      </c>
      <c r="U5138" t="s">
        <v>13134</v>
      </c>
      <c r="V5138" t="s">
        <v>13134</v>
      </c>
      <c r="W5138" t="s">
        <v>18208</v>
      </c>
      <c r="X5138">
        <v>7</v>
      </c>
      <c r="Y5138" t="s">
        <v>24576</v>
      </c>
      <c r="Z5138" t="s">
        <v>31106</v>
      </c>
      <c r="AA5138">
        <v>0.42829688647401748</v>
      </c>
      <c r="AB5138" t="str">
        <f>HYPERLINK("Melting_Curves/meltCurve_Q96MG7_NDNL2.pdf", "Melting_Curves/meltCurve_Q96MG7_NDNL2.pdf")</f>
        <v>Melting_Curves/meltCurve_Q96MG7_NDNL2.pdf</v>
      </c>
    </row>
    <row r="5139" spans="1:28" x14ac:dyDescent="0.25">
      <c r="A5139" t="s">
        <v>5143</v>
      </c>
      <c r="B5139">
        <v>0.99472303558308395</v>
      </c>
      <c r="C5139">
        <v>0.92330605147518297</v>
      </c>
      <c r="D5139">
        <v>0.83680769093572205</v>
      </c>
      <c r="E5139">
        <v>0.70609799379583604</v>
      </c>
      <c r="F5139">
        <v>0.577945337604578</v>
      </c>
      <c r="G5139">
        <v>0.369853940105699</v>
      </c>
      <c r="H5139">
        <v>0.37355400751725198</v>
      </c>
      <c r="I5139">
        <v>0.31266748456913701</v>
      </c>
      <c r="J5139">
        <v>0.55144453497924095</v>
      </c>
      <c r="K5139">
        <v>0.34539600196763998</v>
      </c>
      <c r="L5139">
        <v>694.81301201587701</v>
      </c>
      <c r="M5139">
        <v>14.9324421782334</v>
      </c>
      <c r="N5139">
        <v>51.210358743753098</v>
      </c>
      <c r="O5139">
        <v>45.719852388251198</v>
      </c>
      <c r="P5139">
        <v>-5.1261343144939603E-2</v>
      </c>
      <c r="Q5139">
        <v>0.37226074788431202</v>
      </c>
      <c r="R5139">
        <v>0.91983583416673298</v>
      </c>
      <c r="S5139" t="s">
        <v>11707</v>
      </c>
      <c r="T5139" t="s">
        <v>13134</v>
      </c>
      <c r="U5139" t="s">
        <v>13134</v>
      </c>
      <c r="V5139" t="s">
        <v>13134</v>
      </c>
      <c r="W5139" t="s">
        <v>18209</v>
      </c>
      <c r="X5139">
        <v>3</v>
      </c>
      <c r="Y5139" t="s">
        <v>24577</v>
      </c>
      <c r="Z5139" t="s">
        <v>31107</v>
      </c>
      <c r="AA5139">
        <v>0.58608583697036432</v>
      </c>
      <c r="AB5139" t="str">
        <f>HYPERLINK("Melting_Curves/meltCurve_Q96MH2_HEXIM2.pdf", "Melting_Curves/meltCurve_Q96MH2_HEXIM2.pdf")</f>
        <v>Melting_Curves/meltCurve_Q96MH2_HEXIM2.pdf</v>
      </c>
    </row>
    <row r="5140" spans="1:28" x14ac:dyDescent="0.25">
      <c r="A5140" t="s">
        <v>5144</v>
      </c>
      <c r="B5140">
        <v>0.99472303558308395</v>
      </c>
      <c r="C5140">
        <v>0.99225901181932197</v>
      </c>
      <c r="D5140">
        <v>0.93672173471966602</v>
      </c>
      <c r="E5140">
        <v>0.89577513311366697</v>
      </c>
      <c r="F5140">
        <v>0.63630948411093802</v>
      </c>
      <c r="G5140">
        <v>0.52147685112816999</v>
      </c>
      <c r="H5140">
        <v>0.362502718846199</v>
      </c>
      <c r="I5140">
        <v>0.21003058020469301</v>
      </c>
      <c r="J5140">
        <v>7.7490528259322594E-2</v>
      </c>
      <c r="K5140">
        <v>7.6019764434002296E-2</v>
      </c>
      <c r="L5140">
        <v>634.16089934560898</v>
      </c>
      <c r="M5140">
        <v>11.792290630990101</v>
      </c>
      <c r="N5140">
        <v>53.777583007866099</v>
      </c>
      <c r="O5140">
        <v>52.300948326574598</v>
      </c>
      <c r="P5140">
        <v>-5.6381997974187102E-2</v>
      </c>
      <c r="Q5140">
        <v>0</v>
      </c>
      <c r="R5140">
        <v>0.99159164479702</v>
      </c>
      <c r="S5140" t="s">
        <v>11708</v>
      </c>
      <c r="T5140" t="s">
        <v>13134</v>
      </c>
      <c r="U5140" t="s">
        <v>13134</v>
      </c>
      <c r="V5140" t="s">
        <v>13134</v>
      </c>
      <c r="W5140" t="s">
        <v>18210</v>
      </c>
      <c r="X5140">
        <v>3</v>
      </c>
      <c r="Y5140" t="s">
        <v>24578</v>
      </c>
      <c r="Z5140" t="s">
        <v>31108</v>
      </c>
      <c r="AA5140">
        <v>0.57799539800597333</v>
      </c>
      <c r="AB5140" t="str">
        <f>HYPERLINK("Melting_Curves/meltCurve_Q96MH6_2_TMEM68.pdf", "Melting_Curves/meltCurve_Q96MH6_2_TMEM68.pdf")</f>
        <v>Melting_Curves/meltCurve_Q96MH6_2_TMEM68.pdf</v>
      </c>
    </row>
    <row r="5141" spans="1:28" x14ac:dyDescent="0.25">
      <c r="A5141" t="s">
        <v>5145</v>
      </c>
      <c r="B5141">
        <v>0.99472303558308395</v>
      </c>
      <c r="C5141">
        <v>0.99327701058311801</v>
      </c>
      <c r="D5141">
        <v>0.71445035010818703</v>
      </c>
      <c r="E5141">
        <v>0.30340079686494698</v>
      </c>
      <c r="F5141">
        <v>0.149940687760626</v>
      </c>
      <c r="G5141">
        <v>6.6658627058825595E-2</v>
      </c>
      <c r="H5141">
        <v>3.6003178922380599E-2</v>
      </c>
      <c r="I5141">
        <v>3.9049854841860999E-2</v>
      </c>
      <c r="J5141">
        <v>3.1124500232866399E-2</v>
      </c>
      <c r="K5141">
        <v>1.82042757229889E-2</v>
      </c>
      <c r="L5141">
        <v>1022.30178860955</v>
      </c>
      <c r="M5141">
        <v>22.835585161605</v>
      </c>
      <c r="N5141">
        <v>44.919440864538899</v>
      </c>
      <c r="O5141">
        <v>44.4288510118594</v>
      </c>
      <c r="P5141">
        <v>-0.12373492619163901</v>
      </c>
      <c r="Q5141">
        <v>3.70652360449669E-2</v>
      </c>
      <c r="R5141">
        <v>0.99677929847659197</v>
      </c>
      <c r="S5141" t="s">
        <v>11709</v>
      </c>
      <c r="T5141" t="s">
        <v>13134</v>
      </c>
      <c r="U5141" t="s">
        <v>13134</v>
      </c>
      <c r="V5141" t="s">
        <v>13134</v>
      </c>
      <c r="W5141" t="s">
        <v>18211</v>
      </c>
      <c r="X5141">
        <v>1</v>
      </c>
      <c r="Y5141" t="s">
        <v>24579</v>
      </c>
      <c r="Z5141" t="s">
        <v>31109</v>
      </c>
      <c r="AA5141">
        <v>0.29596777656811257</v>
      </c>
      <c r="AB5141" t="str">
        <f>HYPERLINK("Melting_Curves/meltCurve_Q96MN5_TCEANC2.pdf", "Melting_Curves/meltCurve_Q96MN5_TCEANC2.pdf")</f>
        <v>Melting_Curves/meltCurve_Q96MN5_TCEANC2.pdf</v>
      </c>
    </row>
    <row r="5142" spans="1:28" x14ac:dyDescent="0.25">
      <c r="A5142" t="s">
        <v>5146</v>
      </c>
      <c r="B5142">
        <v>0.99472303558308395</v>
      </c>
      <c r="C5142">
        <v>0.79936468793293303</v>
      </c>
      <c r="D5142">
        <v>0.67681173701103003</v>
      </c>
      <c r="E5142">
        <v>0.35746708776116798</v>
      </c>
      <c r="F5142">
        <v>0.151920168722706</v>
      </c>
      <c r="G5142">
        <v>6.6441664303387202E-2</v>
      </c>
      <c r="H5142">
        <v>5.4368332104130598E-2</v>
      </c>
      <c r="I5142">
        <v>3.5666590851629099E-2</v>
      </c>
      <c r="J5142">
        <v>4.48203558595009E-2</v>
      </c>
      <c r="K5142">
        <v>4.9203892610862103E-2</v>
      </c>
      <c r="L5142">
        <v>693.22646903226996</v>
      </c>
      <c r="M5142">
        <v>15.5729254216683</v>
      </c>
      <c r="N5142">
        <v>44.667005973644102</v>
      </c>
      <c r="O5142">
        <v>43.800224409823102</v>
      </c>
      <c r="P5142">
        <v>-8.6597899508890505E-2</v>
      </c>
      <c r="Q5142">
        <v>2.5828634745636798E-2</v>
      </c>
      <c r="R5142">
        <v>0.993809023242472</v>
      </c>
      <c r="S5142" t="s">
        <v>11710</v>
      </c>
      <c r="T5142" t="s">
        <v>13134</v>
      </c>
      <c r="U5142" t="s">
        <v>13134</v>
      </c>
      <c r="V5142" t="s">
        <v>13134</v>
      </c>
      <c r="W5142" t="s">
        <v>18212</v>
      </c>
      <c r="X5142">
        <v>5</v>
      </c>
      <c r="Y5142" t="s">
        <v>24580</v>
      </c>
      <c r="Z5142" t="s">
        <v>31110</v>
      </c>
      <c r="AA5142">
        <v>0.29172695080793398</v>
      </c>
      <c r="AB5142" t="str">
        <f>HYPERLINK("Melting_Curves/meltCurve_Q96MW5_COG8.pdf", "Melting_Curves/meltCurve_Q96MW5_COG8.pdf")</f>
        <v>Melting_Curves/meltCurve_Q96MW5_COG8.pdf</v>
      </c>
    </row>
    <row r="5143" spans="1:28" x14ac:dyDescent="0.25">
      <c r="A5143" t="s">
        <v>5147</v>
      </c>
      <c r="B5143">
        <v>0.99472303558308395</v>
      </c>
      <c r="C5143">
        <v>0.90971078665837002</v>
      </c>
      <c r="D5143">
        <v>0.75776023804461401</v>
      </c>
      <c r="E5143">
        <v>0.63042606395953404</v>
      </c>
      <c r="F5143">
        <v>0.57548506496096896</v>
      </c>
      <c r="G5143">
        <v>0.21521580785268499</v>
      </c>
      <c r="H5143">
        <v>0.116108873410322</v>
      </c>
      <c r="I5143">
        <v>6.2092808688647097E-2</v>
      </c>
      <c r="J5143">
        <v>7.5118942747219197E-2</v>
      </c>
      <c r="K5143">
        <v>5.1372581640525099E-2</v>
      </c>
      <c r="L5143">
        <v>548.52648367764698</v>
      </c>
      <c r="M5143">
        <v>11.1828553682719</v>
      </c>
      <c r="N5143">
        <v>49.050656412748602</v>
      </c>
      <c r="O5143">
        <v>47.560566172226999</v>
      </c>
      <c r="P5143">
        <v>-5.88007929295528E-2</v>
      </c>
      <c r="Q5143">
        <v>0</v>
      </c>
      <c r="R5143">
        <v>0.974495074600912</v>
      </c>
      <c r="S5143" t="s">
        <v>11711</v>
      </c>
      <c r="T5143" t="s">
        <v>13134</v>
      </c>
      <c r="U5143" t="s">
        <v>13134</v>
      </c>
      <c r="V5143" t="s">
        <v>13134</v>
      </c>
      <c r="W5143" t="s">
        <v>18213</v>
      </c>
      <c r="X5143">
        <v>5</v>
      </c>
      <c r="Y5143" t="s">
        <v>24581</v>
      </c>
      <c r="Z5143" t="s">
        <v>31111</v>
      </c>
      <c r="AA5143">
        <v>0.43411656925644981</v>
      </c>
      <c r="AB5143" t="str">
        <f>HYPERLINK("Melting_Curves/meltCurve_Q96MX6_WDR92.pdf", "Melting_Curves/meltCurve_Q96MX6_WDR92.pdf")</f>
        <v>Melting_Curves/meltCurve_Q96MX6_WDR92.pdf</v>
      </c>
    </row>
    <row r="5144" spans="1:28" x14ac:dyDescent="0.25">
      <c r="A5144" t="s">
        <v>5148</v>
      </c>
      <c r="B5144">
        <v>0.99472303558308395</v>
      </c>
      <c r="C5144">
        <v>0.79407424975571494</v>
      </c>
      <c r="D5144">
        <v>0.74961588954112002</v>
      </c>
      <c r="E5144">
        <v>0.60643860940328698</v>
      </c>
      <c r="F5144">
        <v>0.487022358824103</v>
      </c>
      <c r="G5144">
        <v>0.31005385359059801</v>
      </c>
      <c r="H5144">
        <v>0.1229750895663</v>
      </c>
      <c r="I5144">
        <v>0.13268945563864001</v>
      </c>
      <c r="J5144">
        <v>9.0730043159577806E-2</v>
      </c>
      <c r="K5144">
        <v>0.14231990753457599</v>
      </c>
      <c r="L5144">
        <v>424.97981059449199</v>
      </c>
      <c r="M5144">
        <v>8.7454404237039007</v>
      </c>
      <c r="N5144">
        <v>48.594430925048997</v>
      </c>
      <c r="O5144">
        <v>46.254419613469203</v>
      </c>
      <c r="P5144">
        <v>-4.7306397178455098E-2</v>
      </c>
      <c r="Q5144">
        <v>0</v>
      </c>
      <c r="R5144">
        <v>0.97605328727496399</v>
      </c>
      <c r="S5144" t="s">
        <v>11712</v>
      </c>
      <c r="T5144" t="s">
        <v>13134</v>
      </c>
      <c r="U5144" t="s">
        <v>13134</v>
      </c>
      <c r="V5144" t="s">
        <v>13134</v>
      </c>
      <c r="W5144" t="s">
        <v>18214</v>
      </c>
      <c r="X5144">
        <v>3</v>
      </c>
      <c r="Y5144" t="s">
        <v>24582</v>
      </c>
      <c r="Z5144" t="s">
        <v>31112</v>
      </c>
      <c r="AA5144">
        <v>0.43100770060722432</v>
      </c>
      <c r="AB5144" t="str">
        <f>HYPERLINK("Melting_Curves/meltCurve_Q96MY1_2_C20orf112.pdf", "Melting_Curves/meltCurve_Q96MY1_2_C20orf112.pdf")</f>
        <v>Melting_Curves/meltCurve_Q96MY1_2_C20orf112.pdf</v>
      </c>
    </row>
    <row r="5145" spans="1:28" x14ac:dyDescent="0.25">
      <c r="A5145" t="s">
        <v>5149</v>
      </c>
      <c r="B5145">
        <v>0.99472303558308395</v>
      </c>
      <c r="C5145">
        <v>0.74475641079908395</v>
      </c>
      <c r="D5145">
        <v>0.70694947535714803</v>
      </c>
      <c r="E5145">
        <v>0.33702340662565</v>
      </c>
      <c r="F5145">
        <v>0.26525254594728698</v>
      </c>
      <c r="G5145">
        <v>8.4182448194555698E-2</v>
      </c>
      <c r="H5145">
        <v>0.100702067721035</v>
      </c>
      <c r="I5145">
        <v>3.2965010112522203E-2</v>
      </c>
      <c r="J5145">
        <v>4.4746607468229699E-2</v>
      </c>
      <c r="K5145">
        <v>5.4657564780291698E-2</v>
      </c>
      <c r="L5145">
        <v>577.56864959358904</v>
      </c>
      <c r="M5145">
        <v>12.9135841886023</v>
      </c>
      <c r="N5145">
        <v>44.907005519871099</v>
      </c>
      <c r="O5145">
        <v>43.6938604269683</v>
      </c>
      <c r="P5145">
        <v>-7.2022763415595395E-2</v>
      </c>
      <c r="Q5145">
        <v>2.5403932914596802E-2</v>
      </c>
      <c r="R5145">
        <v>0.97895786601563906</v>
      </c>
      <c r="S5145" t="s">
        <v>11713</v>
      </c>
      <c r="T5145" t="s">
        <v>13134</v>
      </c>
      <c r="U5145" t="s">
        <v>13134</v>
      </c>
      <c r="V5145" t="s">
        <v>13134</v>
      </c>
      <c r="W5145" t="s">
        <v>18215</v>
      </c>
      <c r="X5145">
        <v>2</v>
      </c>
      <c r="Y5145" t="s">
        <v>24583</v>
      </c>
      <c r="Z5145" t="s">
        <v>31113</v>
      </c>
      <c r="AA5145">
        <v>0.30779798691249838</v>
      </c>
      <c r="AB5145" t="str">
        <f>HYPERLINK("Melting_Curves/meltCurve_Q96N21_2_ENTHD2.pdf", "Melting_Curves/meltCurve_Q96N21_2_ENTHD2.pdf")</f>
        <v>Melting_Curves/meltCurve_Q96N21_2_ENTHD2.pdf</v>
      </c>
    </row>
    <row r="5146" spans="1:28" x14ac:dyDescent="0.25">
      <c r="A5146" t="s">
        <v>5150</v>
      </c>
      <c r="B5146">
        <v>0.99472303558308395</v>
      </c>
      <c r="C5146">
        <v>0.96011758717678497</v>
      </c>
      <c r="D5146">
        <v>0.84078646673380997</v>
      </c>
      <c r="E5146">
        <v>0.62625801796263003</v>
      </c>
      <c r="F5146">
        <v>0.44381814917944601</v>
      </c>
      <c r="G5146">
        <v>0.10227540904253</v>
      </c>
      <c r="H5146">
        <v>8.20914530468842E-2</v>
      </c>
      <c r="I5146">
        <v>6.6432009449617704E-2</v>
      </c>
      <c r="J5146">
        <v>6.5421280400570103E-2</v>
      </c>
      <c r="K5146">
        <v>8.6430670050242894E-2</v>
      </c>
      <c r="L5146">
        <v>760.96940276753799</v>
      </c>
      <c r="M5146">
        <v>15.828500202167699</v>
      </c>
      <c r="N5146">
        <v>48.306397408929598</v>
      </c>
      <c r="O5146">
        <v>47.328169502946999</v>
      </c>
      <c r="P5146">
        <v>-8.0575852747734197E-2</v>
      </c>
      <c r="Q5146">
        <v>3.6372293931364701E-2</v>
      </c>
      <c r="R5146">
        <v>0.98799220444385505</v>
      </c>
      <c r="S5146" t="s">
        <v>11714</v>
      </c>
      <c r="T5146" t="s">
        <v>13134</v>
      </c>
      <c r="U5146" t="s">
        <v>13134</v>
      </c>
      <c r="V5146" t="s">
        <v>13134</v>
      </c>
      <c r="W5146" t="s">
        <v>18216</v>
      </c>
      <c r="X5146">
        <v>6</v>
      </c>
      <c r="Y5146" t="s">
        <v>24584</v>
      </c>
      <c r="Z5146" t="s">
        <v>31114</v>
      </c>
      <c r="AA5146">
        <v>0.41147953600243431</v>
      </c>
      <c r="AB5146" t="str">
        <f>HYPERLINK("Melting_Curves/meltCurve_Q96N46_TTC14.pdf", "Melting_Curves/meltCurve_Q96N46_TTC14.pdf")</f>
        <v>Melting_Curves/meltCurve_Q96N46_TTC14.pdf</v>
      </c>
    </row>
    <row r="5147" spans="1:28" x14ac:dyDescent="0.25">
      <c r="A5147" t="s">
        <v>5151</v>
      </c>
      <c r="B5147">
        <v>0.99472303558308395</v>
      </c>
      <c r="C5147">
        <v>0.996020067529921</v>
      </c>
      <c r="D5147">
        <v>0.766684452797044</v>
      </c>
      <c r="E5147">
        <v>0.68820308010069697</v>
      </c>
      <c r="F5147">
        <v>0.607857700095918</v>
      </c>
      <c r="G5147">
        <v>0.34327626389896299</v>
      </c>
      <c r="H5147">
        <v>0.25727965023744298</v>
      </c>
      <c r="I5147">
        <v>0.166989362506751</v>
      </c>
      <c r="J5147">
        <v>0.12146391794988599</v>
      </c>
      <c r="K5147">
        <v>0.107301127850459</v>
      </c>
      <c r="L5147">
        <v>476.69760970362</v>
      </c>
      <c r="M5147">
        <v>9.3593969683889604</v>
      </c>
      <c r="N5147">
        <v>50.932512788871897</v>
      </c>
      <c r="O5147">
        <v>48.769590030686501</v>
      </c>
      <c r="P5147">
        <v>-4.8007661799777397E-2</v>
      </c>
      <c r="Q5147">
        <v>0</v>
      </c>
      <c r="R5147">
        <v>0.98289701421376896</v>
      </c>
      <c r="S5147" t="s">
        <v>11715</v>
      </c>
      <c r="T5147" t="s">
        <v>13134</v>
      </c>
      <c r="U5147" t="s">
        <v>13134</v>
      </c>
      <c r="V5147" t="s">
        <v>13134</v>
      </c>
      <c r="W5147" t="s">
        <v>18217</v>
      </c>
      <c r="X5147">
        <v>8</v>
      </c>
      <c r="Y5147" t="s">
        <v>24585</v>
      </c>
      <c r="Z5147" t="s">
        <v>31115</v>
      </c>
      <c r="AA5147">
        <v>0.49662150097957902</v>
      </c>
      <c r="AB5147" t="str">
        <f>HYPERLINK("Melting_Curves/meltCurve_Q96N66_2_MBOAT7.pdf", "Melting_Curves/meltCurve_Q96N66_2_MBOAT7.pdf")</f>
        <v>Melting_Curves/meltCurve_Q96N66_2_MBOAT7.pdf</v>
      </c>
    </row>
    <row r="5148" spans="1:28" x14ac:dyDescent="0.25">
      <c r="A5148" t="s">
        <v>5152</v>
      </c>
      <c r="B5148">
        <v>0.99472303558308395</v>
      </c>
      <c r="C5148">
        <v>0.86060166331940802</v>
      </c>
      <c r="D5148">
        <v>0.67179956665833795</v>
      </c>
      <c r="E5148">
        <v>0.38288996321800101</v>
      </c>
      <c r="F5148">
        <v>0.18444873009222401</v>
      </c>
      <c r="G5148">
        <v>9.0731551841518904E-2</v>
      </c>
      <c r="H5148">
        <v>0.10402665764965199</v>
      </c>
      <c r="I5148">
        <v>6.0532354307749003E-2</v>
      </c>
      <c r="J5148">
        <v>0.153942878937841</v>
      </c>
      <c r="K5148">
        <v>8.7355287468311796E-2</v>
      </c>
      <c r="L5148">
        <v>773.73552153628805</v>
      </c>
      <c r="M5148">
        <v>17.429305538443501</v>
      </c>
      <c r="N5148">
        <v>44.877050736467901</v>
      </c>
      <c r="O5148">
        <v>43.820766102762299</v>
      </c>
      <c r="P5148">
        <v>-9.0916318643256694E-2</v>
      </c>
      <c r="Q5148">
        <v>8.57238565635913E-2</v>
      </c>
      <c r="R5148">
        <v>0.99276933650602195</v>
      </c>
      <c r="S5148" t="s">
        <v>11716</v>
      </c>
      <c r="T5148" t="s">
        <v>13134</v>
      </c>
      <c r="U5148" t="s">
        <v>13134</v>
      </c>
      <c r="V5148" t="s">
        <v>13134</v>
      </c>
      <c r="W5148" t="s">
        <v>18218</v>
      </c>
      <c r="X5148">
        <v>5</v>
      </c>
      <c r="Y5148" t="s">
        <v>24586</v>
      </c>
      <c r="Z5148" t="s">
        <v>31116</v>
      </c>
      <c r="AA5148">
        <v>0.32730972332244779</v>
      </c>
      <c r="AB5148" t="str">
        <f>HYPERLINK("Melting_Curves/meltCurve_Q96N67_4_DOCK7.pdf", "Melting_Curves/meltCurve_Q96N67_4_DOCK7.pdf")</f>
        <v>Melting_Curves/meltCurve_Q96N67_4_DOCK7.pdf</v>
      </c>
    </row>
    <row r="5149" spans="1:28" x14ac:dyDescent="0.25">
      <c r="A5149" t="s">
        <v>5153</v>
      </c>
      <c r="B5149">
        <v>0.99472303558308395</v>
      </c>
      <c r="C5149">
        <v>0.98755549542797305</v>
      </c>
      <c r="D5149">
        <v>0.99163723090895495</v>
      </c>
      <c r="E5149">
        <v>0.81487746226564295</v>
      </c>
      <c r="F5149">
        <v>0.61478418406495805</v>
      </c>
      <c r="G5149">
        <v>0.272709247308553</v>
      </c>
      <c r="H5149">
        <v>0.13395787267779399</v>
      </c>
      <c r="I5149">
        <v>8.9952621701028093E-2</v>
      </c>
      <c r="J5149">
        <v>0.102950388454147</v>
      </c>
      <c r="K5149">
        <v>6.9911178370690302E-2</v>
      </c>
      <c r="L5149">
        <v>993.42160918522598</v>
      </c>
      <c r="M5149">
        <v>19.598808894299101</v>
      </c>
      <c r="N5149">
        <v>51.040636993912798</v>
      </c>
      <c r="O5149">
        <v>50.168995419995198</v>
      </c>
      <c r="P5149">
        <v>-9.1480764505309398E-2</v>
      </c>
      <c r="Q5149">
        <v>6.33438509687127E-2</v>
      </c>
      <c r="R5149">
        <v>0.99674636103256598</v>
      </c>
      <c r="S5149" t="s">
        <v>11717</v>
      </c>
      <c r="T5149" t="s">
        <v>13134</v>
      </c>
      <c r="U5149" t="s">
        <v>13134</v>
      </c>
      <c r="V5149" t="s">
        <v>13134</v>
      </c>
      <c r="W5149" t="s">
        <v>18219</v>
      </c>
      <c r="X5149">
        <v>9</v>
      </c>
      <c r="Y5149" t="s">
        <v>24587</v>
      </c>
      <c r="Z5149" t="s">
        <v>31117</v>
      </c>
      <c r="AA5149">
        <v>0.50342541397857088</v>
      </c>
      <c r="AB5149" t="str">
        <f>HYPERLINK("Melting_Curves/meltCurve_Q96NA2_RILP.pdf", "Melting_Curves/meltCurve_Q96NA2_RILP.pdf")</f>
        <v>Melting_Curves/meltCurve_Q96NA2_RILP.pdf</v>
      </c>
    </row>
    <row r="5150" spans="1:28" x14ac:dyDescent="0.25">
      <c r="A5150" t="s">
        <v>5154</v>
      </c>
      <c r="B5150">
        <v>0.99472303558308395</v>
      </c>
      <c r="C5150">
        <v>0.98621188544077598</v>
      </c>
      <c r="D5150">
        <v>1.02836257366904</v>
      </c>
      <c r="E5150">
        <v>0.81329688230073904</v>
      </c>
      <c r="F5150">
        <v>0.28342032525018201</v>
      </c>
      <c r="G5150">
        <v>9.4074609256150493E-2</v>
      </c>
      <c r="H5150">
        <v>4.6671972161135201E-2</v>
      </c>
      <c r="I5150">
        <v>4.22144687055135E-2</v>
      </c>
      <c r="J5150">
        <v>4.6649521118648202E-2</v>
      </c>
      <c r="K5150">
        <v>5.0673819377906403E-2</v>
      </c>
      <c r="L5150">
        <v>1655.4431011690499</v>
      </c>
      <c r="M5150">
        <v>34.083995697608998</v>
      </c>
      <c r="N5150">
        <v>48.713218614735702</v>
      </c>
      <c r="O5150">
        <v>48.403234047144601</v>
      </c>
      <c r="P5150">
        <v>-0.167623719500096</v>
      </c>
      <c r="Q5150">
        <v>4.7823103619270599E-2</v>
      </c>
      <c r="R5150">
        <v>0.99889131594184499</v>
      </c>
      <c r="S5150" t="s">
        <v>11718</v>
      </c>
      <c r="T5150" t="s">
        <v>13134</v>
      </c>
      <c r="U5150" t="s">
        <v>13134</v>
      </c>
      <c r="V5150" t="s">
        <v>13134</v>
      </c>
      <c r="W5150" t="s">
        <v>18220</v>
      </c>
      <c r="X5150">
        <v>2</v>
      </c>
      <c r="Y5150" t="s">
        <v>24588</v>
      </c>
      <c r="Z5150" t="s">
        <v>31118</v>
      </c>
      <c r="AA5150">
        <v>0.41944211429062062</v>
      </c>
      <c r="AB5150" t="str">
        <f>HYPERLINK("Melting_Curves/meltCurve_Q96NB1_FOPNL.pdf", "Melting_Curves/meltCurve_Q96NB1_FOPNL.pdf")</f>
        <v>Melting_Curves/meltCurve_Q96NB1_FOPNL.pdf</v>
      </c>
    </row>
    <row r="5151" spans="1:28" x14ac:dyDescent="0.25">
      <c r="A5151" t="s">
        <v>5155</v>
      </c>
      <c r="B5151">
        <v>0.99472303558308395</v>
      </c>
      <c r="C5151">
        <v>0.90322869170764597</v>
      </c>
      <c r="D5151">
        <v>0.69496936020585298</v>
      </c>
      <c r="E5151">
        <v>0.63666081920055995</v>
      </c>
      <c r="F5151">
        <v>0.52363016115014305</v>
      </c>
      <c r="G5151">
        <v>0.40156332184191401</v>
      </c>
      <c r="H5151">
        <v>0.13880429250137799</v>
      </c>
      <c r="I5151">
        <v>6.3183262169741003E-2</v>
      </c>
      <c r="J5151">
        <v>2.7455058241409199E-2</v>
      </c>
      <c r="K5151">
        <v>4.7851441214558602E-2</v>
      </c>
      <c r="L5151">
        <v>484.49189507286701</v>
      </c>
      <c r="M5151">
        <v>9.8482027379515795</v>
      </c>
      <c r="N5151">
        <v>49.195961444728901</v>
      </c>
      <c r="O5151">
        <v>47.296283804370702</v>
      </c>
      <c r="P5151">
        <v>-5.2082744487964801E-2</v>
      </c>
      <c r="Q5151">
        <v>0</v>
      </c>
      <c r="R5151">
        <v>0.965630461994754</v>
      </c>
      <c r="S5151" t="s">
        <v>11719</v>
      </c>
      <c r="T5151" t="s">
        <v>13134</v>
      </c>
      <c r="U5151" t="s">
        <v>13134</v>
      </c>
      <c r="V5151" t="s">
        <v>13134</v>
      </c>
      <c r="W5151" t="s">
        <v>18221</v>
      </c>
      <c r="X5151">
        <v>3</v>
      </c>
      <c r="Y5151" t="s">
        <v>24589</v>
      </c>
      <c r="Z5151" t="s">
        <v>31119</v>
      </c>
      <c r="AA5151">
        <v>0.44365878205237502</v>
      </c>
      <c r="AB5151" t="str">
        <f>HYPERLINK("Melting_Curves/meltCurve_Q96NB2_SFXN2.pdf", "Melting_Curves/meltCurve_Q96NB2_SFXN2.pdf")</f>
        <v>Melting_Curves/meltCurve_Q96NB2_SFXN2.pdf</v>
      </c>
    </row>
    <row r="5152" spans="1:28" x14ac:dyDescent="0.25">
      <c r="A5152" t="s">
        <v>5156</v>
      </c>
      <c r="B5152">
        <v>0.99472303558308395</v>
      </c>
      <c r="C5152">
        <v>0.98348827429749897</v>
      </c>
      <c r="D5152">
        <v>0.91053723319770496</v>
      </c>
      <c r="E5152">
        <v>0.90073687366653898</v>
      </c>
      <c r="F5152">
        <v>0.73069802531521999</v>
      </c>
      <c r="G5152">
        <v>0.59259488573994101</v>
      </c>
      <c r="H5152">
        <v>0.63018314597486902</v>
      </c>
      <c r="I5152">
        <v>0.56457387921295699</v>
      </c>
      <c r="J5152">
        <v>0.83795735756098599</v>
      </c>
      <c r="K5152">
        <v>0.65386600735683997</v>
      </c>
      <c r="L5152">
        <v>1394.5039942604801</v>
      </c>
      <c r="M5152">
        <v>29.262799829538</v>
      </c>
      <c r="O5152">
        <v>47.433606347904401</v>
      </c>
      <c r="P5152">
        <v>-5.30816393819704E-2</v>
      </c>
      <c r="Q5152">
        <v>0.65583119593109196</v>
      </c>
      <c r="R5152">
        <v>0.77793738053126804</v>
      </c>
      <c r="S5152" t="s">
        <v>11720</v>
      </c>
      <c r="T5152" t="s">
        <v>13134</v>
      </c>
      <c r="U5152" t="s">
        <v>13134</v>
      </c>
      <c r="V5152" t="s">
        <v>13134</v>
      </c>
      <c r="W5152" t="s">
        <v>18222</v>
      </c>
      <c r="X5152">
        <v>11</v>
      </c>
      <c r="Y5152" t="s">
        <v>24590</v>
      </c>
      <c r="Z5152" t="s">
        <v>31120</v>
      </c>
      <c r="AA5152">
        <v>0.78019186479929969</v>
      </c>
      <c r="AB5152" t="str">
        <f>HYPERLINK("Melting_Curves/meltCurve_Q96NB3_ZNF830.pdf", "Melting_Curves/meltCurve_Q96NB3_ZNF830.pdf")</f>
        <v>Melting_Curves/meltCurve_Q96NB3_ZNF830.pdf</v>
      </c>
    </row>
    <row r="5153" spans="1:28" x14ac:dyDescent="0.25">
      <c r="A5153" t="s">
        <v>5157</v>
      </c>
      <c r="B5153">
        <v>0.99472303558308395</v>
      </c>
      <c r="C5153">
        <v>0.86839489778145296</v>
      </c>
      <c r="D5153">
        <v>1.09243912596042</v>
      </c>
      <c r="E5153">
        <v>0.90005977134478699</v>
      </c>
      <c r="F5153">
        <v>0.54058957261828</v>
      </c>
      <c r="G5153">
        <v>0.52954604258464</v>
      </c>
      <c r="H5153">
        <v>0.47351958979019598</v>
      </c>
      <c r="I5153">
        <v>0.47505257025832398</v>
      </c>
      <c r="J5153">
        <v>0.692681549521175</v>
      </c>
      <c r="K5153">
        <v>0.48708463199248297</v>
      </c>
      <c r="L5153">
        <v>3753.1138423014099</v>
      </c>
      <c r="M5153">
        <v>79.230852344547699</v>
      </c>
      <c r="O5153">
        <v>47.339196901786501</v>
      </c>
      <c r="P5153">
        <v>-0.19574828343230499</v>
      </c>
      <c r="Q5153">
        <v>0.53217389415773997</v>
      </c>
      <c r="R5153">
        <v>0.88166147751761303</v>
      </c>
      <c r="S5153" t="s">
        <v>11721</v>
      </c>
      <c r="T5153" t="s">
        <v>13134</v>
      </c>
      <c r="U5153" t="s">
        <v>13134</v>
      </c>
      <c r="V5153" t="s">
        <v>13134</v>
      </c>
      <c r="W5153" t="s">
        <v>18223</v>
      </c>
      <c r="X5153">
        <v>11</v>
      </c>
      <c r="Y5153" t="s">
        <v>24591</v>
      </c>
      <c r="Z5153" t="s">
        <v>31121</v>
      </c>
      <c r="AA5153">
        <v>0.69426360297698286</v>
      </c>
      <c r="AB5153" t="str">
        <f>HYPERLINK("Melting_Curves/meltCurve_Q96NC0_ZMAT2.pdf", "Melting_Curves/meltCurve_Q96NC0_ZMAT2.pdf")</f>
        <v>Melting_Curves/meltCurve_Q96NC0_ZMAT2.pdf</v>
      </c>
    </row>
    <row r="5154" spans="1:28" x14ac:dyDescent="0.25">
      <c r="A5154" t="s">
        <v>5158</v>
      </c>
      <c r="B5154">
        <v>0.99472303558308395</v>
      </c>
      <c r="C5154">
        <v>1.03996806843432</v>
      </c>
      <c r="D5154">
        <v>0.78932634452543904</v>
      </c>
      <c r="E5154">
        <v>0.493977146773798</v>
      </c>
      <c r="F5154">
        <v>0.294644079835088</v>
      </c>
      <c r="G5154">
        <v>0.17741828004594201</v>
      </c>
      <c r="H5154">
        <v>0.11991159370138001</v>
      </c>
      <c r="I5154">
        <v>5.8993126931293299E-2</v>
      </c>
      <c r="J5154">
        <v>9.25395055733646E-2</v>
      </c>
      <c r="K5154">
        <v>0.105429965852068</v>
      </c>
      <c r="L5154">
        <v>835.28920732341896</v>
      </c>
      <c r="M5154">
        <v>18.052160092394399</v>
      </c>
      <c r="N5154">
        <v>46.782092830475698</v>
      </c>
      <c r="O5154">
        <v>45.714290432078997</v>
      </c>
      <c r="P5154">
        <v>-8.9890024250763395E-2</v>
      </c>
      <c r="Q5154">
        <v>8.9514632092604296E-2</v>
      </c>
      <c r="R5154">
        <v>0.99110026494576098</v>
      </c>
      <c r="S5154" t="s">
        <v>11722</v>
      </c>
      <c r="T5154" t="s">
        <v>13134</v>
      </c>
      <c r="U5154" t="s">
        <v>13134</v>
      </c>
      <c r="V5154" t="s">
        <v>13134</v>
      </c>
      <c r="W5154" t="s">
        <v>18224</v>
      </c>
      <c r="X5154">
        <v>6</v>
      </c>
      <c r="Y5154" t="s">
        <v>24592</v>
      </c>
      <c r="Z5154" t="s">
        <v>31122</v>
      </c>
      <c r="AA5154">
        <v>0.38547921058153978</v>
      </c>
      <c r="AB5154" t="str">
        <f>HYPERLINK("Melting_Curves/meltCurve_Q96NL6_SCLT1.pdf", "Melting_Curves/meltCurve_Q96NL6_SCLT1.pdf")</f>
        <v>Melting_Curves/meltCurve_Q96NL6_SCLT1.pdf</v>
      </c>
    </row>
    <row r="5155" spans="1:28" x14ac:dyDescent="0.25">
      <c r="A5155" t="s">
        <v>5159</v>
      </c>
      <c r="B5155">
        <v>0.99472303558308395</v>
      </c>
      <c r="C5155">
        <v>1.0595170669671601</v>
      </c>
      <c r="D5155">
        <v>0.88868685817721904</v>
      </c>
      <c r="E5155">
        <v>0.78684978974878395</v>
      </c>
      <c r="F5155">
        <v>0.69019617551486001</v>
      </c>
      <c r="G5155">
        <v>0.38052212724297502</v>
      </c>
      <c r="H5155">
        <v>0.22813983192234599</v>
      </c>
      <c r="I5155">
        <v>0.19633622998342801</v>
      </c>
      <c r="J5155">
        <v>0.215961783075685</v>
      </c>
      <c r="K5155">
        <v>0.13257952666499201</v>
      </c>
      <c r="L5155">
        <v>745.19636599864805</v>
      </c>
      <c r="M5155">
        <v>14.5909569098503</v>
      </c>
      <c r="N5155">
        <v>52.080477951660498</v>
      </c>
      <c r="O5155">
        <v>50.141889526111299</v>
      </c>
      <c r="P5155">
        <v>-6.3806373638433597E-2</v>
      </c>
      <c r="Q5155">
        <v>0.123014816601885</v>
      </c>
      <c r="R5155">
        <v>0.98239068054520595</v>
      </c>
      <c r="S5155" t="s">
        <v>11723</v>
      </c>
      <c r="T5155" t="s">
        <v>13134</v>
      </c>
      <c r="U5155" t="s">
        <v>13134</v>
      </c>
      <c r="V5155" t="s">
        <v>13134</v>
      </c>
      <c r="W5155" t="s">
        <v>18225</v>
      </c>
      <c r="X5155">
        <v>1</v>
      </c>
      <c r="Y5155" t="s">
        <v>24593</v>
      </c>
      <c r="Z5155" t="s">
        <v>31123</v>
      </c>
      <c r="AA5155">
        <v>0.55262631268139595</v>
      </c>
      <c r="AB5155" t="str">
        <f>HYPERLINK("Melting_Curves/meltCurve_Q96NL8_C8orf37.pdf", "Melting_Curves/meltCurve_Q96NL8_C8orf37.pdf")</f>
        <v>Melting_Curves/meltCurve_Q96NL8_C8orf37.pdf</v>
      </c>
    </row>
    <row r="5156" spans="1:28" x14ac:dyDescent="0.25">
      <c r="A5156" t="s">
        <v>5160</v>
      </c>
      <c r="B5156">
        <v>0.99472303558308395</v>
      </c>
      <c r="C5156">
        <v>0.93124169515980604</v>
      </c>
      <c r="D5156">
        <v>0.86981210718507695</v>
      </c>
      <c r="E5156">
        <v>0.60791574975852003</v>
      </c>
      <c r="F5156">
        <v>0.411749075880675</v>
      </c>
      <c r="G5156">
        <v>0.237629470935492</v>
      </c>
      <c r="H5156">
        <v>0.15153259236772601</v>
      </c>
      <c r="I5156">
        <v>0.138906221767049</v>
      </c>
      <c r="J5156">
        <v>0.130290027363134</v>
      </c>
      <c r="K5156">
        <v>9.14210624548734E-2</v>
      </c>
      <c r="L5156">
        <v>689.14162472287296</v>
      </c>
      <c r="M5156">
        <v>14.421334230521801</v>
      </c>
      <c r="N5156">
        <v>48.4639337671845</v>
      </c>
      <c r="O5156">
        <v>46.8955968704486</v>
      </c>
      <c r="P5156">
        <v>-6.9868228878310304E-2</v>
      </c>
      <c r="Q5156">
        <v>9.1311206391491706E-2</v>
      </c>
      <c r="R5156">
        <v>0.99798036934515499</v>
      </c>
      <c r="S5156" t="s">
        <v>11724</v>
      </c>
      <c r="T5156" t="s">
        <v>13134</v>
      </c>
      <c r="U5156" t="s">
        <v>13134</v>
      </c>
      <c r="V5156" t="s">
        <v>13134</v>
      </c>
      <c r="W5156" t="s">
        <v>18226</v>
      </c>
      <c r="X5156">
        <v>3</v>
      </c>
      <c r="Y5156" t="s">
        <v>24594</v>
      </c>
      <c r="Z5156" t="s">
        <v>31124</v>
      </c>
      <c r="AA5156">
        <v>0.43951236443311081</v>
      </c>
      <c r="AB5156" t="str">
        <f>HYPERLINK("Melting_Curves/meltCurve_Q96NT0_CCDC115.pdf", "Melting_Curves/meltCurve_Q96NT0_CCDC115.pdf")</f>
        <v>Melting_Curves/meltCurve_Q96NT0_CCDC115.pdf</v>
      </c>
    </row>
    <row r="5157" spans="1:28" x14ac:dyDescent="0.25">
      <c r="A5157" t="s">
        <v>5161</v>
      </c>
      <c r="B5157">
        <v>0.99472303558308395</v>
      </c>
      <c r="C5157">
        <v>1.0324809402396999</v>
      </c>
      <c r="D5157">
        <v>1.0786395117435701</v>
      </c>
      <c r="E5157">
        <v>0.97143183844307301</v>
      </c>
      <c r="F5157">
        <v>0.67888192882088005</v>
      </c>
      <c r="G5157">
        <v>0.55128952340072501</v>
      </c>
      <c r="H5157">
        <v>0.48400336396881899</v>
      </c>
      <c r="I5157">
        <v>0.59937443056296702</v>
      </c>
      <c r="J5157">
        <v>0.87878595182594699</v>
      </c>
      <c r="K5157">
        <v>0.65486048737276703</v>
      </c>
      <c r="L5157">
        <v>3045.42482922315</v>
      </c>
      <c r="M5157">
        <v>62.742299536006101</v>
      </c>
      <c r="O5157">
        <v>48.489386996217497</v>
      </c>
      <c r="P5157">
        <v>-0.11833265262053599</v>
      </c>
      <c r="Q5157">
        <v>0.63419410837169998</v>
      </c>
      <c r="R5157">
        <v>0.777661435563337</v>
      </c>
      <c r="S5157" t="s">
        <v>11725</v>
      </c>
      <c r="T5157" t="s">
        <v>13134</v>
      </c>
      <c r="U5157" t="s">
        <v>13134</v>
      </c>
      <c r="V5157" t="s">
        <v>13134</v>
      </c>
      <c r="W5157" t="s">
        <v>18227</v>
      </c>
      <c r="X5157">
        <v>2</v>
      </c>
      <c r="Y5157" t="s">
        <v>24595</v>
      </c>
      <c r="Z5157" t="s">
        <v>31125</v>
      </c>
      <c r="AA5157">
        <v>0.7753870247804131</v>
      </c>
      <c r="AB5157" t="str">
        <f>HYPERLINK("Melting_Curves/meltCurve_Q96NT1_NAP1L5.pdf", "Melting_Curves/meltCurve_Q96NT1_NAP1L5.pdf")</f>
        <v>Melting_Curves/meltCurve_Q96NT1_NAP1L5.pdf</v>
      </c>
    </row>
    <row r="5158" spans="1:28" x14ac:dyDescent="0.25">
      <c r="A5158" t="s">
        <v>5162</v>
      </c>
      <c r="B5158">
        <v>0.99472303558308395</v>
      </c>
      <c r="C5158">
        <v>0.83373331270637097</v>
      </c>
      <c r="D5158">
        <v>0.57445051407631798</v>
      </c>
      <c r="E5158">
        <v>0.22113510619641499</v>
      </c>
      <c r="F5158">
        <v>0.126947477277843</v>
      </c>
      <c r="G5158">
        <v>8.7204796031129003E-2</v>
      </c>
      <c r="H5158">
        <v>4.6293840749508701E-2</v>
      </c>
      <c r="I5158">
        <v>3.5071485040569797E-2</v>
      </c>
      <c r="J5158">
        <v>3.6049974079784698E-2</v>
      </c>
      <c r="K5158">
        <v>3.1596698654482301E-2</v>
      </c>
      <c r="L5158">
        <v>833.15681636203396</v>
      </c>
      <c r="M5158">
        <v>19.199454442722701</v>
      </c>
      <c r="N5158">
        <v>43.587080586523001</v>
      </c>
      <c r="O5158">
        <v>42.932266165132098</v>
      </c>
      <c r="P5158">
        <v>-0.10726570248537801</v>
      </c>
      <c r="Q5158">
        <v>4.0601099106310198E-2</v>
      </c>
      <c r="R5158">
        <v>0.99760958041723902</v>
      </c>
      <c r="S5158" t="s">
        <v>11726</v>
      </c>
      <c r="T5158" t="s">
        <v>13134</v>
      </c>
      <c r="U5158" t="s">
        <v>13134</v>
      </c>
      <c r="V5158" t="s">
        <v>13134</v>
      </c>
      <c r="W5158" t="s">
        <v>18228</v>
      </c>
      <c r="X5158">
        <v>3</v>
      </c>
      <c r="Y5158" t="s">
        <v>24596</v>
      </c>
      <c r="Z5158" t="s">
        <v>31126</v>
      </c>
      <c r="AA5158">
        <v>0.2594826222834673</v>
      </c>
      <c r="AB5158" t="str">
        <f>HYPERLINK("Melting_Curves/meltCurve_Q96NW4_ANKRD27.pdf", "Melting_Curves/meltCurve_Q96NW4_ANKRD27.pdf")</f>
        <v>Melting_Curves/meltCurve_Q96NW4_ANKRD27.pdf</v>
      </c>
    </row>
    <row r="5159" spans="1:28" x14ac:dyDescent="0.25">
      <c r="A5159" t="s">
        <v>5163</v>
      </c>
      <c r="B5159">
        <v>0.99472303558308395</v>
      </c>
      <c r="C5159">
        <v>0.93874826369650299</v>
      </c>
      <c r="D5159">
        <v>0.86398918087621801</v>
      </c>
      <c r="E5159">
        <v>0.47200381983494899</v>
      </c>
      <c r="F5159">
        <v>0.29964346909694101</v>
      </c>
      <c r="G5159">
        <v>0.23557024601644</v>
      </c>
      <c r="H5159">
        <v>0.116407331402893</v>
      </c>
      <c r="I5159">
        <v>7.6533831353502696E-2</v>
      </c>
      <c r="J5159">
        <v>6.76794666378156E-2</v>
      </c>
      <c r="K5159">
        <v>5.28726241963553E-2</v>
      </c>
      <c r="L5159">
        <v>742.84507903581505</v>
      </c>
      <c r="M5159">
        <v>15.9299217057146</v>
      </c>
      <c r="N5159">
        <v>47.064239668711899</v>
      </c>
      <c r="O5159">
        <v>45.915748246345899</v>
      </c>
      <c r="P5159">
        <v>-8.0839351047023195E-2</v>
      </c>
      <c r="Q5159">
        <v>6.8042211077543602E-2</v>
      </c>
      <c r="R5159">
        <v>0.99018670623924898</v>
      </c>
      <c r="S5159" t="s">
        <v>11727</v>
      </c>
      <c r="T5159" t="s">
        <v>13134</v>
      </c>
      <c r="U5159" t="s">
        <v>13134</v>
      </c>
      <c r="V5159" t="s">
        <v>13134</v>
      </c>
      <c r="W5159" t="s">
        <v>18229</v>
      </c>
      <c r="X5159">
        <v>16</v>
      </c>
      <c r="Y5159" t="s">
        <v>24597</v>
      </c>
      <c r="Z5159" t="s">
        <v>31127</v>
      </c>
      <c r="AA5159">
        <v>0.38619220101764651</v>
      </c>
      <c r="AB5159" t="str">
        <f>HYPERLINK("Melting_Curves/meltCurve_Q96P11_2_NSUN5.pdf", "Melting_Curves/meltCurve_Q96P11_2_NSUN5.pdf")</f>
        <v>Melting_Curves/meltCurve_Q96P11_2_NSUN5.pdf</v>
      </c>
    </row>
    <row r="5160" spans="1:28" x14ac:dyDescent="0.25">
      <c r="A5160" t="s">
        <v>5164</v>
      </c>
      <c r="B5160">
        <v>0.99472303558308395</v>
      </c>
      <c r="C5160">
        <v>0.97804746130953601</v>
      </c>
      <c r="D5160">
        <v>0.787819606851209</v>
      </c>
      <c r="E5160">
        <v>0.39889770008043501</v>
      </c>
      <c r="F5160">
        <v>0.18881878024609</v>
      </c>
      <c r="G5160">
        <v>9.2053190572336102E-2</v>
      </c>
      <c r="H5160">
        <v>4.5226708722497101E-2</v>
      </c>
      <c r="I5160">
        <v>3.4667297167965398E-2</v>
      </c>
      <c r="J5160">
        <v>3.8689144802425197E-2</v>
      </c>
      <c r="K5160">
        <v>3.3784313487580299E-2</v>
      </c>
      <c r="L5160">
        <v>937.77377491670302</v>
      </c>
      <c r="M5160">
        <v>20.552746814692298</v>
      </c>
      <c r="N5160">
        <v>45.803802769597802</v>
      </c>
      <c r="O5160">
        <v>45.2023095006533</v>
      </c>
      <c r="P5160">
        <v>-0.10935496561264101</v>
      </c>
      <c r="Q5160">
        <v>3.7997023436724002E-2</v>
      </c>
      <c r="R5160">
        <v>0.99874238315140795</v>
      </c>
      <c r="S5160" t="s">
        <v>11728</v>
      </c>
      <c r="T5160" t="s">
        <v>13134</v>
      </c>
      <c r="U5160" t="s">
        <v>13134</v>
      </c>
      <c r="V5160" t="s">
        <v>13134</v>
      </c>
      <c r="W5160" t="s">
        <v>18230</v>
      </c>
      <c r="X5160">
        <v>10</v>
      </c>
      <c r="Y5160" t="s">
        <v>24598</v>
      </c>
      <c r="Z5160" t="s">
        <v>31128</v>
      </c>
      <c r="AA5160">
        <v>0.32655865555888058</v>
      </c>
      <c r="AB5160" t="str">
        <f>HYPERLINK("Melting_Curves/meltCurve_Q96P47_AGAP3.pdf", "Melting_Curves/meltCurve_Q96P47_AGAP3.pdf")</f>
        <v>Melting_Curves/meltCurve_Q96P47_AGAP3.pdf</v>
      </c>
    </row>
    <row r="5161" spans="1:28" x14ac:dyDescent="0.25">
      <c r="A5161" t="s">
        <v>5165</v>
      </c>
      <c r="B5161">
        <v>0.99472303558308395</v>
      </c>
      <c r="C5161">
        <v>0.93643705867646798</v>
      </c>
      <c r="D5161">
        <v>0.766448124154263</v>
      </c>
      <c r="E5161">
        <v>0.35325985522547299</v>
      </c>
      <c r="F5161">
        <v>0.20588571354719601</v>
      </c>
      <c r="G5161">
        <v>0.115445563497904</v>
      </c>
      <c r="H5161">
        <v>8.1471914966305903E-2</v>
      </c>
      <c r="I5161">
        <v>5.5330096656052798E-2</v>
      </c>
      <c r="J5161">
        <v>6.4384658059894698E-2</v>
      </c>
      <c r="K5161">
        <v>5.25967307635168E-2</v>
      </c>
      <c r="L5161">
        <v>914.06589108194396</v>
      </c>
      <c r="M5161">
        <v>20.261600645145499</v>
      </c>
      <c r="N5161">
        <v>45.427933998113502</v>
      </c>
      <c r="O5161">
        <v>44.680660973817702</v>
      </c>
      <c r="P5161">
        <v>-0.10594912192172599</v>
      </c>
      <c r="Q5161">
        <v>6.5477491863704496E-2</v>
      </c>
      <c r="R5161">
        <v>0.997483098435896</v>
      </c>
      <c r="S5161" t="s">
        <v>11729</v>
      </c>
      <c r="T5161" t="s">
        <v>13134</v>
      </c>
      <c r="U5161" t="s">
        <v>13134</v>
      </c>
      <c r="V5161" t="s">
        <v>13134</v>
      </c>
      <c r="W5161" t="s">
        <v>18231</v>
      </c>
      <c r="X5161">
        <v>23</v>
      </c>
      <c r="Y5161" t="s">
        <v>24599</v>
      </c>
      <c r="Z5161" t="s">
        <v>31129</v>
      </c>
      <c r="AA5161">
        <v>0.33014699574579132</v>
      </c>
      <c r="AB5161" t="str">
        <f>HYPERLINK("Melting_Curves/meltCurve_Q96P48_3_ARAP1.pdf", "Melting_Curves/meltCurve_Q96P48_3_ARAP1.pdf")</f>
        <v>Melting_Curves/meltCurve_Q96P48_3_ARAP1.pdf</v>
      </c>
    </row>
    <row r="5162" spans="1:28" x14ac:dyDescent="0.25">
      <c r="A5162" t="s">
        <v>5166</v>
      </c>
      <c r="B5162">
        <v>0.99472303558308395</v>
      </c>
      <c r="C5162">
        <v>0.89089251082715704</v>
      </c>
      <c r="D5162">
        <v>0.87499596095771603</v>
      </c>
      <c r="E5162">
        <v>0.74420099042773502</v>
      </c>
      <c r="F5162">
        <v>0.58399257606128596</v>
      </c>
      <c r="G5162">
        <v>0.15366949881646999</v>
      </c>
      <c r="H5162">
        <v>5.6392260422330101E-2</v>
      </c>
      <c r="I5162">
        <v>4.7164084371358599E-2</v>
      </c>
      <c r="J5162">
        <v>4.8601789688911101E-2</v>
      </c>
      <c r="K5162">
        <v>3.2517153156419197E-2</v>
      </c>
      <c r="L5162">
        <v>830.51582814291601</v>
      </c>
      <c r="M5162">
        <v>16.633144362591999</v>
      </c>
      <c r="N5162">
        <v>49.931380496961602</v>
      </c>
      <c r="O5162">
        <v>49.226409873472299</v>
      </c>
      <c r="P5162">
        <v>-8.4478384320444799E-2</v>
      </c>
      <c r="Q5162">
        <v>0</v>
      </c>
      <c r="R5162">
        <v>0.97784340765271704</v>
      </c>
      <c r="S5162" t="s">
        <v>11730</v>
      </c>
      <c r="T5162" t="s">
        <v>13134</v>
      </c>
      <c r="U5162" t="s">
        <v>13134</v>
      </c>
      <c r="V5162" t="s">
        <v>13134</v>
      </c>
      <c r="W5162" t="s">
        <v>18232</v>
      </c>
      <c r="X5162">
        <v>17</v>
      </c>
      <c r="Y5162" t="s">
        <v>24600</v>
      </c>
      <c r="Z5162" t="s">
        <v>31130</v>
      </c>
      <c r="AA5162">
        <v>0.44895904366394102</v>
      </c>
      <c r="AB5162" t="str">
        <f>HYPERLINK("Melting_Curves/meltCurve_Q96P70_IPO9.pdf", "Melting_Curves/meltCurve_Q96P70_IPO9.pdf")</f>
        <v>Melting_Curves/meltCurve_Q96P70_IPO9.pdf</v>
      </c>
    </row>
    <row r="5163" spans="1:28" x14ac:dyDescent="0.25">
      <c r="A5163" t="s">
        <v>5167</v>
      </c>
      <c r="B5163">
        <v>0.99472303558308395</v>
      </c>
      <c r="C5163">
        <v>0.72873053786993403</v>
      </c>
      <c r="D5163">
        <v>1.17980851470098</v>
      </c>
      <c r="E5163">
        <v>0.887041104676072</v>
      </c>
      <c r="F5163">
        <v>0.412428154249668</v>
      </c>
      <c r="G5163">
        <v>0.60503372979591796</v>
      </c>
      <c r="H5163">
        <v>0.68166649210823205</v>
      </c>
      <c r="I5163">
        <v>0.58266457955880102</v>
      </c>
      <c r="J5163">
        <v>0.76170136609802697</v>
      </c>
      <c r="K5163">
        <v>0.36159383401266898</v>
      </c>
      <c r="L5163">
        <v>11698.455405286601</v>
      </c>
      <c r="M5163">
        <v>250</v>
      </c>
      <c r="O5163">
        <v>46.7908269443897</v>
      </c>
      <c r="P5163">
        <v>-0.57768441904461698</v>
      </c>
      <c r="Q5163">
        <v>0.56751469193973303</v>
      </c>
      <c r="R5163">
        <v>0.60786550665689398</v>
      </c>
      <c r="S5163" t="s">
        <v>11731</v>
      </c>
      <c r="T5163" t="s">
        <v>13134</v>
      </c>
      <c r="U5163" t="s">
        <v>13134</v>
      </c>
      <c r="V5163" t="s">
        <v>13134</v>
      </c>
      <c r="W5163" t="s">
        <v>18233</v>
      </c>
      <c r="X5163">
        <v>2</v>
      </c>
      <c r="Y5163" t="s">
        <v>24601</v>
      </c>
      <c r="Z5163" t="s">
        <v>31131</v>
      </c>
      <c r="AA5163">
        <v>0.70873967404722293</v>
      </c>
      <c r="AB5163" t="str">
        <f>HYPERLINK("Melting_Curves/meltCurve_Q96PE7_MCEE.pdf", "Melting_Curves/meltCurve_Q96PE7_MCEE.pdf")</f>
        <v>Melting_Curves/meltCurve_Q96PE7_MCEE.pdf</v>
      </c>
    </row>
    <row r="5164" spans="1:28" x14ac:dyDescent="0.25">
      <c r="A5164" t="s">
        <v>5168</v>
      </c>
      <c r="B5164">
        <v>0.99472303558308395</v>
      </c>
      <c r="C5164">
        <v>1.0456924943294901</v>
      </c>
      <c r="D5164">
        <v>1.0528196364945199</v>
      </c>
      <c r="E5164">
        <v>0.84501230628630497</v>
      </c>
      <c r="F5164">
        <v>0.67810189054894099</v>
      </c>
      <c r="G5164">
        <v>0.50708722365069703</v>
      </c>
      <c r="H5164">
        <v>0.42449404845661598</v>
      </c>
      <c r="I5164">
        <v>0.45100730163861202</v>
      </c>
      <c r="J5164">
        <v>0.67552376893745603</v>
      </c>
      <c r="K5164">
        <v>0.48983951356510902</v>
      </c>
      <c r="L5164">
        <v>1388.84997668089</v>
      </c>
      <c r="M5164">
        <v>28.654420352311998</v>
      </c>
      <c r="O5164">
        <v>48.2347125867363</v>
      </c>
      <c r="P5164">
        <v>-7.3195968467923894E-2</v>
      </c>
      <c r="Q5164">
        <v>0.507153092689687</v>
      </c>
      <c r="R5164">
        <v>0.913003648160012</v>
      </c>
      <c r="S5164" t="s">
        <v>11732</v>
      </c>
      <c r="T5164" t="s">
        <v>13134</v>
      </c>
      <c r="U5164" t="s">
        <v>13134</v>
      </c>
      <c r="V5164" t="s">
        <v>13134</v>
      </c>
      <c r="W5164" t="s">
        <v>18234</v>
      </c>
      <c r="X5164">
        <v>1</v>
      </c>
      <c r="Y5164" t="s">
        <v>24602</v>
      </c>
      <c r="Z5164" t="s">
        <v>31132</v>
      </c>
      <c r="AA5164">
        <v>0.69879490330163974</v>
      </c>
      <c r="AB5164" t="str">
        <f>HYPERLINK("Melting_Curves/meltCurve_Q96PG8_1_BBC3.pdf", "Melting_Curves/meltCurve_Q96PG8_1_BBC3.pdf")</f>
        <v>Melting_Curves/meltCurve_Q96PG8_1_BBC3.pdf</v>
      </c>
    </row>
    <row r="5165" spans="1:28" x14ac:dyDescent="0.25">
      <c r="A5165" t="s">
        <v>5169</v>
      </c>
      <c r="B5165">
        <v>0.99472303558308395</v>
      </c>
      <c r="C5165">
        <v>0.81558637445314697</v>
      </c>
      <c r="D5165">
        <v>0.70340889120948002</v>
      </c>
      <c r="E5165">
        <v>0.32972318522078298</v>
      </c>
      <c r="F5165">
        <v>0.19451946546791099</v>
      </c>
      <c r="G5165">
        <v>9.6883244698332205E-2</v>
      </c>
      <c r="H5165">
        <v>8.9601257958271396E-2</v>
      </c>
      <c r="I5165">
        <v>6.9943631363464098E-2</v>
      </c>
      <c r="J5165">
        <v>9.1548675004224297E-2</v>
      </c>
      <c r="K5165">
        <v>8.8699420853231098E-2</v>
      </c>
      <c r="L5165">
        <v>753.01941961307898</v>
      </c>
      <c r="M5165">
        <v>16.9868381886813</v>
      </c>
      <c r="N5165">
        <v>44.739428254347501</v>
      </c>
      <c r="O5165">
        <v>43.728901702113497</v>
      </c>
      <c r="P5165">
        <v>-9.0122546775880705E-2</v>
      </c>
      <c r="Q5165">
        <v>7.2054335633783204E-2</v>
      </c>
      <c r="R5165">
        <v>0.99247858671585198</v>
      </c>
      <c r="S5165" t="s">
        <v>11733</v>
      </c>
      <c r="T5165" t="s">
        <v>13134</v>
      </c>
      <c r="U5165" t="s">
        <v>13134</v>
      </c>
      <c r="V5165" t="s">
        <v>13134</v>
      </c>
      <c r="W5165" t="s">
        <v>18235</v>
      </c>
      <c r="X5165">
        <v>7</v>
      </c>
      <c r="Y5165" t="s">
        <v>24603</v>
      </c>
      <c r="Z5165" t="s">
        <v>31133</v>
      </c>
      <c r="AA5165">
        <v>0.31626182054222429</v>
      </c>
      <c r="AB5165" t="str">
        <f>HYPERLINK("Melting_Curves/meltCurve_Q96PK6_RBM14.pdf", "Melting_Curves/meltCurve_Q96PK6_RBM14.pdf")</f>
        <v>Melting_Curves/meltCurve_Q96PK6_RBM14.pdf</v>
      </c>
    </row>
    <row r="5166" spans="1:28" x14ac:dyDescent="0.25">
      <c r="A5166" t="s">
        <v>5170</v>
      </c>
      <c r="B5166">
        <v>0.99472303558308395</v>
      </c>
      <c r="C5166">
        <v>0.95584043378053096</v>
      </c>
      <c r="D5166">
        <v>0.87988594822659105</v>
      </c>
      <c r="E5166">
        <v>0.81336356814654898</v>
      </c>
      <c r="F5166">
        <v>0.65822027911384495</v>
      </c>
      <c r="G5166">
        <v>0.350192746605341</v>
      </c>
      <c r="H5166">
        <v>0.170639914105641</v>
      </c>
      <c r="I5166">
        <v>7.8197481312318101E-2</v>
      </c>
      <c r="J5166">
        <v>7.1296958125313101E-2</v>
      </c>
      <c r="K5166">
        <v>7.8726664636303997E-2</v>
      </c>
      <c r="L5166">
        <v>737.20366959815794</v>
      </c>
      <c r="M5166">
        <v>14.2859104901513</v>
      </c>
      <c r="N5166">
        <v>51.661025002289897</v>
      </c>
      <c r="O5166">
        <v>50.623989360639101</v>
      </c>
      <c r="P5166">
        <v>-7.0001445941575202E-2</v>
      </c>
      <c r="Q5166">
        <v>7.8842556435120004E-3</v>
      </c>
      <c r="R5166">
        <v>0.99170371700779203</v>
      </c>
      <c r="S5166" t="s">
        <v>11734</v>
      </c>
      <c r="T5166" t="s">
        <v>13134</v>
      </c>
      <c r="U5166" t="s">
        <v>13134</v>
      </c>
      <c r="V5166" t="s">
        <v>13134</v>
      </c>
      <c r="W5166" t="s">
        <v>18236</v>
      </c>
      <c r="X5166">
        <v>5</v>
      </c>
      <c r="Y5166" t="s">
        <v>24604</v>
      </c>
      <c r="Z5166" t="s">
        <v>31134</v>
      </c>
      <c r="AA5166">
        <v>0.51138862033125865</v>
      </c>
      <c r="AB5166" t="str">
        <f>HYPERLINK("Melting_Curves/meltCurve_Q96PL5_ERMAP.pdf", "Melting_Curves/meltCurve_Q96PL5_ERMAP.pdf")</f>
        <v>Melting_Curves/meltCurve_Q96PL5_ERMAP.pdf</v>
      </c>
    </row>
    <row r="5167" spans="1:28" x14ac:dyDescent="0.25">
      <c r="A5167" t="s">
        <v>5171</v>
      </c>
      <c r="B5167">
        <v>0.99472303558308395</v>
      </c>
      <c r="C5167">
        <v>1.01030792597004</v>
      </c>
      <c r="D5167">
        <v>0.99838518114111297</v>
      </c>
      <c r="E5167">
        <v>0.81005831671971096</v>
      </c>
      <c r="F5167">
        <v>0.54349526318238195</v>
      </c>
      <c r="G5167">
        <v>0.39724204290055898</v>
      </c>
      <c r="H5167">
        <v>0.18259288420153599</v>
      </c>
      <c r="I5167">
        <v>0.115597541074333</v>
      </c>
      <c r="J5167">
        <v>0.158256253473991</v>
      </c>
      <c r="K5167">
        <v>9.5918144887318105E-2</v>
      </c>
      <c r="L5167">
        <v>827.68260805409795</v>
      </c>
      <c r="M5167">
        <v>16.352253924351299</v>
      </c>
      <c r="N5167">
        <v>51.254681544859999</v>
      </c>
      <c r="O5167">
        <v>49.8769978935483</v>
      </c>
      <c r="P5167">
        <v>-7.4411264486804005E-2</v>
      </c>
      <c r="Q5167">
        <v>9.2200190019759501E-2</v>
      </c>
      <c r="R5167">
        <v>0.99282444580118301</v>
      </c>
      <c r="S5167" t="s">
        <v>11735</v>
      </c>
      <c r="T5167" t="s">
        <v>13134</v>
      </c>
      <c r="U5167" t="s">
        <v>13134</v>
      </c>
      <c r="V5167" t="s">
        <v>13134</v>
      </c>
      <c r="W5167" t="s">
        <v>18237</v>
      </c>
      <c r="X5167">
        <v>12</v>
      </c>
      <c r="Y5167" t="s">
        <v>24605</v>
      </c>
      <c r="Z5167" t="s">
        <v>31135</v>
      </c>
      <c r="AA5167">
        <v>0.52063907619983285</v>
      </c>
      <c r="AB5167" t="str">
        <f>HYPERLINK("Melting_Curves/meltCurve_Q96PM5_RCHY1.pdf", "Melting_Curves/meltCurve_Q96PM5_RCHY1.pdf")</f>
        <v>Melting_Curves/meltCurve_Q96PM5_RCHY1.pdf</v>
      </c>
    </row>
    <row r="5168" spans="1:28" x14ac:dyDescent="0.25">
      <c r="A5168" t="s">
        <v>5172</v>
      </c>
      <c r="B5168">
        <v>0.99472303558308395</v>
      </c>
      <c r="C5168">
        <v>0.97827397461231103</v>
      </c>
      <c r="D5168">
        <v>0.82357353673948197</v>
      </c>
      <c r="E5168">
        <v>0.49723689752253902</v>
      </c>
      <c r="F5168">
        <v>0.15754489973255201</v>
      </c>
      <c r="G5168">
        <v>9.2034111215874403E-2</v>
      </c>
      <c r="H5168">
        <v>6.2555773963456199E-2</v>
      </c>
      <c r="I5168">
        <v>4.1387867274657902E-2</v>
      </c>
      <c r="J5168">
        <v>6.4845903025025395E-2</v>
      </c>
      <c r="K5168">
        <v>5.6641222994534599E-2</v>
      </c>
      <c r="L5168">
        <v>1028.90015019404</v>
      </c>
      <c r="M5168">
        <v>22.2947457996518</v>
      </c>
      <c r="N5168">
        <v>46.3661626379821</v>
      </c>
      <c r="O5168">
        <v>45.7833952868626</v>
      </c>
      <c r="P5168">
        <v>-0.115730836633494</v>
      </c>
      <c r="Q5168">
        <v>4.9383107124763799E-2</v>
      </c>
      <c r="R5168">
        <v>0.99856148003007095</v>
      </c>
      <c r="S5168" t="s">
        <v>11736</v>
      </c>
      <c r="T5168" t="s">
        <v>13134</v>
      </c>
      <c r="U5168" t="s">
        <v>13134</v>
      </c>
      <c r="V5168" t="s">
        <v>13134</v>
      </c>
      <c r="W5168" t="s">
        <v>18238</v>
      </c>
      <c r="X5168">
        <v>9</v>
      </c>
      <c r="Y5168" t="s">
        <v>24606</v>
      </c>
      <c r="Z5168" t="s">
        <v>31136</v>
      </c>
      <c r="AA5168">
        <v>0.34928750542881798</v>
      </c>
      <c r="AB5168" t="str">
        <f>HYPERLINK("Melting_Curves/meltCurve_Q96PU5_2_NEDD4L.pdf", "Melting_Curves/meltCurve_Q96PU5_2_NEDD4L.pdf")</f>
        <v>Melting_Curves/meltCurve_Q96PU5_2_NEDD4L.pdf</v>
      </c>
    </row>
    <row r="5169" spans="1:28" x14ac:dyDescent="0.25">
      <c r="A5169" t="s">
        <v>5173</v>
      </c>
      <c r="B5169">
        <v>0.99472303558308395</v>
      </c>
      <c r="C5169">
        <v>0.83179805920011496</v>
      </c>
      <c r="D5169">
        <v>0.92402207939710301</v>
      </c>
      <c r="E5169">
        <v>0.55225893368830103</v>
      </c>
      <c r="F5169">
        <v>0.239540570259173</v>
      </c>
      <c r="G5169">
        <v>0.119152541800488</v>
      </c>
      <c r="H5169">
        <v>8.0658980249751794E-2</v>
      </c>
      <c r="I5169">
        <v>5.7168820143708103E-2</v>
      </c>
      <c r="J5169">
        <v>6.3536745656776597E-2</v>
      </c>
      <c r="K5169">
        <v>5.46404235467743E-2</v>
      </c>
      <c r="L5169">
        <v>949.02296320535697</v>
      </c>
      <c r="M5169">
        <v>20.2391016084581</v>
      </c>
      <c r="N5169">
        <v>47.151484336324799</v>
      </c>
      <c r="O5169">
        <v>46.439991061650701</v>
      </c>
      <c r="P5169">
        <v>-0.10318434907520301</v>
      </c>
      <c r="Q5169">
        <v>5.2975469450632702E-2</v>
      </c>
      <c r="R5169">
        <v>0.98328997063976797</v>
      </c>
      <c r="S5169" t="s">
        <v>11737</v>
      </c>
      <c r="T5169" t="s">
        <v>13134</v>
      </c>
      <c r="U5169" t="s">
        <v>13134</v>
      </c>
      <c r="V5169" t="s">
        <v>13134</v>
      </c>
      <c r="W5169" t="s">
        <v>18239</v>
      </c>
      <c r="X5169">
        <v>11</v>
      </c>
      <c r="Y5169" t="s">
        <v>24607</v>
      </c>
      <c r="Z5169" t="s">
        <v>31137</v>
      </c>
      <c r="AA5169">
        <v>0.37730356418950861</v>
      </c>
      <c r="AB5169" t="str">
        <f>HYPERLINK("Melting_Curves/meltCurve_Q96PU8_9_QKI.pdf", "Melting_Curves/meltCurve_Q96PU8_9_QKI.pdf")</f>
        <v>Melting_Curves/meltCurve_Q96PU8_9_QKI.pdf</v>
      </c>
    </row>
    <row r="5170" spans="1:28" x14ac:dyDescent="0.25">
      <c r="A5170" t="s">
        <v>5174</v>
      </c>
      <c r="B5170">
        <v>0.99472303558308395</v>
      </c>
      <c r="C5170">
        <v>0.97786450584493001</v>
      </c>
      <c r="D5170">
        <v>0.94611039864745405</v>
      </c>
      <c r="E5170">
        <v>0.77061794482872603</v>
      </c>
      <c r="F5170">
        <v>0.52279521443919097</v>
      </c>
      <c r="G5170">
        <v>0.27562827566225101</v>
      </c>
      <c r="H5170">
        <v>0.15560264446052799</v>
      </c>
      <c r="I5170">
        <v>0.123133971557623</v>
      </c>
      <c r="J5170">
        <v>0.126549084783492</v>
      </c>
      <c r="K5170">
        <v>0.103631827123565</v>
      </c>
      <c r="L5170">
        <v>868.18596949968503</v>
      </c>
      <c r="M5170">
        <v>17.475512977322499</v>
      </c>
      <c r="N5170">
        <v>50.271788523321398</v>
      </c>
      <c r="O5170">
        <v>49.043295827409501</v>
      </c>
      <c r="P5170">
        <v>-8.0806512650436702E-2</v>
      </c>
      <c r="Q5170">
        <v>9.29483983959528E-2</v>
      </c>
      <c r="R5170">
        <v>0.99916467405633402</v>
      </c>
      <c r="S5170" t="s">
        <v>11738</v>
      </c>
      <c r="T5170" t="s">
        <v>13134</v>
      </c>
      <c r="U5170" t="s">
        <v>13134</v>
      </c>
      <c r="V5170" t="s">
        <v>13134</v>
      </c>
      <c r="W5170" t="s">
        <v>18240</v>
      </c>
      <c r="X5170">
        <v>37</v>
      </c>
      <c r="Y5170" t="s">
        <v>24608</v>
      </c>
      <c r="Z5170" t="s">
        <v>31138</v>
      </c>
      <c r="AA5170">
        <v>0.49139772535050252</v>
      </c>
      <c r="AB5170" t="str">
        <f>HYPERLINK("Melting_Curves/meltCurve_Q96PZ0_PUS7.pdf", "Melting_Curves/meltCurve_Q96PZ0_PUS7.pdf")</f>
        <v>Melting_Curves/meltCurve_Q96PZ0_PUS7.pdf</v>
      </c>
    </row>
    <row r="5171" spans="1:28" x14ac:dyDescent="0.25">
      <c r="A5171" t="s">
        <v>5175</v>
      </c>
      <c r="B5171">
        <v>0.99472303558308395</v>
      </c>
      <c r="C5171">
        <v>0.99040958711869498</v>
      </c>
      <c r="D5171">
        <v>1.02009759485103</v>
      </c>
      <c r="E5171">
        <v>0.87266304007295503</v>
      </c>
      <c r="F5171">
        <v>0.44884946848615498</v>
      </c>
      <c r="G5171">
        <v>0.100965925362846</v>
      </c>
      <c r="H5171">
        <v>6.4094331767137594E-2</v>
      </c>
      <c r="I5171">
        <v>3.6616888478651903E-2</v>
      </c>
      <c r="J5171">
        <v>5.56152628485456E-2</v>
      </c>
      <c r="K5171">
        <v>3.68987928344209E-2</v>
      </c>
      <c r="L5171">
        <v>1539.0228597125099</v>
      </c>
      <c r="M5171">
        <v>31.0049702987925</v>
      </c>
      <c r="N5171">
        <v>49.773386158885202</v>
      </c>
      <c r="O5171">
        <v>49.4327943867359</v>
      </c>
      <c r="P5171">
        <v>-0.15046082942357999</v>
      </c>
      <c r="Q5171">
        <v>4.0455745459195398E-2</v>
      </c>
      <c r="R5171">
        <v>0.998937116445481</v>
      </c>
      <c r="S5171" t="s">
        <v>11739</v>
      </c>
      <c r="T5171" t="s">
        <v>13134</v>
      </c>
      <c r="U5171" t="s">
        <v>13134</v>
      </c>
      <c r="V5171" t="s">
        <v>13134</v>
      </c>
      <c r="W5171" t="s">
        <v>18241</v>
      </c>
      <c r="X5171">
        <v>17</v>
      </c>
      <c r="Y5171" t="s">
        <v>24609</v>
      </c>
      <c r="Z5171" t="s">
        <v>31139</v>
      </c>
      <c r="AA5171">
        <v>0.45015946027274473</v>
      </c>
      <c r="AB5171" t="str">
        <f>HYPERLINK("Melting_Curves/meltCurve_Q96Q11_2_TRNT1.pdf", "Melting_Curves/meltCurve_Q96Q11_2_TRNT1.pdf")</f>
        <v>Melting_Curves/meltCurve_Q96Q11_2_TRNT1.pdf</v>
      </c>
    </row>
    <row r="5172" spans="1:28" x14ac:dyDescent="0.25">
      <c r="A5172" t="s">
        <v>5176</v>
      </c>
      <c r="B5172">
        <v>0.99472303558308395</v>
      </c>
      <c r="C5172">
        <v>1.1182144578064499</v>
      </c>
      <c r="D5172">
        <v>0.98713245420126206</v>
      </c>
      <c r="E5172">
        <v>0.88780448307930004</v>
      </c>
      <c r="F5172">
        <v>0.72462094892504803</v>
      </c>
      <c r="G5172">
        <v>0.444478929432572</v>
      </c>
      <c r="H5172">
        <v>0.36852886798953999</v>
      </c>
      <c r="I5172">
        <v>0.31534207784031199</v>
      </c>
      <c r="J5172">
        <v>0.38963017986441101</v>
      </c>
      <c r="K5172">
        <v>0.431292248232578</v>
      </c>
      <c r="L5172">
        <v>1341.63212568057</v>
      </c>
      <c r="M5172">
        <v>26.6620226436191</v>
      </c>
      <c r="N5172">
        <v>52.9538004729893</v>
      </c>
      <c r="O5172">
        <v>50.039421666450998</v>
      </c>
      <c r="P5172">
        <v>-8.4286741633326001E-2</v>
      </c>
      <c r="Q5172">
        <v>0.36724710713029202</v>
      </c>
      <c r="R5172">
        <v>0.97011975729461997</v>
      </c>
      <c r="S5172" t="s">
        <v>11740</v>
      </c>
      <c r="T5172" t="s">
        <v>13134</v>
      </c>
      <c r="U5172" t="s">
        <v>13134</v>
      </c>
      <c r="V5172" t="s">
        <v>13134</v>
      </c>
      <c r="W5172" t="s">
        <v>18242</v>
      </c>
      <c r="X5172">
        <v>10</v>
      </c>
      <c r="Y5172" t="s">
        <v>24610</v>
      </c>
      <c r="Z5172" t="s">
        <v>31140</v>
      </c>
      <c r="AA5172">
        <v>0.65309862422451914</v>
      </c>
      <c r="AB5172" t="str">
        <f>HYPERLINK("Melting_Curves/meltCurve_Q96Q45_2_TMEM237.pdf", "Melting_Curves/meltCurve_Q96Q45_2_TMEM237.pdf")</f>
        <v>Melting_Curves/meltCurve_Q96Q45_2_TMEM237.pdf</v>
      </c>
    </row>
    <row r="5173" spans="1:28" x14ac:dyDescent="0.25">
      <c r="A5173" t="s">
        <v>5177</v>
      </c>
      <c r="B5173">
        <v>0.99472303558308395</v>
      </c>
      <c r="C5173">
        <v>1.0480078145123699</v>
      </c>
      <c r="D5173">
        <v>0.975696686654697</v>
      </c>
      <c r="E5173">
        <v>0.79692086147519803</v>
      </c>
      <c r="F5173">
        <v>0.45604738104917703</v>
      </c>
      <c r="G5173">
        <v>0.355934368413659</v>
      </c>
      <c r="H5173">
        <v>0.25104021416698202</v>
      </c>
      <c r="I5173">
        <v>0.25282296158708101</v>
      </c>
      <c r="J5173">
        <v>0.35850181460487801</v>
      </c>
      <c r="K5173">
        <v>0.23377913572647599</v>
      </c>
      <c r="L5173">
        <v>1287.2540627828</v>
      </c>
      <c r="M5173">
        <v>26.686291362788602</v>
      </c>
      <c r="N5173">
        <v>49.744391584307401</v>
      </c>
      <c r="O5173">
        <v>47.9680996469177</v>
      </c>
      <c r="P5173">
        <v>-0.100512030390524</v>
      </c>
      <c r="Q5173">
        <v>0.27733356639156398</v>
      </c>
      <c r="R5173">
        <v>0.98621623639492095</v>
      </c>
      <c r="S5173" t="s">
        <v>11741</v>
      </c>
      <c r="T5173" t="s">
        <v>13134</v>
      </c>
      <c r="U5173" t="s">
        <v>13134</v>
      </c>
      <c r="V5173" t="s">
        <v>13134</v>
      </c>
      <c r="W5173" t="s">
        <v>18243</v>
      </c>
      <c r="X5173">
        <v>8</v>
      </c>
      <c r="Y5173" t="s">
        <v>24611</v>
      </c>
      <c r="Z5173" t="s">
        <v>31141</v>
      </c>
      <c r="AA5173">
        <v>0.55343955803343536</v>
      </c>
      <c r="AB5173" t="str">
        <f>HYPERLINK("Melting_Curves/meltCurve_Q96Q83_ALKBH3.pdf", "Melting_Curves/meltCurve_Q96Q83_ALKBH3.pdf")</f>
        <v>Melting_Curves/meltCurve_Q96Q83_ALKBH3.pdf</v>
      </c>
    </row>
    <row r="5174" spans="1:28" x14ac:dyDescent="0.25">
      <c r="A5174" t="s">
        <v>5178</v>
      </c>
      <c r="B5174">
        <v>0.99472303558308395</v>
      </c>
      <c r="C5174">
        <v>0.90155197348346605</v>
      </c>
      <c r="D5174">
        <v>0.818500116246904</v>
      </c>
      <c r="E5174">
        <v>0.53264756216447495</v>
      </c>
      <c r="F5174">
        <v>0.31574645395765499</v>
      </c>
      <c r="G5174">
        <v>0.18522973527143</v>
      </c>
      <c r="H5174">
        <v>0.13362757474596201</v>
      </c>
      <c r="I5174">
        <v>9.0687843938026105E-2</v>
      </c>
      <c r="J5174">
        <v>0.116506460631014</v>
      </c>
      <c r="K5174">
        <v>8.6782055358546106E-2</v>
      </c>
      <c r="L5174">
        <v>707.624340168976</v>
      </c>
      <c r="M5174">
        <v>15.1900438834047</v>
      </c>
      <c r="N5174">
        <v>47.142380509294199</v>
      </c>
      <c r="O5174">
        <v>45.799749577472397</v>
      </c>
      <c r="P5174">
        <v>-7.6104657720968305E-2</v>
      </c>
      <c r="Q5174">
        <v>8.2230671980698694E-2</v>
      </c>
      <c r="R5174">
        <v>0.99805139344604399</v>
      </c>
      <c r="S5174" t="s">
        <v>11742</v>
      </c>
      <c r="T5174" t="s">
        <v>13134</v>
      </c>
      <c r="U5174" t="s">
        <v>13134</v>
      </c>
      <c r="V5174" t="s">
        <v>13134</v>
      </c>
      <c r="W5174" t="s">
        <v>18244</v>
      </c>
      <c r="X5174">
        <v>14</v>
      </c>
      <c r="Y5174" t="s">
        <v>24612</v>
      </c>
      <c r="Z5174" t="s">
        <v>31142</v>
      </c>
      <c r="AA5174">
        <v>0.39583098608341249</v>
      </c>
      <c r="AB5174" t="str">
        <f>HYPERLINK("Melting_Curves/meltCurve_Q96QC0_PPP1R10.pdf", "Melting_Curves/meltCurve_Q96QC0_PPP1R10.pdf")</f>
        <v>Melting_Curves/meltCurve_Q96QC0_PPP1R10.pdf</v>
      </c>
    </row>
    <row r="5175" spans="1:28" x14ac:dyDescent="0.25">
      <c r="A5175" t="s">
        <v>5179</v>
      </c>
      <c r="B5175">
        <v>0.99472303558308395</v>
      </c>
      <c r="C5175">
        <v>1.03666843992187</v>
      </c>
      <c r="D5175">
        <v>0.92187501737758804</v>
      </c>
      <c r="E5175">
        <v>0.74857737035269301</v>
      </c>
      <c r="F5175">
        <v>0.485772710457339</v>
      </c>
      <c r="G5175">
        <v>0.30872351602967102</v>
      </c>
      <c r="H5175">
        <v>0.22644498995088799</v>
      </c>
      <c r="I5175">
        <v>0.19044961224512699</v>
      </c>
      <c r="J5175">
        <v>0.22792888961273999</v>
      </c>
      <c r="K5175">
        <v>0.25485721614657503</v>
      </c>
      <c r="L5175">
        <v>967.45161159339602</v>
      </c>
      <c r="M5175">
        <v>19.977524026592199</v>
      </c>
      <c r="N5175">
        <v>49.813856550831602</v>
      </c>
      <c r="O5175">
        <v>47.949598245122097</v>
      </c>
      <c r="P5175">
        <v>-8.1943947712246695E-2</v>
      </c>
      <c r="Q5175">
        <v>0.21330575059868401</v>
      </c>
      <c r="R5175">
        <v>0.99449338276253496</v>
      </c>
      <c r="S5175" t="s">
        <v>11743</v>
      </c>
      <c r="T5175" t="s">
        <v>13134</v>
      </c>
      <c r="U5175" t="s">
        <v>13134</v>
      </c>
      <c r="V5175" t="s">
        <v>13134</v>
      </c>
      <c r="W5175" t="s">
        <v>18245</v>
      </c>
      <c r="X5175">
        <v>4</v>
      </c>
      <c r="Y5175" t="s">
        <v>24613</v>
      </c>
      <c r="Z5175" t="s">
        <v>31143</v>
      </c>
      <c r="AA5175">
        <v>0.52333003050608595</v>
      </c>
      <c r="AB5175" t="str">
        <f>HYPERLINK("Melting_Curves/meltCurve_Q96QC4_MICA.pdf", "Melting_Curves/meltCurve_Q96QC4_MICA.pdf")</f>
        <v>Melting_Curves/meltCurve_Q96QC4_MICA.pdf</v>
      </c>
    </row>
    <row r="5176" spans="1:28" x14ac:dyDescent="0.25">
      <c r="A5176" t="s">
        <v>5180</v>
      </c>
      <c r="B5176">
        <v>0.99472303558308395</v>
      </c>
      <c r="C5176">
        <v>1.0080668434866999</v>
      </c>
      <c r="D5176">
        <v>0.993700826893404</v>
      </c>
      <c r="E5176">
        <v>0.78182035467892597</v>
      </c>
      <c r="F5176">
        <v>0.44207872820570998</v>
      </c>
      <c r="G5176">
        <v>0.122886029998687</v>
      </c>
      <c r="H5176">
        <v>6.8290162705893595E-2</v>
      </c>
      <c r="I5176">
        <v>3.7415959204883997E-2</v>
      </c>
      <c r="J5176">
        <v>4.3623553946808599E-2</v>
      </c>
      <c r="K5176">
        <v>4.2267776485428302E-2</v>
      </c>
      <c r="L5176">
        <v>1170.0731955864301</v>
      </c>
      <c r="M5176">
        <v>23.7246702028987</v>
      </c>
      <c r="N5176">
        <v>49.458299196518801</v>
      </c>
      <c r="O5176">
        <v>48.972446745111498</v>
      </c>
      <c r="P5176">
        <v>-0.117196375353093</v>
      </c>
      <c r="Q5176">
        <v>3.2349320452715803E-2</v>
      </c>
      <c r="R5176">
        <v>0.998424721276571</v>
      </c>
      <c r="S5176" t="s">
        <v>11744</v>
      </c>
      <c r="T5176" t="s">
        <v>13134</v>
      </c>
      <c r="U5176" t="s">
        <v>13134</v>
      </c>
      <c r="V5176" t="s">
        <v>13134</v>
      </c>
      <c r="W5176" t="s">
        <v>18246</v>
      </c>
      <c r="X5176">
        <v>7</v>
      </c>
      <c r="Y5176" t="s">
        <v>24614</v>
      </c>
      <c r="Z5176" t="s">
        <v>31144</v>
      </c>
      <c r="AA5176">
        <v>0.43897806022835001</v>
      </c>
      <c r="AB5176" t="str">
        <f>HYPERLINK("Melting_Curves/meltCurve_Q96QG7_MTMR9.pdf", "Melting_Curves/meltCurve_Q96QG7_MTMR9.pdf")</f>
        <v>Melting_Curves/meltCurve_Q96QG7_MTMR9.pdf</v>
      </c>
    </row>
    <row r="5177" spans="1:28" x14ac:dyDescent="0.25">
      <c r="A5177" t="s">
        <v>5181</v>
      </c>
      <c r="B5177">
        <v>0.99472303558308395</v>
      </c>
      <c r="C5177">
        <v>0.93912870629788403</v>
      </c>
      <c r="D5177">
        <v>0.98314731640410802</v>
      </c>
      <c r="E5177">
        <v>0.88847801201673604</v>
      </c>
      <c r="F5177">
        <v>0.76945732467918304</v>
      </c>
      <c r="G5177">
        <v>0.35766539440575701</v>
      </c>
      <c r="H5177">
        <v>8.4615529567258804E-2</v>
      </c>
      <c r="I5177">
        <v>5.5320396706264603E-2</v>
      </c>
      <c r="J5177">
        <v>6.0228031751665703E-2</v>
      </c>
      <c r="K5177">
        <v>5.4584545877361897E-2</v>
      </c>
      <c r="L5177">
        <v>1337.6297007460701</v>
      </c>
      <c r="M5177">
        <v>25.601597633761202</v>
      </c>
      <c r="N5177">
        <v>52.400360759565999</v>
      </c>
      <c r="O5177">
        <v>51.932249042863297</v>
      </c>
      <c r="P5177">
        <v>-0.118823047027136</v>
      </c>
      <c r="Q5177">
        <v>3.5892577608370703E-2</v>
      </c>
      <c r="R5177">
        <v>0.99322453078908002</v>
      </c>
      <c r="S5177" t="s">
        <v>11745</v>
      </c>
      <c r="T5177" t="s">
        <v>13134</v>
      </c>
      <c r="U5177" t="s">
        <v>13134</v>
      </c>
      <c r="V5177" t="s">
        <v>13134</v>
      </c>
      <c r="W5177" t="s">
        <v>18247</v>
      </c>
      <c r="X5177">
        <v>23</v>
      </c>
      <c r="Y5177" t="s">
        <v>24615</v>
      </c>
      <c r="Z5177" t="s">
        <v>31145</v>
      </c>
      <c r="AA5177">
        <v>0.53409919071036283</v>
      </c>
      <c r="AB5177" t="str">
        <f>HYPERLINK("Melting_Curves/meltCurve_Q96QK1_VPS35.pdf", "Melting_Curves/meltCurve_Q96QK1_VPS35.pdf")</f>
        <v>Melting_Curves/meltCurve_Q96QK1_VPS35.pdf</v>
      </c>
    </row>
    <row r="5178" spans="1:28" x14ac:dyDescent="0.25">
      <c r="A5178" t="s">
        <v>5182</v>
      </c>
      <c r="B5178">
        <v>0.99472303558308395</v>
      </c>
      <c r="C5178">
        <v>1.03198138565693</v>
      </c>
      <c r="D5178">
        <v>0.85039262430655904</v>
      </c>
      <c r="E5178">
        <v>0.78429447946278996</v>
      </c>
      <c r="F5178">
        <v>0.71963935485889596</v>
      </c>
      <c r="G5178">
        <v>0.36627658083682202</v>
      </c>
      <c r="H5178">
        <v>0.31078640044843497</v>
      </c>
      <c r="I5178">
        <v>0.165478498796476</v>
      </c>
      <c r="J5178">
        <v>0.132774492090067</v>
      </c>
      <c r="K5178">
        <v>0.12749992514306599</v>
      </c>
      <c r="L5178">
        <v>609.95092747505498</v>
      </c>
      <c r="M5178">
        <v>11.694252800631499</v>
      </c>
      <c r="N5178">
        <v>52.531674173492704</v>
      </c>
      <c r="O5178">
        <v>50.702995569429099</v>
      </c>
      <c r="P5178">
        <v>-5.5375134204509797E-2</v>
      </c>
      <c r="Q5178">
        <v>3.9891190321195702E-2</v>
      </c>
      <c r="R5178">
        <v>0.97940801039238101</v>
      </c>
      <c r="S5178" t="s">
        <v>11746</v>
      </c>
      <c r="T5178" t="s">
        <v>13134</v>
      </c>
      <c r="U5178" t="s">
        <v>13134</v>
      </c>
      <c r="V5178" t="s">
        <v>13134</v>
      </c>
      <c r="W5178" t="s">
        <v>18248</v>
      </c>
      <c r="X5178">
        <v>1</v>
      </c>
      <c r="Y5178" t="s">
        <v>24616</v>
      </c>
      <c r="Z5178" t="s">
        <v>31146</v>
      </c>
      <c r="AA5178">
        <v>0.54786088949156508</v>
      </c>
      <c r="AB5178" t="str">
        <f>HYPERLINK("Melting_Curves/meltCurve_Q96QR8_PURB.pdf", "Melting_Curves/meltCurve_Q96QR8_PURB.pdf")</f>
        <v>Melting_Curves/meltCurve_Q96QR8_PURB.pdf</v>
      </c>
    </row>
    <row r="5179" spans="1:28" x14ac:dyDescent="0.25">
      <c r="A5179" t="s">
        <v>5183</v>
      </c>
      <c r="B5179">
        <v>0.99472303558308395</v>
      </c>
      <c r="C5179">
        <v>0.92570088963163899</v>
      </c>
      <c r="D5179">
        <v>0.91073410962290302</v>
      </c>
      <c r="E5179">
        <v>0.69592791878695304</v>
      </c>
      <c r="F5179">
        <v>0.22009748292400799</v>
      </c>
      <c r="G5179">
        <v>0.12770322101628101</v>
      </c>
      <c r="H5179">
        <v>7.5980831320936401E-2</v>
      </c>
      <c r="I5179">
        <v>5.9402766776508499E-2</v>
      </c>
      <c r="J5179">
        <v>5.7620771708322603E-2</v>
      </c>
      <c r="K5179">
        <v>5.1319144433450703E-2</v>
      </c>
      <c r="L5179">
        <v>1264.74074836143</v>
      </c>
      <c r="M5179">
        <v>26.538730461630202</v>
      </c>
      <c r="N5179">
        <v>47.882323878249402</v>
      </c>
      <c r="O5179">
        <v>47.388295094261103</v>
      </c>
      <c r="P5179">
        <v>-0.131769690059893</v>
      </c>
      <c r="Q5179">
        <v>5.8843572091590503E-2</v>
      </c>
      <c r="R5179">
        <v>0.99415761987292905</v>
      </c>
      <c r="S5179" t="s">
        <v>11747</v>
      </c>
      <c r="T5179" t="s">
        <v>13134</v>
      </c>
      <c r="U5179" t="s">
        <v>13134</v>
      </c>
      <c r="V5179" t="s">
        <v>13134</v>
      </c>
      <c r="W5179" t="s">
        <v>18249</v>
      </c>
      <c r="X5179">
        <v>15</v>
      </c>
      <c r="Y5179" t="s">
        <v>24617</v>
      </c>
      <c r="Z5179" t="s">
        <v>31147</v>
      </c>
      <c r="AA5179">
        <v>0.40023894609066829</v>
      </c>
      <c r="AB5179" t="str">
        <f>HYPERLINK("Melting_Curves/meltCurve_Q96QU8_XPO6.pdf", "Melting_Curves/meltCurve_Q96QU8_XPO6.pdf")</f>
        <v>Melting_Curves/meltCurve_Q96QU8_XPO6.pdf</v>
      </c>
    </row>
    <row r="5180" spans="1:28" x14ac:dyDescent="0.25">
      <c r="A5180" t="s">
        <v>5184</v>
      </c>
      <c r="B5180">
        <v>0.99472303558308395</v>
      </c>
      <c r="C5180">
        <v>0.92462502867265906</v>
      </c>
      <c r="D5180">
        <v>0.89599766705627903</v>
      </c>
      <c r="E5180">
        <v>0.83122419311922402</v>
      </c>
      <c r="F5180">
        <v>0.56957704796053998</v>
      </c>
      <c r="G5180">
        <v>0.173047762216235</v>
      </c>
      <c r="H5180">
        <v>7.56792839395075E-2</v>
      </c>
      <c r="I5180">
        <v>5.4010661821074203E-2</v>
      </c>
      <c r="J5180">
        <v>5.1191155015500298E-2</v>
      </c>
      <c r="K5180">
        <v>4.9627833409627599E-2</v>
      </c>
      <c r="L5180">
        <v>1068.7798053808999</v>
      </c>
      <c r="M5180">
        <v>21.2671502000555</v>
      </c>
      <c r="N5180">
        <v>50.391882102511502</v>
      </c>
      <c r="O5180">
        <v>49.816955690380397</v>
      </c>
      <c r="P5180">
        <v>-0.103732894028877</v>
      </c>
      <c r="Q5180">
        <v>2.8073814104532802E-2</v>
      </c>
      <c r="R5180">
        <v>0.98927255474116405</v>
      </c>
      <c r="S5180" t="s">
        <v>11748</v>
      </c>
      <c r="T5180" t="s">
        <v>13134</v>
      </c>
      <c r="U5180" t="s">
        <v>13134</v>
      </c>
      <c r="V5180" t="s">
        <v>13134</v>
      </c>
      <c r="W5180" t="s">
        <v>18250</v>
      </c>
      <c r="X5180">
        <v>19</v>
      </c>
      <c r="Y5180" t="s">
        <v>24618</v>
      </c>
      <c r="Z5180" t="s">
        <v>31148</v>
      </c>
      <c r="AA5180">
        <v>0.46898158396504219</v>
      </c>
      <c r="AB5180" t="str">
        <f>HYPERLINK("Melting_Curves/meltCurve_Q96QZ7_6_MAGI1.pdf", "Melting_Curves/meltCurve_Q96QZ7_6_MAGI1.pdf")</f>
        <v>Melting_Curves/meltCurve_Q96QZ7_6_MAGI1.pdf</v>
      </c>
    </row>
    <row r="5181" spans="1:28" x14ac:dyDescent="0.25">
      <c r="A5181" t="s">
        <v>5185</v>
      </c>
      <c r="B5181">
        <v>0.99472303558308395</v>
      </c>
      <c r="C5181">
        <v>0.91337408382555996</v>
      </c>
      <c r="D5181">
        <v>0.602529287730589</v>
      </c>
      <c r="E5181">
        <v>0.28788978883813499</v>
      </c>
      <c r="F5181">
        <v>0.13944021340263901</v>
      </c>
      <c r="G5181">
        <v>8.4387447453829298E-2</v>
      </c>
      <c r="H5181">
        <v>5.1662963553790998E-2</v>
      </c>
      <c r="I5181">
        <v>4.4316342890286103E-2</v>
      </c>
      <c r="J5181">
        <v>4.2984258384558702E-2</v>
      </c>
      <c r="K5181">
        <v>3.3749766017425797E-2</v>
      </c>
      <c r="L5181">
        <v>860.88986842848499</v>
      </c>
      <c r="M5181">
        <v>19.5785583631652</v>
      </c>
      <c r="N5181">
        <v>44.1861757753082</v>
      </c>
      <c r="O5181">
        <v>43.520034162309699</v>
      </c>
      <c r="P5181">
        <v>-0.107359824714597</v>
      </c>
      <c r="Q5181">
        <v>4.5458254575195103E-2</v>
      </c>
      <c r="R5181">
        <v>0.99817094921410099</v>
      </c>
      <c r="S5181" t="s">
        <v>11749</v>
      </c>
      <c r="T5181" t="s">
        <v>13134</v>
      </c>
      <c r="U5181" t="s">
        <v>13134</v>
      </c>
      <c r="V5181" t="s">
        <v>13134</v>
      </c>
      <c r="W5181" t="s">
        <v>18251</v>
      </c>
      <c r="X5181">
        <v>28</v>
      </c>
      <c r="Y5181" t="s">
        <v>24619</v>
      </c>
      <c r="Z5181" t="s">
        <v>31149</v>
      </c>
      <c r="AA5181">
        <v>0.28065977376239271</v>
      </c>
      <c r="AB5181" t="str">
        <f>HYPERLINK("Melting_Curves/meltCurve_Q96R06_SPAG5.pdf", "Melting_Curves/meltCurve_Q96R06_SPAG5.pdf")</f>
        <v>Melting_Curves/meltCurve_Q96R06_SPAG5.pdf</v>
      </c>
    </row>
    <row r="5182" spans="1:28" x14ac:dyDescent="0.25">
      <c r="A5182" t="s">
        <v>5186</v>
      </c>
      <c r="B5182">
        <v>0.99472303558308395</v>
      </c>
      <c r="C5182">
        <v>0.87072305675141703</v>
      </c>
      <c r="D5182">
        <v>0.757622963604486</v>
      </c>
      <c r="E5182">
        <v>0.53034129064873803</v>
      </c>
      <c r="F5182">
        <v>0.18089459268727001</v>
      </c>
      <c r="G5182">
        <v>9.3811884136319704E-2</v>
      </c>
      <c r="H5182">
        <v>8.5963312597595806E-2</v>
      </c>
      <c r="I5182">
        <v>4.2641177430340203E-2</v>
      </c>
      <c r="J5182">
        <v>0.11953437981064199</v>
      </c>
      <c r="K5182">
        <v>4.6217959800598299E-2</v>
      </c>
      <c r="L5182">
        <v>766.41774393224898</v>
      </c>
      <c r="M5182">
        <v>16.690432019732199</v>
      </c>
      <c r="N5182">
        <v>46.199518972530498</v>
      </c>
      <c r="O5182">
        <v>45.275581173881299</v>
      </c>
      <c r="P5182">
        <v>-8.7733837515574994E-2</v>
      </c>
      <c r="Q5182">
        <v>4.8092506146518402E-2</v>
      </c>
      <c r="R5182">
        <v>0.98766653057627096</v>
      </c>
      <c r="S5182" t="s">
        <v>11750</v>
      </c>
      <c r="T5182" t="s">
        <v>13134</v>
      </c>
      <c r="U5182" t="s">
        <v>13134</v>
      </c>
      <c r="V5182" t="s">
        <v>13134</v>
      </c>
      <c r="W5182" t="s">
        <v>18252</v>
      </c>
      <c r="X5182">
        <v>8</v>
      </c>
      <c r="Y5182" t="s">
        <v>24620</v>
      </c>
      <c r="Z5182" t="s">
        <v>31150</v>
      </c>
      <c r="AA5182">
        <v>0.34900242844020363</v>
      </c>
      <c r="AB5182" t="str">
        <f>HYPERLINK("Melting_Curves/meltCurve_Q96RE7_NACC1.pdf", "Melting_Curves/meltCurve_Q96RE7_NACC1.pdf")</f>
        <v>Melting_Curves/meltCurve_Q96RE7_NACC1.pdf</v>
      </c>
    </row>
    <row r="5183" spans="1:28" x14ac:dyDescent="0.25">
      <c r="A5183" t="s">
        <v>5187</v>
      </c>
      <c r="B5183">
        <v>0.99472303558308395</v>
      </c>
      <c r="C5183">
        <v>1.1721470196731001</v>
      </c>
      <c r="D5183">
        <v>1.0288371061542501</v>
      </c>
      <c r="E5183">
        <v>0.73813051147243602</v>
      </c>
      <c r="F5183">
        <v>0.131850211729067</v>
      </c>
      <c r="G5183">
        <v>0.15568381280422799</v>
      </c>
      <c r="H5183">
        <v>0</v>
      </c>
      <c r="I5183">
        <v>0</v>
      </c>
      <c r="J5183">
        <v>5.0997111094651902E-2</v>
      </c>
      <c r="K5183">
        <v>0</v>
      </c>
      <c r="L5183">
        <v>2006.0139610189301</v>
      </c>
      <c r="M5183">
        <v>42.056761510840701</v>
      </c>
      <c r="N5183">
        <v>47.786181585165501</v>
      </c>
      <c r="O5183">
        <v>47.590337153650999</v>
      </c>
      <c r="P5183">
        <v>-0.21266257676078401</v>
      </c>
      <c r="Q5183">
        <v>3.7428350918432503E-2</v>
      </c>
      <c r="R5183">
        <v>0.97806512083308605</v>
      </c>
      <c r="S5183" t="s">
        <v>11751</v>
      </c>
      <c r="T5183" t="s">
        <v>13134</v>
      </c>
      <c r="U5183" t="s">
        <v>13134</v>
      </c>
      <c r="V5183" t="s">
        <v>13134</v>
      </c>
      <c r="W5183" t="s">
        <v>18253</v>
      </c>
      <c r="X5183">
        <v>2</v>
      </c>
      <c r="Y5183" t="s">
        <v>24621</v>
      </c>
      <c r="Z5183" t="s">
        <v>31151</v>
      </c>
      <c r="AA5183">
        <v>0.38354305959536528</v>
      </c>
      <c r="AB5183" t="str">
        <f>HYPERLINK("Melting_Curves/meltCurve_Q96RF0_3_SNX18.pdf", "Melting_Curves/meltCurve_Q96RF0_3_SNX18.pdf")</f>
        <v>Melting_Curves/meltCurve_Q96RF0_3_SNX18.pdf</v>
      </c>
    </row>
    <row r="5184" spans="1:28" x14ac:dyDescent="0.25">
      <c r="A5184" t="s">
        <v>5188</v>
      </c>
      <c r="B5184">
        <v>0.99472303558308395</v>
      </c>
      <c r="C5184">
        <v>1.0502829045878399</v>
      </c>
      <c r="D5184">
        <v>0.84946836119351099</v>
      </c>
      <c r="E5184">
        <v>0.62738934999362395</v>
      </c>
      <c r="F5184">
        <v>0.48948363180114302</v>
      </c>
      <c r="G5184">
        <v>0.22292141997279</v>
      </c>
      <c r="H5184">
        <v>0.143262971229596</v>
      </c>
      <c r="I5184">
        <v>7.5069315844587495E-2</v>
      </c>
      <c r="J5184">
        <v>0.152015265724288</v>
      </c>
      <c r="K5184">
        <v>0.120001885052595</v>
      </c>
      <c r="L5184">
        <v>735.17131047706596</v>
      </c>
      <c r="M5184">
        <v>15.2081729618873</v>
      </c>
      <c r="N5184">
        <v>48.965847688677002</v>
      </c>
      <c r="O5184">
        <v>47.5278445574912</v>
      </c>
      <c r="P5184">
        <v>-7.2942836644282999E-2</v>
      </c>
      <c r="Q5184">
        <v>8.8257609774360493E-2</v>
      </c>
      <c r="R5184">
        <v>0.98429808854378298</v>
      </c>
      <c r="S5184" t="s">
        <v>11752</v>
      </c>
      <c r="T5184" t="s">
        <v>13134</v>
      </c>
      <c r="U5184" t="s">
        <v>13134</v>
      </c>
      <c r="V5184" t="s">
        <v>13134</v>
      </c>
      <c r="W5184" t="s">
        <v>18254</v>
      </c>
      <c r="X5184">
        <v>6</v>
      </c>
      <c r="Y5184" t="s">
        <v>24622</v>
      </c>
      <c r="Z5184" t="s">
        <v>31152</v>
      </c>
      <c r="AA5184">
        <v>0.4523920871622259</v>
      </c>
      <c r="AB5184" t="str">
        <f>HYPERLINK("Melting_Curves/meltCurve_Q96RG2_PASK.pdf", "Melting_Curves/meltCurve_Q96RG2_PASK.pdf")</f>
        <v>Melting_Curves/meltCurve_Q96RG2_PASK.pdf</v>
      </c>
    </row>
    <row r="5185" spans="1:28" x14ac:dyDescent="0.25">
      <c r="A5185" t="s">
        <v>5189</v>
      </c>
      <c r="B5185">
        <v>0.99472303558308395</v>
      </c>
      <c r="C5185">
        <v>0.91631624343162799</v>
      </c>
      <c r="D5185">
        <v>0.83185950280480803</v>
      </c>
      <c r="E5185">
        <v>0.70433076907708803</v>
      </c>
      <c r="F5185">
        <v>0.53686849925785596</v>
      </c>
      <c r="G5185">
        <v>0.35088383577577897</v>
      </c>
      <c r="H5185">
        <v>0.25757719571763199</v>
      </c>
      <c r="I5185">
        <v>0.18894572352870201</v>
      </c>
      <c r="J5185">
        <v>0.31114770549692899</v>
      </c>
      <c r="K5185">
        <v>0.204875968904873</v>
      </c>
      <c r="L5185">
        <v>591.01167075998205</v>
      </c>
      <c r="M5185">
        <v>12.2161264710124</v>
      </c>
      <c r="N5185">
        <v>50.294710640284997</v>
      </c>
      <c r="O5185">
        <v>47.137984714537602</v>
      </c>
      <c r="P5185">
        <v>-5.2751467697184799E-2</v>
      </c>
      <c r="Q5185">
        <v>0.18598136836576001</v>
      </c>
      <c r="R5185">
        <v>0.98255052205133198</v>
      </c>
      <c r="S5185" t="s">
        <v>11753</v>
      </c>
      <c r="T5185" t="s">
        <v>13134</v>
      </c>
      <c r="U5185" t="s">
        <v>13134</v>
      </c>
      <c r="V5185" t="s">
        <v>13134</v>
      </c>
      <c r="W5185" t="s">
        <v>18255</v>
      </c>
      <c r="X5185">
        <v>11</v>
      </c>
      <c r="Y5185" t="s">
        <v>24623</v>
      </c>
      <c r="Z5185" t="s">
        <v>31153</v>
      </c>
      <c r="AA5185">
        <v>0.51913161445901468</v>
      </c>
      <c r="AB5185" t="str">
        <f>HYPERLINK("Melting_Curves/meltCurve_Q96RL1_UIMC1.pdf", "Melting_Curves/meltCurve_Q96RL1_UIMC1.pdf")</f>
        <v>Melting_Curves/meltCurve_Q96RL1_UIMC1.pdf</v>
      </c>
    </row>
    <row r="5186" spans="1:28" x14ac:dyDescent="0.25">
      <c r="A5186" t="s">
        <v>5190</v>
      </c>
      <c r="B5186">
        <v>0.99472303558308395</v>
      </c>
      <c r="C5186">
        <v>1.0058577030654601</v>
      </c>
      <c r="D5186">
        <v>0.79820398521550096</v>
      </c>
      <c r="E5186">
        <v>0.75916332719798596</v>
      </c>
      <c r="F5186">
        <v>0.62822153547670201</v>
      </c>
      <c r="G5186">
        <v>0.29114614864222699</v>
      </c>
      <c r="H5186">
        <v>0.139349078082699</v>
      </c>
      <c r="I5186">
        <v>6.3249591572835995E-2</v>
      </c>
      <c r="J5186">
        <v>8.1651804681806495E-2</v>
      </c>
      <c r="K5186">
        <v>6.5428949956648302E-2</v>
      </c>
      <c r="L5186">
        <v>663.11624400693302</v>
      </c>
      <c r="M5186">
        <v>13.0657143560194</v>
      </c>
      <c r="N5186">
        <v>50.752392468652602</v>
      </c>
      <c r="O5186">
        <v>49.607627060843498</v>
      </c>
      <c r="P5186">
        <v>-6.5856665496824701E-2</v>
      </c>
      <c r="Q5186">
        <v>0</v>
      </c>
      <c r="R5186">
        <v>0.97995426894186399</v>
      </c>
      <c r="S5186" t="s">
        <v>11754</v>
      </c>
      <c r="T5186" t="s">
        <v>13134</v>
      </c>
      <c r="U5186" t="s">
        <v>13134</v>
      </c>
      <c r="V5186" t="s">
        <v>13134</v>
      </c>
      <c r="W5186" t="s">
        <v>18256</v>
      </c>
      <c r="X5186">
        <v>10</v>
      </c>
      <c r="Y5186" t="s">
        <v>24624</v>
      </c>
      <c r="Z5186" t="s">
        <v>31154</v>
      </c>
      <c r="AA5186">
        <v>0.48259033302516308</v>
      </c>
      <c r="AB5186" t="str">
        <f>HYPERLINK("Melting_Curves/meltCurve_Q96RL7_4_VPS13A.pdf", "Melting_Curves/meltCurve_Q96RL7_4_VPS13A.pdf")</f>
        <v>Melting_Curves/meltCurve_Q96RL7_4_VPS13A.pdf</v>
      </c>
    </row>
    <row r="5187" spans="1:28" x14ac:dyDescent="0.25">
      <c r="A5187" t="s">
        <v>5191</v>
      </c>
      <c r="B5187">
        <v>0.99472303558308395</v>
      </c>
      <c r="C5187">
        <v>0.98121563039723803</v>
      </c>
      <c r="D5187">
        <v>0.91268758757981505</v>
      </c>
      <c r="E5187">
        <v>0.71281012808357902</v>
      </c>
      <c r="F5187">
        <v>0.41482751539623203</v>
      </c>
      <c r="G5187">
        <v>0.214390308958539</v>
      </c>
      <c r="H5187">
        <v>0.11809239277841301</v>
      </c>
      <c r="I5187">
        <v>8.4638894798214903E-2</v>
      </c>
      <c r="J5187">
        <v>7.8601909874203596E-2</v>
      </c>
      <c r="K5187">
        <v>7.8567229697168506E-2</v>
      </c>
      <c r="L5187">
        <v>858.344341064015</v>
      </c>
      <c r="M5187">
        <v>17.614060233315801</v>
      </c>
      <c r="N5187">
        <v>49.108843158462101</v>
      </c>
      <c r="O5187">
        <v>48.115544043786002</v>
      </c>
      <c r="P5187">
        <v>-8.5719384348748207E-2</v>
      </c>
      <c r="Q5187">
        <v>6.3427029111783606E-2</v>
      </c>
      <c r="R5187">
        <v>0.999881599606954</v>
      </c>
      <c r="S5187" t="s">
        <v>11755</v>
      </c>
      <c r="T5187" t="s">
        <v>13134</v>
      </c>
      <c r="U5187" t="s">
        <v>13134</v>
      </c>
      <c r="V5187" t="s">
        <v>13134</v>
      </c>
      <c r="W5187" t="s">
        <v>18257</v>
      </c>
      <c r="X5187">
        <v>15</v>
      </c>
      <c r="Y5187" t="s">
        <v>24625</v>
      </c>
      <c r="Z5187" t="s">
        <v>31155</v>
      </c>
      <c r="AA5187">
        <v>0.44514174357914188</v>
      </c>
      <c r="AB5187" t="str">
        <f>HYPERLINK("Melting_Curves/meltCurve_Q96RN5_3_MED15.pdf", "Melting_Curves/meltCurve_Q96RN5_3_MED15.pdf")</f>
        <v>Melting_Curves/meltCurve_Q96RN5_3_MED15.pdf</v>
      </c>
    </row>
    <row r="5188" spans="1:28" x14ac:dyDescent="0.25">
      <c r="A5188" t="s">
        <v>5192</v>
      </c>
      <c r="B5188">
        <v>0.99472303558308395</v>
      </c>
      <c r="C5188">
        <v>0.98957938539027901</v>
      </c>
      <c r="D5188">
        <v>0.98401894782531096</v>
      </c>
      <c r="E5188">
        <v>0.84669186036321498</v>
      </c>
      <c r="F5188">
        <v>0.31553089700008402</v>
      </c>
      <c r="G5188">
        <v>9.2541876165102496E-2</v>
      </c>
      <c r="H5188">
        <v>6.3477340840941004E-2</v>
      </c>
      <c r="I5188">
        <v>4.46672576497417E-2</v>
      </c>
      <c r="J5188">
        <v>5.0254534855562402E-2</v>
      </c>
      <c r="K5188">
        <v>3.9132379484845603E-2</v>
      </c>
      <c r="L5188">
        <v>1659.3412900096801</v>
      </c>
      <c r="M5188">
        <v>33.980420568692097</v>
      </c>
      <c r="N5188">
        <v>48.978550910232897</v>
      </c>
      <c r="O5188">
        <v>48.664069302872001</v>
      </c>
      <c r="P5188">
        <v>-0.16614395281116101</v>
      </c>
      <c r="Q5188">
        <v>4.8250640215657399E-2</v>
      </c>
      <c r="R5188">
        <v>0.99977740918537195</v>
      </c>
      <c r="S5188" t="s">
        <v>11756</v>
      </c>
      <c r="T5188" t="s">
        <v>13134</v>
      </c>
      <c r="U5188" t="s">
        <v>13134</v>
      </c>
      <c r="V5188" t="s">
        <v>13134</v>
      </c>
      <c r="W5188" t="s">
        <v>18258</v>
      </c>
      <c r="X5188">
        <v>28</v>
      </c>
      <c r="Y5188" t="s">
        <v>24626</v>
      </c>
      <c r="Z5188" t="s">
        <v>31156</v>
      </c>
      <c r="AA5188">
        <v>0.42808878856116078</v>
      </c>
      <c r="AB5188" t="str">
        <f>HYPERLINK("Melting_Curves/meltCurve_Q96RP9_GFM1.pdf", "Melting_Curves/meltCurve_Q96RP9_GFM1.pdf")</f>
        <v>Melting_Curves/meltCurve_Q96RP9_GFM1.pdf</v>
      </c>
    </row>
    <row r="5189" spans="1:28" x14ac:dyDescent="0.25">
      <c r="A5189" t="s">
        <v>5193</v>
      </c>
      <c r="B5189">
        <v>0.99472303558308395</v>
      </c>
      <c r="C5189">
        <v>0.87152320076796397</v>
      </c>
      <c r="D5189">
        <v>0.91350377833173002</v>
      </c>
      <c r="E5189">
        <v>0.75463304520632102</v>
      </c>
      <c r="F5189">
        <v>0.45853758987146698</v>
      </c>
      <c r="G5189">
        <v>0.187242748050339</v>
      </c>
      <c r="H5189">
        <v>8.0968707418145699E-2</v>
      </c>
      <c r="I5189">
        <v>8.3249966551181706E-2</v>
      </c>
      <c r="J5189">
        <v>8.8619178148180794E-2</v>
      </c>
      <c r="K5189">
        <v>8.7790093495615798E-2</v>
      </c>
      <c r="L5189">
        <v>897.97816767093605</v>
      </c>
      <c r="M5189">
        <v>18.297355026298199</v>
      </c>
      <c r="N5189">
        <v>49.4039145648035</v>
      </c>
      <c r="O5189">
        <v>48.501997782883102</v>
      </c>
      <c r="P5189">
        <v>-8.8938133250787199E-2</v>
      </c>
      <c r="Q5189">
        <v>5.7027068320343002E-2</v>
      </c>
      <c r="R5189">
        <v>0.98734797204628599</v>
      </c>
      <c r="S5189" t="s">
        <v>11757</v>
      </c>
      <c r="T5189" t="s">
        <v>13134</v>
      </c>
      <c r="U5189" t="s">
        <v>13134</v>
      </c>
      <c r="V5189" t="s">
        <v>13134</v>
      </c>
      <c r="W5189" t="s">
        <v>18259</v>
      </c>
      <c r="X5189">
        <v>3</v>
      </c>
      <c r="Y5189" t="s">
        <v>24627</v>
      </c>
      <c r="Z5189" t="s">
        <v>31157</v>
      </c>
      <c r="AA5189">
        <v>0.45119742934109058</v>
      </c>
      <c r="AB5189" t="str">
        <f>HYPERLINK("Melting_Curves/meltCurve_Q96RR1_PEO1.pdf", "Melting_Curves/meltCurve_Q96RR1_PEO1.pdf")</f>
        <v>Melting_Curves/meltCurve_Q96RR1_PEO1.pdf</v>
      </c>
    </row>
    <row r="5190" spans="1:28" x14ac:dyDescent="0.25">
      <c r="A5190" t="s">
        <v>5194</v>
      </c>
      <c r="B5190">
        <v>0.99472303558308395</v>
      </c>
      <c r="C5190">
        <v>0.96770629303147304</v>
      </c>
      <c r="D5190">
        <v>0.82426127728530496</v>
      </c>
      <c r="E5190">
        <v>0.56169931654162897</v>
      </c>
      <c r="F5190">
        <v>0.287450890939763</v>
      </c>
      <c r="G5190">
        <v>0.115268902167756</v>
      </c>
      <c r="H5190">
        <v>4.9210385756534601E-2</v>
      </c>
      <c r="I5190">
        <v>3.5062175212293198E-2</v>
      </c>
      <c r="J5190">
        <v>6.5734522443950297E-2</v>
      </c>
      <c r="K5190">
        <v>3.4802151153999303E-2</v>
      </c>
      <c r="L5190">
        <v>809.76500409130495</v>
      </c>
      <c r="M5190">
        <v>17.2007318075499</v>
      </c>
      <c r="N5190">
        <v>47.227601268318203</v>
      </c>
      <c r="O5190">
        <v>46.4548703937444</v>
      </c>
      <c r="P5190">
        <v>-9.01076274021652E-2</v>
      </c>
      <c r="Q5190">
        <v>2.6624946840614502E-2</v>
      </c>
      <c r="R5190">
        <v>0.99859415775191496</v>
      </c>
      <c r="S5190" t="s">
        <v>11758</v>
      </c>
      <c r="T5190" t="s">
        <v>13134</v>
      </c>
      <c r="U5190" t="s">
        <v>13134</v>
      </c>
      <c r="V5190" t="s">
        <v>13134</v>
      </c>
      <c r="W5190" t="s">
        <v>18260</v>
      </c>
      <c r="X5190">
        <v>4</v>
      </c>
      <c r="Y5190" t="s">
        <v>24628</v>
      </c>
      <c r="Z5190" t="s">
        <v>31158</v>
      </c>
      <c r="AA5190">
        <v>0.37061432920781517</v>
      </c>
      <c r="AB5190" t="str">
        <f>HYPERLINK("Melting_Curves/meltCurve_Q96RR4_6_CAMKK2.pdf", "Melting_Curves/meltCurve_Q96RR4_6_CAMKK2.pdf")</f>
        <v>Melting_Curves/meltCurve_Q96RR4_6_CAMKK2.pdf</v>
      </c>
    </row>
    <row r="5191" spans="1:28" x14ac:dyDescent="0.25">
      <c r="A5191" t="s">
        <v>5195</v>
      </c>
      <c r="B5191">
        <v>0.99472303558308395</v>
      </c>
      <c r="C5191">
        <v>0.87190374039215401</v>
      </c>
      <c r="D5191">
        <v>0.70969439925401701</v>
      </c>
      <c r="E5191">
        <v>0.460226540731832</v>
      </c>
      <c r="F5191">
        <v>0.29814914566220202</v>
      </c>
      <c r="G5191">
        <v>0.167401463776988</v>
      </c>
      <c r="H5191">
        <v>0.12701462911802</v>
      </c>
      <c r="I5191">
        <v>0.13564808565918601</v>
      </c>
      <c r="J5191">
        <v>0.11542114077837599</v>
      </c>
      <c r="K5191">
        <v>9.88188361036893E-2</v>
      </c>
      <c r="L5191">
        <v>640.05713831745095</v>
      </c>
      <c r="M5191">
        <v>14.1192507734313</v>
      </c>
      <c r="N5191">
        <v>46.025763609979997</v>
      </c>
      <c r="O5191">
        <v>44.451937360764603</v>
      </c>
      <c r="P5191">
        <v>-7.1807577003348097E-2</v>
      </c>
      <c r="Q5191">
        <v>9.5822466132466103E-2</v>
      </c>
      <c r="R5191">
        <v>0.99784479145527805</v>
      </c>
      <c r="S5191" t="s">
        <v>11759</v>
      </c>
      <c r="T5191" t="s">
        <v>13134</v>
      </c>
      <c r="U5191" t="s">
        <v>13134</v>
      </c>
      <c r="V5191" t="s">
        <v>13134</v>
      </c>
      <c r="W5191" t="s">
        <v>18261</v>
      </c>
      <c r="X5191">
        <v>5</v>
      </c>
      <c r="Y5191" t="s">
        <v>24629</v>
      </c>
      <c r="Z5191" t="s">
        <v>31159</v>
      </c>
      <c r="AA5191">
        <v>0.37086234234082549</v>
      </c>
      <c r="AB5191" t="str">
        <f>HYPERLINK("Melting_Curves/meltCurve_Q96RS0_TGS1.pdf", "Melting_Curves/meltCurve_Q96RS0_TGS1.pdf")</f>
        <v>Melting_Curves/meltCurve_Q96RS0_TGS1.pdf</v>
      </c>
    </row>
    <row r="5192" spans="1:28" x14ac:dyDescent="0.25">
      <c r="A5192" t="s">
        <v>5196</v>
      </c>
      <c r="B5192">
        <v>0.99472303558308395</v>
      </c>
      <c r="C5192">
        <v>0.89883840907947599</v>
      </c>
      <c r="D5192">
        <v>0.94290048009705596</v>
      </c>
      <c r="E5192">
        <v>0.77171466914543496</v>
      </c>
      <c r="F5192">
        <v>0.55828713849010503</v>
      </c>
      <c r="G5192">
        <v>0.191656917863194</v>
      </c>
      <c r="H5192">
        <v>6.5042948791386807E-2</v>
      </c>
      <c r="I5192">
        <v>4.0734094567620498E-2</v>
      </c>
      <c r="J5192">
        <v>4.4272111968290798E-2</v>
      </c>
      <c r="K5192">
        <v>4.3071537567880402E-2</v>
      </c>
      <c r="L5192">
        <v>919.18830094501095</v>
      </c>
      <c r="M5192">
        <v>18.336914668185599</v>
      </c>
      <c r="N5192">
        <v>50.178726756412303</v>
      </c>
      <c r="O5192">
        <v>49.542989615874298</v>
      </c>
      <c r="P5192">
        <v>-9.1680693724090906E-2</v>
      </c>
      <c r="Q5192">
        <v>9.2277152967974105E-3</v>
      </c>
      <c r="R5192">
        <v>0.98940828431661998</v>
      </c>
      <c r="S5192" t="s">
        <v>11760</v>
      </c>
      <c r="T5192" t="s">
        <v>13134</v>
      </c>
      <c r="U5192" t="s">
        <v>13134</v>
      </c>
      <c r="V5192" t="s">
        <v>13134</v>
      </c>
      <c r="W5192" t="s">
        <v>18262</v>
      </c>
      <c r="X5192">
        <v>11</v>
      </c>
      <c r="Y5192" t="s">
        <v>24630</v>
      </c>
      <c r="Z5192" t="s">
        <v>31160</v>
      </c>
      <c r="AA5192">
        <v>0.45789711007707778</v>
      </c>
      <c r="AB5192" t="str">
        <f>HYPERLINK("Melting_Curves/meltCurve_Q96RS6_NUDCD1.pdf", "Melting_Curves/meltCurve_Q96RS6_NUDCD1.pdf")</f>
        <v>Melting_Curves/meltCurve_Q96RS6_NUDCD1.pdf</v>
      </c>
    </row>
    <row r="5193" spans="1:28" x14ac:dyDescent="0.25">
      <c r="A5193" t="s">
        <v>5197</v>
      </c>
      <c r="B5193">
        <v>0.99472303558308395</v>
      </c>
      <c r="C5193">
        <v>1.01328169339103</v>
      </c>
      <c r="D5193">
        <v>0.88465431315026599</v>
      </c>
      <c r="E5193">
        <v>0.85515040896735495</v>
      </c>
      <c r="F5193">
        <v>0.55756740485716705</v>
      </c>
      <c r="G5193">
        <v>0.18813600976634401</v>
      </c>
      <c r="H5193">
        <v>9.8034386235046206E-2</v>
      </c>
      <c r="I5193">
        <v>7.0700361330045397E-2</v>
      </c>
      <c r="J5193">
        <v>7.9533522895210901E-2</v>
      </c>
      <c r="K5193">
        <v>6.7052376967440694E-2</v>
      </c>
      <c r="L5193">
        <v>1141.13726817112</v>
      </c>
      <c r="M5193">
        <v>22.742413796379299</v>
      </c>
      <c r="N5193">
        <v>50.438507140298199</v>
      </c>
      <c r="O5193">
        <v>49.793476748188503</v>
      </c>
      <c r="P5193">
        <v>-0.107826819241449</v>
      </c>
      <c r="Q5193">
        <v>5.5690639486526798E-2</v>
      </c>
      <c r="R5193">
        <v>0.99246235909884895</v>
      </c>
      <c r="S5193" t="s">
        <v>11761</v>
      </c>
      <c r="T5193" t="s">
        <v>13134</v>
      </c>
      <c r="U5193" t="s">
        <v>13134</v>
      </c>
      <c r="V5193" t="s">
        <v>13134</v>
      </c>
      <c r="W5193" t="s">
        <v>18263</v>
      </c>
      <c r="X5193">
        <v>18</v>
      </c>
      <c r="Y5193" t="s">
        <v>24631</v>
      </c>
      <c r="Z5193" t="s">
        <v>31161</v>
      </c>
      <c r="AA5193">
        <v>0.48032546630544398</v>
      </c>
      <c r="AB5193" t="str">
        <f>HYPERLINK("Melting_Curves/meltCurve_Q96RT1_9_ERBB2IP.pdf", "Melting_Curves/meltCurve_Q96RT1_9_ERBB2IP.pdf")</f>
        <v>Melting_Curves/meltCurve_Q96RT1_9_ERBB2IP.pdf</v>
      </c>
    </row>
    <row r="5194" spans="1:28" x14ac:dyDescent="0.25">
      <c r="A5194" t="s">
        <v>5198</v>
      </c>
      <c r="B5194">
        <v>0.99472303558308395</v>
      </c>
      <c r="C5194">
        <v>1.1403397485857101</v>
      </c>
      <c r="D5194">
        <v>1.03070294857406</v>
      </c>
      <c r="E5194">
        <v>0.70249876587812399</v>
      </c>
      <c r="F5194">
        <v>0.35286896531235001</v>
      </c>
      <c r="G5194">
        <v>0.21368646750075501</v>
      </c>
      <c r="H5194">
        <v>0.13866673634468599</v>
      </c>
      <c r="I5194">
        <v>0.15325959613096099</v>
      </c>
      <c r="J5194">
        <v>0.157200697930343</v>
      </c>
      <c r="K5194">
        <v>0.16646860466418101</v>
      </c>
      <c r="L5194">
        <v>1360.4702045506201</v>
      </c>
      <c r="M5194">
        <v>28.4314054636191</v>
      </c>
      <c r="N5194">
        <v>48.500773252876598</v>
      </c>
      <c r="O5194">
        <v>47.616117739946603</v>
      </c>
      <c r="P5194">
        <v>-0.12563249764492801</v>
      </c>
      <c r="Q5194">
        <v>0.15838374887190901</v>
      </c>
      <c r="R5194">
        <v>0.98264946390053698</v>
      </c>
      <c r="S5194" t="s">
        <v>11762</v>
      </c>
      <c r="T5194" t="s">
        <v>13134</v>
      </c>
      <c r="U5194" t="s">
        <v>13134</v>
      </c>
      <c r="V5194" t="s">
        <v>13134</v>
      </c>
      <c r="W5194" t="s">
        <v>18264</v>
      </c>
      <c r="X5194">
        <v>5</v>
      </c>
      <c r="Y5194" t="s">
        <v>24632</v>
      </c>
      <c r="Z5194" t="s">
        <v>31162</v>
      </c>
      <c r="AA5194">
        <v>0.46833192970797671</v>
      </c>
      <c r="AB5194" t="str">
        <f>HYPERLINK("Melting_Curves/meltCurve_Q96RU3_4_FNBP1.pdf", "Melting_Curves/meltCurve_Q96RU3_4_FNBP1.pdf")</f>
        <v>Melting_Curves/meltCurve_Q96RU3_4_FNBP1.pdf</v>
      </c>
    </row>
    <row r="5195" spans="1:28" x14ac:dyDescent="0.25">
      <c r="A5195" t="s">
        <v>5199</v>
      </c>
      <c r="B5195">
        <v>0.99472303558308395</v>
      </c>
      <c r="C5195">
        <v>1.02866284469098</v>
      </c>
      <c r="D5195">
        <v>1.11983999646934</v>
      </c>
      <c r="E5195">
        <v>0.887110443831582</v>
      </c>
      <c r="F5195">
        <v>0.47089420429141898</v>
      </c>
      <c r="G5195">
        <v>0.20699908583755999</v>
      </c>
      <c r="H5195">
        <v>0.115297397518035</v>
      </c>
      <c r="I5195">
        <v>9.5747498518794105E-2</v>
      </c>
      <c r="J5195">
        <v>0.10978748526602999</v>
      </c>
      <c r="K5195">
        <v>9.4626133272610796E-2</v>
      </c>
      <c r="L5195">
        <v>1521.8471793025101</v>
      </c>
      <c r="M5195">
        <v>30.6391821592415</v>
      </c>
      <c r="N5195">
        <v>50.049967902766298</v>
      </c>
      <c r="O5195">
        <v>49.459818232920099</v>
      </c>
      <c r="P5195">
        <v>-0.13879882680915401</v>
      </c>
      <c r="Q5195">
        <v>0.103771966231277</v>
      </c>
      <c r="R5195">
        <v>0.98974453591118305</v>
      </c>
      <c r="S5195" t="s">
        <v>11763</v>
      </c>
      <c r="T5195" t="s">
        <v>13134</v>
      </c>
      <c r="U5195" t="s">
        <v>13134</v>
      </c>
      <c r="V5195" t="s">
        <v>13134</v>
      </c>
      <c r="W5195" t="s">
        <v>18265</v>
      </c>
      <c r="X5195">
        <v>3</v>
      </c>
      <c r="Y5195" t="s">
        <v>24633</v>
      </c>
      <c r="Z5195" t="s">
        <v>31163</v>
      </c>
      <c r="AA5195">
        <v>0.48752296006863072</v>
      </c>
      <c r="AB5195" t="str">
        <f>HYPERLINK("Melting_Curves/meltCurve_Q96S19_3_C16orf13.pdf", "Melting_Curves/meltCurve_Q96S19_3_C16orf13.pdf")</f>
        <v>Melting_Curves/meltCurve_Q96S19_3_C16orf13.pdf</v>
      </c>
    </row>
    <row r="5196" spans="1:28" x14ac:dyDescent="0.25">
      <c r="A5196" t="s">
        <v>5200</v>
      </c>
      <c r="B5196">
        <v>0.99472303558308395</v>
      </c>
      <c r="C5196">
        <v>1.0387874030889901</v>
      </c>
      <c r="D5196">
        <v>0.85203443506555898</v>
      </c>
      <c r="E5196">
        <v>0.59004182813218098</v>
      </c>
      <c r="F5196">
        <v>0.27612589252170999</v>
      </c>
      <c r="G5196">
        <v>0.20565850856531301</v>
      </c>
      <c r="H5196">
        <v>0.14342011140758901</v>
      </c>
      <c r="I5196">
        <v>0.10087240784497099</v>
      </c>
      <c r="J5196">
        <v>8.8809805987574403E-2</v>
      </c>
      <c r="K5196">
        <v>6.2214791716951101E-2</v>
      </c>
      <c r="L5196">
        <v>897.77957586760499</v>
      </c>
      <c r="M5196">
        <v>19.0875905219999</v>
      </c>
      <c r="N5196">
        <v>47.536078344524498</v>
      </c>
      <c r="O5196">
        <v>46.527584793274102</v>
      </c>
      <c r="P5196">
        <v>-9.321366776086E-2</v>
      </c>
      <c r="Q5196">
        <v>9.1171272528401598E-2</v>
      </c>
      <c r="R5196">
        <v>0.99379467555255796</v>
      </c>
      <c r="S5196" t="s">
        <v>11764</v>
      </c>
      <c r="T5196" t="s">
        <v>13134</v>
      </c>
      <c r="U5196" t="s">
        <v>13134</v>
      </c>
      <c r="V5196" t="s">
        <v>13134</v>
      </c>
      <c r="W5196" t="s">
        <v>18266</v>
      </c>
      <c r="X5196">
        <v>6</v>
      </c>
      <c r="Y5196" t="s">
        <v>24634</v>
      </c>
      <c r="Z5196" t="s">
        <v>31164</v>
      </c>
      <c r="AA5196">
        <v>0.40819759330784677</v>
      </c>
      <c r="AB5196" t="str">
        <f>HYPERLINK("Melting_Curves/meltCurve_Q96S38_RPS6KC1.pdf", "Melting_Curves/meltCurve_Q96S38_RPS6KC1.pdf")</f>
        <v>Melting_Curves/meltCurve_Q96S38_RPS6KC1.pdf</v>
      </c>
    </row>
    <row r="5197" spans="1:28" x14ac:dyDescent="0.25">
      <c r="A5197" t="s">
        <v>5201</v>
      </c>
      <c r="B5197">
        <v>0.99472303558308395</v>
      </c>
      <c r="C5197">
        <v>1.0362758389311599</v>
      </c>
      <c r="D5197">
        <v>0.97326602835166498</v>
      </c>
      <c r="E5197">
        <v>0.93361537308220999</v>
      </c>
      <c r="F5197">
        <v>0.747075250657946</v>
      </c>
      <c r="G5197">
        <v>0.50917501764903295</v>
      </c>
      <c r="H5197">
        <v>0.33238964780542402</v>
      </c>
      <c r="I5197">
        <v>0.138936925605398</v>
      </c>
      <c r="J5197">
        <v>0.13104831423680599</v>
      </c>
      <c r="K5197">
        <v>0.105472136657202</v>
      </c>
      <c r="L5197">
        <v>852.24425347577903</v>
      </c>
      <c r="M5197">
        <v>15.9087629144849</v>
      </c>
      <c r="N5197">
        <v>54.000390962548899</v>
      </c>
      <c r="O5197">
        <v>52.745721953015199</v>
      </c>
      <c r="P5197">
        <v>-7.0926339471426306E-2</v>
      </c>
      <c r="Q5197">
        <v>5.94464915009403E-2</v>
      </c>
      <c r="R5197">
        <v>0.99659214059058399</v>
      </c>
      <c r="S5197" t="s">
        <v>11765</v>
      </c>
      <c r="T5197" t="s">
        <v>13134</v>
      </c>
      <c r="U5197" t="s">
        <v>13134</v>
      </c>
      <c r="V5197" t="s">
        <v>13134</v>
      </c>
      <c r="W5197" t="s">
        <v>18267</v>
      </c>
      <c r="X5197">
        <v>5</v>
      </c>
      <c r="Y5197" t="s">
        <v>24635</v>
      </c>
      <c r="Z5197" t="s">
        <v>31165</v>
      </c>
      <c r="AA5197">
        <v>0.59410248275246746</v>
      </c>
      <c r="AB5197" t="str">
        <f>HYPERLINK("Melting_Curves/meltCurve_Q96S44_TP53RK.pdf", "Melting_Curves/meltCurve_Q96S44_TP53RK.pdf")</f>
        <v>Melting_Curves/meltCurve_Q96S44_TP53RK.pdf</v>
      </c>
    </row>
    <row r="5198" spans="1:28" x14ac:dyDescent="0.25">
      <c r="A5198" t="s">
        <v>5202</v>
      </c>
      <c r="B5198">
        <v>0.99472303558308395</v>
      </c>
      <c r="C5198">
        <v>0.98201650581828903</v>
      </c>
      <c r="D5198">
        <v>0.76866014903643398</v>
      </c>
      <c r="E5198">
        <v>0.67034650487607705</v>
      </c>
      <c r="F5198">
        <v>0.59258433486774598</v>
      </c>
      <c r="G5198">
        <v>0.21903241118293801</v>
      </c>
      <c r="H5198">
        <v>0.13125922843204399</v>
      </c>
      <c r="I5198">
        <v>7.9962131995160696E-2</v>
      </c>
      <c r="J5198">
        <v>8.0640214514090203E-2</v>
      </c>
      <c r="K5198">
        <v>7.6687532342400402E-2</v>
      </c>
      <c r="L5198">
        <v>581.02793114489202</v>
      </c>
      <c r="M5198">
        <v>11.7032897391422</v>
      </c>
      <c r="N5198">
        <v>49.646564686987801</v>
      </c>
      <c r="O5198">
        <v>48.263491529021501</v>
      </c>
      <c r="P5198">
        <v>-6.0637945131396198E-2</v>
      </c>
      <c r="Q5198">
        <v>0</v>
      </c>
      <c r="R5198">
        <v>0.97466503892284095</v>
      </c>
      <c r="S5198" t="s">
        <v>11766</v>
      </c>
      <c r="T5198" t="s">
        <v>13134</v>
      </c>
      <c r="U5198" t="s">
        <v>13134</v>
      </c>
      <c r="V5198" t="s">
        <v>13134</v>
      </c>
      <c r="W5198" t="s">
        <v>18268</v>
      </c>
      <c r="X5198">
        <v>9</v>
      </c>
      <c r="Y5198" t="s">
        <v>24636</v>
      </c>
      <c r="Z5198" t="s">
        <v>31166</v>
      </c>
      <c r="AA5198">
        <v>0.45105732680453231</v>
      </c>
      <c r="AB5198" t="str">
        <f>HYPERLINK("Melting_Curves/meltCurve_Q96S52_PIGS.pdf", "Melting_Curves/meltCurve_Q96S52_PIGS.pdf")</f>
        <v>Melting_Curves/meltCurve_Q96S52_PIGS.pdf</v>
      </c>
    </row>
    <row r="5199" spans="1:28" x14ac:dyDescent="0.25">
      <c r="A5199" t="s">
        <v>5203</v>
      </c>
      <c r="B5199">
        <v>0.99472303558308395</v>
      </c>
      <c r="C5199">
        <v>0.86038150012937298</v>
      </c>
      <c r="D5199">
        <v>0.72669737793295996</v>
      </c>
      <c r="E5199">
        <v>0.42259773349593799</v>
      </c>
      <c r="F5199">
        <v>0.10563061359329599</v>
      </c>
      <c r="G5199">
        <v>5.1688487211197398E-2</v>
      </c>
      <c r="H5199">
        <v>3.2548550912963402E-2</v>
      </c>
      <c r="I5199">
        <v>2.7640527339500801E-2</v>
      </c>
      <c r="J5199">
        <v>3.5033005961200597E-2</v>
      </c>
      <c r="K5199">
        <v>3.07482937768561E-2</v>
      </c>
      <c r="L5199">
        <v>803.79387754829202</v>
      </c>
      <c r="M5199">
        <v>17.7691083549498</v>
      </c>
      <c r="N5199">
        <v>45.299732268391402</v>
      </c>
      <c r="O5199">
        <v>44.674207947610803</v>
      </c>
      <c r="P5199">
        <v>-9.82045707955507E-2</v>
      </c>
      <c r="Q5199">
        <v>1.2447092219633801E-2</v>
      </c>
      <c r="R5199">
        <v>0.99371839094758296</v>
      </c>
      <c r="S5199" t="s">
        <v>11767</v>
      </c>
      <c r="T5199" t="s">
        <v>13134</v>
      </c>
      <c r="U5199" t="s">
        <v>13134</v>
      </c>
      <c r="V5199" t="s">
        <v>13134</v>
      </c>
      <c r="W5199" t="s">
        <v>18269</v>
      </c>
      <c r="X5199">
        <v>11</v>
      </c>
      <c r="Y5199" t="s">
        <v>24637</v>
      </c>
      <c r="Z5199" t="s">
        <v>31167</v>
      </c>
      <c r="AA5199">
        <v>0.30009647074274992</v>
      </c>
      <c r="AB5199" t="str">
        <f>HYPERLINK("Melting_Curves/meltCurve_Q96S55_2_WRNIP1.pdf", "Melting_Curves/meltCurve_Q96S55_2_WRNIP1.pdf")</f>
        <v>Melting_Curves/meltCurve_Q96S55_2_WRNIP1.pdf</v>
      </c>
    </row>
    <row r="5200" spans="1:28" x14ac:dyDescent="0.25">
      <c r="A5200" t="s">
        <v>5204</v>
      </c>
      <c r="B5200">
        <v>0.99472303558308395</v>
      </c>
      <c r="C5200">
        <v>0.95325110681687897</v>
      </c>
      <c r="D5200">
        <v>0.70560947519813499</v>
      </c>
      <c r="E5200">
        <v>0.59826773970871805</v>
      </c>
      <c r="F5200">
        <v>0.53900837144324598</v>
      </c>
      <c r="G5200">
        <v>0.16644824175745701</v>
      </c>
      <c r="H5200">
        <v>9.96262005224791E-2</v>
      </c>
      <c r="I5200">
        <v>6.9020884710583194E-2</v>
      </c>
      <c r="J5200">
        <v>7.4580061056435595E-2</v>
      </c>
      <c r="K5200">
        <v>7.2147510971409104E-2</v>
      </c>
      <c r="L5200">
        <v>538.96731638214601</v>
      </c>
      <c r="M5200">
        <v>11.141435396236901</v>
      </c>
      <c r="N5200">
        <v>48.375034064627798</v>
      </c>
      <c r="O5200">
        <v>46.8950643989754</v>
      </c>
      <c r="P5200">
        <v>-5.9414642815240198E-2</v>
      </c>
      <c r="Q5200">
        <v>0</v>
      </c>
      <c r="R5200">
        <v>0.96801571094327299</v>
      </c>
      <c r="S5200" t="s">
        <v>11768</v>
      </c>
      <c r="T5200" t="s">
        <v>13134</v>
      </c>
      <c r="U5200" t="s">
        <v>13134</v>
      </c>
      <c r="V5200" t="s">
        <v>13134</v>
      </c>
      <c r="W5200" t="s">
        <v>18270</v>
      </c>
      <c r="X5200">
        <v>13</v>
      </c>
      <c r="Y5200" t="s">
        <v>24638</v>
      </c>
      <c r="Z5200" t="s">
        <v>31168</v>
      </c>
      <c r="AA5200">
        <v>0.41318508615379879</v>
      </c>
      <c r="AB5200" t="str">
        <f>HYPERLINK("Melting_Curves/meltCurve_Q96S59_RANBP9.pdf", "Melting_Curves/meltCurve_Q96S59_RANBP9.pdf")</f>
        <v>Melting_Curves/meltCurve_Q96S59_RANBP9.pdf</v>
      </c>
    </row>
    <row r="5201" spans="1:28" x14ac:dyDescent="0.25">
      <c r="A5201" t="s">
        <v>5205</v>
      </c>
      <c r="B5201">
        <v>0.99472303558308395</v>
      </c>
      <c r="C5201">
        <v>0.942259015977438</v>
      </c>
      <c r="D5201">
        <v>0.92608694566597105</v>
      </c>
      <c r="E5201">
        <v>0.78202826836949901</v>
      </c>
      <c r="F5201">
        <v>0.60200754341469898</v>
      </c>
      <c r="G5201">
        <v>0.43429709033129799</v>
      </c>
      <c r="H5201">
        <v>0.29102552153264999</v>
      </c>
      <c r="I5201">
        <v>0.21459073205500601</v>
      </c>
      <c r="J5201">
        <v>0.26413186839299202</v>
      </c>
      <c r="K5201">
        <v>0.169748635401407</v>
      </c>
      <c r="L5201">
        <v>636.87771875423505</v>
      </c>
      <c r="M5201">
        <v>12.592255238074801</v>
      </c>
      <c r="N5201">
        <v>52.099916613224899</v>
      </c>
      <c r="O5201">
        <v>49.352252892708002</v>
      </c>
      <c r="P5201">
        <v>-5.3976794517504999E-2</v>
      </c>
      <c r="Q5201">
        <v>0.15397417319965301</v>
      </c>
      <c r="R5201">
        <v>0.99421065442126899</v>
      </c>
      <c r="S5201" t="s">
        <v>11769</v>
      </c>
      <c r="T5201" t="s">
        <v>13134</v>
      </c>
      <c r="U5201" t="s">
        <v>13134</v>
      </c>
      <c r="V5201" t="s">
        <v>13134</v>
      </c>
      <c r="W5201" t="s">
        <v>18271</v>
      </c>
      <c r="X5201">
        <v>24</v>
      </c>
      <c r="Y5201" t="s">
        <v>24639</v>
      </c>
      <c r="Z5201" t="s">
        <v>31169</v>
      </c>
      <c r="AA5201">
        <v>0.55843236275310038</v>
      </c>
      <c r="AB5201" t="str">
        <f>HYPERLINK("Melting_Curves/meltCurve_Q96S66_CLCC1.pdf", "Melting_Curves/meltCurve_Q96S66_CLCC1.pdf")</f>
        <v>Melting_Curves/meltCurve_Q96S66_CLCC1.pdf</v>
      </c>
    </row>
    <row r="5202" spans="1:28" x14ac:dyDescent="0.25">
      <c r="A5202" t="s">
        <v>5206</v>
      </c>
      <c r="B5202">
        <v>0.99472303558308395</v>
      </c>
      <c r="C5202">
        <v>1.0036905455121401</v>
      </c>
      <c r="D5202">
        <v>0.91641862348780301</v>
      </c>
      <c r="E5202">
        <v>0.78379985034075506</v>
      </c>
      <c r="F5202">
        <v>0.39015531069804799</v>
      </c>
      <c r="G5202">
        <v>0.17739671627878001</v>
      </c>
      <c r="H5202">
        <v>0.110325615486907</v>
      </c>
      <c r="I5202">
        <v>7.1014319790711405E-2</v>
      </c>
      <c r="J5202">
        <v>8.5827047828162195E-2</v>
      </c>
      <c r="K5202">
        <v>5.4824865576676401E-2</v>
      </c>
      <c r="L5202">
        <v>1071.5027004051999</v>
      </c>
      <c r="M5202">
        <v>21.920205311466201</v>
      </c>
      <c r="N5202">
        <v>49.199600815744198</v>
      </c>
      <c r="O5202">
        <v>48.480591271918897</v>
      </c>
      <c r="P5202">
        <v>-0.105580305488853</v>
      </c>
      <c r="Q5202">
        <v>6.5979586294275194E-2</v>
      </c>
      <c r="R5202">
        <v>0.99818587588687901</v>
      </c>
      <c r="S5202" t="s">
        <v>11770</v>
      </c>
      <c r="T5202" t="s">
        <v>13134</v>
      </c>
      <c r="U5202" t="s">
        <v>13134</v>
      </c>
      <c r="V5202" t="s">
        <v>13134</v>
      </c>
      <c r="W5202" t="s">
        <v>18272</v>
      </c>
      <c r="X5202">
        <v>6</v>
      </c>
      <c r="Y5202" t="s">
        <v>24640</v>
      </c>
      <c r="Z5202" t="s">
        <v>31170</v>
      </c>
      <c r="AA5202">
        <v>0.44628581862854849</v>
      </c>
      <c r="AB5202" t="str">
        <f>HYPERLINK("Melting_Curves/meltCurve_Q96S82_UBL7.pdf", "Melting_Curves/meltCurve_Q96S82_UBL7.pdf")</f>
        <v>Melting_Curves/meltCurve_Q96S82_UBL7.pdf</v>
      </c>
    </row>
    <row r="5203" spans="1:28" x14ac:dyDescent="0.25">
      <c r="A5203" t="s">
        <v>5207</v>
      </c>
      <c r="B5203">
        <v>0.99472303558308395</v>
      </c>
      <c r="C5203">
        <v>1.0045140159456201</v>
      </c>
      <c r="D5203">
        <v>0.87259537756064998</v>
      </c>
      <c r="E5203">
        <v>0.73418413252248504</v>
      </c>
      <c r="F5203">
        <v>0.19680750378081299</v>
      </c>
      <c r="G5203">
        <v>7.1895249666977995E-2</v>
      </c>
      <c r="H5203">
        <v>8.5417836379771794E-2</v>
      </c>
      <c r="I5203">
        <v>2.20244111370771E-2</v>
      </c>
      <c r="J5203">
        <v>2.1008240022515501E-2</v>
      </c>
      <c r="K5203">
        <v>2.7832057186506099E-2</v>
      </c>
      <c r="L5203">
        <v>1430.68234335174</v>
      </c>
      <c r="M5203">
        <v>29.899216843631802</v>
      </c>
      <c r="N5203">
        <v>47.9626390227371</v>
      </c>
      <c r="O5203">
        <v>47.6376441429422</v>
      </c>
      <c r="P5203">
        <v>-0.15159839000769401</v>
      </c>
      <c r="Q5203">
        <v>3.3855369873666399E-2</v>
      </c>
      <c r="R5203">
        <v>0.99218154170455897</v>
      </c>
      <c r="S5203" t="s">
        <v>11771</v>
      </c>
      <c r="T5203" t="s">
        <v>13134</v>
      </c>
      <c r="U5203" t="s">
        <v>13134</v>
      </c>
      <c r="V5203" t="s">
        <v>13134</v>
      </c>
      <c r="W5203" t="s">
        <v>18273</v>
      </c>
      <c r="X5203">
        <v>3</v>
      </c>
      <c r="Y5203" t="s">
        <v>24641</v>
      </c>
      <c r="Z5203" t="s">
        <v>31171</v>
      </c>
      <c r="AA5203">
        <v>0.38902760905788619</v>
      </c>
      <c r="AB5203" t="str">
        <f>HYPERLINK("Melting_Curves/meltCurve_Q96S94_CCNL2.pdf", "Melting_Curves/meltCurve_Q96S94_CCNL2.pdf")</f>
        <v>Melting_Curves/meltCurve_Q96S94_CCNL2.pdf</v>
      </c>
    </row>
    <row r="5204" spans="1:28" x14ac:dyDescent="0.25">
      <c r="A5204" t="s">
        <v>5208</v>
      </c>
      <c r="B5204">
        <v>0.99472303558308395</v>
      </c>
      <c r="C5204">
        <v>0.99276980617606603</v>
      </c>
      <c r="D5204">
        <v>0.89887732088525896</v>
      </c>
      <c r="E5204">
        <v>0.43917239747979597</v>
      </c>
      <c r="F5204">
        <v>0.18038234605758499</v>
      </c>
      <c r="G5204">
        <v>0.10075639788428201</v>
      </c>
      <c r="H5204">
        <v>6.3162237767947202E-2</v>
      </c>
      <c r="I5204">
        <v>5.29026965038654E-2</v>
      </c>
      <c r="J5204">
        <v>5.4967821965908603E-2</v>
      </c>
      <c r="K5204">
        <v>3.9866010401929698E-2</v>
      </c>
      <c r="L5204">
        <v>1223.27020281708</v>
      </c>
      <c r="M5204">
        <v>26.546516104276701</v>
      </c>
      <c r="N5204">
        <v>46.300832157646198</v>
      </c>
      <c r="O5204">
        <v>45.821162991659499</v>
      </c>
      <c r="P5204">
        <v>-0.13623604380216001</v>
      </c>
      <c r="Q5204">
        <v>5.9398101589644099E-2</v>
      </c>
      <c r="R5204">
        <v>0.998383879065733</v>
      </c>
      <c r="S5204" t="s">
        <v>11772</v>
      </c>
      <c r="T5204" t="s">
        <v>13134</v>
      </c>
      <c r="U5204" t="s">
        <v>13134</v>
      </c>
      <c r="V5204" t="s">
        <v>13134</v>
      </c>
      <c r="W5204" t="s">
        <v>18274</v>
      </c>
      <c r="X5204">
        <v>4</v>
      </c>
      <c r="Y5204" t="s">
        <v>24642</v>
      </c>
      <c r="Z5204" t="s">
        <v>31172</v>
      </c>
      <c r="AA5204">
        <v>0.35099454294882781</v>
      </c>
      <c r="AB5204" t="str">
        <f>HYPERLINK("Melting_Curves/meltCurve_Q96S99_PLEKHF1.pdf", "Melting_Curves/meltCurve_Q96S99_PLEKHF1.pdf")</f>
        <v>Melting_Curves/meltCurve_Q96S99_PLEKHF1.pdf</v>
      </c>
    </row>
    <row r="5205" spans="1:28" x14ac:dyDescent="0.25">
      <c r="A5205" t="s">
        <v>5209</v>
      </c>
      <c r="B5205">
        <v>0.99472303558308395</v>
      </c>
      <c r="C5205">
        <v>0.95990315986108998</v>
      </c>
      <c r="D5205">
        <v>0.78670159690627495</v>
      </c>
      <c r="E5205">
        <v>0.71709039856493095</v>
      </c>
      <c r="F5205">
        <v>0.51242296788613095</v>
      </c>
      <c r="G5205">
        <v>0.15062740528389301</v>
      </c>
      <c r="H5205">
        <v>0.103267102862913</v>
      </c>
      <c r="I5205">
        <v>7.4800284839152797E-2</v>
      </c>
      <c r="J5205">
        <v>0.105457279961313</v>
      </c>
      <c r="K5205">
        <v>8.92425825959174E-2</v>
      </c>
      <c r="L5205">
        <v>705.56186489052197</v>
      </c>
      <c r="M5205">
        <v>14.4326185758395</v>
      </c>
      <c r="N5205">
        <v>49.153767453791602</v>
      </c>
      <c r="O5205">
        <v>47.976826180405702</v>
      </c>
      <c r="P5205">
        <v>-7.2377771050452802E-2</v>
      </c>
      <c r="Q5205">
        <v>3.7722063316719498E-2</v>
      </c>
      <c r="R5205">
        <v>0.97805484228688599</v>
      </c>
      <c r="S5205" t="s">
        <v>11773</v>
      </c>
      <c r="T5205" t="s">
        <v>13134</v>
      </c>
      <c r="U5205" t="s">
        <v>13134</v>
      </c>
      <c r="V5205" t="s">
        <v>13134</v>
      </c>
      <c r="W5205" t="s">
        <v>18275</v>
      </c>
      <c r="X5205">
        <v>17</v>
      </c>
      <c r="Y5205" t="s">
        <v>24643</v>
      </c>
      <c r="Z5205" t="s">
        <v>31173</v>
      </c>
      <c r="AA5205">
        <v>0.44104572115986218</v>
      </c>
      <c r="AB5205" t="str">
        <f>HYPERLINK("Melting_Curves/meltCurve_Q96SB8_SMC6.pdf", "Melting_Curves/meltCurve_Q96SB8_SMC6.pdf")</f>
        <v>Melting_Curves/meltCurve_Q96SB8_SMC6.pdf</v>
      </c>
    </row>
    <row r="5206" spans="1:28" x14ac:dyDescent="0.25">
      <c r="A5206" t="s">
        <v>5210</v>
      </c>
      <c r="B5206">
        <v>0.99472303558308395</v>
      </c>
      <c r="C5206">
        <v>0.98515888401756901</v>
      </c>
      <c r="D5206">
        <v>1.0835159431311301</v>
      </c>
      <c r="E5206">
        <v>0.84747040350967295</v>
      </c>
      <c r="F5206">
        <v>0.754577217795671</v>
      </c>
      <c r="G5206">
        <v>0.55474527763804304</v>
      </c>
      <c r="H5206">
        <v>0.35886456298982999</v>
      </c>
      <c r="I5206">
        <v>0.29510811206250098</v>
      </c>
      <c r="J5206">
        <v>0.372288080906028</v>
      </c>
      <c r="K5206">
        <v>0.15520661374348901</v>
      </c>
      <c r="L5206">
        <v>793.738874780571</v>
      </c>
      <c r="M5206">
        <v>15.0701951759783</v>
      </c>
      <c r="N5206">
        <v>54.6584901046404</v>
      </c>
      <c r="O5206">
        <v>51.768147152157603</v>
      </c>
      <c r="P5206">
        <v>-5.7422230528866802E-2</v>
      </c>
      <c r="Q5206">
        <v>0.21106592305217201</v>
      </c>
      <c r="R5206">
        <v>0.96445849550874396</v>
      </c>
      <c r="S5206" t="s">
        <v>11774</v>
      </c>
      <c r="T5206" t="s">
        <v>13134</v>
      </c>
      <c r="U5206" t="s">
        <v>13134</v>
      </c>
      <c r="V5206" t="s">
        <v>13134</v>
      </c>
      <c r="W5206" t="s">
        <v>18276</v>
      </c>
      <c r="X5206">
        <v>3</v>
      </c>
      <c r="Y5206" t="s">
        <v>24644</v>
      </c>
      <c r="Z5206" t="s">
        <v>31174</v>
      </c>
      <c r="AA5206">
        <v>0.63751404928300448</v>
      </c>
      <c r="AB5206" t="str">
        <f>HYPERLINK("Melting_Curves/meltCurve_Q96SI1_KCTD15.pdf", "Melting_Curves/meltCurve_Q96SI1_KCTD15.pdf")</f>
        <v>Melting_Curves/meltCurve_Q96SI1_KCTD15.pdf</v>
      </c>
    </row>
    <row r="5207" spans="1:28" x14ac:dyDescent="0.25">
      <c r="A5207" t="s">
        <v>5211</v>
      </c>
      <c r="B5207">
        <v>0.99472303558308395</v>
      </c>
      <c r="C5207">
        <v>0.96310427078346295</v>
      </c>
      <c r="D5207">
        <v>0.75522784972488299</v>
      </c>
      <c r="E5207">
        <v>0.63913863420643402</v>
      </c>
      <c r="F5207">
        <v>0.50078421707207199</v>
      </c>
      <c r="G5207">
        <v>0.12504293483337101</v>
      </c>
      <c r="H5207">
        <v>6.8001992862603305E-2</v>
      </c>
      <c r="I5207">
        <v>3.6878395069572897E-2</v>
      </c>
      <c r="J5207">
        <v>4.4541606877296101E-2</v>
      </c>
      <c r="K5207">
        <v>4.4829763221075403E-2</v>
      </c>
      <c r="L5207">
        <v>647.47651070519601</v>
      </c>
      <c r="M5207">
        <v>13.363219372560501</v>
      </c>
      <c r="N5207">
        <v>48.452135171040801</v>
      </c>
      <c r="O5207">
        <v>47.405684033018801</v>
      </c>
      <c r="P5207">
        <v>-7.0483847548606898E-2</v>
      </c>
      <c r="Q5207">
        <v>0</v>
      </c>
      <c r="R5207">
        <v>0.97783831633263596</v>
      </c>
      <c r="S5207" t="s">
        <v>11775</v>
      </c>
      <c r="T5207" t="s">
        <v>13134</v>
      </c>
      <c r="U5207" t="s">
        <v>13134</v>
      </c>
      <c r="V5207" t="s">
        <v>13134</v>
      </c>
      <c r="W5207" t="s">
        <v>18277</v>
      </c>
      <c r="X5207">
        <v>4</v>
      </c>
      <c r="Y5207" t="s">
        <v>24645</v>
      </c>
      <c r="Z5207" t="s">
        <v>31175</v>
      </c>
      <c r="AA5207">
        <v>0.4078905162762167</v>
      </c>
      <c r="AB5207" t="str">
        <f>HYPERLINK("Melting_Curves/meltCurve_Q96SK2_2_TMEM209.pdf", "Melting_Curves/meltCurve_Q96SK2_2_TMEM209.pdf")</f>
        <v>Melting_Curves/meltCurve_Q96SK2_2_TMEM209.pdf</v>
      </c>
    </row>
    <row r="5208" spans="1:28" x14ac:dyDescent="0.25">
      <c r="A5208" t="s">
        <v>5212</v>
      </c>
      <c r="B5208">
        <v>0.99472303558308395</v>
      </c>
      <c r="C5208">
        <v>0.92954906048619201</v>
      </c>
      <c r="D5208">
        <v>0.97696783828780098</v>
      </c>
      <c r="E5208">
        <v>0.88302426158408998</v>
      </c>
      <c r="F5208">
        <v>0.69730116261295405</v>
      </c>
      <c r="G5208">
        <v>0.56877374581213402</v>
      </c>
      <c r="H5208">
        <v>0.46013136719905701</v>
      </c>
      <c r="I5208">
        <v>0.33853900280440202</v>
      </c>
      <c r="J5208">
        <v>0.29925197665235498</v>
      </c>
      <c r="K5208">
        <v>0.27344761925745498</v>
      </c>
      <c r="L5208">
        <v>603.78086697126696</v>
      </c>
      <c r="M5208">
        <v>11.3912448064124</v>
      </c>
      <c r="N5208">
        <v>55.565664116108799</v>
      </c>
      <c r="O5208">
        <v>51.449309802091797</v>
      </c>
      <c r="P5208">
        <v>-4.4057962903749998E-2</v>
      </c>
      <c r="Q5208">
        <v>0.204271795137066</v>
      </c>
      <c r="R5208">
        <v>0.99301051651018502</v>
      </c>
      <c r="S5208" t="s">
        <v>11776</v>
      </c>
      <c r="T5208" t="s">
        <v>13134</v>
      </c>
      <c r="U5208" t="s">
        <v>13134</v>
      </c>
      <c r="V5208" t="s">
        <v>13134</v>
      </c>
      <c r="W5208" t="s">
        <v>18278</v>
      </c>
      <c r="X5208">
        <v>2</v>
      </c>
      <c r="Y5208" t="s">
        <v>24646</v>
      </c>
      <c r="Z5208" t="s">
        <v>31176</v>
      </c>
      <c r="AA5208">
        <v>0.64594144301026468</v>
      </c>
      <c r="AB5208" t="str">
        <f>HYPERLINK("Melting_Curves/meltCurve_Q96SQ9_CYP2S1.pdf", "Melting_Curves/meltCurve_Q96SQ9_CYP2S1.pdf")</f>
        <v>Melting_Curves/meltCurve_Q96SQ9_CYP2S1.pdf</v>
      </c>
    </row>
    <row r="5209" spans="1:28" x14ac:dyDescent="0.25">
      <c r="A5209" t="s">
        <v>5213</v>
      </c>
      <c r="B5209">
        <v>0.99472303558308395</v>
      </c>
      <c r="C5209">
        <v>1.01769584218721</v>
      </c>
      <c r="D5209">
        <v>0.95545119881747498</v>
      </c>
      <c r="E5209">
        <v>0.623474953760773</v>
      </c>
      <c r="F5209">
        <v>0.27059758850312099</v>
      </c>
      <c r="G5209">
        <v>0.142413230494226</v>
      </c>
      <c r="H5209">
        <v>0.101474165456176</v>
      </c>
      <c r="I5209">
        <v>9.5846395295693207E-2</v>
      </c>
      <c r="J5209">
        <v>0.115596113061848</v>
      </c>
      <c r="K5209">
        <v>0.10542362601046799</v>
      </c>
      <c r="L5209">
        <v>1256.4641655417599</v>
      </c>
      <c r="M5209">
        <v>26.588775674176699</v>
      </c>
      <c r="N5209">
        <v>47.674248762679397</v>
      </c>
      <c r="O5209">
        <v>46.990568889467902</v>
      </c>
      <c r="P5209">
        <v>-0.12672542434341399</v>
      </c>
      <c r="Q5209">
        <v>0.104157968490504</v>
      </c>
      <c r="R5209">
        <v>0.99903003584658201</v>
      </c>
      <c r="S5209" t="s">
        <v>11777</v>
      </c>
      <c r="T5209" t="s">
        <v>13134</v>
      </c>
      <c r="U5209" t="s">
        <v>13134</v>
      </c>
      <c r="V5209" t="s">
        <v>13134</v>
      </c>
      <c r="W5209" t="s">
        <v>18279</v>
      </c>
      <c r="X5209">
        <v>11</v>
      </c>
      <c r="Y5209" t="s">
        <v>24647</v>
      </c>
      <c r="Z5209" t="s">
        <v>31177</v>
      </c>
      <c r="AA5209">
        <v>0.41707258773822542</v>
      </c>
      <c r="AB5209" t="str">
        <f>HYPERLINK("Melting_Curves/meltCurve_Q96ST2_3_IWS1.pdf", "Melting_Curves/meltCurve_Q96ST2_3_IWS1.pdf")</f>
        <v>Melting_Curves/meltCurve_Q96ST2_3_IWS1.pdf</v>
      </c>
    </row>
    <row r="5210" spans="1:28" x14ac:dyDescent="0.25">
      <c r="A5210" t="s">
        <v>5214</v>
      </c>
      <c r="B5210">
        <v>0.99472303558308395</v>
      </c>
      <c r="C5210">
        <v>0.80032131259280603</v>
      </c>
      <c r="D5210">
        <v>0.59204695269205698</v>
      </c>
      <c r="E5210">
        <v>0.27711130528517802</v>
      </c>
      <c r="F5210">
        <v>9.2283312722815494E-2</v>
      </c>
      <c r="G5210">
        <v>5.5382805964556497E-2</v>
      </c>
      <c r="H5210">
        <v>3.1389475128533101E-2</v>
      </c>
      <c r="I5210">
        <v>2.4203366800380599E-2</v>
      </c>
      <c r="J5210">
        <v>2.8829242304846299E-2</v>
      </c>
      <c r="K5210">
        <v>2.3202900255542201E-2</v>
      </c>
      <c r="L5210">
        <v>744.98588825946604</v>
      </c>
      <c r="M5210">
        <v>17.0484790369309</v>
      </c>
      <c r="N5210">
        <v>43.783943965964802</v>
      </c>
      <c r="O5210">
        <v>43.110154662207101</v>
      </c>
      <c r="P5210">
        <v>-9.7246471458744002E-2</v>
      </c>
      <c r="Q5210">
        <v>1.6439420822062501E-2</v>
      </c>
      <c r="R5210">
        <v>0.99696054210537599</v>
      </c>
      <c r="S5210" t="s">
        <v>11778</v>
      </c>
      <c r="T5210" t="s">
        <v>13134</v>
      </c>
      <c r="U5210" t="s">
        <v>13134</v>
      </c>
      <c r="V5210" t="s">
        <v>13134</v>
      </c>
      <c r="W5210" t="s">
        <v>18280</v>
      </c>
      <c r="X5210">
        <v>21</v>
      </c>
      <c r="Y5210" t="s">
        <v>24648</v>
      </c>
      <c r="Z5210" t="s">
        <v>31178</v>
      </c>
      <c r="AA5210">
        <v>0.25492416386716971</v>
      </c>
      <c r="AB5210" t="str">
        <f>HYPERLINK("Melting_Curves/meltCurve_Q96ST3_SIN3A.pdf", "Melting_Curves/meltCurve_Q96ST3_SIN3A.pdf")</f>
        <v>Melting_Curves/meltCurve_Q96ST3_SIN3A.pdf</v>
      </c>
    </row>
    <row r="5211" spans="1:28" x14ac:dyDescent="0.25">
      <c r="A5211" t="s">
        <v>5215</v>
      </c>
      <c r="B5211">
        <v>0.99472303558308395</v>
      </c>
      <c r="C5211">
        <v>1.00097491614761</v>
      </c>
      <c r="D5211">
        <v>0.99165608871034305</v>
      </c>
      <c r="E5211">
        <v>0.87365043207814996</v>
      </c>
      <c r="F5211">
        <v>0.63362655600005502</v>
      </c>
      <c r="G5211">
        <v>0.48673117322947301</v>
      </c>
      <c r="H5211">
        <v>0.314592433708482</v>
      </c>
      <c r="I5211">
        <v>0.26321627324667002</v>
      </c>
      <c r="J5211">
        <v>0.21244449241901001</v>
      </c>
      <c r="K5211">
        <v>0.10891476143468801</v>
      </c>
      <c r="L5211">
        <v>699.32199690213395</v>
      </c>
      <c r="M5211">
        <v>13.377817784011199</v>
      </c>
      <c r="N5211">
        <v>53.316891033843703</v>
      </c>
      <c r="O5211">
        <v>51.148109715043198</v>
      </c>
      <c r="P5211">
        <v>-5.7874159217442198E-2</v>
      </c>
      <c r="Q5211">
        <v>0.11504667159564599</v>
      </c>
      <c r="R5211">
        <v>0.99244827989391005</v>
      </c>
      <c r="S5211" t="s">
        <v>11779</v>
      </c>
      <c r="T5211" t="s">
        <v>13134</v>
      </c>
      <c r="U5211" t="s">
        <v>13134</v>
      </c>
      <c r="V5211" t="s">
        <v>13134</v>
      </c>
      <c r="W5211" t="s">
        <v>18281</v>
      </c>
      <c r="X5211">
        <v>12</v>
      </c>
      <c r="Y5211" t="s">
        <v>24649</v>
      </c>
      <c r="Z5211" t="s">
        <v>31179</v>
      </c>
      <c r="AA5211">
        <v>0.5843098916251489</v>
      </c>
      <c r="AB5211" t="str">
        <f>HYPERLINK("Melting_Curves/meltCurve_Q96SZ5_ADO.pdf", "Melting_Curves/meltCurve_Q96SZ5_ADO.pdf")</f>
        <v>Melting_Curves/meltCurve_Q96SZ5_ADO.pdf</v>
      </c>
    </row>
    <row r="5212" spans="1:28" x14ac:dyDescent="0.25">
      <c r="A5212" t="s">
        <v>5216</v>
      </c>
      <c r="B5212">
        <v>0.99472303558308395</v>
      </c>
      <c r="C5212">
        <v>0.92383044027665195</v>
      </c>
      <c r="D5212">
        <v>0.80250399310323905</v>
      </c>
      <c r="E5212">
        <v>0.58599525182666101</v>
      </c>
      <c r="F5212">
        <v>0.359786818453327</v>
      </c>
      <c r="G5212">
        <v>0.20407616078058199</v>
      </c>
      <c r="H5212">
        <v>0.11548380523853501</v>
      </c>
      <c r="I5212">
        <v>7.8158283762946895E-2</v>
      </c>
      <c r="J5212">
        <v>9.1325811978771806E-2</v>
      </c>
      <c r="K5212">
        <v>6.23623918926507E-2</v>
      </c>
      <c r="L5212">
        <v>639.33151191303</v>
      </c>
      <c r="M5212">
        <v>13.4713452136155</v>
      </c>
      <c r="N5212">
        <v>47.782953416228999</v>
      </c>
      <c r="O5212">
        <v>46.449433102063303</v>
      </c>
      <c r="P5212">
        <v>-6.9348262510628006E-2</v>
      </c>
      <c r="Q5212">
        <v>4.3690768488366102E-2</v>
      </c>
      <c r="R5212">
        <v>0.99912892588878</v>
      </c>
      <c r="S5212" t="s">
        <v>11780</v>
      </c>
      <c r="T5212" t="s">
        <v>13134</v>
      </c>
      <c r="U5212" t="s">
        <v>13134</v>
      </c>
      <c r="V5212" t="s">
        <v>13134</v>
      </c>
      <c r="W5212" t="s">
        <v>18282</v>
      </c>
      <c r="X5212">
        <v>19</v>
      </c>
      <c r="Y5212" t="s">
        <v>24650</v>
      </c>
      <c r="Z5212" t="s">
        <v>31180</v>
      </c>
      <c r="AA5212">
        <v>0.40265361500702762</v>
      </c>
      <c r="AB5212" t="str">
        <f>HYPERLINK("Melting_Curves/meltCurve_Q96SZ6_2_CDK5RAP1.pdf", "Melting_Curves/meltCurve_Q96SZ6_2_CDK5RAP1.pdf")</f>
        <v>Melting_Curves/meltCurve_Q96SZ6_2_CDK5RAP1.pdf</v>
      </c>
    </row>
    <row r="5213" spans="1:28" x14ac:dyDescent="0.25">
      <c r="A5213" t="s">
        <v>5217</v>
      </c>
      <c r="B5213">
        <v>0.99472303558308395</v>
      </c>
      <c r="C5213">
        <v>0.87135976468210397</v>
      </c>
      <c r="D5213">
        <v>0.79398999210429</v>
      </c>
      <c r="E5213">
        <v>0.46810502758696798</v>
      </c>
      <c r="F5213">
        <v>0.29253753559801399</v>
      </c>
      <c r="G5213">
        <v>0.123170918168461</v>
      </c>
      <c r="H5213">
        <v>9.9597379378692993E-2</v>
      </c>
      <c r="I5213">
        <v>7.5541138695200294E-2</v>
      </c>
      <c r="J5213">
        <v>0.10190083384679401</v>
      </c>
      <c r="K5213">
        <v>8.3007352766475306E-2</v>
      </c>
      <c r="L5213">
        <v>716.22540639746398</v>
      </c>
      <c r="M5213">
        <v>15.581208213658901</v>
      </c>
      <c r="N5213">
        <v>46.399476476823999</v>
      </c>
      <c r="O5213">
        <v>45.230049681107197</v>
      </c>
      <c r="P5213">
        <v>-8.0311430804823003E-2</v>
      </c>
      <c r="Q5213">
        <v>6.7550099566619795E-2</v>
      </c>
      <c r="R5213">
        <v>0.99465806396512702</v>
      </c>
      <c r="S5213" t="s">
        <v>11781</v>
      </c>
      <c r="T5213" t="s">
        <v>13134</v>
      </c>
      <c r="U5213" t="s">
        <v>13134</v>
      </c>
      <c r="V5213" t="s">
        <v>13134</v>
      </c>
      <c r="W5213" t="s">
        <v>18283</v>
      </c>
      <c r="X5213">
        <v>20</v>
      </c>
      <c r="Y5213" t="s">
        <v>24651</v>
      </c>
      <c r="Z5213" t="s">
        <v>31181</v>
      </c>
      <c r="AA5213">
        <v>0.36628199200019251</v>
      </c>
      <c r="AB5213" t="str">
        <f>HYPERLINK("Melting_Curves/meltCurve_Q96T37_2_RBM15.pdf", "Melting_Curves/meltCurve_Q96T37_2_RBM15.pdf")</f>
        <v>Melting_Curves/meltCurve_Q96T37_2_RBM15.pdf</v>
      </c>
    </row>
    <row r="5214" spans="1:28" x14ac:dyDescent="0.25">
      <c r="A5214" t="s">
        <v>5218</v>
      </c>
      <c r="B5214">
        <v>0.99472303558308395</v>
      </c>
      <c r="C5214">
        <v>0.95888833918463201</v>
      </c>
      <c r="D5214">
        <v>0.85529647433703804</v>
      </c>
      <c r="E5214">
        <v>0.434240545640043</v>
      </c>
      <c r="F5214">
        <v>0.17134098795296701</v>
      </c>
      <c r="G5214">
        <v>9.4316550578176797E-2</v>
      </c>
      <c r="H5214">
        <v>6.2722496591269994E-2</v>
      </c>
      <c r="I5214">
        <v>4.3694597188846399E-2</v>
      </c>
      <c r="J5214">
        <v>5.0286154126759797E-2</v>
      </c>
      <c r="K5214">
        <v>4.6262550533463301E-2</v>
      </c>
      <c r="L5214">
        <v>1079.1272431284699</v>
      </c>
      <c r="M5214">
        <v>23.4966779467651</v>
      </c>
      <c r="N5214">
        <v>46.138663059669597</v>
      </c>
      <c r="O5214">
        <v>45.598017640592197</v>
      </c>
      <c r="P5214">
        <v>-0.122239320881547</v>
      </c>
      <c r="Q5214">
        <v>5.1138239606201799E-2</v>
      </c>
      <c r="R5214">
        <v>0.99936307277446801</v>
      </c>
      <c r="S5214" t="s">
        <v>11782</v>
      </c>
      <c r="T5214" t="s">
        <v>13134</v>
      </c>
      <c r="U5214" t="s">
        <v>13134</v>
      </c>
      <c r="V5214" t="s">
        <v>13134</v>
      </c>
      <c r="W5214" t="s">
        <v>18284</v>
      </c>
      <c r="X5214">
        <v>23</v>
      </c>
      <c r="Y5214" t="s">
        <v>24652</v>
      </c>
      <c r="Z5214" t="s">
        <v>31182</v>
      </c>
      <c r="AA5214">
        <v>0.34240368251401643</v>
      </c>
      <c r="AB5214" t="str">
        <f>HYPERLINK("Melting_Curves/meltCurve_Q96T51_RUFY1.pdf", "Melting_Curves/meltCurve_Q96T51_RUFY1.pdf")</f>
        <v>Melting_Curves/meltCurve_Q96T51_RUFY1.pdf</v>
      </c>
    </row>
    <row r="5215" spans="1:28" x14ac:dyDescent="0.25">
      <c r="A5215" t="s">
        <v>5219</v>
      </c>
      <c r="B5215">
        <v>0.99472303558308395</v>
      </c>
      <c r="C5215">
        <v>0.90413277301022499</v>
      </c>
      <c r="D5215">
        <v>0.850655532521983</v>
      </c>
      <c r="E5215">
        <v>0.72192343080492305</v>
      </c>
      <c r="F5215">
        <v>0.55013823185643096</v>
      </c>
      <c r="G5215">
        <v>0.38828989515356899</v>
      </c>
      <c r="H5215">
        <v>0.25703900663492601</v>
      </c>
      <c r="I5215">
        <v>0.220315618005062</v>
      </c>
      <c r="J5215">
        <v>0.27396594055072898</v>
      </c>
      <c r="K5215">
        <v>0.22297457663440501</v>
      </c>
      <c r="L5215">
        <v>573.68930520644699</v>
      </c>
      <c r="M5215">
        <v>11.735551330990001</v>
      </c>
      <c r="N5215">
        <v>50.815176894698098</v>
      </c>
      <c r="O5215">
        <v>47.5300467550124</v>
      </c>
      <c r="P5215">
        <v>-5.0638431242372398E-2</v>
      </c>
      <c r="Q5215">
        <v>0.17985457666941401</v>
      </c>
      <c r="R5215">
        <v>0.99031516106457096</v>
      </c>
      <c r="S5215" t="s">
        <v>11783</v>
      </c>
      <c r="T5215" t="s">
        <v>13134</v>
      </c>
      <c r="U5215" t="s">
        <v>13134</v>
      </c>
      <c r="V5215" t="s">
        <v>13134</v>
      </c>
      <c r="W5215" t="s">
        <v>18285</v>
      </c>
      <c r="X5215">
        <v>5</v>
      </c>
      <c r="Y5215" t="s">
        <v>24653</v>
      </c>
      <c r="Z5215" t="s">
        <v>31183</v>
      </c>
      <c r="AA5215">
        <v>0.530027293788913</v>
      </c>
      <c r="AB5215" t="str">
        <f>HYPERLINK("Melting_Curves/meltCurve_Q96T58_SPEN.pdf", "Melting_Curves/meltCurve_Q96T58_SPEN.pdf")</f>
        <v>Melting_Curves/meltCurve_Q96T58_SPEN.pdf</v>
      </c>
    </row>
    <row r="5216" spans="1:28" x14ac:dyDescent="0.25">
      <c r="A5216" t="s">
        <v>5220</v>
      </c>
      <c r="B5216">
        <v>0.99472303558308395</v>
      </c>
      <c r="C5216">
        <v>0.95499356402221203</v>
      </c>
      <c r="D5216">
        <v>0.95350938846952105</v>
      </c>
      <c r="E5216">
        <v>0.72655907624845195</v>
      </c>
      <c r="F5216">
        <v>0.25164516382677099</v>
      </c>
      <c r="G5216">
        <v>0.116810276677605</v>
      </c>
      <c r="H5216">
        <v>8.3409557125693201E-2</v>
      </c>
      <c r="I5216">
        <v>4.56126362697944E-2</v>
      </c>
      <c r="J5216">
        <v>7.0196687207687805E-2</v>
      </c>
      <c r="K5216">
        <v>5.2222183211804003E-2</v>
      </c>
      <c r="L5216">
        <v>1381.8849838525</v>
      </c>
      <c r="M5216">
        <v>28.816287026909102</v>
      </c>
      <c r="N5216">
        <v>48.175926770477801</v>
      </c>
      <c r="O5216">
        <v>47.725832522019402</v>
      </c>
      <c r="P5216">
        <v>-0.14160571089026</v>
      </c>
      <c r="Q5216">
        <v>6.1891805243752401E-2</v>
      </c>
      <c r="R5216">
        <v>0.99804585375611898</v>
      </c>
      <c r="S5216" t="s">
        <v>11784</v>
      </c>
      <c r="T5216" t="s">
        <v>13134</v>
      </c>
      <c r="U5216" t="s">
        <v>13134</v>
      </c>
      <c r="V5216" t="s">
        <v>13134</v>
      </c>
      <c r="W5216" t="s">
        <v>18286</v>
      </c>
      <c r="X5216">
        <v>12</v>
      </c>
      <c r="Y5216" t="s">
        <v>24654</v>
      </c>
      <c r="Z5216" t="s">
        <v>31184</v>
      </c>
      <c r="AA5216">
        <v>0.41047598779112482</v>
      </c>
      <c r="AB5216" t="str">
        <f>HYPERLINK("Melting_Curves/meltCurve_Q96T60_PNKP.pdf", "Melting_Curves/meltCurve_Q96T60_PNKP.pdf")</f>
        <v>Melting_Curves/meltCurve_Q96T60_PNKP.pdf</v>
      </c>
    </row>
    <row r="5217" spans="1:28" x14ac:dyDescent="0.25">
      <c r="A5217" t="s">
        <v>5221</v>
      </c>
      <c r="B5217">
        <v>0.99472303558308395</v>
      </c>
      <c r="C5217">
        <v>0.80919512686165895</v>
      </c>
      <c r="D5217">
        <v>0.70916050204084602</v>
      </c>
      <c r="E5217">
        <v>0.41968675721490001</v>
      </c>
      <c r="F5217">
        <v>0.14545804333019</v>
      </c>
      <c r="G5217">
        <v>7.5819257857988903E-2</v>
      </c>
      <c r="H5217">
        <v>4.3611980524767301E-2</v>
      </c>
      <c r="I5217">
        <v>3.4898977505605597E-2</v>
      </c>
      <c r="J5217">
        <v>3.3538965961690002E-2</v>
      </c>
      <c r="K5217">
        <v>3.0482757351106199E-2</v>
      </c>
      <c r="L5217">
        <v>682.84959971709895</v>
      </c>
      <c r="M5217">
        <v>15.1347588637064</v>
      </c>
      <c r="N5217">
        <v>45.181726307934802</v>
      </c>
      <c r="O5217">
        <v>44.3522831941196</v>
      </c>
      <c r="P5217">
        <v>-8.4416847155128497E-2</v>
      </c>
      <c r="Q5217">
        <v>1.0565124223457401E-2</v>
      </c>
      <c r="R5217">
        <v>0.99226802173277595</v>
      </c>
      <c r="S5217" t="s">
        <v>11785</v>
      </c>
      <c r="T5217" t="s">
        <v>13134</v>
      </c>
      <c r="U5217" t="s">
        <v>13134</v>
      </c>
      <c r="V5217" t="s">
        <v>13134</v>
      </c>
      <c r="W5217" t="s">
        <v>18287</v>
      </c>
      <c r="X5217">
        <v>10</v>
      </c>
      <c r="Y5217" t="s">
        <v>24655</v>
      </c>
      <c r="Z5217" t="s">
        <v>31185</v>
      </c>
      <c r="AA5217">
        <v>0.30133019785110199</v>
      </c>
      <c r="AB5217" t="str">
        <f>HYPERLINK("Melting_Curves/meltCurve_Q96T76_MMS19.pdf", "Melting_Curves/meltCurve_Q96T76_MMS19.pdf")</f>
        <v>Melting_Curves/meltCurve_Q96T76_MMS19.pdf</v>
      </c>
    </row>
    <row r="5218" spans="1:28" x14ac:dyDescent="0.25">
      <c r="A5218" t="s">
        <v>5222</v>
      </c>
      <c r="B5218">
        <v>0.99472303558308395</v>
      </c>
      <c r="C5218">
        <v>0.89779069939558298</v>
      </c>
      <c r="D5218">
        <v>0.590878735029991</v>
      </c>
      <c r="E5218">
        <v>0.27782138425788599</v>
      </c>
      <c r="F5218">
        <v>0.18465773166350599</v>
      </c>
      <c r="G5218">
        <v>0.11667916215304799</v>
      </c>
      <c r="H5218">
        <v>8.0767325564905595E-2</v>
      </c>
      <c r="I5218">
        <v>7.9262650525794606E-2</v>
      </c>
      <c r="J5218">
        <v>0.115823660663637</v>
      </c>
      <c r="K5218">
        <v>7.3447506104722005E-2</v>
      </c>
      <c r="L5218">
        <v>892.74169277281999</v>
      </c>
      <c r="M5218">
        <v>20.4932527724282</v>
      </c>
      <c r="N5218">
        <v>44.0026501115778</v>
      </c>
      <c r="O5218">
        <v>43.154281929496499</v>
      </c>
      <c r="P5218">
        <v>-0.107726820791228</v>
      </c>
      <c r="Q5218">
        <v>9.2631089361827207E-2</v>
      </c>
      <c r="R5218">
        <v>0.99677771490084799</v>
      </c>
      <c r="S5218" t="s">
        <v>11786</v>
      </c>
      <c r="T5218" t="s">
        <v>13134</v>
      </c>
      <c r="U5218" t="s">
        <v>13134</v>
      </c>
      <c r="V5218" t="s">
        <v>13134</v>
      </c>
      <c r="W5218" t="s">
        <v>18288</v>
      </c>
      <c r="X5218">
        <v>13</v>
      </c>
      <c r="Y5218" t="s">
        <v>24656</v>
      </c>
      <c r="Z5218" t="s">
        <v>31186</v>
      </c>
      <c r="AA5218">
        <v>0.30279242467567591</v>
      </c>
      <c r="AB5218" t="str">
        <f>HYPERLINK("Melting_Curves/meltCurve_Q96T88_UHRF1.pdf", "Melting_Curves/meltCurve_Q96T88_UHRF1.pdf")</f>
        <v>Melting_Curves/meltCurve_Q96T88_UHRF1.pdf</v>
      </c>
    </row>
    <row r="5219" spans="1:28" x14ac:dyDescent="0.25">
      <c r="A5219" t="s">
        <v>5223</v>
      </c>
      <c r="B5219">
        <v>0.99472303558308395</v>
      </c>
      <c r="C5219">
        <v>0.91420977048142105</v>
      </c>
      <c r="D5219">
        <v>1.0443227408995699</v>
      </c>
      <c r="E5219">
        <v>0.89823930798534901</v>
      </c>
      <c r="F5219">
        <v>0.61225147720060202</v>
      </c>
      <c r="G5219">
        <v>0.30517218145979902</v>
      </c>
      <c r="H5219">
        <v>9.50802126275367E-2</v>
      </c>
      <c r="I5219">
        <v>6.1122749326659002E-2</v>
      </c>
      <c r="J5219">
        <v>7.4229103626474405E-2</v>
      </c>
      <c r="K5219">
        <v>5.0589981819545798E-2</v>
      </c>
      <c r="L5219">
        <v>1150.17553949219</v>
      </c>
      <c r="M5219">
        <v>22.487266198564601</v>
      </c>
      <c r="N5219">
        <v>51.364784114091002</v>
      </c>
      <c r="O5219">
        <v>50.748540997521502</v>
      </c>
      <c r="P5219">
        <v>-0.10576196122468701</v>
      </c>
      <c r="Q5219">
        <v>4.52990359680202E-2</v>
      </c>
      <c r="R5219">
        <v>0.99265442373653801</v>
      </c>
      <c r="S5219" t="s">
        <v>11787</v>
      </c>
      <c r="T5219" t="s">
        <v>13134</v>
      </c>
      <c r="U5219" t="s">
        <v>13134</v>
      </c>
      <c r="V5219" t="s">
        <v>13134</v>
      </c>
      <c r="W5219" t="s">
        <v>18289</v>
      </c>
      <c r="X5219">
        <v>17</v>
      </c>
      <c r="Y5219" t="s">
        <v>24657</v>
      </c>
      <c r="Z5219" t="s">
        <v>31187</v>
      </c>
      <c r="AA5219">
        <v>0.50574420259660002</v>
      </c>
      <c r="AB5219" t="str">
        <f>HYPERLINK("Melting_Curves/meltCurve_Q96TA1_2_FAM129B.pdf", "Melting_Curves/meltCurve_Q96TA1_2_FAM129B.pdf")</f>
        <v>Melting_Curves/meltCurve_Q96TA1_2_FAM129B.pdf</v>
      </c>
    </row>
    <row r="5220" spans="1:28" x14ac:dyDescent="0.25">
      <c r="A5220" t="s">
        <v>5224</v>
      </c>
      <c r="B5220">
        <v>0.99472303558308395</v>
      </c>
      <c r="C5220">
        <v>0.86402440307656503</v>
      </c>
      <c r="D5220">
        <v>0.72360142215741297</v>
      </c>
      <c r="E5220">
        <v>0.51704311356354504</v>
      </c>
      <c r="F5220">
        <v>0.34343447537831301</v>
      </c>
      <c r="G5220">
        <v>0.15349404302797501</v>
      </c>
      <c r="H5220">
        <v>7.8387284147358502E-2</v>
      </c>
      <c r="I5220">
        <v>4.3914759841645397E-2</v>
      </c>
      <c r="J5220">
        <v>4.8991907560059403E-2</v>
      </c>
      <c r="K5220">
        <v>4.3177101730121702E-2</v>
      </c>
      <c r="L5220">
        <v>554.49161370023296</v>
      </c>
      <c r="M5220">
        <v>11.853675001184101</v>
      </c>
      <c r="N5220">
        <v>46.778034059104499</v>
      </c>
      <c r="O5220">
        <v>45.506273988963102</v>
      </c>
      <c r="P5220">
        <v>-6.5137548498666098E-2</v>
      </c>
      <c r="Q5220">
        <v>0</v>
      </c>
      <c r="R5220">
        <v>0.99605237662947799</v>
      </c>
      <c r="S5220" t="s">
        <v>11788</v>
      </c>
      <c r="T5220" t="s">
        <v>13134</v>
      </c>
      <c r="U5220" t="s">
        <v>13134</v>
      </c>
      <c r="V5220" t="s">
        <v>13134</v>
      </c>
      <c r="W5220" t="s">
        <v>18290</v>
      </c>
      <c r="X5220">
        <v>20</v>
      </c>
      <c r="Y5220" t="s">
        <v>24658</v>
      </c>
      <c r="Z5220" t="s">
        <v>31188</v>
      </c>
      <c r="AA5220">
        <v>0.35980787748209891</v>
      </c>
      <c r="AB5220" t="str">
        <f>HYPERLINK("Melting_Curves/meltCurve_Q96TA2_3_YME1L1.pdf", "Melting_Curves/meltCurve_Q96TA2_3_YME1L1.pdf")</f>
        <v>Melting_Curves/meltCurve_Q96TA2_3_YME1L1.pdf</v>
      </c>
    </row>
    <row r="5221" spans="1:28" x14ac:dyDescent="0.25">
      <c r="A5221" t="s">
        <v>5225</v>
      </c>
      <c r="B5221">
        <v>0.99472303558308395</v>
      </c>
      <c r="C5221">
        <v>0.96195408682705197</v>
      </c>
      <c r="D5221">
        <v>0.63462359441576899</v>
      </c>
      <c r="E5221">
        <v>0.56818656320677496</v>
      </c>
      <c r="F5221">
        <v>0.28397698691609302</v>
      </c>
      <c r="G5221">
        <v>9.8358441702398894E-2</v>
      </c>
      <c r="H5221">
        <v>7.1892429696807703E-2</v>
      </c>
      <c r="I5221">
        <v>5.8550700190373499E-2</v>
      </c>
      <c r="J5221">
        <v>5.4894784147586799E-2</v>
      </c>
      <c r="K5221">
        <v>9.9450517350856998E-2</v>
      </c>
      <c r="L5221">
        <v>646.08504624069701</v>
      </c>
      <c r="M5221">
        <v>13.996992920542599</v>
      </c>
      <c r="N5221">
        <v>46.412027726668803</v>
      </c>
      <c r="O5221">
        <v>45.247286552941297</v>
      </c>
      <c r="P5221">
        <v>-7.4503372199908297E-2</v>
      </c>
      <c r="Q5221">
        <v>3.6756239768098803E-2</v>
      </c>
      <c r="R5221">
        <v>0.97718544148650599</v>
      </c>
      <c r="S5221" t="s">
        <v>11789</v>
      </c>
      <c r="T5221" t="s">
        <v>13134</v>
      </c>
      <c r="U5221" t="s">
        <v>13134</v>
      </c>
      <c r="V5221" t="s">
        <v>13134</v>
      </c>
      <c r="W5221" t="s">
        <v>18291</v>
      </c>
      <c r="X5221">
        <v>8</v>
      </c>
      <c r="Y5221" t="s">
        <v>24659</v>
      </c>
      <c r="Z5221" t="s">
        <v>31189</v>
      </c>
      <c r="AA5221">
        <v>0.35597887240060749</v>
      </c>
      <c r="AB5221" t="str">
        <f>HYPERLINK("Melting_Curves/meltCurve_Q96TC7_RMDN3.pdf", "Melting_Curves/meltCurve_Q96TC7_RMDN3.pdf")</f>
        <v>Melting_Curves/meltCurve_Q96TC7_RMDN3.pdf</v>
      </c>
    </row>
    <row r="5222" spans="1:28" x14ac:dyDescent="0.25">
      <c r="A5222" t="s">
        <v>5226</v>
      </c>
      <c r="B5222">
        <v>0.99472303558308395</v>
      </c>
      <c r="C5222">
        <v>0.94347252736221299</v>
      </c>
      <c r="D5222">
        <v>0.77259454750397405</v>
      </c>
      <c r="E5222">
        <v>0.47229603889569599</v>
      </c>
      <c r="F5222">
        <v>0.22101585114014399</v>
      </c>
      <c r="G5222">
        <v>0.104449794719583</v>
      </c>
      <c r="H5222">
        <v>6.6232280959883205E-2</v>
      </c>
      <c r="I5222">
        <v>6.4897699388480501E-2</v>
      </c>
      <c r="J5222">
        <v>0.10064358715220301</v>
      </c>
      <c r="K5222">
        <v>0.107248532032967</v>
      </c>
      <c r="L5222">
        <v>865.73097047580097</v>
      </c>
      <c r="M5222">
        <v>18.927619354530702</v>
      </c>
      <c r="N5222">
        <v>46.126808161788702</v>
      </c>
      <c r="O5222">
        <v>45.2376280003514</v>
      </c>
      <c r="P5222">
        <v>-9.6911243843829306E-2</v>
      </c>
      <c r="Q5222">
        <v>7.3552939272387499E-2</v>
      </c>
      <c r="R5222">
        <v>0.99740111344091897</v>
      </c>
      <c r="S5222" t="s">
        <v>11790</v>
      </c>
      <c r="T5222" t="s">
        <v>13134</v>
      </c>
      <c r="U5222" t="s">
        <v>13134</v>
      </c>
      <c r="V5222" t="s">
        <v>13134</v>
      </c>
      <c r="W5222" t="s">
        <v>18292</v>
      </c>
      <c r="X5222">
        <v>11</v>
      </c>
      <c r="Y5222" t="s">
        <v>24660</v>
      </c>
      <c r="Z5222" t="s">
        <v>31190</v>
      </c>
      <c r="AA5222">
        <v>0.35698865193749668</v>
      </c>
      <c r="AB5222" t="str">
        <f>HYPERLINK("Melting_Curves/meltCurve_Q99081_TCF12.pdf", "Melting_Curves/meltCurve_Q99081_TCF12.pdf")</f>
        <v>Melting_Curves/meltCurve_Q99081_TCF12.pdf</v>
      </c>
    </row>
    <row r="5223" spans="1:28" x14ac:dyDescent="0.25">
      <c r="A5223" t="s">
        <v>5227</v>
      </c>
      <c r="B5223">
        <v>0.99472303558308395</v>
      </c>
      <c r="C5223">
        <v>1.0003782961326899</v>
      </c>
      <c r="D5223">
        <v>0.91948302252692404</v>
      </c>
      <c r="E5223">
        <v>0.83698016334746705</v>
      </c>
      <c r="F5223">
        <v>0.61335805551306999</v>
      </c>
      <c r="G5223">
        <v>0.51903811466402305</v>
      </c>
      <c r="H5223">
        <v>0.49665822380161601</v>
      </c>
      <c r="I5223">
        <v>0.526425684872731</v>
      </c>
      <c r="J5223">
        <v>0.684297744354739</v>
      </c>
      <c r="K5223">
        <v>0.48200631713583397</v>
      </c>
      <c r="L5223">
        <v>1295.4507686311399</v>
      </c>
      <c r="M5223">
        <v>27.385675083959899</v>
      </c>
      <c r="O5223">
        <v>47.053892538507199</v>
      </c>
      <c r="P5223">
        <v>-6.7206303759378402E-2</v>
      </c>
      <c r="Q5223">
        <v>0.538110676129681</v>
      </c>
      <c r="R5223">
        <v>0.92275874064020302</v>
      </c>
      <c r="S5223" t="s">
        <v>11791</v>
      </c>
      <c r="T5223" t="s">
        <v>13134</v>
      </c>
      <c r="U5223" t="s">
        <v>13134</v>
      </c>
      <c r="V5223" t="s">
        <v>13134</v>
      </c>
      <c r="W5223" t="s">
        <v>18293</v>
      </c>
      <c r="X5223">
        <v>10</v>
      </c>
      <c r="Y5223" t="s">
        <v>24661</v>
      </c>
      <c r="Z5223" t="s">
        <v>31191</v>
      </c>
      <c r="AA5223">
        <v>0.69999830988454892</v>
      </c>
      <c r="AB5223" t="str">
        <f>HYPERLINK("Melting_Curves/meltCurve_Q99417_MYCBP.pdf", "Melting_Curves/meltCurve_Q99417_MYCBP.pdf")</f>
        <v>Melting_Curves/meltCurve_Q99417_MYCBP.pdf</v>
      </c>
    </row>
    <row r="5224" spans="1:28" x14ac:dyDescent="0.25">
      <c r="A5224" t="s">
        <v>5228</v>
      </c>
      <c r="B5224">
        <v>0.99472303558308395</v>
      </c>
      <c r="C5224">
        <v>0.95603064996838705</v>
      </c>
      <c r="D5224">
        <v>0.96840295816853295</v>
      </c>
      <c r="E5224">
        <v>0.75880779687223499</v>
      </c>
      <c r="F5224">
        <v>0.29683339543773002</v>
      </c>
      <c r="G5224">
        <v>0.14504441717515901</v>
      </c>
      <c r="H5224">
        <v>9.2405749359596195E-2</v>
      </c>
      <c r="I5224">
        <v>7.1930846942411197E-2</v>
      </c>
      <c r="J5224">
        <v>8.7131534084454801E-2</v>
      </c>
      <c r="K5224">
        <v>7.8575789475656702E-2</v>
      </c>
      <c r="L5224">
        <v>1377.9632859881999</v>
      </c>
      <c r="M5224">
        <v>28.574608091422899</v>
      </c>
      <c r="N5224">
        <v>48.527671847173202</v>
      </c>
      <c r="O5224">
        <v>47.989022947479903</v>
      </c>
      <c r="P5224">
        <v>-0.13665043309604299</v>
      </c>
      <c r="Q5224">
        <v>8.2028607323739205E-2</v>
      </c>
      <c r="R5224">
        <v>0.99845860475984505</v>
      </c>
      <c r="S5224" t="s">
        <v>11792</v>
      </c>
      <c r="T5224" t="s">
        <v>13134</v>
      </c>
      <c r="U5224" t="s">
        <v>13134</v>
      </c>
      <c r="V5224" t="s">
        <v>13134</v>
      </c>
      <c r="W5224" t="s">
        <v>18294</v>
      </c>
      <c r="X5224">
        <v>18</v>
      </c>
      <c r="Y5224" t="s">
        <v>24662</v>
      </c>
      <c r="Z5224" t="s">
        <v>31192</v>
      </c>
      <c r="AA5224">
        <v>0.43147054285040459</v>
      </c>
      <c r="AB5224" t="str">
        <f>HYPERLINK("Melting_Curves/meltCurve_Q99426_TBCB.pdf", "Melting_Curves/meltCurve_Q99426_TBCB.pdf")</f>
        <v>Melting_Curves/meltCurve_Q99426_TBCB.pdf</v>
      </c>
    </row>
    <row r="5225" spans="1:28" x14ac:dyDescent="0.25">
      <c r="A5225" t="s">
        <v>5229</v>
      </c>
      <c r="B5225">
        <v>0.99472303558308395</v>
      </c>
      <c r="C5225">
        <v>1.04022932617998</v>
      </c>
      <c r="D5225">
        <v>0.72699335929492104</v>
      </c>
      <c r="E5225">
        <v>0.65151259868747702</v>
      </c>
      <c r="F5225">
        <v>0.79679441393788397</v>
      </c>
      <c r="G5225">
        <v>0.32884394542929601</v>
      </c>
      <c r="H5225">
        <v>0.26207700659577798</v>
      </c>
      <c r="I5225">
        <v>0.143410230049827</v>
      </c>
      <c r="J5225">
        <v>0.30092976244456698</v>
      </c>
      <c r="K5225">
        <v>0.48350974164505001</v>
      </c>
      <c r="L5225">
        <v>588.12877345227196</v>
      </c>
      <c r="M5225">
        <v>12.1835922658975</v>
      </c>
      <c r="N5225">
        <v>51.369973796525699</v>
      </c>
      <c r="O5225">
        <v>47.026941222715202</v>
      </c>
      <c r="P5225">
        <v>-4.7928570746870798E-2</v>
      </c>
      <c r="Q5225">
        <v>0.26017777461033298</v>
      </c>
      <c r="R5225">
        <v>0.79862591863233501</v>
      </c>
      <c r="S5225" t="s">
        <v>11793</v>
      </c>
      <c r="T5225" t="s">
        <v>13134</v>
      </c>
      <c r="U5225" t="s">
        <v>13134</v>
      </c>
      <c r="V5225" t="s">
        <v>13134</v>
      </c>
      <c r="W5225" t="s">
        <v>18295</v>
      </c>
      <c r="X5225">
        <v>6</v>
      </c>
      <c r="Y5225" t="s">
        <v>24663</v>
      </c>
      <c r="Z5225" t="s">
        <v>31193</v>
      </c>
      <c r="AA5225">
        <v>0.56051433235025505</v>
      </c>
      <c r="AB5225" t="str">
        <f>HYPERLINK("Melting_Curves/meltCurve_Q99436_PSMB7.pdf", "Melting_Curves/meltCurve_Q99436_PSMB7.pdf")</f>
        <v>Melting_Curves/meltCurve_Q99436_PSMB7.pdf</v>
      </c>
    </row>
    <row r="5226" spans="1:28" x14ac:dyDescent="0.25">
      <c r="A5226" t="s">
        <v>5230</v>
      </c>
      <c r="B5226">
        <v>0.99472303558308395</v>
      </c>
      <c r="C5226">
        <v>0.985771031732943</v>
      </c>
      <c r="D5226">
        <v>0.95302506649616803</v>
      </c>
      <c r="E5226">
        <v>0.87763615803900696</v>
      </c>
      <c r="F5226">
        <v>0.74684458781310503</v>
      </c>
      <c r="G5226">
        <v>0.475295246907534</v>
      </c>
      <c r="H5226">
        <v>0.16087595543795599</v>
      </c>
      <c r="I5226">
        <v>7.8162082765386803E-2</v>
      </c>
      <c r="J5226">
        <v>8.6683117302213702E-2</v>
      </c>
      <c r="K5226">
        <v>6.9570812013237004E-2</v>
      </c>
      <c r="L5226">
        <v>981.796216112298</v>
      </c>
      <c r="M5226">
        <v>18.5781348979468</v>
      </c>
      <c r="N5226">
        <v>53.019094514560003</v>
      </c>
      <c r="O5226">
        <v>52.245982959743898</v>
      </c>
      <c r="P5226">
        <v>-8.6298308859165201E-2</v>
      </c>
      <c r="Q5226">
        <v>2.92796048875004E-2</v>
      </c>
      <c r="R5226">
        <v>0.99385276709766401</v>
      </c>
      <c r="S5226" t="s">
        <v>11794</v>
      </c>
      <c r="T5226" t="s">
        <v>13134</v>
      </c>
      <c r="U5226" t="s">
        <v>13134</v>
      </c>
      <c r="V5226" t="s">
        <v>13134</v>
      </c>
      <c r="W5226" t="s">
        <v>18296</v>
      </c>
      <c r="X5226">
        <v>26</v>
      </c>
      <c r="Y5226" t="s">
        <v>24664</v>
      </c>
      <c r="Z5226" t="s">
        <v>31194</v>
      </c>
      <c r="AA5226">
        <v>0.55567276487393513</v>
      </c>
      <c r="AB5226" t="str">
        <f>HYPERLINK("Melting_Curves/meltCurve_Q99447_PCYT2.pdf", "Melting_Curves/meltCurve_Q99447_PCYT2.pdf")</f>
        <v>Melting_Curves/meltCurve_Q99447_PCYT2.pdf</v>
      </c>
    </row>
    <row r="5227" spans="1:28" x14ac:dyDescent="0.25">
      <c r="A5227" t="s">
        <v>5231</v>
      </c>
      <c r="B5227">
        <v>0.99472303558308395</v>
      </c>
      <c r="C5227">
        <v>0.95761128646487903</v>
      </c>
      <c r="D5227">
        <v>0.70612700654288396</v>
      </c>
      <c r="E5227">
        <v>0.31843373066306702</v>
      </c>
      <c r="F5227">
        <v>0.152972598484033</v>
      </c>
      <c r="G5227">
        <v>9.1147162809254806E-2</v>
      </c>
      <c r="H5227">
        <v>5.8397711338306103E-2</v>
      </c>
      <c r="I5227">
        <v>4.7145374251965903E-2</v>
      </c>
      <c r="J5227">
        <v>5.3114271861580402E-2</v>
      </c>
      <c r="K5227">
        <v>5.0185853057248E-2</v>
      </c>
      <c r="L5227">
        <v>971.22906440948395</v>
      </c>
      <c r="M5227">
        <v>21.751994183099299</v>
      </c>
      <c r="N5227">
        <v>44.891773673125797</v>
      </c>
      <c r="O5227">
        <v>44.2778780011012</v>
      </c>
      <c r="P5227">
        <v>-0.11603197906485201</v>
      </c>
      <c r="Q5227">
        <v>5.5253542824187402E-2</v>
      </c>
      <c r="R5227">
        <v>0.99895081408835795</v>
      </c>
      <c r="S5227" t="s">
        <v>11795</v>
      </c>
      <c r="T5227" t="s">
        <v>13134</v>
      </c>
      <c r="U5227" t="s">
        <v>13134</v>
      </c>
      <c r="V5227" t="s">
        <v>13134</v>
      </c>
      <c r="W5227" t="s">
        <v>18297</v>
      </c>
      <c r="X5227">
        <v>23</v>
      </c>
      <c r="Y5227" t="s">
        <v>24665</v>
      </c>
      <c r="Z5227" t="s">
        <v>31195</v>
      </c>
      <c r="AA5227">
        <v>0.3065882659167119</v>
      </c>
      <c r="AB5227" t="str">
        <f>HYPERLINK("Melting_Curves/meltCurve_Q99459_CDC5L.pdf", "Melting_Curves/meltCurve_Q99459_CDC5L.pdf")</f>
        <v>Melting_Curves/meltCurve_Q99459_CDC5L.pdf</v>
      </c>
    </row>
    <row r="5228" spans="1:28" x14ac:dyDescent="0.25">
      <c r="A5228" t="s">
        <v>5232</v>
      </c>
      <c r="B5228">
        <v>0.99472303558308395</v>
      </c>
      <c r="C5228">
        <v>0.92314104817479603</v>
      </c>
      <c r="D5228">
        <v>0.73000108476585701</v>
      </c>
      <c r="E5228">
        <v>0.63771110435095701</v>
      </c>
      <c r="F5228">
        <v>0.67375935940537501</v>
      </c>
      <c r="G5228">
        <v>0.264553942060334</v>
      </c>
      <c r="H5228">
        <v>0.103572347206306</v>
      </c>
      <c r="I5228">
        <v>5.9502502828953002E-2</v>
      </c>
      <c r="J5228">
        <v>7.8866789755997604E-2</v>
      </c>
      <c r="K5228">
        <v>6.0124613358501201E-2</v>
      </c>
      <c r="L5228">
        <v>541.66958754569896</v>
      </c>
      <c r="M5228">
        <v>10.8999829236115</v>
      </c>
      <c r="N5228">
        <v>49.694529797904202</v>
      </c>
      <c r="O5228">
        <v>48.109662296914401</v>
      </c>
      <c r="P5228">
        <v>-5.6661139593227099E-2</v>
      </c>
      <c r="Q5228">
        <v>0</v>
      </c>
      <c r="R5228">
        <v>0.94735264319600199</v>
      </c>
      <c r="S5228" t="s">
        <v>11796</v>
      </c>
      <c r="T5228" t="s">
        <v>13134</v>
      </c>
      <c r="U5228" t="s">
        <v>13134</v>
      </c>
      <c r="V5228" t="s">
        <v>13134</v>
      </c>
      <c r="W5228" t="s">
        <v>18298</v>
      </c>
      <c r="X5228">
        <v>30</v>
      </c>
      <c r="Y5228" t="s">
        <v>24666</v>
      </c>
      <c r="Z5228" t="s">
        <v>31196</v>
      </c>
      <c r="AA5228">
        <v>0.45505960998863398</v>
      </c>
      <c r="AB5228" t="str">
        <f>HYPERLINK("Melting_Curves/meltCurve_Q99460_PSMD1.pdf", "Melting_Curves/meltCurve_Q99460_PSMD1.pdf")</f>
        <v>Melting_Curves/meltCurve_Q99460_PSMD1.pdf</v>
      </c>
    </row>
    <row r="5229" spans="1:28" x14ac:dyDescent="0.25">
      <c r="A5229" t="s">
        <v>5233</v>
      </c>
      <c r="B5229">
        <v>0.99472303558308395</v>
      </c>
      <c r="C5229">
        <v>1.0414832015185</v>
      </c>
      <c r="D5229">
        <v>0.743133636777078</v>
      </c>
      <c r="E5229">
        <v>0.64848052589327798</v>
      </c>
      <c r="F5229">
        <v>0.48370886657350798</v>
      </c>
      <c r="G5229">
        <v>0.262379317870298</v>
      </c>
      <c r="H5229">
        <v>0.14753030489613</v>
      </c>
      <c r="I5229">
        <v>0.103948227194815</v>
      </c>
      <c r="J5229">
        <v>0.12974059907815499</v>
      </c>
      <c r="K5229">
        <v>9.7736631583330194E-2</v>
      </c>
      <c r="L5229">
        <v>598.40863296955501</v>
      </c>
      <c r="M5229">
        <v>12.3320533391858</v>
      </c>
      <c r="N5229">
        <v>49.007773685059298</v>
      </c>
      <c r="O5229">
        <v>47.3016256864356</v>
      </c>
      <c r="P5229">
        <v>-6.1460612959770601E-2</v>
      </c>
      <c r="Q5229">
        <v>5.7235149350763299E-2</v>
      </c>
      <c r="R5229">
        <v>0.97973632700173396</v>
      </c>
      <c r="S5229" t="s">
        <v>11797</v>
      </c>
      <c r="T5229" t="s">
        <v>13134</v>
      </c>
      <c r="U5229" t="s">
        <v>13134</v>
      </c>
      <c r="V5229" t="s">
        <v>13134</v>
      </c>
      <c r="W5229" t="s">
        <v>18299</v>
      </c>
      <c r="X5229">
        <v>1</v>
      </c>
      <c r="Y5229" t="s">
        <v>24667</v>
      </c>
      <c r="Z5229" t="s">
        <v>31197</v>
      </c>
      <c r="AA5229">
        <v>0.44706132252832531</v>
      </c>
      <c r="AB5229" t="str">
        <f>HYPERLINK("Melting_Curves/meltCurve_Q99470_SDF2.pdf", "Melting_Curves/meltCurve_Q99470_SDF2.pdf")</f>
        <v>Melting_Curves/meltCurve_Q99470_SDF2.pdf</v>
      </c>
    </row>
    <row r="5230" spans="1:28" x14ac:dyDescent="0.25">
      <c r="A5230" t="s">
        <v>5234</v>
      </c>
      <c r="B5230">
        <v>0.99472303558308395</v>
      </c>
      <c r="C5230">
        <v>1.0244821216870199</v>
      </c>
      <c r="D5230">
        <v>0.99553798886130696</v>
      </c>
      <c r="E5230">
        <v>0.95709172435733803</v>
      </c>
      <c r="F5230">
        <v>0.771160920808309</v>
      </c>
      <c r="G5230">
        <v>0.63728380876944302</v>
      </c>
      <c r="H5230">
        <v>0.50804769042953102</v>
      </c>
      <c r="I5230">
        <v>0.43206521619122601</v>
      </c>
      <c r="J5230">
        <v>0.44012872860438101</v>
      </c>
      <c r="K5230">
        <v>0.199601214938254</v>
      </c>
      <c r="L5230">
        <v>592.81605717597199</v>
      </c>
      <c r="M5230">
        <v>10.632125059336801</v>
      </c>
      <c r="N5230">
        <v>58.051076332282598</v>
      </c>
      <c r="O5230">
        <v>53.893080237685702</v>
      </c>
      <c r="P5230">
        <v>-4.0876381721401199E-2</v>
      </c>
      <c r="Q5230">
        <v>0.17152693873788299</v>
      </c>
      <c r="R5230">
        <v>0.96668486344867099</v>
      </c>
      <c r="S5230" t="s">
        <v>11798</v>
      </c>
      <c r="T5230" t="s">
        <v>13134</v>
      </c>
      <c r="U5230" t="s">
        <v>13134</v>
      </c>
      <c r="V5230" t="s">
        <v>13134</v>
      </c>
      <c r="W5230" t="s">
        <v>18300</v>
      </c>
      <c r="X5230">
        <v>13</v>
      </c>
      <c r="Y5230" t="s">
        <v>24668</v>
      </c>
      <c r="Z5230" t="s">
        <v>31198</v>
      </c>
      <c r="AA5230">
        <v>0.69695495056211354</v>
      </c>
      <c r="AB5230" t="str">
        <f>HYPERLINK("Melting_Curves/meltCurve_Q99471_PFDN5.pdf", "Melting_Curves/meltCurve_Q99471_PFDN5.pdf")</f>
        <v>Melting_Curves/meltCurve_Q99471_PFDN5.pdf</v>
      </c>
    </row>
    <row r="5231" spans="1:28" x14ac:dyDescent="0.25">
      <c r="A5231" t="s">
        <v>5235</v>
      </c>
      <c r="B5231">
        <v>0.99472303558308395</v>
      </c>
      <c r="C5231">
        <v>1.1556773342742701</v>
      </c>
      <c r="D5231">
        <v>0.96226971572216502</v>
      </c>
      <c r="E5231">
        <v>0.88267313848406903</v>
      </c>
      <c r="F5231">
        <v>0.52246076627004401</v>
      </c>
      <c r="G5231">
        <v>0.41408859303040801</v>
      </c>
      <c r="H5231">
        <v>0.185476188124955</v>
      </c>
      <c r="I5231">
        <v>0.106132686117876</v>
      </c>
      <c r="J5231">
        <v>0.149734301587196</v>
      </c>
      <c r="K5231">
        <v>0.119630157976236</v>
      </c>
      <c r="L5231">
        <v>931.37754371471397</v>
      </c>
      <c r="M5231">
        <v>18.383083307777198</v>
      </c>
      <c r="N5231">
        <v>51.354031306660403</v>
      </c>
      <c r="O5231">
        <v>50.076802880841498</v>
      </c>
      <c r="P5231">
        <v>-8.1746788758983405E-2</v>
      </c>
      <c r="Q5231">
        <v>0.109304683746314</v>
      </c>
      <c r="R5231">
        <v>0.97363176557444697</v>
      </c>
      <c r="S5231" t="s">
        <v>11799</v>
      </c>
      <c r="T5231" t="s">
        <v>13134</v>
      </c>
      <c r="U5231" t="s">
        <v>13134</v>
      </c>
      <c r="V5231" t="s">
        <v>13134</v>
      </c>
      <c r="W5231" t="s">
        <v>18301</v>
      </c>
      <c r="X5231">
        <v>2</v>
      </c>
      <c r="Y5231" t="s">
        <v>24669</v>
      </c>
      <c r="Z5231" t="s">
        <v>31199</v>
      </c>
      <c r="AA5231">
        <v>0.52845451102412211</v>
      </c>
      <c r="AB5231" t="str">
        <f>HYPERLINK("Melting_Curves/meltCurve_Q99487_PAFAH2.pdf", "Melting_Curves/meltCurve_Q99487_PAFAH2.pdf")</f>
        <v>Melting_Curves/meltCurve_Q99487_PAFAH2.pdf</v>
      </c>
    </row>
    <row r="5232" spans="1:28" x14ac:dyDescent="0.25">
      <c r="A5232" t="s">
        <v>5236</v>
      </c>
      <c r="B5232">
        <v>0.99472303558308395</v>
      </c>
      <c r="C5232">
        <v>0.86953299315003296</v>
      </c>
      <c r="D5232">
        <v>0.82727576817311599</v>
      </c>
      <c r="E5232">
        <v>0.63022377080890501</v>
      </c>
      <c r="F5232">
        <v>0.39494891240855101</v>
      </c>
      <c r="G5232">
        <v>0.20298145213640301</v>
      </c>
      <c r="H5232">
        <v>0.10083724923090399</v>
      </c>
      <c r="I5232">
        <v>7.92904778843177E-2</v>
      </c>
      <c r="J5232">
        <v>8.1473876596123304E-2</v>
      </c>
      <c r="K5232">
        <v>5.8499720486073097E-2</v>
      </c>
      <c r="L5232">
        <v>610.58775033602501</v>
      </c>
      <c r="M5232">
        <v>12.696921089015399</v>
      </c>
      <c r="N5232">
        <v>48.247851495478002</v>
      </c>
      <c r="O5232">
        <v>46.943345307639497</v>
      </c>
      <c r="P5232">
        <v>-6.6250656651683906E-2</v>
      </c>
      <c r="Q5232">
        <v>2.0416037674959898E-2</v>
      </c>
      <c r="R5232">
        <v>0.99455298142453397</v>
      </c>
      <c r="S5232" t="s">
        <v>11800</v>
      </c>
      <c r="T5232" t="s">
        <v>13134</v>
      </c>
      <c r="U5232" t="s">
        <v>13134</v>
      </c>
      <c r="V5232" t="s">
        <v>13134</v>
      </c>
      <c r="W5232" t="s">
        <v>18302</v>
      </c>
      <c r="X5232">
        <v>8</v>
      </c>
      <c r="Y5232" t="s">
        <v>24670</v>
      </c>
      <c r="Z5232" t="s">
        <v>31200</v>
      </c>
      <c r="AA5232">
        <v>0.41060023513758248</v>
      </c>
      <c r="AB5232" t="str">
        <f>HYPERLINK("Melting_Curves/meltCurve_Q99496_RNF2.pdf", "Melting_Curves/meltCurve_Q99496_RNF2.pdf")</f>
        <v>Melting_Curves/meltCurve_Q99496_RNF2.pdf</v>
      </c>
    </row>
    <row r="5233" spans="1:28" x14ac:dyDescent="0.25">
      <c r="A5233" t="s">
        <v>5237</v>
      </c>
      <c r="B5233">
        <v>0.99472303558308395</v>
      </c>
      <c r="C5233">
        <v>0.99163623158305003</v>
      </c>
      <c r="D5233">
        <v>1.0616063434151399</v>
      </c>
      <c r="E5233">
        <v>0.910838723234623</v>
      </c>
      <c r="F5233">
        <v>0.70337259888295001</v>
      </c>
      <c r="G5233">
        <v>0.53964368722173295</v>
      </c>
      <c r="H5233">
        <v>0.33139990515135598</v>
      </c>
      <c r="I5233">
        <v>0.17855545060717501</v>
      </c>
      <c r="J5233">
        <v>0.15975084245440099</v>
      </c>
      <c r="K5233">
        <v>0.10661703148414201</v>
      </c>
      <c r="L5233">
        <v>793.86930483770004</v>
      </c>
      <c r="M5233">
        <v>14.8310942763091</v>
      </c>
      <c r="N5233">
        <v>54.073636905727803</v>
      </c>
      <c r="O5233">
        <v>52.582456901996103</v>
      </c>
      <c r="P5233">
        <v>-6.5614592001435199E-2</v>
      </c>
      <c r="Q5233">
        <v>6.9572871336905304E-2</v>
      </c>
      <c r="R5233">
        <v>0.99194364744587304</v>
      </c>
      <c r="S5233" t="s">
        <v>11801</v>
      </c>
      <c r="T5233" t="s">
        <v>13134</v>
      </c>
      <c r="U5233" t="s">
        <v>13134</v>
      </c>
      <c r="V5233" t="s">
        <v>13134</v>
      </c>
      <c r="W5233" t="s">
        <v>18303</v>
      </c>
      <c r="X5233">
        <v>18</v>
      </c>
      <c r="Y5233" t="s">
        <v>24671</v>
      </c>
      <c r="Z5233" t="s">
        <v>31201</v>
      </c>
      <c r="AA5233">
        <v>0.59814898321432086</v>
      </c>
      <c r="AB5233" t="str">
        <f>HYPERLINK("Melting_Curves/meltCurve_Q99497_PARK7.pdf", "Melting_Curves/meltCurve_Q99497_PARK7.pdf")</f>
        <v>Melting_Curves/meltCurve_Q99497_PARK7.pdf</v>
      </c>
    </row>
    <row r="5234" spans="1:28" x14ac:dyDescent="0.25">
      <c r="A5234" t="s">
        <v>5238</v>
      </c>
      <c r="B5234">
        <v>0.99472303558308395</v>
      </c>
      <c r="C5234">
        <v>0.86810102076491702</v>
      </c>
      <c r="D5234">
        <v>0.71003184105131101</v>
      </c>
      <c r="E5234">
        <v>0.48877563343455499</v>
      </c>
      <c r="F5234">
        <v>0.247653787139097</v>
      </c>
      <c r="G5234">
        <v>9.8753221389955598E-2</v>
      </c>
      <c r="H5234">
        <v>0.11338760373073301</v>
      </c>
      <c r="I5234">
        <v>9.41780914841715E-2</v>
      </c>
      <c r="J5234">
        <v>9.4504122024826095E-2</v>
      </c>
      <c r="K5234">
        <v>0.127474258650943</v>
      </c>
      <c r="L5234">
        <v>695.03870984061405</v>
      </c>
      <c r="M5234">
        <v>15.322878077075099</v>
      </c>
      <c r="N5234">
        <v>45.884254476815002</v>
      </c>
      <c r="O5234">
        <v>44.608023186271303</v>
      </c>
      <c r="P5234">
        <v>-7.8980984763942594E-2</v>
      </c>
      <c r="Q5234">
        <v>8.03664500319968E-2</v>
      </c>
      <c r="R5234">
        <v>0.99258470436800295</v>
      </c>
      <c r="S5234" t="s">
        <v>11802</v>
      </c>
      <c r="T5234" t="s">
        <v>13134</v>
      </c>
      <c r="U5234" t="s">
        <v>13134</v>
      </c>
      <c r="V5234" t="s">
        <v>13134</v>
      </c>
      <c r="W5234" t="s">
        <v>18304</v>
      </c>
      <c r="X5234">
        <v>1</v>
      </c>
      <c r="Y5234" t="s">
        <v>24672</v>
      </c>
      <c r="Z5234" t="s">
        <v>31202</v>
      </c>
      <c r="AA5234">
        <v>0.35734667602826242</v>
      </c>
      <c r="AB5234" t="str">
        <f>HYPERLINK("Melting_Curves/meltCurve_Q99501_GAS2L1.pdf", "Melting_Curves/meltCurve_Q99501_GAS2L1.pdf")</f>
        <v>Melting_Curves/meltCurve_Q99501_GAS2L1.pdf</v>
      </c>
    </row>
    <row r="5235" spans="1:28" x14ac:dyDescent="0.25">
      <c r="A5235" t="s">
        <v>5239</v>
      </c>
      <c r="B5235">
        <v>0.99472303558308395</v>
      </c>
      <c r="C5235">
        <v>0.976071357970417</v>
      </c>
      <c r="D5235">
        <v>0.80411537840147895</v>
      </c>
      <c r="E5235">
        <v>0.33563905821341999</v>
      </c>
      <c r="F5235">
        <v>0.15876850789333799</v>
      </c>
      <c r="G5235">
        <v>9.0342378566802703E-2</v>
      </c>
      <c r="H5235">
        <v>7.0246074517007095E-2</v>
      </c>
      <c r="I5235">
        <v>5.3315157905977698E-2</v>
      </c>
      <c r="J5235">
        <v>5.68980446997355E-2</v>
      </c>
      <c r="K5235">
        <v>5.3358875809452498E-2</v>
      </c>
      <c r="L5235">
        <v>1158.90057428913</v>
      </c>
      <c r="M5235">
        <v>25.675270440043199</v>
      </c>
      <c r="N5235">
        <v>45.379543004293197</v>
      </c>
      <c r="O5235">
        <v>44.865697556256102</v>
      </c>
      <c r="P5235">
        <v>-0.133890670940437</v>
      </c>
      <c r="Q5235">
        <v>6.4153862926207506E-2</v>
      </c>
      <c r="R5235">
        <v>0.99880087586212696</v>
      </c>
      <c r="S5235" t="s">
        <v>11803</v>
      </c>
      <c r="T5235" t="s">
        <v>13134</v>
      </c>
      <c r="U5235" t="s">
        <v>13134</v>
      </c>
      <c r="V5235" t="s">
        <v>13134</v>
      </c>
      <c r="W5235" t="s">
        <v>18305</v>
      </c>
      <c r="X5235">
        <v>6</v>
      </c>
      <c r="Y5235" t="s">
        <v>24673</v>
      </c>
      <c r="Z5235" t="s">
        <v>31203</v>
      </c>
      <c r="AA5235">
        <v>0.32525393841782418</v>
      </c>
      <c r="AB5235" t="str">
        <f>HYPERLINK("Melting_Curves/meltCurve_Q99504_2_EYA3.pdf", "Melting_Curves/meltCurve_Q99504_2_EYA3.pdf")</f>
        <v>Melting_Curves/meltCurve_Q99504_2_EYA3.pdf</v>
      </c>
    </row>
    <row r="5236" spans="1:28" x14ac:dyDescent="0.25">
      <c r="A5236" t="s">
        <v>5240</v>
      </c>
      <c r="B5236">
        <v>0.99472303558308395</v>
      </c>
      <c r="C5236">
        <v>0.89746137117589897</v>
      </c>
      <c r="D5236">
        <v>0.89951714945442196</v>
      </c>
      <c r="E5236">
        <v>0.72222314316720204</v>
      </c>
      <c r="F5236">
        <v>0.52502977867423495</v>
      </c>
      <c r="G5236">
        <v>0.30319924647025098</v>
      </c>
      <c r="H5236">
        <v>0.18920496927279801</v>
      </c>
      <c r="I5236">
        <v>8.9005831484102002E-2</v>
      </c>
      <c r="J5236">
        <v>8.3954478452309397E-2</v>
      </c>
      <c r="K5236">
        <v>9.9214259231417107E-2</v>
      </c>
      <c r="L5236">
        <v>622.08094348388897</v>
      </c>
      <c r="M5236">
        <v>12.432638686857601</v>
      </c>
      <c r="N5236">
        <v>50.2599627896372</v>
      </c>
      <c r="O5236">
        <v>48.794484764314902</v>
      </c>
      <c r="P5236">
        <v>-6.1996549372212599E-2</v>
      </c>
      <c r="Q5236">
        <v>2.69308954232758E-2</v>
      </c>
      <c r="R5236">
        <v>0.99454526517577702</v>
      </c>
      <c r="S5236" t="s">
        <v>11804</v>
      </c>
      <c r="T5236" t="s">
        <v>13134</v>
      </c>
      <c r="U5236" t="s">
        <v>13134</v>
      </c>
      <c r="V5236" t="s">
        <v>13134</v>
      </c>
      <c r="W5236" t="s">
        <v>18306</v>
      </c>
      <c r="X5236">
        <v>6</v>
      </c>
      <c r="Y5236" t="s">
        <v>24674</v>
      </c>
      <c r="Z5236" t="s">
        <v>31204</v>
      </c>
      <c r="AA5236">
        <v>0.47582215206498918</v>
      </c>
      <c r="AB5236" t="str">
        <f>HYPERLINK("Melting_Curves/meltCurve_Q99519_NEU1.pdf", "Melting_Curves/meltCurve_Q99519_NEU1.pdf")</f>
        <v>Melting_Curves/meltCurve_Q99519_NEU1.pdf</v>
      </c>
    </row>
    <row r="5237" spans="1:28" x14ac:dyDescent="0.25">
      <c r="A5237" t="s">
        <v>5241</v>
      </c>
      <c r="B5237">
        <v>0.99472303558308395</v>
      </c>
      <c r="C5237">
        <v>0.94392718398416897</v>
      </c>
      <c r="D5237">
        <v>0.87436655088061599</v>
      </c>
      <c r="E5237">
        <v>0.80598861765728202</v>
      </c>
      <c r="F5237">
        <v>0.67493875783699697</v>
      </c>
      <c r="G5237">
        <v>0.439696745611516</v>
      </c>
      <c r="H5237">
        <v>0.32850565000463</v>
      </c>
      <c r="I5237">
        <v>0.162455916441924</v>
      </c>
      <c r="J5237">
        <v>0.10870172356871401</v>
      </c>
      <c r="K5237">
        <v>0.14921722752741401</v>
      </c>
      <c r="L5237">
        <v>546.78822435407596</v>
      </c>
      <c r="M5237">
        <v>10.3358605577661</v>
      </c>
      <c r="N5237">
        <v>52.9020385862353</v>
      </c>
      <c r="O5237">
        <v>51.036614027112599</v>
      </c>
      <c r="P5237">
        <v>-5.0651334917063397E-2</v>
      </c>
      <c r="Q5237">
        <v>0</v>
      </c>
      <c r="R5237">
        <v>0.99151223268117294</v>
      </c>
      <c r="S5237" t="s">
        <v>11805</v>
      </c>
      <c r="T5237" t="s">
        <v>13134</v>
      </c>
      <c r="U5237" t="s">
        <v>13134</v>
      </c>
      <c r="V5237" t="s">
        <v>13134</v>
      </c>
      <c r="W5237" t="s">
        <v>18307</v>
      </c>
      <c r="X5237">
        <v>14</v>
      </c>
      <c r="Y5237" t="s">
        <v>24675</v>
      </c>
      <c r="Z5237" t="s">
        <v>31205</v>
      </c>
      <c r="AA5237">
        <v>0.55274265565165182</v>
      </c>
      <c r="AB5237" t="str">
        <f>HYPERLINK("Melting_Curves/meltCurve_Q99523_SORT1.pdf", "Melting_Curves/meltCurve_Q99523_SORT1.pdf")</f>
        <v>Melting_Curves/meltCurve_Q99523_SORT1.pdf</v>
      </c>
    </row>
    <row r="5238" spans="1:28" x14ac:dyDescent="0.25">
      <c r="A5238" t="s">
        <v>5242</v>
      </c>
      <c r="B5238">
        <v>0.99472303558308395</v>
      </c>
      <c r="C5238">
        <v>1.0139381088514201</v>
      </c>
      <c r="D5238">
        <v>1.02957974031885</v>
      </c>
      <c r="E5238">
        <v>0.98584698250236402</v>
      </c>
      <c r="F5238">
        <v>0.81508714079773703</v>
      </c>
      <c r="G5238">
        <v>0.70825665605635602</v>
      </c>
      <c r="H5238">
        <v>0.53843027321650305</v>
      </c>
      <c r="I5238">
        <v>0.53834133778923099</v>
      </c>
      <c r="J5238">
        <v>0.36664996578569897</v>
      </c>
      <c r="K5238">
        <v>0.26869677605069398</v>
      </c>
      <c r="L5238">
        <v>596.82678887329098</v>
      </c>
      <c r="M5238">
        <v>10.3193451241491</v>
      </c>
      <c r="N5238">
        <v>59.620943897504603</v>
      </c>
      <c r="O5238">
        <v>55.790159801886801</v>
      </c>
      <c r="P5238">
        <v>-4.0113214881155199E-2</v>
      </c>
      <c r="Q5238">
        <v>0.13290699074957099</v>
      </c>
      <c r="R5238">
        <v>0.97518065824332101</v>
      </c>
      <c r="S5238" t="s">
        <v>11806</v>
      </c>
      <c r="T5238" t="s">
        <v>13134</v>
      </c>
      <c r="U5238" t="s">
        <v>13134</v>
      </c>
      <c r="V5238" t="s">
        <v>13134</v>
      </c>
      <c r="W5238" t="s">
        <v>18308</v>
      </c>
      <c r="X5238">
        <v>13</v>
      </c>
      <c r="Y5238" t="s">
        <v>24676</v>
      </c>
      <c r="Z5238" t="s">
        <v>31206</v>
      </c>
      <c r="AA5238">
        <v>0.73004051185534702</v>
      </c>
      <c r="AB5238" t="str">
        <f>HYPERLINK("Melting_Curves/meltCurve_Q99536_VAT1.pdf", "Melting_Curves/meltCurve_Q99536_VAT1.pdf")</f>
        <v>Melting_Curves/meltCurve_Q99536_VAT1.pdf</v>
      </c>
    </row>
    <row r="5239" spans="1:28" x14ac:dyDescent="0.25">
      <c r="A5239" t="s">
        <v>5243</v>
      </c>
      <c r="B5239">
        <v>0.99472303558308395</v>
      </c>
      <c r="C5239">
        <v>0.91930669055076597</v>
      </c>
      <c r="D5239">
        <v>0.78906265271935105</v>
      </c>
      <c r="E5239">
        <v>0.57257328522527895</v>
      </c>
      <c r="F5239">
        <v>0.34972019471316002</v>
      </c>
      <c r="G5239">
        <v>0.169814790736835</v>
      </c>
      <c r="H5239">
        <v>0.11303010895234999</v>
      </c>
      <c r="I5239">
        <v>8.9964268013150203E-2</v>
      </c>
      <c r="J5239">
        <v>8.8823819994482398E-2</v>
      </c>
      <c r="K5239">
        <v>7.5569557412157901E-2</v>
      </c>
      <c r="L5239">
        <v>659.34912326933204</v>
      </c>
      <c r="M5239">
        <v>14.002610597983301</v>
      </c>
      <c r="N5239">
        <v>47.473843332852098</v>
      </c>
      <c r="O5239">
        <v>46.158406508438397</v>
      </c>
      <c r="P5239">
        <v>-7.1766316643355602E-2</v>
      </c>
      <c r="Q5239">
        <v>5.3839054622577001E-2</v>
      </c>
      <c r="R5239">
        <v>0.99851804146405798</v>
      </c>
      <c r="S5239" t="s">
        <v>11807</v>
      </c>
      <c r="T5239" t="s">
        <v>13134</v>
      </c>
      <c r="U5239" t="s">
        <v>13134</v>
      </c>
      <c r="V5239" t="s">
        <v>13134</v>
      </c>
      <c r="W5239" t="s">
        <v>18309</v>
      </c>
      <c r="X5239">
        <v>5</v>
      </c>
      <c r="Y5239" t="s">
        <v>24677</v>
      </c>
      <c r="Z5239" t="s">
        <v>31207</v>
      </c>
      <c r="AA5239">
        <v>0.39597374345291109</v>
      </c>
      <c r="AB5239" t="str">
        <f>HYPERLINK("Melting_Curves/meltCurve_Q99541_PLIN2.pdf", "Melting_Curves/meltCurve_Q99541_PLIN2.pdf")</f>
        <v>Melting_Curves/meltCurve_Q99541_PLIN2.pdf</v>
      </c>
    </row>
    <row r="5240" spans="1:28" x14ac:dyDescent="0.25">
      <c r="A5240" t="s">
        <v>5244</v>
      </c>
      <c r="B5240">
        <v>0.99472303558308395</v>
      </c>
      <c r="C5240">
        <v>0.96640230453015696</v>
      </c>
      <c r="D5240">
        <v>0.761606899847039</v>
      </c>
      <c r="E5240">
        <v>0.33921816284578599</v>
      </c>
      <c r="F5240">
        <v>0.19048575325268899</v>
      </c>
      <c r="G5240">
        <v>9.9673782174119097E-2</v>
      </c>
      <c r="H5240">
        <v>6.1821225982389899E-2</v>
      </c>
      <c r="I5240">
        <v>5.0485089489362499E-2</v>
      </c>
      <c r="J5240">
        <v>6.8401299448649797E-2</v>
      </c>
      <c r="K5240">
        <v>4.7445103009340399E-2</v>
      </c>
      <c r="L5240">
        <v>991.51432281166399</v>
      </c>
      <c r="M5240">
        <v>22.014955260583701</v>
      </c>
      <c r="N5240">
        <v>45.311028163082703</v>
      </c>
      <c r="O5240">
        <v>44.671537446595003</v>
      </c>
      <c r="P5240">
        <v>-0.11555985458333901</v>
      </c>
      <c r="Q5240">
        <v>6.2070026748826702E-2</v>
      </c>
      <c r="R5240">
        <v>0.99758754750387002</v>
      </c>
      <c r="S5240" t="s">
        <v>11808</v>
      </c>
      <c r="T5240" t="s">
        <v>13134</v>
      </c>
      <c r="U5240" t="s">
        <v>13134</v>
      </c>
      <c r="V5240" t="s">
        <v>13134</v>
      </c>
      <c r="W5240" t="s">
        <v>18310</v>
      </c>
      <c r="X5240">
        <v>24</v>
      </c>
      <c r="Y5240" t="s">
        <v>24678</v>
      </c>
      <c r="Z5240" t="s">
        <v>31208</v>
      </c>
      <c r="AA5240">
        <v>0.32344386513185452</v>
      </c>
      <c r="AB5240" t="str">
        <f>HYPERLINK("Melting_Curves/meltCurve_Q99543_DNAJC2.pdf", "Melting_Curves/meltCurve_Q99543_DNAJC2.pdf")</f>
        <v>Melting_Curves/meltCurve_Q99543_DNAJC2.pdf</v>
      </c>
    </row>
    <row r="5241" spans="1:28" x14ac:dyDescent="0.25">
      <c r="A5241" t="s">
        <v>5245</v>
      </c>
      <c r="B5241">
        <v>0.99472303558308395</v>
      </c>
      <c r="C5241">
        <v>1.1004913592063501</v>
      </c>
      <c r="D5241">
        <v>1.0764564401468399</v>
      </c>
      <c r="E5241">
        <v>0.87899933746272296</v>
      </c>
      <c r="F5241">
        <v>0.85610170668916796</v>
      </c>
      <c r="G5241">
        <v>0.65074947873476796</v>
      </c>
      <c r="H5241">
        <v>0.61599222687631505</v>
      </c>
      <c r="I5241">
        <v>0.55076093355925304</v>
      </c>
      <c r="J5241">
        <v>0.30509692323224002</v>
      </c>
      <c r="K5241">
        <v>0.17350545907875101</v>
      </c>
      <c r="L5241">
        <v>583.83980680375396</v>
      </c>
      <c r="M5241">
        <v>9.8281830986064609</v>
      </c>
      <c r="N5241">
        <v>59.404657484552303</v>
      </c>
      <c r="O5241">
        <v>57.1019999850053</v>
      </c>
      <c r="P5241">
        <v>-4.30514291238243E-2</v>
      </c>
      <c r="Q5241">
        <v>0</v>
      </c>
      <c r="R5241">
        <v>0.94226675713872199</v>
      </c>
      <c r="S5241" t="s">
        <v>11809</v>
      </c>
      <c r="T5241" t="s">
        <v>13134</v>
      </c>
      <c r="U5241" t="s">
        <v>13134</v>
      </c>
      <c r="V5241" t="s">
        <v>13134</v>
      </c>
      <c r="W5241" t="s">
        <v>18311</v>
      </c>
      <c r="X5241">
        <v>22</v>
      </c>
      <c r="Y5241" t="s">
        <v>24678</v>
      </c>
      <c r="Z5241" t="s">
        <v>31209</v>
      </c>
      <c r="AA5241">
        <v>0.72474503015879677</v>
      </c>
      <c r="AB5241" t="str">
        <f>HYPERLINK("Melting_Curves/meltCurve_Q99543_2_DNAJC2.pdf", "Melting_Curves/meltCurve_Q99543_2_DNAJC2.pdf")</f>
        <v>Melting_Curves/meltCurve_Q99543_2_DNAJC2.pdf</v>
      </c>
    </row>
    <row r="5242" spans="1:28" x14ac:dyDescent="0.25">
      <c r="A5242" t="s">
        <v>5246</v>
      </c>
      <c r="B5242">
        <v>0.99472303558308395</v>
      </c>
      <c r="C5242">
        <v>0.894076108669971</v>
      </c>
      <c r="D5242">
        <v>0.71486825221195605</v>
      </c>
      <c r="E5242">
        <v>0.60310217701992197</v>
      </c>
      <c r="F5242">
        <v>0.46148257704720402</v>
      </c>
      <c r="G5242">
        <v>0.20659795172437301</v>
      </c>
      <c r="H5242">
        <v>0.16403472006794101</v>
      </c>
      <c r="I5242">
        <v>0.15594364611464301</v>
      </c>
      <c r="J5242">
        <v>0.18638441268723599</v>
      </c>
      <c r="K5242">
        <v>0.121437655716691</v>
      </c>
      <c r="L5242">
        <v>531.21688812857099</v>
      </c>
      <c r="M5242">
        <v>11.274520328419401</v>
      </c>
      <c r="N5242">
        <v>48.001965311257997</v>
      </c>
      <c r="O5242">
        <v>45.707296108351798</v>
      </c>
      <c r="P5242">
        <v>-5.58949412033918E-2</v>
      </c>
      <c r="Q5242">
        <v>9.3878142187808003E-2</v>
      </c>
      <c r="R5242">
        <v>0.98243453564760597</v>
      </c>
      <c r="S5242" t="s">
        <v>11810</v>
      </c>
      <c r="T5242" t="s">
        <v>13134</v>
      </c>
      <c r="U5242" t="s">
        <v>13134</v>
      </c>
      <c r="V5242" t="s">
        <v>13134</v>
      </c>
      <c r="W5242" t="s">
        <v>18312</v>
      </c>
      <c r="X5242">
        <v>3</v>
      </c>
      <c r="Y5242" t="s">
        <v>24679</v>
      </c>
      <c r="Z5242" t="s">
        <v>31210</v>
      </c>
      <c r="AA5242">
        <v>0.43204161723304357</v>
      </c>
      <c r="AB5242" t="str">
        <f>HYPERLINK("Melting_Curves/meltCurve_Q99549_MPHOSPH8.pdf", "Melting_Curves/meltCurve_Q99549_MPHOSPH8.pdf")</f>
        <v>Melting_Curves/meltCurve_Q99549_MPHOSPH8.pdf</v>
      </c>
    </row>
    <row r="5243" spans="1:28" x14ac:dyDescent="0.25">
      <c r="A5243" t="s">
        <v>5247</v>
      </c>
      <c r="B5243">
        <v>0.99472303558308395</v>
      </c>
      <c r="C5243">
        <v>0.91350262303109897</v>
      </c>
      <c r="D5243">
        <v>0.63766696637570597</v>
      </c>
      <c r="E5243">
        <v>0.41037472365080702</v>
      </c>
      <c r="F5243">
        <v>0.189153267170655</v>
      </c>
      <c r="G5243">
        <v>8.5147179715732393E-2</v>
      </c>
      <c r="H5243">
        <v>5.33986582450032E-2</v>
      </c>
      <c r="I5243">
        <v>3.5920601681499298E-2</v>
      </c>
      <c r="J5243">
        <v>3.8998429998169597E-2</v>
      </c>
      <c r="K5243">
        <v>3.5498925877136503E-2</v>
      </c>
      <c r="L5243">
        <v>705.31847557876995</v>
      </c>
      <c r="M5243">
        <v>15.677133252194</v>
      </c>
      <c r="N5243">
        <v>45.141364199056497</v>
      </c>
      <c r="O5243">
        <v>44.277305924249099</v>
      </c>
      <c r="P5243">
        <v>-8.6261624379248003E-2</v>
      </c>
      <c r="Q5243">
        <v>2.55596379832084E-2</v>
      </c>
      <c r="R5243">
        <v>0.99656152935453002</v>
      </c>
      <c r="S5243" t="s">
        <v>11811</v>
      </c>
      <c r="T5243" t="s">
        <v>13134</v>
      </c>
      <c r="U5243" t="s">
        <v>13134</v>
      </c>
      <c r="V5243" t="s">
        <v>13134</v>
      </c>
      <c r="W5243" t="s">
        <v>18313</v>
      </c>
      <c r="X5243">
        <v>17</v>
      </c>
      <c r="Y5243" t="s">
        <v>24680</v>
      </c>
      <c r="Z5243" t="s">
        <v>31211</v>
      </c>
      <c r="AA5243">
        <v>0.30631426979544168</v>
      </c>
      <c r="AB5243" t="str">
        <f>HYPERLINK("Melting_Curves/meltCurve_Q99567_NUP88.pdf", "Melting_Curves/meltCurve_Q99567_NUP88.pdf")</f>
        <v>Melting_Curves/meltCurve_Q99567_NUP88.pdf</v>
      </c>
    </row>
    <row r="5244" spans="1:28" x14ac:dyDescent="0.25">
      <c r="A5244" t="s">
        <v>5248</v>
      </c>
      <c r="B5244">
        <v>0.99472303558308395</v>
      </c>
      <c r="C5244">
        <v>1.1014509921167499</v>
      </c>
      <c r="D5244">
        <v>1.0519308826663301</v>
      </c>
      <c r="E5244">
        <v>0.65300736690069305</v>
      </c>
      <c r="F5244">
        <v>0.32200093519622802</v>
      </c>
      <c r="G5244">
        <v>0.46082490840538798</v>
      </c>
      <c r="H5244">
        <v>0.24837451585710399</v>
      </c>
      <c r="I5244">
        <v>0.20258132100789</v>
      </c>
      <c r="J5244">
        <v>0.320856354701684</v>
      </c>
      <c r="K5244">
        <v>0.22597092518107001</v>
      </c>
      <c r="L5244">
        <v>3305.5775504042499</v>
      </c>
      <c r="M5244">
        <v>70.899954734991496</v>
      </c>
      <c r="N5244">
        <v>47.219913082478499</v>
      </c>
      <c r="O5244">
        <v>46.586076100667597</v>
      </c>
      <c r="P5244">
        <v>-0.26788834012027801</v>
      </c>
      <c r="Q5244">
        <v>0.29591696009545099</v>
      </c>
      <c r="R5244">
        <v>0.95193290904424599</v>
      </c>
      <c r="S5244" t="s">
        <v>11812</v>
      </c>
      <c r="T5244" t="s">
        <v>13134</v>
      </c>
      <c r="U5244" t="s">
        <v>13134</v>
      </c>
      <c r="V5244" t="s">
        <v>13134</v>
      </c>
      <c r="W5244" t="s">
        <v>18314</v>
      </c>
      <c r="X5244">
        <v>1</v>
      </c>
      <c r="Y5244" t="s">
        <v>24681</v>
      </c>
      <c r="Z5244" t="s">
        <v>31212</v>
      </c>
      <c r="AA5244">
        <v>0.5224844048879751</v>
      </c>
      <c r="AB5244" t="str">
        <f>HYPERLINK("Melting_Curves/meltCurve_Q99569_2_PKP4.pdf", "Melting_Curves/meltCurve_Q99569_2_PKP4.pdf")</f>
        <v>Melting_Curves/meltCurve_Q99569_2_PKP4.pdf</v>
      </c>
    </row>
    <row r="5245" spans="1:28" x14ac:dyDescent="0.25">
      <c r="A5245" t="s">
        <v>5249</v>
      </c>
      <c r="B5245">
        <v>0.99472303558308395</v>
      </c>
      <c r="C5245">
        <v>0.93294323608415397</v>
      </c>
      <c r="D5245">
        <v>0.70406089524750304</v>
      </c>
      <c r="E5245">
        <v>0.50248306545867405</v>
      </c>
      <c r="F5245">
        <v>0.34175521445465301</v>
      </c>
      <c r="G5245">
        <v>9.4224201072078503E-2</v>
      </c>
      <c r="H5245">
        <v>8.7642727478776494E-2</v>
      </c>
      <c r="I5245">
        <v>3.75054601483817E-2</v>
      </c>
      <c r="J5245">
        <v>6.6669026676229703E-2</v>
      </c>
      <c r="K5245">
        <v>4.7802216544202997E-2</v>
      </c>
      <c r="L5245">
        <v>625.22036274381003</v>
      </c>
      <c r="M5245">
        <v>13.462290838765099</v>
      </c>
      <c r="N5245">
        <v>46.5821100560022</v>
      </c>
      <c r="O5245">
        <v>45.453492463916298</v>
      </c>
      <c r="P5245">
        <v>-7.2589898996789803E-2</v>
      </c>
      <c r="Q5245">
        <v>1.9793617839978898E-2</v>
      </c>
      <c r="R5245">
        <v>0.99072485103229602</v>
      </c>
      <c r="S5245" t="s">
        <v>11813</v>
      </c>
      <c r="T5245" t="s">
        <v>13134</v>
      </c>
      <c r="U5245" t="s">
        <v>13134</v>
      </c>
      <c r="V5245" t="s">
        <v>13134</v>
      </c>
      <c r="W5245" t="s">
        <v>18315</v>
      </c>
      <c r="X5245">
        <v>11</v>
      </c>
      <c r="Y5245" t="s">
        <v>24682</v>
      </c>
      <c r="Z5245" t="s">
        <v>31213</v>
      </c>
      <c r="AA5245">
        <v>0.3554882378843357</v>
      </c>
      <c r="AB5245" t="str">
        <f>HYPERLINK("Melting_Curves/meltCurve_Q99570_PIK3R4.pdf", "Melting_Curves/meltCurve_Q99570_PIK3R4.pdf")</f>
        <v>Melting_Curves/meltCurve_Q99570_PIK3R4.pdf</v>
      </c>
    </row>
    <row r="5246" spans="1:28" x14ac:dyDescent="0.25">
      <c r="A5246" t="s">
        <v>5250</v>
      </c>
      <c r="B5246">
        <v>0.99472303558308395</v>
      </c>
      <c r="C5246">
        <v>0.99701935386046303</v>
      </c>
      <c r="D5246">
        <v>0.72103947573337601</v>
      </c>
      <c r="E5246">
        <v>0.62692520364626603</v>
      </c>
      <c r="F5246">
        <v>0.95484063438932298</v>
      </c>
      <c r="G5246">
        <v>0.35680994623618201</v>
      </c>
      <c r="H5246">
        <v>0.102339300504605</v>
      </c>
      <c r="I5246">
        <v>5.5025350310454198E-2</v>
      </c>
      <c r="J5246">
        <v>4.7519394886422803E-2</v>
      </c>
      <c r="K5246">
        <v>4.8133164497039103E-2</v>
      </c>
      <c r="L5246">
        <v>817.65022728179497</v>
      </c>
      <c r="M5246">
        <v>15.609382404041099</v>
      </c>
      <c r="N5246">
        <v>52.381971677219703</v>
      </c>
      <c r="O5246">
        <v>51.544839029399597</v>
      </c>
      <c r="P5246">
        <v>-7.5714328246913695E-2</v>
      </c>
      <c r="Q5246">
        <v>0</v>
      </c>
      <c r="R5246">
        <v>0.85713836862061599</v>
      </c>
      <c r="S5246" t="s">
        <v>11814</v>
      </c>
      <c r="T5246" t="s">
        <v>13134</v>
      </c>
      <c r="U5246" t="s">
        <v>13134</v>
      </c>
      <c r="V5246" t="s">
        <v>13134</v>
      </c>
      <c r="W5246" t="s">
        <v>18316</v>
      </c>
      <c r="X5246">
        <v>9</v>
      </c>
      <c r="Y5246" t="s">
        <v>24683</v>
      </c>
      <c r="Z5246" t="s">
        <v>31214</v>
      </c>
      <c r="AA5246">
        <v>0.53060174376583713</v>
      </c>
      <c r="AB5246" t="str">
        <f>HYPERLINK("Melting_Curves/meltCurve_Q99575_POP1.pdf", "Melting_Curves/meltCurve_Q99575_POP1.pdf")</f>
        <v>Melting_Curves/meltCurve_Q99575_POP1.pdf</v>
      </c>
    </row>
    <row r="5247" spans="1:28" x14ac:dyDescent="0.25">
      <c r="A5247" t="s">
        <v>5251</v>
      </c>
      <c r="B5247">
        <v>0.99472303558308395</v>
      </c>
      <c r="C5247">
        <v>0.90489761295070104</v>
      </c>
      <c r="D5247">
        <v>0.92335140268006199</v>
      </c>
      <c r="E5247">
        <v>0.64755686965276205</v>
      </c>
      <c r="F5247">
        <v>0.281370341186779</v>
      </c>
      <c r="G5247">
        <v>0.26771017798240898</v>
      </c>
      <c r="H5247">
        <v>0.209010082367801</v>
      </c>
      <c r="I5247">
        <v>0.14323738891472801</v>
      </c>
      <c r="J5247">
        <v>0.194867913217213</v>
      </c>
      <c r="K5247">
        <v>0.13288351105420099</v>
      </c>
      <c r="L5247">
        <v>1066.25852755142</v>
      </c>
      <c r="M5247">
        <v>22.671019216759099</v>
      </c>
      <c r="N5247">
        <v>47.906709201415602</v>
      </c>
      <c r="O5247">
        <v>46.670439837328097</v>
      </c>
      <c r="P5247">
        <v>-0.100858004564579</v>
      </c>
      <c r="Q5247">
        <v>0.16951344258053899</v>
      </c>
      <c r="R5247">
        <v>0.98617052303853603</v>
      </c>
      <c r="S5247" t="s">
        <v>11815</v>
      </c>
      <c r="T5247" t="s">
        <v>13134</v>
      </c>
      <c r="U5247" t="s">
        <v>13134</v>
      </c>
      <c r="V5247" t="s">
        <v>13134</v>
      </c>
      <c r="W5247" t="s">
        <v>18317</v>
      </c>
      <c r="X5247">
        <v>3</v>
      </c>
      <c r="Y5247" t="s">
        <v>24684</v>
      </c>
      <c r="Z5247" t="s">
        <v>31215</v>
      </c>
      <c r="AA5247">
        <v>0.45570971469717331</v>
      </c>
      <c r="AB5247" t="str">
        <f>HYPERLINK("Melting_Curves/meltCurve_Q99583_MNT.pdf", "Melting_Curves/meltCurve_Q99583_MNT.pdf")</f>
        <v>Melting_Curves/meltCurve_Q99583_MNT.pdf</v>
      </c>
    </row>
    <row r="5248" spans="1:28" x14ac:dyDescent="0.25">
      <c r="A5248" t="s">
        <v>5252</v>
      </c>
      <c r="B5248">
        <v>0.99472303558308395</v>
      </c>
      <c r="C5248">
        <v>0.90622352610044199</v>
      </c>
      <c r="D5248">
        <v>1.05146334676207</v>
      </c>
      <c r="E5248">
        <v>0.90609391453579302</v>
      </c>
      <c r="F5248">
        <v>0.61294487872632197</v>
      </c>
      <c r="G5248">
        <v>0.50629064486404496</v>
      </c>
      <c r="H5248">
        <v>0.31219885393234298</v>
      </c>
      <c r="I5248">
        <v>0.22719997132950301</v>
      </c>
      <c r="J5248">
        <v>0.23886862129016501</v>
      </c>
      <c r="K5248">
        <v>0.16586991292845699</v>
      </c>
      <c r="L5248">
        <v>822.83786454793005</v>
      </c>
      <c r="M5248">
        <v>15.9246711745547</v>
      </c>
      <c r="N5248">
        <v>53.084978927339002</v>
      </c>
      <c r="O5248">
        <v>50.876421653215303</v>
      </c>
      <c r="P5248">
        <v>-6.4728733983747594E-2</v>
      </c>
      <c r="Q5248">
        <v>0.17288006095542399</v>
      </c>
      <c r="R5248">
        <v>0.97813066469396603</v>
      </c>
      <c r="S5248" t="s">
        <v>11816</v>
      </c>
      <c r="T5248" t="s">
        <v>13134</v>
      </c>
      <c r="U5248" t="s">
        <v>13134</v>
      </c>
      <c r="V5248" t="s">
        <v>13134</v>
      </c>
      <c r="W5248" t="s">
        <v>18318</v>
      </c>
      <c r="X5248">
        <v>6</v>
      </c>
      <c r="Y5248" t="s">
        <v>24685</v>
      </c>
      <c r="Z5248" t="s">
        <v>31216</v>
      </c>
      <c r="AA5248">
        <v>0.59231896875623091</v>
      </c>
      <c r="AB5248" t="str">
        <f>HYPERLINK("Melting_Curves/meltCurve_Q99584_S100A13.pdf", "Melting_Curves/meltCurve_Q99584_S100A13.pdf")</f>
        <v>Melting_Curves/meltCurve_Q99584_S100A13.pdf</v>
      </c>
    </row>
    <row r="5249" spans="1:28" x14ac:dyDescent="0.25">
      <c r="A5249" t="s">
        <v>5253</v>
      </c>
      <c r="B5249">
        <v>0.99472303558308395</v>
      </c>
      <c r="C5249">
        <v>0.98682083687285604</v>
      </c>
      <c r="D5249">
        <v>0.86752999429504696</v>
      </c>
      <c r="E5249">
        <v>0.72499465428422305</v>
      </c>
      <c r="F5249">
        <v>0.67936993028261095</v>
      </c>
      <c r="G5249">
        <v>0.49385839540382198</v>
      </c>
      <c r="H5249">
        <v>0.283807215005487</v>
      </c>
      <c r="I5249">
        <v>0.313250042542422</v>
      </c>
      <c r="J5249">
        <v>0.33341099492876902</v>
      </c>
      <c r="K5249">
        <v>0.17473049535618801</v>
      </c>
      <c r="L5249">
        <v>505.98036138167902</v>
      </c>
      <c r="M5249">
        <v>9.8655441798721402</v>
      </c>
      <c r="N5249">
        <v>53.191155652779997</v>
      </c>
      <c r="O5249">
        <v>49.313690747889403</v>
      </c>
      <c r="P5249">
        <v>-4.2597348826168897E-2</v>
      </c>
      <c r="Q5249">
        <v>0.148731360535452</v>
      </c>
      <c r="R5249">
        <v>0.97103339261127697</v>
      </c>
      <c r="S5249" t="s">
        <v>11817</v>
      </c>
      <c r="T5249" t="s">
        <v>13134</v>
      </c>
      <c r="U5249" t="s">
        <v>13134</v>
      </c>
      <c r="V5249" t="s">
        <v>13134</v>
      </c>
      <c r="W5249" t="s">
        <v>18319</v>
      </c>
      <c r="X5249">
        <v>3</v>
      </c>
      <c r="Y5249" t="s">
        <v>24686</v>
      </c>
      <c r="Z5249" t="s">
        <v>31217</v>
      </c>
      <c r="AA5249">
        <v>0.5794231932887095</v>
      </c>
      <c r="AB5249" t="str">
        <f>HYPERLINK("Melting_Curves/meltCurve_Q99595_TIMM17A.pdf", "Melting_Curves/meltCurve_Q99595_TIMM17A.pdf")</f>
        <v>Melting_Curves/meltCurve_Q99595_TIMM17A.pdf</v>
      </c>
    </row>
    <row r="5250" spans="1:28" x14ac:dyDescent="0.25">
      <c r="A5250" t="s">
        <v>5254</v>
      </c>
      <c r="B5250">
        <v>0.99472303558308395</v>
      </c>
      <c r="C5250">
        <v>1.01054908759866</v>
      </c>
      <c r="D5250">
        <v>0.87715804319051505</v>
      </c>
      <c r="E5250">
        <v>0.835279558183046</v>
      </c>
      <c r="F5250">
        <v>0.81772171097729396</v>
      </c>
      <c r="G5250">
        <v>0.52496860487838404</v>
      </c>
      <c r="H5250">
        <v>0.35835233939109601</v>
      </c>
      <c r="I5250">
        <v>0.23860061651506101</v>
      </c>
      <c r="J5250">
        <v>0.240881937291965</v>
      </c>
      <c r="K5250">
        <v>0.13948385551752199</v>
      </c>
      <c r="L5250">
        <v>618.16392991069301</v>
      </c>
      <c r="M5250">
        <v>11.4052250272295</v>
      </c>
      <c r="N5250">
        <v>54.769469624069799</v>
      </c>
      <c r="O5250">
        <v>52.614059159628503</v>
      </c>
      <c r="P5250">
        <v>-5.1178131539803003E-2</v>
      </c>
      <c r="Q5250">
        <v>5.59066397939013E-2</v>
      </c>
      <c r="R5250">
        <v>0.98083395598197098</v>
      </c>
      <c r="S5250" t="s">
        <v>11818</v>
      </c>
      <c r="T5250" t="s">
        <v>13134</v>
      </c>
      <c r="U5250" t="s">
        <v>13134</v>
      </c>
      <c r="V5250" t="s">
        <v>13134</v>
      </c>
      <c r="W5250" t="s">
        <v>18320</v>
      </c>
      <c r="X5250">
        <v>21</v>
      </c>
      <c r="Y5250" t="s">
        <v>24687</v>
      </c>
      <c r="Z5250" t="s">
        <v>31218</v>
      </c>
      <c r="AA5250">
        <v>0.61344497808278742</v>
      </c>
      <c r="AB5250" t="str">
        <f>HYPERLINK("Melting_Curves/meltCurve_Q99598_TSNAX.pdf", "Melting_Curves/meltCurve_Q99598_TSNAX.pdf")</f>
        <v>Melting_Curves/meltCurve_Q99598_TSNAX.pdf</v>
      </c>
    </row>
    <row r="5251" spans="1:28" x14ac:dyDescent="0.25">
      <c r="A5251" t="s">
        <v>5255</v>
      </c>
      <c r="B5251">
        <v>0.99472303558308395</v>
      </c>
      <c r="C5251">
        <v>0.89757222554639904</v>
      </c>
      <c r="D5251">
        <v>1.0999841159294801</v>
      </c>
      <c r="E5251">
        <v>0.93045569236575099</v>
      </c>
      <c r="F5251">
        <v>0.63163470833023705</v>
      </c>
      <c r="G5251">
        <v>0.61363932081828398</v>
      </c>
      <c r="H5251">
        <v>0.47289284338212501</v>
      </c>
      <c r="I5251">
        <v>0.47238942996772798</v>
      </c>
      <c r="J5251">
        <v>0.57137910728197205</v>
      </c>
      <c r="K5251">
        <v>0.48725770489928699</v>
      </c>
      <c r="L5251">
        <v>1754.8073564481899</v>
      </c>
      <c r="M5251">
        <v>35.9239040986579</v>
      </c>
      <c r="O5251">
        <v>48.6972662227668</v>
      </c>
      <c r="P5251">
        <v>-8.9143732660690395E-2</v>
      </c>
      <c r="Q5251">
        <v>0.51664016520879297</v>
      </c>
      <c r="R5251">
        <v>0.93005368596925497</v>
      </c>
      <c r="S5251" t="s">
        <v>11819</v>
      </c>
      <c r="T5251" t="s">
        <v>13134</v>
      </c>
      <c r="U5251" t="s">
        <v>13134</v>
      </c>
      <c r="V5251" t="s">
        <v>13134</v>
      </c>
      <c r="W5251" t="s">
        <v>18321</v>
      </c>
      <c r="X5251">
        <v>18</v>
      </c>
      <c r="Y5251" t="s">
        <v>24688</v>
      </c>
      <c r="Z5251" t="s">
        <v>31219</v>
      </c>
      <c r="AA5251">
        <v>0.70955934230860762</v>
      </c>
      <c r="AB5251" t="str">
        <f>HYPERLINK("Melting_Curves/meltCurve_Q99614_TTC1.pdf", "Melting_Curves/meltCurve_Q99614_TTC1.pdf")</f>
        <v>Melting_Curves/meltCurve_Q99614_TTC1.pdf</v>
      </c>
    </row>
    <row r="5252" spans="1:28" x14ac:dyDescent="0.25">
      <c r="A5252" t="s">
        <v>5256</v>
      </c>
      <c r="B5252">
        <v>0.99472303558308395</v>
      </c>
      <c r="C5252">
        <v>0.90177580720474704</v>
      </c>
      <c r="D5252">
        <v>0.95287093745962004</v>
      </c>
      <c r="E5252">
        <v>0.76868479182549898</v>
      </c>
      <c r="F5252">
        <v>0.159650050562959</v>
      </c>
      <c r="G5252">
        <v>8.4156066208620997E-2</v>
      </c>
      <c r="H5252">
        <v>4.9699411016003003E-2</v>
      </c>
      <c r="I5252">
        <v>3.76696342652066E-2</v>
      </c>
      <c r="J5252">
        <v>3.9507093285288397E-2</v>
      </c>
      <c r="K5252">
        <v>3.3396569900409297E-2</v>
      </c>
      <c r="L5252">
        <v>1953.5786481517</v>
      </c>
      <c r="M5252">
        <v>40.816921656251203</v>
      </c>
      <c r="N5252">
        <v>47.972957905294997</v>
      </c>
      <c r="O5252">
        <v>47.747537717475304</v>
      </c>
      <c r="P5252">
        <v>-0.20408464390955999</v>
      </c>
      <c r="Q5252">
        <v>4.5051187947588799E-2</v>
      </c>
      <c r="R5252">
        <v>0.99289824986222697</v>
      </c>
      <c r="S5252" t="s">
        <v>11820</v>
      </c>
      <c r="T5252" t="s">
        <v>13134</v>
      </c>
      <c r="U5252" t="s">
        <v>13134</v>
      </c>
      <c r="V5252" t="s">
        <v>13134</v>
      </c>
      <c r="W5252" t="s">
        <v>18322</v>
      </c>
      <c r="X5252">
        <v>46</v>
      </c>
      <c r="Y5252" t="s">
        <v>24689</v>
      </c>
      <c r="Z5252" t="s">
        <v>31220</v>
      </c>
      <c r="AA5252">
        <v>0.39383902564145162</v>
      </c>
      <c r="AB5252" t="str">
        <f>HYPERLINK("Melting_Curves/meltCurve_Q99615_DNAJC7.pdf", "Melting_Curves/meltCurve_Q99615_DNAJC7.pdf")</f>
        <v>Melting_Curves/meltCurve_Q99615_DNAJC7.pdf</v>
      </c>
    </row>
    <row r="5253" spans="1:28" x14ac:dyDescent="0.25">
      <c r="A5253" t="s">
        <v>5257</v>
      </c>
      <c r="B5253">
        <v>0.99472303558308395</v>
      </c>
      <c r="C5253">
        <v>1.0467903171266899</v>
      </c>
      <c r="D5253">
        <v>0.95793092325255402</v>
      </c>
      <c r="E5253">
        <v>0.87046895328328</v>
      </c>
      <c r="F5253">
        <v>0.69259201849840901</v>
      </c>
      <c r="G5253">
        <v>0.558526325946749</v>
      </c>
      <c r="H5253">
        <v>0.40080245150456101</v>
      </c>
      <c r="I5253">
        <v>0.53176703908151601</v>
      </c>
      <c r="J5253">
        <v>0.66388519665446299</v>
      </c>
      <c r="K5253">
        <v>0.54251750905793505</v>
      </c>
      <c r="L5253">
        <v>1293.5391462505299</v>
      </c>
      <c r="M5253">
        <v>26.687664935091501</v>
      </c>
      <c r="O5253">
        <v>48.199857836468603</v>
      </c>
      <c r="P5253">
        <v>-6.4405587760152594E-2</v>
      </c>
      <c r="Q5253">
        <v>0.53472016296050695</v>
      </c>
      <c r="R5253">
        <v>0.91218195337102304</v>
      </c>
      <c r="S5253" t="s">
        <v>11821</v>
      </c>
      <c r="T5253" t="s">
        <v>13134</v>
      </c>
      <c r="U5253" t="s">
        <v>13134</v>
      </c>
      <c r="V5253" t="s">
        <v>13134</v>
      </c>
      <c r="W5253" t="s">
        <v>18323</v>
      </c>
      <c r="X5253">
        <v>9</v>
      </c>
      <c r="Y5253" t="s">
        <v>24690</v>
      </c>
      <c r="Z5253" t="s">
        <v>31221</v>
      </c>
      <c r="AA5253">
        <v>0.71611438688603524</v>
      </c>
      <c r="AB5253" t="str">
        <f>HYPERLINK("Melting_Curves/meltCurve_Q99618_CDCA3.pdf", "Melting_Curves/meltCurve_Q99618_CDCA3.pdf")</f>
        <v>Melting_Curves/meltCurve_Q99618_CDCA3.pdf</v>
      </c>
    </row>
    <row r="5254" spans="1:28" x14ac:dyDescent="0.25">
      <c r="A5254" t="s">
        <v>5258</v>
      </c>
      <c r="B5254">
        <v>0.99472303558308395</v>
      </c>
      <c r="C5254">
        <v>0.87351234388823296</v>
      </c>
      <c r="D5254">
        <v>0.89808668229330202</v>
      </c>
      <c r="E5254">
        <v>0.51934238449615699</v>
      </c>
      <c r="F5254">
        <v>0.17838937789112599</v>
      </c>
      <c r="G5254">
        <v>8.8492903344727494E-2</v>
      </c>
      <c r="H5254">
        <v>6.3170468816267297E-2</v>
      </c>
      <c r="I5254">
        <v>5.5126077736949899E-2</v>
      </c>
      <c r="J5254">
        <v>6.4931561818101405E-2</v>
      </c>
      <c r="K5254">
        <v>6.0358881282021298E-2</v>
      </c>
      <c r="L5254">
        <v>1092.22386871034</v>
      </c>
      <c r="M5254">
        <v>23.502208627825901</v>
      </c>
      <c r="N5254">
        <v>46.6998780167091</v>
      </c>
      <c r="O5254">
        <v>46.140703155078597</v>
      </c>
      <c r="P5254">
        <v>-0.120478877293519</v>
      </c>
      <c r="Q5254">
        <v>5.3895796678404197E-2</v>
      </c>
      <c r="R5254">
        <v>0.99139436261265801</v>
      </c>
      <c r="S5254" t="s">
        <v>11822</v>
      </c>
      <c r="T5254" t="s">
        <v>13134</v>
      </c>
      <c r="U5254" t="s">
        <v>13134</v>
      </c>
      <c r="V5254" t="s">
        <v>13134</v>
      </c>
      <c r="W5254" t="s">
        <v>18324</v>
      </c>
      <c r="X5254">
        <v>3</v>
      </c>
      <c r="Y5254" t="s">
        <v>24691</v>
      </c>
      <c r="Z5254" t="s">
        <v>31222</v>
      </c>
      <c r="AA5254">
        <v>0.36159194226896268</v>
      </c>
      <c r="AB5254" t="str">
        <f>HYPERLINK("Melting_Curves/meltCurve_Q99622_C12orf57.pdf", "Melting_Curves/meltCurve_Q99622_C12orf57.pdf")</f>
        <v>Melting_Curves/meltCurve_Q99622_C12orf57.pdf</v>
      </c>
    </row>
    <row r="5255" spans="1:28" x14ac:dyDescent="0.25">
      <c r="A5255" t="s">
        <v>5259</v>
      </c>
      <c r="B5255">
        <v>0.99472303558308395</v>
      </c>
      <c r="C5255">
        <v>0.92029259485347503</v>
      </c>
      <c r="D5255">
        <v>1.0235297329519499</v>
      </c>
      <c r="E5255">
        <v>0.68690997114839902</v>
      </c>
      <c r="F5255">
        <v>0.61902783535265005</v>
      </c>
      <c r="G5255">
        <v>0.242175754013113</v>
      </c>
      <c r="H5255">
        <v>0.24508654136717101</v>
      </c>
      <c r="I5255">
        <v>0.17208272296381</v>
      </c>
      <c r="J5255">
        <v>0.26206630575547701</v>
      </c>
      <c r="K5255">
        <v>0.25944427756822602</v>
      </c>
      <c r="L5255">
        <v>934.074461515704</v>
      </c>
      <c r="M5255">
        <v>19.108822461937802</v>
      </c>
      <c r="N5255">
        <v>50.318546478389997</v>
      </c>
      <c r="O5255">
        <v>48.355935536808303</v>
      </c>
      <c r="P5255">
        <v>-7.8024169517801598E-2</v>
      </c>
      <c r="Q5255">
        <v>0.21025269972952701</v>
      </c>
      <c r="R5255">
        <v>0.95775125902376301</v>
      </c>
      <c r="S5255" t="s">
        <v>11823</v>
      </c>
      <c r="T5255" t="s">
        <v>13134</v>
      </c>
      <c r="U5255" t="s">
        <v>13134</v>
      </c>
      <c r="V5255" t="s">
        <v>13134</v>
      </c>
      <c r="W5255" t="s">
        <v>18325</v>
      </c>
      <c r="X5255">
        <v>5</v>
      </c>
      <c r="Y5255" t="s">
        <v>24692</v>
      </c>
      <c r="Z5255" t="s">
        <v>31223</v>
      </c>
      <c r="AA5255">
        <v>0.53434135795494175</v>
      </c>
      <c r="AB5255" t="str">
        <f>HYPERLINK("Melting_Curves/meltCurve_Q99633_PRPF18.pdf", "Melting_Curves/meltCurve_Q99633_PRPF18.pdf")</f>
        <v>Melting_Curves/meltCurve_Q99633_PRPF18.pdf</v>
      </c>
    </row>
    <row r="5256" spans="1:28" x14ac:dyDescent="0.25">
      <c r="A5256" t="s">
        <v>5260</v>
      </c>
      <c r="B5256">
        <v>0.99472303558308395</v>
      </c>
      <c r="C5256">
        <v>0.87987856102349105</v>
      </c>
      <c r="D5256">
        <v>0.60985056624422795</v>
      </c>
      <c r="E5256">
        <v>0.34877673746099203</v>
      </c>
      <c r="F5256">
        <v>0.28612191260200498</v>
      </c>
      <c r="G5256">
        <v>0.124609966878943</v>
      </c>
      <c r="H5256">
        <v>8.3666192891350799E-2</v>
      </c>
      <c r="I5256">
        <v>8.1040694329156102E-2</v>
      </c>
      <c r="J5256">
        <v>6.4874037651225694E-2</v>
      </c>
      <c r="K5256">
        <v>5.1930881724675797E-2</v>
      </c>
      <c r="L5256">
        <v>643.02775128908604</v>
      </c>
      <c r="M5256">
        <v>14.4579081561886</v>
      </c>
      <c r="N5256">
        <v>44.872855172306402</v>
      </c>
      <c r="O5256">
        <v>43.650965765384498</v>
      </c>
      <c r="P5256">
        <v>-7.7841985782308096E-2</v>
      </c>
      <c r="Q5256">
        <v>6.0035516043688703E-2</v>
      </c>
      <c r="R5256">
        <v>0.99034128116938902</v>
      </c>
      <c r="S5256" t="s">
        <v>11824</v>
      </c>
      <c r="T5256" t="s">
        <v>13134</v>
      </c>
      <c r="U5256" t="s">
        <v>13134</v>
      </c>
      <c r="V5256" t="s">
        <v>13134</v>
      </c>
      <c r="W5256" t="s">
        <v>18326</v>
      </c>
      <c r="X5256">
        <v>6</v>
      </c>
      <c r="Y5256" t="s">
        <v>24693</v>
      </c>
      <c r="Z5256" t="s">
        <v>31224</v>
      </c>
      <c r="AA5256">
        <v>0.31886477443157218</v>
      </c>
      <c r="AB5256" t="str">
        <f>HYPERLINK("Melting_Curves/meltCurve_Q99640_4_PKMYT1.pdf", "Melting_Curves/meltCurve_Q99640_4_PKMYT1.pdf")</f>
        <v>Melting_Curves/meltCurve_Q99640_4_PKMYT1.pdf</v>
      </c>
    </row>
    <row r="5257" spans="1:28" x14ac:dyDescent="0.25">
      <c r="A5257" t="s">
        <v>5261</v>
      </c>
      <c r="B5257">
        <v>0.99472303558308395</v>
      </c>
      <c r="C5257">
        <v>0.94759089079450398</v>
      </c>
      <c r="D5257">
        <v>0.853175919226006</v>
      </c>
      <c r="E5257">
        <v>0.697842125230559</v>
      </c>
      <c r="F5257">
        <v>0.48499336602107601</v>
      </c>
      <c r="G5257">
        <v>0.231417093460974</v>
      </c>
      <c r="H5257">
        <v>9.5493638951773804E-2</v>
      </c>
      <c r="I5257">
        <v>7.3960132798267006E-2</v>
      </c>
      <c r="J5257">
        <v>8.7530813589320397E-2</v>
      </c>
      <c r="K5257">
        <v>7.0021434312886793E-2</v>
      </c>
      <c r="L5257">
        <v>691.75167907289199</v>
      </c>
      <c r="M5257">
        <v>14.069578133915201</v>
      </c>
      <c r="N5257">
        <v>49.358814615083901</v>
      </c>
      <c r="O5257">
        <v>48.205217791944399</v>
      </c>
      <c r="P5257">
        <v>-7.1030025087229595E-2</v>
      </c>
      <c r="Q5257">
        <v>2.66738548199578E-2</v>
      </c>
      <c r="R5257">
        <v>0.99503304239400303</v>
      </c>
      <c r="S5257" t="s">
        <v>11825</v>
      </c>
      <c r="T5257" t="s">
        <v>13134</v>
      </c>
      <c r="U5257" t="s">
        <v>13134</v>
      </c>
      <c r="V5257" t="s">
        <v>13134</v>
      </c>
      <c r="W5257" t="s">
        <v>18327</v>
      </c>
      <c r="X5257">
        <v>13</v>
      </c>
      <c r="Y5257" t="s">
        <v>24694</v>
      </c>
      <c r="Z5257" t="s">
        <v>31225</v>
      </c>
      <c r="AA5257">
        <v>0.44437742668881441</v>
      </c>
      <c r="AB5257" t="str">
        <f>HYPERLINK("Melting_Curves/meltCurve_Q99653_CHP1.pdf", "Melting_Curves/meltCurve_Q99653_CHP1.pdf")</f>
        <v>Melting_Curves/meltCurve_Q99653_CHP1.pdf</v>
      </c>
    </row>
    <row r="5258" spans="1:28" x14ac:dyDescent="0.25">
      <c r="A5258" t="s">
        <v>5262</v>
      </c>
      <c r="B5258">
        <v>0.99472303558308395</v>
      </c>
      <c r="C5258">
        <v>0.89546928031900397</v>
      </c>
      <c r="D5258">
        <v>0.90253887305027602</v>
      </c>
      <c r="E5258">
        <v>0.62798828331777001</v>
      </c>
      <c r="F5258">
        <v>0.238176487848895</v>
      </c>
      <c r="G5258">
        <v>7.9001689080636803E-2</v>
      </c>
      <c r="H5258">
        <v>4.3924231372915998E-2</v>
      </c>
      <c r="I5258">
        <v>3.6893356165313897E-2</v>
      </c>
      <c r="J5258">
        <v>4.3714782139201297E-2</v>
      </c>
      <c r="K5258">
        <v>3.5567111376724601E-2</v>
      </c>
      <c r="L5258">
        <v>1045.18091058598</v>
      </c>
      <c r="M5258">
        <v>22.0384077207082</v>
      </c>
      <c r="N5258">
        <v>47.548437303327397</v>
      </c>
      <c r="O5258">
        <v>47.040126995669297</v>
      </c>
      <c r="P5258">
        <v>-0.113882601254138</v>
      </c>
      <c r="Q5258">
        <v>2.77096116609757E-2</v>
      </c>
      <c r="R5258">
        <v>0.99414424999597195</v>
      </c>
      <c r="S5258" t="s">
        <v>11826</v>
      </c>
      <c r="T5258" t="s">
        <v>13134</v>
      </c>
      <c r="U5258" t="s">
        <v>13134</v>
      </c>
      <c r="V5258" t="s">
        <v>13134</v>
      </c>
      <c r="W5258" t="s">
        <v>18328</v>
      </c>
      <c r="X5258">
        <v>31</v>
      </c>
      <c r="Y5258" t="s">
        <v>24695</v>
      </c>
      <c r="Z5258" t="s">
        <v>31226</v>
      </c>
      <c r="AA5258">
        <v>0.37614492870569899</v>
      </c>
      <c r="AB5258" t="str">
        <f>HYPERLINK("Melting_Curves/meltCurve_Q99661_KIF2C.pdf", "Melting_Curves/meltCurve_Q99661_KIF2C.pdf")</f>
        <v>Melting_Curves/meltCurve_Q99661_KIF2C.pdf</v>
      </c>
    </row>
    <row r="5259" spans="1:28" x14ac:dyDescent="0.25">
      <c r="A5259" t="s">
        <v>5263</v>
      </c>
      <c r="B5259">
        <v>0.99472303558308395</v>
      </c>
      <c r="C5259">
        <v>0.98277362775931298</v>
      </c>
      <c r="D5259">
        <v>0.89379178874631104</v>
      </c>
      <c r="E5259">
        <v>0.77290733347002405</v>
      </c>
      <c r="F5259">
        <v>0.54400310275291897</v>
      </c>
      <c r="G5259">
        <v>0.295575661042486</v>
      </c>
      <c r="H5259">
        <v>8.6855168765761506E-2</v>
      </c>
      <c r="I5259">
        <v>5.8853959506433802E-2</v>
      </c>
      <c r="J5259">
        <v>6.1237724570435199E-2</v>
      </c>
      <c r="K5259">
        <v>5.8773267704684697E-2</v>
      </c>
      <c r="L5259">
        <v>772.467072081943</v>
      </c>
      <c r="M5259">
        <v>15.334945838838101</v>
      </c>
      <c r="N5259">
        <v>50.438851274545897</v>
      </c>
      <c r="O5259">
        <v>49.539686664104899</v>
      </c>
      <c r="P5259">
        <v>-7.6627250594064306E-2</v>
      </c>
      <c r="Q5259">
        <v>9.9115187220715599E-3</v>
      </c>
      <c r="R5259">
        <v>0.99554434207967801</v>
      </c>
      <c r="S5259" t="s">
        <v>11827</v>
      </c>
      <c r="T5259" t="s">
        <v>13134</v>
      </c>
      <c r="U5259" t="s">
        <v>13134</v>
      </c>
      <c r="V5259" t="s">
        <v>13134</v>
      </c>
      <c r="W5259" t="s">
        <v>18329</v>
      </c>
      <c r="X5259">
        <v>14</v>
      </c>
      <c r="Y5259" t="s">
        <v>24696</v>
      </c>
      <c r="Z5259" t="s">
        <v>31227</v>
      </c>
      <c r="AA5259">
        <v>0.47106571795421381</v>
      </c>
      <c r="AB5259" t="str">
        <f>HYPERLINK("Melting_Curves/meltCurve_Q99700_4_ATXN2.pdf", "Melting_Curves/meltCurve_Q99700_4_ATXN2.pdf")</f>
        <v>Melting_Curves/meltCurve_Q99700_4_ATXN2.pdf</v>
      </c>
    </row>
    <row r="5260" spans="1:28" x14ac:dyDescent="0.25">
      <c r="A5260" t="s">
        <v>5264</v>
      </c>
      <c r="B5260">
        <v>0.99472303558308395</v>
      </c>
      <c r="C5260">
        <v>0.84508299181164903</v>
      </c>
      <c r="D5260">
        <v>0.88855601470428702</v>
      </c>
      <c r="E5260">
        <v>0.468733521846462</v>
      </c>
      <c r="F5260">
        <v>9.58767775732733E-2</v>
      </c>
      <c r="G5260">
        <v>6.5801133451669797E-2</v>
      </c>
      <c r="H5260">
        <v>3.1174395306885701E-2</v>
      </c>
      <c r="I5260">
        <v>8.6530319197022608E-3</v>
      </c>
      <c r="J5260">
        <v>1.25336986424598E-2</v>
      </c>
      <c r="K5260">
        <v>0</v>
      </c>
      <c r="L5260">
        <v>1122.03418496883</v>
      </c>
      <c r="M5260">
        <v>24.273696192892899</v>
      </c>
      <c r="N5260">
        <v>46.259516582769002</v>
      </c>
      <c r="O5260">
        <v>45.913983399829</v>
      </c>
      <c r="P5260">
        <v>-0.13096081104472401</v>
      </c>
      <c r="Q5260">
        <v>9.1592886447432395E-3</v>
      </c>
      <c r="R5260">
        <v>0.98632340037355104</v>
      </c>
      <c r="S5260" t="s">
        <v>11828</v>
      </c>
      <c r="T5260" t="s">
        <v>13134</v>
      </c>
      <c r="U5260" t="s">
        <v>13134</v>
      </c>
      <c r="V5260" t="s">
        <v>13134</v>
      </c>
      <c r="W5260" t="s">
        <v>18330</v>
      </c>
      <c r="X5260">
        <v>5</v>
      </c>
      <c r="Y5260" t="s">
        <v>24697</v>
      </c>
      <c r="Z5260" t="s">
        <v>31228</v>
      </c>
      <c r="AA5260">
        <v>0.32256250428128053</v>
      </c>
      <c r="AB5260" t="str">
        <f>HYPERLINK("Melting_Curves/meltCurve_Q99704_DOK1.pdf", "Melting_Curves/meltCurve_Q99704_DOK1.pdf")</f>
        <v>Melting_Curves/meltCurve_Q99704_DOK1.pdf</v>
      </c>
    </row>
    <row r="5261" spans="1:28" x14ac:dyDescent="0.25">
      <c r="A5261" t="s">
        <v>5265</v>
      </c>
      <c r="B5261">
        <v>0.99472303558308395</v>
      </c>
      <c r="C5261">
        <v>0.89609243806856698</v>
      </c>
      <c r="D5261">
        <v>0.70661956653365698</v>
      </c>
      <c r="E5261">
        <v>0.362204411746191</v>
      </c>
      <c r="F5261">
        <v>0.14912041977304299</v>
      </c>
      <c r="G5261">
        <v>8.7436408753988296E-2</v>
      </c>
      <c r="H5261">
        <v>5.8023434048736E-2</v>
      </c>
      <c r="I5261">
        <v>4.4418048455689599E-2</v>
      </c>
      <c r="J5261">
        <v>5.6823389501472803E-2</v>
      </c>
      <c r="K5261">
        <v>4.2949528150272302E-2</v>
      </c>
      <c r="L5261">
        <v>831.86450282248904</v>
      </c>
      <c r="M5261">
        <v>18.557489953354299</v>
      </c>
      <c r="N5261">
        <v>45.043555084001802</v>
      </c>
      <c r="O5261">
        <v>44.3155464715921</v>
      </c>
      <c r="P5261">
        <v>-0.100213111184061</v>
      </c>
      <c r="Q5261">
        <v>4.2800603753178401E-2</v>
      </c>
      <c r="R5261">
        <v>0.99945745582914602</v>
      </c>
      <c r="S5261" t="s">
        <v>11829</v>
      </c>
      <c r="T5261" t="s">
        <v>13134</v>
      </c>
      <c r="U5261" t="s">
        <v>13134</v>
      </c>
      <c r="V5261" t="s">
        <v>13134</v>
      </c>
      <c r="W5261" t="s">
        <v>18331</v>
      </c>
      <c r="X5261">
        <v>28</v>
      </c>
      <c r="Y5261" t="s">
        <v>24698</v>
      </c>
      <c r="Z5261" t="s">
        <v>31229</v>
      </c>
      <c r="AA5261">
        <v>0.3072782298913887</v>
      </c>
      <c r="AB5261" t="str">
        <f>HYPERLINK("Melting_Curves/meltCurve_Q99707_MTR.pdf", "Melting_Curves/meltCurve_Q99707_MTR.pdf")</f>
        <v>Melting_Curves/meltCurve_Q99707_MTR.pdf</v>
      </c>
    </row>
    <row r="5262" spans="1:28" x14ac:dyDescent="0.25">
      <c r="A5262" t="s">
        <v>5266</v>
      </c>
      <c r="B5262">
        <v>0.99472303558308395</v>
      </c>
      <c r="C5262">
        <v>1.00006265976689</v>
      </c>
      <c r="D5262">
        <v>0.88002586364546098</v>
      </c>
      <c r="E5262">
        <v>0.86336499613828999</v>
      </c>
      <c r="F5262">
        <v>0.85013024895978495</v>
      </c>
      <c r="G5262">
        <v>0.67853985759343405</v>
      </c>
      <c r="H5262">
        <v>0.30564504097467998</v>
      </c>
      <c r="I5262">
        <v>8.7886100373010201E-2</v>
      </c>
      <c r="J5262">
        <v>4.8288513039081597E-2</v>
      </c>
      <c r="K5262">
        <v>5.79290180100226E-2</v>
      </c>
      <c r="L5262">
        <v>1077.8979803488501</v>
      </c>
      <c r="M5262">
        <v>19.543370444177199</v>
      </c>
      <c r="N5262">
        <v>55.154153721008299</v>
      </c>
      <c r="O5262">
        <v>54.586417169016997</v>
      </c>
      <c r="P5262">
        <v>-8.9509755199437394E-2</v>
      </c>
      <c r="Q5262">
        <v>0</v>
      </c>
      <c r="R5262">
        <v>0.977934662948579</v>
      </c>
      <c r="S5262" t="s">
        <v>11830</v>
      </c>
      <c r="T5262" t="s">
        <v>13134</v>
      </c>
      <c r="U5262" t="s">
        <v>13134</v>
      </c>
      <c r="V5262" t="s">
        <v>13134</v>
      </c>
      <c r="W5262" t="s">
        <v>18332</v>
      </c>
      <c r="X5262">
        <v>15</v>
      </c>
      <c r="Y5262" t="s">
        <v>24699</v>
      </c>
      <c r="Z5262" t="s">
        <v>31230</v>
      </c>
      <c r="AA5262">
        <v>0.61660960677590781</v>
      </c>
      <c r="AB5262" t="str">
        <f>HYPERLINK("Melting_Curves/meltCurve_Q99714_HSD17B10.pdf", "Melting_Curves/meltCurve_Q99714_HSD17B10.pdf")</f>
        <v>Melting_Curves/meltCurve_Q99714_HSD17B10.pdf</v>
      </c>
    </row>
    <row r="5263" spans="1:28" x14ac:dyDescent="0.25">
      <c r="A5263" t="s">
        <v>5267</v>
      </c>
      <c r="B5263">
        <v>0.99472303558308395</v>
      </c>
      <c r="C5263">
        <v>1.0935242055630701</v>
      </c>
      <c r="D5263">
        <v>1.0007051708625501</v>
      </c>
      <c r="E5263">
        <v>0.88060488656663405</v>
      </c>
      <c r="F5263">
        <v>0.72962868314358398</v>
      </c>
      <c r="G5263">
        <v>0.575385343763406</v>
      </c>
      <c r="H5263">
        <v>0.51965571457441495</v>
      </c>
      <c r="I5263">
        <v>0.76431001023086198</v>
      </c>
      <c r="J5263">
        <v>1.04896700249749</v>
      </c>
      <c r="K5263">
        <v>1.1096727574324401</v>
      </c>
      <c r="L5263">
        <v>11636.4838870738</v>
      </c>
      <c r="M5263">
        <v>250</v>
      </c>
      <c r="O5263">
        <v>46.542957079456201</v>
      </c>
      <c r="P5263">
        <v>-0.280292249658881</v>
      </c>
      <c r="Q5263">
        <v>0.79126991864326401</v>
      </c>
      <c r="R5263">
        <v>0.26928953849868698</v>
      </c>
      <c r="S5263" t="s">
        <v>11831</v>
      </c>
      <c r="T5263" t="s">
        <v>13134</v>
      </c>
      <c r="U5263" t="s">
        <v>13134</v>
      </c>
      <c r="V5263" t="s">
        <v>13134</v>
      </c>
      <c r="W5263" t="s">
        <v>18333</v>
      </c>
      <c r="X5263">
        <v>2</v>
      </c>
      <c r="Y5263" t="s">
        <v>24700</v>
      </c>
      <c r="Z5263" t="s">
        <v>31231</v>
      </c>
      <c r="AA5263">
        <v>0.85770443271340169</v>
      </c>
      <c r="AB5263" t="str">
        <f>HYPERLINK("Melting_Curves/meltCurve_Q99720_4_SIGMAR1.pdf", "Melting_Curves/meltCurve_Q99720_4_SIGMAR1.pdf")</f>
        <v>Melting_Curves/meltCurve_Q99720_4_SIGMAR1.pdf</v>
      </c>
    </row>
    <row r="5264" spans="1:28" x14ac:dyDescent="0.25">
      <c r="A5264" t="s">
        <v>5268</v>
      </c>
      <c r="B5264">
        <v>0.99472303558308395</v>
      </c>
      <c r="C5264">
        <v>1.0509451354624599</v>
      </c>
      <c r="D5264">
        <v>0.96908181090760503</v>
      </c>
      <c r="E5264">
        <v>0.90815062662539103</v>
      </c>
      <c r="F5264">
        <v>0.76521472622124298</v>
      </c>
      <c r="G5264">
        <v>0.46987946428198102</v>
      </c>
      <c r="H5264">
        <v>0.13768296958096499</v>
      </c>
      <c r="I5264">
        <v>7.8108382697964093E-2</v>
      </c>
      <c r="J5264">
        <v>7.9437353428131796E-2</v>
      </c>
      <c r="K5264">
        <v>6.2891603547425498E-2</v>
      </c>
      <c r="L5264">
        <v>1136.2101058309399</v>
      </c>
      <c r="M5264">
        <v>21.486797844509201</v>
      </c>
      <c r="N5264">
        <v>53.074374872540197</v>
      </c>
      <c r="O5264">
        <v>52.427814802406502</v>
      </c>
      <c r="P5264">
        <v>-9.8573923505384395E-2</v>
      </c>
      <c r="Q5264">
        <v>3.7941581404127303E-2</v>
      </c>
      <c r="R5264">
        <v>0.99413460773343698</v>
      </c>
      <c r="S5264" t="s">
        <v>11832</v>
      </c>
      <c r="T5264" t="s">
        <v>13134</v>
      </c>
      <c r="U5264" t="s">
        <v>13134</v>
      </c>
      <c r="V5264" t="s">
        <v>13134</v>
      </c>
      <c r="W5264" t="s">
        <v>18334</v>
      </c>
      <c r="X5264">
        <v>19</v>
      </c>
      <c r="Y5264" t="s">
        <v>24701</v>
      </c>
      <c r="Z5264" t="s">
        <v>31232</v>
      </c>
      <c r="AA5264">
        <v>0.55809081103206293</v>
      </c>
      <c r="AB5264" t="str">
        <f>HYPERLINK("Melting_Curves/meltCurve_Q99733_NAP1L4.pdf", "Melting_Curves/meltCurve_Q99733_NAP1L4.pdf")</f>
        <v>Melting_Curves/meltCurve_Q99733_NAP1L4.pdf</v>
      </c>
    </row>
    <row r="5265" spans="1:28" x14ac:dyDescent="0.25">
      <c r="A5265" t="s">
        <v>5269</v>
      </c>
      <c r="B5265">
        <v>0.99472303558308395</v>
      </c>
      <c r="C5265">
        <v>0.98226930949298796</v>
      </c>
      <c r="D5265">
        <v>0.82090941872407996</v>
      </c>
      <c r="E5265">
        <v>0.74262911657248998</v>
      </c>
      <c r="F5265">
        <v>0.61180561528313104</v>
      </c>
      <c r="G5265">
        <v>0.33611001320242301</v>
      </c>
      <c r="H5265">
        <v>0.24867188514402899</v>
      </c>
      <c r="I5265">
        <v>0.26006878371954401</v>
      </c>
      <c r="J5265">
        <v>0.21807164932869499</v>
      </c>
      <c r="K5265">
        <v>0.44533679841183399</v>
      </c>
      <c r="L5265">
        <v>739.86607242783498</v>
      </c>
      <c r="M5265">
        <v>15.346612409144999</v>
      </c>
      <c r="N5265">
        <v>50.747714526488998</v>
      </c>
      <c r="O5265">
        <v>47.414035703768299</v>
      </c>
      <c r="P5265">
        <v>-5.9247935803454298E-2</v>
      </c>
      <c r="Q5265">
        <v>0.26787120505134598</v>
      </c>
      <c r="R5265">
        <v>0.93211866395448595</v>
      </c>
      <c r="S5265" t="s">
        <v>11833</v>
      </c>
      <c r="T5265" t="s">
        <v>13134</v>
      </c>
      <c r="U5265" t="s">
        <v>13134</v>
      </c>
      <c r="V5265" t="s">
        <v>13134</v>
      </c>
      <c r="W5265" t="s">
        <v>18335</v>
      </c>
      <c r="X5265">
        <v>2</v>
      </c>
      <c r="Y5265" t="s">
        <v>24702</v>
      </c>
      <c r="Z5265" t="s">
        <v>31233</v>
      </c>
      <c r="AA5265">
        <v>0.55690137423661645</v>
      </c>
      <c r="AB5265" t="str">
        <f>HYPERLINK("Melting_Curves/meltCurve_Q99735_2_MGST2.pdf", "Melting_Curves/meltCurve_Q99735_2_MGST2.pdf")</f>
        <v>Melting_Curves/meltCurve_Q99735_2_MGST2.pdf</v>
      </c>
    </row>
    <row r="5266" spans="1:28" x14ac:dyDescent="0.25">
      <c r="A5266" t="s">
        <v>5270</v>
      </c>
      <c r="B5266">
        <v>0.99472303558308395</v>
      </c>
      <c r="C5266">
        <v>1.00527998113131</v>
      </c>
      <c r="D5266">
        <v>0.98213084204635004</v>
      </c>
      <c r="E5266">
        <v>0.75502057420255897</v>
      </c>
      <c r="F5266">
        <v>0.21967421652271399</v>
      </c>
      <c r="G5266">
        <v>0.10718953085982399</v>
      </c>
      <c r="H5266">
        <v>6.9283372260288398E-2</v>
      </c>
      <c r="I5266">
        <v>6.2224382701125701E-2</v>
      </c>
      <c r="J5266">
        <v>8.04624143791767E-2</v>
      </c>
      <c r="K5266">
        <v>6.8053647784788798E-2</v>
      </c>
      <c r="L5266">
        <v>1721.9168037479401</v>
      </c>
      <c r="M5266">
        <v>35.935736436417699</v>
      </c>
      <c r="N5266">
        <v>48.126592989805999</v>
      </c>
      <c r="O5266">
        <v>47.768901007315797</v>
      </c>
      <c r="P5266">
        <v>-0.17442186970471901</v>
      </c>
      <c r="Q5266">
        <v>7.2576194044901093E-2</v>
      </c>
      <c r="R5266">
        <v>0.99965099265364599</v>
      </c>
      <c r="S5266" t="s">
        <v>11834</v>
      </c>
      <c r="T5266" t="s">
        <v>13134</v>
      </c>
      <c r="U5266" t="s">
        <v>13134</v>
      </c>
      <c r="V5266" t="s">
        <v>13134</v>
      </c>
      <c r="W5266" t="s">
        <v>18336</v>
      </c>
      <c r="X5266">
        <v>26</v>
      </c>
      <c r="Y5266" t="s">
        <v>24703</v>
      </c>
      <c r="Z5266" t="s">
        <v>31234</v>
      </c>
      <c r="AA5266">
        <v>0.41386460094329558</v>
      </c>
      <c r="AB5266" t="str">
        <f>HYPERLINK("Melting_Curves/meltCurve_Q99747_NAPG.pdf", "Melting_Curves/meltCurve_Q99747_NAPG.pdf")</f>
        <v>Melting_Curves/meltCurve_Q99747_NAPG.pdf</v>
      </c>
    </row>
    <row r="5267" spans="1:28" x14ac:dyDescent="0.25">
      <c r="A5267" t="s">
        <v>5271</v>
      </c>
      <c r="B5267">
        <v>0.99472303558308395</v>
      </c>
      <c r="C5267">
        <v>1.0266378769273801</v>
      </c>
      <c r="D5267">
        <v>0.90672075675275798</v>
      </c>
      <c r="E5267">
        <v>0.95031423610932497</v>
      </c>
      <c r="F5267">
        <v>0.72392059956773602</v>
      </c>
      <c r="G5267">
        <v>0.576907795950375</v>
      </c>
      <c r="H5267">
        <v>0.40452997141449198</v>
      </c>
      <c r="I5267">
        <v>0.40160637803265398</v>
      </c>
      <c r="J5267">
        <v>0.57170937549122802</v>
      </c>
      <c r="K5267">
        <v>0.423228783016315</v>
      </c>
      <c r="L5267">
        <v>1245.68637225517</v>
      </c>
      <c r="M5267">
        <v>24.746299919005601</v>
      </c>
      <c r="N5267">
        <v>55.425885368744801</v>
      </c>
      <c r="O5267">
        <v>50.013036760699002</v>
      </c>
      <c r="P5267">
        <v>-6.82309247454016E-2</v>
      </c>
      <c r="Q5267">
        <v>0.44842069468983697</v>
      </c>
      <c r="R5267">
        <v>0.94419430155127804</v>
      </c>
      <c r="S5267" t="s">
        <v>11835</v>
      </c>
      <c r="T5267" t="s">
        <v>13134</v>
      </c>
      <c r="U5267" t="s">
        <v>13134</v>
      </c>
      <c r="V5267" t="s">
        <v>13134</v>
      </c>
      <c r="W5267" t="s">
        <v>18337</v>
      </c>
      <c r="X5267">
        <v>5</v>
      </c>
      <c r="Y5267" t="s">
        <v>24704</v>
      </c>
      <c r="Z5267" t="s">
        <v>31235</v>
      </c>
      <c r="AA5267">
        <v>0.69859240329997807</v>
      </c>
      <c r="AB5267" t="str">
        <f>HYPERLINK("Melting_Curves/meltCurve_Q99757_TXN2.pdf", "Melting_Curves/meltCurve_Q99757_TXN2.pdf")</f>
        <v>Melting_Curves/meltCurve_Q99757_TXN2.pdf</v>
      </c>
    </row>
    <row r="5268" spans="1:28" x14ac:dyDescent="0.25">
      <c r="A5268" t="s">
        <v>5272</v>
      </c>
      <c r="B5268">
        <v>0.99472303558308395</v>
      </c>
      <c r="C5268">
        <v>1.02787333531478</v>
      </c>
      <c r="D5268">
        <v>0.99877405695187904</v>
      </c>
      <c r="E5268">
        <v>0.869030489311302</v>
      </c>
      <c r="F5268">
        <v>0.54232011681288195</v>
      </c>
      <c r="G5268">
        <v>0.33858322633152999</v>
      </c>
      <c r="H5268">
        <v>0.101264484606938</v>
      </c>
      <c r="I5268">
        <v>6.1692621291295997E-2</v>
      </c>
      <c r="J5268">
        <v>6.68933311510789E-2</v>
      </c>
      <c r="K5268">
        <v>6.2719137382420506E-2</v>
      </c>
      <c r="L5268">
        <v>987.266811607715</v>
      </c>
      <c r="M5268">
        <v>19.4264921027996</v>
      </c>
      <c r="N5268">
        <v>51.050418544240301</v>
      </c>
      <c r="O5268">
        <v>50.291312739321299</v>
      </c>
      <c r="P5268">
        <v>-9.2530612636925996E-2</v>
      </c>
      <c r="Q5268">
        <v>4.1861798877911499E-2</v>
      </c>
      <c r="R5268">
        <v>0.99544972790263397</v>
      </c>
      <c r="S5268" t="s">
        <v>11836</v>
      </c>
      <c r="T5268" t="s">
        <v>13134</v>
      </c>
      <c r="U5268" t="s">
        <v>13134</v>
      </c>
      <c r="V5268" t="s">
        <v>13134</v>
      </c>
      <c r="W5268" t="s">
        <v>18338</v>
      </c>
      <c r="X5268">
        <v>4</v>
      </c>
      <c r="Y5268" t="s">
        <v>24705</v>
      </c>
      <c r="Z5268" t="s">
        <v>31236</v>
      </c>
      <c r="AA5268">
        <v>0.4964529668634029</v>
      </c>
      <c r="AB5268" t="str">
        <f>HYPERLINK("Melting_Curves/meltCurve_Q99766_ATP5S.pdf", "Melting_Curves/meltCurve_Q99766_ATP5S.pdf")</f>
        <v>Melting_Curves/meltCurve_Q99766_ATP5S.pdf</v>
      </c>
    </row>
    <row r="5269" spans="1:28" x14ac:dyDescent="0.25">
      <c r="A5269" t="s">
        <v>5273</v>
      </c>
      <c r="B5269">
        <v>0.99472303558308395</v>
      </c>
      <c r="C5269">
        <v>1.05763157514343</v>
      </c>
      <c r="D5269">
        <v>0.86723476682009704</v>
      </c>
      <c r="E5269">
        <v>0.48344657133214403</v>
      </c>
      <c r="F5269">
        <v>0.196550420212594</v>
      </c>
      <c r="G5269">
        <v>0.11654666655033501</v>
      </c>
      <c r="H5269">
        <v>9.0526119721909798E-2</v>
      </c>
      <c r="I5269">
        <v>4.04710839968008E-2</v>
      </c>
      <c r="J5269">
        <v>6.0609623667362E-2</v>
      </c>
      <c r="K5269">
        <v>3.95613581793232E-2</v>
      </c>
      <c r="L5269">
        <v>1115.53270476375</v>
      </c>
      <c r="M5269">
        <v>24.0891093862834</v>
      </c>
      <c r="N5269">
        <v>46.559874104389401</v>
      </c>
      <c r="O5269">
        <v>45.9930036322204</v>
      </c>
      <c r="P5269">
        <v>-0.122959444730768</v>
      </c>
      <c r="Q5269">
        <v>6.0955683549493399E-2</v>
      </c>
      <c r="R5269">
        <v>0.99488002646248497</v>
      </c>
      <c r="S5269" t="s">
        <v>11837</v>
      </c>
      <c r="T5269" t="s">
        <v>13134</v>
      </c>
      <c r="U5269" t="s">
        <v>13134</v>
      </c>
      <c r="V5269" t="s">
        <v>13134</v>
      </c>
      <c r="W5269" t="s">
        <v>18339</v>
      </c>
      <c r="X5269">
        <v>5</v>
      </c>
      <c r="Y5269" t="s">
        <v>24706</v>
      </c>
      <c r="Z5269" t="s">
        <v>31237</v>
      </c>
      <c r="AA5269">
        <v>0.36075276184816568</v>
      </c>
      <c r="AB5269" t="str">
        <f>HYPERLINK("Melting_Curves/meltCurve_Q99767_2_APBA2.pdf", "Melting_Curves/meltCurve_Q99767_2_APBA2.pdf")</f>
        <v>Melting_Curves/meltCurve_Q99767_2_APBA2.pdf</v>
      </c>
    </row>
    <row r="5270" spans="1:28" x14ac:dyDescent="0.25">
      <c r="A5270" t="s">
        <v>5274</v>
      </c>
      <c r="B5270">
        <v>0.99472303558308395</v>
      </c>
      <c r="C5270">
        <v>0.94720191598784198</v>
      </c>
      <c r="D5270">
        <v>0.98239836771320299</v>
      </c>
      <c r="E5270">
        <v>0.85292438286695005</v>
      </c>
      <c r="F5270">
        <v>0.52580268765606297</v>
      </c>
      <c r="G5270">
        <v>0.16652196924976401</v>
      </c>
      <c r="H5270">
        <v>7.5441100017168194E-2</v>
      </c>
      <c r="I5270">
        <v>4.5260954656283901E-2</v>
      </c>
      <c r="J5270">
        <v>5.5729178725008599E-2</v>
      </c>
      <c r="K5270">
        <v>5.1912753761458999E-2</v>
      </c>
      <c r="L5270">
        <v>1247.2730827197099</v>
      </c>
      <c r="M5270">
        <v>24.906082085049398</v>
      </c>
      <c r="N5270">
        <v>50.251728870640498</v>
      </c>
      <c r="O5270">
        <v>49.759556466653201</v>
      </c>
      <c r="P5270">
        <v>-0.120002033017907</v>
      </c>
      <c r="Q5270">
        <v>4.1010716211101403E-2</v>
      </c>
      <c r="R5270">
        <v>0.99763333398979803</v>
      </c>
      <c r="S5270" t="s">
        <v>11838</v>
      </c>
      <c r="T5270" t="s">
        <v>13134</v>
      </c>
      <c r="U5270" t="s">
        <v>13134</v>
      </c>
      <c r="V5270" t="s">
        <v>13134</v>
      </c>
      <c r="W5270" t="s">
        <v>18340</v>
      </c>
      <c r="X5270">
        <v>14</v>
      </c>
      <c r="Y5270" t="s">
        <v>24707</v>
      </c>
      <c r="Z5270" t="s">
        <v>31238</v>
      </c>
      <c r="AA5270">
        <v>0.46755378437617112</v>
      </c>
      <c r="AB5270" t="str">
        <f>HYPERLINK("Melting_Curves/meltCurve_Q99797_MIPEP.pdf", "Melting_Curves/meltCurve_Q99797_MIPEP.pdf")</f>
        <v>Melting_Curves/meltCurve_Q99797_MIPEP.pdf</v>
      </c>
    </row>
    <row r="5271" spans="1:28" x14ac:dyDescent="0.25">
      <c r="A5271" t="s">
        <v>5275</v>
      </c>
      <c r="B5271">
        <v>0.99472303558308395</v>
      </c>
      <c r="C5271">
        <v>0.88502792609397896</v>
      </c>
      <c r="D5271">
        <v>0.81266854072814199</v>
      </c>
      <c r="E5271">
        <v>0.71160834178540799</v>
      </c>
      <c r="F5271">
        <v>0.575523256381273</v>
      </c>
      <c r="G5271">
        <v>0.371592975375306</v>
      </c>
      <c r="H5271">
        <v>0.14225035680971501</v>
      </c>
      <c r="I5271">
        <v>9.7346321866847205E-2</v>
      </c>
      <c r="J5271">
        <v>0.10653985920327499</v>
      </c>
      <c r="K5271">
        <v>8.7880434245042202E-2</v>
      </c>
      <c r="L5271">
        <v>531.27260090885397</v>
      </c>
      <c r="M5271">
        <v>10.5338305332536</v>
      </c>
      <c r="N5271">
        <v>50.4348901659436</v>
      </c>
      <c r="O5271">
        <v>48.718981178630102</v>
      </c>
      <c r="P5271">
        <v>-5.4075578843778498E-2</v>
      </c>
      <c r="Q5271">
        <v>0</v>
      </c>
      <c r="R5271">
        <v>0.98400168060751503</v>
      </c>
      <c r="S5271" t="s">
        <v>11839</v>
      </c>
      <c r="T5271" t="s">
        <v>13134</v>
      </c>
      <c r="U5271" t="s">
        <v>13134</v>
      </c>
      <c r="V5271" t="s">
        <v>13134</v>
      </c>
      <c r="W5271" t="s">
        <v>18341</v>
      </c>
      <c r="X5271">
        <v>10</v>
      </c>
      <c r="Y5271" t="s">
        <v>24708</v>
      </c>
      <c r="Z5271" t="s">
        <v>31239</v>
      </c>
      <c r="AA5271">
        <v>0.47882702671176958</v>
      </c>
      <c r="AB5271" t="str">
        <f>HYPERLINK("Melting_Curves/meltCurve_Q99805_TM9SF2.pdf", "Melting_Curves/meltCurve_Q99805_TM9SF2.pdf")</f>
        <v>Melting_Curves/meltCurve_Q99805_TM9SF2.pdf</v>
      </c>
    </row>
    <row r="5272" spans="1:28" x14ac:dyDescent="0.25">
      <c r="A5272" t="s">
        <v>5276</v>
      </c>
      <c r="B5272">
        <v>0.99472303558308395</v>
      </c>
      <c r="C5272">
        <v>1.0034152343440399</v>
      </c>
      <c r="D5272">
        <v>0.85512511773129996</v>
      </c>
      <c r="E5272">
        <v>0.77300835634597898</v>
      </c>
      <c r="F5272">
        <v>0.59853425250889003</v>
      </c>
      <c r="G5272">
        <v>0.419635059517946</v>
      </c>
      <c r="H5272">
        <v>0.33300173012290502</v>
      </c>
      <c r="I5272">
        <v>0.31056378163553899</v>
      </c>
      <c r="J5272">
        <v>0.343466832739039</v>
      </c>
      <c r="K5272">
        <v>0.38887818091488302</v>
      </c>
      <c r="L5272">
        <v>752.06890588590704</v>
      </c>
      <c r="M5272">
        <v>15.5564050300235</v>
      </c>
      <c r="N5272">
        <v>51.757222720412202</v>
      </c>
      <c r="O5272">
        <v>47.566904510810602</v>
      </c>
      <c r="P5272">
        <v>-5.5542608764408599E-2</v>
      </c>
      <c r="Q5272">
        <v>0.32072773918170899</v>
      </c>
      <c r="R5272">
        <v>0.98237363153380797</v>
      </c>
      <c r="S5272" t="s">
        <v>11840</v>
      </c>
      <c r="T5272" t="s">
        <v>13134</v>
      </c>
      <c r="U5272" t="s">
        <v>13134</v>
      </c>
      <c r="V5272" t="s">
        <v>13134</v>
      </c>
      <c r="W5272" t="s">
        <v>18342</v>
      </c>
      <c r="X5272">
        <v>4</v>
      </c>
      <c r="Y5272" t="s">
        <v>24709</v>
      </c>
      <c r="Z5272" t="s">
        <v>31240</v>
      </c>
      <c r="AA5272">
        <v>0.59157159392435121</v>
      </c>
      <c r="AB5272" t="str">
        <f>HYPERLINK("Melting_Curves/meltCurve_Q99808_SLC29A1.pdf", "Melting_Curves/meltCurve_Q99808_SLC29A1.pdf")</f>
        <v>Melting_Curves/meltCurve_Q99808_SLC29A1.pdf</v>
      </c>
    </row>
    <row r="5273" spans="1:28" x14ac:dyDescent="0.25">
      <c r="A5273" t="s">
        <v>5277</v>
      </c>
      <c r="B5273">
        <v>0.99472303558308395</v>
      </c>
      <c r="C5273">
        <v>0.84406736798228299</v>
      </c>
      <c r="D5273">
        <v>0.76613999121700305</v>
      </c>
      <c r="E5273">
        <v>0.58533115333225905</v>
      </c>
      <c r="F5273">
        <v>0.35515918786948097</v>
      </c>
      <c r="G5273">
        <v>0.16302983060428999</v>
      </c>
      <c r="H5273">
        <v>0.11394880957131601</v>
      </c>
      <c r="I5273">
        <v>7.6104620223831507E-2</v>
      </c>
      <c r="J5273">
        <v>9.0999794888919794E-2</v>
      </c>
      <c r="K5273">
        <v>9.2527599012098602E-2</v>
      </c>
      <c r="L5273">
        <v>581.06221856173102</v>
      </c>
      <c r="M5273">
        <v>12.3555352825726</v>
      </c>
      <c r="N5273">
        <v>47.339852437120697</v>
      </c>
      <c r="O5273">
        <v>45.847489628934603</v>
      </c>
      <c r="P5273">
        <v>-6.47577515140218E-2</v>
      </c>
      <c r="Q5273">
        <v>3.9024595308918802E-2</v>
      </c>
      <c r="R5273">
        <v>0.99147302615382205</v>
      </c>
      <c r="S5273" t="s">
        <v>11841</v>
      </c>
      <c r="T5273" t="s">
        <v>13134</v>
      </c>
      <c r="U5273" t="s">
        <v>13134</v>
      </c>
      <c r="V5273" t="s">
        <v>13134</v>
      </c>
      <c r="W5273" t="s">
        <v>18343</v>
      </c>
      <c r="X5273">
        <v>5</v>
      </c>
      <c r="Y5273" t="s">
        <v>24710</v>
      </c>
      <c r="Z5273" t="s">
        <v>31241</v>
      </c>
      <c r="AA5273">
        <v>0.39035635974325522</v>
      </c>
      <c r="AB5273" t="str">
        <f>HYPERLINK("Melting_Curves/meltCurve_Q99828_CIB1.pdf", "Melting_Curves/meltCurve_Q99828_CIB1.pdf")</f>
        <v>Melting_Curves/meltCurve_Q99828_CIB1.pdf</v>
      </c>
    </row>
    <row r="5274" spans="1:28" x14ac:dyDescent="0.25">
      <c r="A5274" t="s">
        <v>5278</v>
      </c>
      <c r="B5274">
        <v>0.99472303558308395</v>
      </c>
      <c r="C5274">
        <v>0.93473025932825304</v>
      </c>
      <c r="D5274">
        <v>0.77094757771213995</v>
      </c>
      <c r="E5274">
        <v>0.65834033856085195</v>
      </c>
      <c r="F5274">
        <v>0.88909692912678095</v>
      </c>
      <c r="G5274">
        <v>0.35965554277033301</v>
      </c>
      <c r="H5274">
        <v>0.42346833622736102</v>
      </c>
      <c r="I5274">
        <v>0.84982874108023498</v>
      </c>
      <c r="J5274">
        <v>0.86961351711745905</v>
      </c>
      <c r="K5274">
        <v>0.23305379892186301</v>
      </c>
      <c r="L5274">
        <v>563.29614841529099</v>
      </c>
      <c r="M5274">
        <v>12.786834943461701</v>
      </c>
      <c r="O5274">
        <v>43.017079716938298</v>
      </c>
      <c r="P5274">
        <v>-3.2250685497193003E-2</v>
      </c>
      <c r="Q5274">
        <v>0.56609471851528403</v>
      </c>
      <c r="R5274">
        <v>0.33346184511725702</v>
      </c>
      <c r="S5274" t="s">
        <v>11842</v>
      </c>
      <c r="T5274" t="s">
        <v>13134</v>
      </c>
      <c r="U5274" t="s">
        <v>13134</v>
      </c>
      <c r="V5274" t="s">
        <v>13134</v>
      </c>
      <c r="W5274" t="s">
        <v>18344</v>
      </c>
      <c r="X5274">
        <v>40</v>
      </c>
      <c r="Y5274" t="s">
        <v>24711</v>
      </c>
      <c r="Z5274" t="s">
        <v>31242</v>
      </c>
      <c r="AA5274">
        <v>0.68291287485697316</v>
      </c>
      <c r="AB5274" t="str">
        <f>HYPERLINK("Melting_Curves/meltCurve_Q99832_CCT7.pdf", "Melting_Curves/meltCurve_Q99832_CCT7.pdf")</f>
        <v>Melting_Curves/meltCurve_Q99832_CCT7.pdf</v>
      </c>
    </row>
    <row r="5275" spans="1:28" x14ac:dyDescent="0.25">
      <c r="A5275" t="s">
        <v>5279</v>
      </c>
      <c r="B5275">
        <v>0.99472303558308395</v>
      </c>
      <c r="C5275">
        <v>0.86500493849017301</v>
      </c>
      <c r="D5275">
        <v>0.55668159661248595</v>
      </c>
      <c r="E5275">
        <v>0.232606817447329</v>
      </c>
      <c r="F5275">
        <v>0.15167704127069401</v>
      </c>
      <c r="G5275">
        <v>9.0413815543712694E-2</v>
      </c>
      <c r="H5275">
        <v>6.8682603466356004E-2</v>
      </c>
      <c r="I5275">
        <v>3.5793187237063498E-2</v>
      </c>
      <c r="J5275">
        <v>4.5965911965932499E-2</v>
      </c>
      <c r="K5275">
        <v>4.0807426038431703E-2</v>
      </c>
      <c r="L5275">
        <v>858.78064929821699</v>
      </c>
      <c r="M5275">
        <v>19.804903897441701</v>
      </c>
      <c r="N5275">
        <v>43.615355543081201</v>
      </c>
      <c r="O5275">
        <v>42.927184759913096</v>
      </c>
      <c r="P5275">
        <v>-0.109077119048038</v>
      </c>
      <c r="Q5275">
        <v>5.4332102935662901E-2</v>
      </c>
      <c r="R5275">
        <v>0.99709753015661395</v>
      </c>
      <c r="S5275" t="s">
        <v>11843</v>
      </c>
      <c r="T5275" t="s">
        <v>13134</v>
      </c>
      <c r="U5275" t="s">
        <v>13134</v>
      </c>
      <c r="V5275" t="s">
        <v>13134</v>
      </c>
      <c r="W5275" t="s">
        <v>18345</v>
      </c>
      <c r="X5275">
        <v>12</v>
      </c>
      <c r="Y5275" t="s">
        <v>24712</v>
      </c>
      <c r="Z5275" t="s">
        <v>31243</v>
      </c>
      <c r="AA5275">
        <v>0.26811405465799037</v>
      </c>
      <c r="AB5275" t="str">
        <f>HYPERLINK("Melting_Curves/meltCurve_Q99856_ARID3A.pdf", "Melting_Curves/meltCurve_Q99856_ARID3A.pdf")</f>
        <v>Melting_Curves/meltCurve_Q99856_ARID3A.pdf</v>
      </c>
    </row>
    <row r="5276" spans="1:28" x14ac:dyDescent="0.25">
      <c r="A5276" t="s">
        <v>5280</v>
      </c>
      <c r="B5276">
        <v>0.99472303558308395</v>
      </c>
      <c r="C5276">
        <v>1.10951557849432</v>
      </c>
      <c r="D5276">
        <v>0.69472738275500501</v>
      </c>
      <c r="E5276">
        <v>0.72155317694505205</v>
      </c>
      <c r="F5276">
        <v>0.49000034252734298</v>
      </c>
      <c r="G5276">
        <v>0.234303089292135</v>
      </c>
      <c r="H5276">
        <v>0.17936373384686899</v>
      </c>
      <c r="I5276">
        <v>0.135381593185534</v>
      </c>
      <c r="J5276">
        <v>0.20482084828678301</v>
      </c>
      <c r="K5276">
        <v>7.4958049520587197E-2</v>
      </c>
      <c r="L5276">
        <v>643.27361292909802</v>
      </c>
      <c r="M5276">
        <v>13.2512149293224</v>
      </c>
      <c r="N5276">
        <v>49.290340490455499</v>
      </c>
      <c r="O5276">
        <v>47.4788999992372</v>
      </c>
      <c r="P5276">
        <v>-6.3446085296520405E-2</v>
      </c>
      <c r="Q5276">
        <v>9.0843679674899105E-2</v>
      </c>
      <c r="R5276">
        <v>0.946542717073103</v>
      </c>
      <c r="S5276" t="s">
        <v>11844</v>
      </c>
      <c r="T5276" t="s">
        <v>13134</v>
      </c>
      <c r="U5276" t="s">
        <v>13134</v>
      </c>
      <c r="V5276" t="s">
        <v>13134</v>
      </c>
      <c r="W5276" t="s">
        <v>18346</v>
      </c>
      <c r="X5276">
        <v>3</v>
      </c>
      <c r="Y5276" t="s">
        <v>24713</v>
      </c>
      <c r="Z5276" t="s">
        <v>31244</v>
      </c>
      <c r="AA5276">
        <v>0.46469814314911079</v>
      </c>
      <c r="AB5276" t="str">
        <f>HYPERLINK("Melting_Curves/meltCurve_Q99871_3_HAUS7.pdf", "Melting_Curves/meltCurve_Q99871_3_HAUS7.pdf")</f>
        <v>Melting_Curves/meltCurve_Q99871_3_HAUS7.pdf</v>
      </c>
    </row>
    <row r="5277" spans="1:28" x14ac:dyDescent="0.25">
      <c r="A5277" t="s">
        <v>5281</v>
      </c>
      <c r="B5277">
        <v>0.99472303558308395</v>
      </c>
      <c r="C5277">
        <v>0.95231654571642799</v>
      </c>
      <c r="D5277">
        <v>0.95453097774795803</v>
      </c>
      <c r="E5277">
        <v>0.60974437990793495</v>
      </c>
      <c r="F5277">
        <v>0.28931742208883099</v>
      </c>
      <c r="G5277">
        <v>0.166645804027897</v>
      </c>
      <c r="H5277">
        <v>0.114022668168756</v>
      </c>
      <c r="I5277">
        <v>0.16272312591417301</v>
      </c>
      <c r="J5277">
        <v>0.219570438477077</v>
      </c>
      <c r="K5277">
        <v>0.33163536212933098</v>
      </c>
      <c r="L5277">
        <v>1513.61393277108</v>
      </c>
      <c r="M5277">
        <v>32.421722100428397</v>
      </c>
      <c r="N5277">
        <v>47.427645330243998</v>
      </c>
      <c r="O5277">
        <v>46.508649218532398</v>
      </c>
      <c r="P5277">
        <v>-0.13959445441957</v>
      </c>
      <c r="Q5277">
        <v>0.19901623355157</v>
      </c>
      <c r="R5277">
        <v>0.97393011923669703</v>
      </c>
      <c r="S5277" t="s">
        <v>11845</v>
      </c>
      <c r="T5277" t="s">
        <v>13134</v>
      </c>
      <c r="U5277" t="s">
        <v>13134</v>
      </c>
      <c r="V5277" t="s">
        <v>13134</v>
      </c>
      <c r="W5277" t="s">
        <v>18347</v>
      </c>
      <c r="X5277">
        <v>5</v>
      </c>
      <c r="Y5277" t="s">
        <v>24714</v>
      </c>
      <c r="Z5277" t="s">
        <v>31245</v>
      </c>
      <c r="AA5277">
        <v>0.46155935214720778</v>
      </c>
      <c r="AB5277" t="str">
        <f>HYPERLINK("Melting_Curves/meltCurve_Q99878_HIST1H2AJ.pdf", "Melting_Curves/meltCurve_Q99878_HIST1H2AJ.pdf")</f>
        <v>Melting_Curves/meltCurve_Q99878_HIST1H2AJ.pdf</v>
      </c>
    </row>
    <row r="5278" spans="1:28" x14ac:dyDescent="0.25">
      <c r="A5278" t="s">
        <v>5282</v>
      </c>
      <c r="B5278">
        <v>0.99472303558308395</v>
      </c>
      <c r="C5278">
        <v>1.07663144307127</v>
      </c>
      <c r="D5278">
        <v>1.0690671069425399</v>
      </c>
      <c r="E5278">
        <v>0.96897525511304605</v>
      </c>
      <c r="F5278">
        <v>0.494410958741058</v>
      </c>
      <c r="G5278">
        <v>0.334555178458395</v>
      </c>
      <c r="H5278">
        <v>0.20775176078607199</v>
      </c>
      <c r="I5278">
        <v>0.143794523939655</v>
      </c>
      <c r="J5278">
        <v>0.16279006083254899</v>
      </c>
      <c r="K5278">
        <v>0.12828140693485399</v>
      </c>
      <c r="L5278">
        <v>1486.90327990894</v>
      </c>
      <c r="M5278">
        <v>29.7778136881428</v>
      </c>
      <c r="N5278">
        <v>50.6241992586991</v>
      </c>
      <c r="O5278">
        <v>49.709688163051197</v>
      </c>
      <c r="P5278">
        <v>-0.124751993188396</v>
      </c>
      <c r="Q5278">
        <v>0.16698504113607199</v>
      </c>
      <c r="R5278">
        <v>0.98263300976575196</v>
      </c>
      <c r="S5278" t="s">
        <v>11846</v>
      </c>
      <c r="T5278" t="s">
        <v>13134</v>
      </c>
      <c r="U5278" t="s">
        <v>13134</v>
      </c>
      <c r="V5278" t="s">
        <v>13134</v>
      </c>
      <c r="W5278" t="s">
        <v>18348</v>
      </c>
      <c r="X5278">
        <v>1</v>
      </c>
      <c r="Y5278" t="s">
        <v>24715</v>
      </c>
      <c r="Z5278" t="s">
        <v>31246</v>
      </c>
      <c r="AA5278">
        <v>0.53128601163859235</v>
      </c>
      <c r="AB5278" t="str">
        <f>HYPERLINK("Melting_Curves/meltCurve_Q99909_2_SSX3.pdf", "Melting_Curves/meltCurve_Q99909_2_SSX3.pdf")</f>
        <v>Melting_Curves/meltCurve_Q99909_2_SSX3.pdf</v>
      </c>
    </row>
    <row r="5279" spans="1:28" x14ac:dyDescent="0.25">
      <c r="A5279" t="s">
        <v>5283</v>
      </c>
      <c r="B5279">
        <v>0.99472303558308395</v>
      </c>
      <c r="C5279">
        <v>0.96995349189463798</v>
      </c>
      <c r="D5279">
        <v>0.83545304496703299</v>
      </c>
      <c r="E5279">
        <v>0.50290269623856898</v>
      </c>
      <c r="F5279">
        <v>0.28818356979272303</v>
      </c>
      <c r="G5279">
        <v>0.163332879116731</v>
      </c>
      <c r="H5279">
        <v>9.2849690328882503E-2</v>
      </c>
      <c r="I5279">
        <v>7.4524878102050399E-2</v>
      </c>
      <c r="J5279">
        <v>9.6050454727725901E-2</v>
      </c>
      <c r="K5279">
        <v>7.8809788330960098E-2</v>
      </c>
      <c r="L5279">
        <v>838.51142034987902</v>
      </c>
      <c r="M5279">
        <v>18.0460176799258</v>
      </c>
      <c r="N5279">
        <v>46.902831652966903</v>
      </c>
      <c r="O5279">
        <v>45.90587548805</v>
      </c>
      <c r="P5279">
        <v>-9.0666483504081505E-2</v>
      </c>
      <c r="Q5279">
        <v>7.7487210442081303E-2</v>
      </c>
      <c r="R5279">
        <v>0.99848232996286401</v>
      </c>
      <c r="S5279" t="s">
        <v>11847</v>
      </c>
      <c r="T5279" t="s">
        <v>13134</v>
      </c>
      <c r="U5279" t="s">
        <v>13134</v>
      </c>
      <c r="V5279" t="s">
        <v>13134</v>
      </c>
      <c r="W5279" t="s">
        <v>18349</v>
      </c>
      <c r="X5279">
        <v>5</v>
      </c>
      <c r="Y5279" t="s">
        <v>24716</v>
      </c>
      <c r="Z5279" t="s">
        <v>31247</v>
      </c>
      <c r="AA5279">
        <v>0.38332617877876007</v>
      </c>
      <c r="AB5279" t="str">
        <f>HYPERLINK("Melting_Curves/meltCurve_Q99956_DUSP9.pdf", "Melting_Curves/meltCurve_Q99956_DUSP9.pdf")</f>
        <v>Melting_Curves/meltCurve_Q99956_DUSP9.pdf</v>
      </c>
    </row>
    <row r="5280" spans="1:28" x14ac:dyDescent="0.25">
      <c r="A5280" t="s">
        <v>5284</v>
      </c>
      <c r="B5280">
        <v>0.99472303558308395</v>
      </c>
      <c r="C5280">
        <v>0.97419597425204496</v>
      </c>
      <c r="D5280">
        <v>0.98462797628158405</v>
      </c>
      <c r="E5280">
        <v>0.76152327764519301</v>
      </c>
      <c r="F5280">
        <v>0.116570878430639</v>
      </c>
      <c r="G5280">
        <v>6.6813146782264604E-2</v>
      </c>
      <c r="H5280">
        <v>4.21567983699557E-2</v>
      </c>
      <c r="I5280">
        <v>3.4753077636186E-2</v>
      </c>
      <c r="J5280">
        <v>4.6964989994674397E-2</v>
      </c>
      <c r="K5280">
        <v>3.4950104898582697E-2</v>
      </c>
      <c r="L5280">
        <v>2307.70479113499</v>
      </c>
      <c r="M5280">
        <v>48.425372357286001</v>
      </c>
      <c r="N5280">
        <v>47.745296901674202</v>
      </c>
      <c r="O5280">
        <v>47.573800773136099</v>
      </c>
      <c r="P5280">
        <v>-0.243325042286652</v>
      </c>
      <c r="Q5280">
        <v>4.3816229404505497E-2</v>
      </c>
      <c r="R5280">
        <v>0.99927660742411895</v>
      </c>
      <c r="S5280" t="s">
        <v>11848</v>
      </c>
      <c r="T5280" t="s">
        <v>13134</v>
      </c>
      <c r="U5280" t="s">
        <v>13134</v>
      </c>
      <c r="V5280" t="s">
        <v>13134</v>
      </c>
      <c r="W5280" t="s">
        <v>18350</v>
      </c>
      <c r="X5280">
        <v>22</v>
      </c>
      <c r="Y5280" t="s">
        <v>24717</v>
      </c>
      <c r="Z5280" t="s">
        <v>31248</v>
      </c>
      <c r="AA5280">
        <v>0.38556023861623828</v>
      </c>
      <c r="AB5280" t="str">
        <f>HYPERLINK("Melting_Curves/meltCurve_Q99961_SH3GL1.pdf", "Melting_Curves/meltCurve_Q99961_SH3GL1.pdf")</f>
        <v>Melting_Curves/meltCurve_Q99961_SH3GL1.pdf</v>
      </c>
    </row>
    <row r="5281" spans="1:28" x14ac:dyDescent="0.25">
      <c r="A5281" t="s">
        <v>5285</v>
      </c>
      <c r="B5281">
        <v>0.99472303558308395</v>
      </c>
      <c r="C5281">
        <v>1.0253340258125101</v>
      </c>
      <c r="D5281">
        <v>0.94305925647507605</v>
      </c>
      <c r="E5281">
        <v>0.40936379072616702</v>
      </c>
      <c r="F5281">
        <v>0.17502697939567899</v>
      </c>
      <c r="G5281">
        <v>9.9875258341015696E-2</v>
      </c>
      <c r="H5281">
        <v>6.2770592025878799E-2</v>
      </c>
      <c r="I5281">
        <v>5.4936059834551798E-2</v>
      </c>
      <c r="J5281">
        <v>5.2436139009610298E-2</v>
      </c>
      <c r="K5281">
        <v>2.1094593696031502E-2</v>
      </c>
      <c r="L5281">
        <v>1498.2586691445999</v>
      </c>
      <c r="M5281">
        <v>32.571350028467798</v>
      </c>
      <c r="N5281">
        <v>46.192725506891698</v>
      </c>
      <c r="O5281">
        <v>45.8269275341978</v>
      </c>
      <c r="P5281">
        <v>-0.166360245409017</v>
      </c>
      <c r="Q5281">
        <v>6.3748609115267404E-2</v>
      </c>
      <c r="R5281">
        <v>0.99502775712800795</v>
      </c>
      <c r="S5281" t="s">
        <v>11849</v>
      </c>
      <c r="T5281" t="s">
        <v>13134</v>
      </c>
      <c r="U5281" t="s">
        <v>13134</v>
      </c>
      <c r="V5281" t="s">
        <v>13134</v>
      </c>
      <c r="W5281" t="s">
        <v>18351</v>
      </c>
      <c r="X5281">
        <v>7</v>
      </c>
      <c r="Y5281" t="s">
        <v>24718</v>
      </c>
      <c r="Z5281" t="s">
        <v>31249</v>
      </c>
      <c r="AA5281">
        <v>0.34911915647145719</v>
      </c>
      <c r="AB5281" t="str">
        <f>HYPERLINK("Melting_Curves/meltCurve_Q99963_4_SH3GL3.pdf", "Melting_Curves/meltCurve_Q99963_4_SH3GL3.pdf")</f>
        <v>Melting_Curves/meltCurve_Q99963_4_SH3GL3.pdf</v>
      </c>
    </row>
    <row r="5282" spans="1:28" x14ac:dyDescent="0.25">
      <c r="A5282" t="s">
        <v>5286</v>
      </c>
      <c r="B5282">
        <v>0.99472303558308395</v>
      </c>
      <c r="C5282">
        <v>0.96928807762676605</v>
      </c>
      <c r="D5282">
        <v>0.96623487629247895</v>
      </c>
      <c r="E5282">
        <v>0.76896394697593295</v>
      </c>
      <c r="F5282">
        <v>0.24805772345414101</v>
      </c>
      <c r="G5282">
        <v>0.121716501797768</v>
      </c>
      <c r="H5282">
        <v>7.6133741168046595E-2</v>
      </c>
      <c r="I5282">
        <v>6.0879627385014998E-2</v>
      </c>
      <c r="J5282">
        <v>6.86076419841819E-2</v>
      </c>
      <c r="K5282">
        <v>5.7465478538466702E-2</v>
      </c>
      <c r="L5282">
        <v>1575.5252746399001</v>
      </c>
      <c r="M5282">
        <v>32.742181045986001</v>
      </c>
      <c r="N5282">
        <v>48.336552739448798</v>
      </c>
      <c r="O5282">
        <v>47.940698730143097</v>
      </c>
      <c r="P5282">
        <v>-0.15905260377311001</v>
      </c>
      <c r="Q5282">
        <v>6.8472829639996999E-2</v>
      </c>
      <c r="R5282">
        <v>0.99872360543898497</v>
      </c>
      <c r="S5282" t="s">
        <v>11850</v>
      </c>
      <c r="T5282" t="s">
        <v>13134</v>
      </c>
      <c r="U5282" t="s">
        <v>13134</v>
      </c>
      <c r="V5282" t="s">
        <v>13134</v>
      </c>
      <c r="W5282" t="s">
        <v>18352</v>
      </c>
      <c r="X5282">
        <v>18</v>
      </c>
      <c r="Y5282" t="s">
        <v>24719</v>
      </c>
      <c r="Z5282" t="s">
        <v>31250</v>
      </c>
      <c r="AA5282">
        <v>0.41836979927869961</v>
      </c>
      <c r="AB5282" t="str">
        <f>HYPERLINK("Melting_Curves/meltCurve_Q99986_VRK1.pdf", "Melting_Curves/meltCurve_Q99986_VRK1.pdf")</f>
        <v>Melting_Curves/meltCurve_Q99986_VRK1.pdf</v>
      </c>
    </row>
    <row r="5283" spans="1:28" x14ac:dyDescent="0.25">
      <c r="A5283" t="s">
        <v>5287</v>
      </c>
      <c r="B5283">
        <v>0.99472303558308395</v>
      </c>
      <c r="C5283">
        <v>0.90737799597305902</v>
      </c>
      <c r="D5283">
        <v>0.819794703153232</v>
      </c>
      <c r="E5283">
        <v>0.70330631111589703</v>
      </c>
      <c r="F5283">
        <v>0.41583612790491198</v>
      </c>
      <c r="G5283">
        <v>0.16213884416534999</v>
      </c>
      <c r="H5283">
        <v>0.13926299219442101</v>
      </c>
      <c r="I5283">
        <v>0.10815218526925301</v>
      </c>
      <c r="J5283">
        <v>0.13292584532743401</v>
      </c>
      <c r="K5283">
        <v>0.10067768235543401</v>
      </c>
      <c r="L5283">
        <v>731.87170418083394</v>
      </c>
      <c r="M5283">
        <v>15.220447993076601</v>
      </c>
      <c r="N5283">
        <v>48.621665204308002</v>
      </c>
      <c r="O5283">
        <v>47.2776423015085</v>
      </c>
      <c r="P5283">
        <v>-7.4265812232529996E-2</v>
      </c>
      <c r="Q5283">
        <v>7.7352461342924797E-2</v>
      </c>
      <c r="R5283">
        <v>0.98786946643715301</v>
      </c>
      <c r="S5283" t="s">
        <v>11851</v>
      </c>
      <c r="T5283" t="s">
        <v>13134</v>
      </c>
      <c r="U5283" t="s">
        <v>13134</v>
      </c>
      <c r="V5283" t="s">
        <v>13134</v>
      </c>
      <c r="W5283" t="s">
        <v>18353</v>
      </c>
      <c r="X5283">
        <v>2</v>
      </c>
      <c r="Y5283" t="s">
        <v>24720</v>
      </c>
      <c r="Z5283" t="s">
        <v>31251</v>
      </c>
      <c r="AA5283">
        <v>0.43805533325190321</v>
      </c>
      <c r="AB5283" t="str">
        <f>HYPERLINK("Melting_Curves/meltCurve_Q99988_GDF15.pdf", "Melting_Curves/meltCurve_Q99988_GDF15.pdf")</f>
        <v>Melting_Curves/meltCurve_Q99988_GDF15.pdf</v>
      </c>
    </row>
    <row r="5284" spans="1:28" x14ac:dyDescent="0.25">
      <c r="A5284" t="s">
        <v>5288</v>
      </c>
      <c r="B5284">
        <v>0.99472303558308395</v>
      </c>
      <c r="C5284">
        <v>0.87379525483634402</v>
      </c>
      <c r="D5284">
        <v>0.67447137464557205</v>
      </c>
      <c r="E5284">
        <v>0.43262669459125702</v>
      </c>
      <c r="F5284">
        <v>0.157381052188522</v>
      </c>
      <c r="G5284">
        <v>8.7529554382964003E-2</v>
      </c>
      <c r="H5284">
        <v>9.3829847112241793E-2</v>
      </c>
      <c r="I5284">
        <v>6.4521432596485795E-2</v>
      </c>
      <c r="J5284">
        <v>6.3227641182986905E-2</v>
      </c>
      <c r="K5284">
        <v>3.3385288405306003E-2</v>
      </c>
      <c r="L5284">
        <v>719.62801953969995</v>
      </c>
      <c r="M5284">
        <v>15.9996195899092</v>
      </c>
      <c r="N5284">
        <v>45.227090193067198</v>
      </c>
      <c r="O5284">
        <v>44.292779755217303</v>
      </c>
      <c r="P5284">
        <v>-8.6501466356272594E-2</v>
      </c>
      <c r="Q5284">
        <v>4.22047525487627E-2</v>
      </c>
      <c r="R5284">
        <v>0.99556407751412401</v>
      </c>
      <c r="S5284" t="s">
        <v>11852</v>
      </c>
      <c r="T5284" t="s">
        <v>13134</v>
      </c>
      <c r="U5284" t="s">
        <v>13134</v>
      </c>
      <c r="V5284" t="s">
        <v>13134</v>
      </c>
      <c r="W5284" t="s">
        <v>18354</v>
      </c>
      <c r="X5284">
        <v>2</v>
      </c>
      <c r="Y5284" t="s">
        <v>24721</v>
      </c>
      <c r="Z5284" t="s">
        <v>31252</v>
      </c>
      <c r="AA5284">
        <v>0.31693022325458531</v>
      </c>
      <c r="AB5284" t="str">
        <f>HYPERLINK("Melting_Curves/meltCurve_Q99996_4_AKAP9.pdf", "Melting_Curves/meltCurve_Q99996_4_AKAP9.pdf")</f>
        <v>Melting_Curves/meltCurve_Q99996_4_AKAP9.pdf</v>
      </c>
    </row>
    <row r="5285" spans="1:28" x14ac:dyDescent="0.25">
      <c r="A5285" t="s">
        <v>5289</v>
      </c>
      <c r="B5285">
        <v>0.99472303558308395</v>
      </c>
      <c r="C5285">
        <v>0.960042523789716</v>
      </c>
      <c r="D5285">
        <v>0.91541107577696601</v>
      </c>
      <c r="E5285">
        <v>0.80478964053923197</v>
      </c>
      <c r="F5285">
        <v>0.68852836487690505</v>
      </c>
      <c r="G5285">
        <v>0.42533278523722001</v>
      </c>
      <c r="H5285">
        <v>0.163888671949349</v>
      </c>
      <c r="I5285">
        <v>0.104764101294233</v>
      </c>
      <c r="J5285">
        <v>0.118878587619912</v>
      </c>
      <c r="K5285">
        <v>0.13742229458609101</v>
      </c>
      <c r="L5285">
        <v>784.18165010307496</v>
      </c>
      <c r="M5285">
        <v>15.1608090094382</v>
      </c>
      <c r="N5285">
        <v>52.1538138695486</v>
      </c>
      <c r="O5285">
        <v>50.849365033157603</v>
      </c>
      <c r="P5285">
        <v>-7.0169740794928007E-2</v>
      </c>
      <c r="Q5285">
        <v>5.8693318642314203E-2</v>
      </c>
      <c r="R5285">
        <v>0.98681266401228496</v>
      </c>
      <c r="S5285" t="s">
        <v>11853</v>
      </c>
      <c r="T5285" t="s">
        <v>13134</v>
      </c>
      <c r="U5285" t="s">
        <v>13134</v>
      </c>
      <c r="V5285" t="s">
        <v>13134</v>
      </c>
      <c r="W5285" t="s">
        <v>18355</v>
      </c>
      <c r="X5285">
        <v>6</v>
      </c>
      <c r="Y5285" t="s">
        <v>24722</v>
      </c>
      <c r="Z5285" t="s">
        <v>31253</v>
      </c>
      <c r="AA5285">
        <v>0.53875667419453177</v>
      </c>
      <c r="AB5285" t="str">
        <f>HYPERLINK("Melting_Curves/meltCurve_Q9BPW8_NIPSNAP1.pdf", "Melting_Curves/meltCurve_Q9BPW8_NIPSNAP1.pdf")</f>
        <v>Melting_Curves/meltCurve_Q9BPW8_NIPSNAP1.pdf</v>
      </c>
    </row>
    <row r="5286" spans="1:28" x14ac:dyDescent="0.25">
      <c r="A5286" t="s">
        <v>5290</v>
      </c>
      <c r="B5286">
        <v>0.99472303558308395</v>
      </c>
      <c r="C5286">
        <v>0.93897118607416696</v>
      </c>
      <c r="D5286">
        <v>0.78300161669690005</v>
      </c>
      <c r="E5286">
        <v>0.47773930875485798</v>
      </c>
      <c r="F5286">
        <v>0.166435856424554</v>
      </c>
      <c r="G5286">
        <v>8.9673052727513497E-2</v>
      </c>
      <c r="H5286">
        <v>6.5796452468652705E-2</v>
      </c>
      <c r="I5286">
        <v>4.44867215543715E-2</v>
      </c>
      <c r="J5286">
        <v>7.6846006871453501E-2</v>
      </c>
      <c r="K5286">
        <v>5.1131478063566098E-2</v>
      </c>
      <c r="L5286">
        <v>902.75089032718495</v>
      </c>
      <c r="M5286">
        <v>19.687229335046801</v>
      </c>
      <c r="N5286">
        <v>46.088711849328</v>
      </c>
      <c r="O5286">
        <v>45.389396519061997</v>
      </c>
      <c r="P5286">
        <v>-0.10328004974014</v>
      </c>
      <c r="Q5286">
        <v>4.7574167753761998E-2</v>
      </c>
      <c r="R5286">
        <v>0.99801937988632805</v>
      </c>
      <c r="S5286" t="s">
        <v>11854</v>
      </c>
      <c r="T5286" t="s">
        <v>13134</v>
      </c>
      <c r="U5286" t="s">
        <v>13134</v>
      </c>
      <c r="V5286" t="s">
        <v>13134</v>
      </c>
      <c r="W5286" t="s">
        <v>18356</v>
      </c>
      <c r="X5286">
        <v>20</v>
      </c>
      <c r="Y5286" t="s">
        <v>24723</v>
      </c>
      <c r="Z5286" t="s">
        <v>31254</v>
      </c>
      <c r="AA5286">
        <v>0.34154777565299371</v>
      </c>
      <c r="AB5286" t="str">
        <f>HYPERLINK("Melting_Curves/meltCurve_Q9BPX3_NCAPG.pdf", "Melting_Curves/meltCurve_Q9BPX3_NCAPG.pdf")</f>
        <v>Melting_Curves/meltCurve_Q9BPX3_NCAPG.pdf</v>
      </c>
    </row>
    <row r="5287" spans="1:28" x14ac:dyDescent="0.25">
      <c r="A5287" t="s">
        <v>5291</v>
      </c>
      <c r="B5287">
        <v>0.99472303558308395</v>
      </c>
      <c r="C5287">
        <v>1.04422359202221</v>
      </c>
      <c r="D5287">
        <v>0.92768156886794695</v>
      </c>
      <c r="E5287">
        <v>0.92000316450675401</v>
      </c>
      <c r="F5287">
        <v>0.756187019997557</v>
      </c>
      <c r="G5287">
        <v>0.50379628642290597</v>
      </c>
      <c r="H5287">
        <v>0.22396306358948101</v>
      </c>
      <c r="I5287">
        <v>0.26575787850691002</v>
      </c>
      <c r="J5287">
        <v>0.246781097638023</v>
      </c>
      <c r="K5287">
        <v>0.13398760531152401</v>
      </c>
      <c r="L5287">
        <v>1027.48048273877</v>
      </c>
      <c r="M5287">
        <v>19.637891555320302</v>
      </c>
      <c r="N5287">
        <v>53.475365383055703</v>
      </c>
      <c r="O5287">
        <v>51.787841868900699</v>
      </c>
      <c r="P5287">
        <v>-7.8428372584801107E-2</v>
      </c>
      <c r="Q5287">
        <v>0.172723087158792</v>
      </c>
      <c r="R5287">
        <v>0.98383812189277098</v>
      </c>
      <c r="S5287" t="s">
        <v>11855</v>
      </c>
      <c r="T5287" t="s">
        <v>13134</v>
      </c>
      <c r="U5287" t="s">
        <v>13134</v>
      </c>
      <c r="V5287" t="s">
        <v>13134</v>
      </c>
      <c r="W5287" t="s">
        <v>18357</v>
      </c>
      <c r="X5287">
        <v>5</v>
      </c>
      <c r="Y5287" t="s">
        <v>24724</v>
      </c>
      <c r="Z5287" t="s">
        <v>31255</v>
      </c>
      <c r="AA5287">
        <v>0.60613396025322286</v>
      </c>
      <c r="AB5287" t="str">
        <f>HYPERLINK("Melting_Curves/meltCurve_Q9BPX5_ARPC5L.pdf", "Melting_Curves/meltCurve_Q9BPX5_ARPC5L.pdf")</f>
        <v>Melting_Curves/meltCurve_Q9BPX5_ARPC5L.pdf</v>
      </c>
    </row>
    <row r="5288" spans="1:28" x14ac:dyDescent="0.25">
      <c r="A5288" t="s">
        <v>5292</v>
      </c>
      <c r="B5288">
        <v>0.99472303558308395</v>
      </c>
      <c r="C5288">
        <v>1.0192122251678899</v>
      </c>
      <c r="D5288">
        <v>1.1473807137877601</v>
      </c>
      <c r="E5288">
        <v>0.81924175199368099</v>
      </c>
      <c r="F5288">
        <v>0.27938586819500599</v>
      </c>
      <c r="G5288">
        <v>0.16850453307021901</v>
      </c>
      <c r="H5288">
        <v>7.3938746693049603E-2</v>
      </c>
      <c r="I5288">
        <v>4.1240904506113001E-2</v>
      </c>
      <c r="J5288">
        <v>4.9919757861178402E-2</v>
      </c>
      <c r="K5288">
        <v>5.2467252472183798E-2</v>
      </c>
      <c r="L5288">
        <v>1727.2006645501301</v>
      </c>
      <c r="M5288">
        <v>35.565956550515502</v>
      </c>
      <c r="N5288">
        <v>48.764861065849097</v>
      </c>
      <c r="O5288">
        <v>48.410566022525501</v>
      </c>
      <c r="P5288">
        <v>-0.171114969450435</v>
      </c>
      <c r="Q5288">
        <v>6.8351524241725498E-2</v>
      </c>
      <c r="R5288">
        <v>0.98394833729419895</v>
      </c>
      <c r="S5288" t="s">
        <v>11856</v>
      </c>
      <c r="T5288" t="s">
        <v>13134</v>
      </c>
      <c r="U5288" t="s">
        <v>13134</v>
      </c>
      <c r="V5288" t="s">
        <v>13134</v>
      </c>
      <c r="W5288" t="s">
        <v>18358</v>
      </c>
      <c r="X5288">
        <v>4</v>
      </c>
      <c r="Y5288" t="s">
        <v>24725</v>
      </c>
      <c r="Z5288" t="s">
        <v>31256</v>
      </c>
      <c r="AA5288">
        <v>0.43141134943533938</v>
      </c>
      <c r="AB5288" t="str">
        <f>HYPERLINK("Melting_Curves/meltCurve_Q9BPZ3_PAIP2.pdf", "Melting_Curves/meltCurve_Q9BPZ3_PAIP2.pdf")</f>
        <v>Melting_Curves/meltCurve_Q9BPZ3_PAIP2.pdf</v>
      </c>
    </row>
    <row r="5289" spans="1:28" x14ac:dyDescent="0.25">
      <c r="A5289" t="s">
        <v>5293</v>
      </c>
      <c r="B5289">
        <v>0.99472303558308395</v>
      </c>
      <c r="C5289">
        <v>0.89943519034219199</v>
      </c>
      <c r="D5289">
        <v>0.78126926815702302</v>
      </c>
      <c r="E5289">
        <v>0.41710484968782702</v>
      </c>
      <c r="F5289">
        <v>0.15404615497660401</v>
      </c>
      <c r="G5289">
        <v>8.8436892803374106E-2</v>
      </c>
      <c r="H5289">
        <v>6.1574722043191699E-2</v>
      </c>
      <c r="I5289">
        <v>4.9207425446818297E-2</v>
      </c>
      <c r="J5289">
        <v>5.3009546553842803E-2</v>
      </c>
      <c r="K5289">
        <v>5.2080088026968202E-2</v>
      </c>
      <c r="L5289">
        <v>893.49442904880596</v>
      </c>
      <c r="M5289">
        <v>19.654095699016199</v>
      </c>
      <c r="N5289">
        <v>45.677842702009002</v>
      </c>
      <c r="O5289">
        <v>44.998186250031203</v>
      </c>
      <c r="P5289">
        <v>-0.104333397465111</v>
      </c>
      <c r="Q5289">
        <v>4.4545082706519301E-2</v>
      </c>
      <c r="R5289">
        <v>0.99810280208400703</v>
      </c>
      <c r="S5289" t="s">
        <v>11857</v>
      </c>
      <c r="T5289" t="s">
        <v>13134</v>
      </c>
      <c r="U5289" t="s">
        <v>13134</v>
      </c>
      <c r="V5289" t="s">
        <v>13134</v>
      </c>
      <c r="W5289" t="s">
        <v>18359</v>
      </c>
      <c r="X5289">
        <v>6</v>
      </c>
      <c r="Y5289" t="s">
        <v>24726</v>
      </c>
      <c r="Z5289" t="s">
        <v>31257</v>
      </c>
      <c r="AA5289">
        <v>0.32698509478168342</v>
      </c>
      <c r="AB5289" t="str">
        <f>HYPERLINK("Melting_Curves/meltCurve_Q9BQ39_DDX50.pdf", "Melting_Curves/meltCurve_Q9BQ39_DDX50.pdf")</f>
        <v>Melting_Curves/meltCurve_Q9BQ39_DDX50.pdf</v>
      </c>
    </row>
    <row r="5290" spans="1:28" x14ac:dyDescent="0.25">
      <c r="A5290" t="s">
        <v>5294</v>
      </c>
      <c r="B5290">
        <v>0.99472303558308395</v>
      </c>
      <c r="C5290">
        <v>0.93163758506816596</v>
      </c>
      <c r="D5290">
        <v>0.88244321698082795</v>
      </c>
      <c r="E5290">
        <v>0.80707936962624405</v>
      </c>
      <c r="F5290">
        <v>0.67933746757693403</v>
      </c>
      <c r="G5290">
        <v>0.495784104880518</v>
      </c>
      <c r="H5290">
        <v>0.32973883711382901</v>
      </c>
      <c r="I5290">
        <v>0.317312272960659</v>
      </c>
      <c r="J5290">
        <v>0.34355655239903699</v>
      </c>
      <c r="K5290">
        <v>0.20645826975213599</v>
      </c>
      <c r="L5290">
        <v>533.11443938936497</v>
      </c>
      <c r="M5290">
        <v>10.3392415041715</v>
      </c>
      <c r="N5290">
        <v>53.801485115108001</v>
      </c>
      <c r="O5290">
        <v>49.745165274426199</v>
      </c>
      <c r="P5290">
        <v>-4.28940159152277E-2</v>
      </c>
      <c r="Q5290">
        <v>0.17484973552564501</v>
      </c>
      <c r="R5290">
        <v>0.983216630135754</v>
      </c>
      <c r="S5290" t="s">
        <v>11858</v>
      </c>
      <c r="T5290" t="s">
        <v>13134</v>
      </c>
      <c r="U5290" t="s">
        <v>13134</v>
      </c>
      <c r="V5290" t="s">
        <v>13134</v>
      </c>
      <c r="W5290" t="s">
        <v>18360</v>
      </c>
      <c r="X5290">
        <v>34</v>
      </c>
      <c r="Y5290" t="s">
        <v>24727</v>
      </c>
      <c r="Z5290" t="s">
        <v>31258</v>
      </c>
      <c r="AA5290">
        <v>0.59831865971886367</v>
      </c>
      <c r="AB5290" t="str">
        <f>HYPERLINK("Melting_Curves/meltCurve_Q9BQ52_ELAC2.pdf", "Melting_Curves/meltCurve_Q9BQ52_ELAC2.pdf")</f>
        <v>Melting_Curves/meltCurve_Q9BQ52_ELAC2.pdf</v>
      </c>
    </row>
    <row r="5291" spans="1:28" x14ac:dyDescent="0.25">
      <c r="A5291" t="s">
        <v>5295</v>
      </c>
      <c r="B5291">
        <v>0.99472303558308395</v>
      </c>
      <c r="C5291">
        <v>0.98948355912046504</v>
      </c>
      <c r="D5291">
        <v>0.98358061392428597</v>
      </c>
      <c r="E5291">
        <v>0.88988669294440603</v>
      </c>
      <c r="F5291">
        <v>0.70516858040637798</v>
      </c>
      <c r="G5291">
        <v>0.60817644675895399</v>
      </c>
      <c r="H5291">
        <v>0.61700793026465295</v>
      </c>
      <c r="I5291">
        <v>0.71273354646422404</v>
      </c>
      <c r="J5291">
        <v>1.0387522448270901</v>
      </c>
      <c r="K5291">
        <v>0.74758291234712704</v>
      </c>
      <c r="L5291">
        <v>11664.914965722801</v>
      </c>
      <c r="M5291">
        <v>250</v>
      </c>
      <c r="O5291">
        <v>46.656674164570603</v>
      </c>
      <c r="P5291">
        <v>-0.35065060802478198</v>
      </c>
      <c r="Q5291">
        <v>0.73823694285977803</v>
      </c>
      <c r="R5291">
        <v>0.511179451616534</v>
      </c>
      <c r="S5291" t="s">
        <v>11859</v>
      </c>
      <c r="T5291" t="s">
        <v>13134</v>
      </c>
      <c r="U5291" t="s">
        <v>13134</v>
      </c>
      <c r="V5291" t="s">
        <v>13134</v>
      </c>
      <c r="W5291" t="s">
        <v>18361</v>
      </c>
      <c r="X5291">
        <v>9</v>
      </c>
      <c r="Y5291" t="s">
        <v>24728</v>
      </c>
      <c r="Z5291" t="s">
        <v>31259</v>
      </c>
      <c r="AA5291">
        <v>0.82254311440002159</v>
      </c>
      <c r="AB5291" t="str">
        <f>HYPERLINK("Melting_Curves/meltCurve_Q9BQ61_C19orf43.pdf", "Melting_Curves/meltCurve_Q9BQ61_C19orf43.pdf")</f>
        <v>Melting_Curves/meltCurve_Q9BQ61_C19orf43.pdf</v>
      </c>
    </row>
    <row r="5292" spans="1:28" x14ac:dyDescent="0.25">
      <c r="A5292" t="s">
        <v>5296</v>
      </c>
      <c r="B5292">
        <v>0.99472303558308395</v>
      </c>
      <c r="C5292">
        <v>0.85604952025545</v>
      </c>
      <c r="D5292">
        <v>0.88127653327523003</v>
      </c>
      <c r="E5292">
        <v>0.61352361412140199</v>
      </c>
      <c r="F5292">
        <v>0.474396486671332</v>
      </c>
      <c r="G5292">
        <v>0.28423291464892603</v>
      </c>
      <c r="H5292">
        <v>0.133973594870819</v>
      </c>
      <c r="I5292">
        <v>9.8582196813551404E-2</v>
      </c>
      <c r="J5292">
        <v>8.3542325349695398E-2</v>
      </c>
      <c r="K5292">
        <v>9.3053193198926507E-2</v>
      </c>
      <c r="L5292">
        <v>556.69819612117203</v>
      </c>
      <c r="M5292">
        <v>11.378795016270301</v>
      </c>
      <c r="N5292">
        <v>49.099999786251701</v>
      </c>
      <c r="O5292">
        <v>47.486219427158801</v>
      </c>
      <c r="P5292">
        <v>-5.8727223135147499E-2</v>
      </c>
      <c r="Q5292">
        <v>1.9963597039482701E-2</v>
      </c>
      <c r="R5292">
        <v>0.98870500512131498</v>
      </c>
      <c r="S5292" t="s">
        <v>11860</v>
      </c>
      <c r="T5292" t="s">
        <v>13134</v>
      </c>
      <c r="U5292" t="s">
        <v>13134</v>
      </c>
      <c r="V5292" t="s">
        <v>13134</v>
      </c>
      <c r="W5292" t="s">
        <v>18362</v>
      </c>
      <c r="X5292">
        <v>9</v>
      </c>
      <c r="Y5292" t="s">
        <v>24729</v>
      </c>
      <c r="Z5292" t="s">
        <v>31260</v>
      </c>
      <c r="AA5292">
        <v>0.44085014149107549</v>
      </c>
      <c r="AB5292" t="str">
        <f>HYPERLINK("Melting_Curves/meltCurve_Q9BQ67_GRWD1.pdf", "Melting_Curves/meltCurve_Q9BQ67_GRWD1.pdf")</f>
        <v>Melting_Curves/meltCurve_Q9BQ67_GRWD1.pdf</v>
      </c>
    </row>
    <row r="5293" spans="1:28" x14ac:dyDescent="0.25">
      <c r="A5293" t="s">
        <v>5297</v>
      </c>
      <c r="B5293">
        <v>0.99472303558308395</v>
      </c>
      <c r="C5293">
        <v>0.87033685270887395</v>
      </c>
      <c r="D5293">
        <v>1.01778720739175</v>
      </c>
      <c r="E5293">
        <v>0.75278304507701099</v>
      </c>
      <c r="F5293">
        <v>0.221365681919763</v>
      </c>
      <c r="G5293">
        <v>0.105270628604113</v>
      </c>
      <c r="H5293">
        <v>6.1851680392379003E-2</v>
      </c>
      <c r="I5293">
        <v>3.81247479110857E-2</v>
      </c>
      <c r="J5293">
        <v>5.1020607172190501E-2</v>
      </c>
      <c r="K5293">
        <v>4.09901034608606E-2</v>
      </c>
      <c r="L5293">
        <v>1649.1461938914099</v>
      </c>
      <c r="M5293">
        <v>34.3400206336919</v>
      </c>
      <c r="N5293">
        <v>48.180818414848503</v>
      </c>
      <c r="O5293">
        <v>47.862051113949299</v>
      </c>
      <c r="P5293">
        <v>-0.16988801754971</v>
      </c>
      <c r="Q5293">
        <v>5.2865182408313401E-2</v>
      </c>
      <c r="R5293">
        <v>0.98870877374712596</v>
      </c>
      <c r="S5293" t="s">
        <v>11861</v>
      </c>
      <c r="T5293" t="s">
        <v>13134</v>
      </c>
      <c r="U5293" t="s">
        <v>13134</v>
      </c>
      <c r="V5293" t="s">
        <v>13134</v>
      </c>
      <c r="W5293" t="s">
        <v>18363</v>
      </c>
      <c r="X5293">
        <v>10</v>
      </c>
      <c r="Y5293" t="s">
        <v>24730</v>
      </c>
      <c r="Z5293" t="s">
        <v>31261</v>
      </c>
      <c r="AA5293">
        <v>0.405182718174879</v>
      </c>
      <c r="AB5293" t="str">
        <f>HYPERLINK("Melting_Curves/meltCurve_Q9BQ69_MACROD1.pdf", "Melting_Curves/meltCurve_Q9BQ69_MACROD1.pdf")</f>
        <v>Melting_Curves/meltCurve_Q9BQ69_MACROD1.pdf</v>
      </c>
    </row>
    <row r="5294" spans="1:28" x14ac:dyDescent="0.25">
      <c r="A5294" t="s">
        <v>5298</v>
      </c>
      <c r="B5294">
        <v>0.99472303558308395</v>
      </c>
      <c r="C5294">
        <v>1.11763977005365</v>
      </c>
      <c r="D5294">
        <v>0.94806538988061995</v>
      </c>
      <c r="E5294">
        <v>0.74622580300279995</v>
      </c>
      <c r="F5294">
        <v>0.265108868751944</v>
      </c>
      <c r="G5294">
        <v>0.20269941880773401</v>
      </c>
      <c r="H5294">
        <v>0.17253260113374699</v>
      </c>
      <c r="I5294">
        <v>0.111200143818111</v>
      </c>
      <c r="J5294">
        <v>0.120401678333805</v>
      </c>
      <c r="K5294">
        <v>0.10692651025019</v>
      </c>
      <c r="L5294">
        <v>1545.5344929646201</v>
      </c>
      <c r="M5294">
        <v>32.341570876856899</v>
      </c>
      <c r="N5294">
        <v>48.253903233513299</v>
      </c>
      <c r="O5294">
        <v>47.606274450899903</v>
      </c>
      <c r="P5294">
        <v>-0.14705727635142801</v>
      </c>
      <c r="Q5294">
        <v>0.13414047363242701</v>
      </c>
      <c r="R5294">
        <v>0.98714746677561405</v>
      </c>
      <c r="S5294" t="s">
        <v>11862</v>
      </c>
      <c r="T5294" t="s">
        <v>13134</v>
      </c>
      <c r="U5294" t="s">
        <v>13134</v>
      </c>
      <c r="V5294" t="s">
        <v>13134</v>
      </c>
      <c r="W5294" t="s">
        <v>18364</v>
      </c>
      <c r="X5294">
        <v>7</v>
      </c>
      <c r="Y5294" t="s">
        <v>24731</v>
      </c>
      <c r="Z5294" t="s">
        <v>31262</v>
      </c>
      <c r="AA5294">
        <v>0.449890074849991</v>
      </c>
      <c r="AB5294" t="str">
        <f>HYPERLINK("Melting_Curves/meltCurve_Q9BQ70_TCF25.pdf", "Melting_Curves/meltCurve_Q9BQ70_TCF25.pdf")</f>
        <v>Melting_Curves/meltCurve_Q9BQ70_TCF25.pdf</v>
      </c>
    </row>
    <row r="5295" spans="1:28" x14ac:dyDescent="0.25">
      <c r="A5295" t="s">
        <v>5299</v>
      </c>
      <c r="B5295">
        <v>0.99472303558308395</v>
      </c>
      <c r="C5295">
        <v>0.94268960279839098</v>
      </c>
      <c r="D5295">
        <v>0.85457033245032099</v>
      </c>
      <c r="E5295">
        <v>0.79814851958969901</v>
      </c>
      <c r="F5295">
        <v>0.85175517971413806</v>
      </c>
      <c r="G5295">
        <v>0.39950089860014198</v>
      </c>
      <c r="H5295">
        <v>0.115931749804428</v>
      </c>
      <c r="I5295">
        <v>6.9506810472368896E-2</v>
      </c>
      <c r="J5295">
        <v>2.8702218763011E-2</v>
      </c>
      <c r="K5295">
        <v>0</v>
      </c>
      <c r="L5295">
        <v>1146.6743747103901</v>
      </c>
      <c r="M5295">
        <v>21.6667285909935</v>
      </c>
      <c r="N5295">
        <v>52.9232813766736</v>
      </c>
      <c r="O5295">
        <v>52.478641652335597</v>
      </c>
      <c r="P5295">
        <v>-0.103219338481532</v>
      </c>
      <c r="Q5295">
        <v>0</v>
      </c>
      <c r="R5295">
        <v>0.96530422593395604</v>
      </c>
      <c r="S5295" t="s">
        <v>11863</v>
      </c>
      <c r="T5295" t="s">
        <v>13134</v>
      </c>
      <c r="U5295" t="s">
        <v>13134</v>
      </c>
      <c r="V5295" t="s">
        <v>13134</v>
      </c>
      <c r="W5295" t="s">
        <v>18365</v>
      </c>
      <c r="X5295">
        <v>1</v>
      </c>
      <c r="Y5295" t="s">
        <v>24732</v>
      </c>
      <c r="Z5295" t="s">
        <v>31263</v>
      </c>
      <c r="AA5295">
        <v>0.54196701420649496</v>
      </c>
      <c r="AB5295" t="str">
        <f>HYPERLINK("Melting_Curves/meltCurve_Q9BQ90_KLHDC3.pdf", "Melting_Curves/meltCurve_Q9BQ90_KLHDC3.pdf")</f>
        <v>Melting_Curves/meltCurve_Q9BQ90_KLHDC3.pdf</v>
      </c>
    </row>
    <row r="5296" spans="1:28" x14ac:dyDescent="0.25">
      <c r="A5296" t="s">
        <v>5300</v>
      </c>
      <c r="B5296">
        <v>0.99472303558308395</v>
      </c>
      <c r="C5296">
        <v>0.90940690486549103</v>
      </c>
      <c r="D5296">
        <v>0.77739845225371995</v>
      </c>
      <c r="E5296">
        <v>0.65136718832843798</v>
      </c>
      <c r="F5296">
        <v>0.59152532537019098</v>
      </c>
      <c r="G5296">
        <v>0.33693900818549799</v>
      </c>
      <c r="H5296">
        <v>0.21083930781213001</v>
      </c>
      <c r="I5296">
        <v>0.10838870752548201</v>
      </c>
      <c r="J5296">
        <v>8.8730600909850105E-2</v>
      </c>
      <c r="K5296">
        <v>7.0735976224299293E-2</v>
      </c>
      <c r="L5296">
        <v>489.48345219223597</v>
      </c>
      <c r="M5296">
        <v>9.76653732025739</v>
      </c>
      <c r="N5296">
        <v>50.118421182765502</v>
      </c>
      <c r="O5296">
        <v>48.1526900770954</v>
      </c>
      <c r="P5296">
        <v>-5.0733066000852901E-2</v>
      </c>
      <c r="Q5296">
        <v>0</v>
      </c>
      <c r="R5296">
        <v>0.98580328160466502</v>
      </c>
      <c r="S5296" t="s">
        <v>11864</v>
      </c>
      <c r="T5296" t="s">
        <v>13134</v>
      </c>
      <c r="U5296" t="s">
        <v>13134</v>
      </c>
      <c r="V5296" t="s">
        <v>13134</v>
      </c>
      <c r="W5296" t="s">
        <v>18366</v>
      </c>
      <c r="X5296">
        <v>9</v>
      </c>
      <c r="Y5296" t="s">
        <v>24733</v>
      </c>
      <c r="Z5296" t="s">
        <v>31264</v>
      </c>
      <c r="AA5296">
        <v>0.4715512925280993</v>
      </c>
      <c r="AB5296" t="str">
        <f>HYPERLINK("Melting_Curves/meltCurve_Q9BQ95_ECSIT.pdf", "Melting_Curves/meltCurve_Q9BQ95_ECSIT.pdf")</f>
        <v>Melting_Curves/meltCurve_Q9BQ95_ECSIT.pdf</v>
      </c>
    </row>
    <row r="5297" spans="1:28" x14ac:dyDescent="0.25">
      <c r="A5297" t="s">
        <v>5301</v>
      </c>
      <c r="B5297">
        <v>0.99472303558308395</v>
      </c>
      <c r="C5297">
        <v>0.97530521739996401</v>
      </c>
      <c r="D5297">
        <v>0.71342578858391403</v>
      </c>
      <c r="E5297">
        <v>0.63401441763636501</v>
      </c>
      <c r="F5297">
        <v>0.89082792012773104</v>
      </c>
      <c r="G5297">
        <v>0.373425222466224</v>
      </c>
      <c r="H5297">
        <v>0.15536347827126901</v>
      </c>
      <c r="I5297">
        <v>9.1856819572742596E-2</v>
      </c>
      <c r="J5297">
        <v>9.4371200680548994E-2</v>
      </c>
      <c r="K5297">
        <v>9.1144614008235703E-2</v>
      </c>
      <c r="L5297">
        <v>563.60464332638298</v>
      </c>
      <c r="M5297">
        <v>10.890452164516599</v>
      </c>
      <c r="N5297">
        <v>51.752180197907698</v>
      </c>
      <c r="O5297">
        <v>50.098940522191199</v>
      </c>
      <c r="P5297">
        <v>-5.4363778678524599E-2</v>
      </c>
      <c r="Q5297">
        <v>0</v>
      </c>
      <c r="R5297">
        <v>0.87558419485230499</v>
      </c>
      <c r="S5297" t="s">
        <v>11865</v>
      </c>
      <c r="T5297" t="s">
        <v>13134</v>
      </c>
      <c r="U5297" t="s">
        <v>13134</v>
      </c>
      <c r="V5297" t="s">
        <v>13134</v>
      </c>
      <c r="W5297" t="s">
        <v>18367</v>
      </c>
      <c r="X5297">
        <v>8</v>
      </c>
      <c r="Y5297" t="s">
        <v>24734</v>
      </c>
      <c r="Z5297" t="s">
        <v>31265</v>
      </c>
      <c r="AA5297">
        <v>0.51796371768158889</v>
      </c>
      <c r="AB5297" t="str">
        <f>HYPERLINK("Melting_Curves/meltCurve_Q9BQA1_WDR77.pdf", "Melting_Curves/meltCurve_Q9BQA1_WDR77.pdf")</f>
        <v>Melting_Curves/meltCurve_Q9BQA1_WDR77.pdf</v>
      </c>
    </row>
    <row r="5298" spans="1:28" x14ac:dyDescent="0.25">
      <c r="A5298" t="s">
        <v>5302</v>
      </c>
      <c r="B5298">
        <v>0.99472303558308395</v>
      </c>
      <c r="C5298">
        <v>0.852184082068288</v>
      </c>
      <c r="D5298">
        <v>0.87019971715425704</v>
      </c>
      <c r="E5298">
        <v>0.73233300914450095</v>
      </c>
      <c r="F5298">
        <v>0.56212080186634095</v>
      </c>
      <c r="G5298">
        <v>0.38452599912464602</v>
      </c>
      <c r="H5298">
        <v>0.24545002792078299</v>
      </c>
      <c r="I5298">
        <v>0.16176740217438601</v>
      </c>
      <c r="J5298">
        <v>0.14049891137530801</v>
      </c>
      <c r="K5298">
        <v>0.123259227176332</v>
      </c>
      <c r="L5298">
        <v>480.11650998001397</v>
      </c>
      <c r="M5298">
        <v>9.3952888041343208</v>
      </c>
      <c r="N5298">
        <v>51.160621556973801</v>
      </c>
      <c r="O5298">
        <v>48.947133151005502</v>
      </c>
      <c r="P5298">
        <v>-4.77587377708159E-2</v>
      </c>
      <c r="Q5298">
        <v>5.3687548318859602E-3</v>
      </c>
      <c r="R5298">
        <v>0.99086091419711397</v>
      </c>
      <c r="S5298" t="s">
        <v>11866</v>
      </c>
      <c r="T5298" t="s">
        <v>13134</v>
      </c>
      <c r="U5298" t="s">
        <v>13134</v>
      </c>
      <c r="V5298" t="s">
        <v>13134</v>
      </c>
      <c r="W5298" t="s">
        <v>18368</v>
      </c>
      <c r="X5298">
        <v>2</v>
      </c>
      <c r="Y5298" t="s">
        <v>24735</v>
      </c>
      <c r="Z5298" t="s">
        <v>31266</v>
      </c>
      <c r="AA5298">
        <v>0.50413924153528245</v>
      </c>
      <c r="AB5298" t="str">
        <f>HYPERLINK("Melting_Curves/meltCurve_Q9BQA9_2_C17orf62.pdf", "Melting_Curves/meltCurve_Q9BQA9_2_C17orf62.pdf")</f>
        <v>Melting_Curves/meltCurve_Q9BQA9_2_C17orf62.pdf</v>
      </c>
    </row>
    <row r="5299" spans="1:28" x14ac:dyDescent="0.25">
      <c r="A5299" t="s">
        <v>5303</v>
      </c>
      <c r="B5299">
        <v>0.99472303558308395</v>
      </c>
      <c r="C5299">
        <v>1.06338358315121</v>
      </c>
      <c r="D5299">
        <v>0.967181801069531</v>
      </c>
      <c r="E5299">
        <v>0.87636751016826997</v>
      </c>
      <c r="F5299">
        <v>0.62993360462568904</v>
      </c>
      <c r="G5299">
        <v>0.438849892865257</v>
      </c>
      <c r="H5299">
        <v>0.18998521797764201</v>
      </c>
      <c r="I5299">
        <v>0.11560658732736501</v>
      </c>
      <c r="J5299">
        <v>0.116842593685406</v>
      </c>
      <c r="K5299">
        <v>8.4078218380973901E-2</v>
      </c>
      <c r="L5299">
        <v>857.41898583755506</v>
      </c>
      <c r="M5299">
        <v>16.526863562351501</v>
      </c>
      <c r="N5299">
        <v>52.280491701315803</v>
      </c>
      <c r="O5299">
        <v>51.138589695140197</v>
      </c>
      <c r="P5299">
        <v>-7.5999442311628307E-2</v>
      </c>
      <c r="Q5299">
        <v>5.9413564047869502E-2</v>
      </c>
      <c r="R5299">
        <v>0.99390662052289902</v>
      </c>
      <c r="S5299" t="s">
        <v>11867</v>
      </c>
      <c r="T5299" t="s">
        <v>13134</v>
      </c>
      <c r="U5299" t="s">
        <v>13134</v>
      </c>
      <c r="V5299" t="s">
        <v>13134</v>
      </c>
      <c r="W5299" t="s">
        <v>18369</v>
      </c>
      <c r="X5299">
        <v>11</v>
      </c>
      <c r="Y5299" t="s">
        <v>24736</v>
      </c>
      <c r="Z5299" t="s">
        <v>31267</v>
      </c>
      <c r="AA5299">
        <v>0.54201578086967361</v>
      </c>
      <c r="AB5299" t="str">
        <f>HYPERLINK("Melting_Curves/meltCurve_Q9BQC3_DPH2.pdf", "Melting_Curves/meltCurve_Q9BQC3_DPH2.pdf")</f>
        <v>Melting_Curves/meltCurve_Q9BQC3_DPH2.pdf</v>
      </c>
    </row>
    <row r="5300" spans="1:28" x14ac:dyDescent="0.25">
      <c r="A5300" t="s">
        <v>5304</v>
      </c>
      <c r="B5300">
        <v>0.99472303558308395</v>
      </c>
      <c r="C5300">
        <v>0.96749185977158803</v>
      </c>
      <c r="D5300">
        <v>0.72352456892186401</v>
      </c>
      <c r="E5300">
        <v>0.658321126056434</v>
      </c>
      <c r="F5300">
        <v>0.62144754777328304</v>
      </c>
      <c r="G5300">
        <v>0.14891618146319099</v>
      </c>
      <c r="H5300">
        <v>7.5129097847718304E-2</v>
      </c>
      <c r="I5300">
        <v>4.1815803631454901E-2</v>
      </c>
      <c r="J5300">
        <v>4.4432858890381698E-2</v>
      </c>
      <c r="K5300">
        <v>3.6179784982270001E-2</v>
      </c>
      <c r="L5300">
        <v>626.50983931419</v>
      </c>
      <c r="M5300">
        <v>12.7490704361115</v>
      </c>
      <c r="N5300">
        <v>49.141602630917603</v>
      </c>
      <c r="O5300">
        <v>47.9796297823614</v>
      </c>
      <c r="P5300">
        <v>-6.6442260096564107E-2</v>
      </c>
      <c r="Q5300">
        <v>0</v>
      </c>
      <c r="R5300">
        <v>0.95149766294037097</v>
      </c>
      <c r="S5300" t="s">
        <v>11868</v>
      </c>
      <c r="T5300" t="s">
        <v>13134</v>
      </c>
      <c r="U5300" t="s">
        <v>13134</v>
      </c>
      <c r="V5300" t="s">
        <v>13134</v>
      </c>
      <c r="W5300" t="s">
        <v>18370</v>
      </c>
      <c r="X5300">
        <v>5</v>
      </c>
      <c r="Y5300" t="s">
        <v>24737</v>
      </c>
      <c r="Z5300" t="s">
        <v>31268</v>
      </c>
      <c r="AA5300">
        <v>0.43191166679450882</v>
      </c>
      <c r="AB5300" t="str">
        <f>HYPERLINK("Melting_Curves/meltCurve_Q9BQG2_NUDT12.pdf", "Melting_Curves/meltCurve_Q9BQG2_NUDT12.pdf")</f>
        <v>Melting_Curves/meltCurve_Q9BQG2_NUDT12.pdf</v>
      </c>
    </row>
    <row r="5301" spans="1:28" x14ac:dyDescent="0.25">
      <c r="A5301" t="s">
        <v>5305</v>
      </c>
      <c r="B5301">
        <v>0.99472303558308395</v>
      </c>
      <c r="C5301">
        <v>1.0349930515908199</v>
      </c>
      <c r="D5301">
        <v>0.91445229660947203</v>
      </c>
      <c r="E5301">
        <v>0.79179562149074201</v>
      </c>
      <c r="F5301">
        <v>0.65507201037949703</v>
      </c>
      <c r="G5301">
        <v>0.38817155347330901</v>
      </c>
      <c r="H5301">
        <v>0.188407507164396</v>
      </c>
      <c r="I5301">
        <v>0.107637597145671</v>
      </c>
      <c r="J5301">
        <v>0.108340675383198</v>
      </c>
      <c r="K5301">
        <v>0.103270456941314</v>
      </c>
      <c r="L5301">
        <v>748.37655622597799</v>
      </c>
      <c r="M5301">
        <v>14.5290009699034</v>
      </c>
      <c r="N5301">
        <v>51.846067769643902</v>
      </c>
      <c r="O5301">
        <v>50.5628486114908</v>
      </c>
      <c r="P5301">
        <v>-6.8608184342118003E-2</v>
      </c>
      <c r="Q5301">
        <v>4.5047023047200999E-2</v>
      </c>
      <c r="R5301">
        <v>0.99304491201728495</v>
      </c>
      <c r="S5301" t="s">
        <v>11869</v>
      </c>
      <c r="T5301" t="s">
        <v>13134</v>
      </c>
      <c r="U5301" t="s">
        <v>13134</v>
      </c>
      <c r="V5301" t="s">
        <v>13134</v>
      </c>
      <c r="W5301" t="s">
        <v>18371</v>
      </c>
      <c r="X5301">
        <v>6</v>
      </c>
      <c r="Y5301" t="s">
        <v>24738</v>
      </c>
      <c r="Z5301" t="s">
        <v>31269</v>
      </c>
      <c r="AA5301">
        <v>0.52640805806557234</v>
      </c>
      <c r="AB5301" t="str">
        <f>HYPERLINK("Melting_Curves/meltCurve_Q9BQI3_2_EIF2AK1.pdf", "Melting_Curves/meltCurve_Q9BQI3_2_EIF2AK1.pdf")</f>
        <v>Melting_Curves/meltCurve_Q9BQI3_2_EIF2AK1.pdf</v>
      </c>
    </row>
    <row r="5302" spans="1:28" x14ac:dyDescent="0.25">
      <c r="A5302" t="s">
        <v>5306</v>
      </c>
      <c r="B5302">
        <v>0.99472303558308395</v>
      </c>
      <c r="C5302">
        <v>0.90464598616191005</v>
      </c>
      <c r="D5302">
        <v>1.0084962101044399</v>
      </c>
      <c r="E5302">
        <v>0.83621116179616695</v>
      </c>
      <c r="F5302">
        <v>0.48419117176748</v>
      </c>
      <c r="G5302">
        <v>0.35668079552938398</v>
      </c>
      <c r="H5302">
        <v>0.109414391709339</v>
      </c>
      <c r="I5302">
        <v>5.3719405208119402E-2</v>
      </c>
      <c r="J5302">
        <v>5.8357646573820601E-2</v>
      </c>
      <c r="K5302">
        <v>6.2192282682783297E-2</v>
      </c>
      <c r="L5302">
        <v>868.91923469192204</v>
      </c>
      <c r="M5302">
        <v>17.193853968715999</v>
      </c>
      <c r="N5302">
        <v>50.723865527780099</v>
      </c>
      <c r="O5302">
        <v>49.867860775696997</v>
      </c>
      <c r="P5302">
        <v>-8.3551591348251603E-2</v>
      </c>
      <c r="Q5302">
        <v>3.07482894696724E-2</v>
      </c>
      <c r="R5302">
        <v>0.98605743933664602</v>
      </c>
      <c r="S5302" t="s">
        <v>11870</v>
      </c>
      <c r="T5302" t="s">
        <v>13134</v>
      </c>
      <c r="U5302" t="s">
        <v>13134</v>
      </c>
      <c r="V5302" t="s">
        <v>13134</v>
      </c>
      <c r="W5302" t="s">
        <v>18372</v>
      </c>
      <c r="X5302">
        <v>10</v>
      </c>
      <c r="Y5302" t="s">
        <v>24739</v>
      </c>
      <c r="Z5302" t="s">
        <v>31270</v>
      </c>
      <c r="AA5302">
        <v>0.48438264991102647</v>
      </c>
      <c r="AB5302" t="str">
        <f>HYPERLINK("Melting_Curves/meltCurve_Q9BQP7_MGME1.pdf", "Melting_Curves/meltCurve_Q9BQP7_MGME1.pdf")</f>
        <v>Melting_Curves/meltCurve_Q9BQP7_MGME1.pdf</v>
      </c>
    </row>
    <row r="5303" spans="1:28" x14ac:dyDescent="0.25">
      <c r="A5303" t="s">
        <v>5307</v>
      </c>
      <c r="B5303">
        <v>0.99472303558308395</v>
      </c>
      <c r="C5303">
        <v>1.02660174888657</v>
      </c>
      <c r="D5303">
        <v>0.94256730939067201</v>
      </c>
      <c r="E5303">
        <v>0.65603793022392998</v>
      </c>
      <c r="F5303">
        <v>0.41241481054074097</v>
      </c>
      <c r="G5303">
        <v>0.19999023812882</v>
      </c>
      <c r="H5303">
        <v>0.15173427259757699</v>
      </c>
      <c r="I5303">
        <v>0.14130004656449299</v>
      </c>
      <c r="J5303">
        <v>0.203185233227509</v>
      </c>
      <c r="K5303">
        <v>0.158797528147926</v>
      </c>
      <c r="L5303">
        <v>1025.6759888536201</v>
      </c>
      <c r="M5303">
        <v>21.487143630693001</v>
      </c>
      <c r="N5303">
        <v>48.571530404980003</v>
      </c>
      <c r="O5303">
        <v>47.3267252440316</v>
      </c>
      <c r="P5303">
        <v>-9.5942244031706397E-2</v>
      </c>
      <c r="Q5303">
        <v>0.154746542678671</v>
      </c>
      <c r="R5303">
        <v>0.993939720585586</v>
      </c>
      <c r="S5303" t="s">
        <v>11871</v>
      </c>
      <c r="T5303" t="s">
        <v>13134</v>
      </c>
      <c r="U5303" t="s">
        <v>13134</v>
      </c>
      <c r="V5303" t="s">
        <v>13134</v>
      </c>
      <c r="W5303" t="s">
        <v>18373</v>
      </c>
      <c r="X5303">
        <v>1</v>
      </c>
      <c r="Y5303" t="s">
        <v>24740</v>
      </c>
      <c r="Z5303" t="s">
        <v>31271</v>
      </c>
      <c r="AA5303">
        <v>0.46685307446354829</v>
      </c>
      <c r="AB5303" t="str">
        <f>HYPERLINK("Melting_Curves/meltCurve_Q9BQQ3_GORASP1.pdf", "Melting_Curves/meltCurve_Q9BQQ3_GORASP1.pdf")</f>
        <v>Melting_Curves/meltCurve_Q9BQQ3_GORASP1.pdf</v>
      </c>
    </row>
    <row r="5304" spans="1:28" x14ac:dyDescent="0.25">
      <c r="A5304" t="s">
        <v>5308</v>
      </c>
      <c r="B5304">
        <v>0.99472303558308395</v>
      </c>
      <c r="C5304">
        <v>0.96164117815873296</v>
      </c>
      <c r="D5304">
        <v>0.828015491072565</v>
      </c>
      <c r="E5304">
        <v>0.77109599525005601</v>
      </c>
      <c r="F5304">
        <v>0.624347498375174</v>
      </c>
      <c r="G5304">
        <v>0.262685353069192</v>
      </c>
      <c r="H5304">
        <v>0.17116129499566099</v>
      </c>
      <c r="I5304">
        <v>0.10485271555381299</v>
      </c>
      <c r="J5304">
        <v>0.117519087738926</v>
      </c>
      <c r="K5304">
        <v>0.12259681821399</v>
      </c>
      <c r="L5304">
        <v>701.68859088269903</v>
      </c>
      <c r="M5304">
        <v>13.955068426372</v>
      </c>
      <c r="N5304">
        <v>50.713034111983397</v>
      </c>
      <c r="O5304">
        <v>49.283224159635402</v>
      </c>
      <c r="P5304">
        <v>-6.6840195143420697E-2</v>
      </c>
      <c r="Q5304">
        <v>5.5924669053244301E-2</v>
      </c>
      <c r="R5304">
        <v>0.98101321735416203</v>
      </c>
      <c r="S5304" t="s">
        <v>11872</v>
      </c>
      <c r="T5304" t="s">
        <v>13134</v>
      </c>
      <c r="U5304" t="s">
        <v>13134</v>
      </c>
      <c r="V5304" t="s">
        <v>13134</v>
      </c>
      <c r="W5304" t="s">
        <v>18374</v>
      </c>
      <c r="X5304">
        <v>11</v>
      </c>
      <c r="Y5304" t="s">
        <v>24741</v>
      </c>
      <c r="Z5304" t="s">
        <v>31272</v>
      </c>
      <c r="AA5304">
        <v>0.49546745798815339</v>
      </c>
      <c r="AB5304" t="str">
        <f>HYPERLINK("Melting_Curves/meltCurve_Q9BQS7_2_HEPH.pdf", "Melting_Curves/meltCurve_Q9BQS7_2_HEPH.pdf")</f>
        <v>Melting_Curves/meltCurve_Q9BQS7_2_HEPH.pdf</v>
      </c>
    </row>
    <row r="5305" spans="1:28" x14ac:dyDescent="0.25">
      <c r="A5305" t="s">
        <v>5309</v>
      </c>
      <c r="B5305">
        <v>0.99472303558308395</v>
      </c>
      <c r="C5305">
        <v>1.0462510514453001</v>
      </c>
      <c r="D5305">
        <v>0.78680069823756804</v>
      </c>
      <c r="E5305">
        <v>0.63820173637411803</v>
      </c>
      <c r="F5305">
        <v>0.31268626067663402</v>
      </c>
      <c r="G5305">
        <v>0.146183633233294</v>
      </c>
      <c r="H5305">
        <v>7.7600695510332093E-2</v>
      </c>
      <c r="I5305">
        <v>6.3067296349689494E-2</v>
      </c>
      <c r="J5305">
        <v>6.2893178931779897E-2</v>
      </c>
      <c r="K5305">
        <v>6.2087685933132498E-2</v>
      </c>
      <c r="L5305">
        <v>813.04055924275997</v>
      </c>
      <c r="M5305">
        <v>17.112442593808101</v>
      </c>
      <c r="N5305">
        <v>47.765829627337297</v>
      </c>
      <c r="O5305">
        <v>46.877071454850203</v>
      </c>
      <c r="P5305">
        <v>-8.7296068149951001E-2</v>
      </c>
      <c r="Q5305">
        <v>4.3517593307910003E-2</v>
      </c>
      <c r="R5305">
        <v>0.99028496652035003</v>
      </c>
      <c r="S5305" t="s">
        <v>11873</v>
      </c>
      <c r="T5305" t="s">
        <v>13134</v>
      </c>
      <c r="U5305" t="s">
        <v>13134</v>
      </c>
      <c r="V5305" t="s">
        <v>13134</v>
      </c>
      <c r="W5305" t="s">
        <v>18375</v>
      </c>
      <c r="X5305">
        <v>13</v>
      </c>
      <c r="Y5305" t="s">
        <v>24742</v>
      </c>
      <c r="Z5305" t="s">
        <v>31273</v>
      </c>
      <c r="AA5305">
        <v>0.39548181963484103</v>
      </c>
      <c r="AB5305" t="str">
        <f>HYPERLINK("Melting_Curves/meltCurve_Q9BQS8_FYCO1.pdf", "Melting_Curves/meltCurve_Q9BQS8_FYCO1.pdf")</f>
        <v>Melting_Curves/meltCurve_Q9BQS8_FYCO1.pdf</v>
      </c>
    </row>
    <row r="5306" spans="1:28" x14ac:dyDescent="0.25">
      <c r="A5306" t="s">
        <v>5310</v>
      </c>
      <c r="B5306">
        <v>0.99472303558308395</v>
      </c>
      <c r="C5306">
        <v>0.828823409541117</v>
      </c>
      <c r="D5306">
        <v>0.89636667928083003</v>
      </c>
      <c r="E5306">
        <v>0.70589343774523094</v>
      </c>
      <c r="F5306">
        <v>0.57643149434204399</v>
      </c>
      <c r="G5306">
        <v>0.54434337771465302</v>
      </c>
      <c r="H5306">
        <v>0.37782083881380502</v>
      </c>
      <c r="I5306">
        <v>0.43142964713159498</v>
      </c>
      <c r="J5306">
        <v>0.52519592296698903</v>
      </c>
      <c r="K5306">
        <v>0.57549955545137699</v>
      </c>
      <c r="L5306">
        <v>643.20379938905899</v>
      </c>
      <c r="M5306">
        <v>14.1366420982847</v>
      </c>
      <c r="N5306">
        <v>57.072344460518799</v>
      </c>
      <c r="O5306">
        <v>44.6176115857713</v>
      </c>
      <c r="P5306">
        <v>-4.1863382483884902E-2</v>
      </c>
      <c r="Q5306">
        <v>0.47155581109557199</v>
      </c>
      <c r="R5306">
        <v>0.88015961992343295</v>
      </c>
      <c r="S5306" t="s">
        <v>11874</v>
      </c>
      <c r="T5306" t="s">
        <v>13134</v>
      </c>
      <c r="U5306" t="s">
        <v>13134</v>
      </c>
      <c r="V5306" t="s">
        <v>13134</v>
      </c>
      <c r="W5306" t="s">
        <v>18376</v>
      </c>
      <c r="X5306">
        <v>9</v>
      </c>
      <c r="Y5306" t="s">
        <v>24743</v>
      </c>
      <c r="Z5306" t="s">
        <v>31274</v>
      </c>
      <c r="AA5306">
        <v>0.63512120423591834</v>
      </c>
      <c r="AB5306" t="str">
        <f>HYPERLINK("Melting_Curves/meltCurve_Q9BQT8_2_SLC25A21.pdf", "Melting_Curves/meltCurve_Q9BQT8_2_SLC25A21.pdf")</f>
        <v>Melting_Curves/meltCurve_Q9BQT8_2_SLC25A21.pdf</v>
      </c>
    </row>
    <row r="5307" spans="1:28" x14ac:dyDescent="0.25">
      <c r="A5307" t="s">
        <v>5311</v>
      </c>
      <c r="B5307">
        <v>0.99472303558308395</v>
      </c>
      <c r="C5307">
        <v>0.77848587496388999</v>
      </c>
      <c r="D5307">
        <v>0.59218631427838597</v>
      </c>
      <c r="E5307">
        <v>0.43612086266406802</v>
      </c>
      <c r="F5307">
        <v>0.39955351275613499</v>
      </c>
      <c r="G5307">
        <v>0.150079745537231</v>
      </c>
      <c r="H5307">
        <v>0.148251598043561</v>
      </c>
      <c r="I5307">
        <v>6.8557980280140998E-2</v>
      </c>
      <c r="J5307">
        <v>0.101198162007899</v>
      </c>
      <c r="K5307">
        <v>6.2511422599920999E-2</v>
      </c>
      <c r="L5307">
        <v>446.98720763559498</v>
      </c>
      <c r="M5307">
        <v>9.8438196372525706</v>
      </c>
      <c r="N5307">
        <v>45.674181580914599</v>
      </c>
      <c r="O5307">
        <v>43.653012266909201</v>
      </c>
      <c r="P5307">
        <v>-5.4831553269599501E-2</v>
      </c>
      <c r="Q5307">
        <v>2.7886456412950501E-2</v>
      </c>
      <c r="R5307">
        <v>0.97393629058503906</v>
      </c>
      <c r="S5307" t="s">
        <v>11875</v>
      </c>
      <c r="T5307" t="s">
        <v>13134</v>
      </c>
      <c r="U5307" t="s">
        <v>13134</v>
      </c>
      <c r="V5307" t="s">
        <v>13134</v>
      </c>
      <c r="W5307" t="s">
        <v>18377</v>
      </c>
      <c r="X5307">
        <v>1</v>
      </c>
      <c r="Y5307" t="s">
        <v>24744</v>
      </c>
      <c r="Z5307" t="s">
        <v>31275</v>
      </c>
      <c r="AA5307">
        <v>0.34832745579271351</v>
      </c>
      <c r="AB5307" t="str">
        <f>HYPERLINK("Melting_Curves/meltCurve_Q9BQY4_RHOXF2.pdf", "Melting_Curves/meltCurve_Q9BQY4_RHOXF2.pdf")</f>
        <v>Melting_Curves/meltCurve_Q9BQY4_RHOXF2.pdf</v>
      </c>
    </row>
    <row r="5308" spans="1:28" x14ac:dyDescent="0.25">
      <c r="A5308" t="s">
        <v>5312</v>
      </c>
      <c r="B5308">
        <v>0.99472303558308395</v>
      </c>
      <c r="C5308">
        <v>0.89201446034354004</v>
      </c>
      <c r="D5308">
        <v>0.91512152151510495</v>
      </c>
      <c r="E5308">
        <v>0.48228916854343001</v>
      </c>
      <c r="F5308">
        <v>0.24724099670319</v>
      </c>
      <c r="G5308">
        <v>0.12764113313727099</v>
      </c>
      <c r="H5308">
        <v>8.9392747952253299E-2</v>
      </c>
      <c r="I5308">
        <v>7.7829020417588796E-2</v>
      </c>
      <c r="J5308">
        <v>9.3942044407167996E-2</v>
      </c>
      <c r="K5308">
        <v>7.8804002249656099E-2</v>
      </c>
      <c r="L5308">
        <v>1026.9062619817701</v>
      </c>
      <c r="M5308">
        <v>22.159151173421002</v>
      </c>
      <c r="N5308">
        <v>46.725659827553599</v>
      </c>
      <c r="O5308">
        <v>45.969848897405001</v>
      </c>
      <c r="P5308">
        <v>-0.110495439315796</v>
      </c>
      <c r="Q5308">
        <v>8.3115067182679594E-2</v>
      </c>
      <c r="R5308">
        <v>0.99149916634369994</v>
      </c>
      <c r="S5308" t="s">
        <v>11876</v>
      </c>
      <c r="T5308" t="s">
        <v>13134</v>
      </c>
      <c r="U5308" t="s">
        <v>13134</v>
      </c>
      <c r="V5308" t="s">
        <v>13134</v>
      </c>
      <c r="W5308" t="s">
        <v>18378</v>
      </c>
      <c r="X5308">
        <v>7</v>
      </c>
      <c r="Y5308" t="s">
        <v>24745</v>
      </c>
      <c r="Z5308" t="s">
        <v>31276</v>
      </c>
      <c r="AA5308">
        <v>0.37839176736333963</v>
      </c>
      <c r="AB5308" t="str">
        <f>HYPERLINK("Melting_Curves/meltCurve_Q9BR61_ACBD6.pdf", "Melting_Curves/meltCurve_Q9BR61_ACBD6.pdf")</f>
        <v>Melting_Curves/meltCurve_Q9BR61_ACBD6.pdf</v>
      </c>
    </row>
    <row r="5309" spans="1:28" x14ac:dyDescent="0.25">
      <c r="A5309" t="s">
        <v>5313</v>
      </c>
      <c r="B5309">
        <v>0.99472303558308395</v>
      </c>
      <c r="C5309">
        <v>0.99689840479438496</v>
      </c>
      <c r="D5309">
        <v>1.03268568222543</v>
      </c>
      <c r="E5309">
        <v>0.88795903677676402</v>
      </c>
      <c r="F5309">
        <v>0.53222355588576198</v>
      </c>
      <c r="G5309">
        <v>0.12952277235450399</v>
      </c>
      <c r="H5309">
        <v>6.8547595024923205E-2</v>
      </c>
      <c r="I5309">
        <v>4.7975494268241603E-2</v>
      </c>
      <c r="J5309">
        <v>5.5352807085882499E-2</v>
      </c>
      <c r="K5309">
        <v>4.6145203361426197E-2</v>
      </c>
      <c r="L5309">
        <v>1534.86068386587</v>
      </c>
      <c r="M5309">
        <v>30.602154499734699</v>
      </c>
      <c r="N5309">
        <v>50.309488728326997</v>
      </c>
      <c r="O5309">
        <v>49.942600726069799</v>
      </c>
      <c r="P5309">
        <v>-0.14633097873631301</v>
      </c>
      <c r="Q5309">
        <v>4.4759327577317903E-2</v>
      </c>
      <c r="R5309">
        <v>0.99830476941866297</v>
      </c>
      <c r="S5309" t="s">
        <v>11877</v>
      </c>
      <c r="T5309" t="s">
        <v>13134</v>
      </c>
      <c r="U5309" t="s">
        <v>13134</v>
      </c>
      <c r="V5309" t="s">
        <v>13134</v>
      </c>
      <c r="W5309" t="s">
        <v>18379</v>
      </c>
      <c r="X5309">
        <v>22</v>
      </c>
      <c r="Y5309" t="s">
        <v>24746</v>
      </c>
      <c r="Z5309" t="s">
        <v>31277</v>
      </c>
      <c r="AA5309">
        <v>0.46929214637605038</v>
      </c>
      <c r="AB5309" t="str">
        <f>HYPERLINK("Melting_Curves/meltCurve_Q9BR76_CORO1B.pdf", "Melting_Curves/meltCurve_Q9BR76_CORO1B.pdf")</f>
        <v>Melting_Curves/meltCurve_Q9BR76_CORO1B.pdf</v>
      </c>
    </row>
    <row r="5310" spans="1:28" x14ac:dyDescent="0.25">
      <c r="A5310" t="s">
        <v>5314</v>
      </c>
      <c r="B5310">
        <v>0.99472303558308395</v>
      </c>
      <c r="C5310">
        <v>0.84327677693430303</v>
      </c>
      <c r="D5310">
        <v>1.20748705837517</v>
      </c>
      <c r="E5310">
        <v>1.10650821872993</v>
      </c>
      <c r="F5310">
        <v>0.62432475671439602</v>
      </c>
      <c r="G5310">
        <v>0.30697544296408102</v>
      </c>
      <c r="H5310">
        <v>7.5807499267102799E-2</v>
      </c>
      <c r="I5310">
        <v>0.107581763731049</v>
      </c>
      <c r="J5310">
        <v>7.9892609307977799E-2</v>
      </c>
      <c r="K5310">
        <v>6.6137946023367394E-2</v>
      </c>
      <c r="L5310">
        <v>1645.7282197129</v>
      </c>
      <c r="M5310">
        <v>32.128670341897397</v>
      </c>
      <c r="N5310">
        <v>51.513293400148903</v>
      </c>
      <c r="O5310">
        <v>51.025825802518298</v>
      </c>
      <c r="P5310">
        <v>-0.14438132572436399</v>
      </c>
      <c r="Q5310">
        <v>8.2795591448792297E-2</v>
      </c>
      <c r="R5310">
        <v>0.949896853366757</v>
      </c>
      <c r="S5310" t="s">
        <v>11878</v>
      </c>
      <c r="T5310" t="s">
        <v>13134</v>
      </c>
      <c r="U5310" t="s">
        <v>13134</v>
      </c>
      <c r="V5310" t="s">
        <v>13134</v>
      </c>
      <c r="W5310" t="s">
        <v>18380</v>
      </c>
      <c r="X5310">
        <v>6</v>
      </c>
      <c r="Y5310" t="s">
        <v>24747</v>
      </c>
      <c r="Z5310" t="s">
        <v>31278</v>
      </c>
      <c r="AA5310">
        <v>0.52265649282070903</v>
      </c>
      <c r="AB5310" t="str">
        <f>HYPERLINK("Melting_Curves/meltCurve_Q9BRA2_TXNDC17.pdf", "Melting_Curves/meltCurve_Q9BRA2_TXNDC17.pdf")</f>
        <v>Melting_Curves/meltCurve_Q9BRA2_TXNDC17.pdf</v>
      </c>
    </row>
    <row r="5311" spans="1:28" x14ac:dyDescent="0.25">
      <c r="A5311" t="s">
        <v>5315</v>
      </c>
      <c r="B5311">
        <v>0.99472303558308395</v>
      </c>
      <c r="C5311">
        <v>0.91479688696475903</v>
      </c>
      <c r="D5311">
        <v>0.90341491643430105</v>
      </c>
      <c r="E5311">
        <v>0.62068554850383195</v>
      </c>
      <c r="F5311">
        <v>0.50943082576578103</v>
      </c>
      <c r="G5311">
        <v>0.44244716568661402</v>
      </c>
      <c r="H5311">
        <v>0.30171052144018501</v>
      </c>
      <c r="I5311">
        <v>0.33931218170107103</v>
      </c>
      <c r="J5311">
        <v>0.43516911821993198</v>
      </c>
      <c r="K5311">
        <v>0.30214423233661097</v>
      </c>
      <c r="L5311">
        <v>749.80518302097403</v>
      </c>
      <c r="M5311">
        <v>16.1566470768031</v>
      </c>
      <c r="N5311">
        <v>49.940994382448601</v>
      </c>
      <c r="O5311">
        <v>45.714969125300598</v>
      </c>
      <c r="P5311">
        <v>-5.8271069722778797E-2</v>
      </c>
      <c r="Q5311">
        <v>0.34054162095743001</v>
      </c>
      <c r="R5311">
        <v>0.96706338723490803</v>
      </c>
      <c r="S5311" t="s">
        <v>11879</v>
      </c>
      <c r="T5311" t="s">
        <v>13134</v>
      </c>
      <c r="U5311" t="s">
        <v>13134</v>
      </c>
      <c r="V5311" t="s">
        <v>13134</v>
      </c>
      <c r="W5311" t="s">
        <v>18381</v>
      </c>
      <c r="X5311">
        <v>6</v>
      </c>
      <c r="Y5311" t="s">
        <v>24748</v>
      </c>
      <c r="Z5311" t="s">
        <v>31279</v>
      </c>
      <c r="AA5311">
        <v>0.56044846820282546</v>
      </c>
      <c r="AB5311" t="str">
        <f>HYPERLINK("Melting_Curves/meltCurve_Q9BRD0_BUD13.pdf", "Melting_Curves/meltCurve_Q9BRD0_BUD13.pdf")</f>
        <v>Melting_Curves/meltCurve_Q9BRD0_BUD13.pdf</v>
      </c>
    </row>
    <row r="5312" spans="1:28" x14ac:dyDescent="0.25">
      <c r="A5312" t="s">
        <v>5316</v>
      </c>
      <c r="B5312">
        <v>0.99472303558308395</v>
      </c>
      <c r="C5312">
        <v>0.91819653627456299</v>
      </c>
      <c r="D5312">
        <v>1.03627392573748</v>
      </c>
      <c r="E5312">
        <v>1.0522938185508299</v>
      </c>
      <c r="F5312">
        <v>0.97459959693243603</v>
      </c>
      <c r="G5312">
        <v>0.87070543866393002</v>
      </c>
      <c r="H5312">
        <v>0.58886309064925602</v>
      </c>
      <c r="I5312">
        <v>0.77637295752982505</v>
      </c>
      <c r="J5312">
        <v>0.65814685410108997</v>
      </c>
      <c r="K5312">
        <v>0.57884964681636597</v>
      </c>
      <c r="L5312">
        <v>13478.6325169218</v>
      </c>
      <c r="M5312">
        <v>250</v>
      </c>
      <c r="O5312">
        <v>53.911081640706499</v>
      </c>
      <c r="P5312">
        <v>-0.40511370316458001</v>
      </c>
      <c r="Q5312">
        <v>0.65055812491569998</v>
      </c>
      <c r="R5312">
        <v>0.87950748525823896</v>
      </c>
      <c r="S5312" t="s">
        <v>11880</v>
      </c>
      <c r="T5312" t="s">
        <v>13134</v>
      </c>
      <c r="U5312" t="s">
        <v>13134</v>
      </c>
      <c r="V5312" t="s">
        <v>13134</v>
      </c>
      <c r="W5312" t="s">
        <v>18382</v>
      </c>
      <c r="X5312">
        <v>10</v>
      </c>
      <c r="Y5312" t="s">
        <v>24749</v>
      </c>
      <c r="Z5312" t="s">
        <v>31280</v>
      </c>
      <c r="AA5312">
        <v>0.84761269224687885</v>
      </c>
      <c r="AB5312" t="str">
        <f>HYPERLINK("Melting_Curves/meltCurve_Q9BRF8_CPPED1.pdf", "Melting_Curves/meltCurve_Q9BRF8_CPPED1.pdf")</f>
        <v>Melting_Curves/meltCurve_Q9BRF8_CPPED1.pdf</v>
      </c>
    </row>
    <row r="5313" spans="1:28" x14ac:dyDescent="0.25">
      <c r="A5313" t="s">
        <v>5317</v>
      </c>
      <c r="B5313">
        <v>0.99472303558308395</v>
      </c>
      <c r="C5313">
        <v>1.0114409486759</v>
      </c>
      <c r="D5313">
        <v>0.82270574088935999</v>
      </c>
      <c r="E5313">
        <v>0.76643239656527895</v>
      </c>
      <c r="F5313">
        <v>0.55953950265104202</v>
      </c>
      <c r="G5313">
        <v>0.240877157741546</v>
      </c>
      <c r="H5313">
        <v>0.121069049809315</v>
      </c>
      <c r="I5313">
        <v>7.6693187523792603E-2</v>
      </c>
      <c r="J5313">
        <v>9.4719979103874696E-2</v>
      </c>
      <c r="K5313">
        <v>0.11608273600479301</v>
      </c>
      <c r="L5313">
        <v>767.17974642982801</v>
      </c>
      <c r="M5313">
        <v>15.406780050892401</v>
      </c>
      <c r="N5313">
        <v>50.1444690363193</v>
      </c>
      <c r="O5313">
        <v>48.978679407836601</v>
      </c>
      <c r="P5313">
        <v>-7.4643223854529497E-2</v>
      </c>
      <c r="Q5313">
        <v>5.0913314654225397E-2</v>
      </c>
      <c r="R5313">
        <v>0.98441874424202003</v>
      </c>
      <c r="S5313" t="s">
        <v>11881</v>
      </c>
      <c r="T5313" t="s">
        <v>13134</v>
      </c>
      <c r="U5313" t="s">
        <v>13134</v>
      </c>
      <c r="V5313" t="s">
        <v>13134</v>
      </c>
      <c r="W5313" t="s">
        <v>18383</v>
      </c>
      <c r="X5313">
        <v>5</v>
      </c>
      <c r="Y5313" t="s">
        <v>24750</v>
      </c>
      <c r="Z5313" t="s">
        <v>31281</v>
      </c>
      <c r="AA5313">
        <v>0.47488553869225092</v>
      </c>
      <c r="AB5313" t="str">
        <f>HYPERLINK("Melting_Curves/meltCurve_Q9BRG1_VPS25.pdf", "Melting_Curves/meltCurve_Q9BRG1_VPS25.pdf")</f>
        <v>Melting_Curves/meltCurve_Q9BRG1_VPS25.pdf</v>
      </c>
    </row>
    <row r="5314" spans="1:28" x14ac:dyDescent="0.25">
      <c r="A5314" t="s">
        <v>5318</v>
      </c>
      <c r="B5314">
        <v>0.99472303558308395</v>
      </c>
      <c r="C5314">
        <v>0.96963030480599899</v>
      </c>
      <c r="D5314">
        <v>0.68597528900127203</v>
      </c>
      <c r="E5314">
        <v>0.440680325704703</v>
      </c>
      <c r="F5314">
        <v>0.21522422905834199</v>
      </c>
      <c r="G5314">
        <v>9.6265498965475593E-2</v>
      </c>
      <c r="H5314">
        <v>1.8543559778494499E-2</v>
      </c>
      <c r="I5314">
        <v>5.3153072847224002E-2</v>
      </c>
      <c r="J5314">
        <v>2.3277991762340501E-2</v>
      </c>
      <c r="K5314">
        <v>1.7206455922685E-2</v>
      </c>
      <c r="L5314">
        <v>737.12271603351996</v>
      </c>
      <c r="M5314">
        <v>16.142615488501299</v>
      </c>
      <c r="N5314">
        <v>45.748884589029302</v>
      </c>
      <c r="O5314">
        <v>44.979628899931697</v>
      </c>
      <c r="P5314">
        <v>-8.8391734921978493E-2</v>
      </c>
      <c r="Q5314">
        <v>1.48989073499959E-2</v>
      </c>
      <c r="R5314">
        <v>0.99453832871402004</v>
      </c>
      <c r="S5314" t="s">
        <v>11882</v>
      </c>
      <c r="T5314" t="s">
        <v>13134</v>
      </c>
      <c r="U5314" t="s">
        <v>13134</v>
      </c>
      <c r="V5314" t="s">
        <v>13134</v>
      </c>
      <c r="W5314" t="s">
        <v>18384</v>
      </c>
      <c r="X5314">
        <v>2</v>
      </c>
      <c r="Y5314" t="s">
        <v>24751</v>
      </c>
      <c r="Z5314" t="s">
        <v>31282</v>
      </c>
      <c r="AA5314">
        <v>0.31923896344484132</v>
      </c>
      <c r="AB5314" t="str">
        <f>HYPERLINK("Melting_Curves/meltCurve_Q9BRJ2_MRPL45.pdf", "Melting_Curves/meltCurve_Q9BRJ2_MRPL45.pdf")</f>
        <v>Melting_Curves/meltCurve_Q9BRJ2_MRPL45.pdf</v>
      </c>
    </row>
    <row r="5315" spans="1:28" x14ac:dyDescent="0.25">
      <c r="A5315" t="s">
        <v>5319</v>
      </c>
      <c r="B5315">
        <v>0.99472303558308395</v>
      </c>
      <c r="C5315">
        <v>0.936082906281543</v>
      </c>
      <c r="D5315">
        <v>0.78214753681891902</v>
      </c>
      <c r="E5315">
        <v>0.62401350715151704</v>
      </c>
      <c r="F5315">
        <v>0.46693217830459099</v>
      </c>
      <c r="G5315">
        <v>0.218741056966332</v>
      </c>
      <c r="H5315">
        <v>0.15015151067052601</v>
      </c>
      <c r="I5315">
        <v>0.14137639594467899</v>
      </c>
      <c r="J5315">
        <v>0.207093237595813</v>
      </c>
      <c r="K5315">
        <v>0.18751842048313899</v>
      </c>
      <c r="L5315">
        <v>652.03306610169398</v>
      </c>
      <c r="M5315">
        <v>13.7975225515248</v>
      </c>
      <c r="N5315">
        <v>48.371364325113198</v>
      </c>
      <c r="O5315">
        <v>46.297735741277798</v>
      </c>
      <c r="P5315">
        <v>-6.4371665854369695E-2</v>
      </c>
      <c r="Q5315">
        <v>0.13612171591623501</v>
      </c>
      <c r="R5315">
        <v>0.98363185497179895</v>
      </c>
      <c r="S5315" t="s">
        <v>11883</v>
      </c>
      <c r="T5315" t="s">
        <v>13134</v>
      </c>
      <c r="U5315" t="s">
        <v>13134</v>
      </c>
      <c r="V5315" t="s">
        <v>13134</v>
      </c>
      <c r="W5315" t="s">
        <v>18385</v>
      </c>
      <c r="X5315">
        <v>12</v>
      </c>
      <c r="Y5315" t="s">
        <v>24752</v>
      </c>
      <c r="Z5315" t="s">
        <v>31283</v>
      </c>
      <c r="AA5315">
        <v>0.45383209483671572</v>
      </c>
      <c r="AB5315" t="str">
        <f>HYPERLINK("Melting_Curves/meltCurve_Q9BRK5_SDF4.pdf", "Melting_Curves/meltCurve_Q9BRK5_SDF4.pdf")</f>
        <v>Melting_Curves/meltCurve_Q9BRK5_SDF4.pdf</v>
      </c>
    </row>
    <row r="5316" spans="1:28" x14ac:dyDescent="0.25">
      <c r="A5316" t="s">
        <v>5320</v>
      </c>
      <c r="B5316">
        <v>0.99472303558308395</v>
      </c>
      <c r="C5316">
        <v>0.93834589897780096</v>
      </c>
      <c r="D5316">
        <v>0.992982633617572</v>
      </c>
      <c r="E5316">
        <v>0.82766091464031899</v>
      </c>
      <c r="F5316">
        <v>0.28720867610181899</v>
      </c>
      <c r="G5316">
        <v>0.10754665228287</v>
      </c>
      <c r="H5316">
        <v>6.2446186175782001E-2</v>
      </c>
      <c r="I5316">
        <v>4.7151874317818199E-2</v>
      </c>
      <c r="J5316">
        <v>4.1716945025017001E-2</v>
      </c>
      <c r="K5316">
        <v>3.3924961748566698E-2</v>
      </c>
      <c r="L5316">
        <v>1636.21236458463</v>
      </c>
      <c r="M5316">
        <v>33.640003410542199</v>
      </c>
      <c r="N5316">
        <v>48.787271318045903</v>
      </c>
      <c r="O5316">
        <v>48.4679945101526</v>
      </c>
      <c r="P5316">
        <v>-0.165080510776761</v>
      </c>
      <c r="Q5316">
        <v>4.8622622581989301E-2</v>
      </c>
      <c r="R5316">
        <v>0.99731870105501197</v>
      </c>
      <c r="S5316" t="s">
        <v>11884</v>
      </c>
      <c r="T5316" t="s">
        <v>13134</v>
      </c>
      <c r="U5316" t="s">
        <v>13134</v>
      </c>
      <c r="V5316" t="s">
        <v>13134</v>
      </c>
      <c r="W5316" t="s">
        <v>18386</v>
      </c>
      <c r="X5316">
        <v>10</v>
      </c>
      <c r="Y5316" t="s">
        <v>24753</v>
      </c>
      <c r="Z5316" t="s">
        <v>31284</v>
      </c>
      <c r="AA5316">
        <v>0.42225350431263858</v>
      </c>
      <c r="AB5316" t="str">
        <f>HYPERLINK("Melting_Curves/meltCurve_Q9BRP1_PDCD2L.pdf", "Melting_Curves/meltCurve_Q9BRP1_PDCD2L.pdf")</f>
        <v>Melting_Curves/meltCurve_Q9BRP1_PDCD2L.pdf</v>
      </c>
    </row>
    <row r="5317" spans="1:28" x14ac:dyDescent="0.25">
      <c r="A5317" t="s">
        <v>5321</v>
      </c>
      <c r="B5317">
        <v>0.99472303558308395</v>
      </c>
      <c r="C5317">
        <v>0.88630362350168401</v>
      </c>
      <c r="D5317">
        <v>0.76922692943639703</v>
      </c>
      <c r="E5317">
        <v>0.64299775321474895</v>
      </c>
      <c r="F5317">
        <v>0.516759486424192</v>
      </c>
      <c r="G5317">
        <v>0.24056712012869699</v>
      </c>
      <c r="H5317">
        <v>0.18307535210456199</v>
      </c>
      <c r="I5317">
        <v>0.22091143900635901</v>
      </c>
      <c r="J5317">
        <v>0.11875638167307601</v>
      </c>
      <c r="K5317">
        <v>0.10188369464861</v>
      </c>
      <c r="L5317">
        <v>492.92823194976103</v>
      </c>
      <c r="M5317">
        <v>10.136355306480599</v>
      </c>
      <c r="N5317">
        <v>49.152639595486598</v>
      </c>
      <c r="O5317">
        <v>46.850860637037897</v>
      </c>
      <c r="P5317">
        <v>-5.1347539109902897E-2</v>
      </c>
      <c r="Q5317">
        <v>5.1112238007519697E-2</v>
      </c>
      <c r="R5317">
        <v>0.98330814234814401</v>
      </c>
      <c r="S5317" t="s">
        <v>11885</v>
      </c>
      <c r="T5317" t="s">
        <v>13134</v>
      </c>
      <c r="U5317" t="s">
        <v>13134</v>
      </c>
      <c r="V5317" t="s">
        <v>13134</v>
      </c>
      <c r="W5317" t="s">
        <v>18387</v>
      </c>
      <c r="X5317">
        <v>12</v>
      </c>
      <c r="Y5317" t="s">
        <v>24754</v>
      </c>
      <c r="Z5317" t="s">
        <v>31285</v>
      </c>
      <c r="AA5317">
        <v>0.45468719757834197</v>
      </c>
      <c r="AB5317" t="str">
        <f>HYPERLINK("Melting_Curves/meltCurve_Q9BRP4_PAAF1.pdf", "Melting_Curves/meltCurve_Q9BRP4_PAAF1.pdf")</f>
        <v>Melting_Curves/meltCurve_Q9BRP4_PAAF1.pdf</v>
      </c>
    </row>
    <row r="5318" spans="1:28" x14ac:dyDescent="0.25">
      <c r="A5318" t="s">
        <v>5322</v>
      </c>
      <c r="B5318">
        <v>0.99472303558308395</v>
      </c>
      <c r="C5318">
        <v>0.98542952733812506</v>
      </c>
      <c r="D5318">
        <v>0.896970154893595</v>
      </c>
      <c r="E5318">
        <v>0.83787526203693297</v>
      </c>
      <c r="F5318">
        <v>0.60244623314657697</v>
      </c>
      <c r="G5318">
        <v>0.51423081338439203</v>
      </c>
      <c r="H5318">
        <v>0.49511006079997799</v>
      </c>
      <c r="I5318">
        <v>0.54636278971388397</v>
      </c>
      <c r="J5318">
        <v>0.76003453779083097</v>
      </c>
      <c r="K5318">
        <v>0.56632820939012296</v>
      </c>
      <c r="L5318">
        <v>1407.7657081309401</v>
      </c>
      <c r="M5318">
        <v>30.045650390083601</v>
      </c>
      <c r="O5318">
        <v>46.648145289353998</v>
      </c>
      <c r="P5318">
        <v>-6.8766140839537596E-2</v>
      </c>
      <c r="Q5318">
        <v>0.572944287663531</v>
      </c>
      <c r="R5318">
        <v>0.84672357946932097</v>
      </c>
      <c r="S5318" t="s">
        <v>11886</v>
      </c>
      <c r="T5318" t="s">
        <v>13134</v>
      </c>
      <c r="U5318" t="s">
        <v>13134</v>
      </c>
      <c r="V5318" t="s">
        <v>13134</v>
      </c>
      <c r="W5318" t="s">
        <v>18388</v>
      </c>
      <c r="X5318">
        <v>10</v>
      </c>
      <c r="Y5318" t="s">
        <v>24755</v>
      </c>
      <c r="Z5318" t="s">
        <v>31286</v>
      </c>
      <c r="AA5318">
        <v>0.71568872307782949</v>
      </c>
      <c r="AB5318" t="str">
        <f>HYPERLINK("Melting_Curves/meltCurve_Q9BRP8_2_WIBG.pdf", "Melting_Curves/meltCurve_Q9BRP8_2_WIBG.pdf")</f>
        <v>Melting_Curves/meltCurve_Q9BRP8_2_WIBG.pdf</v>
      </c>
    </row>
    <row r="5319" spans="1:28" x14ac:dyDescent="0.25">
      <c r="A5319" t="s">
        <v>5323</v>
      </c>
      <c r="B5319">
        <v>0.99472303558308395</v>
      </c>
      <c r="C5319">
        <v>0.98046486014183998</v>
      </c>
      <c r="D5319">
        <v>0.79492631734959196</v>
      </c>
      <c r="E5319">
        <v>0.68865057645476602</v>
      </c>
      <c r="F5319">
        <v>0.56581030707527502</v>
      </c>
      <c r="G5319">
        <v>0.30065531253378103</v>
      </c>
      <c r="H5319">
        <v>0.18920627471985599</v>
      </c>
      <c r="I5319">
        <v>9.8177718622556601E-2</v>
      </c>
      <c r="J5319">
        <v>0.10886981086773299</v>
      </c>
      <c r="K5319">
        <v>0.101628983502751</v>
      </c>
      <c r="L5319">
        <v>550.68128007069799</v>
      </c>
      <c r="M5319">
        <v>11.0107618134587</v>
      </c>
      <c r="N5319">
        <v>50.158727695108198</v>
      </c>
      <c r="O5319">
        <v>48.448264574652498</v>
      </c>
      <c r="P5319">
        <v>-5.5941495058278397E-2</v>
      </c>
      <c r="Q5319">
        <v>1.57419629149088E-2</v>
      </c>
      <c r="R5319">
        <v>0.98853236854486703</v>
      </c>
      <c r="S5319" t="s">
        <v>11887</v>
      </c>
      <c r="T5319" t="s">
        <v>13134</v>
      </c>
      <c r="U5319" t="s">
        <v>13134</v>
      </c>
      <c r="V5319" t="s">
        <v>13134</v>
      </c>
      <c r="W5319" t="s">
        <v>18389</v>
      </c>
      <c r="X5319">
        <v>8</v>
      </c>
      <c r="Y5319" t="s">
        <v>24756</v>
      </c>
      <c r="Z5319" t="s">
        <v>31287</v>
      </c>
      <c r="AA5319">
        <v>0.47297525620428149</v>
      </c>
      <c r="AB5319" t="str">
        <f>HYPERLINK("Melting_Curves/meltCurve_Q9BRQ8_AIFM2.pdf", "Melting_Curves/meltCurve_Q9BRQ8_AIFM2.pdf")</f>
        <v>Melting_Curves/meltCurve_Q9BRQ8_AIFM2.pdf</v>
      </c>
    </row>
    <row r="5320" spans="1:28" x14ac:dyDescent="0.25">
      <c r="A5320" t="s">
        <v>5324</v>
      </c>
      <c r="B5320">
        <v>0.99472303558308395</v>
      </c>
      <c r="C5320">
        <v>0.71873185173082099</v>
      </c>
      <c r="D5320">
        <v>0.72448561623902397</v>
      </c>
      <c r="E5320">
        <v>0.47819978972344201</v>
      </c>
      <c r="F5320">
        <v>0.27928852291489797</v>
      </c>
      <c r="G5320">
        <v>0.20671222098539699</v>
      </c>
      <c r="H5320">
        <v>0.115198863312814</v>
      </c>
      <c r="I5320">
        <v>0.11264132467814</v>
      </c>
      <c r="J5320">
        <v>0.120257703776128</v>
      </c>
      <c r="K5320">
        <v>0.13420190493349801</v>
      </c>
      <c r="L5320">
        <v>515.71712795908104</v>
      </c>
      <c r="M5320">
        <v>11.4263023705976</v>
      </c>
      <c r="N5320">
        <v>45.825660933523999</v>
      </c>
      <c r="O5320">
        <v>43.8181358316901</v>
      </c>
      <c r="P5320">
        <v>-6.0047260974313697E-2</v>
      </c>
      <c r="Q5320">
        <v>7.9179982885589195E-2</v>
      </c>
      <c r="R5320">
        <v>0.97435847725300595</v>
      </c>
      <c r="S5320" t="s">
        <v>11888</v>
      </c>
      <c r="T5320" t="s">
        <v>13134</v>
      </c>
      <c r="U5320" t="s">
        <v>13134</v>
      </c>
      <c r="V5320" t="s">
        <v>13134</v>
      </c>
      <c r="W5320" t="s">
        <v>18390</v>
      </c>
      <c r="X5320">
        <v>4</v>
      </c>
      <c r="Y5320" t="s">
        <v>24757</v>
      </c>
      <c r="Z5320" t="s">
        <v>31288</v>
      </c>
      <c r="AA5320">
        <v>0.36508654491626452</v>
      </c>
      <c r="AB5320" t="str">
        <f>HYPERLINK("Melting_Curves/meltCurve_Q9BRR0_ZKSCAN3.pdf", "Melting_Curves/meltCurve_Q9BRR0_ZKSCAN3.pdf")</f>
        <v>Melting_Curves/meltCurve_Q9BRR0_ZKSCAN3.pdf</v>
      </c>
    </row>
    <row r="5321" spans="1:28" x14ac:dyDescent="0.25">
      <c r="A5321" t="s">
        <v>5325</v>
      </c>
      <c r="B5321">
        <v>0.99472303558308395</v>
      </c>
      <c r="C5321">
        <v>0.93537152011267399</v>
      </c>
      <c r="D5321">
        <v>1.00235322017647</v>
      </c>
      <c r="E5321">
        <v>0.82853398689673297</v>
      </c>
      <c r="F5321">
        <v>0.53972678860995904</v>
      </c>
      <c r="G5321">
        <v>0.45923912706490699</v>
      </c>
      <c r="H5321">
        <v>0.27270817482543602</v>
      </c>
      <c r="I5321">
        <v>0.20625530958438101</v>
      </c>
      <c r="J5321">
        <v>7.2396853653186793E-2</v>
      </c>
      <c r="K5321">
        <v>9.6375935070256893E-2</v>
      </c>
      <c r="L5321">
        <v>629.72470327907104</v>
      </c>
      <c r="M5321">
        <v>12.108016868429999</v>
      </c>
      <c r="N5321">
        <v>52.278514887098801</v>
      </c>
      <c r="O5321">
        <v>50.651205739814799</v>
      </c>
      <c r="P5321">
        <v>-5.7966442327479703E-2</v>
      </c>
      <c r="Q5321">
        <v>3.02667860804537E-2</v>
      </c>
      <c r="R5321">
        <v>0.98491605617928202</v>
      </c>
      <c r="S5321" t="s">
        <v>11889</v>
      </c>
      <c r="T5321" t="s">
        <v>13134</v>
      </c>
      <c r="U5321" t="s">
        <v>13134</v>
      </c>
      <c r="V5321" t="s">
        <v>13134</v>
      </c>
      <c r="W5321" t="s">
        <v>18391</v>
      </c>
      <c r="X5321">
        <v>7</v>
      </c>
      <c r="Y5321" t="s">
        <v>24758</v>
      </c>
      <c r="Z5321" t="s">
        <v>31289</v>
      </c>
      <c r="AA5321">
        <v>0.5382747137648668</v>
      </c>
      <c r="AB5321" t="str">
        <f>HYPERLINK("Melting_Curves/meltCurve_Q9BRR6_2_ADPGK.pdf", "Melting_Curves/meltCurve_Q9BRR6_2_ADPGK.pdf")</f>
        <v>Melting_Curves/meltCurve_Q9BRR6_2_ADPGK.pdf</v>
      </c>
    </row>
    <row r="5322" spans="1:28" x14ac:dyDescent="0.25">
      <c r="A5322" t="s">
        <v>5326</v>
      </c>
      <c r="B5322">
        <v>0.99472303558308395</v>
      </c>
      <c r="C5322">
        <v>0.81227442194798205</v>
      </c>
      <c r="D5322">
        <v>0.53253584466090498</v>
      </c>
      <c r="E5322">
        <v>0.45029810545835203</v>
      </c>
      <c r="F5322">
        <v>0.54857461359595505</v>
      </c>
      <c r="G5322">
        <v>0.529527193562214</v>
      </c>
      <c r="H5322">
        <v>0.31115732988171302</v>
      </c>
      <c r="I5322">
        <v>0.17298221209106701</v>
      </c>
      <c r="J5322">
        <v>0.120181756582304</v>
      </c>
      <c r="K5322">
        <v>0.25164777200635102</v>
      </c>
      <c r="L5322">
        <v>287.91361630390099</v>
      </c>
      <c r="M5322">
        <v>5.98524452720795</v>
      </c>
      <c r="N5322">
        <v>48.749955392294801</v>
      </c>
      <c r="O5322">
        <v>43.557622155615398</v>
      </c>
      <c r="P5322">
        <v>-3.3150618412907798E-2</v>
      </c>
      <c r="Q5322">
        <v>3.8127501322750099E-2</v>
      </c>
      <c r="R5322">
        <v>0.84648435726563598</v>
      </c>
      <c r="S5322" t="s">
        <v>11890</v>
      </c>
      <c r="T5322" t="s">
        <v>13134</v>
      </c>
      <c r="U5322" t="s">
        <v>13134</v>
      </c>
      <c r="V5322" t="s">
        <v>13134</v>
      </c>
      <c r="W5322" t="s">
        <v>18392</v>
      </c>
      <c r="X5322">
        <v>2</v>
      </c>
      <c r="Y5322" t="s">
        <v>24759</v>
      </c>
      <c r="Z5322" t="s">
        <v>31290</v>
      </c>
      <c r="AA5322">
        <v>0.45790836560646581</v>
      </c>
      <c r="AB5322" t="str">
        <f>HYPERLINK("Melting_Curves/meltCurve_Q9BRR8_GPATCH1.pdf", "Melting_Curves/meltCurve_Q9BRR8_GPATCH1.pdf")</f>
        <v>Melting_Curves/meltCurve_Q9BRR8_GPATCH1.pdf</v>
      </c>
    </row>
    <row r="5323" spans="1:28" x14ac:dyDescent="0.25">
      <c r="A5323" t="s">
        <v>5327</v>
      </c>
      <c r="B5323">
        <v>0.99472303558308395</v>
      </c>
      <c r="C5323">
        <v>0.95508286729874603</v>
      </c>
      <c r="D5323">
        <v>0.83592966396360102</v>
      </c>
      <c r="E5323">
        <v>0.72491644438953196</v>
      </c>
      <c r="F5323">
        <v>0.73437002898399495</v>
      </c>
      <c r="G5323">
        <v>0.37035592825687402</v>
      </c>
      <c r="H5323">
        <v>0.428465805900899</v>
      </c>
      <c r="I5323">
        <v>0.81265087492395505</v>
      </c>
      <c r="J5323">
        <v>1.0612230784592001</v>
      </c>
      <c r="K5323">
        <v>0.444647662535605</v>
      </c>
      <c r="L5323">
        <v>996.83962381874699</v>
      </c>
      <c r="M5323">
        <v>22.908552688623001</v>
      </c>
      <c r="O5323">
        <v>43.186342969856398</v>
      </c>
      <c r="P5323">
        <v>-4.7716320332175502E-2</v>
      </c>
      <c r="Q5323">
        <v>0.64019467472072</v>
      </c>
      <c r="R5323">
        <v>0.323170644902395</v>
      </c>
      <c r="S5323" t="s">
        <v>11891</v>
      </c>
      <c r="T5323" t="s">
        <v>13134</v>
      </c>
      <c r="U5323" t="s">
        <v>13134</v>
      </c>
      <c r="V5323" t="s">
        <v>13134</v>
      </c>
      <c r="W5323" t="s">
        <v>18393</v>
      </c>
      <c r="X5323">
        <v>20</v>
      </c>
      <c r="Y5323" t="s">
        <v>24760</v>
      </c>
      <c r="Z5323" t="s">
        <v>31291</v>
      </c>
      <c r="AA5323">
        <v>0.7219315129280599</v>
      </c>
      <c r="AB5323" t="str">
        <f>HYPERLINK("Melting_Curves/meltCurve_Q9BRS2_RIOK1.pdf", "Melting_Curves/meltCurve_Q9BRS2_RIOK1.pdf")</f>
        <v>Melting_Curves/meltCurve_Q9BRS2_RIOK1.pdf</v>
      </c>
    </row>
    <row r="5324" spans="1:28" x14ac:dyDescent="0.25">
      <c r="A5324" t="s">
        <v>5328</v>
      </c>
      <c r="B5324">
        <v>0.99472303558308395</v>
      </c>
      <c r="C5324">
        <v>0.81695646226710406</v>
      </c>
      <c r="D5324">
        <v>0.94154504849465903</v>
      </c>
      <c r="E5324">
        <v>0.76392275108122398</v>
      </c>
      <c r="F5324">
        <v>0.56770839076914403</v>
      </c>
      <c r="G5324">
        <v>0.47924762376255098</v>
      </c>
      <c r="H5324">
        <v>0.29437396875146099</v>
      </c>
      <c r="I5324">
        <v>0.20078193577419601</v>
      </c>
      <c r="J5324">
        <v>0.16532582346441799</v>
      </c>
      <c r="K5324">
        <v>0.129819586189623</v>
      </c>
      <c r="L5324">
        <v>468.26471124667802</v>
      </c>
      <c r="M5324">
        <v>8.9435934818215692</v>
      </c>
      <c r="N5324">
        <v>52.357557628519501</v>
      </c>
      <c r="O5324">
        <v>49.938510217919102</v>
      </c>
      <c r="P5324">
        <v>-4.4806339505241502E-2</v>
      </c>
      <c r="Q5324">
        <v>0</v>
      </c>
      <c r="R5324">
        <v>0.97595819448262999</v>
      </c>
      <c r="S5324" t="s">
        <v>11892</v>
      </c>
      <c r="T5324" t="s">
        <v>13134</v>
      </c>
      <c r="U5324" t="s">
        <v>13134</v>
      </c>
      <c r="V5324" t="s">
        <v>13134</v>
      </c>
      <c r="W5324" t="s">
        <v>18394</v>
      </c>
      <c r="X5324">
        <v>7</v>
      </c>
      <c r="Y5324" t="s">
        <v>24761</v>
      </c>
      <c r="Z5324" t="s">
        <v>31292</v>
      </c>
      <c r="AA5324">
        <v>0.53789218014176354</v>
      </c>
      <c r="AB5324" t="str">
        <f>HYPERLINK("Melting_Curves/meltCurve_Q9BRT2_MNF1.pdf", "Melting_Curves/meltCurve_Q9BRT2_MNF1.pdf")</f>
        <v>Melting_Curves/meltCurve_Q9BRT2_MNF1.pdf</v>
      </c>
    </row>
    <row r="5325" spans="1:28" x14ac:dyDescent="0.25">
      <c r="A5325" t="s">
        <v>5329</v>
      </c>
      <c r="B5325">
        <v>0.99472303558308395</v>
      </c>
      <c r="C5325">
        <v>0.99507448072253302</v>
      </c>
      <c r="D5325">
        <v>0.92231441039681905</v>
      </c>
      <c r="E5325">
        <v>0.824167505991243</v>
      </c>
      <c r="F5325">
        <v>0.53761571847701795</v>
      </c>
      <c r="G5325">
        <v>0.15393877247712401</v>
      </c>
      <c r="H5325">
        <v>7.92561716709341E-2</v>
      </c>
      <c r="I5325">
        <v>5.5526504616704199E-2</v>
      </c>
      <c r="J5325">
        <v>5.5344285289199602E-2</v>
      </c>
      <c r="K5325">
        <v>4.7920488268757798E-2</v>
      </c>
      <c r="L5325">
        <v>1125.05900298545</v>
      </c>
      <c r="M5325">
        <v>22.501565417303201</v>
      </c>
      <c r="N5325">
        <v>50.162807877587603</v>
      </c>
      <c r="O5325">
        <v>49.609267046486998</v>
      </c>
      <c r="P5325">
        <v>-0.10938290881830801</v>
      </c>
      <c r="Q5325">
        <v>3.53924195928393E-2</v>
      </c>
      <c r="R5325">
        <v>0.99558508087319697</v>
      </c>
      <c r="S5325" t="s">
        <v>11893</v>
      </c>
      <c r="T5325" t="s">
        <v>13134</v>
      </c>
      <c r="U5325" t="s">
        <v>13134</v>
      </c>
      <c r="V5325" t="s">
        <v>13134</v>
      </c>
      <c r="W5325" t="s">
        <v>18395</v>
      </c>
      <c r="X5325">
        <v>9</v>
      </c>
      <c r="Y5325" t="s">
        <v>24762</v>
      </c>
      <c r="Z5325" t="s">
        <v>31293</v>
      </c>
      <c r="AA5325">
        <v>0.46363874263029048</v>
      </c>
      <c r="AB5325" t="str">
        <f>HYPERLINK("Melting_Curves/meltCurve_Q9BRT9_GINS4.pdf", "Melting_Curves/meltCurve_Q9BRT9_GINS4.pdf")</f>
        <v>Melting_Curves/meltCurve_Q9BRT9_GINS4.pdf</v>
      </c>
    </row>
    <row r="5326" spans="1:28" x14ac:dyDescent="0.25">
      <c r="A5326" t="s">
        <v>5330</v>
      </c>
      <c r="B5326">
        <v>0.99472303558308395</v>
      </c>
      <c r="C5326">
        <v>0.96228943377105103</v>
      </c>
      <c r="D5326">
        <v>0.75899850488694798</v>
      </c>
      <c r="E5326">
        <v>0.55547753397607003</v>
      </c>
      <c r="F5326">
        <v>0.31531854958194599</v>
      </c>
      <c r="G5326">
        <v>0.16655913802385999</v>
      </c>
      <c r="H5326">
        <v>0.12396086678565001</v>
      </c>
      <c r="I5326">
        <v>0.106523675384483</v>
      </c>
      <c r="J5326">
        <v>0.14597883673376</v>
      </c>
      <c r="K5326">
        <v>0.112120217648832</v>
      </c>
      <c r="L5326">
        <v>738.89434335771205</v>
      </c>
      <c r="M5326">
        <v>15.9415013898711</v>
      </c>
      <c r="N5326">
        <v>47.017107621593603</v>
      </c>
      <c r="O5326">
        <v>45.639389884340403</v>
      </c>
      <c r="P5326">
        <v>-7.84951833214938E-2</v>
      </c>
      <c r="Q5326">
        <v>0.101166912511589</v>
      </c>
      <c r="R5326">
        <v>0.995593596015103</v>
      </c>
      <c r="S5326" t="s">
        <v>11894</v>
      </c>
      <c r="T5326" t="s">
        <v>13134</v>
      </c>
      <c r="U5326" t="s">
        <v>13134</v>
      </c>
      <c r="V5326" t="s">
        <v>13134</v>
      </c>
      <c r="W5326" t="s">
        <v>18396</v>
      </c>
      <c r="X5326">
        <v>8</v>
      </c>
      <c r="Y5326" t="s">
        <v>24763</v>
      </c>
      <c r="Z5326" t="s">
        <v>31294</v>
      </c>
      <c r="AA5326">
        <v>0.39963574046663008</v>
      </c>
      <c r="AB5326" t="str">
        <f>HYPERLINK("Melting_Curves/meltCurve_Q9BRV8_SIKE1.pdf", "Melting_Curves/meltCurve_Q9BRV8_SIKE1.pdf")</f>
        <v>Melting_Curves/meltCurve_Q9BRV8_SIKE1.pdf</v>
      </c>
    </row>
    <row r="5327" spans="1:28" x14ac:dyDescent="0.25">
      <c r="A5327" t="s">
        <v>5331</v>
      </c>
      <c r="B5327">
        <v>0.99472303558308395</v>
      </c>
      <c r="C5327">
        <v>0.946349084682787</v>
      </c>
      <c r="D5327">
        <v>0.87175481326389104</v>
      </c>
      <c r="E5327">
        <v>0.41275939258820399</v>
      </c>
      <c r="F5327">
        <v>0.149052110572165</v>
      </c>
      <c r="G5327">
        <v>0.101870776229376</v>
      </c>
      <c r="H5327">
        <v>6.0893243151198401E-2</v>
      </c>
      <c r="I5327">
        <v>4.9808345909873E-2</v>
      </c>
      <c r="J5327">
        <v>6.0608750922512597E-2</v>
      </c>
      <c r="K5327">
        <v>4.4953277861884203E-2</v>
      </c>
      <c r="L5327">
        <v>1194.25832352572</v>
      </c>
      <c r="M5327">
        <v>26.0840137342236</v>
      </c>
      <c r="N5327">
        <v>46.003630430408798</v>
      </c>
      <c r="O5327">
        <v>45.518500176995701</v>
      </c>
      <c r="P5327">
        <v>-0.13491330032211701</v>
      </c>
      <c r="Q5327">
        <v>5.8276631450695199E-2</v>
      </c>
      <c r="R5327">
        <v>0.99830044597560796</v>
      </c>
      <c r="S5327" t="s">
        <v>11895</v>
      </c>
      <c r="T5327" t="s">
        <v>13134</v>
      </c>
      <c r="U5327" t="s">
        <v>13134</v>
      </c>
      <c r="V5327" t="s">
        <v>13134</v>
      </c>
      <c r="W5327" t="s">
        <v>18397</v>
      </c>
      <c r="X5327">
        <v>19</v>
      </c>
      <c r="Y5327" t="s">
        <v>24764</v>
      </c>
      <c r="Z5327" t="s">
        <v>31295</v>
      </c>
      <c r="AA5327">
        <v>0.34117905243993463</v>
      </c>
      <c r="AB5327" t="str">
        <f>HYPERLINK("Melting_Curves/meltCurve_Q9BRX2_PELO.pdf", "Melting_Curves/meltCurve_Q9BRX2_PELO.pdf")</f>
        <v>Melting_Curves/meltCurve_Q9BRX2_PELO.pdf</v>
      </c>
    </row>
    <row r="5328" spans="1:28" x14ac:dyDescent="0.25">
      <c r="A5328" t="s">
        <v>5332</v>
      </c>
      <c r="B5328">
        <v>0.99472303558308395</v>
      </c>
      <c r="C5328">
        <v>0.90790525229707497</v>
      </c>
      <c r="D5328">
        <v>0.94537072609073003</v>
      </c>
      <c r="E5328">
        <v>0.84642367037655097</v>
      </c>
      <c r="F5328">
        <v>0.54710912805229595</v>
      </c>
      <c r="G5328">
        <v>0.16891300629235301</v>
      </c>
      <c r="H5328">
        <v>9.9768452600243002E-2</v>
      </c>
      <c r="I5328">
        <v>6.6117561002559402E-2</v>
      </c>
      <c r="J5328">
        <v>7.3296130076825103E-2</v>
      </c>
      <c r="K5328">
        <v>6.2096455838842303E-2</v>
      </c>
      <c r="L5328">
        <v>1189.6401030811201</v>
      </c>
      <c r="M5328">
        <v>23.751657913353501</v>
      </c>
      <c r="N5328">
        <v>50.330186749301603</v>
      </c>
      <c r="O5328">
        <v>49.735618385430598</v>
      </c>
      <c r="P5328">
        <v>-0.112909412537557</v>
      </c>
      <c r="Q5328">
        <v>5.4293060761296003E-2</v>
      </c>
      <c r="R5328">
        <v>0.99195419884893199</v>
      </c>
      <c r="S5328" t="s">
        <v>11896</v>
      </c>
      <c r="T5328" t="s">
        <v>13134</v>
      </c>
      <c r="U5328" t="s">
        <v>13134</v>
      </c>
      <c r="V5328" t="s">
        <v>13134</v>
      </c>
      <c r="W5328" t="s">
        <v>18398</v>
      </c>
      <c r="X5328">
        <v>12</v>
      </c>
      <c r="Y5328" t="s">
        <v>24765</v>
      </c>
      <c r="Z5328" t="s">
        <v>31296</v>
      </c>
      <c r="AA5328">
        <v>0.47594807704273279</v>
      </c>
      <c r="AB5328" t="str">
        <f>HYPERLINK("Melting_Curves/meltCurve_Q9BRX5_GINS3.pdf", "Melting_Curves/meltCurve_Q9BRX5_GINS3.pdf")</f>
        <v>Melting_Curves/meltCurve_Q9BRX5_GINS3.pdf</v>
      </c>
    </row>
    <row r="5329" spans="1:28" x14ac:dyDescent="0.25">
      <c r="A5329" t="s">
        <v>5333</v>
      </c>
      <c r="B5329">
        <v>0.99472303558308395</v>
      </c>
      <c r="C5329">
        <v>0.99593850534256501</v>
      </c>
      <c r="D5329">
        <v>0.90045649826116603</v>
      </c>
      <c r="E5329">
        <v>0.68363614793306904</v>
      </c>
      <c r="F5329">
        <v>0.47336550184270298</v>
      </c>
      <c r="G5329">
        <v>0.215644505769407</v>
      </c>
      <c r="H5329">
        <v>0.139954922577844</v>
      </c>
      <c r="I5329">
        <v>8.8854110949130205E-2</v>
      </c>
      <c r="J5329">
        <v>0.104234141368935</v>
      </c>
      <c r="K5329">
        <v>7.5032800503921901E-2</v>
      </c>
      <c r="L5329">
        <v>775.81683581115601</v>
      </c>
      <c r="M5329">
        <v>15.864649022002901</v>
      </c>
      <c r="N5329">
        <v>49.315111916004497</v>
      </c>
      <c r="O5329">
        <v>48.145046360621301</v>
      </c>
      <c r="P5329">
        <v>-7.7262636948277605E-2</v>
      </c>
      <c r="Q5329">
        <v>6.2189171173596701E-2</v>
      </c>
      <c r="R5329">
        <v>0.99741724328914805</v>
      </c>
      <c r="S5329" t="s">
        <v>11897</v>
      </c>
      <c r="T5329" t="s">
        <v>13134</v>
      </c>
      <c r="U5329" t="s">
        <v>13134</v>
      </c>
      <c r="V5329" t="s">
        <v>13134</v>
      </c>
      <c r="W5329" t="s">
        <v>18399</v>
      </c>
      <c r="X5329">
        <v>12</v>
      </c>
      <c r="Y5329" t="s">
        <v>24766</v>
      </c>
      <c r="Z5329" t="s">
        <v>31297</v>
      </c>
      <c r="AA5329">
        <v>0.45273835086023329</v>
      </c>
      <c r="AB5329" t="str">
        <f>HYPERLINK("Melting_Curves/meltCurve_Q9BRZ2_TRIM56.pdf", "Melting_Curves/meltCurve_Q9BRZ2_TRIM56.pdf")</f>
        <v>Melting_Curves/meltCurve_Q9BRZ2_TRIM56.pdf</v>
      </c>
    </row>
    <row r="5330" spans="1:28" x14ac:dyDescent="0.25">
      <c r="A5330" t="s">
        <v>5334</v>
      </c>
      <c r="B5330">
        <v>0.99472303558308395</v>
      </c>
      <c r="C5330">
        <v>1.0091421428157701</v>
      </c>
      <c r="D5330">
        <v>0.89291609716216502</v>
      </c>
      <c r="E5330">
        <v>0.85246085434765695</v>
      </c>
      <c r="F5330">
        <v>0.70895675011885295</v>
      </c>
      <c r="G5330">
        <v>0.341073552938298</v>
      </c>
      <c r="H5330">
        <v>0.31000541654730401</v>
      </c>
      <c r="I5330">
        <v>0.20067239134045101</v>
      </c>
      <c r="J5330">
        <v>0.32069123774383701</v>
      </c>
      <c r="K5330">
        <v>0.28368294101257002</v>
      </c>
      <c r="L5330">
        <v>1104.99298322147</v>
      </c>
      <c r="M5330">
        <v>21.936786957806799</v>
      </c>
      <c r="N5330">
        <v>52.059209095951701</v>
      </c>
      <c r="O5330">
        <v>49.958700430986902</v>
      </c>
      <c r="P5330">
        <v>-8.1844777015708803E-2</v>
      </c>
      <c r="Q5330">
        <v>0.25444572794835202</v>
      </c>
      <c r="R5330">
        <v>0.97191344587363504</v>
      </c>
      <c r="S5330" t="s">
        <v>11898</v>
      </c>
      <c r="T5330" t="s">
        <v>13134</v>
      </c>
      <c r="U5330" t="s">
        <v>13134</v>
      </c>
      <c r="V5330" t="s">
        <v>13134</v>
      </c>
      <c r="W5330" t="s">
        <v>18400</v>
      </c>
      <c r="X5330">
        <v>1</v>
      </c>
      <c r="Y5330" t="s">
        <v>24767</v>
      </c>
      <c r="Z5330" t="s">
        <v>31298</v>
      </c>
      <c r="AA5330">
        <v>0.59508767213834868</v>
      </c>
      <c r="AB5330" t="str">
        <f>HYPERLINK("Melting_Curves/meltCurve_Q9BS18_ANAPC13.pdf", "Melting_Curves/meltCurve_Q9BS18_ANAPC13.pdf")</f>
        <v>Melting_Curves/meltCurve_Q9BS18_ANAPC13.pdf</v>
      </c>
    </row>
    <row r="5331" spans="1:28" x14ac:dyDescent="0.25">
      <c r="A5331" t="s">
        <v>5335</v>
      </c>
      <c r="B5331">
        <v>0.99472303558308395</v>
      </c>
      <c r="C5331">
        <v>0.93421581048815405</v>
      </c>
      <c r="D5331">
        <v>1.01398322022767</v>
      </c>
      <c r="E5331">
        <v>0.909209690305816</v>
      </c>
      <c r="F5331">
        <v>0.66829846676259697</v>
      </c>
      <c r="G5331">
        <v>0.28231999614147701</v>
      </c>
      <c r="H5331">
        <v>8.4550039143023198E-2</v>
      </c>
      <c r="I5331">
        <v>6.7737938585204105E-2</v>
      </c>
      <c r="J5331">
        <v>6.3216957481769906E-2</v>
      </c>
      <c r="K5331">
        <v>6.0842349234748197E-2</v>
      </c>
      <c r="L5331">
        <v>1304.34505139014</v>
      </c>
      <c r="M5331">
        <v>25.398741181448901</v>
      </c>
      <c r="N5331">
        <v>51.564897800545701</v>
      </c>
      <c r="O5331">
        <v>51.039533199624699</v>
      </c>
      <c r="P5331">
        <v>-0.11829124088201801</v>
      </c>
      <c r="Q5331">
        <v>4.9172802299392498E-2</v>
      </c>
      <c r="R5331">
        <v>0.99629955570869599</v>
      </c>
      <c r="S5331" t="s">
        <v>11899</v>
      </c>
      <c r="T5331" t="s">
        <v>13134</v>
      </c>
      <c r="U5331" t="s">
        <v>13134</v>
      </c>
      <c r="V5331" t="s">
        <v>13134</v>
      </c>
      <c r="W5331" t="s">
        <v>18401</v>
      </c>
      <c r="X5331">
        <v>23</v>
      </c>
      <c r="Y5331" t="s">
        <v>24768</v>
      </c>
      <c r="Z5331" t="s">
        <v>31299</v>
      </c>
      <c r="AA5331">
        <v>0.51229917947872405</v>
      </c>
      <c r="AB5331" t="str">
        <f>HYPERLINK("Melting_Curves/meltCurve_Q9BS26_ERP44.pdf", "Melting_Curves/meltCurve_Q9BS26_ERP44.pdf")</f>
        <v>Melting_Curves/meltCurve_Q9BS26_ERP44.pdf</v>
      </c>
    </row>
    <row r="5332" spans="1:28" x14ac:dyDescent="0.25">
      <c r="A5332" t="s">
        <v>5336</v>
      </c>
      <c r="B5332">
        <v>0.99472303558308395</v>
      </c>
      <c r="C5332">
        <v>0.93970092730792998</v>
      </c>
      <c r="D5332">
        <v>0.824416587669344</v>
      </c>
      <c r="E5332">
        <v>0.57350599880035702</v>
      </c>
      <c r="F5332">
        <v>0.42214835367529102</v>
      </c>
      <c r="G5332">
        <v>0.27165702760897398</v>
      </c>
      <c r="H5332">
        <v>0.24532720834806601</v>
      </c>
      <c r="I5332">
        <v>0.21246379149234601</v>
      </c>
      <c r="J5332">
        <v>0.297513444435971</v>
      </c>
      <c r="K5332">
        <v>0.21506494710882801</v>
      </c>
      <c r="L5332">
        <v>753.00618047741602</v>
      </c>
      <c r="M5332">
        <v>16.3071280785095</v>
      </c>
      <c r="N5332">
        <v>47.9569692252811</v>
      </c>
      <c r="O5332">
        <v>45.4988490195663</v>
      </c>
      <c r="P5332">
        <v>-6.92603978429501E-2</v>
      </c>
      <c r="Q5332">
        <v>0.22707697313177599</v>
      </c>
      <c r="R5332">
        <v>0.992053452491237</v>
      </c>
      <c r="S5332" t="s">
        <v>11900</v>
      </c>
      <c r="T5332" t="s">
        <v>13134</v>
      </c>
      <c r="U5332" t="s">
        <v>13134</v>
      </c>
      <c r="V5332" t="s">
        <v>13134</v>
      </c>
      <c r="W5332" t="s">
        <v>18402</v>
      </c>
      <c r="X5332">
        <v>4</v>
      </c>
      <c r="Y5332" t="s">
        <v>24769</v>
      </c>
      <c r="Z5332" t="s">
        <v>31300</v>
      </c>
      <c r="AA5332">
        <v>0.47863368174707832</v>
      </c>
      <c r="AB5332" t="str">
        <f>HYPERLINK("Melting_Curves/meltCurve_Q9BSB4_ATG101.pdf", "Melting_Curves/meltCurve_Q9BSB4_ATG101.pdf")</f>
        <v>Melting_Curves/meltCurve_Q9BSB4_ATG101.pdf</v>
      </c>
    </row>
    <row r="5333" spans="1:28" x14ac:dyDescent="0.25">
      <c r="A5333" t="s">
        <v>5337</v>
      </c>
      <c r="B5333">
        <v>0.99472303558308395</v>
      </c>
      <c r="C5333">
        <v>0.93734522699679801</v>
      </c>
      <c r="D5333">
        <v>0.94863222150886595</v>
      </c>
      <c r="E5333">
        <v>0.79623432189670595</v>
      </c>
      <c r="F5333">
        <v>0.466854644622614</v>
      </c>
      <c r="G5333">
        <v>0.24056924373511099</v>
      </c>
      <c r="H5333">
        <v>7.3940082550306194E-2</v>
      </c>
      <c r="I5333">
        <v>3.4641157407533298E-2</v>
      </c>
      <c r="J5333">
        <v>4.0864602497948502E-2</v>
      </c>
      <c r="K5333">
        <v>3.9079878993019901E-2</v>
      </c>
      <c r="L5333">
        <v>912.84187310541097</v>
      </c>
      <c r="M5333">
        <v>18.308170510523802</v>
      </c>
      <c r="N5333">
        <v>49.946526563130703</v>
      </c>
      <c r="O5333">
        <v>49.276388248860698</v>
      </c>
      <c r="P5333">
        <v>-9.14364966318158E-2</v>
      </c>
      <c r="Q5333">
        <v>1.5641462824862399E-2</v>
      </c>
      <c r="R5333">
        <v>0.99720776211906004</v>
      </c>
      <c r="S5333" t="s">
        <v>11901</v>
      </c>
      <c r="T5333" t="s">
        <v>13134</v>
      </c>
      <c r="U5333" t="s">
        <v>13134</v>
      </c>
      <c r="V5333" t="s">
        <v>13134</v>
      </c>
      <c r="W5333" t="s">
        <v>18403</v>
      </c>
      <c r="X5333">
        <v>8</v>
      </c>
      <c r="Y5333" t="s">
        <v>24770</v>
      </c>
      <c r="Z5333" t="s">
        <v>31301</v>
      </c>
      <c r="AA5333">
        <v>0.4526953478886846</v>
      </c>
      <c r="AB5333" t="str">
        <f>HYPERLINK("Melting_Curves/meltCurve_Q9BSD7_NTPCR.pdf", "Melting_Curves/meltCurve_Q9BSD7_NTPCR.pdf")</f>
        <v>Melting_Curves/meltCurve_Q9BSD7_NTPCR.pdf</v>
      </c>
    </row>
    <row r="5334" spans="1:28" x14ac:dyDescent="0.25">
      <c r="A5334" t="s">
        <v>5338</v>
      </c>
      <c r="B5334">
        <v>0.99472303558308395</v>
      </c>
      <c r="C5334">
        <v>0.92118127812745099</v>
      </c>
      <c r="D5334">
        <v>0.89140867368332699</v>
      </c>
      <c r="E5334">
        <v>0.75477864529461003</v>
      </c>
      <c r="F5334">
        <v>0.57567948649561496</v>
      </c>
      <c r="G5334">
        <v>0.43369534738851301</v>
      </c>
      <c r="H5334">
        <v>0.24678645178570999</v>
      </c>
      <c r="I5334">
        <v>0.18262945303389699</v>
      </c>
      <c r="J5334">
        <v>0.21281623375786099</v>
      </c>
      <c r="K5334">
        <v>0.17542236601306099</v>
      </c>
      <c r="L5334">
        <v>580.42017245715795</v>
      </c>
      <c r="M5334">
        <v>11.5071889106482</v>
      </c>
      <c r="N5334">
        <v>51.576709797852899</v>
      </c>
      <c r="O5334">
        <v>48.988627149815201</v>
      </c>
      <c r="P5334">
        <v>-5.2160273782143697E-2</v>
      </c>
      <c r="Q5334">
        <v>0.11202086775610499</v>
      </c>
      <c r="R5334">
        <v>0.99322040812574997</v>
      </c>
      <c r="S5334" t="s">
        <v>11902</v>
      </c>
      <c r="T5334" t="s">
        <v>13134</v>
      </c>
      <c r="U5334" t="s">
        <v>13134</v>
      </c>
      <c r="V5334" t="s">
        <v>13134</v>
      </c>
      <c r="W5334" t="s">
        <v>18404</v>
      </c>
      <c r="X5334">
        <v>9</v>
      </c>
      <c r="Y5334" t="s">
        <v>24771</v>
      </c>
      <c r="Z5334" t="s">
        <v>31302</v>
      </c>
      <c r="AA5334">
        <v>0.53505447530773298</v>
      </c>
      <c r="AB5334" t="str">
        <f>HYPERLINK("Melting_Curves/meltCurve_Q9BSF4_C19orf52.pdf", "Melting_Curves/meltCurve_Q9BSF4_C19orf52.pdf")</f>
        <v>Melting_Curves/meltCurve_Q9BSF4_C19orf52.pdf</v>
      </c>
    </row>
    <row r="5335" spans="1:28" x14ac:dyDescent="0.25">
      <c r="A5335" t="s">
        <v>5339</v>
      </c>
      <c r="B5335">
        <v>0.99472303558308395</v>
      </c>
      <c r="C5335">
        <v>0.84953899873722605</v>
      </c>
      <c r="D5335">
        <v>0.99076803529900803</v>
      </c>
      <c r="E5335">
        <v>0.83139631773692801</v>
      </c>
      <c r="F5335">
        <v>0.60775482370182798</v>
      </c>
      <c r="G5335">
        <v>0.43575241388548003</v>
      </c>
      <c r="H5335">
        <v>0.27487419929435902</v>
      </c>
      <c r="I5335">
        <v>0.242423416062926</v>
      </c>
      <c r="J5335">
        <v>0.24419597879185201</v>
      </c>
      <c r="K5335">
        <v>7.0471696742921405E-2</v>
      </c>
      <c r="L5335">
        <v>621.86296506345298</v>
      </c>
      <c r="M5335">
        <v>12.0186294797487</v>
      </c>
      <c r="N5335">
        <v>52.582239120513798</v>
      </c>
      <c r="O5335">
        <v>50.371578024425702</v>
      </c>
      <c r="P5335">
        <v>-5.4449080196573803E-2</v>
      </c>
      <c r="Q5335">
        <v>8.7407148700915094E-2</v>
      </c>
      <c r="R5335">
        <v>0.96913916069973205</v>
      </c>
      <c r="S5335" t="s">
        <v>11903</v>
      </c>
      <c r="T5335" t="s">
        <v>13134</v>
      </c>
      <c r="U5335" t="s">
        <v>13134</v>
      </c>
      <c r="V5335" t="s">
        <v>13134</v>
      </c>
      <c r="W5335" t="s">
        <v>18405</v>
      </c>
      <c r="X5335">
        <v>1</v>
      </c>
      <c r="Y5335" t="s">
        <v>24772</v>
      </c>
      <c r="Z5335" t="s">
        <v>31303</v>
      </c>
      <c r="AA5335">
        <v>0.55806221689186275</v>
      </c>
      <c r="AB5335" t="str">
        <f>HYPERLINK("Melting_Curves/meltCurve_Q9BSG0_PRADC1.pdf", "Melting_Curves/meltCurve_Q9BSG0_PRADC1.pdf")</f>
        <v>Melting_Curves/meltCurve_Q9BSG0_PRADC1.pdf</v>
      </c>
    </row>
    <row r="5336" spans="1:28" x14ac:dyDescent="0.25">
      <c r="A5336" t="s">
        <v>5340</v>
      </c>
      <c r="B5336">
        <v>0.99472303558308395</v>
      </c>
      <c r="C5336">
        <v>0.99479760921929705</v>
      </c>
      <c r="D5336">
        <v>0.92411290442289695</v>
      </c>
      <c r="E5336">
        <v>0.58076101362834798</v>
      </c>
      <c r="F5336">
        <v>0.150706090125763</v>
      </c>
      <c r="G5336">
        <v>7.8674262679354595E-2</v>
      </c>
      <c r="H5336">
        <v>4.7812561268429303E-2</v>
      </c>
      <c r="I5336">
        <v>3.5751793823147901E-2</v>
      </c>
      <c r="J5336">
        <v>4.157029536535E-2</v>
      </c>
      <c r="K5336">
        <v>3.4904045106844098E-2</v>
      </c>
      <c r="L5336">
        <v>1369.9694229259101</v>
      </c>
      <c r="M5336">
        <v>29.1810048103154</v>
      </c>
      <c r="N5336">
        <v>47.081195289636298</v>
      </c>
      <c r="O5336">
        <v>46.728481074906902</v>
      </c>
      <c r="P5336">
        <v>-0.14990461405418501</v>
      </c>
      <c r="Q5336">
        <v>3.98186733911245E-2</v>
      </c>
      <c r="R5336">
        <v>0.99949659005570102</v>
      </c>
      <c r="S5336" t="s">
        <v>11904</v>
      </c>
      <c r="T5336" t="s">
        <v>13134</v>
      </c>
      <c r="U5336" t="s">
        <v>13134</v>
      </c>
      <c r="V5336" t="s">
        <v>13134</v>
      </c>
      <c r="W5336" t="s">
        <v>18406</v>
      </c>
      <c r="X5336">
        <v>8</v>
      </c>
      <c r="Y5336" t="s">
        <v>24773</v>
      </c>
      <c r="Z5336" t="s">
        <v>31304</v>
      </c>
      <c r="AA5336">
        <v>0.36408864128027107</v>
      </c>
      <c r="AB5336" t="str">
        <f>HYPERLINK("Melting_Curves/meltCurve_Q9BSH4_TACO1.pdf", "Melting_Curves/meltCurve_Q9BSH4_TACO1.pdf")</f>
        <v>Melting_Curves/meltCurve_Q9BSH4_TACO1.pdf</v>
      </c>
    </row>
    <row r="5337" spans="1:28" x14ac:dyDescent="0.25">
      <c r="A5337" t="s">
        <v>5341</v>
      </c>
      <c r="B5337">
        <v>0.99472303558308395</v>
      </c>
      <c r="C5337">
        <v>0.943108107143244</v>
      </c>
      <c r="D5337">
        <v>0.87634515625238596</v>
      </c>
      <c r="E5337">
        <v>0.66964330295352203</v>
      </c>
      <c r="F5337">
        <v>0.47365870353350398</v>
      </c>
      <c r="G5337">
        <v>0.39038322931792002</v>
      </c>
      <c r="H5337">
        <v>0.24421408127901401</v>
      </c>
      <c r="I5337">
        <v>0.143085665896381</v>
      </c>
      <c r="J5337">
        <v>0.13534489918650899</v>
      </c>
      <c r="K5337">
        <v>8.9754257326215697E-2</v>
      </c>
      <c r="L5337">
        <v>523.52683294398901</v>
      </c>
      <c r="M5337">
        <v>10.479423267640099</v>
      </c>
      <c r="N5337">
        <v>50.335934283802501</v>
      </c>
      <c r="O5337">
        <v>48.241228391592202</v>
      </c>
      <c r="P5337">
        <v>-5.2271874146528501E-2</v>
      </c>
      <c r="Q5337">
        <v>3.7872710586451898E-2</v>
      </c>
      <c r="R5337">
        <v>0.99526907787409902</v>
      </c>
      <c r="S5337" t="s">
        <v>11905</v>
      </c>
      <c r="T5337" t="s">
        <v>13134</v>
      </c>
      <c r="U5337" t="s">
        <v>13134</v>
      </c>
      <c r="V5337" t="s">
        <v>13134</v>
      </c>
      <c r="W5337" t="s">
        <v>18407</v>
      </c>
      <c r="X5337">
        <v>5</v>
      </c>
      <c r="Y5337" t="s">
        <v>24774</v>
      </c>
      <c r="Z5337" t="s">
        <v>31305</v>
      </c>
      <c r="AA5337">
        <v>0.48474822557573938</v>
      </c>
      <c r="AB5337" t="str">
        <f>HYPERLINK("Melting_Curves/meltCurve_Q9BSH5_HDHD3.pdf", "Melting_Curves/meltCurve_Q9BSH5_HDHD3.pdf")</f>
        <v>Melting_Curves/meltCurve_Q9BSH5_HDHD3.pdf</v>
      </c>
    </row>
    <row r="5338" spans="1:28" x14ac:dyDescent="0.25">
      <c r="A5338" t="s">
        <v>5342</v>
      </c>
      <c r="B5338">
        <v>0.99472303558308395</v>
      </c>
      <c r="C5338">
        <v>0.91093760268152102</v>
      </c>
      <c r="D5338">
        <v>0.74988486745009697</v>
      </c>
      <c r="E5338">
        <v>0.41969936486589798</v>
      </c>
      <c r="F5338">
        <v>0.164961960292208</v>
      </c>
      <c r="G5338">
        <v>7.8778895344219405E-2</v>
      </c>
      <c r="H5338">
        <v>5.7695319583526701E-2</v>
      </c>
      <c r="I5338">
        <v>4.4477890244678998E-2</v>
      </c>
      <c r="J5338">
        <v>5.4208220561213501E-2</v>
      </c>
      <c r="K5338">
        <v>4.64887974431877E-2</v>
      </c>
      <c r="L5338">
        <v>843.26882283390398</v>
      </c>
      <c r="M5338">
        <v>18.5730221861456</v>
      </c>
      <c r="N5338">
        <v>45.600618467969902</v>
      </c>
      <c r="O5338">
        <v>44.886364506804398</v>
      </c>
      <c r="P5338">
        <v>-9.9446844359543499E-2</v>
      </c>
      <c r="Q5338">
        <v>3.86889910913292E-2</v>
      </c>
      <c r="R5338">
        <v>0.99920261464672899</v>
      </c>
      <c r="S5338" t="s">
        <v>11906</v>
      </c>
      <c r="T5338" t="s">
        <v>13134</v>
      </c>
      <c r="U5338" t="s">
        <v>13134</v>
      </c>
      <c r="V5338" t="s">
        <v>13134</v>
      </c>
      <c r="W5338" t="s">
        <v>18408</v>
      </c>
      <c r="X5338">
        <v>13</v>
      </c>
      <c r="Y5338" t="s">
        <v>24775</v>
      </c>
      <c r="Z5338" t="s">
        <v>31306</v>
      </c>
      <c r="AA5338">
        <v>0.32262124254668689</v>
      </c>
      <c r="AB5338" t="str">
        <f>HYPERLINK("Melting_Curves/meltCurve_Q9BSJ2_TUBGCP2.pdf", "Melting_Curves/meltCurve_Q9BSJ2_TUBGCP2.pdf")</f>
        <v>Melting_Curves/meltCurve_Q9BSJ2_TUBGCP2.pdf</v>
      </c>
    </row>
    <row r="5339" spans="1:28" x14ac:dyDescent="0.25">
      <c r="A5339" t="s">
        <v>5343</v>
      </c>
      <c r="B5339">
        <v>0.99472303558308395</v>
      </c>
      <c r="C5339">
        <v>0.84642479870541398</v>
      </c>
      <c r="D5339">
        <v>1.0495734238806</v>
      </c>
      <c r="E5339">
        <v>0.842950508860008</v>
      </c>
      <c r="F5339">
        <v>0.51983402503556098</v>
      </c>
      <c r="G5339">
        <v>0.26546339641588002</v>
      </c>
      <c r="H5339">
        <v>0.16202351168905299</v>
      </c>
      <c r="I5339">
        <v>0.11470660790918399</v>
      </c>
      <c r="J5339">
        <v>0.137353101965659</v>
      </c>
      <c r="K5339">
        <v>8.0950268426632499E-2</v>
      </c>
      <c r="L5339">
        <v>1106.3619661924399</v>
      </c>
      <c r="M5339">
        <v>22.150750112535601</v>
      </c>
      <c r="N5339">
        <v>50.489585941935097</v>
      </c>
      <c r="O5339">
        <v>49.545192914684101</v>
      </c>
      <c r="P5339">
        <v>-9.9933051851619104E-2</v>
      </c>
      <c r="Q5339">
        <v>0.10592739939910099</v>
      </c>
      <c r="R5339">
        <v>0.97891233335066896</v>
      </c>
      <c r="S5339" t="s">
        <v>11907</v>
      </c>
      <c r="T5339" t="s">
        <v>13134</v>
      </c>
      <c r="U5339" t="s">
        <v>13134</v>
      </c>
      <c r="V5339" t="s">
        <v>13134</v>
      </c>
      <c r="W5339" t="s">
        <v>18409</v>
      </c>
      <c r="X5339">
        <v>6</v>
      </c>
      <c r="Y5339" t="s">
        <v>24776</v>
      </c>
      <c r="Z5339" t="s">
        <v>31307</v>
      </c>
      <c r="AA5339">
        <v>0.501579629542665</v>
      </c>
      <c r="AB5339" t="str">
        <f>HYPERLINK("Melting_Curves/meltCurve_Q9BSJ5_C17orf80.pdf", "Melting_Curves/meltCurve_Q9BSJ5_C17orf80.pdf")</f>
        <v>Melting_Curves/meltCurve_Q9BSJ5_C17orf80.pdf</v>
      </c>
    </row>
    <row r="5340" spans="1:28" x14ac:dyDescent="0.25">
      <c r="A5340" t="s">
        <v>5344</v>
      </c>
      <c r="B5340">
        <v>0.99472303558308395</v>
      </c>
      <c r="C5340">
        <v>0.89108365421330804</v>
      </c>
      <c r="D5340">
        <v>0.84952726378463805</v>
      </c>
      <c r="E5340">
        <v>0.396121885266708</v>
      </c>
      <c r="F5340">
        <v>0.14621391727049499</v>
      </c>
      <c r="G5340">
        <v>6.7552814919027801E-2</v>
      </c>
      <c r="H5340">
        <v>4.32851151146963E-2</v>
      </c>
      <c r="I5340">
        <v>2.9012830999340499E-2</v>
      </c>
      <c r="J5340">
        <v>3.2783215858714E-2</v>
      </c>
      <c r="K5340">
        <v>2.9486255437832402E-2</v>
      </c>
      <c r="L5340">
        <v>1038.5798944592</v>
      </c>
      <c r="M5340">
        <v>22.722671065652701</v>
      </c>
      <c r="N5340">
        <v>45.8353043219306</v>
      </c>
      <c r="O5340">
        <v>45.357163574242399</v>
      </c>
      <c r="P5340">
        <v>-0.121379560742066</v>
      </c>
      <c r="Q5340">
        <v>3.0866357051445002E-2</v>
      </c>
      <c r="R5340">
        <v>0.995114022016655</v>
      </c>
      <c r="S5340" t="s">
        <v>11908</v>
      </c>
      <c r="T5340" t="s">
        <v>13134</v>
      </c>
      <c r="U5340" t="s">
        <v>13134</v>
      </c>
      <c r="V5340" t="s">
        <v>13134</v>
      </c>
      <c r="W5340" t="s">
        <v>18410</v>
      </c>
      <c r="X5340">
        <v>42</v>
      </c>
      <c r="Y5340" t="s">
        <v>24777</v>
      </c>
      <c r="Z5340" t="s">
        <v>31308</v>
      </c>
      <c r="AA5340">
        <v>0.321881492342807</v>
      </c>
      <c r="AB5340" t="str">
        <f>HYPERLINK("Melting_Curves/meltCurve_Q9BSJ8_2_ESYT1.pdf", "Melting_Curves/meltCurve_Q9BSJ8_2_ESYT1.pdf")</f>
        <v>Melting_Curves/meltCurve_Q9BSJ8_2_ESYT1.pdf</v>
      </c>
    </row>
    <row r="5341" spans="1:28" x14ac:dyDescent="0.25">
      <c r="A5341" t="s">
        <v>5345</v>
      </c>
      <c r="B5341">
        <v>0.99472303558308395</v>
      </c>
      <c r="C5341">
        <v>0.87637130169459199</v>
      </c>
      <c r="D5341">
        <v>1.05178907993972</v>
      </c>
      <c r="E5341">
        <v>0.63521933429438304</v>
      </c>
      <c r="F5341">
        <v>0.39316715615922998</v>
      </c>
      <c r="G5341">
        <v>0.38552595013865998</v>
      </c>
      <c r="H5341">
        <v>0.18898885446706501</v>
      </c>
      <c r="I5341">
        <v>0.28414645267609001</v>
      </c>
      <c r="J5341">
        <v>0.24410452511095401</v>
      </c>
      <c r="K5341">
        <v>0.147315747637591</v>
      </c>
      <c r="L5341">
        <v>1057.03336848652</v>
      </c>
      <c r="M5341">
        <v>22.300573007496698</v>
      </c>
      <c r="N5341">
        <v>48.747108195150403</v>
      </c>
      <c r="O5341">
        <v>47.023176391093401</v>
      </c>
      <c r="P5341">
        <v>-9.1282733594290996E-2</v>
      </c>
      <c r="Q5341">
        <v>0.230098179868723</v>
      </c>
      <c r="R5341">
        <v>0.948873165099413</v>
      </c>
      <c r="S5341" t="s">
        <v>11909</v>
      </c>
      <c r="T5341" t="s">
        <v>13134</v>
      </c>
      <c r="U5341" t="s">
        <v>13134</v>
      </c>
      <c r="V5341" t="s">
        <v>13134</v>
      </c>
      <c r="W5341" t="s">
        <v>18411</v>
      </c>
      <c r="X5341">
        <v>4</v>
      </c>
      <c r="Y5341" t="s">
        <v>24778</v>
      </c>
      <c r="Z5341" t="s">
        <v>31309</v>
      </c>
      <c r="AA5341">
        <v>0.50514167240100027</v>
      </c>
      <c r="AB5341" t="str">
        <f>HYPERLINK("Melting_Curves/meltCurve_Q9BSK2_SLC25A33.pdf", "Melting_Curves/meltCurve_Q9BSK2_SLC25A33.pdf")</f>
        <v>Melting_Curves/meltCurve_Q9BSK2_SLC25A33.pdf</v>
      </c>
    </row>
    <row r="5342" spans="1:28" x14ac:dyDescent="0.25">
      <c r="A5342" t="s">
        <v>5346</v>
      </c>
      <c r="B5342">
        <v>0.99472303558308395</v>
      </c>
      <c r="C5342">
        <v>0.82568037939146399</v>
      </c>
      <c r="D5342">
        <v>1.01787483712495</v>
      </c>
      <c r="E5342">
        <v>0.69638093846917404</v>
      </c>
      <c r="F5342">
        <v>0.25982679560748601</v>
      </c>
      <c r="G5342">
        <v>0.13268099409151499</v>
      </c>
      <c r="H5342">
        <v>6.5530075529066395E-2</v>
      </c>
      <c r="I5342">
        <v>6.16823838966385E-2</v>
      </c>
      <c r="J5342">
        <v>6.1128133290605603E-2</v>
      </c>
      <c r="K5342">
        <v>5.4815342316291697E-2</v>
      </c>
      <c r="L5342">
        <v>1338.1240523240899</v>
      </c>
      <c r="M5342">
        <v>27.943251800298299</v>
      </c>
      <c r="N5342">
        <v>48.1193519786951</v>
      </c>
      <c r="O5342">
        <v>47.643959016252403</v>
      </c>
      <c r="P5342">
        <v>-0.137380551584877</v>
      </c>
      <c r="Q5342">
        <v>6.3058718450204401E-2</v>
      </c>
      <c r="R5342">
        <v>0.978555720470485</v>
      </c>
      <c r="S5342" t="s">
        <v>11910</v>
      </c>
      <c r="T5342" t="s">
        <v>13134</v>
      </c>
      <c r="U5342" t="s">
        <v>13134</v>
      </c>
      <c r="V5342" t="s">
        <v>13134</v>
      </c>
      <c r="W5342" t="s">
        <v>18412</v>
      </c>
      <c r="X5342">
        <v>18</v>
      </c>
      <c r="Y5342" t="s">
        <v>24779</v>
      </c>
      <c r="Z5342" t="s">
        <v>31310</v>
      </c>
      <c r="AA5342">
        <v>0.40946628608575558</v>
      </c>
      <c r="AB5342" t="str">
        <f>HYPERLINK("Melting_Curves/meltCurve_Q9BSL1_UBAC1.pdf", "Melting_Curves/meltCurve_Q9BSL1_UBAC1.pdf")</f>
        <v>Melting_Curves/meltCurve_Q9BSL1_UBAC1.pdf</v>
      </c>
    </row>
    <row r="5343" spans="1:28" x14ac:dyDescent="0.25">
      <c r="A5343" t="s">
        <v>5347</v>
      </c>
      <c r="B5343">
        <v>0.99472303558308395</v>
      </c>
      <c r="C5343">
        <v>0.92877763858318496</v>
      </c>
      <c r="D5343">
        <v>0.87739091658369905</v>
      </c>
      <c r="E5343">
        <v>0.82445084777330102</v>
      </c>
      <c r="F5343">
        <v>0.71911487462689005</v>
      </c>
      <c r="G5343">
        <v>0.50332185885689795</v>
      </c>
      <c r="H5343">
        <v>0.36003844651956302</v>
      </c>
      <c r="I5343">
        <v>0.307206760970066</v>
      </c>
      <c r="J5343">
        <v>0.27338479068939397</v>
      </c>
      <c r="K5343">
        <v>0.25189200927566402</v>
      </c>
      <c r="L5343">
        <v>540.47245777843796</v>
      </c>
      <c r="M5343">
        <v>10.3404369087609</v>
      </c>
      <c r="N5343">
        <v>54.245805322605001</v>
      </c>
      <c r="O5343">
        <v>50.426318127121398</v>
      </c>
      <c r="P5343">
        <v>-4.3232075720402198E-2</v>
      </c>
      <c r="Q5343">
        <v>0.15705611592662</v>
      </c>
      <c r="R5343">
        <v>0.98997432148526798</v>
      </c>
      <c r="S5343" t="s">
        <v>11911</v>
      </c>
      <c r="T5343" t="s">
        <v>13134</v>
      </c>
      <c r="U5343" t="s">
        <v>13134</v>
      </c>
      <c r="V5343" t="s">
        <v>13134</v>
      </c>
      <c r="W5343" t="s">
        <v>18413</v>
      </c>
      <c r="X5343">
        <v>4</v>
      </c>
      <c r="Y5343" t="s">
        <v>24780</v>
      </c>
      <c r="Z5343" t="s">
        <v>31311</v>
      </c>
      <c r="AA5343">
        <v>0.60729625481148475</v>
      </c>
      <c r="AB5343" t="str">
        <f>HYPERLINK("Melting_Curves/meltCurve_Q9BSR8_YIPF4.pdf", "Melting_Curves/meltCurve_Q9BSR8_YIPF4.pdf")</f>
        <v>Melting_Curves/meltCurve_Q9BSR8_YIPF4.pdf</v>
      </c>
    </row>
    <row r="5344" spans="1:28" x14ac:dyDescent="0.25">
      <c r="A5344" t="s">
        <v>5348</v>
      </c>
      <c r="B5344">
        <v>0.99472303558308395</v>
      </c>
      <c r="C5344">
        <v>1.0151210165387501</v>
      </c>
      <c r="D5344">
        <v>0.95543051582890404</v>
      </c>
      <c r="E5344">
        <v>0.74055906801485505</v>
      </c>
      <c r="F5344">
        <v>0.32624863218144801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1323.0154955744599</v>
      </c>
      <c r="M5344">
        <v>27.254391495275701</v>
      </c>
      <c r="N5344">
        <v>48.543205092136702</v>
      </c>
      <c r="O5344">
        <v>48.284123827420103</v>
      </c>
      <c r="P5344">
        <v>-0.14111601947930599</v>
      </c>
      <c r="Q5344">
        <v>0</v>
      </c>
      <c r="R5344">
        <v>0.99657543133651805</v>
      </c>
      <c r="S5344" t="s">
        <v>11912</v>
      </c>
      <c r="T5344" t="s">
        <v>13134</v>
      </c>
      <c r="U5344" t="s">
        <v>13134</v>
      </c>
      <c r="V5344" t="s">
        <v>13134</v>
      </c>
      <c r="W5344" t="s">
        <v>18414</v>
      </c>
      <c r="X5344">
        <v>8</v>
      </c>
      <c r="Y5344" t="s">
        <v>24781</v>
      </c>
      <c r="Z5344" t="s">
        <v>31312</v>
      </c>
      <c r="AA5344">
        <v>0.39201656044520161</v>
      </c>
      <c r="AB5344" t="str">
        <f>HYPERLINK("Melting_Curves/meltCurve_Q9BSU3_NAA11.pdf", "Melting_Curves/meltCurve_Q9BSU3_NAA11.pdf")</f>
        <v>Melting_Curves/meltCurve_Q9BSU3_NAA11.pdf</v>
      </c>
    </row>
    <row r="5345" spans="1:28" x14ac:dyDescent="0.25">
      <c r="A5345" t="s">
        <v>5349</v>
      </c>
      <c r="B5345">
        <v>0.99472303558308395</v>
      </c>
      <c r="C5345">
        <v>0.95446684905123602</v>
      </c>
      <c r="D5345">
        <v>0.74151360031595204</v>
      </c>
      <c r="E5345">
        <v>0.60805213378801903</v>
      </c>
      <c r="F5345">
        <v>0.37675448222211899</v>
      </c>
      <c r="G5345">
        <v>0.16795202061431</v>
      </c>
      <c r="H5345">
        <v>9.1574656866344098E-2</v>
      </c>
      <c r="I5345">
        <v>6.1365016138024503E-2</v>
      </c>
      <c r="J5345">
        <v>8.6029110458569993E-2</v>
      </c>
      <c r="K5345">
        <v>7.4791229353661295E-2</v>
      </c>
      <c r="L5345">
        <v>631.300000530234</v>
      </c>
      <c r="M5345">
        <v>13.3027466764206</v>
      </c>
      <c r="N5345">
        <v>47.695397028533698</v>
      </c>
      <c r="O5345">
        <v>46.422411625894398</v>
      </c>
      <c r="P5345">
        <v>-6.9340678282732895E-2</v>
      </c>
      <c r="Q5345">
        <v>3.2247392354455701E-2</v>
      </c>
      <c r="R5345">
        <v>0.99204086904890998</v>
      </c>
      <c r="S5345" t="s">
        <v>11913</v>
      </c>
      <c r="T5345" t="s">
        <v>13134</v>
      </c>
      <c r="U5345" t="s">
        <v>13134</v>
      </c>
      <c r="V5345" t="s">
        <v>13134</v>
      </c>
      <c r="W5345" t="s">
        <v>18415</v>
      </c>
      <c r="X5345">
        <v>5</v>
      </c>
      <c r="Y5345" t="s">
        <v>24782</v>
      </c>
      <c r="Z5345" t="s">
        <v>31313</v>
      </c>
      <c r="AA5345">
        <v>0.39597535219450869</v>
      </c>
      <c r="AB5345" t="str">
        <f>HYPERLINK("Melting_Curves/meltCurve_Q9BSV6_TSEN34.pdf", "Melting_Curves/meltCurve_Q9BSV6_TSEN34.pdf")</f>
        <v>Melting_Curves/meltCurve_Q9BSV6_TSEN34.pdf</v>
      </c>
    </row>
    <row r="5346" spans="1:28" x14ac:dyDescent="0.25">
      <c r="A5346" t="s">
        <v>5350</v>
      </c>
      <c r="B5346">
        <v>0.99472303558308395</v>
      </c>
      <c r="C5346">
        <v>1.06952626769273</v>
      </c>
      <c r="D5346">
        <v>0.87638056801645503</v>
      </c>
      <c r="E5346">
        <v>0.77843633837762405</v>
      </c>
      <c r="F5346">
        <v>0.43830158214026599</v>
      </c>
      <c r="G5346">
        <v>0.19308894016567499</v>
      </c>
      <c r="H5346">
        <v>9.7510181550474001E-2</v>
      </c>
      <c r="I5346">
        <v>6.3709770202075897E-2</v>
      </c>
      <c r="J5346">
        <v>8.8387042613115196E-2</v>
      </c>
      <c r="K5346">
        <v>6.5556062191149705E-2</v>
      </c>
      <c r="L5346">
        <v>965.91789710556998</v>
      </c>
      <c r="M5346">
        <v>19.651218781119201</v>
      </c>
      <c r="N5346">
        <v>49.453457331230702</v>
      </c>
      <c r="O5346">
        <v>48.6525727808746</v>
      </c>
      <c r="P5346">
        <v>-9.5300027925579595E-2</v>
      </c>
      <c r="Q5346">
        <v>5.6256227972941303E-2</v>
      </c>
      <c r="R5346">
        <v>0.99211348556647305</v>
      </c>
      <c r="S5346" t="s">
        <v>11914</v>
      </c>
      <c r="T5346" t="s">
        <v>13134</v>
      </c>
      <c r="U5346" t="s">
        <v>13134</v>
      </c>
      <c r="V5346" t="s">
        <v>13134</v>
      </c>
      <c r="W5346" t="s">
        <v>18416</v>
      </c>
      <c r="X5346">
        <v>7</v>
      </c>
      <c r="Y5346" t="s">
        <v>24783</v>
      </c>
      <c r="Z5346" t="s">
        <v>31314</v>
      </c>
      <c r="AA5346">
        <v>0.45140677424760228</v>
      </c>
      <c r="AB5346" t="str">
        <f>HYPERLINK("Melting_Curves/meltCurve_Q9BSW2_2_EFCAB4B.pdf", "Melting_Curves/meltCurve_Q9BSW2_2_EFCAB4B.pdf")</f>
        <v>Melting_Curves/meltCurve_Q9BSW2_2_EFCAB4B.pdf</v>
      </c>
    </row>
    <row r="5347" spans="1:28" x14ac:dyDescent="0.25">
      <c r="A5347" t="s">
        <v>5351</v>
      </c>
      <c r="B5347">
        <v>0.99472303558308395</v>
      </c>
      <c r="C5347">
        <v>1.02293129728112</v>
      </c>
      <c r="D5347">
        <v>0.986495855201453</v>
      </c>
      <c r="E5347">
        <v>0.89603659312157002</v>
      </c>
      <c r="F5347">
        <v>0.74109603714567895</v>
      </c>
      <c r="G5347">
        <v>0.589249255670519</v>
      </c>
      <c r="H5347">
        <v>0.50843153063991997</v>
      </c>
      <c r="I5347">
        <v>0.56033361064869203</v>
      </c>
      <c r="J5347">
        <v>0.78479425219378796</v>
      </c>
      <c r="K5347">
        <v>0.59397492742413305</v>
      </c>
      <c r="L5347">
        <v>1461.2110473882899</v>
      </c>
      <c r="M5347">
        <v>30.103763460247801</v>
      </c>
      <c r="O5347">
        <v>48.326466597144503</v>
      </c>
      <c r="P5347">
        <v>-6.1295210533043702E-2</v>
      </c>
      <c r="Q5347">
        <v>0.606406433945884</v>
      </c>
      <c r="R5347">
        <v>0.86596131455541503</v>
      </c>
      <c r="S5347" t="s">
        <v>11915</v>
      </c>
      <c r="T5347" t="s">
        <v>13134</v>
      </c>
      <c r="U5347" t="s">
        <v>13134</v>
      </c>
      <c r="V5347" t="s">
        <v>13134</v>
      </c>
      <c r="W5347" t="s">
        <v>18417</v>
      </c>
      <c r="X5347">
        <v>8</v>
      </c>
      <c r="Y5347" t="s">
        <v>24784</v>
      </c>
      <c r="Z5347" t="s">
        <v>31315</v>
      </c>
      <c r="AA5347">
        <v>0.76013579543127541</v>
      </c>
      <c r="AB5347" t="str">
        <f>HYPERLINK("Melting_Curves/meltCurve_Q9BSY4_CHCHD5.pdf", "Melting_Curves/meltCurve_Q9BSY4_CHCHD5.pdf")</f>
        <v>Melting_Curves/meltCurve_Q9BSY4_CHCHD5.pdf</v>
      </c>
    </row>
    <row r="5348" spans="1:28" x14ac:dyDescent="0.25">
      <c r="A5348" t="s">
        <v>5352</v>
      </c>
      <c r="B5348">
        <v>0.99472303558308395</v>
      </c>
      <c r="C5348">
        <v>1.0024419991451301</v>
      </c>
      <c r="D5348">
        <v>0.90127854978079303</v>
      </c>
      <c r="E5348">
        <v>0.86073615124443104</v>
      </c>
      <c r="F5348">
        <v>0.69987302040648802</v>
      </c>
      <c r="G5348">
        <v>0.51237451370492404</v>
      </c>
      <c r="H5348">
        <v>0.40581603040418501</v>
      </c>
      <c r="I5348">
        <v>0.44319844557358901</v>
      </c>
      <c r="J5348">
        <v>0.59818575546708996</v>
      </c>
      <c r="K5348">
        <v>0.46390245191892698</v>
      </c>
      <c r="L5348">
        <v>1017.09955666378</v>
      </c>
      <c r="M5348">
        <v>20.8279958158627</v>
      </c>
      <c r="N5348">
        <v>56.4095111611852</v>
      </c>
      <c r="O5348">
        <v>48.389810930983799</v>
      </c>
      <c r="P5348">
        <v>-5.7084625178707202E-2</v>
      </c>
      <c r="Q5348">
        <v>0.46951446129067598</v>
      </c>
      <c r="R5348">
        <v>0.93709498915211398</v>
      </c>
      <c r="S5348" t="s">
        <v>11916</v>
      </c>
      <c r="T5348" t="s">
        <v>13134</v>
      </c>
      <c r="U5348" t="s">
        <v>13134</v>
      </c>
      <c r="V5348" t="s">
        <v>13134</v>
      </c>
      <c r="W5348" t="s">
        <v>18418</v>
      </c>
      <c r="X5348">
        <v>10</v>
      </c>
      <c r="Y5348" t="s">
        <v>24785</v>
      </c>
      <c r="Z5348" t="s">
        <v>31316</v>
      </c>
      <c r="AA5348">
        <v>0.68524286839103299</v>
      </c>
      <c r="AB5348" t="str">
        <f>HYPERLINK("Melting_Curves/meltCurve_Q9BT09_CNPY3.pdf", "Melting_Curves/meltCurve_Q9BT09_CNPY3.pdf")</f>
        <v>Melting_Curves/meltCurve_Q9BT09_CNPY3.pdf</v>
      </c>
    </row>
    <row r="5349" spans="1:28" x14ac:dyDescent="0.25">
      <c r="A5349" t="s">
        <v>5353</v>
      </c>
      <c r="B5349">
        <v>0.99472303558308395</v>
      </c>
      <c r="C5349">
        <v>0.95998158288436197</v>
      </c>
      <c r="D5349">
        <v>0.74193008923460102</v>
      </c>
      <c r="E5349">
        <v>0.69966528814010798</v>
      </c>
      <c r="F5349">
        <v>0.81015708627676497</v>
      </c>
      <c r="G5349">
        <v>0.40500246724508498</v>
      </c>
      <c r="H5349">
        <v>0.30364779693078298</v>
      </c>
      <c r="I5349">
        <v>0.116360336702562</v>
      </c>
      <c r="J5349">
        <v>7.6706823109324904E-2</v>
      </c>
      <c r="K5349">
        <v>0.100993956972285</v>
      </c>
      <c r="L5349">
        <v>534.23865374710397</v>
      </c>
      <c r="M5349">
        <v>10.207725437200001</v>
      </c>
      <c r="N5349">
        <v>52.336699000049897</v>
      </c>
      <c r="O5349">
        <v>50.447339355747197</v>
      </c>
      <c r="P5349">
        <v>-5.0608797572557498E-2</v>
      </c>
      <c r="Q5349">
        <v>0</v>
      </c>
      <c r="R5349">
        <v>0.92994475857993097</v>
      </c>
      <c r="S5349" t="s">
        <v>11917</v>
      </c>
      <c r="T5349" t="s">
        <v>13134</v>
      </c>
      <c r="U5349" t="s">
        <v>13134</v>
      </c>
      <c r="V5349" t="s">
        <v>13134</v>
      </c>
      <c r="W5349" t="s">
        <v>18419</v>
      </c>
      <c r="X5349">
        <v>6</v>
      </c>
      <c r="Y5349" t="s">
        <v>24786</v>
      </c>
      <c r="Z5349" t="s">
        <v>31317</v>
      </c>
      <c r="AA5349">
        <v>0.5362960531728862</v>
      </c>
      <c r="AB5349" t="str">
        <f>HYPERLINK("Melting_Curves/meltCurve_Q9BT22_ALG1.pdf", "Melting_Curves/meltCurve_Q9BT22_ALG1.pdf")</f>
        <v>Melting_Curves/meltCurve_Q9BT22_ALG1.pdf</v>
      </c>
    </row>
    <row r="5350" spans="1:28" x14ac:dyDescent="0.25">
      <c r="A5350" t="s">
        <v>5354</v>
      </c>
      <c r="B5350">
        <v>0.99472303558308395</v>
      </c>
      <c r="C5350">
        <v>1.11484108424423</v>
      </c>
      <c r="D5350">
        <v>1.0040810129676401</v>
      </c>
      <c r="E5350">
        <v>0.85697762303967295</v>
      </c>
      <c r="F5350">
        <v>0.48420814278191998</v>
      </c>
      <c r="G5350">
        <v>0.47533895295893003</v>
      </c>
      <c r="H5350">
        <v>0.41500093137838001</v>
      </c>
      <c r="I5350">
        <v>0.30969547442386902</v>
      </c>
      <c r="J5350">
        <v>0.40934184944774299</v>
      </c>
      <c r="K5350">
        <v>0.25879831792466301</v>
      </c>
      <c r="L5350">
        <v>1457.4579158460299</v>
      </c>
      <c r="M5350">
        <v>30.133617112033299</v>
      </c>
      <c r="N5350">
        <v>50.509535225563603</v>
      </c>
      <c r="O5350">
        <v>48.155001702001698</v>
      </c>
      <c r="P5350">
        <v>-0.100001519566542</v>
      </c>
      <c r="Q5350">
        <v>0.36077471098479602</v>
      </c>
      <c r="R5350">
        <v>0.95700489095060004</v>
      </c>
      <c r="S5350" t="s">
        <v>11918</v>
      </c>
      <c r="T5350" t="s">
        <v>13134</v>
      </c>
      <c r="U5350" t="s">
        <v>13134</v>
      </c>
      <c r="V5350" t="s">
        <v>13134</v>
      </c>
      <c r="W5350" t="s">
        <v>18420</v>
      </c>
      <c r="X5350">
        <v>3</v>
      </c>
      <c r="Y5350" t="s">
        <v>24787</v>
      </c>
      <c r="Z5350" t="s">
        <v>31318</v>
      </c>
      <c r="AA5350">
        <v>0.60674462778327709</v>
      </c>
      <c r="AB5350" t="str">
        <f>HYPERLINK("Melting_Curves/meltCurve_Q9BT23_LIMD2.pdf", "Melting_Curves/meltCurve_Q9BT23_LIMD2.pdf")</f>
        <v>Melting_Curves/meltCurve_Q9BT23_LIMD2.pdf</v>
      </c>
    </row>
    <row r="5351" spans="1:28" x14ac:dyDescent="0.25">
      <c r="A5351" t="s">
        <v>5355</v>
      </c>
      <c r="B5351">
        <v>0.99472303558308395</v>
      </c>
      <c r="C5351">
        <v>1.05548332318534</v>
      </c>
      <c r="D5351">
        <v>0.84315600707620597</v>
      </c>
      <c r="E5351">
        <v>0.61340556517605105</v>
      </c>
      <c r="F5351">
        <v>0.47072924538044802</v>
      </c>
      <c r="G5351">
        <v>0.31270317305080603</v>
      </c>
      <c r="H5351">
        <v>0.22153014360048001</v>
      </c>
      <c r="I5351">
        <v>0.21799709962487701</v>
      </c>
      <c r="J5351">
        <v>0.10802006064528299</v>
      </c>
      <c r="K5351">
        <v>5.6027815439028801E-2</v>
      </c>
      <c r="L5351">
        <v>596.83056075414902</v>
      </c>
      <c r="M5351">
        <v>12.2251185197846</v>
      </c>
      <c r="N5351">
        <v>49.514461653537701</v>
      </c>
      <c r="O5351">
        <v>47.5688401081932</v>
      </c>
      <c r="P5351">
        <v>-5.9201199044350498E-2</v>
      </c>
      <c r="Q5351">
        <v>7.8781667340062894E-2</v>
      </c>
      <c r="R5351">
        <v>0.98049110805085504</v>
      </c>
      <c r="S5351" t="s">
        <v>11919</v>
      </c>
      <c r="T5351" t="s">
        <v>13134</v>
      </c>
      <c r="U5351" t="s">
        <v>13134</v>
      </c>
      <c r="V5351" t="s">
        <v>13134</v>
      </c>
      <c r="W5351" t="s">
        <v>18421</v>
      </c>
      <c r="X5351">
        <v>3</v>
      </c>
      <c r="Y5351" t="s">
        <v>24788</v>
      </c>
      <c r="Z5351" t="s">
        <v>31319</v>
      </c>
      <c r="AA5351">
        <v>0.46870042215581093</v>
      </c>
      <c r="AB5351" t="str">
        <f>HYPERLINK("Melting_Curves/meltCurve_Q9BT25_2_HAUS8.pdf", "Melting_Curves/meltCurve_Q9BT25_2_HAUS8.pdf")</f>
        <v>Melting_Curves/meltCurve_Q9BT25_2_HAUS8.pdf</v>
      </c>
    </row>
    <row r="5352" spans="1:28" x14ac:dyDescent="0.25">
      <c r="A5352" t="s">
        <v>5356</v>
      </c>
      <c r="B5352">
        <v>0.99472303558308395</v>
      </c>
      <c r="C5352">
        <v>1.14595597798107</v>
      </c>
      <c r="D5352">
        <v>0.74958204226505498</v>
      </c>
      <c r="E5352">
        <v>0.49673504473111901</v>
      </c>
      <c r="F5352">
        <v>0.36477874964298701</v>
      </c>
      <c r="G5352">
        <v>0.16827595747565999</v>
      </c>
      <c r="H5352">
        <v>0.17313006214217599</v>
      </c>
      <c r="I5352">
        <v>4.2767129375256299E-2</v>
      </c>
      <c r="J5352">
        <v>5.35727140332884E-2</v>
      </c>
      <c r="K5352">
        <v>0.111233626326878</v>
      </c>
      <c r="L5352">
        <v>774.94842786663003</v>
      </c>
      <c r="M5352">
        <v>16.613395935941899</v>
      </c>
      <c r="N5352">
        <v>47.1536833210913</v>
      </c>
      <c r="O5352">
        <v>45.985869000200999</v>
      </c>
      <c r="P5352">
        <v>-8.2927180509590498E-2</v>
      </c>
      <c r="Q5352">
        <v>8.1892605893873302E-2</v>
      </c>
      <c r="R5352">
        <v>0.959902173939991</v>
      </c>
      <c r="S5352" t="s">
        <v>11920</v>
      </c>
      <c r="T5352" t="s">
        <v>13134</v>
      </c>
      <c r="U5352" t="s">
        <v>13134</v>
      </c>
      <c r="V5352" t="s">
        <v>13134</v>
      </c>
      <c r="W5352" t="s">
        <v>18422</v>
      </c>
      <c r="X5352">
        <v>3</v>
      </c>
      <c r="Y5352" t="s">
        <v>24789</v>
      </c>
      <c r="Z5352" t="s">
        <v>31320</v>
      </c>
      <c r="AA5352">
        <v>0.39431771913383901</v>
      </c>
      <c r="AB5352" t="str">
        <f>HYPERLINK("Melting_Curves/meltCurve_Q9BT30_ALKBH7.pdf", "Melting_Curves/meltCurve_Q9BT30_ALKBH7.pdf")</f>
        <v>Melting_Curves/meltCurve_Q9BT30_ALKBH7.pdf</v>
      </c>
    </row>
    <row r="5353" spans="1:28" x14ac:dyDescent="0.25">
      <c r="A5353" t="s">
        <v>5357</v>
      </c>
      <c r="B5353">
        <v>0.99472303558308395</v>
      </c>
      <c r="C5353">
        <v>1.0587847595065301</v>
      </c>
      <c r="D5353">
        <v>0.92089725109051102</v>
      </c>
      <c r="E5353">
        <v>0.85168283496394703</v>
      </c>
      <c r="F5353">
        <v>0.79582088433835696</v>
      </c>
      <c r="G5353">
        <v>0.57863342564895903</v>
      </c>
      <c r="H5353">
        <v>0.67096920514343605</v>
      </c>
      <c r="I5353">
        <v>0.72951988441453297</v>
      </c>
      <c r="J5353">
        <v>0.92080206512312301</v>
      </c>
      <c r="K5353">
        <v>0.63768329068086704</v>
      </c>
      <c r="L5353">
        <v>1150.5824210124699</v>
      </c>
      <c r="M5353">
        <v>24.9241226874103</v>
      </c>
      <c r="O5353">
        <v>45.869311080670101</v>
      </c>
      <c r="P5353">
        <v>-3.8744092302689201E-2</v>
      </c>
      <c r="Q5353">
        <v>0.714791867650589</v>
      </c>
      <c r="R5353">
        <v>0.65616550723442202</v>
      </c>
      <c r="S5353" t="s">
        <v>11921</v>
      </c>
      <c r="T5353" t="s">
        <v>13134</v>
      </c>
      <c r="U5353" t="s">
        <v>13134</v>
      </c>
      <c r="V5353" t="s">
        <v>13134</v>
      </c>
      <c r="W5353" t="s">
        <v>18423</v>
      </c>
      <c r="X5353">
        <v>5</v>
      </c>
      <c r="Y5353" t="s">
        <v>24790</v>
      </c>
      <c r="Z5353" t="s">
        <v>31321</v>
      </c>
      <c r="AA5353">
        <v>0.80429053776061443</v>
      </c>
      <c r="AB5353" t="str">
        <f>HYPERLINK("Melting_Curves/meltCurve_Q9BT73_PSMG3.pdf", "Melting_Curves/meltCurve_Q9BT73_PSMG3.pdf")</f>
        <v>Melting_Curves/meltCurve_Q9BT73_PSMG3.pdf</v>
      </c>
    </row>
    <row r="5354" spans="1:28" x14ac:dyDescent="0.25">
      <c r="A5354" t="s">
        <v>5358</v>
      </c>
      <c r="B5354">
        <v>0.99472303558308395</v>
      </c>
      <c r="C5354">
        <v>0.91660075666232199</v>
      </c>
      <c r="D5354">
        <v>0.80079777959542098</v>
      </c>
      <c r="E5354">
        <v>0.71051270851574999</v>
      </c>
      <c r="F5354">
        <v>0.70284173434643604</v>
      </c>
      <c r="G5354">
        <v>0.349808670710265</v>
      </c>
      <c r="H5354">
        <v>8.2143963107308496E-2</v>
      </c>
      <c r="I5354">
        <v>5.3823863159885098E-2</v>
      </c>
      <c r="J5354">
        <v>5.5538510801648303E-2</v>
      </c>
      <c r="K5354">
        <v>4.8620173233018801E-2</v>
      </c>
      <c r="L5354">
        <v>662.84833086192498</v>
      </c>
      <c r="M5354">
        <v>13.012912576251599</v>
      </c>
      <c r="N5354">
        <v>50.9377387714555</v>
      </c>
      <c r="O5354">
        <v>49.779817506078402</v>
      </c>
      <c r="P5354">
        <v>-6.5363844282348094E-2</v>
      </c>
      <c r="Q5354">
        <v>0</v>
      </c>
      <c r="R5354">
        <v>0.957701469563767</v>
      </c>
      <c r="S5354" t="s">
        <v>11922</v>
      </c>
      <c r="T5354" t="s">
        <v>13134</v>
      </c>
      <c r="U5354" t="s">
        <v>13134</v>
      </c>
      <c r="V5354" t="s">
        <v>13134</v>
      </c>
      <c r="W5354" t="s">
        <v>18424</v>
      </c>
      <c r="X5354">
        <v>23</v>
      </c>
      <c r="Y5354" t="s">
        <v>24791</v>
      </c>
      <c r="Z5354" t="s">
        <v>31322</v>
      </c>
      <c r="AA5354">
        <v>0.48859703331416687</v>
      </c>
      <c r="AB5354" t="str">
        <f>HYPERLINK("Melting_Curves/meltCurve_Q9BT78_COPS4.pdf", "Melting_Curves/meltCurve_Q9BT78_COPS4.pdf")</f>
        <v>Melting_Curves/meltCurve_Q9BT78_COPS4.pdf</v>
      </c>
    </row>
    <row r="5355" spans="1:28" x14ac:dyDescent="0.25">
      <c r="A5355" t="s">
        <v>5359</v>
      </c>
      <c r="B5355">
        <v>0.99472303558308395</v>
      </c>
      <c r="C5355">
        <v>1.0411060580357101</v>
      </c>
      <c r="D5355">
        <v>0.799487642976068</v>
      </c>
      <c r="E5355">
        <v>0.29940782495367402</v>
      </c>
      <c r="F5355">
        <v>0.118529734167266</v>
      </c>
      <c r="G5355">
        <v>7.7766164317821004E-2</v>
      </c>
      <c r="H5355">
        <v>5.4979801531573003E-2</v>
      </c>
      <c r="I5355">
        <v>5.0108551522190299E-2</v>
      </c>
      <c r="J5355">
        <v>6.1088207526547297E-2</v>
      </c>
      <c r="K5355">
        <v>5.4538187314663901E-2</v>
      </c>
      <c r="L5355">
        <v>1362.19231955944</v>
      </c>
      <c r="M5355">
        <v>30.3034327329914</v>
      </c>
      <c r="N5355">
        <v>45.146806258019403</v>
      </c>
      <c r="O5355">
        <v>44.757351743573999</v>
      </c>
      <c r="P5355">
        <v>-0.15888096257346901</v>
      </c>
      <c r="Q5355">
        <v>6.13542502126714E-2</v>
      </c>
      <c r="R5355">
        <v>0.997098313927132</v>
      </c>
      <c r="S5355" t="s">
        <v>11923</v>
      </c>
      <c r="T5355" t="s">
        <v>13134</v>
      </c>
      <c r="U5355" t="s">
        <v>13134</v>
      </c>
      <c r="V5355" t="s">
        <v>13134</v>
      </c>
      <c r="W5355" t="s">
        <v>18425</v>
      </c>
      <c r="X5355">
        <v>6</v>
      </c>
      <c r="Y5355" t="s">
        <v>24792</v>
      </c>
      <c r="Z5355" t="s">
        <v>31323</v>
      </c>
      <c r="AA5355">
        <v>0.31530635258842349</v>
      </c>
      <c r="AB5355" t="str">
        <f>HYPERLINK("Melting_Curves/meltCurve_Q9BTA9_2_WAC.pdf", "Melting_Curves/meltCurve_Q9BTA9_2_WAC.pdf")</f>
        <v>Melting_Curves/meltCurve_Q9BTA9_2_WAC.pdf</v>
      </c>
    </row>
    <row r="5356" spans="1:28" x14ac:dyDescent="0.25">
      <c r="A5356" t="s">
        <v>5360</v>
      </c>
      <c r="B5356">
        <v>0.99472303558308395</v>
      </c>
      <c r="C5356">
        <v>0.97894730743882696</v>
      </c>
      <c r="D5356">
        <v>0.855304253153925</v>
      </c>
      <c r="E5356">
        <v>0.56319616102673598</v>
      </c>
      <c r="F5356">
        <v>0.25462388021844601</v>
      </c>
      <c r="G5356">
        <v>0.13849655295174401</v>
      </c>
      <c r="H5356">
        <v>9.1295643865439396E-2</v>
      </c>
      <c r="I5356">
        <v>7.8904301080718997E-2</v>
      </c>
      <c r="J5356">
        <v>9.1311475098282593E-2</v>
      </c>
      <c r="K5356">
        <v>7.0932425640183094E-2</v>
      </c>
      <c r="L5356">
        <v>942.38798127240295</v>
      </c>
      <c r="M5356">
        <v>20.145241732281999</v>
      </c>
      <c r="N5356">
        <v>47.154339985028798</v>
      </c>
      <c r="O5356">
        <v>46.326038925274702</v>
      </c>
      <c r="P5356">
        <v>-0.100677772170469</v>
      </c>
      <c r="Q5356">
        <v>7.3954054058797306E-2</v>
      </c>
      <c r="R5356">
        <v>0.99964651222232104</v>
      </c>
      <c r="S5356" t="s">
        <v>11924</v>
      </c>
      <c r="T5356" t="s">
        <v>13134</v>
      </c>
      <c r="U5356" t="s">
        <v>13134</v>
      </c>
      <c r="V5356" t="s">
        <v>13134</v>
      </c>
      <c r="W5356" t="s">
        <v>18426</v>
      </c>
      <c r="X5356">
        <v>20</v>
      </c>
      <c r="Y5356" t="s">
        <v>24793</v>
      </c>
      <c r="Z5356" t="s">
        <v>31324</v>
      </c>
      <c r="AA5356">
        <v>0.38777937819804648</v>
      </c>
      <c r="AB5356" t="str">
        <f>HYPERLINK("Melting_Curves/meltCurve_Q9BTC0_DIDO1.pdf", "Melting_Curves/meltCurve_Q9BTC0_DIDO1.pdf")</f>
        <v>Melting_Curves/meltCurve_Q9BTC0_DIDO1.pdf</v>
      </c>
    </row>
    <row r="5357" spans="1:28" x14ac:dyDescent="0.25">
      <c r="A5357" t="s">
        <v>5361</v>
      </c>
      <c r="B5357">
        <v>0.99472303558308395</v>
      </c>
      <c r="C5357">
        <v>0.94914161279407006</v>
      </c>
      <c r="D5357">
        <v>0.85146407636647603</v>
      </c>
      <c r="E5357">
        <v>0.60110936683557203</v>
      </c>
      <c r="F5357">
        <v>0.25741244777542599</v>
      </c>
      <c r="G5357">
        <v>9.4323007078079002E-2</v>
      </c>
      <c r="H5357">
        <v>5.3729564328964301E-2</v>
      </c>
      <c r="I5357">
        <v>3.9598745301420497E-2</v>
      </c>
      <c r="J5357">
        <v>4.8961536127540201E-2</v>
      </c>
      <c r="K5357">
        <v>3.2076661848761297E-2</v>
      </c>
      <c r="L5357">
        <v>900.68148218382703</v>
      </c>
      <c r="M5357">
        <v>19.062948038345102</v>
      </c>
      <c r="N5357">
        <v>47.379598679429598</v>
      </c>
      <c r="O5357">
        <v>46.737028467833298</v>
      </c>
      <c r="P5357">
        <v>-9.9339002848020802E-2</v>
      </c>
      <c r="Q5357">
        <v>2.5832277587737699E-2</v>
      </c>
      <c r="R5357">
        <v>0.99855562812734899</v>
      </c>
      <c r="S5357" t="s">
        <v>11925</v>
      </c>
      <c r="T5357" t="s">
        <v>13134</v>
      </c>
      <c r="U5357" t="s">
        <v>13134</v>
      </c>
      <c r="V5357" t="s">
        <v>13134</v>
      </c>
      <c r="W5357" t="s">
        <v>18427</v>
      </c>
      <c r="X5357">
        <v>19</v>
      </c>
      <c r="Y5357" t="s">
        <v>24794</v>
      </c>
      <c r="Z5357" t="s">
        <v>31325</v>
      </c>
      <c r="AA5357">
        <v>0.37260302594088912</v>
      </c>
      <c r="AB5357" t="str">
        <f>HYPERLINK("Melting_Curves/meltCurve_Q9BTE3_2_MCMBP.pdf", "Melting_Curves/meltCurve_Q9BTE3_2_MCMBP.pdf")</f>
        <v>Melting_Curves/meltCurve_Q9BTE3_2_MCMBP.pdf</v>
      </c>
    </row>
    <row r="5358" spans="1:28" x14ac:dyDescent="0.25">
      <c r="A5358" t="s">
        <v>5362</v>
      </c>
      <c r="B5358">
        <v>0.99472303558308395</v>
      </c>
      <c r="C5358">
        <v>0.838861184018169</v>
      </c>
      <c r="D5358">
        <v>0.82782798036623595</v>
      </c>
      <c r="E5358">
        <v>0.29562140331817299</v>
      </c>
      <c r="F5358">
        <v>0.19022949282072499</v>
      </c>
      <c r="G5358">
        <v>9.1479617439983701E-2</v>
      </c>
      <c r="H5358">
        <v>7.2472252579424898E-2</v>
      </c>
      <c r="I5358">
        <v>4.6265634851388897E-2</v>
      </c>
      <c r="J5358">
        <v>5.6062979475911601E-2</v>
      </c>
      <c r="K5358">
        <v>4.7421938902694798E-2</v>
      </c>
      <c r="L5358">
        <v>993.84838046585196</v>
      </c>
      <c r="M5358">
        <v>22.091757390318801</v>
      </c>
      <c r="N5358">
        <v>45.239981161823799</v>
      </c>
      <c r="O5358">
        <v>44.623538333077597</v>
      </c>
      <c r="P5358">
        <v>-0.11658607568429</v>
      </c>
      <c r="Q5358">
        <v>5.80434263575446E-2</v>
      </c>
      <c r="R5358">
        <v>0.98187649774337205</v>
      </c>
      <c r="S5358" t="s">
        <v>11926</v>
      </c>
      <c r="T5358" t="s">
        <v>13134</v>
      </c>
      <c r="U5358" t="s">
        <v>13134</v>
      </c>
      <c r="V5358" t="s">
        <v>13134</v>
      </c>
      <c r="W5358" t="s">
        <v>18428</v>
      </c>
      <c r="X5358">
        <v>6</v>
      </c>
      <c r="Y5358" t="s">
        <v>24795</v>
      </c>
      <c r="Z5358" t="s">
        <v>31326</v>
      </c>
      <c r="AA5358">
        <v>0.31886775459430489</v>
      </c>
      <c r="AB5358" t="str">
        <f>HYPERLINK("Melting_Curves/meltCurve_Q9BTE7_DCUN1D5.pdf", "Melting_Curves/meltCurve_Q9BTE7_DCUN1D5.pdf")</f>
        <v>Melting_Curves/meltCurve_Q9BTE7_DCUN1D5.pdf</v>
      </c>
    </row>
    <row r="5359" spans="1:28" x14ac:dyDescent="0.25">
      <c r="A5359" t="s">
        <v>5363</v>
      </c>
      <c r="B5359">
        <v>0.99472303558308395</v>
      </c>
      <c r="C5359">
        <v>0.93030029675182002</v>
      </c>
      <c r="D5359">
        <v>0.87238921081304299</v>
      </c>
      <c r="E5359">
        <v>0.87553531349348301</v>
      </c>
      <c r="F5359">
        <v>0.85896837270420601</v>
      </c>
      <c r="G5359">
        <v>0.60485928951874401</v>
      </c>
      <c r="H5359">
        <v>0.53137066853841997</v>
      </c>
      <c r="I5359">
        <v>0.59403842437288001</v>
      </c>
      <c r="J5359">
        <v>0.53332621517483503</v>
      </c>
      <c r="K5359">
        <v>0.62929330445765796</v>
      </c>
      <c r="L5359">
        <v>627.79866265914802</v>
      </c>
      <c r="M5359">
        <v>12.6253269497104</v>
      </c>
      <c r="O5359">
        <v>48.527290334755001</v>
      </c>
      <c r="P5359">
        <v>-3.0137153770369199E-2</v>
      </c>
      <c r="Q5359">
        <v>0.53674523772759097</v>
      </c>
      <c r="R5359">
        <v>0.87842918340829501</v>
      </c>
      <c r="S5359" t="s">
        <v>11927</v>
      </c>
      <c r="T5359" t="s">
        <v>13134</v>
      </c>
      <c r="U5359" t="s">
        <v>13134</v>
      </c>
      <c r="V5359" t="s">
        <v>13134</v>
      </c>
      <c r="W5359" t="s">
        <v>18429</v>
      </c>
      <c r="X5359">
        <v>4</v>
      </c>
      <c r="Y5359" t="s">
        <v>24796</v>
      </c>
      <c r="Z5359" t="s">
        <v>31327</v>
      </c>
      <c r="AA5359">
        <v>0.74563560583322197</v>
      </c>
      <c r="AB5359" t="str">
        <f>HYPERLINK("Melting_Curves/meltCurve_Q9BTL3_FAM103A1.pdf", "Melting_Curves/meltCurve_Q9BTL3_FAM103A1.pdf")</f>
        <v>Melting_Curves/meltCurve_Q9BTL3_FAM103A1.pdf</v>
      </c>
    </row>
    <row r="5360" spans="1:28" x14ac:dyDescent="0.25">
      <c r="A5360" t="s">
        <v>5364</v>
      </c>
      <c r="B5360">
        <v>0.99472303558308395</v>
      </c>
      <c r="C5360">
        <v>0.87479913442597901</v>
      </c>
      <c r="D5360">
        <v>0.96877860135647298</v>
      </c>
      <c r="E5360">
        <v>0.43248382224788501</v>
      </c>
      <c r="F5360">
        <v>0.16435173321933499</v>
      </c>
      <c r="G5360">
        <v>0.105714247620476</v>
      </c>
      <c r="H5360">
        <v>7.1177092647395704E-2</v>
      </c>
      <c r="I5360">
        <v>5.7043754626240603E-2</v>
      </c>
      <c r="J5360">
        <v>6.4101236121027305E-2</v>
      </c>
      <c r="K5360">
        <v>4.6224435745331902E-2</v>
      </c>
      <c r="L5360">
        <v>1544.2749244238601</v>
      </c>
      <c r="M5360">
        <v>33.499697718149903</v>
      </c>
      <c r="N5360">
        <v>46.312811705799298</v>
      </c>
      <c r="O5360">
        <v>45.934837196266997</v>
      </c>
      <c r="P5360">
        <v>-0.169213398749546</v>
      </c>
      <c r="Q5360">
        <v>7.1901244993568703E-2</v>
      </c>
      <c r="R5360">
        <v>0.98680947521683304</v>
      </c>
      <c r="S5360" t="s">
        <v>11928</v>
      </c>
      <c r="T5360" t="s">
        <v>13134</v>
      </c>
      <c r="U5360" t="s">
        <v>13134</v>
      </c>
      <c r="V5360" t="s">
        <v>13134</v>
      </c>
      <c r="W5360" t="s">
        <v>18430</v>
      </c>
      <c r="X5360">
        <v>7</v>
      </c>
      <c r="Y5360" t="s">
        <v>24797</v>
      </c>
      <c r="Z5360" t="s">
        <v>31328</v>
      </c>
      <c r="AA5360">
        <v>0.35760586679905482</v>
      </c>
      <c r="AB5360" t="str">
        <f>HYPERLINK("Melting_Curves/meltCurve_Q9BTT0_ANP32E.pdf", "Melting_Curves/meltCurve_Q9BTT0_ANP32E.pdf")</f>
        <v>Melting_Curves/meltCurve_Q9BTT0_ANP32E.pdf</v>
      </c>
    </row>
    <row r="5361" spans="1:28" x14ac:dyDescent="0.25">
      <c r="A5361" t="s">
        <v>5365</v>
      </c>
      <c r="B5361">
        <v>0.99472303558308395</v>
      </c>
      <c r="C5361">
        <v>0.92198782693923098</v>
      </c>
      <c r="D5361">
        <v>0.85209202547355301</v>
      </c>
      <c r="E5361">
        <v>0.73713135995815204</v>
      </c>
      <c r="F5361">
        <v>0.87099239658297201</v>
      </c>
      <c r="G5361">
        <v>0.59436257937796999</v>
      </c>
      <c r="H5361">
        <v>0.428595173929332</v>
      </c>
      <c r="I5361">
        <v>0.41880204327790099</v>
      </c>
      <c r="J5361">
        <v>0.46198951028225999</v>
      </c>
      <c r="K5361">
        <v>0.355053527766025</v>
      </c>
      <c r="L5361">
        <v>377.01749200016002</v>
      </c>
      <c r="M5361">
        <v>6.9326286935481196</v>
      </c>
      <c r="N5361">
        <v>58.323719253614897</v>
      </c>
      <c r="O5361">
        <v>50.3989792109167</v>
      </c>
      <c r="P5361">
        <v>-2.8011729041092899E-2</v>
      </c>
      <c r="Q5361">
        <v>0.18700043637198199</v>
      </c>
      <c r="R5361">
        <v>0.90863312663553297</v>
      </c>
      <c r="S5361" t="s">
        <v>11929</v>
      </c>
      <c r="T5361" t="s">
        <v>13134</v>
      </c>
      <c r="U5361" t="s">
        <v>13134</v>
      </c>
      <c r="V5361" t="s">
        <v>13134</v>
      </c>
      <c r="W5361" t="s">
        <v>18431</v>
      </c>
      <c r="X5361">
        <v>4</v>
      </c>
      <c r="Y5361" t="s">
        <v>24798</v>
      </c>
      <c r="Z5361" t="s">
        <v>31329</v>
      </c>
      <c r="AA5361">
        <v>0.66427905230258544</v>
      </c>
      <c r="AB5361" t="str">
        <f>HYPERLINK("Melting_Curves/meltCurve_Q9BTT4_MED10.pdf", "Melting_Curves/meltCurve_Q9BTT4_MED10.pdf")</f>
        <v>Melting_Curves/meltCurve_Q9BTT4_MED10.pdf</v>
      </c>
    </row>
    <row r="5362" spans="1:28" x14ac:dyDescent="0.25">
      <c r="A5362" t="s">
        <v>5366</v>
      </c>
      <c r="B5362">
        <v>0.99472303558308395</v>
      </c>
      <c r="C5362">
        <v>0.99206040335138301</v>
      </c>
      <c r="D5362">
        <v>0.87608346114201596</v>
      </c>
      <c r="E5362">
        <v>0.76942203901968098</v>
      </c>
      <c r="F5362">
        <v>0.52233267449948295</v>
      </c>
      <c r="G5362">
        <v>0.39554782445120801</v>
      </c>
      <c r="H5362">
        <v>0.14801994005657601</v>
      </c>
      <c r="I5362">
        <v>6.7786463168550401E-2</v>
      </c>
      <c r="J5362">
        <v>6.6452148598796196E-2</v>
      </c>
      <c r="K5362">
        <v>6.3688633807229306E-2</v>
      </c>
      <c r="L5362">
        <v>651.37942673753003</v>
      </c>
      <c r="M5362">
        <v>12.8123837455847</v>
      </c>
      <c r="N5362">
        <v>50.839832306396701</v>
      </c>
      <c r="O5362">
        <v>49.649069664900303</v>
      </c>
      <c r="P5362">
        <v>-6.4526755689826701E-2</v>
      </c>
      <c r="Q5362">
        <v>0</v>
      </c>
      <c r="R5362">
        <v>0.99303229699358297</v>
      </c>
      <c r="S5362" t="s">
        <v>11930</v>
      </c>
      <c r="T5362" t="s">
        <v>13134</v>
      </c>
      <c r="U5362" t="s">
        <v>13134</v>
      </c>
      <c r="V5362" t="s">
        <v>13134</v>
      </c>
      <c r="W5362" t="s">
        <v>18432</v>
      </c>
      <c r="X5362">
        <v>16</v>
      </c>
      <c r="Y5362" t="s">
        <v>24799</v>
      </c>
      <c r="Z5362" t="s">
        <v>31330</v>
      </c>
      <c r="AA5362">
        <v>0.48591101547696541</v>
      </c>
      <c r="AB5362" t="str">
        <f>HYPERLINK("Melting_Curves/meltCurve_Q9BTU6_PI4K2A.pdf", "Melting_Curves/meltCurve_Q9BTU6_PI4K2A.pdf")</f>
        <v>Melting_Curves/meltCurve_Q9BTU6_PI4K2A.pdf</v>
      </c>
    </row>
    <row r="5363" spans="1:28" x14ac:dyDescent="0.25">
      <c r="A5363" t="s">
        <v>5367</v>
      </c>
      <c r="B5363">
        <v>0.99472303558308395</v>
      </c>
      <c r="C5363">
        <v>1.08881121174519</v>
      </c>
      <c r="D5363">
        <v>0.83334011622556203</v>
      </c>
      <c r="E5363">
        <v>0.85584734502501802</v>
      </c>
      <c r="F5363">
        <v>0.80744248241982797</v>
      </c>
      <c r="G5363">
        <v>0.27457586397115502</v>
      </c>
      <c r="H5363">
        <v>0.17683156139306599</v>
      </c>
      <c r="I5363">
        <v>0.14232605536277901</v>
      </c>
      <c r="J5363">
        <v>0.15209955705372499</v>
      </c>
      <c r="K5363">
        <v>0.14303890695979801</v>
      </c>
      <c r="L5363">
        <v>1945.2160857399699</v>
      </c>
      <c r="M5363">
        <v>37.687858133640702</v>
      </c>
      <c r="N5363">
        <v>52.085776176963698</v>
      </c>
      <c r="O5363">
        <v>51.469194705384901</v>
      </c>
      <c r="P5363">
        <v>-0.156584661406767</v>
      </c>
      <c r="Q5363">
        <v>0.144630095040895</v>
      </c>
      <c r="R5363">
        <v>0.96244863454127305</v>
      </c>
      <c r="S5363" t="s">
        <v>11931</v>
      </c>
      <c r="T5363" t="s">
        <v>13134</v>
      </c>
      <c r="U5363" t="s">
        <v>13134</v>
      </c>
      <c r="V5363" t="s">
        <v>13134</v>
      </c>
      <c r="W5363" t="s">
        <v>18433</v>
      </c>
      <c r="X5363">
        <v>2</v>
      </c>
      <c r="Y5363" t="s">
        <v>24800</v>
      </c>
      <c r="Z5363" t="s">
        <v>31331</v>
      </c>
      <c r="AA5363">
        <v>0.56473564965383727</v>
      </c>
      <c r="AB5363" t="str">
        <f>HYPERLINK("Melting_Curves/meltCurve_Q9BTV4_TMEM43.pdf", "Melting_Curves/meltCurve_Q9BTV4_TMEM43.pdf")</f>
        <v>Melting_Curves/meltCurve_Q9BTV4_TMEM43.pdf</v>
      </c>
    </row>
    <row r="5364" spans="1:28" x14ac:dyDescent="0.25">
      <c r="A5364" t="s">
        <v>5368</v>
      </c>
      <c r="B5364">
        <v>0.99472303558308395</v>
      </c>
      <c r="C5364">
        <v>1.0097554192314999</v>
      </c>
      <c r="D5364">
        <v>0.982397345631559</v>
      </c>
      <c r="E5364">
        <v>0.87931664335081905</v>
      </c>
      <c r="F5364">
        <v>0.97002982751202405</v>
      </c>
      <c r="G5364">
        <v>0.71731312621892795</v>
      </c>
      <c r="H5364">
        <v>0.58645249261685595</v>
      </c>
      <c r="I5364">
        <v>0.44699027367873301</v>
      </c>
      <c r="J5364">
        <v>0.203078009077823</v>
      </c>
      <c r="K5364">
        <v>0.14889379129345401</v>
      </c>
      <c r="L5364">
        <v>767.30413434031698</v>
      </c>
      <c r="M5364">
        <v>13.059352878800601</v>
      </c>
      <c r="N5364">
        <v>58.755142167032503</v>
      </c>
      <c r="O5364">
        <v>57.428650854229602</v>
      </c>
      <c r="P5364">
        <v>-5.6860203152175798E-2</v>
      </c>
      <c r="Q5364">
        <v>0</v>
      </c>
      <c r="R5364">
        <v>0.97754899376927495</v>
      </c>
      <c r="S5364" t="s">
        <v>11932</v>
      </c>
      <c r="T5364" t="s">
        <v>13134</v>
      </c>
      <c r="U5364" t="s">
        <v>13134</v>
      </c>
      <c r="V5364" t="s">
        <v>13134</v>
      </c>
      <c r="W5364" t="s">
        <v>18434</v>
      </c>
      <c r="X5364">
        <v>4</v>
      </c>
      <c r="Y5364" t="s">
        <v>24801</v>
      </c>
      <c r="Z5364" t="s">
        <v>31332</v>
      </c>
      <c r="AA5364">
        <v>0.72176445035056136</v>
      </c>
      <c r="AB5364" t="str">
        <f>HYPERLINK("Melting_Curves/meltCurve_Q9BTV6_WDR85.pdf", "Melting_Curves/meltCurve_Q9BTV6_WDR85.pdf")</f>
        <v>Melting_Curves/meltCurve_Q9BTV6_WDR85.pdf</v>
      </c>
    </row>
    <row r="5365" spans="1:28" x14ac:dyDescent="0.25">
      <c r="A5365" t="s">
        <v>5369</v>
      </c>
      <c r="B5365">
        <v>0.99472303558308395</v>
      </c>
      <c r="C5365">
        <v>1.1801625232878801</v>
      </c>
      <c r="D5365">
        <v>0.89298852899508396</v>
      </c>
      <c r="E5365">
        <v>1.0533954158109899</v>
      </c>
      <c r="F5365">
        <v>0.847174106263755</v>
      </c>
      <c r="G5365">
        <v>0.20829955798775401</v>
      </c>
      <c r="H5365">
        <v>0.116268225728886</v>
      </c>
      <c r="I5365">
        <v>0</v>
      </c>
      <c r="J5365">
        <v>0.17658749033250001</v>
      </c>
      <c r="K5365">
        <v>0.11023845060265899</v>
      </c>
      <c r="L5365">
        <v>2707.8971933325302</v>
      </c>
      <c r="M5365">
        <v>52.334239582893503</v>
      </c>
      <c r="N5365">
        <v>51.963049075988899</v>
      </c>
      <c r="O5365">
        <v>51.6669829457784</v>
      </c>
      <c r="P5365">
        <v>-0.22799518600239399</v>
      </c>
      <c r="Q5365">
        <v>9.9647640289105804E-2</v>
      </c>
      <c r="R5365">
        <v>0.96827712858652304</v>
      </c>
      <c r="S5365" t="s">
        <v>11933</v>
      </c>
      <c r="T5365" t="s">
        <v>13134</v>
      </c>
      <c r="U5365" t="s">
        <v>13134</v>
      </c>
      <c r="V5365" t="s">
        <v>13134</v>
      </c>
      <c r="W5365" t="s">
        <v>18435</v>
      </c>
      <c r="X5365">
        <v>1</v>
      </c>
      <c r="Y5365" t="s">
        <v>24802</v>
      </c>
      <c r="Z5365" t="s">
        <v>31333</v>
      </c>
      <c r="AA5365">
        <v>0.54396611848785281</v>
      </c>
      <c r="AB5365" t="str">
        <f>HYPERLINK("Melting_Curves/meltCurve_Q9BTV7_CABLES2.pdf", "Melting_Curves/meltCurve_Q9BTV7_CABLES2.pdf")</f>
        <v>Melting_Curves/meltCurve_Q9BTV7_CABLES2.pdf</v>
      </c>
    </row>
    <row r="5366" spans="1:28" x14ac:dyDescent="0.25">
      <c r="A5366" t="s">
        <v>5370</v>
      </c>
      <c r="B5366">
        <v>0.99472303558308395</v>
      </c>
      <c r="C5366">
        <v>0.98683446582062995</v>
      </c>
      <c r="D5366">
        <v>0.95767920418018404</v>
      </c>
      <c r="E5366">
        <v>0.83367914403543097</v>
      </c>
      <c r="F5366">
        <v>0.623452452162368</v>
      </c>
      <c r="G5366">
        <v>0.40806704608836097</v>
      </c>
      <c r="H5366">
        <v>0.30133629910882398</v>
      </c>
      <c r="I5366">
        <v>0.201934762953483</v>
      </c>
      <c r="J5366">
        <v>0.13146225806633899</v>
      </c>
      <c r="K5366">
        <v>0.11839150694634901</v>
      </c>
      <c r="L5366">
        <v>691.07264718799297</v>
      </c>
      <c r="M5366">
        <v>13.362648833964499</v>
      </c>
      <c r="N5366">
        <v>52.4240698702583</v>
      </c>
      <c r="O5366">
        <v>50.5996898070497</v>
      </c>
      <c r="P5366">
        <v>-6.058506252662E-2</v>
      </c>
      <c r="Q5366">
        <v>8.2487631525201999E-2</v>
      </c>
      <c r="R5366">
        <v>0.998532388189732</v>
      </c>
      <c r="S5366" t="s">
        <v>11934</v>
      </c>
      <c r="T5366" t="s">
        <v>13134</v>
      </c>
      <c r="U5366" t="s">
        <v>13134</v>
      </c>
      <c r="V5366" t="s">
        <v>13134</v>
      </c>
      <c r="W5366" t="s">
        <v>18436</v>
      </c>
      <c r="X5366">
        <v>6</v>
      </c>
      <c r="Y5366" t="s">
        <v>24803</v>
      </c>
      <c r="Z5366" t="s">
        <v>31334</v>
      </c>
      <c r="AA5366">
        <v>0.55286170702262483</v>
      </c>
      <c r="AB5366" t="str">
        <f>HYPERLINK("Melting_Curves/meltCurve_Q9BTY2_FUCA2.pdf", "Melting_Curves/meltCurve_Q9BTY2_FUCA2.pdf")</f>
        <v>Melting_Curves/meltCurve_Q9BTY2_FUCA2.pdf</v>
      </c>
    </row>
    <row r="5367" spans="1:28" x14ac:dyDescent="0.25">
      <c r="A5367" t="s">
        <v>5371</v>
      </c>
      <c r="B5367">
        <v>0.99472303558308395</v>
      </c>
      <c r="C5367">
        <v>0.89891891108849598</v>
      </c>
      <c r="D5367">
        <v>0.86998128570476696</v>
      </c>
      <c r="E5367">
        <v>0.470637147349448</v>
      </c>
      <c r="F5367">
        <v>0.187304664866485</v>
      </c>
      <c r="G5367">
        <v>9.1940784796270894E-2</v>
      </c>
      <c r="H5367">
        <v>4.90106165562572E-2</v>
      </c>
      <c r="I5367">
        <v>3.2261098457160901E-2</v>
      </c>
      <c r="J5367">
        <v>4.1570940894428997E-2</v>
      </c>
      <c r="K5367">
        <v>3.8015477030727003E-2</v>
      </c>
      <c r="L5367">
        <v>971.72380259089198</v>
      </c>
      <c r="M5367">
        <v>21.0065007737423</v>
      </c>
      <c r="N5367">
        <v>46.417165489103297</v>
      </c>
      <c r="O5367">
        <v>45.845141574121698</v>
      </c>
      <c r="P5367">
        <v>-0.110579603515178</v>
      </c>
      <c r="Q5367">
        <v>3.4698262014295003E-2</v>
      </c>
      <c r="R5367">
        <v>0.99590452294695497</v>
      </c>
      <c r="S5367" t="s">
        <v>11935</v>
      </c>
      <c r="T5367" t="s">
        <v>13134</v>
      </c>
      <c r="U5367" t="s">
        <v>13134</v>
      </c>
      <c r="V5367" t="s">
        <v>13134</v>
      </c>
      <c r="W5367" t="s">
        <v>18437</v>
      </c>
      <c r="X5367">
        <v>15</v>
      </c>
      <c r="Y5367" t="s">
        <v>24804</v>
      </c>
      <c r="Z5367" t="s">
        <v>31335</v>
      </c>
      <c r="AA5367">
        <v>0.3440282947855291</v>
      </c>
      <c r="AB5367" t="str">
        <f>HYPERLINK("Melting_Curves/meltCurve_Q9BTY7_FAM203A.pdf", "Melting_Curves/meltCurve_Q9BTY7_FAM203A.pdf")</f>
        <v>Melting_Curves/meltCurve_Q9BTY7_FAM203A.pdf</v>
      </c>
    </row>
    <row r="5368" spans="1:28" x14ac:dyDescent="0.25">
      <c r="A5368" t="s">
        <v>5372</v>
      </c>
      <c r="B5368">
        <v>0.99472303558308395</v>
      </c>
      <c r="C5368">
        <v>0.91732069296208396</v>
      </c>
      <c r="D5368">
        <v>0.99561786135106101</v>
      </c>
      <c r="E5368">
        <v>0.912125176437803</v>
      </c>
      <c r="F5368">
        <v>0.79292935990158797</v>
      </c>
      <c r="G5368">
        <v>0.55486358771715305</v>
      </c>
      <c r="H5368">
        <v>0.20082285753561999</v>
      </c>
      <c r="I5368">
        <v>0.14110093316517899</v>
      </c>
      <c r="J5368">
        <v>0.15333871860482601</v>
      </c>
      <c r="K5368">
        <v>0.124032483724279</v>
      </c>
      <c r="L5368">
        <v>1134.0333757511301</v>
      </c>
      <c r="M5368">
        <v>21.295268678900499</v>
      </c>
      <c r="N5368">
        <v>53.822549035651598</v>
      </c>
      <c r="O5368">
        <v>52.789903183931202</v>
      </c>
      <c r="P5368">
        <v>-9.0675119160497503E-2</v>
      </c>
      <c r="Q5368">
        <v>0.100906496915625</v>
      </c>
      <c r="R5368">
        <v>0.98760106814195703</v>
      </c>
      <c r="S5368" t="s">
        <v>11936</v>
      </c>
      <c r="T5368" t="s">
        <v>13134</v>
      </c>
      <c r="U5368" t="s">
        <v>13134</v>
      </c>
      <c r="V5368" t="s">
        <v>13134</v>
      </c>
      <c r="W5368" t="s">
        <v>18438</v>
      </c>
      <c r="X5368">
        <v>5</v>
      </c>
      <c r="Y5368" t="s">
        <v>24805</v>
      </c>
      <c r="Z5368" t="s">
        <v>31336</v>
      </c>
      <c r="AA5368">
        <v>0.59825072714219163</v>
      </c>
      <c r="AB5368" t="str">
        <f>HYPERLINK("Melting_Curves/meltCurve_Q9BTZ2_8_DHRS4.pdf", "Melting_Curves/meltCurve_Q9BTZ2_8_DHRS4.pdf")</f>
        <v>Melting_Curves/meltCurve_Q9BTZ2_8_DHRS4.pdf</v>
      </c>
    </row>
    <row r="5369" spans="1:28" x14ac:dyDescent="0.25">
      <c r="A5369" t="s">
        <v>5373</v>
      </c>
      <c r="B5369">
        <v>0.99472303558308395</v>
      </c>
      <c r="C5369">
        <v>1.1205688503610101</v>
      </c>
      <c r="D5369">
        <v>0.87508645524933004</v>
      </c>
      <c r="E5369">
        <v>0.742596705732678</v>
      </c>
      <c r="F5369">
        <v>0.44037194289452702</v>
      </c>
      <c r="G5369">
        <v>0.21259110560905201</v>
      </c>
      <c r="H5369">
        <v>6.3401883574326898E-2</v>
      </c>
      <c r="I5369">
        <v>5.1952900248270699E-2</v>
      </c>
      <c r="J5369">
        <v>4.9209978653537503E-2</v>
      </c>
      <c r="K5369">
        <v>3.2122576808392402E-2</v>
      </c>
      <c r="L5369">
        <v>875.34491681980398</v>
      </c>
      <c r="M5369">
        <v>17.753838128922901</v>
      </c>
      <c r="N5369">
        <v>49.418036189688898</v>
      </c>
      <c r="O5369">
        <v>48.691747733189501</v>
      </c>
      <c r="P5369">
        <v>-8.9338018799908006E-2</v>
      </c>
      <c r="Q5369">
        <v>1.9975362203321301E-2</v>
      </c>
      <c r="R5369">
        <v>0.986619864969003</v>
      </c>
      <c r="S5369" t="s">
        <v>11937</v>
      </c>
      <c r="T5369" t="s">
        <v>13134</v>
      </c>
      <c r="U5369" t="s">
        <v>13134</v>
      </c>
      <c r="V5369" t="s">
        <v>13134</v>
      </c>
      <c r="W5369" t="s">
        <v>18439</v>
      </c>
      <c r="X5369">
        <v>2</v>
      </c>
      <c r="Y5369" t="s">
        <v>24806</v>
      </c>
      <c r="Z5369" t="s">
        <v>31337</v>
      </c>
      <c r="AA5369">
        <v>0.43785058310524161</v>
      </c>
      <c r="AB5369" t="str">
        <f>HYPERLINK("Melting_Curves/meltCurve_Q9BU23_3_LMF2.pdf", "Melting_Curves/meltCurve_Q9BU23_3_LMF2.pdf")</f>
        <v>Melting_Curves/meltCurve_Q9BU23_3_LMF2.pdf</v>
      </c>
    </row>
    <row r="5370" spans="1:28" x14ac:dyDescent="0.25">
      <c r="A5370" t="s">
        <v>5374</v>
      </c>
      <c r="B5370">
        <v>0.99472303558308395</v>
      </c>
      <c r="C5370">
        <v>0.91670038358667405</v>
      </c>
      <c r="D5370">
        <v>0.87054798884596096</v>
      </c>
      <c r="E5370">
        <v>0.81273071671201402</v>
      </c>
      <c r="F5370">
        <v>0.62786635338221997</v>
      </c>
      <c r="G5370">
        <v>0.48876062840454998</v>
      </c>
      <c r="H5370">
        <v>0.31560076349653099</v>
      </c>
      <c r="I5370">
        <v>9.7999068814334095E-2</v>
      </c>
      <c r="J5370">
        <v>8.1656294121166997E-2</v>
      </c>
      <c r="K5370">
        <v>5.62754755179816E-2</v>
      </c>
      <c r="L5370">
        <v>602.36502028816506</v>
      </c>
      <c r="M5370">
        <v>11.458340766964699</v>
      </c>
      <c r="N5370">
        <v>52.569995550624199</v>
      </c>
      <c r="O5370">
        <v>51.045229341339599</v>
      </c>
      <c r="P5370">
        <v>-5.6134722030376803E-2</v>
      </c>
      <c r="Q5370">
        <v>0</v>
      </c>
      <c r="R5370">
        <v>0.98557003120089604</v>
      </c>
      <c r="S5370" t="s">
        <v>11938</v>
      </c>
      <c r="T5370" t="s">
        <v>13134</v>
      </c>
      <c r="U5370" t="s">
        <v>13134</v>
      </c>
      <c r="V5370" t="s">
        <v>13134</v>
      </c>
      <c r="W5370" t="s">
        <v>18440</v>
      </c>
      <c r="X5370">
        <v>7</v>
      </c>
      <c r="Y5370" t="s">
        <v>24807</v>
      </c>
      <c r="Z5370" t="s">
        <v>31338</v>
      </c>
      <c r="AA5370">
        <v>0.54191098541130478</v>
      </c>
      <c r="AB5370" t="str">
        <f>HYPERLINK("Melting_Curves/meltCurve_Q9BU61_NDUFAF3.pdf", "Melting_Curves/meltCurve_Q9BU61_NDUFAF3.pdf")</f>
        <v>Melting_Curves/meltCurve_Q9BU61_NDUFAF3.pdf</v>
      </c>
    </row>
    <row r="5371" spans="1:28" x14ac:dyDescent="0.25">
      <c r="A5371" t="s">
        <v>5375</v>
      </c>
      <c r="B5371">
        <v>0.99472303558308395</v>
      </c>
      <c r="C5371">
        <v>0.86700881129994301</v>
      </c>
      <c r="D5371">
        <v>0.75661734251491797</v>
      </c>
      <c r="E5371">
        <v>0.64032647916998098</v>
      </c>
      <c r="F5371">
        <v>0.50356864234653098</v>
      </c>
      <c r="G5371">
        <v>0.29307507343954298</v>
      </c>
      <c r="H5371">
        <v>0.27069874186620002</v>
      </c>
      <c r="I5371">
        <v>0.28910771976085298</v>
      </c>
      <c r="J5371">
        <v>0.23710395428917799</v>
      </c>
      <c r="K5371">
        <v>0.202110739309844</v>
      </c>
      <c r="L5371">
        <v>494.59800866796297</v>
      </c>
      <c r="M5371">
        <v>10.488649856139</v>
      </c>
      <c r="N5371">
        <v>49.238052747065801</v>
      </c>
      <c r="O5371">
        <v>45.538135323050703</v>
      </c>
      <c r="P5371">
        <v>-4.7285473212605698E-2</v>
      </c>
      <c r="Q5371">
        <v>0.17914310921265</v>
      </c>
      <c r="R5371">
        <v>0.98534458683766801</v>
      </c>
      <c r="S5371" t="s">
        <v>11939</v>
      </c>
      <c r="T5371" t="s">
        <v>13134</v>
      </c>
      <c r="U5371" t="s">
        <v>13134</v>
      </c>
      <c r="V5371" t="s">
        <v>13134</v>
      </c>
      <c r="W5371" t="s">
        <v>18441</v>
      </c>
      <c r="X5371">
        <v>5</v>
      </c>
      <c r="Y5371" t="s">
        <v>24808</v>
      </c>
      <c r="Z5371" t="s">
        <v>31339</v>
      </c>
      <c r="AA5371">
        <v>0.48978719029667123</v>
      </c>
      <c r="AB5371" t="str">
        <f>HYPERLINK("Melting_Curves/meltCurve_Q9BU76_4_MMTAG2.pdf", "Melting_Curves/meltCurve_Q9BU76_4_MMTAG2.pdf")</f>
        <v>Melting_Curves/meltCurve_Q9BU76_4_MMTAG2.pdf</v>
      </c>
    </row>
    <row r="5372" spans="1:28" x14ac:dyDescent="0.25">
      <c r="A5372" t="s">
        <v>5376</v>
      </c>
      <c r="B5372">
        <v>0.99472303558308395</v>
      </c>
      <c r="C5372">
        <v>0.95018976337210803</v>
      </c>
      <c r="D5372">
        <v>0.72707933321367002</v>
      </c>
      <c r="E5372">
        <v>0.42261670232161602</v>
      </c>
      <c r="F5372">
        <v>0.31226662629044299</v>
      </c>
      <c r="G5372">
        <v>0.15983908088798199</v>
      </c>
      <c r="H5372">
        <v>0.10746677733547599</v>
      </c>
      <c r="I5372">
        <v>6.40431011378126E-2</v>
      </c>
      <c r="J5372">
        <v>6.9694411028237799E-2</v>
      </c>
      <c r="K5372">
        <v>6.2266802997159497E-2</v>
      </c>
      <c r="L5372">
        <v>681.20563493672705</v>
      </c>
      <c r="M5372">
        <v>14.882138463182899</v>
      </c>
      <c r="N5372">
        <v>46.170548787422</v>
      </c>
      <c r="O5372">
        <v>44.9707331790067</v>
      </c>
      <c r="P5372">
        <v>-7.7769635445941607E-2</v>
      </c>
      <c r="Q5372">
        <v>6.0083159854483599E-2</v>
      </c>
      <c r="R5372">
        <v>0.99362181206286204</v>
      </c>
      <c r="S5372" t="s">
        <v>11940</v>
      </c>
      <c r="T5372" t="s">
        <v>13134</v>
      </c>
      <c r="U5372" t="s">
        <v>13134</v>
      </c>
      <c r="V5372" t="s">
        <v>13134</v>
      </c>
      <c r="W5372" t="s">
        <v>18442</v>
      </c>
      <c r="X5372">
        <v>17</v>
      </c>
      <c r="Y5372" t="s">
        <v>24809</v>
      </c>
      <c r="Z5372" t="s">
        <v>31340</v>
      </c>
      <c r="AA5372">
        <v>0.35710164396781352</v>
      </c>
      <c r="AB5372" t="str">
        <f>HYPERLINK("Melting_Curves/meltCurve_Q9BU89_DOHH.pdf", "Melting_Curves/meltCurve_Q9BU89_DOHH.pdf")</f>
        <v>Melting_Curves/meltCurve_Q9BU89_DOHH.pdf</v>
      </c>
    </row>
    <row r="5373" spans="1:28" x14ac:dyDescent="0.25">
      <c r="A5373" t="s">
        <v>5377</v>
      </c>
      <c r="B5373">
        <v>0.99472303558308395</v>
      </c>
      <c r="C5373">
        <v>1.0961841358939199</v>
      </c>
      <c r="D5373">
        <v>0.99947074769373501</v>
      </c>
      <c r="E5373">
        <v>0.64240478858346295</v>
      </c>
      <c r="F5373">
        <v>0.340520912662722</v>
      </c>
      <c r="G5373">
        <v>0.228674864063932</v>
      </c>
      <c r="H5373">
        <v>0.18018321649687899</v>
      </c>
      <c r="I5373">
        <v>0.16465700069328701</v>
      </c>
      <c r="J5373">
        <v>0.18978647903340701</v>
      </c>
      <c r="K5373">
        <v>0.189904094897833</v>
      </c>
      <c r="L5373">
        <v>1346.70263248935</v>
      </c>
      <c r="M5373">
        <v>28.513701315037899</v>
      </c>
      <c r="N5373">
        <v>48.019286993184501</v>
      </c>
      <c r="O5373">
        <v>46.999560252086802</v>
      </c>
      <c r="P5373">
        <v>-0.12329654854587099</v>
      </c>
      <c r="Q5373">
        <v>0.18708064303740099</v>
      </c>
      <c r="R5373">
        <v>0.98927419766746705</v>
      </c>
      <c r="S5373" t="s">
        <v>11941</v>
      </c>
      <c r="T5373" t="s">
        <v>13134</v>
      </c>
      <c r="U5373" t="s">
        <v>13134</v>
      </c>
      <c r="V5373" t="s">
        <v>13134</v>
      </c>
      <c r="W5373" t="s">
        <v>18443</v>
      </c>
      <c r="X5373">
        <v>5</v>
      </c>
      <c r="Y5373" t="s">
        <v>24810</v>
      </c>
      <c r="Z5373" t="s">
        <v>31341</v>
      </c>
      <c r="AA5373">
        <v>0.46954437928619253</v>
      </c>
      <c r="AB5373" t="str">
        <f>HYPERLINK("Melting_Curves/meltCurve_Q9BUA3_C11orf84.pdf", "Melting_Curves/meltCurve_Q9BUA3_C11orf84.pdf")</f>
        <v>Melting_Curves/meltCurve_Q9BUA3_C11orf84.pdf</v>
      </c>
    </row>
    <row r="5374" spans="1:28" x14ac:dyDescent="0.25">
      <c r="A5374" t="s">
        <v>5378</v>
      </c>
      <c r="B5374">
        <v>0.99472303558308395</v>
      </c>
      <c r="C5374">
        <v>0.93127047123501805</v>
      </c>
      <c r="D5374">
        <v>0.85867979790030102</v>
      </c>
      <c r="E5374">
        <v>0.67360303958174395</v>
      </c>
      <c r="F5374">
        <v>0.35335839299737498</v>
      </c>
      <c r="G5374">
        <v>0.12268066469589101</v>
      </c>
      <c r="H5374">
        <v>6.6990040299417103E-2</v>
      </c>
      <c r="I5374">
        <v>4.6210649995458403E-2</v>
      </c>
      <c r="J5374">
        <v>4.6326624887403002E-2</v>
      </c>
      <c r="K5374">
        <v>3.8743435799063398E-2</v>
      </c>
      <c r="L5374">
        <v>825.03423016457202</v>
      </c>
      <c r="M5374">
        <v>17.135855889482201</v>
      </c>
      <c r="N5374">
        <v>48.253936066498902</v>
      </c>
      <c r="O5374">
        <v>47.5053196460929</v>
      </c>
      <c r="P5374">
        <v>-8.8498550025522996E-2</v>
      </c>
      <c r="Q5374">
        <v>1.8689464916150401E-2</v>
      </c>
      <c r="R5374">
        <v>0.99655503556606895</v>
      </c>
      <c r="S5374" t="s">
        <v>11942</v>
      </c>
      <c r="T5374" t="s">
        <v>13134</v>
      </c>
      <c r="U5374" t="s">
        <v>13134</v>
      </c>
      <c r="V5374" t="s">
        <v>13134</v>
      </c>
      <c r="W5374" t="s">
        <v>18444</v>
      </c>
      <c r="X5374">
        <v>7</v>
      </c>
      <c r="Y5374" t="s">
        <v>20214</v>
      </c>
      <c r="Z5374" t="s">
        <v>31342</v>
      </c>
      <c r="AA5374">
        <v>0.40042472484880792</v>
      </c>
      <c r="AB5374" t="str">
        <f>HYPERLINK("Melting_Curves/meltCurve_Q9BUB5_2_MKNK1.pdf", "Melting_Curves/meltCurve_Q9BUB5_2_MKNK1.pdf")</f>
        <v>Melting_Curves/meltCurve_Q9BUB5_2_MKNK1.pdf</v>
      </c>
    </row>
    <row r="5375" spans="1:28" x14ac:dyDescent="0.25">
      <c r="A5375" t="s">
        <v>5379</v>
      </c>
      <c r="B5375">
        <v>0.99472303558308395</v>
      </c>
      <c r="C5375">
        <v>0.97677691013034396</v>
      </c>
      <c r="D5375">
        <v>0.85993734917236697</v>
      </c>
      <c r="E5375">
        <v>0.69816110298354295</v>
      </c>
      <c r="F5375">
        <v>0.47206358593151698</v>
      </c>
      <c r="G5375">
        <v>0.20795414887515401</v>
      </c>
      <c r="H5375">
        <v>9.8543283811479795E-2</v>
      </c>
      <c r="I5375">
        <v>0.11316570897843201</v>
      </c>
      <c r="J5375">
        <v>0.18647524203674701</v>
      </c>
      <c r="K5375">
        <v>0.120853611504162</v>
      </c>
      <c r="L5375">
        <v>816.49192260321001</v>
      </c>
      <c r="M5375">
        <v>16.859499466285602</v>
      </c>
      <c r="N5375">
        <v>49.100693507271203</v>
      </c>
      <c r="O5375">
        <v>47.763236915079702</v>
      </c>
      <c r="P5375">
        <v>-7.9164764391723597E-2</v>
      </c>
      <c r="Q5375">
        <v>0.10295700147465001</v>
      </c>
      <c r="R5375">
        <v>0.98813020474203594</v>
      </c>
      <c r="S5375" t="s">
        <v>11943</v>
      </c>
      <c r="T5375" t="s">
        <v>13134</v>
      </c>
      <c r="U5375" t="s">
        <v>13134</v>
      </c>
      <c r="V5375" t="s">
        <v>13134</v>
      </c>
      <c r="W5375" t="s">
        <v>18445</v>
      </c>
      <c r="X5375">
        <v>2</v>
      </c>
      <c r="Y5375" t="s">
        <v>24811</v>
      </c>
      <c r="Z5375" t="s">
        <v>31343</v>
      </c>
      <c r="AA5375">
        <v>0.4607692511760535</v>
      </c>
      <c r="AB5375" t="str">
        <f>HYPERLINK("Melting_Curves/meltCurve_Q9BUB7_TMEM70.pdf", "Melting_Curves/meltCurve_Q9BUB7_TMEM70.pdf")</f>
        <v>Melting_Curves/meltCurve_Q9BUB7_TMEM70.pdf</v>
      </c>
    </row>
    <row r="5376" spans="1:28" x14ac:dyDescent="0.25">
      <c r="A5376" t="s">
        <v>5380</v>
      </c>
      <c r="B5376">
        <v>0.99472303558308395</v>
      </c>
      <c r="C5376">
        <v>0.97367969900659901</v>
      </c>
      <c r="D5376">
        <v>0.97814187661620899</v>
      </c>
      <c r="E5376">
        <v>0.76941420201267796</v>
      </c>
      <c r="F5376">
        <v>0.47936009460061202</v>
      </c>
      <c r="G5376">
        <v>0.32855844527151201</v>
      </c>
      <c r="H5376">
        <v>0.17110291987100301</v>
      </c>
      <c r="I5376">
        <v>9.7593842246344001E-2</v>
      </c>
      <c r="J5376">
        <v>0.11575272744387601</v>
      </c>
      <c r="K5376">
        <v>0.101317871288401</v>
      </c>
      <c r="L5376">
        <v>831.344048897579</v>
      </c>
      <c r="M5376">
        <v>16.715259974569499</v>
      </c>
      <c r="N5376">
        <v>50.302057898414702</v>
      </c>
      <c r="O5376">
        <v>49.040126619684699</v>
      </c>
      <c r="P5376">
        <v>-7.7907422940970097E-2</v>
      </c>
      <c r="Q5376">
        <v>8.5784318861079595E-2</v>
      </c>
      <c r="R5376">
        <v>0.99622769390324495</v>
      </c>
      <c r="S5376" t="s">
        <v>11944</v>
      </c>
      <c r="T5376" t="s">
        <v>13134</v>
      </c>
      <c r="U5376" t="s">
        <v>13134</v>
      </c>
      <c r="V5376" t="s">
        <v>13134</v>
      </c>
      <c r="W5376" t="s">
        <v>18446</v>
      </c>
      <c r="X5376">
        <v>5</v>
      </c>
      <c r="Y5376" t="s">
        <v>24812</v>
      </c>
      <c r="Z5376" t="s">
        <v>31344</v>
      </c>
      <c r="AA5376">
        <v>0.49019667194490152</v>
      </c>
      <c r="AB5376" t="str">
        <f>HYPERLINK("Melting_Curves/meltCurve_Q9BUE0_MED18.pdf", "Melting_Curves/meltCurve_Q9BUE0_MED18.pdf")</f>
        <v>Melting_Curves/meltCurve_Q9BUE0_MED18.pdf</v>
      </c>
    </row>
    <row r="5377" spans="1:28" x14ac:dyDescent="0.25">
      <c r="A5377" t="s">
        <v>5381</v>
      </c>
      <c r="B5377">
        <v>0.99472303558308395</v>
      </c>
      <c r="C5377">
        <v>1.1233739684125399</v>
      </c>
      <c r="D5377">
        <v>0.83253461685100305</v>
      </c>
      <c r="E5377">
        <v>0.84785958643455595</v>
      </c>
      <c r="F5377">
        <v>0.39418227120669103</v>
      </c>
      <c r="G5377">
        <v>0.399208582184579</v>
      </c>
      <c r="H5377">
        <v>0.20297696648855401</v>
      </c>
      <c r="I5377">
        <v>0.16825086035438699</v>
      </c>
      <c r="J5377">
        <v>8.6242100095868204E-2</v>
      </c>
      <c r="K5377">
        <v>6.9806896670295701E-2</v>
      </c>
      <c r="L5377">
        <v>722.61724335380404</v>
      </c>
      <c r="M5377">
        <v>14.4711338570871</v>
      </c>
      <c r="N5377">
        <v>50.498529566837199</v>
      </c>
      <c r="O5377">
        <v>49.010566756973603</v>
      </c>
      <c r="P5377">
        <v>-6.8321197415933704E-2</v>
      </c>
      <c r="Q5377">
        <v>7.4551767471972702E-2</v>
      </c>
      <c r="R5377">
        <v>0.95685727555919098</v>
      </c>
      <c r="S5377" t="s">
        <v>11945</v>
      </c>
      <c r="T5377" t="s">
        <v>13134</v>
      </c>
      <c r="U5377" t="s">
        <v>13134</v>
      </c>
      <c r="V5377" t="s">
        <v>13134</v>
      </c>
      <c r="W5377" t="s">
        <v>18447</v>
      </c>
      <c r="X5377">
        <v>2</v>
      </c>
      <c r="Y5377" t="s">
        <v>24813</v>
      </c>
      <c r="Z5377" t="s">
        <v>31345</v>
      </c>
      <c r="AA5377">
        <v>0.49398507415776921</v>
      </c>
      <c r="AB5377" t="str">
        <f>HYPERLINK("Melting_Curves/meltCurve_Q9BUE6_ISCA1.pdf", "Melting_Curves/meltCurve_Q9BUE6_ISCA1.pdf")</f>
        <v>Melting_Curves/meltCurve_Q9BUE6_ISCA1.pdf</v>
      </c>
    </row>
    <row r="5378" spans="1:28" x14ac:dyDescent="0.25">
      <c r="A5378" t="s">
        <v>5382</v>
      </c>
      <c r="B5378">
        <v>0.99472303558308395</v>
      </c>
      <c r="C5378">
        <v>0.95078743936907595</v>
      </c>
      <c r="D5378">
        <v>0.95269074931668796</v>
      </c>
      <c r="E5378">
        <v>0.91486448523715103</v>
      </c>
      <c r="F5378">
        <v>0.78696661859366401</v>
      </c>
      <c r="G5378">
        <v>0.58893236213958999</v>
      </c>
      <c r="H5378">
        <v>0.28571290445591202</v>
      </c>
      <c r="I5378">
        <v>0.14923816825448299</v>
      </c>
      <c r="J5378">
        <v>5.28542219089762E-2</v>
      </c>
      <c r="K5378">
        <v>6.9047151212438596E-2</v>
      </c>
      <c r="L5378">
        <v>874.79707227028496</v>
      </c>
      <c r="M5378">
        <v>16.058178782800699</v>
      </c>
      <c r="N5378">
        <v>54.476730670261297</v>
      </c>
      <c r="O5378">
        <v>53.652892478237803</v>
      </c>
      <c r="P5378">
        <v>-7.4830154241111196E-2</v>
      </c>
      <c r="Q5378">
        <v>0</v>
      </c>
      <c r="R5378">
        <v>0.99490577561906901</v>
      </c>
      <c r="S5378" t="s">
        <v>11946</v>
      </c>
      <c r="T5378" t="s">
        <v>13134</v>
      </c>
      <c r="U5378" t="s">
        <v>13134</v>
      </c>
      <c r="V5378" t="s">
        <v>13134</v>
      </c>
      <c r="W5378" t="s">
        <v>18448</v>
      </c>
      <c r="X5378">
        <v>27</v>
      </c>
      <c r="Y5378" t="s">
        <v>24814</v>
      </c>
      <c r="Z5378" t="s">
        <v>31346</v>
      </c>
      <c r="AA5378">
        <v>0.5971466003478445</v>
      </c>
      <c r="AB5378" t="str">
        <f>HYPERLINK("Melting_Curves/meltCurve_Q9BUF5_TUBB6.pdf", "Melting_Curves/meltCurve_Q9BUF5_TUBB6.pdf")</f>
        <v>Melting_Curves/meltCurve_Q9BUF5_TUBB6.pdf</v>
      </c>
    </row>
    <row r="5379" spans="1:28" x14ac:dyDescent="0.25">
      <c r="A5379" t="s">
        <v>5383</v>
      </c>
      <c r="B5379">
        <v>0.99472303558308395</v>
      </c>
      <c r="C5379">
        <v>0.95338132416976895</v>
      </c>
      <c r="D5379">
        <v>0.95227297633101604</v>
      </c>
      <c r="E5379">
        <v>0.86481504072692705</v>
      </c>
      <c r="F5379">
        <v>0.79257986861668595</v>
      </c>
      <c r="G5379">
        <v>0.63880259950302098</v>
      </c>
      <c r="H5379">
        <v>0.50419459488145302</v>
      </c>
      <c r="I5379">
        <v>0.49328991181693299</v>
      </c>
      <c r="J5379">
        <v>0.50112537770311605</v>
      </c>
      <c r="K5379">
        <v>0.29365220246428603</v>
      </c>
      <c r="L5379">
        <v>459.07298609996002</v>
      </c>
      <c r="M5379">
        <v>8.2610417087438694</v>
      </c>
      <c r="N5379">
        <v>59.524038409301298</v>
      </c>
      <c r="O5379">
        <v>52.599894554149998</v>
      </c>
      <c r="P5379">
        <v>-3.1004771163575098E-2</v>
      </c>
      <c r="Q5379">
        <v>0.21113400375161501</v>
      </c>
      <c r="R5379">
        <v>0.96552382982212703</v>
      </c>
      <c r="S5379" t="s">
        <v>11947</v>
      </c>
      <c r="T5379" t="s">
        <v>13134</v>
      </c>
      <c r="U5379" t="s">
        <v>13134</v>
      </c>
      <c r="V5379" t="s">
        <v>13134</v>
      </c>
      <c r="W5379" t="s">
        <v>18449</v>
      </c>
      <c r="X5379">
        <v>13</v>
      </c>
      <c r="Y5379" t="s">
        <v>24815</v>
      </c>
      <c r="Z5379" t="s">
        <v>31347</v>
      </c>
      <c r="AA5379">
        <v>0.70198054825153633</v>
      </c>
      <c r="AB5379" t="str">
        <f>HYPERLINK("Melting_Curves/meltCurve_Q9BUH6_C9orf142.pdf", "Melting_Curves/meltCurve_Q9BUH6_C9orf142.pdf")</f>
        <v>Melting_Curves/meltCurve_Q9BUH6_C9orf142.pdf</v>
      </c>
    </row>
    <row r="5380" spans="1:28" x14ac:dyDescent="0.25">
      <c r="A5380" t="s">
        <v>5384</v>
      </c>
      <c r="B5380">
        <v>0.99472303558308395</v>
      </c>
      <c r="C5380">
        <v>0.99477385221199899</v>
      </c>
      <c r="D5380">
        <v>0.82826190366248698</v>
      </c>
      <c r="E5380">
        <v>0.68234261043841304</v>
      </c>
      <c r="F5380">
        <v>0.60902287149020295</v>
      </c>
      <c r="G5380">
        <v>0.40749818939406401</v>
      </c>
      <c r="H5380">
        <v>0.19014020699853501</v>
      </c>
      <c r="I5380">
        <v>0.100371384185779</v>
      </c>
      <c r="J5380">
        <v>0.129539732529841</v>
      </c>
      <c r="K5380">
        <v>0.103203647947146</v>
      </c>
      <c r="L5380">
        <v>531.69767468596604</v>
      </c>
      <c r="M5380">
        <v>10.4124066218127</v>
      </c>
      <c r="N5380">
        <v>51.063859721963297</v>
      </c>
      <c r="O5380">
        <v>49.288116541413402</v>
      </c>
      <c r="P5380">
        <v>-5.2835985844958702E-2</v>
      </c>
      <c r="Q5380">
        <v>0</v>
      </c>
      <c r="R5380">
        <v>0.98411684909310404</v>
      </c>
      <c r="S5380" t="s">
        <v>11948</v>
      </c>
      <c r="T5380" t="s">
        <v>13134</v>
      </c>
      <c r="U5380" t="s">
        <v>13134</v>
      </c>
      <c r="V5380" t="s">
        <v>13134</v>
      </c>
      <c r="W5380" t="s">
        <v>18450</v>
      </c>
      <c r="X5380">
        <v>10</v>
      </c>
      <c r="Y5380" t="s">
        <v>24816</v>
      </c>
      <c r="Z5380" t="s">
        <v>31348</v>
      </c>
      <c r="AA5380">
        <v>0.49813645503771881</v>
      </c>
      <c r="AB5380" t="str">
        <f>HYPERLINK("Melting_Curves/meltCurve_Q9BUI4_POLR3C.pdf", "Melting_Curves/meltCurve_Q9BUI4_POLR3C.pdf")</f>
        <v>Melting_Curves/meltCurve_Q9BUI4_POLR3C.pdf</v>
      </c>
    </row>
    <row r="5381" spans="1:28" x14ac:dyDescent="0.25">
      <c r="A5381" t="s">
        <v>5385</v>
      </c>
      <c r="B5381">
        <v>0.99472303558308395</v>
      </c>
      <c r="C5381">
        <v>1.02274717892919</v>
      </c>
      <c r="D5381">
        <v>0.80603418134040195</v>
      </c>
      <c r="E5381">
        <v>0.70894885774206096</v>
      </c>
      <c r="F5381">
        <v>0.26224731618122399</v>
      </c>
      <c r="G5381">
        <v>0.16411895298505799</v>
      </c>
      <c r="H5381">
        <v>0.115630038428424</v>
      </c>
      <c r="I5381">
        <v>0.11115498846581</v>
      </c>
      <c r="J5381">
        <v>0.154647852329622</v>
      </c>
      <c r="K5381">
        <v>0.10088868644007599</v>
      </c>
      <c r="L5381">
        <v>1027.79930586091</v>
      </c>
      <c r="M5381">
        <v>21.688692400285198</v>
      </c>
      <c r="N5381">
        <v>47.9212802540032</v>
      </c>
      <c r="O5381">
        <v>46.991371521235699</v>
      </c>
      <c r="P5381">
        <v>-0.103032196729707</v>
      </c>
      <c r="Q5381">
        <v>0.107090518157874</v>
      </c>
      <c r="R5381">
        <v>0.983352050528982</v>
      </c>
      <c r="S5381" t="s">
        <v>11949</v>
      </c>
      <c r="T5381" t="s">
        <v>13134</v>
      </c>
      <c r="U5381" t="s">
        <v>13134</v>
      </c>
      <c r="V5381" t="s">
        <v>13134</v>
      </c>
      <c r="W5381" t="s">
        <v>18451</v>
      </c>
      <c r="X5381">
        <v>17</v>
      </c>
      <c r="Y5381" t="s">
        <v>24817</v>
      </c>
      <c r="Z5381" t="s">
        <v>31349</v>
      </c>
      <c r="AA5381">
        <v>0.4262918741164069</v>
      </c>
      <c r="AB5381" t="str">
        <f>HYPERLINK("Melting_Curves/meltCurve_Q9BUJ2_2_HNRNPUL1.pdf", "Melting_Curves/meltCurve_Q9BUJ2_2_HNRNPUL1.pdf")</f>
        <v>Melting_Curves/meltCurve_Q9BUJ2_2_HNRNPUL1.pdf</v>
      </c>
    </row>
    <row r="5382" spans="1:28" x14ac:dyDescent="0.25">
      <c r="A5382" t="s">
        <v>5386</v>
      </c>
      <c r="B5382">
        <v>0.99472303558308395</v>
      </c>
      <c r="C5382">
        <v>0.93784264142087603</v>
      </c>
      <c r="D5382">
        <v>0.96197090968626997</v>
      </c>
      <c r="E5382">
        <v>0.853835273087866</v>
      </c>
      <c r="F5382">
        <v>0.58198718098917801</v>
      </c>
      <c r="G5382">
        <v>0.19128772504192701</v>
      </c>
      <c r="H5382">
        <v>8.9645788048776001E-2</v>
      </c>
      <c r="I5382">
        <v>4.4702755173340797E-2</v>
      </c>
      <c r="J5382">
        <v>4.8509729324916602E-2</v>
      </c>
      <c r="K5382">
        <v>4.1325603260348197E-2</v>
      </c>
      <c r="L5382">
        <v>1166.73199052516</v>
      </c>
      <c r="M5382">
        <v>23.0975988434569</v>
      </c>
      <c r="N5382">
        <v>50.655329771900398</v>
      </c>
      <c r="O5382">
        <v>50.139070184483103</v>
      </c>
      <c r="P5382">
        <v>-0.1115544665866</v>
      </c>
      <c r="Q5382">
        <v>3.1391339745310401E-2</v>
      </c>
      <c r="R5382">
        <v>0.99594272194431899</v>
      </c>
      <c r="S5382" t="s">
        <v>11950</v>
      </c>
      <c r="T5382" t="s">
        <v>13134</v>
      </c>
      <c r="U5382" t="s">
        <v>13134</v>
      </c>
      <c r="V5382" t="s">
        <v>13134</v>
      </c>
      <c r="W5382" t="s">
        <v>18452</v>
      </c>
      <c r="X5382">
        <v>11</v>
      </c>
      <c r="Y5382" t="s">
        <v>24818</v>
      </c>
      <c r="Z5382" t="s">
        <v>31350</v>
      </c>
      <c r="AA5382">
        <v>0.47755035179313021</v>
      </c>
      <c r="AB5382" t="str">
        <f>HYPERLINK("Melting_Curves/meltCurve_Q9BUK6_3_MSTO1.pdf", "Melting_Curves/meltCurve_Q9BUK6_3_MSTO1.pdf")</f>
        <v>Melting_Curves/meltCurve_Q9BUK6_3_MSTO1.pdf</v>
      </c>
    </row>
    <row r="5383" spans="1:28" x14ac:dyDescent="0.25">
      <c r="A5383" t="s">
        <v>5387</v>
      </c>
      <c r="B5383">
        <v>0.99472303558308395</v>
      </c>
      <c r="C5383">
        <v>1.0992697155975599</v>
      </c>
      <c r="D5383">
        <v>0.903859217366625</v>
      </c>
      <c r="E5383">
        <v>0.67358721267328303</v>
      </c>
      <c r="F5383">
        <v>0.46652153158061899</v>
      </c>
      <c r="G5383">
        <v>0.40888090159000601</v>
      </c>
      <c r="H5383">
        <v>0.28814466856950999</v>
      </c>
      <c r="I5383">
        <v>0.27559856910496799</v>
      </c>
      <c r="J5383">
        <v>0.38529164063406601</v>
      </c>
      <c r="K5383">
        <v>0.19872873642577499</v>
      </c>
      <c r="L5383">
        <v>905.41555784572597</v>
      </c>
      <c r="M5383">
        <v>19.1178711120602</v>
      </c>
      <c r="N5383">
        <v>49.575060531702597</v>
      </c>
      <c r="O5383">
        <v>46.8505930707692</v>
      </c>
      <c r="P5383">
        <v>-7.2717351807931194E-2</v>
      </c>
      <c r="Q5383">
        <v>0.287218008975067</v>
      </c>
      <c r="R5383">
        <v>0.96249178416381498</v>
      </c>
      <c r="S5383" t="s">
        <v>11951</v>
      </c>
      <c r="T5383" t="s">
        <v>13134</v>
      </c>
      <c r="U5383" t="s">
        <v>13134</v>
      </c>
      <c r="V5383" t="s">
        <v>13134</v>
      </c>
      <c r="W5383" t="s">
        <v>18453</v>
      </c>
      <c r="X5383">
        <v>2</v>
      </c>
      <c r="Y5383" t="s">
        <v>24819</v>
      </c>
      <c r="Z5383" t="s">
        <v>31351</v>
      </c>
      <c r="AA5383">
        <v>0.54354666657937045</v>
      </c>
      <c r="AB5383" t="str">
        <f>HYPERLINK("Melting_Curves/meltCurve_Q9BUL9_RPP25.pdf", "Melting_Curves/meltCurve_Q9BUL9_RPP25.pdf")</f>
        <v>Melting_Curves/meltCurve_Q9BUL9_RPP25.pdf</v>
      </c>
    </row>
    <row r="5384" spans="1:28" x14ac:dyDescent="0.25">
      <c r="A5384" t="s">
        <v>5388</v>
      </c>
      <c r="B5384">
        <v>0.99472303558308395</v>
      </c>
      <c r="C5384">
        <v>0.97688498462373297</v>
      </c>
      <c r="D5384">
        <v>0.990007940426051</v>
      </c>
      <c r="E5384">
        <v>0.78361721346104996</v>
      </c>
      <c r="F5384">
        <v>0.23866704249850601</v>
      </c>
      <c r="G5384">
        <v>0.10651958357353</v>
      </c>
      <c r="H5384">
        <v>6.5962327590911904E-2</v>
      </c>
      <c r="I5384">
        <v>4.2352684264045898E-2</v>
      </c>
      <c r="J5384">
        <v>5.1379006544239297E-2</v>
      </c>
      <c r="K5384">
        <v>4.2913821004978099E-2</v>
      </c>
      <c r="L5384">
        <v>1664.73884239314</v>
      </c>
      <c r="M5384">
        <v>34.527662136892403</v>
      </c>
      <c r="N5384">
        <v>48.376345481308498</v>
      </c>
      <c r="O5384">
        <v>48.053767386011799</v>
      </c>
      <c r="P5384">
        <v>-0.16984094509807501</v>
      </c>
      <c r="Q5384">
        <v>5.45010669371696E-2</v>
      </c>
      <c r="R5384">
        <v>0.999044912796476</v>
      </c>
      <c r="S5384" t="s">
        <v>11952</v>
      </c>
      <c r="T5384" t="s">
        <v>13134</v>
      </c>
      <c r="U5384" t="s">
        <v>13134</v>
      </c>
      <c r="V5384" t="s">
        <v>13134</v>
      </c>
      <c r="W5384" t="s">
        <v>18454</v>
      </c>
      <c r="X5384">
        <v>16</v>
      </c>
      <c r="Y5384" t="s">
        <v>24820</v>
      </c>
      <c r="Z5384" t="s">
        <v>31352</v>
      </c>
      <c r="AA5384">
        <v>0.41218699477193382</v>
      </c>
      <c r="AB5384" t="str">
        <f>HYPERLINK("Melting_Curves/meltCurve_Q9BUP3_3_HTATIP2.pdf", "Melting_Curves/meltCurve_Q9BUP3_3_HTATIP2.pdf")</f>
        <v>Melting_Curves/meltCurve_Q9BUP3_3_HTATIP2.pdf</v>
      </c>
    </row>
    <row r="5385" spans="1:28" x14ac:dyDescent="0.25">
      <c r="A5385" t="s">
        <v>5389</v>
      </c>
      <c r="B5385">
        <v>0.99472303558308395</v>
      </c>
      <c r="C5385">
        <v>0.94262758738150698</v>
      </c>
      <c r="D5385">
        <v>0.78848112580048502</v>
      </c>
      <c r="E5385">
        <v>0.74706089903024597</v>
      </c>
      <c r="F5385">
        <v>1.1815501047283801</v>
      </c>
      <c r="G5385">
        <v>0.49884552900305701</v>
      </c>
      <c r="H5385">
        <v>0.111369500856563</v>
      </c>
      <c r="I5385">
        <v>7.7959326954441896E-2</v>
      </c>
      <c r="J5385">
        <v>0.11486067365718799</v>
      </c>
      <c r="K5385">
        <v>6.7875571213146094E-2</v>
      </c>
      <c r="L5385">
        <v>13438.6491869498</v>
      </c>
      <c r="M5385">
        <v>250</v>
      </c>
      <c r="N5385">
        <v>53.798879977324297</v>
      </c>
      <c r="O5385">
        <v>53.751156844199599</v>
      </c>
      <c r="P5385">
        <v>-1.05460958844163</v>
      </c>
      <c r="Q5385">
        <v>9.3016235274021697E-2</v>
      </c>
      <c r="R5385">
        <v>0.91300949318052504</v>
      </c>
      <c r="S5385" t="s">
        <v>11953</v>
      </c>
      <c r="T5385" t="s">
        <v>13134</v>
      </c>
      <c r="U5385" t="s">
        <v>13134</v>
      </c>
      <c r="V5385" t="s">
        <v>13134</v>
      </c>
      <c r="W5385" t="s">
        <v>18455</v>
      </c>
      <c r="X5385">
        <v>29</v>
      </c>
      <c r="Y5385" t="s">
        <v>24821</v>
      </c>
      <c r="Z5385" t="s">
        <v>31353</v>
      </c>
      <c r="AA5385">
        <v>0.59964003990387804</v>
      </c>
      <c r="AB5385" t="str">
        <f>HYPERLINK("Melting_Curves/meltCurve_Q9BUQ8_DDX23.pdf", "Melting_Curves/meltCurve_Q9BUQ8_DDX23.pdf")</f>
        <v>Melting_Curves/meltCurve_Q9BUQ8_DDX23.pdf</v>
      </c>
    </row>
    <row r="5386" spans="1:28" x14ac:dyDescent="0.25">
      <c r="A5386" t="s">
        <v>5390</v>
      </c>
      <c r="B5386">
        <v>0.99472303558308395</v>
      </c>
      <c r="C5386">
        <v>1.0517208134045</v>
      </c>
      <c r="D5386">
        <v>0.96870970009397706</v>
      </c>
      <c r="E5386">
        <v>0.84910961233750404</v>
      </c>
      <c r="F5386">
        <v>0.80241165079164201</v>
      </c>
      <c r="G5386">
        <v>0.46172099807462802</v>
      </c>
      <c r="H5386">
        <v>0.19598477675794601</v>
      </c>
      <c r="I5386">
        <v>0.11539764808241799</v>
      </c>
      <c r="J5386">
        <v>0.11160324516429</v>
      </c>
      <c r="K5386">
        <v>0.104051841802451</v>
      </c>
      <c r="L5386">
        <v>1060.47620312197</v>
      </c>
      <c r="M5386">
        <v>20.075198457736398</v>
      </c>
      <c r="N5386">
        <v>53.239086112646298</v>
      </c>
      <c r="O5386">
        <v>52.309402451345797</v>
      </c>
      <c r="P5386">
        <v>-8.9015330031579798E-2</v>
      </c>
      <c r="Q5386">
        <v>7.2250419515449693E-2</v>
      </c>
      <c r="R5386">
        <v>0.98964271328070896</v>
      </c>
      <c r="S5386" t="s">
        <v>11954</v>
      </c>
      <c r="T5386" t="s">
        <v>13134</v>
      </c>
      <c r="U5386" t="s">
        <v>13134</v>
      </c>
      <c r="V5386" t="s">
        <v>13134</v>
      </c>
      <c r="W5386" t="s">
        <v>18456</v>
      </c>
      <c r="X5386">
        <v>6</v>
      </c>
      <c r="Y5386" t="s">
        <v>24822</v>
      </c>
      <c r="Z5386" t="s">
        <v>31354</v>
      </c>
      <c r="AA5386">
        <v>0.57332869335671488</v>
      </c>
      <c r="AB5386" t="str">
        <f>HYPERLINK("Melting_Curves/meltCurve_Q9BUR4_WRAP53.pdf", "Melting_Curves/meltCurve_Q9BUR4_WRAP53.pdf")</f>
        <v>Melting_Curves/meltCurve_Q9BUR4_WRAP53.pdf</v>
      </c>
    </row>
    <row r="5387" spans="1:28" x14ac:dyDescent="0.25">
      <c r="A5387" t="s">
        <v>5391</v>
      </c>
      <c r="B5387">
        <v>0.99472303558308395</v>
      </c>
      <c r="C5387">
        <v>0.97648696403766999</v>
      </c>
      <c r="D5387">
        <v>0.91189886555102295</v>
      </c>
      <c r="E5387">
        <v>0.81787368164678598</v>
      </c>
      <c r="F5387">
        <v>0.77459764835099798</v>
      </c>
      <c r="G5387">
        <v>0.21226082218890199</v>
      </c>
      <c r="H5387">
        <v>0.10069075107351901</v>
      </c>
      <c r="I5387">
        <v>5.0479853667875302E-2</v>
      </c>
      <c r="J5387">
        <v>8.2026054320408798E-2</v>
      </c>
      <c r="K5387">
        <v>6.1967141081859502E-2</v>
      </c>
      <c r="L5387">
        <v>1697.1388229950101</v>
      </c>
      <c r="M5387">
        <v>32.920479357885597</v>
      </c>
      <c r="N5387">
        <v>51.749939959322703</v>
      </c>
      <c r="O5387">
        <v>51.3635645632679</v>
      </c>
      <c r="P5387">
        <v>-0.150784891805264</v>
      </c>
      <c r="Q5387">
        <v>5.8966955575350401E-2</v>
      </c>
      <c r="R5387">
        <v>0.97758985823274702</v>
      </c>
      <c r="S5387" t="s">
        <v>11955</v>
      </c>
      <c r="T5387" t="s">
        <v>13134</v>
      </c>
      <c r="U5387" t="s">
        <v>13134</v>
      </c>
      <c r="V5387" t="s">
        <v>13134</v>
      </c>
      <c r="W5387" t="s">
        <v>18457</v>
      </c>
      <c r="X5387">
        <v>4</v>
      </c>
      <c r="Y5387" t="s">
        <v>24823</v>
      </c>
      <c r="Z5387" t="s">
        <v>31355</v>
      </c>
      <c r="AA5387">
        <v>0.52037964466912201</v>
      </c>
      <c r="AB5387" t="str">
        <f>HYPERLINK("Melting_Curves/meltCurve_Q9BUT1_BDH2.pdf", "Melting_Curves/meltCurve_Q9BUT1_BDH2.pdf")</f>
        <v>Melting_Curves/meltCurve_Q9BUT1_BDH2.pdf</v>
      </c>
    </row>
    <row r="5388" spans="1:28" x14ac:dyDescent="0.25">
      <c r="A5388" t="s">
        <v>5392</v>
      </c>
      <c r="B5388">
        <v>0.99472303558308395</v>
      </c>
      <c r="C5388">
        <v>1.0630248258388</v>
      </c>
      <c r="D5388">
        <v>0.85573082059428895</v>
      </c>
      <c r="E5388">
        <v>0.66119617326356395</v>
      </c>
      <c r="F5388">
        <v>0.59146739613611699</v>
      </c>
      <c r="G5388">
        <v>0.229538814124705</v>
      </c>
      <c r="H5388">
        <v>0.24718091915267601</v>
      </c>
      <c r="I5388">
        <v>0.109613999941529</v>
      </c>
      <c r="J5388">
        <v>0.74820456823950798</v>
      </c>
      <c r="K5388">
        <v>0.119266805507886</v>
      </c>
      <c r="L5388">
        <v>888.52880030108599</v>
      </c>
      <c r="M5388">
        <v>18.7916267078432</v>
      </c>
      <c r="N5388">
        <v>49.531104146841898</v>
      </c>
      <c r="O5388">
        <v>46.7575286510436</v>
      </c>
      <c r="P5388">
        <v>-7.1651405882384903E-2</v>
      </c>
      <c r="Q5388">
        <v>0.28689447675236202</v>
      </c>
      <c r="R5388">
        <v>0.73049150893452897</v>
      </c>
      <c r="S5388" t="s">
        <v>11956</v>
      </c>
      <c r="T5388" t="s">
        <v>13134</v>
      </c>
      <c r="U5388" t="s">
        <v>13134</v>
      </c>
      <c r="V5388" t="s">
        <v>13134</v>
      </c>
      <c r="W5388" t="s">
        <v>18458</v>
      </c>
      <c r="X5388">
        <v>3</v>
      </c>
      <c r="Y5388" t="s">
        <v>24824</v>
      </c>
      <c r="Z5388" t="s">
        <v>31356</v>
      </c>
      <c r="AA5388">
        <v>0.54186429254185475</v>
      </c>
      <c r="AB5388" t="str">
        <f>HYPERLINK("Melting_Curves/meltCurve_Q9BUT9_FAM195A.pdf", "Melting_Curves/meltCurve_Q9BUT9_FAM195A.pdf")</f>
        <v>Melting_Curves/meltCurve_Q9BUT9_FAM195A.pdf</v>
      </c>
    </row>
    <row r="5389" spans="1:28" x14ac:dyDescent="0.25">
      <c r="A5389" t="s">
        <v>5393</v>
      </c>
      <c r="B5389">
        <v>0.99472303558308395</v>
      </c>
      <c r="C5389">
        <v>1.01405743062515</v>
      </c>
      <c r="D5389">
        <v>1.0660663760596301</v>
      </c>
      <c r="E5389">
        <v>0.96232009195596502</v>
      </c>
      <c r="F5389">
        <v>0.83974945697479797</v>
      </c>
      <c r="G5389">
        <v>0.62443130959526905</v>
      </c>
      <c r="H5389">
        <v>0.58177980167617505</v>
      </c>
      <c r="I5389">
        <v>0.60856907491732404</v>
      </c>
      <c r="J5389">
        <v>0.92828378252586496</v>
      </c>
      <c r="K5389">
        <v>0.66421872693341399</v>
      </c>
      <c r="L5389">
        <v>12549.382971784</v>
      </c>
      <c r="M5389">
        <v>250</v>
      </c>
      <c r="O5389">
        <v>50.1943216225622</v>
      </c>
      <c r="P5389">
        <v>-0.39663783867338198</v>
      </c>
      <c r="Q5389">
        <v>0.68145653746730706</v>
      </c>
      <c r="R5389">
        <v>0.73569537357625703</v>
      </c>
      <c r="S5389" t="s">
        <v>11957</v>
      </c>
      <c r="T5389" t="s">
        <v>13134</v>
      </c>
      <c r="U5389" t="s">
        <v>13134</v>
      </c>
      <c r="V5389" t="s">
        <v>13134</v>
      </c>
      <c r="W5389" t="s">
        <v>18459</v>
      </c>
      <c r="X5389">
        <v>1</v>
      </c>
      <c r="Y5389" t="s">
        <v>24825</v>
      </c>
      <c r="Z5389" t="s">
        <v>31357</v>
      </c>
      <c r="AA5389">
        <v>0.82161751664338689</v>
      </c>
      <c r="AB5389" t="str">
        <f>HYPERLINK("Melting_Curves/meltCurve_Q9BUW7_C9orf16.pdf", "Melting_Curves/meltCurve_Q9BUW7_C9orf16.pdf")</f>
        <v>Melting_Curves/meltCurve_Q9BUW7_C9orf16.pdf</v>
      </c>
    </row>
    <row r="5390" spans="1:28" x14ac:dyDescent="0.25">
      <c r="A5390" t="s">
        <v>5394</v>
      </c>
      <c r="B5390">
        <v>0.99472303558308395</v>
      </c>
      <c r="C5390">
        <v>0.78854019747576098</v>
      </c>
      <c r="D5390">
        <v>0.75120127010128102</v>
      </c>
      <c r="E5390">
        <v>0.612786303767339</v>
      </c>
      <c r="F5390">
        <v>0.501995689181016</v>
      </c>
      <c r="G5390">
        <v>0.31548544845781301</v>
      </c>
      <c r="H5390">
        <v>0.20551448164807001</v>
      </c>
      <c r="I5390">
        <v>0.14591652116415099</v>
      </c>
      <c r="J5390">
        <v>0.18443931849431799</v>
      </c>
      <c r="K5390">
        <v>0.141376901295617</v>
      </c>
      <c r="L5390">
        <v>404.99932505230498</v>
      </c>
      <c r="M5390">
        <v>8.3489780143669297</v>
      </c>
      <c r="N5390">
        <v>48.959853197776702</v>
      </c>
      <c r="O5390">
        <v>45.965184288210899</v>
      </c>
      <c r="P5390">
        <v>-4.3770776112949598E-2</v>
      </c>
      <c r="Q5390">
        <v>3.7010669564362102E-2</v>
      </c>
      <c r="R5390">
        <v>0.98039295268051496</v>
      </c>
      <c r="S5390" t="s">
        <v>11958</v>
      </c>
      <c r="T5390" t="s">
        <v>13134</v>
      </c>
      <c r="U5390" t="s">
        <v>13134</v>
      </c>
      <c r="V5390" t="s">
        <v>13134</v>
      </c>
      <c r="W5390" t="s">
        <v>18460</v>
      </c>
      <c r="X5390">
        <v>5</v>
      </c>
      <c r="Y5390" t="s">
        <v>24826</v>
      </c>
      <c r="Z5390" t="s">
        <v>31358</v>
      </c>
      <c r="AA5390">
        <v>0.45179627246407972</v>
      </c>
      <c r="AB5390" t="str">
        <f>HYPERLINK("Melting_Curves/meltCurve_Q9BUZ4_TRAF4.pdf", "Melting_Curves/meltCurve_Q9BUZ4_TRAF4.pdf")</f>
        <v>Melting_Curves/meltCurve_Q9BUZ4_TRAF4.pdf</v>
      </c>
    </row>
    <row r="5391" spans="1:28" x14ac:dyDescent="0.25">
      <c r="A5391" t="s">
        <v>5395</v>
      </c>
      <c r="B5391">
        <v>0.99472303558308395</v>
      </c>
      <c r="C5391">
        <v>0.99524714695215499</v>
      </c>
      <c r="D5391">
        <v>0.77535691200412205</v>
      </c>
      <c r="E5391">
        <v>0.74672506031179897</v>
      </c>
      <c r="F5391">
        <v>0.71908336406459405</v>
      </c>
      <c r="G5391">
        <v>0.38452782122052298</v>
      </c>
      <c r="H5391">
        <v>0.27560790428944598</v>
      </c>
      <c r="I5391">
        <v>0.114392309503418</v>
      </c>
      <c r="J5391">
        <v>0.22678602093731501</v>
      </c>
      <c r="K5391">
        <v>0.14097060110305601</v>
      </c>
      <c r="L5391">
        <v>518.95426456597704</v>
      </c>
      <c r="M5391">
        <v>10.0222399675009</v>
      </c>
      <c r="N5391">
        <v>52.138386176462397</v>
      </c>
      <c r="O5391">
        <v>49.845420508037797</v>
      </c>
      <c r="P5391">
        <v>-4.8618093641961999E-2</v>
      </c>
      <c r="Q5391">
        <v>3.3261526939854298E-2</v>
      </c>
      <c r="R5391">
        <v>0.95598726809823498</v>
      </c>
      <c r="S5391" t="s">
        <v>11959</v>
      </c>
      <c r="T5391" t="s">
        <v>13134</v>
      </c>
      <c r="U5391" t="s">
        <v>13134</v>
      </c>
      <c r="V5391" t="s">
        <v>13134</v>
      </c>
      <c r="W5391" t="s">
        <v>18461</v>
      </c>
      <c r="X5391">
        <v>5</v>
      </c>
      <c r="Y5391" t="s">
        <v>24827</v>
      </c>
      <c r="Z5391" t="s">
        <v>31359</v>
      </c>
      <c r="AA5391">
        <v>0.5361372475374534</v>
      </c>
      <c r="AB5391" t="str">
        <f>HYPERLINK("Melting_Curves/meltCurve_Q9BV19_C1orf50.pdf", "Melting_Curves/meltCurve_Q9BV19_C1orf50.pdf")</f>
        <v>Melting_Curves/meltCurve_Q9BV19_C1orf50.pdf</v>
      </c>
    </row>
    <row r="5392" spans="1:28" x14ac:dyDescent="0.25">
      <c r="A5392" t="s">
        <v>5396</v>
      </c>
      <c r="B5392">
        <v>0.99472303558308395</v>
      </c>
      <c r="C5392">
        <v>1.01622276247476</v>
      </c>
      <c r="D5392">
        <v>0.96494307803448998</v>
      </c>
      <c r="E5392">
        <v>0.91027088291401703</v>
      </c>
      <c r="F5392">
        <v>0.69066807936470298</v>
      </c>
      <c r="G5392">
        <v>0.47706553624102699</v>
      </c>
      <c r="H5392">
        <v>0.22151284012537101</v>
      </c>
      <c r="I5392">
        <v>0.107490073557203</v>
      </c>
      <c r="J5392">
        <v>9.4649459290221102E-2</v>
      </c>
      <c r="K5392">
        <v>8.2506019156958293E-2</v>
      </c>
      <c r="L5392">
        <v>878.06595752935198</v>
      </c>
      <c r="M5392">
        <v>16.643183248713701</v>
      </c>
      <c r="N5392">
        <v>53.0232580740904</v>
      </c>
      <c r="O5392">
        <v>52.014249442549101</v>
      </c>
      <c r="P5392">
        <v>-7.6806632242651496E-2</v>
      </c>
      <c r="Q5392">
        <v>3.9901770503496102E-2</v>
      </c>
      <c r="R5392">
        <v>0.99767807213599702</v>
      </c>
      <c r="S5392" t="s">
        <v>11960</v>
      </c>
      <c r="T5392" t="s">
        <v>13134</v>
      </c>
      <c r="U5392" t="s">
        <v>13134</v>
      </c>
      <c r="V5392" t="s">
        <v>13134</v>
      </c>
      <c r="W5392" t="s">
        <v>18462</v>
      </c>
      <c r="X5392">
        <v>15</v>
      </c>
      <c r="Y5392" t="s">
        <v>24828</v>
      </c>
      <c r="Z5392" t="s">
        <v>31360</v>
      </c>
      <c r="AA5392">
        <v>0.55979270754576016</v>
      </c>
      <c r="AB5392" t="str">
        <f>HYPERLINK("Melting_Curves/meltCurve_Q9BV20_MRI1.pdf", "Melting_Curves/meltCurve_Q9BV20_MRI1.pdf")</f>
        <v>Melting_Curves/meltCurve_Q9BV20_MRI1.pdf</v>
      </c>
    </row>
    <row r="5393" spans="1:28" x14ac:dyDescent="0.25">
      <c r="A5393" t="s">
        <v>5397</v>
      </c>
      <c r="B5393">
        <v>0.99472303558308395</v>
      </c>
      <c r="C5393">
        <v>0.89420825823266903</v>
      </c>
      <c r="D5393">
        <v>0.789071052323424</v>
      </c>
      <c r="E5393">
        <v>0.60604964611250101</v>
      </c>
      <c r="F5393">
        <v>0.345478530129739</v>
      </c>
      <c r="G5393">
        <v>0.18539788768933199</v>
      </c>
      <c r="H5393">
        <v>0.13858040375997099</v>
      </c>
      <c r="I5393">
        <v>0.110498213134075</v>
      </c>
      <c r="J5393">
        <v>0.153920700411879</v>
      </c>
      <c r="K5393">
        <v>0.12572507558798501</v>
      </c>
      <c r="L5393">
        <v>679.64794152756099</v>
      </c>
      <c r="M5393">
        <v>14.5121561247184</v>
      </c>
      <c r="N5393">
        <v>47.556862934051601</v>
      </c>
      <c r="O5393">
        <v>45.970653205127</v>
      </c>
      <c r="P5393">
        <v>-7.1108166340579801E-2</v>
      </c>
      <c r="Q5393">
        <v>9.9096112213372306E-2</v>
      </c>
      <c r="R5393">
        <v>0.99374283536154795</v>
      </c>
      <c r="S5393" t="s">
        <v>11961</v>
      </c>
      <c r="T5393" t="s">
        <v>13134</v>
      </c>
      <c r="U5393" t="s">
        <v>13134</v>
      </c>
      <c r="V5393" t="s">
        <v>13134</v>
      </c>
      <c r="W5393" t="s">
        <v>18463</v>
      </c>
      <c r="X5393">
        <v>2</v>
      </c>
      <c r="Y5393" t="s">
        <v>24829</v>
      </c>
      <c r="Z5393" t="s">
        <v>31361</v>
      </c>
      <c r="AA5393">
        <v>0.41598588160675831</v>
      </c>
      <c r="AB5393" t="str">
        <f>HYPERLINK("Melting_Curves/meltCurve_Q9BV23_ABHD6.pdf", "Melting_Curves/meltCurve_Q9BV23_ABHD6.pdf")</f>
        <v>Melting_Curves/meltCurve_Q9BV23_ABHD6.pdf</v>
      </c>
    </row>
    <row r="5394" spans="1:28" x14ac:dyDescent="0.25">
      <c r="A5394" t="s">
        <v>5398</v>
      </c>
      <c r="B5394">
        <v>0.99472303558308395</v>
      </c>
      <c r="C5394">
        <v>0.85984823386722997</v>
      </c>
      <c r="D5394">
        <v>0.942757545905615</v>
      </c>
      <c r="E5394">
        <v>0.97323391401876602</v>
      </c>
      <c r="F5394">
        <v>1.18748588276519</v>
      </c>
      <c r="G5394">
        <v>1.11558933534659</v>
      </c>
      <c r="H5394">
        <v>0.204545588527654</v>
      </c>
      <c r="I5394">
        <v>0.11574351017769199</v>
      </c>
      <c r="J5394">
        <v>0.108651960566744</v>
      </c>
      <c r="K5394">
        <v>8.7661318578622596E-2</v>
      </c>
      <c r="L5394">
        <v>14231.269141877699</v>
      </c>
      <c r="M5394">
        <v>250</v>
      </c>
      <c r="N5394">
        <v>56.978243281140102</v>
      </c>
      <c r="O5394">
        <v>56.921433756174601</v>
      </c>
      <c r="P5394">
        <v>-0.98379160030924395</v>
      </c>
      <c r="Q5394">
        <v>0.104018746791744</v>
      </c>
      <c r="R5394">
        <v>0.96278826720107602</v>
      </c>
      <c r="S5394" t="s">
        <v>11962</v>
      </c>
      <c r="T5394" t="s">
        <v>13134</v>
      </c>
      <c r="U5394" t="s">
        <v>13134</v>
      </c>
      <c r="V5394" t="s">
        <v>13134</v>
      </c>
      <c r="W5394" t="s">
        <v>18464</v>
      </c>
      <c r="X5394">
        <v>8</v>
      </c>
      <c r="Y5394" t="s">
        <v>24830</v>
      </c>
      <c r="Z5394" t="s">
        <v>31362</v>
      </c>
      <c r="AA5394">
        <v>0.69919142677710611</v>
      </c>
      <c r="AB5394" t="str">
        <f>HYPERLINK("Melting_Curves/meltCurve_Q9BV38_WDR18.pdf", "Melting_Curves/meltCurve_Q9BV38_WDR18.pdf")</f>
        <v>Melting_Curves/meltCurve_Q9BV38_WDR18.pdf</v>
      </c>
    </row>
    <row r="5395" spans="1:28" x14ac:dyDescent="0.25">
      <c r="A5395" t="s">
        <v>5399</v>
      </c>
      <c r="B5395">
        <v>0.99472303558308395</v>
      </c>
      <c r="C5395">
        <v>1.09327897005699</v>
      </c>
      <c r="D5395">
        <v>0.99426177825293505</v>
      </c>
      <c r="E5395">
        <v>0.89320923125849705</v>
      </c>
      <c r="F5395">
        <v>0.680044598035908</v>
      </c>
      <c r="G5395">
        <v>0.54431509849305404</v>
      </c>
      <c r="H5395">
        <v>0.48933046582877099</v>
      </c>
      <c r="I5395">
        <v>0.59168825624326304</v>
      </c>
      <c r="J5395">
        <v>0.755751680212293</v>
      </c>
      <c r="K5395">
        <v>0.78392840221758298</v>
      </c>
      <c r="L5395">
        <v>2143.6771409958701</v>
      </c>
      <c r="M5395">
        <v>45.084417702573099</v>
      </c>
      <c r="O5395">
        <v>47.4548149623255</v>
      </c>
      <c r="P5395">
        <v>-8.66642708873787E-2</v>
      </c>
      <c r="Q5395">
        <v>0.63511730391585397</v>
      </c>
      <c r="R5395">
        <v>0.80095008769029297</v>
      </c>
      <c r="S5395" t="s">
        <v>11963</v>
      </c>
      <c r="T5395" t="s">
        <v>13134</v>
      </c>
      <c r="U5395" t="s">
        <v>13134</v>
      </c>
      <c r="V5395" t="s">
        <v>13134</v>
      </c>
      <c r="W5395" t="s">
        <v>18465</v>
      </c>
      <c r="X5395">
        <v>6</v>
      </c>
      <c r="Y5395" t="s">
        <v>24831</v>
      </c>
      <c r="Z5395" t="s">
        <v>31363</v>
      </c>
      <c r="AA5395">
        <v>0.76435339467207464</v>
      </c>
      <c r="AB5395" t="str">
        <f>HYPERLINK("Melting_Curves/meltCurve_Q9BV40_VAMP8.pdf", "Melting_Curves/meltCurve_Q9BV40_VAMP8.pdf")</f>
        <v>Melting_Curves/meltCurve_Q9BV40_VAMP8.pdf</v>
      </c>
    </row>
    <row r="5396" spans="1:28" x14ac:dyDescent="0.25">
      <c r="A5396" t="s">
        <v>5400</v>
      </c>
      <c r="B5396">
        <v>0.99472303558308395</v>
      </c>
      <c r="C5396">
        <v>0.86779164559450095</v>
      </c>
      <c r="D5396">
        <v>1.0389385443198</v>
      </c>
      <c r="E5396">
        <v>0.94208243167272099</v>
      </c>
      <c r="F5396">
        <v>0.79165364264994298</v>
      </c>
      <c r="G5396">
        <v>0.464419487628556</v>
      </c>
      <c r="H5396">
        <v>0.10429424344146</v>
      </c>
      <c r="I5396">
        <v>6.6752734339646E-2</v>
      </c>
      <c r="J5396">
        <v>5.7936068023686303E-2</v>
      </c>
      <c r="K5396">
        <v>5.8010121540513701E-2</v>
      </c>
      <c r="L5396">
        <v>1341.61209783545</v>
      </c>
      <c r="M5396">
        <v>25.319224141343799</v>
      </c>
      <c r="N5396">
        <v>53.1409770349224</v>
      </c>
      <c r="O5396">
        <v>52.660655991899397</v>
      </c>
      <c r="P5396">
        <v>-0.115973641964443</v>
      </c>
      <c r="Q5396">
        <v>3.5172650579928501E-2</v>
      </c>
      <c r="R5396">
        <v>0.98512317550733497</v>
      </c>
      <c r="S5396" t="s">
        <v>11964</v>
      </c>
      <c r="T5396" t="s">
        <v>13134</v>
      </c>
      <c r="U5396" t="s">
        <v>13134</v>
      </c>
      <c r="V5396" t="s">
        <v>13134</v>
      </c>
      <c r="W5396" t="s">
        <v>18466</v>
      </c>
      <c r="X5396">
        <v>19</v>
      </c>
      <c r="Y5396" t="s">
        <v>24832</v>
      </c>
      <c r="Z5396" t="s">
        <v>31364</v>
      </c>
      <c r="AA5396">
        <v>0.55769968249692303</v>
      </c>
      <c r="AB5396" t="str">
        <f>HYPERLINK("Melting_Curves/meltCurve_Q9BV44_THUMPD3.pdf", "Melting_Curves/meltCurve_Q9BV44_THUMPD3.pdf")</f>
        <v>Melting_Curves/meltCurve_Q9BV44_THUMPD3.pdf</v>
      </c>
    </row>
    <row r="5397" spans="1:28" x14ac:dyDescent="0.25">
      <c r="A5397" t="s">
        <v>5401</v>
      </c>
      <c r="B5397">
        <v>0.99472303558308395</v>
      </c>
      <c r="C5397">
        <v>0.94273712862946102</v>
      </c>
      <c r="D5397">
        <v>0.87159254239569794</v>
      </c>
      <c r="E5397">
        <v>0.61420660556503903</v>
      </c>
      <c r="F5397">
        <v>0.26328472262878899</v>
      </c>
      <c r="G5397">
        <v>0.12224115422439701</v>
      </c>
      <c r="H5397">
        <v>7.7972662531085798E-2</v>
      </c>
      <c r="I5397">
        <v>5.6723209584531302E-2</v>
      </c>
      <c r="J5397">
        <v>7.0915332889006005E-2</v>
      </c>
      <c r="K5397">
        <v>5.96160682164956E-2</v>
      </c>
      <c r="L5397">
        <v>942.17318691727098</v>
      </c>
      <c r="M5397">
        <v>19.936101859605699</v>
      </c>
      <c r="N5397">
        <v>47.523385910141101</v>
      </c>
      <c r="O5397">
        <v>46.791845164410397</v>
      </c>
      <c r="P5397">
        <v>-0.100940141324981</v>
      </c>
      <c r="Q5397">
        <v>5.2368440312717798E-2</v>
      </c>
      <c r="R5397">
        <v>0.99843854008274902</v>
      </c>
      <c r="S5397" t="s">
        <v>11965</v>
      </c>
      <c r="T5397" t="s">
        <v>13134</v>
      </c>
      <c r="U5397" t="s">
        <v>13134</v>
      </c>
      <c r="V5397" t="s">
        <v>13134</v>
      </c>
      <c r="W5397" t="s">
        <v>18467</v>
      </c>
      <c r="X5397">
        <v>10</v>
      </c>
      <c r="Y5397" t="s">
        <v>24833</v>
      </c>
      <c r="Z5397" t="s">
        <v>31365</v>
      </c>
      <c r="AA5397">
        <v>0.38894144208683501</v>
      </c>
      <c r="AB5397" t="str">
        <f>HYPERLINK("Melting_Curves/meltCurve_Q9BV57_ADI1.pdf", "Melting_Curves/meltCurve_Q9BV57_ADI1.pdf")</f>
        <v>Melting_Curves/meltCurve_Q9BV57_ADI1.pdf</v>
      </c>
    </row>
    <row r="5398" spans="1:28" x14ac:dyDescent="0.25">
      <c r="A5398" t="s">
        <v>5402</v>
      </c>
      <c r="B5398">
        <v>0.99472303558308395</v>
      </c>
      <c r="C5398">
        <v>1.0246121624636999</v>
      </c>
      <c r="D5398">
        <v>0.95627930468741595</v>
      </c>
      <c r="E5398">
        <v>0.74964294630463602</v>
      </c>
      <c r="F5398">
        <v>0.64393844391808597</v>
      </c>
      <c r="G5398">
        <v>0.43231522554009799</v>
      </c>
      <c r="H5398">
        <v>0.25826965308243199</v>
      </c>
      <c r="I5398">
        <v>0.36920551760548498</v>
      </c>
      <c r="J5398">
        <v>0.31892438541229101</v>
      </c>
      <c r="K5398">
        <v>0.267757858141003</v>
      </c>
      <c r="L5398">
        <v>802.82899334232104</v>
      </c>
      <c r="M5398">
        <v>16.253813415302801</v>
      </c>
      <c r="N5398">
        <v>51.994185053051403</v>
      </c>
      <c r="O5398">
        <v>48.663754830724699</v>
      </c>
      <c r="P5398">
        <v>-6.0270822808750797E-2</v>
      </c>
      <c r="Q5398">
        <v>0.27825224854111802</v>
      </c>
      <c r="R5398">
        <v>0.977741856169134</v>
      </c>
      <c r="S5398" t="s">
        <v>11966</v>
      </c>
      <c r="T5398" t="s">
        <v>13134</v>
      </c>
      <c r="U5398" t="s">
        <v>13134</v>
      </c>
      <c r="V5398" t="s">
        <v>13134</v>
      </c>
      <c r="W5398" t="s">
        <v>18468</v>
      </c>
      <c r="X5398">
        <v>6</v>
      </c>
      <c r="Y5398" t="s">
        <v>24834</v>
      </c>
      <c r="Z5398" t="s">
        <v>31366</v>
      </c>
      <c r="AA5398">
        <v>0.58996303194626798</v>
      </c>
      <c r="AB5398" t="str">
        <f>HYPERLINK("Melting_Curves/meltCurve_Q9BV68_2_RNF126.pdf", "Melting_Curves/meltCurve_Q9BV68_2_RNF126.pdf")</f>
        <v>Melting_Curves/meltCurve_Q9BV68_2_RNF126.pdf</v>
      </c>
    </row>
    <row r="5399" spans="1:28" x14ac:dyDescent="0.25">
      <c r="A5399" t="s">
        <v>5403</v>
      </c>
      <c r="B5399">
        <v>0.99472303558308395</v>
      </c>
      <c r="C5399">
        <v>0.91752705183864403</v>
      </c>
      <c r="D5399">
        <v>0.63544115720198602</v>
      </c>
      <c r="E5399">
        <v>0.34073057606877599</v>
      </c>
      <c r="F5399">
        <v>0.233010388843058</v>
      </c>
      <c r="G5399">
        <v>0.11147793461632299</v>
      </c>
      <c r="H5399">
        <v>7.8018372840881201E-2</v>
      </c>
      <c r="I5399">
        <v>6.3130136078686103E-2</v>
      </c>
      <c r="J5399">
        <v>5.7740503026945798E-2</v>
      </c>
      <c r="K5399">
        <v>5.6522984781806299E-2</v>
      </c>
      <c r="L5399">
        <v>746.85049944806201</v>
      </c>
      <c r="M5399">
        <v>16.789882152466401</v>
      </c>
      <c r="N5399">
        <v>44.830765015821498</v>
      </c>
      <c r="O5399">
        <v>43.865516202422199</v>
      </c>
      <c r="P5399">
        <v>-8.9839631890306401E-2</v>
      </c>
      <c r="Q5399">
        <v>6.1194728254773803E-2</v>
      </c>
      <c r="R5399">
        <v>0.99514347150288696</v>
      </c>
      <c r="S5399" t="s">
        <v>11967</v>
      </c>
      <c r="T5399" t="s">
        <v>13134</v>
      </c>
      <c r="U5399" t="s">
        <v>13134</v>
      </c>
      <c r="V5399" t="s">
        <v>13134</v>
      </c>
      <c r="W5399" t="s">
        <v>18469</v>
      </c>
      <c r="X5399">
        <v>9</v>
      </c>
      <c r="Y5399" t="s">
        <v>24835</v>
      </c>
      <c r="Z5399" t="s">
        <v>31367</v>
      </c>
      <c r="AA5399">
        <v>0.31338182986401619</v>
      </c>
      <c r="AB5399" t="str">
        <f>HYPERLINK("Melting_Curves/meltCurve_Q9BV73_2_CEP250.pdf", "Melting_Curves/meltCurve_Q9BV73_2_CEP250.pdf")</f>
        <v>Melting_Curves/meltCurve_Q9BV73_2_CEP250.pdf</v>
      </c>
    </row>
    <row r="5400" spans="1:28" x14ac:dyDescent="0.25">
      <c r="A5400" t="s">
        <v>5404</v>
      </c>
      <c r="B5400">
        <v>0.99472303558308395</v>
      </c>
      <c r="C5400">
        <v>0.98314189202768798</v>
      </c>
      <c r="D5400">
        <v>1.0052070984167201</v>
      </c>
      <c r="E5400">
        <v>0.79852406747444105</v>
      </c>
      <c r="F5400">
        <v>0.54920060558273198</v>
      </c>
      <c r="G5400">
        <v>0.44096911777030401</v>
      </c>
      <c r="H5400">
        <v>0.14769720666372099</v>
      </c>
      <c r="I5400">
        <v>3.5222441219077902E-2</v>
      </c>
      <c r="J5400">
        <v>4.26279167079677E-2</v>
      </c>
      <c r="K5400">
        <v>4.6410923520225598E-2</v>
      </c>
      <c r="L5400">
        <v>766.01765429212105</v>
      </c>
      <c r="M5400">
        <v>14.873811189222</v>
      </c>
      <c r="N5400">
        <v>51.501101190257501</v>
      </c>
      <c r="O5400">
        <v>50.597046531579402</v>
      </c>
      <c r="P5400">
        <v>-7.3499174477172094E-2</v>
      </c>
      <c r="Q5400">
        <v>0</v>
      </c>
      <c r="R5400">
        <v>0.987873254424942</v>
      </c>
      <c r="S5400" t="s">
        <v>11968</v>
      </c>
      <c r="T5400" t="s">
        <v>13134</v>
      </c>
      <c r="U5400" t="s">
        <v>13134</v>
      </c>
      <c r="V5400" t="s">
        <v>13134</v>
      </c>
      <c r="W5400" t="s">
        <v>18470</v>
      </c>
      <c r="X5400">
        <v>4</v>
      </c>
      <c r="Y5400" t="s">
        <v>24836</v>
      </c>
      <c r="Z5400" t="s">
        <v>31368</v>
      </c>
      <c r="AA5400">
        <v>0.50323964013650158</v>
      </c>
      <c r="AB5400" t="str">
        <f>HYPERLINK("Melting_Curves/meltCurve_Q9BV79_MECR.pdf", "Melting_Curves/meltCurve_Q9BV79_MECR.pdf")</f>
        <v>Melting_Curves/meltCurve_Q9BV79_MECR.pdf</v>
      </c>
    </row>
    <row r="5401" spans="1:28" x14ac:dyDescent="0.25">
      <c r="A5401" t="s">
        <v>5405</v>
      </c>
      <c r="B5401">
        <v>0.99472303558308395</v>
      </c>
      <c r="C5401">
        <v>0.98093863677433701</v>
      </c>
      <c r="D5401">
        <v>0.89377781413950996</v>
      </c>
      <c r="E5401">
        <v>0.97960191559879195</v>
      </c>
      <c r="F5401">
        <v>1.09310170460867</v>
      </c>
      <c r="G5401">
        <v>0.86420265280025699</v>
      </c>
      <c r="H5401">
        <v>0.15870328108069001</v>
      </c>
      <c r="I5401">
        <v>0.63216136692945601</v>
      </c>
      <c r="J5401">
        <v>0.261603059088793</v>
      </c>
      <c r="K5401">
        <v>0.36892681645443698</v>
      </c>
      <c r="L5401">
        <v>13521.069372187299</v>
      </c>
      <c r="M5401">
        <v>250</v>
      </c>
      <c r="N5401">
        <v>54.353929243117399</v>
      </c>
      <c r="O5401">
        <v>54.080832496609801</v>
      </c>
      <c r="P5401">
        <v>-0.745009320751437</v>
      </c>
      <c r="Q5401">
        <v>0.35534860256033102</v>
      </c>
      <c r="R5401">
        <v>0.86282421697667</v>
      </c>
      <c r="S5401" t="s">
        <v>11969</v>
      </c>
      <c r="T5401" t="s">
        <v>13134</v>
      </c>
      <c r="U5401" t="s">
        <v>13134</v>
      </c>
      <c r="V5401" t="s">
        <v>13134</v>
      </c>
      <c r="W5401" t="s">
        <v>18471</v>
      </c>
      <c r="X5401">
        <v>3</v>
      </c>
      <c r="Y5401" t="s">
        <v>24837</v>
      </c>
      <c r="Z5401" t="s">
        <v>31369</v>
      </c>
      <c r="AA5401">
        <v>0.72252323622472958</v>
      </c>
      <c r="AB5401" t="str">
        <f>HYPERLINK("Melting_Curves/meltCurve_Q9BV81_EMC6.pdf", "Melting_Curves/meltCurve_Q9BV81_EMC6.pdf")</f>
        <v>Melting_Curves/meltCurve_Q9BV81_EMC6.pdf</v>
      </c>
    </row>
    <row r="5402" spans="1:28" x14ac:dyDescent="0.25">
      <c r="A5402" t="s">
        <v>5406</v>
      </c>
      <c r="B5402">
        <v>0.99472303558308395</v>
      </c>
      <c r="C5402">
        <v>0.94345016861044795</v>
      </c>
      <c r="D5402">
        <v>0.99576702425208197</v>
      </c>
      <c r="E5402">
        <v>0.85211962696930499</v>
      </c>
      <c r="F5402">
        <v>0.43624661585791302</v>
      </c>
      <c r="G5402">
        <v>0.137436687998091</v>
      </c>
      <c r="H5402">
        <v>7.8835397479351296E-2</v>
      </c>
      <c r="I5402">
        <v>5.0932316233971403E-2</v>
      </c>
      <c r="J5402">
        <v>4.97395223078703E-2</v>
      </c>
      <c r="K5402">
        <v>3.9902404073223999E-2</v>
      </c>
      <c r="L5402">
        <v>1353.0933513790001</v>
      </c>
      <c r="M5402">
        <v>27.329374791107799</v>
      </c>
      <c r="N5402">
        <v>49.686933754345098</v>
      </c>
      <c r="O5402">
        <v>49.247773777470599</v>
      </c>
      <c r="P5402">
        <v>-0.132322933199648</v>
      </c>
      <c r="Q5402">
        <v>4.6220639790185397E-2</v>
      </c>
      <c r="R5402">
        <v>0.99802535986085295</v>
      </c>
      <c r="S5402" t="s">
        <v>11970</v>
      </c>
      <c r="T5402" t="s">
        <v>13134</v>
      </c>
      <c r="U5402" t="s">
        <v>13134</v>
      </c>
      <c r="V5402" t="s">
        <v>13134</v>
      </c>
      <c r="W5402" t="s">
        <v>18472</v>
      </c>
      <c r="X5402">
        <v>11</v>
      </c>
      <c r="Y5402" t="s">
        <v>24838</v>
      </c>
      <c r="Z5402" t="s">
        <v>31370</v>
      </c>
      <c r="AA5402">
        <v>0.45094168037247978</v>
      </c>
      <c r="AB5402" t="str">
        <f>HYPERLINK("Melting_Curves/meltCurve_Q9BV86_NTMT1.pdf", "Melting_Curves/meltCurve_Q9BV86_NTMT1.pdf")</f>
        <v>Melting_Curves/meltCurve_Q9BV86_NTMT1.pdf</v>
      </c>
    </row>
    <row r="5403" spans="1:28" x14ac:dyDescent="0.25">
      <c r="A5403" t="s">
        <v>5407</v>
      </c>
      <c r="B5403">
        <v>0.99472303558308395</v>
      </c>
      <c r="C5403">
        <v>0.92833830754892099</v>
      </c>
      <c r="D5403">
        <v>0.87607295650129402</v>
      </c>
      <c r="E5403">
        <v>0.69303033336672804</v>
      </c>
      <c r="F5403">
        <v>0.37914166177335901</v>
      </c>
      <c r="G5403">
        <v>0.169507144360482</v>
      </c>
      <c r="H5403">
        <v>8.9718362070738203E-2</v>
      </c>
      <c r="I5403">
        <v>6.73031016911525E-2</v>
      </c>
      <c r="J5403">
        <v>6.4100943413550895E-2</v>
      </c>
      <c r="K5403">
        <v>6.1510144631184899E-2</v>
      </c>
      <c r="L5403">
        <v>816.03874678748696</v>
      </c>
      <c r="M5403">
        <v>16.870970695311001</v>
      </c>
      <c r="N5403">
        <v>48.6084363514777</v>
      </c>
      <c r="O5403">
        <v>47.705152608508698</v>
      </c>
      <c r="P5403">
        <v>-8.4898620958145002E-2</v>
      </c>
      <c r="Q5403">
        <v>3.9807761805426202E-2</v>
      </c>
      <c r="R5403">
        <v>0.99730188225221195</v>
      </c>
      <c r="S5403" t="s">
        <v>11971</v>
      </c>
      <c r="T5403" t="s">
        <v>13134</v>
      </c>
      <c r="U5403" t="s">
        <v>13134</v>
      </c>
      <c r="V5403" t="s">
        <v>13134</v>
      </c>
      <c r="W5403" t="s">
        <v>18473</v>
      </c>
      <c r="X5403">
        <v>9</v>
      </c>
      <c r="Y5403" t="s">
        <v>24839</v>
      </c>
      <c r="Z5403" t="s">
        <v>31371</v>
      </c>
      <c r="AA5403">
        <v>0.42088604755971998</v>
      </c>
      <c r="AB5403" t="str">
        <f>HYPERLINK("Melting_Curves/meltCurve_Q9BVA0_KATNB1.pdf", "Melting_Curves/meltCurve_Q9BVA0_KATNB1.pdf")</f>
        <v>Melting_Curves/meltCurve_Q9BVA0_KATNB1.pdf</v>
      </c>
    </row>
    <row r="5404" spans="1:28" x14ac:dyDescent="0.25">
      <c r="A5404" t="s">
        <v>5408</v>
      </c>
      <c r="B5404">
        <v>0.99472303558308395</v>
      </c>
      <c r="C5404">
        <v>0.83611226790768201</v>
      </c>
      <c r="D5404">
        <v>0.87982015461037699</v>
      </c>
      <c r="E5404">
        <v>0.84564460889787696</v>
      </c>
      <c r="F5404">
        <v>0.68798284046990898</v>
      </c>
      <c r="G5404">
        <v>0.49584367558936299</v>
      </c>
      <c r="H5404">
        <v>0.36194377057045202</v>
      </c>
      <c r="I5404">
        <v>0.204501861896974</v>
      </c>
      <c r="J5404">
        <v>0.116674329743403</v>
      </c>
      <c r="K5404">
        <v>0.10307418936877399</v>
      </c>
      <c r="L5404">
        <v>545.15196927779596</v>
      </c>
      <c r="M5404">
        <v>10.180049709707101</v>
      </c>
      <c r="N5404">
        <v>53.551014350098399</v>
      </c>
      <c r="O5404">
        <v>51.607903971708701</v>
      </c>
      <c r="P5404">
        <v>-4.9336794181400301E-2</v>
      </c>
      <c r="Q5404">
        <v>0</v>
      </c>
      <c r="R5404">
        <v>0.97679307942363003</v>
      </c>
      <c r="S5404" t="s">
        <v>11972</v>
      </c>
      <c r="T5404" t="s">
        <v>13134</v>
      </c>
      <c r="U5404" t="s">
        <v>13134</v>
      </c>
      <c r="V5404" t="s">
        <v>13134</v>
      </c>
      <c r="W5404" t="s">
        <v>18474</v>
      </c>
      <c r="X5404">
        <v>34</v>
      </c>
      <c r="Y5404" t="s">
        <v>24840</v>
      </c>
      <c r="Z5404" t="s">
        <v>31372</v>
      </c>
      <c r="AA5404">
        <v>0.57155220208310453</v>
      </c>
      <c r="AB5404" t="str">
        <f>HYPERLINK("Melting_Curves/meltCurve_Q9BVA1_TUBB2B.pdf", "Melting_Curves/meltCurve_Q9BVA1_TUBB2B.pdf")</f>
        <v>Melting_Curves/meltCurve_Q9BVA1_TUBB2B.pdf</v>
      </c>
    </row>
    <row r="5405" spans="1:28" x14ac:dyDescent="0.25">
      <c r="A5405" t="s">
        <v>5409</v>
      </c>
      <c r="B5405">
        <v>0.99472303558308395</v>
      </c>
      <c r="C5405">
        <v>1.0544012167705701</v>
      </c>
      <c r="D5405">
        <v>0.96691286134246102</v>
      </c>
      <c r="E5405">
        <v>0.49220792673652802</v>
      </c>
      <c r="F5405">
        <v>0.27583656518103999</v>
      </c>
      <c r="G5405">
        <v>0.28286283877225699</v>
      </c>
      <c r="H5405">
        <v>0.13682687144279099</v>
      </c>
      <c r="I5405">
        <v>6.3797056357714405E-2</v>
      </c>
      <c r="J5405">
        <v>9.4743110269223704E-2</v>
      </c>
      <c r="K5405">
        <v>7.0869906990558104E-2</v>
      </c>
      <c r="L5405">
        <v>1123.54689282095</v>
      </c>
      <c r="M5405">
        <v>24.119150725794601</v>
      </c>
      <c r="N5405">
        <v>47.114168199458099</v>
      </c>
      <c r="O5405">
        <v>46.266505573052299</v>
      </c>
      <c r="P5405">
        <v>-0.114818686365424</v>
      </c>
      <c r="Q5405">
        <v>0.119010976314575</v>
      </c>
      <c r="R5405">
        <v>0.97455905906547602</v>
      </c>
      <c r="S5405" t="s">
        <v>11973</v>
      </c>
      <c r="T5405" t="s">
        <v>13134</v>
      </c>
      <c r="U5405" t="s">
        <v>13134</v>
      </c>
      <c r="V5405" t="s">
        <v>13134</v>
      </c>
      <c r="W5405" t="s">
        <v>18475</v>
      </c>
      <c r="X5405">
        <v>1</v>
      </c>
      <c r="Y5405" t="s">
        <v>24841</v>
      </c>
      <c r="Z5405" t="s">
        <v>31373</v>
      </c>
      <c r="AA5405">
        <v>0.40834327054320718</v>
      </c>
      <c r="AB5405" t="str">
        <f>HYPERLINK("Melting_Curves/meltCurve_Q9BVC3_DSCC1.pdf", "Melting_Curves/meltCurve_Q9BVC3_DSCC1.pdf")</f>
        <v>Melting_Curves/meltCurve_Q9BVC3_DSCC1.pdf</v>
      </c>
    </row>
    <row r="5406" spans="1:28" x14ac:dyDescent="0.25">
      <c r="A5406" t="s">
        <v>5410</v>
      </c>
      <c r="B5406">
        <v>0.99472303558308395</v>
      </c>
      <c r="C5406">
        <v>0.91533063306457796</v>
      </c>
      <c r="D5406">
        <v>0.89923560373827904</v>
      </c>
      <c r="E5406">
        <v>0.69863983673803598</v>
      </c>
      <c r="F5406">
        <v>0.46007474077331301</v>
      </c>
      <c r="G5406">
        <v>0.208204437530774</v>
      </c>
      <c r="H5406">
        <v>0.146532262668194</v>
      </c>
      <c r="I5406">
        <v>0.192573139816068</v>
      </c>
      <c r="J5406">
        <v>0.24820346029645299</v>
      </c>
      <c r="K5406">
        <v>0.191015590051137</v>
      </c>
      <c r="L5406">
        <v>918.11883085902195</v>
      </c>
      <c r="M5406">
        <v>19.176255192387799</v>
      </c>
      <c r="N5406">
        <v>48.985139847903199</v>
      </c>
      <c r="O5406">
        <v>47.366354345302703</v>
      </c>
      <c r="P5406">
        <v>-8.3415780176822399E-2</v>
      </c>
      <c r="Q5406">
        <v>0.17586632007497699</v>
      </c>
      <c r="R5406">
        <v>0.98304270056729703</v>
      </c>
      <c r="S5406" t="s">
        <v>11974</v>
      </c>
      <c r="T5406" t="s">
        <v>13134</v>
      </c>
      <c r="U5406" t="s">
        <v>13134</v>
      </c>
      <c r="V5406" t="s">
        <v>13134</v>
      </c>
      <c r="W5406" t="s">
        <v>18476</v>
      </c>
      <c r="X5406">
        <v>5</v>
      </c>
      <c r="Y5406" t="s">
        <v>24842</v>
      </c>
      <c r="Z5406" t="s">
        <v>31374</v>
      </c>
      <c r="AA5406">
        <v>0.4864121449015672</v>
      </c>
      <c r="AB5406" t="str">
        <f>HYPERLINK("Melting_Curves/meltCurve_Q9BVC5_C2orf49.pdf", "Melting_Curves/meltCurve_Q9BVC5_C2orf49.pdf")</f>
        <v>Melting_Curves/meltCurve_Q9BVC5_C2orf49.pdf</v>
      </c>
    </row>
    <row r="5407" spans="1:28" x14ac:dyDescent="0.25">
      <c r="A5407" t="s">
        <v>5411</v>
      </c>
      <c r="B5407">
        <v>0.99472303558308395</v>
      </c>
      <c r="C5407">
        <v>0.94206382848960402</v>
      </c>
      <c r="D5407">
        <v>1.0756984792987201</v>
      </c>
      <c r="E5407">
        <v>0.84539221580786506</v>
      </c>
      <c r="F5407">
        <v>0.602385716196989</v>
      </c>
      <c r="G5407">
        <v>0.54666649606838802</v>
      </c>
      <c r="H5407">
        <v>0.42351523213902498</v>
      </c>
      <c r="I5407">
        <v>0.54943213194239005</v>
      </c>
      <c r="J5407">
        <v>0.69715609511539001</v>
      </c>
      <c r="K5407">
        <v>0.66554689972286196</v>
      </c>
      <c r="L5407">
        <v>2958.0293208561202</v>
      </c>
      <c r="M5407">
        <v>62.913200710524698</v>
      </c>
      <c r="O5407">
        <v>46.970189951488599</v>
      </c>
      <c r="P5407">
        <v>-0.14085789152595701</v>
      </c>
      <c r="Q5407">
        <v>0.57934935210942595</v>
      </c>
      <c r="R5407">
        <v>0.867007404181526</v>
      </c>
      <c r="S5407" t="s">
        <v>11975</v>
      </c>
      <c r="T5407" t="s">
        <v>13134</v>
      </c>
      <c r="U5407" t="s">
        <v>13134</v>
      </c>
      <c r="V5407" t="s">
        <v>13134</v>
      </c>
      <c r="W5407" t="s">
        <v>18477</v>
      </c>
      <c r="X5407">
        <v>8</v>
      </c>
      <c r="Y5407" t="s">
        <v>24843</v>
      </c>
      <c r="Z5407" t="s">
        <v>31375</v>
      </c>
      <c r="AA5407">
        <v>0.72036327368776398</v>
      </c>
      <c r="AB5407" t="str">
        <f>HYPERLINK("Melting_Curves/meltCurve_Q9BVC6_TMEM109.pdf", "Melting_Curves/meltCurve_Q9BVC6_TMEM109.pdf")</f>
        <v>Melting_Curves/meltCurve_Q9BVC6_TMEM109.pdf</v>
      </c>
    </row>
    <row r="5408" spans="1:28" x14ac:dyDescent="0.25">
      <c r="A5408" t="s">
        <v>5412</v>
      </c>
      <c r="B5408">
        <v>0.99472303558308395</v>
      </c>
      <c r="C5408">
        <v>0.96584745651340298</v>
      </c>
      <c r="D5408">
        <v>0.95697769320334003</v>
      </c>
      <c r="E5408">
        <v>0.79607217762508897</v>
      </c>
      <c r="F5408">
        <v>0.53319362121251601</v>
      </c>
      <c r="G5408">
        <v>0.22621526898399499</v>
      </c>
      <c r="H5408">
        <v>0.121898044038459</v>
      </c>
      <c r="I5408">
        <v>7.7422740453384001E-2</v>
      </c>
      <c r="J5408">
        <v>9.9205217175845101E-2</v>
      </c>
      <c r="K5408">
        <v>7.2639322550170499E-2</v>
      </c>
      <c r="L5408">
        <v>974.12024625776201</v>
      </c>
      <c r="M5408">
        <v>19.517258757153002</v>
      </c>
      <c r="N5408">
        <v>50.259309353301497</v>
      </c>
      <c r="O5408">
        <v>49.3955947709374</v>
      </c>
      <c r="P5408">
        <v>-9.2530465519545593E-2</v>
      </c>
      <c r="Q5408">
        <v>6.3304123830052197E-2</v>
      </c>
      <c r="R5408">
        <v>0.99795558846774202</v>
      </c>
      <c r="S5408" t="s">
        <v>11976</v>
      </c>
      <c r="T5408" t="s">
        <v>13134</v>
      </c>
      <c r="U5408" t="s">
        <v>13134</v>
      </c>
      <c r="V5408" t="s">
        <v>13134</v>
      </c>
      <c r="W5408" t="s">
        <v>18478</v>
      </c>
      <c r="X5408">
        <v>13</v>
      </c>
      <c r="Y5408" t="s">
        <v>24844</v>
      </c>
      <c r="Z5408" t="s">
        <v>31376</v>
      </c>
      <c r="AA5408">
        <v>0.47929375621686288</v>
      </c>
      <c r="AB5408" t="str">
        <f>HYPERLINK("Melting_Curves/meltCurve_Q9BVG4_PBDC1.pdf", "Melting_Curves/meltCurve_Q9BVG4_PBDC1.pdf")</f>
        <v>Melting_Curves/meltCurve_Q9BVG4_PBDC1.pdf</v>
      </c>
    </row>
    <row r="5409" spans="1:28" x14ac:dyDescent="0.25">
      <c r="A5409" t="s">
        <v>5413</v>
      </c>
      <c r="B5409">
        <v>0.99472303558308395</v>
      </c>
      <c r="C5409">
        <v>0.99503877518442396</v>
      </c>
      <c r="D5409">
        <v>0.68524758976093803</v>
      </c>
      <c r="E5409">
        <v>0.538788529643768</v>
      </c>
      <c r="F5409">
        <v>0.57911356933435698</v>
      </c>
      <c r="G5409">
        <v>0.25125353686358898</v>
      </c>
      <c r="H5409">
        <v>0.19434288481088599</v>
      </c>
      <c r="I5409">
        <v>0.111310313109003</v>
      </c>
      <c r="J5409">
        <v>0.189360339271791</v>
      </c>
      <c r="K5409">
        <v>0.189146794313299</v>
      </c>
      <c r="L5409">
        <v>521.88901163767605</v>
      </c>
      <c r="M5409">
        <v>11.013864344641</v>
      </c>
      <c r="N5409">
        <v>48.5070744609814</v>
      </c>
      <c r="O5409">
        <v>45.903017525571499</v>
      </c>
      <c r="P5409">
        <v>-5.3255377268724799E-2</v>
      </c>
      <c r="Q5409">
        <v>0.112477953117863</v>
      </c>
      <c r="R5409">
        <v>0.94303416945679497</v>
      </c>
      <c r="S5409" t="s">
        <v>11977</v>
      </c>
      <c r="T5409" t="s">
        <v>13134</v>
      </c>
      <c r="U5409" t="s">
        <v>13134</v>
      </c>
      <c r="V5409" t="s">
        <v>13134</v>
      </c>
      <c r="W5409" t="s">
        <v>18479</v>
      </c>
      <c r="X5409">
        <v>6</v>
      </c>
      <c r="Y5409" t="s">
        <v>24845</v>
      </c>
      <c r="Z5409" t="s">
        <v>31377</v>
      </c>
      <c r="AA5409">
        <v>0.45225699358159571</v>
      </c>
      <c r="AB5409" t="str">
        <f>HYPERLINK("Melting_Curves/meltCurve_Q9BVG9_PTDSS2.pdf", "Melting_Curves/meltCurve_Q9BVG9_PTDSS2.pdf")</f>
        <v>Melting_Curves/meltCurve_Q9BVG9_PTDSS2.pdf</v>
      </c>
    </row>
    <row r="5410" spans="1:28" x14ac:dyDescent="0.25">
      <c r="A5410" t="s">
        <v>5414</v>
      </c>
      <c r="B5410">
        <v>0.99472303558308395</v>
      </c>
      <c r="C5410">
        <v>0.83920145326292095</v>
      </c>
      <c r="D5410">
        <v>0.831006650960461</v>
      </c>
      <c r="E5410">
        <v>0.46246094072162103</v>
      </c>
      <c r="F5410">
        <v>0.187020466087191</v>
      </c>
      <c r="G5410">
        <v>0.111984845452614</v>
      </c>
      <c r="H5410">
        <v>7.9307016955756093E-2</v>
      </c>
      <c r="I5410">
        <v>4.3901520753168999E-2</v>
      </c>
      <c r="J5410">
        <v>4.7612546612750599E-2</v>
      </c>
      <c r="K5410">
        <v>6.9356047697187603E-2</v>
      </c>
      <c r="L5410">
        <v>824.53162104371995</v>
      </c>
      <c r="M5410">
        <v>17.9609211323341</v>
      </c>
      <c r="N5410">
        <v>46.151153873488198</v>
      </c>
      <c r="O5410">
        <v>45.3492582802972</v>
      </c>
      <c r="P5410">
        <v>-9.4531228461237002E-2</v>
      </c>
      <c r="Q5410">
        <v>4.5325865923379102E-2</v>
      </c>
      <c r="R5410">
        <v>0.98926772344428504</v>
      </c>
      <c r="S5410" t="s">
        <v>11978</v>
      </c>
      <c r="T5410" t="s">
        <v>13134</v>
      </c>
      <c r="U5410" t="s">
        <v>13134</v>
      </c>
      <c r="V5410" t="s">
        <v>13134</v>
      </c>
      <c r="W5410" t="s">
        <v>18480</v>
      </c>
      <c r="X5410">
        <v>2</v>
      </c>
      <c r="Y5410" t="s">
        <v>24846</v>
      </c>
      <c r="Z5410" t="s">
        <v>31378</v>
      </c>
      <c r="AA5410">
        <v>0.34427925267320908</v>
      </c>
      <c r="AB5410" t="str">
        <f>HYPERLINK("Melting_Curves/meltCurve_Q9BVI4_NOC4L.pdf", "Melting_Curves/meltCurve_Q9BVI4_NOC4L.pdf")</f>
        <v>Melting_Curves/meltCurve_Q9BVI4_NOC4L.pdf</v>
      </c>
    </row>
    <row r="5411" spans="1:28" x14ac:dyDescent="0.25">
      <c r="A5411" t="s">
        <v>5415</v>
      </c>
      <c r="B5411">
        <v>0.99472303558308395</v>
      </c>
      <c r="C5411">
        <v>0.97910743642662201</v>
      </c>
      <c r="D5411">
        <v>0.94938455283940204</v>
      </c>
      <c r="E5411">
        <v>0.87062587585282802</v>
      </c>
      <c r="F5411">
        <v>0.64081386519359496</v>
      </c>
      <c r="G5411">
        <v>0.33368083541713101</v>
      </c>
      <c r="H5411">
        <v>0.22303230882174399</v>
      </c>
      <c r="I5411">
        <v>0.17967885590862601</v>
      </c>
      <c r="J5411">
        <v>0.23149380990971399</v>
      </c>
      <c r="K5411">
        <v>0.244019954493636</v>
      </c>
      <c r="L5411">
        <v>1178.7584124689399</v>
      </c>
      <c r="M5411">
        <v>23.424422960197099</v>
      </c>
      <c r="N5411">
        <v>51.473163426577202</v>
      </c>
      <c r="O5411">
        <v>49.959324792486399</v>
      </c>
      <c r="P5411">
        <v>-9.3316162606542602E-2</v>
      </c>
      <c r="Q5411">
        <v>0.203919560557176</v>
      </c>
      <c r="R5411">
        <v>0.993822619721204</v>
      </c>
      <c r="S5411" t="s">
        <v>11979</v>
      </c>
      <c r="T5411" t="s">
        <v>13134</v>
      </c>
      <c r="U5411" t="s">
        <v>13134</v>
      </c>
      <c r="V5411" t="s">
        <v>13134</v>
      </c>
      <c r="W5411" t="s">
        <v>18481</v>
      </c>
      <c r="X5411">
        <v>12</v>
      </c>
      <c r="Y5411" t="s">
        <v>24847</v>
      </c>
      <c r="Z5411" t="s">
        <v>31379</v>
      </c>
      <c r="AA5411">
        <v>0.56531586799173839</v>
      </c>
      <c r="AB5411" t="str">
        <f>HYPERLINK("Melting_Curves/meltCurve_Q9BVJ6_3_UTP14A.pdf", "Melting_Curves/meltCurve_Q9BVJ6_3_UTP14A.pdf")</f>
        <v>Melting_Curves/meltCurve_Q9BVJ6_3_UTP14A.pdf</v>
      </c>
    </row>
    <row r="5412" spans="1:28" x14ac:dyDescent="0.25">
      <c r="A5412" t="s">
        <v>5416</v>
      </c>
      <c r="B5412">
        <v>0.99472303558308395</v>
      </c>
      <c r="C5412">
        <v>1.07661539530438</v>
      </c>
      <c r="D5412">
        <v>0.97532162153524504</v>
      </c>
      <c r="E5412">
        <v>1.0310192599642301</v>
      </c>
      <c r="F5412">
        <v>0.75861447236982305</v>
      </c>
      <c r="G5412">
        <v>0.54548905097179601</v>
      </c>
      <c r="H5412">
        <v>0.37712482038672401</v>
      </c>
      <c r="I5412">
        <v>0.165535683513993</v>
      </c>
      <c r="J5412">
        <v>0.14330823500345299</v>
      </c>
      <c r="K5412">
        <v>0.132400600044526</v>
      </c>
      <c r="L5412">
        <v>944.03287637328901</v>
      </c>
      <c r="M5412">
        <v>17.506837311540501</v>
      </c>
      <c r="N5412">
        <v>54.580053849959199</v>
      </c>
      <c r="O5412">
        <v>53.234841813556798</v>
      </c>
      <c r="P5412">
        <v>-7.4414836768477197E-2</v>
      </c>
      <c r="Q5412">
        <v>9.4926396650808598E-2</v>
      </c>
      <c r="R5412">
        <v>0.98588367039290303</v>
      </c>
      <c r="S5412" t="s">
        <v>11980</v>
      </c>
      <c r="T5412" t="s">
        <v>13134</v>
      </c>
      <c r="U5412" t="s">
        <v>13134</v>
      </c>
      <c r="V5412" t="s">
        <v>13134</v>
      </c>
      <c r="W5412" t="s">
        <v>18482</v>
      </c>
      <c r="X5412">
        <v>7</v>
      </c>
      <c r="Y5412" t="s">
        <v>24848</v>
      </c>
      <c r="Z5412" t="s">
        <v>31380</v>
      </c>
      <c r="AA5412">
        <v>0.61835915115361284</v>
      </c>
      <c r="AB5412" t="str">
        <f>HYPERLINK("Melting_Curves/meltCurve_Q9BVJ7_DUSP23.pdf", "Melting_Curves/meltCurve_Q9BVJ7_DUSP23.pdf")</f>
        <v>Melting_Curves/meltCurve_Q9BVJ7_DUSP23.pdf</v>
      </c>
    </row>
    <row r="5413" spans="1:28" x14ac:dyDescent="0.25">
      <c r="A5413" t="s">
        <v>5417</v>
      </c>
      <c r="B5413">
        <v>0.99472303558308395</v>
      </c>
      <c r="C5413">
        <v>0.985866975835474</v>
      </c>
      <c r="D5413">
        <v>0.85656048444244404</v>
      </c>
      <c r="E5413">
        <v>0.79863066123318704</v>
      </c>
      <c r="F5413">
        <v>0.67015897949745695</v>
      </c>
      <c r="G5413">
        <v>0.32712108679833202</v>
      </c>
      <c r="H5413">
        <v>0.16838115525321001</v>
      </c>
      <c r="I5413">
        <v>6.93552188713078E-2</v>
      </c>
      <c r="J5413">
        <v>4.6524478749659197E-2</v>
      </c>
      <c r="K5413">
        <v>5.2970174981796701E-2</v>
      </c>
      <c r="L5413">
        <v>746.41301007427899</v>
      </c>
      <c r="M5413">
        <v>14.485644289174701</v>
      </c>
      <c r="N5413">
        <v>51.5277743929717</v>
      </c>
      <c r="O5413">
        <v>50.5756242643387</v>
      </c>
      <c r="P5413">
        <v>-7.1612175793998104E-2</v>
      </c>
      <c r="Q5413">
        <v>0</v>
      </c>
      <c r="R5413">
        <v>0.98877906069251298</v>
      </c>
      <c r="S5413" t="s">
        <v>11981</v>
      </c>
      <c r="T5413" t="s">
        <v>13134</v>
      </c>
      <c r="U5413" t="s">
        <v>13134</v>
      </c>
      <c r="V5413" t="s">
        <v>13134</v>
      </c>
      <c r="W5413" t="s">
        <v>18483</v>
      </c>
      <c r="X5413">
        <v>7</v>
      </c>
      <c r="Y5413" t="s">
        <v>24849</v>
      </c>
      <c r="Z5413" t="s">
        <v>31381</v>
      </c>
      <c r="AA5413">
        <v>0.50473922701274032</v>
      </c>
      <c r="AB5413" t="str">
        <f>HYPERLINK("Melting_Curves/meltCurve_Q9BVK6_TMED9.pdf", "Melting_Curves/meltCurve_Q9BVK6_TMED9.pdf")</f>
        <v>Melting_Curves/meltCurve_Q9BVK6_TMED9.pdf</v>
      </c>
    </row>
    <row r="5414" spans="1:28" x14ac:dyDescent="0.25">
      <c r="A5414" t="s">
        <v>5418</v>
      </c>
      <c r="B5414">
        <v>0.99472303558308395</v>
      </c>
      <c r="C5414">
        <v>1.1038044196101</v>
      </c>
      <c r="D5414">
        <v>0.87332572761711402</v>
      </c>
      <c r="E5414">
        <v>0.36951892662526697</v>
      </c>
      <c r="F5414">
        <v>0.166113684354743</v>
      </c>
      <c r="G5414">
        <v>8.7448262413440794E-2</v>
      </c>
      <c r="H5414">
        <v>4.9195336076311103E-2</v>
      </c>
      <c r="I5414">
        <v>0</v>
      </c>
      <c r="J5414">
        <v>7.4522937196098904E-3</v>
      </c>
      <c r="K5414">
        <v>1.65810036378706E-2</v>
      </c>
      <c r="L5414">
        <v>1299.9261900962799</v>
      </c>
      <c r="M5414">
        <v>28.397350508947198</v>
      </c>
      <c r="N5414">
        <v>45.896469877788498</v>
      </c>
      <c r="O5414">
        <v>45.5511385712798</v>
      </c>
      <c r="P5414">
        <v>-0.15027255296185499</v>
      </c>
      <c r="Q5414">
        <v>3.5821726224911199E-2</v>
      </c>
      <c r="R5414">
        <v>0.98760455481236897</v>
      </c>
      <c r="S5414" t="s">
        <v>11982</v>
      </c>
      <c r="T5414" t="s">
        <v>13134</v>
      </c>
      <c r="U5414" t="s">
        <v>13134</v>
      </c>
      <c r="V5414" t="s">
        <v>13134</v>
      </c>
      <c r="W5414" t="s">
        <v>18484</v>
      </c>
      <c r="X5414">
        <v>6</v>
      </c>
      <c r="Y5414" t="s">
        <v>24850</v>
      </c>
      <c r="Z5414" t="s">
        <v>31382</v>
      </c>
      <c r="AA5414">
        <v>0.32401807739539901</v>
      </c>
      <c r="AB5414" t="str">
        <f>HYPERLINK("Melting_Curves/meltCurve_Q9BVL4_SELO.pdf", "Melting_Curves/meltCurve_Q9BVL4_SELO.pdf")</f>
        <v>Melting_Curves/meltCurve_Q9BVL4_SELO.pdf</v>
      </c>
    </row>
    <row r="5415" spans="1:28" x14ac:dyDescent="0.25">
      <c r="A5415" t="s">
        <v>5419</v>
      </c>
      <c r="B5415">
        <v>0.99472303558308395</v>
      </c>
      <c r="C5415">
        <v>0.91016635160047399</v>
      </c>
      <c r="D5415">
        <v>0.79005612343404896</v>
      </c>
      <c r="E5415">
        <v>0.74592399641492302</v>
      </c>
      <c r="F5415">
        <v>1.3447790829685999</v>
      </c>
      <c r="G5415">
        <v>0.69575968108592201</v>
      </c>
      <c r="H5415">
        <v>0.36071310300857201</v>
      </c>
      <c r="I5415">
        <v>0.110661316457626</v>
      </c>
      <c r="J5415">
        <v>4.3926884428394902E-2</v>
      </c>
      <c r="K5415">
        <v>9.9793371107088302E-2</v>
      </c>
      <c r="L5415">
        <v>1953.9913633067799</v>
      </c>
      <c r="M5415">
        <v>35.111186484423001</v>
      </c>
      <c r="N5415">
        <v>55.911619984953703</v>
      </c>
      <c r="O5415">
        <v>55.471933565192103</v>
      </c>
      <c r="P5415">
        <v>-0.146317585283221</v>
      </c>
      <c r="Q5415">
        <v>7.53384420396538E-2</v>
      </c>
      <c r="R5415">
        <v>0.84830928591472998</v>
      </c>
      <c r="S5415" t="s">
        <v>11983</v>
      </c>
      <c r="T5415" t="s">
        <v>13134</v>
      </c>
      <c r="U5415" t="s">
        <v>13134</v>
      </c>
      <c r="V5415" t="s">
        <v>13134</v>
      </c>
      <c r="W5415" t="s">
        <v>18485</v>
      </c>
      <c r="X5415">
        <v>14</v>
      </c>
      <c r="Y5415" t="s">
        <v>24851</v>
      </c>
      <c r="Z5415" t="s">
        <v>31383</v>
      </c>
      <c r="AA5415">
        <v>0.65464810653973016</v>
      </c>
      <c r="AB5415" t="str">
        <f>HYPERLINK("Melting_Curves/meltCurve_Q9BVQ7_SPATA5L1.pdf", "Melting_Curves/meltCurve_Q9BVQ7_SPATA5L1.pdf")</f>
        <v>Melting_Curves/meltCurve_Q9BVQ7_SPATA5L1.pdf</v>
      </c>
    </row>
    <row r="5416" spans="1:28" x14ac:dyDescent="0.25">
      <c r="A5416" t="s">
        <v>5420</v>
      </c>
      <c r="B5416">
        <v>0.99472303558308395</v>
      </c>
      <c r="C5416">
        <v>0.96303183540730197</v>
      </c>
      <c r="D5416">
        <v>0.91379204468002895</v>
      </c>
      <c r="E5416">
        <v>0.75050763631955497</v>
      </c>
      <c r="F5416">
        <v>0.64070778190054301</v>
      </c>
      <c r="G5416">
        <v>0.437287697919784</v>
      </c>
      <c r="H5416">
        <v>0.24818228274218801</v>
      </c>
      <c r="I5416">
        <v>0.102987380708221</v>
      </c>
      <c r="J5416">
        <v>6.4937614896186102E-2</v>
      </c>
      <c r="K5416">
        <v>6.2016537362324098E-2</v>
      </c>
      <c r="L5416">
        <v>625.83353039489396</v>
      </c>
      <c r="M5416">
        <v>12.030419332585501</v>
      </c>
      <c r="N5416">
        <v>52.020924042236899</v>
      </c>
      <c r="O5416">
        <v>50.646106555170199</v>
      </c>
      <c r="P5416">
        <v>-5.9398907851782999E-2</v>
      </c>
      <c r="Q5416">
        <v>0</v>
      </c>
      <c r="R5416">
        <v>0.99394230571213604</v>
      </c>
      <c r="S5416" t="s">
        <v>11984</v>
      </c>
      <c r="T5416" t="s">
        <v>13134</v>
      </c>
      <c r="U5416" t="s">
        <v>13134</v>
      </c>
      <c r="V5416" t="s">
        <v>13134</v>
      </c>
      <c r="W5416" t="s">
        <v>18486</v>
      </c>
      <c r="X5416">
        <v>15</v>
      </c>
      <c r="Y5416" t="s">
        <v>24852</v>
      </c>
      <c r="Z5416" t="s">
        <v>31384</v>
      </c>
      <c r="AA5416">
        <v>0.52435504233516317</v>
      </c>
      <c r="AB5416" t="str">
        <f>HYPERLINK("Melting_Curves/meltCurve_Q9BVS4_RIOK2.pdf", "Melting_Curves/meltCurve_Q9BVS4_RIOK2.pdf")</f>
        <v>Melting_Curves/meltCurve_Q9BVS4_RIOK2.pdf</v>
      </c>
    </row>
    <row r="5417" spans="1:28" x14ac:dyDescent="0.25">
      <c r="A5417" t="s">
        <v>5421</v>
      </c>
      <c r="B5417">
        <v>0.99472303558308395</v>
      </c>
      <c r="C5417">
        <v>0.87309223247248502</v>
      </c>
      <c r="D5417">
        <v>0.79744048460274197</v>
      </c>
      <c r="E5417">
        <v>0.79545562380999302</v>
      </c>
      <c r="F5417">
        <v>0.74863603161460002</v>
      </c>
      <c r="G5417">
        <v>0.50369534183692</v>
      </c>
      <c r="H5417">
        <v>0.40960231455593099</v>
      </c>
      <c r="I5417">
        <v>0.29644809130169802</v>
      </c>
      <c r="J5417">
        <v>0.33818724875223499</v>
      </c>
      <c r="K5417">
        <v>0.11863924109333999</v>
      </c>
      <c r="L5417">
        <v>395.464167924457</v>
      </c>
      <c r="M5417">
        <v>7.2330708913195503</v>
      </c>
      <c r="N5417">
        <v>54.674473109079599</v>
      </c>
      <c r="O5417">
        <v>50.9592905375805</v>
      </c>
      <c r="P5417">
        <v>-3.5542897710046199E-2</v>
      </c>
      <c r="Q5417">
        <v>0</v>
      </c>
      <c r="R5417">
        <v>0.95311014419093598</v>
      </c>
      <c r="S5417" t="s">
        <v>11985</v>
      </c>
      <c r="T5417" t="s">
        <v>13134</v>
      </c>
      <c r="U5417" t="s">
        <v>13134</v>
      </c>
      <c r="V5417" t="s">
        <v>13134</v>
      </c>
      <c r="W5417" t="s">
        <v>18487</v>
      </c>
      <c r="X5417">
        <v>3</v>
      </c>
      <c r="Y5417" t="s">
        <v>24853</v>
      </c>
      <c r="Z5417" t="s">
        <v>31385</v>
      </c>
      <c r="AA5417">
        <v>0.59545656690086401</v>
      </c>
      <c r="AB5417" t="str">
        <f>HYPERLINK("Melting_Curves/meltCurve_Q9BVS5_TRMT61B.pdf", "Melting_Curves/meltCurve_Q9BVS5_TRMT61B.pdf")</f>
        <v>Melting_Curves/meltCurve_Q9BVS5_TRMT61B.pdf</v>
      </c>
    </row>
    <row r="5418" spans="1:28" x14ac:dyDescent="0.25">
      <c r="A5418" t="s">
        <v>5422</v>
      </c>
      <c r="B5418">
        <v>0.99472303558308395</v>
      </c>
      <c r="C5418">
        <v>0.91678390733234805</v>
      </c>
      <c r="D5418">
        <v>0.83035756362872504</v>
      </c>
      <c r="E5418">
        <v>0.67168659360161898</v>
      </c>
      <c r="F5418">
        <v>0.408075193499017</v>
      </c>
      <c r="G5418">
        <v>0.17699573316779299</v>
      </c>
      <c r="H5418">
        <v>7.3154772274470495E-2</v>
      </c>
      <c r="I5418">
        <v>4.9991938596232501E-2</v>
      </c>
      <c r="J5418">
        <v>4.7601822414931202E-2</v>
      </c>
      <c r="K5418">
        <v>4.4282379672989501E-2</v>
      </c>
      <c r="L5418">
        <v>681.64469214804205</v>
      </c>
      <c r="M5418">
        <v>14.0410569833896</v>
      </c>
      <c r="N5418">
        <v>48.554874981740099</v>
      </c>
      <c r="O5418">
        <v>47.593637677548699</v>
      </c>
      <c r="P5418">
        <v>-7.3675732553494203E-2</v>
      </c>
      <c r="Q5418">
        <v>1.20412873076893E-3</v>
      </c>
      <c r="R5418">
        <v>0.99574161284935503</v>
      </c>
      <c r="S5418" t="s">
        <v>11986</v>
      </c>
      <c r="T5418" t="s">
        <v>13134</v>
      </c>
      <c r="U5418" t="s">
        <v>13134</v>
      </c>
      <c r="V5418" t="s">
        <v>13134</v>
      </c>
      <c r="W5418" t="s">
        <v>18488</v>
      </c>
      <c r="X5418">
        <v>9</v>
      </c>
      <c r="Y5418" t="s">
        <v>24854</v>
      </c>
      <c r="Z5418" t="s">
        <v>31386</v>
      </c>
      <c r="AA5418">
        <v>0.40975629324128687</v>
      </c>
      <c r="AB5418" t="str">
        <f>HYPERLINK("Melting_Curves/meltCurve_Q9BVV7_TIMM21.pdf", "Melting_Curves/meltCurve_Q9BVV7_TIMM21.pdf")</f>
        <v>Melting_Curves/meltCurve_Q9BVV7_TIMM21.pdf</v>
      </c>
    </row>
    <row r="5419" spans="1:28" x14ac:dyDescent="0.25">
      <c r="A5419" t="s">
        <v>5423</v>
      </c>
      <c r="B5419">
        <v>0.99472303558308395</v>
      </c>
      <c r="C5419">
        <v>0.98425126875824398</v>
      </c>
      <c r="D5419">
        <v>0.98326807079557199</v>
      </c>
      <c r="E5419">
        <v>0.812270528312108</v>
      </c>
      <c r="F5419">
        <v>0.53261793326165996</v>
      </c>
      <c r="G5419">
        <v>0.46328317425016802</v>
      </c>
      <c r="H5419">
        <v>0.41072259785979898</v>
      </c>
      <c r="I5419">
        <v>0.52371475419833402</v>
      </c>
      <c r="J5419">
        <v>0.74597998728576698</v>
      </c>
      <c r="K5419">
        <v>0.47249180097515098</v>
      </c>
      <c r="L5419">
        <v>2773.42098404438</v>
      </c>
      <c r="M5419">
        <v>59.0875566091118</v>
      </c>
      <c r="O5419">
        <v>46.883806193152601</v>
      </c>
      <c r="P5419">
        <v>-0.15025514640516799</v>
      </c>
      <c r="Q5419">
        <v>0.52311244589671102</v>
      </c>
      <c r="R5419">
        <v>0.86545920380815899</v>
      </c>
      <c r="S5419" t="s">
        <v>11987</v>
      </c>
      <c r="T5419" t="s">
        <v>13134</v>
      </c>
      <c r="U5419" t="s">
        <v>13134</v>
      </c>
      <c r="V5419" t="s">
        <v>13134</v>
      </c>
      <c r="W5419" t="s">
        <v>18489</v>
      </c>
      <c r="X5419">
        <v>11</v>
      </c>
      <c r="Y5419" t="s">
        <v>24855</v>
      </c>
      <c r="Z5419" t="s">
        <v>31387</v>
      </c>
      <c r="AA5419">
        <v>0.68178700624924005</v>
      </c>
      <c r="AB5419" t="str">
        <f>HYPERLINK("Melting_Curves/meltCurve_Q9BW04_SARG.pdf", "Melting_Curves/meltCurve_Q9BW04_SARG.pdf")</f>
        <v>Melting_Curves/meltCurve_Q9BW04_SARG.pdf</v>
      </c>
    </row>
    <row r="5420" spans="1:28" x14ac:dyDescent="0.25">
      <c r="A5420" t="s">
        <v>5424</v>
      </c>
      <c r="B5420">
        <v>0.99472303558308395</v>
      </c>
      <c r="C5420">
        <v>1.02953318362927</v>
      </c>
      <c r="D5420">
        <v>0.97258810580533595</v>
      </c>
      <c r="E5420">
        <v>0.70602194850993805</v>
      </c>
      <c r="F5420">
        <v>0.217935228015636</v>
      </c>
      <c r="G5420">
        <v>0.125468155618261</v>
      </c>
      <c r="H5420">
        <v>7.0336892917961399E-2</v>
      </c>
      <c r="I5420">
        <v>6.4523192621446401E-2</v>
      </c>
      <c r="J5420">
        <v>7.2035491885776598E-2</v>
      </c>
      <c r="K5420">
        <v>5.0361326371472101E-2</v>
      </c>
      <c r="L5420">
        <v>1524.9382539430001</v>
      </c>
      <c r="M5420">
        <v>31.961795943359402</v>
      </c>
      <c r="N5420">
        <v>47.934010821238097</v>
      </c>
      <c r="O5420">
        <v>47.525674750689298</v>
      </c>
      <c r="P5420">
        <v>-0.15652867370586299</v>
      </c>
      <c r="Q5420">
        <v>6.9001873124514904E-2</v>
      </c>
      <c r="R5420">
        <v>0.99853096859199497</v>
      </c>
      <c r="S5420" t="s">
        <v>11988</v>
      </c>
      <c r="T5420" t="s">
        <v>13134</v>
      </c>
      <c r="U5420" t="s">
        <v>13134</v>
      </c>
      <c r="V5420" t="s">
        <v>13134</v>
      </c>
      <c r="W5420" t="s">
        <v>18490</v>
      </c>
      <c r="X5420">
        <v>30</v>
      </c>
      <c r="Y5420" t="s">
        <v>24856</v>
      </c>
      <c r="Z5420" t="s">
        <v>31388</v>
      </c>
      <c r="AA5420">
        <v>0.40623527640706242</v>
      </c>
      <c r="AB5420" t="str">
        <f>HYPERLINK("Melting_Curves/meltCurve_Q9BW19_KIFC1.pdf", "Melting_Curves/meltCurve_Q9BW19_KIFC1.pdf")</f>
        <v>Melting_Curves/meltCurve_Q9BW19_KIFC1.pdf</v>
      </c>
    </row>
    <row r="5421" spans="1:28" x14ac:dyDescent="0.25">
      <c r="A5421" t="s">
        <v>5425</v>
      </c>
      <c r="B5421">
        <v>0.99472303558308395</v>
      </c>
      <c r="C5421">
        <v>0.93507720657890703</v>
      </c>
      <c r="D5421">
        <v>0.90876799099730998</v>
      </c>
      <c r="E5421">
        <v>0.73852741771167996</v>
      </c>
      <c r="F5421">
        <v>0.67923103546633001</v>
      </c>
      <c r="G5421">
        <v>0.55791845127575601</v>
      </c>
      <c r="H5421">
        <v>0.279301460017504</v>
      </c>
      <c r="I5421">
        <v>0.12245786753693599</v>
      </c>
      <c r="J5421">
        <v>0.190130464590265</v>
      </c>
      <c r="K5421">
        <v>0.147144637189776</v>
      </c>
      <c r="L5421">
        <v>524.31502138628105</v>
      </c>
      <c r="M5421">
        <v>9.8617821904495102</v>
      </c>
      <c r="N5421">
        <v>53.166332482622501</v>
      </c>
      <c r="O5421">
        <v>51.118647518544897</v>
      </c>
      <c r="P5421">
        <v>-4.8254605837373399E-2</v>
      </c>
      <c r="Q5421">
        <v>0</v>
      </c>
      <c r="R5421">
        <v>0.97444698480979997</v>
      </c>
      <c r="S5421" t="s">
        <v>11989</v>
      </c>
      <c r="T5421" t="s">
        <v>13134</v>
      </c>
      <c r="U5421" t="s">
        <v>13134</v>
      </c>
      <c r="V5421" t="s">
        <v>13134</v>
      </c>
      <c r="W5421" t="s">
        <v>18491</v>
      </c>
      <c r="X5421">
        <v>14</v>
      </c>
      <c r="Y5421" t="s">
        <v>24857</v>
      </c>
      <c r="Z5421" t="s">
        <v>31389</v>
      </c>
      <c r="AA5421">
        <v>0.56052668015277796</v>
      </c>
      <c r="AB5421" t="str">
        <f>HYPERLINK("Melting_Curves/meltCurve_Q9BW27_NUP85.pdf", "Melting_Curves/meltCurve_Q9BW27_NUP85.pdf")</f>
        <v>Melting_Curves/meltCurve_Q9BW27_NUP85.pdf</v>
      </c>
    </row>
    <row r="5422" spans="1:28" x14ac:dyDescent="0.25">
      <c r="A5422" t="s">
        <v>5426</v>
      </c>
      <c r="B5422">
        <v>0.99472303558308395</v>
      </c>
      <c r="C5422">
        <v>1.06963165049234</v>
      </c>
      <c r="D5422">
        <v>0.85304780374254197</v>
      </c>
      <c r="E5422">
        <v>0.70247116761191097</v>
      </c>
      <c r="F5422">
        <v>0.424264829245244</v>
      </c>
      <c r="G5422">
        <v>0.162308938308137</v>
      </c>
      <c r="H5422">
        <v>8.7727973913380206E-2</v>
      </c>
      <c r="I5422">
        <v>6.16875889867343E-2</v>
      </c>
      <c r="J5422">
        <v>6.63142252263417E-2</v>
      </c>
      <c r="K5422">
        <v>5.7519229896943497E-2</v>
      </c>
      <c r="L5422">
        <v>855.022645108858</v>
      </c>
      <c r="M5422">
        <v>17.562795143810401</v>
      </c>
      <c r="N5422">
        <v>48.908048963582502</v>
      </c>
      <c r="O5422">
        <v>48.065728955071997</v>
      </c>
      <c r="P5422">
        <v>-8.7817949689575098E-2</v>
      </c>
      <c r="Q5422">
        <v>3.8694172582422103E-2</v>
      </c>
      <c r="R5422">
        <v>0.99115344770422298</v>
      </c>
      <c r="S5422" t="s">
        <v>11990</v>
      </c>
      <c r="T5422" t="s">
        <v>13134</v>
      </c>
      <c r="U5422" t="s">
        <v>13134</v>
      </c>
      <c r="V5422" t="s">
        <v>13134</v>
      </c>
      <c r="W5422" t="s">
        <v>18492</v>
      </c>
      <c r="X5422">
        <v>2</v>
      </c>
      <c r="Y5422" t="s">
        <v>24858</v>
      </c>
      <c r="Z5422" t="s">
        <v>31390</v>
      </c>
      <c r="AA5422">
        <v>0.42907374701139012</v>
      </c>
      <c r="AB5422" t="str">
        <f>HYPERLINK("Melting_Curves/meltCurve_Q9BW60_ELOVL1.pdf", "Melting_Curves/meltCurve_Q9BW60_ELOVL1.pdf")</f>
        <v>Melting_Curves/meltCurve_Q9BW60_ELOVL1.pdf</v>
      </c>
    </row>
    <row r="5423" spans="1:28" x14ac:dyDescent="0.25">
      <c r="A5423" t="s">
        <v>5427</v>
      </c>
      <c r="B5423">
        <v>0.99472303558308395</v>
      </c>
      <c r="C5423">
        <v>0.81743902454486395</v>
      </c>
      <c r="D5423">
        <v>0.74721456681700404</v>
      </c>
      <c r="E5423">
        <v>0.63116737641408605</v>
      </c>
      <c r="F5423">
        <v>0.41996177402310703</v>
      </c>
      <c r="G5423">
        <v>0.20549607975090201</v>
      </c>
      <c r="H5423">
        <v>0.106125227742586</v>
      </c>
      <c r="I5423">
        <v>8.4607244795244202E-2</v>
      </c>
      <c r="J5423">
        <v>9.9837621931859494E-2</v>
      </c>
      <c r="K5423">
        <v>6.49640479394967E-2</v>
      </c>
      <c r="L5423">
        <v>498.25010143760699</v>
      </c>
      <c r="M5423">
        <v>10.3859644841201</v>
      </c>
      <c r="N5423">
        <v>47.973422448713301</v>
      </c>
      <c r="O5423">
        <v>46.297135892822297</v>
      </c>
      <c r="P5423">
        <v>-5.6106812262756899E-2</v>
      </c>
      <c r="Q5423">
        <v>0</v>
      </c>
      <c r="R5423">
        <v>0.98509929155471698</v>
      </c>
      <c r="S5423" t="s">
        <v>11991</v>
      </c>
      <c r="T5423" t="s">
        <v>13134</v>
      </c>
      <c r="U5423" t="s">
        <v>13134</v>
      </c>
      <c r="V5423" t="s">
        <v>13134</v>
      </c>
      <c r="W5423" t="s">
        <v>18493</v>
      </c>
      <c r="X5423">
        <v>8</v>
      </c>
      <c r="Y5423" t="s">
        <v>24859</v>
      </c>
      <c r="Z5423" t="s">
        <v>31391</v>
      </c>
      <c r="AA5423">
        <v>0.40410032049121142</v>
      </c>
      <c r="AB5423" t="str">
        <f>HYPERLINK("Melting_Curves/meltCurve_Q9BW61_DDA1.pdf", "Melting_Curves/meltCurve_Q9BW61_DDA1.pdf")</f>
        <v>Melting_Curves/meltCurve_Q9BW61_DDA1.pdf</v>
      </c>
    </row>
    <row r="5424" spans="1:28" x14ac:dyDescent="0.25">
      <c r="A5424" t="s">
        <v>5428</v>
      </c>
      <c r="B5424">
        <v>0.99472303558308395</v>
      </c>
      <c r="C5424">
        <v>0.97970858530265104</v>
      </c>
      <c r="D5424">
        <v>0.95413602711512402</v>
      </c>
      <c r="E5424">
        <v>0.80002573934258303</v>
      </c>
      <c r="F5424">
        <v>0.53786289211208804</v>
      </c>
      <c r="G5424">
        <v>0.34552119167988199</v>
      </c>
      <c r="H5424">
        <v>0.24713843004826599</v>
      </c>
      <c r="I5424">
        <v>0.21192296028837501</v>
      </c>
      <c r="J5424">
        <v>0.26394834577936499</v>
      </c>
      <c r="K5424">
        <v>0.19877082593196099</v>
      </c>
      <c r="L5424">
        <v>942.56965262450103</v>
      </c>
      <c r="M5424">
        <v>19.1373352333589</v>
      </c>
      <c r="N5424">
        <v>50.706539651351797</v>
      </c>
      <c r="O5424">
        <v>48.724577634813997</v>
      </c>
      <c r="P5424">
        <v>-7.74636773074492E-2</v>
      </c>
      <c r="Q5424">
        <v>0.211125543097782</v>
      </c>
      <c r="R5424">
        <v>0.99728946588448997</v>
      </c>
      <c r="S5424" t="s">
        <v>11992</v>
      </c>
      <c r="T5424" t="s">
        <v>13134</v>
      </c>
      <c r="U5424" t="s">
        <v>13134</v>
      </c>
      <c r="V5424" t="s">
        <v>13134</v>
      </c>
      <c r="W5424" t="s">
        <v>18494</v>
      </c>
      <c r="X5424">
        <v>11</v>
      </c>
      <c r="Y5424" t="s">
        <v>24860</v>
      </c>
      <c r="Z5424" t="s">
        <v>31392</v>
      </c>
      <c r="AA5424">
        <v>0.54457531836669371</v>
      </c>
      <c r="AB5424" t="str">
        <f>HYPERLINK("Melting_Curves/meltCurve_Q9BW71_2_HIRIP3.pdf", "Melting_Curves/meltCurve_Q9BW71_2_HIRIP3.pdf")</f>
        <v>Melting_Curves/meltCurve_Q9BW71_2_HIRIP3.pdf</v>
      </c>
    </row>
    <row r="5425" spans="1:28" x14ac:dyDescent="0.25">
      <c r="A5425" t="s">
        <v>5429</v>
      </c>
      <c r="B5425">
        <v>0.99472303558308395</v>
      </c>
      <c r="C5425">
        <v>0.98943252380233604</v>
      </c>
      <c r="D5425">
        <v>0.96228944596366295</v>
      </c>
      <c r="E5425">
        <v>0.86394112488811903</v>
      </c>
      <c r="F5425">
        <v>0.59793698043668297</v>
      </c>
      <c r="G5425">
        <v>0.402403080840601</v>
      </c>
      <c r="H5425">
        <v>0.214725734661597</v>
      </c>
      <c r="I5425">
        <v>0.15123599320059899</v>
      </c>
      <c r="J5425">
        <v>0.16876531629076899</v>
      </c>
      <c r="K5425">
        <v>0.11001051642312799</v>
      </c>
      <c r="L5425">
        <v>852.59463016428106</v>
      </c>
      <c r="M5425">
        <v>16.6911497994458</v>
      </c>
      <c r="N5425">
        <v>51.841677342883202</v>
      </c>
      <c r="O5425">
        <v>50.364316200129302</v>
      </c>
      <c r="P5425">
        <v>-7.3854428111343004E-2</v>
      </c>
      <c r="Q5425">
        <v>0.10865799766336399</v>
      </c>
      <c r="R5425">
        <v>0.99773939448563698</v>
      </c>
      <c r="S5425" t="s">
        <v>11993</v>
      </c>
      <c r="T5425" t="s">
        <v>13134</v>
      </c>
      <c r="U5425" t="s">
        <v>13134</v>
      </c>
      <c r="V5425" t="s">
        <v>13134</v>
      </c>
      <c r="W5425" t="s">
        <v>18495</v>
      </c>
      <c r="X5425">
        <v>20</v>
      </c>
      <c r="Y5425" t="s">
        <v>24861</v>
      </c>
      <c r="Z5425" t="s">
        <v>31393</v>
      </c>
      <c r="AA5425">
        <v>0.54245864138989319</v>
      </c>
      <c r="AB5425" t="str">
        <f>HYPERLINK("Melting_Curves/meltCurve_Q9BW85_CCDC94.pdf", "Melting_Curves/meltCurve_Q9BW85_CCDC94.pdf")</f>
        <v>Melting_Curves/meltCurve_Q9BW85_CCDC94.pdf</v>
      </c>
    </row>
    <row r="5426" spans="1:28" x14ac:dyDescent="0.25">
      <c r="A5426" t="s">
        <v>5430</v>
      </c>
      <c r="B5426">
        <v>0.99472303558308395</v>
      </c>
      <c r="C5426">
        <v>1.0120654976227801</v>
      </c>
      <c r="D5426">
        <v>1.0170412742803301</v>
      </c>
      <c r="E5426">
        <v>0.86919937525211599</v>
      </c>
      <c r="F5426">
        <v>0.46110813859923599</v>
      </c>
      <c r="G5426">
        <v>0.19235731808126999</v>
      </c>
      <c r="H5426">
        <v>0.101605850313332</v>
      </c>
      <c r="I5426">
        <v>7.0099994981932895E-2</v>
      </c>
      <c r="J5426">
        <v>8.1919946994380002E-2</v>
      </c>
      <c r="K5426">
        <v>6.848223852799E-2</v>
      </c>
      <c r="L5426">
        <v>1347.7299128090699</v>
      </c>
      <c r="M5426">
        <v>27.1384974259994</v>
      </c>
      <c r="N5426">
        <v>49.959590146234</v>
      </c>
      <c r="O5426">
        <v>49.393886554892703</v>
      </c>
      <c r="P5426">
        <v>-0.12708183502180201</v>
      </c>
      <c r="Q5426">
        <v>7.4819136929276997E-2</v>
      </c>
      <c r="R5426">
        <v>0.99901734855468105</v>
      </c>
      <c r="S5426" t="s">
        <v>11994</v>
      </c>
      <c r="T5426" t="s">
        <v>13134</v>
      </c>
      <c r="U5426" t="s">
        <v>13134</v>
      </c>
      <c r="V5426" t="s">
        <v>13134</v>
      </c>
      <c r="W5426" t="s">
        <v>18496</v>
      </c>
      <c r="X5426">
        <v>12</v>
      </c>
      <c r="Y5426" t="s">
        <v>24862</v>
      </c>
      <c r="Z5426" t="s">
        <v>31394</v>
      </c>
      <c r="AA5426">
        <v>0.47215784126707427</v>
      </c>
      <c r="AB5426" t="str">
        <f>HYPERLINK("Melting_Curves/meltCurve_Q9BW91_2_NUDT9.pdf", "Melting_Curves/meltCurve_Q9BW91_2_NUDT9.pdf")</f>
        <v>Melting_Curves/meltCurve_Q9BW91_2_NUDT9.pdf</v>
      </c>
    </row>
    <row r="5427" spans="1:28" x14ac:dyDescent="0.25">
      <c r="A5427" t="s">
        <v>5431</v>
      </c>
      <c r="B5427">
        <v>0.99472303558308395</v>
      </c>
      <c r="C5427">
        <v>0.96309713779834005</v>
      </c>
      <c r="D5427">
        <v>0.84298185832372496</v>
      </c>
      <c r="E5427">
        <v>0.67352892085154703</v>
      </c>
      <c r="F5427">
        <v>0.42879649346175303</v>
      </c>
      <c r="G5427">
        <v>0.18110033172581699</v>
      </c>
      <c r="H5427">
        <v>0.11423406816498199</v>
      </c>
      <c r="I5427">
        <v>5.8527697819384897E-2</v>
      </c>
      <c r="J5427">
        <v>6.5128375096694405E-2</v>
      </c>
      <c r="K5427">
        <v>5.1827085796824802E-2</v>
      </c>
      <c r="L5427">
        <v>711.45383352802799</v>
      </c>
      <c r="M5427">
        <v>14.6304782613221</v>
      </c>
      <c r="N5427">
        <v>48.785224096078103</v>
      </c>
      <c r="O5427">
        <v>47.746805315415301</v>
      </c>
      <c r="P5427">
        <v>-7.4850962664961398E-2</v>
      </c>
      <c r="Q5427">
        <v>2.2999514356736101E-2</v>
      </c>
      <c r="R5427">
        <v>0.99747260720799902</v>
      </c>
      <c r="S5427" t="s">
        <v>11995</v>
      </c>
      <c r="T5427" t="s">
        <v>13134</v>
      </c>
      <c r="U5427" t="s">
        <v>13134</v>
      </c>
      <c r="V5427" t="s">
        <v>13134</v>
      </c>
      <c r="W5427" t="s">
        <v>18497</v>
      </c>
      <c r="X5427">
        <v>21</v>
      </c>
      <c r="Y5427" t="s">
        <v>24863</v>
      </c>
      <c r="Z5427" t="s">
        <v>31395</v>
      </c>
      <c r="AA5427">
        <v>0.42376621561935929</v>
      </c>
      <c r="AB5427" t="str">
        <f>HYPERLINK("Melting_Curves/meltCurve_Q9BW92_TARS2.pdf", "Melting_Curves/meltCurve_Q9BW92_TARS2.pdf")</f>
        <v>Melting_Curves/meltCurve_Q9BW92_TARS2.pdf</v>
      </c>
    </row>
    <row r="5428" spans="1:28" x14ac:dyDescent="0.25">
      <c r="A5428" t="s">
        <v>5432</v>
      </c>
      <c r="B5428">
        <v>0.99472303558308395</v>
      </c>
      <c r="C5428">
        <v>1.04332042782464</v>
      </c>
      <c r="D5428">
        <v>0.91321622483323495</v>
      </c>
      <c r="E5428">
        <v>0.86063016583485896</v>
      </c>
      <c r="F5428">
        <v>0.76982965207047904</v>
      </c>
      <c r="G5428">
        <v>0.61361830234183601</v>
      </c>
      <c r="H5428">
        <v>0.457892915132943</v>
      </c>
      <c r="I5428">
        <v>0.43470622970978301</v>
      </c>
      <c r="J5428">
        <v>0.27129901718622801</v>
      </c>
      <c r="K5428">
        <v>0.14375292049983199</v>
      </c>
      <c r="L5428">
        <v>505.04583161518798</v>
      </c>
      <c r="M5428">
        <v>8.8817364620018306</v>
      </c>
      <c r="N5428">
        <v>56.863405915420799</v>
      </c>
      <c r="O5428">
        <v>54.202242405678803</v>
      </c>
      <c r="P5428">
        <v>-4.0997001008837602E-2</v>
      </c>
      <c r="Q5428">
        <v>0</v>
      </c>
      <c r="R5428">
        <v>0.98107005319457397</v>
      </c>
      <c r="S5428" t="s">
        <v>11996</v>
      </c>
      <c r="T5428" t="s">
        <v>13134</v>
      </c>
      <c r="U5428" t="s">
        <v>13134</v>
      </c>
      <c r="V5428" t="s">
        <v>13134</v>
      </c>
      <c r="W5428" t="s">
        <v>18498</v>
      </c>
      <c r="X5428">
        <v>22</v>
      </c>
      <c r="Y5428" t="s">
        <v>24864</v>
      </c>
      <c r="Z5428" t="s">
        <v>31396</v>
      </c>
      <c r="AA5428">
        <v>0.65752423210208844</v>
      </c>
      <c r="AB5428" t="str">
        <f>HYPERLINK("Melting_Curves/meltCurve_Q9BWD1_ACAT2.pdf", "Melting_Curves/meltCurve_Q9BWD1_ACAT2.pdf")</f>
        <v>Melting_Curves/meltCurve_Q9BWD1_ACAT2.pdf</v>
      </c>
    </row>
    <row r="5429" spans="1:28" x14ac:dyDescent="0.25">
      <c r="A5429" t="s">
        <v>5433</v>
      </c>
      <c r="B5429">
        <v>0.99472303558308395</v>
      </c>
      <c r="C5429">
        <v>0.992964897494651</v>
      </c>
      <c r="D5429">
        <v>0.96903862020244402</v>
      </c>
      <c r="E5429">
        <v>0.92322599065376498</v>
      </c>
      <c r="F5429">
        <v>0.70568068915199</v>
      </c>
      <c r="G5429">
        <v>0.40385219460947103</v>
      </c>
      <c r="H5429">
        <v>0.18358852196471201</v>
      </c>
      <c r="I5429">
        <v>0.14000156568595501</v>
      </c>
      <c r="J5429">
        <v>8.2070865591561307E-2</v>
      </c>
      <c r="K5429">
        <v>6.1625718199275301E-2</v>
      </c>
      <c r="L5429">
        <v>1010.9775920107101</v>
      </c>
      <c r="M5429">
        <v>19.3516012456016</v>
      </c>
      <c r="N5429">
        <v>52.583869818472401</v>
      </c>
      <c r="O5429">
        <v>51.694294624102902</v>
      </c>
      <c r="P5429">
        <v>-8.8066903297042406E-2</v>
      </c>
      <c r="Q5429">
        <v>5.90158300155132E-2</v>
      </c>
      <c r="R5429">
        <v>0.99907241631741805</v>
      </c>
      <c r="S5429" t="s">
        <v>11997</v>
      </c>
      <c r="T5429" t="s">
        <v>13134</v>
      </c>
      <c r="U5429" t="s">
        <v>13134</v>
      </c>
      <c r="V5429" t="s">
        <v>13134</v>
      </c>
      <c r="W5429" t="s">
        <v>18499</v>
      </c>
      <c r="X5429">
        <v>12</v>
      </c>
      <c r="Y5429" t="s">
        <v>24865</v>
      </c>
      <c r="Z5429" t="s">
        <v>31397</v>
      </c>
      <c r="AA5429">
        <v>0.5498295025717489</v>
      </c>
      <c r="AB5429" t="str">
        <f>HYPERLINK("Melting_Curves/meltCurve_Q9BWE0_REPIN1.pdf", "Melting_Curves/meltCurve_Q9BWE0_REPIN1.pdf")</f>
        <v>Melting_Curves/meltCurve_Q9BWE0_REPIN1.pdf</v>
      </c>
    </row>
    <row r="5430" spans="1:28" x14ac:dyDescent="0.25">
      <c r="A5430" t="s">
        <v>5434</v>
      </c>
      <c r="B5430">
        <v>0.99472303558308395</v>
      </c>
      <c r="C5430">
        <v>0.93150948844529002</v>
      </c>
      <c r="D5430">
        <v>0.79003140851032005</v>
      </c>
      <c r="E5430">
        <v>0.46693820576012302</v>
      </c>
      <c r="F5430">
        <v>0.216843282310901</v>
      </c>
      <c r="G5430">
        <v>0.113346074832008</v>
      </c>
      <c r="H5430">
        <v>6.9132292943666795E-2</v>
      </c>
      <c r="I5430">
        <v>4.51803858538476E-2</v>
      </c>
      <c r="J5430">
        <v>5.82068429098642E-2</v>
      </c>
      <c r="K5430">
        <v>5.6856217448060999E-2</v>
      </c>
      <c r="L5430">
        <v>826.12554627287</v>
      </c>
      <c r="M5430">
        <v>17.967676942349598</v>
      </c>
      <c r="N5430">
        <v>46.227002781453102</v>
      </c>
      <c r="O5430">
        <v>45.420242165424</v>
      </c>
      <c r="P5430">
        <v>-9.4347541798884202E-2</v>
      </c>
      <c r="Q5430">
        <v>4.6048054966235499E-2</v>
      </c>
      <c r="R5430">
        <v>0.99969001045095196</v>
      </c>
      <c r="S5430" t="s">
        <v>11998</v>
      </c>
      <c r="T5430" t="s">
        <v>13134</v>
      </c>
      <c r="U5430" t="s">
        <v>13134</v>
      </c>
      <c r="V5430" t="s">
        <v>13134</v>
      </c>
      <c r="W5430" t="s">
        <v>18500</v>
      </c>
      <c r="X5430">
        <v>16</v>
      </c>
      <c r="Y5430" t="s">
        <v>24866</v>
      </c>
      <c r="Z5430" t="s">
        <v>31398</v>
      </c>
      <c r="AA5430">
        <v>0.34702455474340882</v>
      </c>
      <c r="AB5430" t="str">
        <f>HYPERLINK("Melting_Curves/meltCurve_Q9BWF3_RBM4.pdf", "Melting_Curves/meltCurve_Q9BWF3_RBM4.pdf")</f>
        <v>Melting_Curves/meltCurve_Q9BWF3_RBM4.pdf</v>
      </c>
    </row>
    <row r="5431" spans="1:28" x14ac:dyDescent="0.25">
      <c r="A5431" t="s">
        <v>5435</v>
      </c>
      <c r="B5431">
        <v>0.99472303558308395</v>
      </c>
      <c r="C5431">
        <v>1.0411795214330499</v>
      </c>
      <c r="D5431">
        <v>0.86388274470982496</v>
      </c>
      <c r="E5431">
        <v>0.75162711085244804</v>
      </c>
      <c r="F5431">
        <v>0.63240375387324699</v>
      </c>
      <c r="G5431">
        <v>0.37502996610653</v>
      </c>
      <c r="H5431">
        <v>0.27915204963009899</v>
      </c>
      <c r="I5431">
        <v>0.199924185551829</v>
      </c>
      <c r="J5431">
        <v>0.27714035647447099</v>
      </c>
      <c r="K5431">
        <v>0.18469603150300401</v>
      </c>
      <c r="L5431">
        <v>674.19553328229301</v>
      </c>
      <c r="M5431">
        <v>13.4919931980866</v>
      </c>
      <c r="N5431">
        <v>51.589056130960003</v>
      </c>
      <c r="O5431">
        <v>48.910598926012099</v>
      </c>
      <c r="P5431">
        <v>-5.7068608678594902E-2</v>
      </c>
      <c r="Q5431">
        <v>0.17259572915959701</v>
      </c>
      <c r="R5431">
        <v>0.98219176668433095</v>
      </c>
      <c r="S5431" t="s">
        <v>11999</v>
      </c>
      <c r="T5431" t="s">
        <v>13134</v>
      </c>
      <c r="U5431" t="s">
        <v>13134</v>
      </c>
      <c r="V5431" t="s">
        <v>13134</v>
      </c>
      <c r="W5431" t="s">
        <v>18501</v>
      </c>
      <c r="X5431">
        <v>1</v>
      </c>
      <c r="Y5431" t="s">
        <v>24867</v>
      </c>
      <c r="Z5431" t="s">
        <v>31399</v>
      </c>
      <c r="AA5431">
        <v>0.55036146842856948</v>
      </c>
      <c r="AB5431" t="str">
        <f>HYPERLINK("Melting_Curves/meltCurve_Q9BWG6_SCNM1.pdf", "Melting_Curves/meltCurve_Q9BWG6_SCNM1.pdf")</f>
        <v>Melting_Curves/meltCurve_Q9BWG6_SCNM1.pdf</v>
      </c>
    </row>
    <row r="5432" spans="1:28" x14ac:dyDescent="0.25">
      <c r="A5432" t="s">
        <v>5436</v>
      </c>
      <c r="B5432">
        <v>0.99472303558308395</v>
      </c>
      <c r="C5432">
        <v>1.0393218165850899</v>
      </c>
      <c r="D5432">
        <v>1.00597855663074</v>
      </c>
      <c r="E5432">
        <v>0.92718771006409995</v>
      </c>
      <c r="F5432">
        <v>0.62047266605598395</v>
      </c>
      <c r="G5432">
        <v>0.61492442958714899</v>
      </c>
      <c r="H5432">
        <v>0.62448551329096103</v>
      </c>
      <c r="I5432">
        <v>0.71507578858479703</v>
      </c>
      <c r="J5432">
        <v>1.0011618245304601</v>
      </c>
      <c r="K5432">
        <v>0.71236120357664801</v>
      </c>
      <c r="L5432">
        <v>11699.898266780399</v>
      </c>
      <c r="M5432">
        <v>250</v>
      </c>
      <c r="O5432">
        <v>46.7965980360499</v>
      </c>
      <c r="P5432">
        <v>-0.38097466940993502</v>
      </c>
      <c r="Q5432">
        <v>0.71474690385239703</v>
      </c>
      <c r="R5432">
        <v>0.63105539167200497</v>
      </c>
      <c r="S5432" t="s">
        <v>12000</v>
      </c>
      <c r="T5432" t="s">
        <v>13134</v>
      </c>
      <c r="U5432" t="s">
        <v>13134</v>
      </c>
      <c r="V5432" t="s">
        <v>13134</v>
      </c>
      <c r="W5432" t="s">
        <v>18502</v>
      </c>
      <c r="X5432">
        <v>7</v>
      </c>
      <c r="Y5432" t="s">
        <v>24868</v>
      </c>
      <c r="Z5432" t="s">
        <v>31400</v>
      </c>
      <c r="AA5432">
        <v>0.80794914119814387</v>
      </c>
      <c r="AB5432" t="str">
        <f>HYPERLINK("Melting_Curves/meltCurve_Q9BWH2_FUNDC2.pdf", "Melting_Curves/meltCurve_Q9BWH2_FUNDC2.pdf")</f>
        <v>Melting_Curves/meltCurve_Q9BWH2_FUNDC2.pdf</v>
      </c>
    </row>
    <row r="5433" spans="1:28" x14ac:dyDescent="0.25">
      <c r="A5433" t="s">
        <v>5437</v>
      </c>
      <c r="B5433">
        <v>0.99472303558308395</v>
      </c>
      <c r="C5433">
        <v>0.96494591470074798</v>
      </c>
      <c r="D5433">
        <v>0.77290129328861101</v>
      </c>
      <c r="E5433">
        <v>0.65278877987933204</v>
      </c>
      <c r="F5433">
        <v>0.408637568240385</v>
      </c>
      <c r="G5433">
        <v>0.13420337893050899</v>
      </c>
      <c r="H5433">
        <v>6.2781933042856897E-2</v>
      </c>
      <c r="I5433">
        <v>5.7141841891590398E-2</v>
      </c>
      <c r="J5433">
        <v>7.1127373947713304E-2</v>
      </c>
      <c r="K5433">
        <v>5.0528575618454301E-2</v>
      </c>
      <c r="L5433">
        <v>685.16896126944596</v>
      </c>
      <c r="M5433">
        <v>14.2496286131892</v>
      </c>
      <c r="N5433">
        <v>48.171303655911998</v>
      </c>
      <c r="O5433">
        <v>47.166041941404998</v>
      </c>
      <c r="P5433">
        <v>-7.4567700292732506E-2</v>
      </c>
      <c r="Q5433">
        <v>1.28503402723836E-2</v>
      </c>
      <c r="R5433">
        <v>0.98922938731447896</v>
      </c>
      <c r="S5433" t="s">
        <v>12001</v>
      </c>
      <c r="T5433" t="s">
        <v>13134</v>
      </c>
      <c r="U5433" t="s">
        <v>13134</v>
      </c>
      <c r="V5433" t="s">
        <v>13134</v>
      </c>
      <c r="W5433" t="s">
        <v>18503</v>
      </c>
      <c r="X5433">
        <v>12</v>
      </c>
      <c r="Y5433" t="s">
        <v>24869</v>
      </c>
      <c r="Z5433" t="s">
        <v>31401</v>
      </c>
      <c r="AA5433">
        <v>0.40116497826866088</v>
      </c>
      <c r="AB5433" t="str">
        <f>HYPERLINK("Melting_Curves/meltCurve_Q9BWH6_RPAP1.pdf", "Melting_Curves/meltCurve_Q9BWH6_RPAP1.pdf")</f>
        <v>Melting_Curves/meltCurve_Q9BWH6_RPAP1.pdf</v>
      </c>
    </row>
    <row r="5434" spans="1:28" x14ac:dyDescent="0.25">
      <c r="A5434" t="s">
        <v>5438</v>
      </c>
      <c r="B5434">
        <v>0.99472303558308395</v>
      </c>
      <c r="C5434">
        <v>1.0027253569297601</v>
      </c>
      <c r="D5434">
        <v>0.72494801627272998</v>
      </c>
      <c r="E5434">
        <v>0.66547543510102802</v>
      </c>
      <c r="F5434">
        <v>0.90490274458720499</v>
      </c>
      <c r="G5434">
        <v>0.53194348575984995</v>
      </c>
      <c r="H5434">
        <v>0.18450618179474201</v>
      </c>
      <c r="I5434">
        <v>0.14998168106913901</v>
      </c>
      <c r="J5434">
        <v>0.16721778448574001</v>
      </c>
      <c r="K5434">
        <v>0.155746946594641</v>
      </c>
      <c r="L5434">
        <v>528.42144173081397</v>
      </c>
      <c r="M5434">
        <v>9.9247060168637802</v>
      </c>
      <c r="N5434">
        <v>53.243050649144699</v>
      </c>
      <c r="O5434">
        <v>51.216678550759497</v>
      </c>
      <c r="P5434">
        <v>-4.84689507059319E-2</v>
      </c>
      <c r="Q5434">
        <v>0</v>
      </c>
      <c r="R5434">
        <v>0.86809481934714305</v>
      </c>
      <c r="S5434" t="s">
        <v>12002</v>
      </c>
      <c r="T5434" t="s">
        <v>13134</v>
      </c>
      <c r="U5434" t="s">
        <v>13134</v>
      </c>
      <c r="V5434" t="s">
        <v>13134</v>
      </c>
      <c r="W5434" t="s">
        <v>18504</v>
      </c>
      <c r="X5434">
        <v>3</v>
      </c>
      <c r="Y5434" t="s">
        <v>24870</v>
      </c>
      <c r="Z5434" t="s">
        <v>31402</v>
      </c>
      <c r="AA5434">
        <v>0.56271591174260449</v>
      </c>
      <c r="AB5434" t="str">
        <f>HYPERLINK("Melting_Curves/meltCurve_Q9BWJ5_SF3B5.pdf", "Melting_Curves/meltCurve_Q9BWJ5_SF3B5.pdf")</f>
        <v>Melting_Curves/meltCurve_Q9BWJ5_SF3B5.pdf</v>
      </c>
    </row>
    <row r="5435" spans="1:28" x14ac:dyDescent="0.25">
      <c r="A5435" t="s">
        <v>5439</v>
      </c>
      <c r="B5435">
        <v>0.99472303558308395</v>
      </c>
      <c r="C5435">
        <v>0.83266074605491802</v>
      </c>
      <c r="D5435">
        <v>0.83187076435712903</v>
      </c>
      <c r="E5435">
        <v>0.70082317094768198</v>
      </c>
      <c r="F5435">
        <v>0.65133788721855801</v>
      </c>
      <c r="G5435">
        <v>0.42550757845182102</v>
      </c>
      <c r="H5435">
        <v>0.17585864552769601</v>
      </c>
      <c r="I5435">
        <v>0.101580943797141</v>
      </c>
      <c r="J5435">
        <v>0.103073574061555</v>
      </c>
      <c r="K5435">
        <v>7.0026422993819004E-2</v>
      </c>
      <c r="L5435">
        <v>523.32683777023499</v>
      </c>
      <c r="M5435">
        <v>10.239815518308699</v>
      </c>
      <c r="N5435">
        <v>51.107056927634297</v>
      </c>
      <c r="O5435">
        <v>49.272945465536203</v>
      </c>
      <c r="P5435">
        <v>-5.1977632408924702E-2</v>
      </c>
      <c r="Q5435">
        <v>0</v>
      </c>
      <c r="R5435">
        <v>0.96681679406236998</v>
      </c>
      <c r="S5435" t="s">
        <v>12003</v>
      </c>
      <c r="T5435" t="s">
        <v>13134</v>
      </c>
      <c r="U5435" t="s">
        <v>13134</v>
      </c>
      <c r="V5435" t="s">
        <v>13134</v>
      </c>
      <c r="W5435" t="s">
        <v>18505</v>
      </c>
      <c r="X5435">
        <v>2</v>
      </c>
      <c r="Y5435" t="s">
        <v>24871</v>
      </c>
      <c r="Z5435" t="s">
        <v>31403</v>
      </c>
      <c r="AA5435">
        <v>0.49980754658326709</v>
      </c>
      <c r="AB5435" t="str">
        <f>HYPERLINK("Melting_Curves/meltCurve_Q9BWM7_SFXN3.pdf", "Melting_Curves/meltCurve_Q9BWM7_SFXN3.pdf")</f>
        <v>Melting_Curves/meltCurve_Q9BWM7_SFXN3.pdf</v>
      </c>
    </row>
    <row r="5436" spans="1:28" x14ac:dyDescent="0.25">
      <c r="A5436" t="s">
        <v>5440</v>
      </c>
      <c r="B5436">
        <v>0.99472303558308395</v>
      </c>
      <c r="C5436">
        <v>1.00082598616968</v>
      </c>
      <c r="D5436">
        <v>0.85478448837344101</v>
      </c>
      <c r="E5436">
        <v>0.39815095054605398</v>
      </c>
      <c r="F5436">
        <v>0.27062865760670901</v>
      </c>
      <c r="G5436">
        <v>0.14920652114809099</v>
      </c>
      <c r="H5436">
        <v>9.4929132990216006E-2</v>
      </c>
      <c r="I5436">
        <v>5.1170099373647901E-2</v>
      </c>
      <c r="J5436">
        <v>8.6574636869347202E-2</v>
      </c>
      <c r="K5436">
        <v>7.5978202560063907E-2</v>
      </c>
      <c r="L5436">
        <v>1007.38922669301</v>
      </c>
      <c r="M5436">
        <v>21.999442432530898</v>
      </c>
      <c r="N5436">
        <v>46.195912874273198</v>
      </c>
      <c r="O5436">
        <v>45.418225252254501</v>
      </c>
      <c r="P5436">
        <v>-0.11049144576464601</v>
      </c>
      <c r="Q5436">
        <v>8.7573957035151695E-2</v>
      </c>
      <c r="R5436">
        <v>0.99090120415215599</v>
      </c>
      <c r="S5436" t="s">
        <v>12004</v>
      </c>
      <c r="T5436" t="s">
        <v>13134</v>
      </c>
      <c r="U5436" t="s">
        <v>13134</v>
      </c>
      <c r="V5436" t="s">
        <v>13134</v>
      </c>
      <c r="W5436" t="s">
        <v>18506</v>
      </c>
      <c r="X5436">
        <v>9</v>
      </c>
      <c r="Y5436" t="s">
        <v>24872</v>
      </c>
      <c r="Z5436" t="s">
        <v>31404</v>
      </c>
      <c r="AA5436">
        <v>0.36477684941749039</v>
      </c>
      <c r="AB5436" t="str">
        <f>HYPERLINK("Melting_Curves/meltCurve_Q9BWT3_PAPOLG.pdf", "Melting_Curves/meltCurve_Q9BWT3_PAPOLG.pdf")</f>
        <v>Melting_Curves/meltCurve_Q9BWT3_PAPOLG.pdf</v>
      </c>
    </row>
    <row r="5437" spans="1:28" x14ac:dyDescent="0.25">
      <c r="A5437" t="s">
        <v>5441</v>
      </c>
      <c r="B5437">
        <v>0.99472303558308395</v>
      </c>
      <c r="C5437">
        <v>0.959811655198759</v>
      </c>
      <c r="D5437">
        <v>0.98714796544375405</v>
      </c>
      <c r="E5437">
        <v>0.69790074170152705</v>
      </c>
      <c r="F5437">
        <v>0.43863366180760999</v>
      </c>
      <c r="G5437">
        <v>0.26978606207442102</v>
      </c>
      <c r="H5437">
        <v>0.126368203966222</v>
      </c>
      <c r="I5437">
        <v>0.15827828973580499</v>
      </c>
      <c r="J5437">
        <v>0.18224780060351201</v>
      </c>
      <c r="K5437">
        <v>0.141746313983624</v>
      </c>
      <c r="L5437">
        <v>970.43066065717403</v>
      </c>
      <c r="M5437">
        <v>20.050637898194498</v>
      </c>
      <c r="N5437">
        <v>49.234684290609898</v>
      </c>
      <c r="O5437">
        <v>47.925280540988098</v>
      </c>
      <c r="P5437">
        <v>-8.9510295155332695E-2</v>
      </c>
      <c r="Q5437">
        <v>0.14423318095269699</v>
      </c>
      <c r="R5437">
        <v>0.99283787705844295</v>
      </c>
      <c r="S5437" t="s">
        <v>12005</v>
      </c>
      <c r="T5437" t="s">
        <v>13134</v>
      </c>
      <c r="U5437" t="s">
        <v>13134</v>
      </c>
      <c r="V5437" t="s">
        <v>13134</v>
      </c>
      <c r="W5437" t="s">
        <v>18507</v>
      </c>
      <c r="X5437">
        <v>5</v>
      </c>
      <c r="Y5437" t="s">
        <v>24873</v>
      </c>
      <c r="Z5437" t="s">
        <v>31405</v>
      </c>
      <c r="AA5437">
        <v>0.48060134504023422</v>
      </c>
      <c r="AB5437" t="str">
        <f>HYPERLINK("Melting_Curves/meltCurve_Q9BWT6_MND1.pdf", "Melting_Curves/meltCurve_Q9BWT6_MND1.pdf")</f>
        <v>Melting_Curves/meltCurve_Q9BWT6_MND1.pdf</v>
      </c>
    </row>
    <row r="5438" spans="1:28" x14ac:dyDescent="0.25">
      <c r="A5438" t="s">
        <v>5442</v>
      </c>
      <c r="B5438">
        <v>0.99472303558308395</v>
      </c>
      <c r="C5438">
        <v>1.03107840730989</v>
      </c>
      <c r="D5438">
        <v>0.93894808522802797</v>
      </c>
      <c r="E5438">
        <v>0.76412149704448495</v>
      </c>
      <c r="F5438">
        <v>0.53413517122311405</v>
      </c>
      <c r="G5438">
        <v>0.21682631158100499</v>
      </c>
      <c r="H5438">
        <v>9.8208547978413094E-2</v>
      </c>
      <c r="I5438">
        <v>5.8867528213190003E-2</v>
      </c>
      <c r="J5438">
        <v>7.7189739083390205E-2</v>
      </c>
      <c r="K5438">
        <v>6.4646640924284696E-2</v>
      </c>
      <c r="L5438">
        <v>923.74350846007906</v>
      </c>
      <c r="M5438">
        <v>18.521998909315499</v>
      </c>
      <c r="N5438">
        <v>50.107060314010297</v>
      </c>
      <c r="O5438">
        <v>49.302333542548098</v>
      </c>
      <c r="P5438">
        <v>-9.0028806742394801E-2</v>
      </c>
      <c r="Q5438">
        <v>4.1478302434757898E-2</v>
      </c>
      <c r="R5438">
        <v>0.99603492505598201</v>
      </c>
      <c r="S5438" t="s">
        <v>12006</v>
      </c>
      <c r="T5438" t="s">
        <v>13134</v>
      </c>
      <c r="U5438" t="s">
        <v>13134</v>
      </c>
      <c r="V5438" t="s">
        <v>13134</v>
      </c>
      <c r="W5438" t="s">
        <v>18508</v>
      </c>
      <c r="X5438">
        <v>19</v>
      </c>
      <c r="Y5438" t="s">
        <v>24874</v>
      </c>
      <c r="Z5438" t="s">
        <v>31406</v>
      </c>
      <c r="AA5438">
        <v>0.46718840315734672</v>
      </c>
      <c r="AB5438" t="str">
        <f>HYPERLINK("Melting_Curves/meltCurve_Q9BWU0_SLC4A1AP.pdf", "Melting_Curves/meltCurve_Q9BWU0_SLC4A1AP.pdf")</f>
        <v>Melting_Curves/meltCurve_Q9BWU0_SLC4A1AP.pdf</v>
      </c>
    </row>
    <row r="5439" spans="1:28" x14ac:dyDescent="0.25">
      <c r="A5439" t="s">
        <v>5443</v>
      </c>
      <c r="B5439">
        <v>0.99472303558308395</v>
      </c>
      <c r="C5439">
        <v>1.0779147464430101</v>
      </c>
      <c r="D5439">
        <v>0.83265251130678497</v>
      </c>
      <c r="E5439">
        <v>0.80480284890512599</v>
      </c>
      <c r="F5439">
        <v>0.96891463763161301</v>
      </c>
      <c r="G5439">
        <v>0.66815918887270398</v>
      </c>
      <c r="H5439">
        <v>0.44369733934497602</v>
      </c>
      <c r="I5439">
        <v>0.16145099692055501</v>
      </c>
      <c r="J5439">
        <v>8.8243677796735101E-2</v>
      </c>
      <c r="K5439">
        <v>0.127433598591181</v>
      </c>
      <c r="L5439">
        <v>1014.94822136765</v>
      </c>
      <c r="M5439">
        <v>18.133962837669401</v>
      </c>
      <c r="N5439">
        <v>56.169314768992002</v>
      </c>
      <c r="O5439">
        <v>55.302146864971498</v>
      </c>
      <c r="P5439">
        <v>-7.9419568566152607E-2</v>
      </c>
      <c r="Q5439">
        <v>3.1240545208149E-2</v>
      </c>
      <c r="R5439">
        <v>0.94320878621319204</v>
      </c>
      <c r="S5439" t="s">
        <v>12007</v>
      </c>
      <c r="T5439" t="s">
        <v>13134</v>
      </c>
      <c r="U5439" t="s">
        <v>13134</v>
      </c>
      <c r="V5439" t="s">
        <v>13134</v>
      </c>
      <c r="W5439" t="s">
        <v>18509</v>
      </c>
      <c r="X5439">
        <v>4</v>
      </c>
      <c r="Y5439" t="s">
        <v>24875</v>
      </c>
      <c r="Z5439" t="s">
        <v>31407</v>
      </c>
      <c r="AA5439">
        <v>0.65449132172941782</v>
      </c>
      <c r="AB5439" t="str">
        <f>HYPERLINK("Melting_Curves/meltCurve_Q9BWW4_2_SSBP3.pdf", "Melting_Curves/meltCurve_Q9BWW4_2_SSBP3.pdf")</f>
        <v>Melting_Curves/meltCurve_Q9BWW4_2_SSBP3.pdf</v>
      </c>
    </row>
    <row r="5440" spans="1:28" x14ac:dyDescent="0.25">
      <c r="A5440" t="s">
        <v>5444</v>
      </c>
      <c r="B5440">
        <v>0.99472303558308395</v>
      </c>
      <c r="C5440">
        <v>1.0600581453111599</v>
      </c>
      <c r="D5440">
        <v>0.79524146424396103</v>
      </c>
      <c r="E5440">
        <v>0.80933064332955496</v>
      </c>
      <c r="F5440">
        <v>0.85659642436722905</v>
      </c>
      <c r="G5440">
        <v>0.56653014909950805</v>
      </c>
      <c r="H5440">
        <v>0.33941523681299601</v>
      </c>
      <c r="I5440">
        <v>0.219402180198079</v>
      </c>
      <c r="J5440">
        <v>0.27217474865992902</v>
      </c>
      <c r="K5440">
        <v>0.2083507327305</v>
      </c>
      <c r="L5440">
        <v>625.10546788289798</v>
      </c>
      <c r="M5440">
        <v>11.609852803786699</v>
      </c>
      <c r="N5440">
        <v>54.929735112893397</v>
      </c>
      <c r="O5440">
        <v>52.319598778293901</v>
      </c>
      <c r="P5440">
        <v>-4.9795295908614E-2</v>
      </c>
      <c r="Q5440">
        <v>0.102639052437414</v>
      </c>
      <c r="R5440">
        <v>0.93747391268568903</v>
      </c>
      <c r="S5440" t="s">
        <v>12008</v>
      </c>
      <c r="T5440" t="s">
        <v>13134</v>
      </c>
      <c r="U5440" t="s">
        <v>13134</v>
      </c>
      <c r="V5440" t="s">
        <v>13134</v>
      </c>
      <c r="W5440" t="s">
        <v>18510</v>
      </c>
      <c r="X5440">
        <v>3</v>
      </c>
      <c r="Y5440" t="s">
        <v>24876</v>
      </c>
      <c r="Z5440" t="s">
        <v>31408</v>
      </c>
      <c r="AA5440">
        <v>0.62309670021664898</v>
      </c>
      <c r="AB5440" t="str">
        <f>HYPERLINK("Melting_Curves/meltCurve_Q9BWW5_SSDP4.pdf", "Melting_Curves/meltCurve_Q9BWW5_SSDP4.pdf")</f>
        <v>Melting_Curves/meltCurve_Q9BWW5_SSDP4.pdf</v>
      </c>
    </row>
    <row r="5441" spans="1:28" x14ac:dyDescent="0.25">
      <c r="A5441" t="s">
        <v>5445</v>
      </c>
      <c r="B5441">
        <v>0.99472303558308395</v>
      </c>
      <c r="C5441">
        <v>0.868646583949231</v>
      </c>
      <c r="D5441">
        <v>0.85481941626956304</v>
      </c>
      <c r="E5441">
        <v>0.54937639526603899</v>
      </c>
      <c r="F5441">
        <v>0.29785180977164</v>
      </c>
      <c r="G5441">
        <v>0.11833301441121399</v>
      </c>
      <c r="H5441">
        <v>7.3062429724630104E-2</v>
      </c>
      <c r="I5441">
        <v>5.4349909718997197E-2</v>
      </c>
      <c r="J5441">
        <v>6.8975573933437298E-2</v>
      </c>
      <c r="K5441">
        <v>5.0917690549491697E-2</v>
      </c>
      <c r="L5441">
        <v>757.865194697628</v>
      </c>
      <c r="M5441">
        <v>16.1343872727217</v>
      </c>
      <c r="N5441">
        <v>47.185589373640298</v>
      </c>
      <c r="O5441">
        <v>46.2682393362794</v>
      </c>
      <c r="P5441">
        <v>-8.4115547850767997E-2</v>
      </c>
      <c r="Q5441">
        <v>3.5207751168572901E-2</v>
      </c>
      <c r="R5441">
        <v>0.99346228285621296</v>
      </c>
      <c r="S5441" t="s">
        <v>12009</v>
      </c>
      <c r="T5441" t="s">
        <v>13134</v>
      </c>
      <c r="U5441" t="s">
        <v>13134</v>
      </c>
      <c r="V5441" t="s">
        <v>13134</v>
      </c>
      <c r="W5441" t="s">
        <v>18511</v>
      </c>
      <c r="X5441">
        <v>7</v>
      </c>
      <c r="Y5441" t="s">
        <v>24877</v>
      </c>
      <c r="Z5441" t="s">
        <v>31409</v>
      </c>
      <c r="AA5441">
        <v>0.37493711297349852</v>
      </c>
      <c r="AB5441" t="str">
        <f>HYPERLINK("Melting_Curves/meltCurve_Q9BX10_2_GTPBP2.pdf", "Melting_Curves/meltCurve_Q9BX10_2_GTPBP2.pdf")</f>
        <v>Melting_Curves/meltCurve_Q9BX10_2_GTPBP2.pdf</v>
      </c>
    </row>
    <row r="5442" spans="1:28" x14ac:dyDescent="0.25">
      <c r="A5442" t="s">
        <v>5446</v>
      </c>
      <c r="B5442">
        <v>0.99472303558308395</v>
      </c>
      <c r="C5442">
        <v>0.87783256156189304</v>
      </c>
      <c r="D5442">
        <v>0.83782010173466404</v>
      </c>
      <c r="E5442">
        <v>0.55820648778492399</v>
      </c>
      <c r="F5442">
        <v>0.23669454936762499</v>
      </c>
      <c r="G5442">
        <v>8.7185689633367799E-2</v>
      </c>
      <c r="H5442">
        <v>6.0112603626633503E-2</v>
      </c>
      <c r="I5442">
        <v>3.49556485166908E-2</v>
      </c>
      <c r="J5442">
        <v>3.8195502933022998E-2</v>
      </c>
      <c r="K5442">
        <v>3.9869905669406701E-2</v>
      </c>
      <c r="L5442">
        <v>815.07056401601801</v>
      </c>
      <c r="M5442">
        <v>17.405327925589201</v>
      </c>
      <c r="N5442">
        <v>46.9385629438923</v>
      </c>
      <c r="O5442">
        <v>46.223744086212299</v>
      </c>
      <c r="P5442">
        <v>-9.2264144887927696E-2</v>
      </c>
      <c r="Q5442">
        <v>1.99426320030015E-2</v>
      </c>
      <c r="R5442">
        <v>0.99442909384045297</v>
      </c>
      <c r="S5442" t="s">
        <v>12010</v>
      </c>
      <c r="T5442" t="s">
        <v>13134</v>
      </c>
      <c r="U5442" t="s">
        <v>13134</v>
      </c>
      <c r="V5442" t="s">
        <v>13134</v>
      </c>
      <c r="W5442" t="s">
        <v>18512</v>
      </c>
      <c r="X5442">
        <v>5</v>
      </c>
      <c r="Y5442" t="s">
        <v>23406</v>
      </c>
      <c r="Z5442" t="s">
        <v>31410</v>
      </c>
      <c r="AA5442">
        <v>0.3578293113627049</v>
      </c>
      <c r="AB5442" t="str">
        <f>HYPERLINK("Melting_Curves/meltCurve_Q9BX40_LSM14B.pdf", "Melting_Curves/meltCurve_Q9BX40_LSM14B.pdf")</f>
        <v>Melting_Curves/meltCurve_Q9BX40_LSM14B.pdf</v>
      </c>
    </row>
    <row r="5443" spans="1:28" x14ac:dyDescent="0.25">
      <c r="A5443" t="s">
        <v>5447</v>
      </c>
      <c r="B5443">
        <v>0.99472303558308395</v>
      </c>
      <c r="C5443">
        <v>0.91979584726034602</v>
      </c>
      <c r="D5443">
        <v>0.825126306046578</v>
      </c>
      <c r="E5443">
        <v>0.69677579370133003</v>
      </c>
      <c r="F5443">
        <v>0.588464061300085</v>
      </c>
      <c r="G5443">
        <v>0.27754599790116502</v>
      </c>
      <c r="H5443">
        <v>0.131508154749752</v>
      </c>
      <c r="I5443">
        <v>5.0790606053463402E-2</v>
      </c>
      <c r="J5443">
        <v>5.6984569937545797E-2</v>
      </c>
      <c r="K5443">
        <v>4.4343443442915097E-2</v>
      </c>
      <c r="L5443">
        <v>621.65510090125201</v>
      </c>
      <c r="M5443">
        <v>12.421787496426999</v>
      </c>
      <c r="N5443">
        <v>50.045551448756399</v>
      </c>
      <c r="O5443">
        <v>48.8015966781755</v>
      </c>
      <c r="P5443">
        <v>-6.3647541387329504E-2</v>
      </c>
      <c r="Q5443">
        <v>0</v>
      </c>
      <c r="R5443">
        <v>0.98591054078394003</v>
      </c>
      <c r="S5443" t="s">
        <v>12011</v>
      </c>
      <c r="T5443" t="s">
        <v>13134</v>
      </c>
      <c r="U5443" t="s">
        <v>13134</v>
      </c>
      <c r="V5443" t="s">
        <v>13134</v>
      </c>
      <c r="W5443" t="s">
        <v>18513</v>
      </c>
      <c r="X5443">
        <v>4</v>
      </c>
      <c r="Y5443" t="s">
        <v>24878</v>
      </c>
      <c r="Z5443" t="s">
        <v>31411</v>
      </c>
      <c r="AA5443">
        <v>0.46164216467440478</v>
      </c>
      <c r="AB5443" t="str">
        <f>HYPERLINK("Melting_Curves/meltCurve_Q9BX63_BRIP1.pdf", "Melting_Curves/meltCurve_Q9BX63_BRIP1.pdf")</f>
        <v>Melting_Curves/meltCurve_Q9BX63_BRIP1.pdf</v>
      </c>
    </row>
    <row r="5444" spans="1:28" x14ac:dyDescent="0.25">
      <c r="A5444" t="s">
        <v>5448</v>
      </c>
      <c r="B5444">
        <v>0.99472303558308395</v>
      </c>
      <c r="C5444">
        <v>0.99857679337222205</v>
      </c>
      <c r="D5444">
        <v>0.931875135611969</v>
      </c>
      <c r="E5444">
        <v>0.80833471176975003</v>
      </c>
      <c r="F5444">
        <v>0.55239423975631696</v>
      </c>
      <c r="G5444">
        <v>0.273055631017037</v>
      </c>
      <c r="H5444">
        <v>0.124544443134254</v>
      </c>
      <c r="I5444">
        <v>8.1921956979161506E-2</v>
      </c>
      <c r="J5444">
        <v>8.9321680064714498E-2</v>
      </c>
      <c r="K5444">
        <v>8.5233832215011004E-2</v>
      </c>
      <c r="L5444">
        <v>912.84161879595104</v>
      </c>
      <c r="M5444">
        <v>18.169817054072201</v>
      </c>
      <c r="N5444">
        <v>50.587110979825603</v>
      </c>
      <c r="O5444">
        <v>49.642762294467701</v>
      </c>
      <c r="P5444">
        <v>-8.6136276635638498E-2</v>
      </c>
      <c r="Q5444">
        <v>5.8694012894268101E-2</v>
      </c>
      <c r="R5444">
        <v>0.99843468365240795</v>
      </c>
      <c r="S5444" t="s">
        <v>12012</v>
      </c>
      <c r="T5444" t="s">
        <v>13134</v>
      </c>
      <c r="U5444" t="s">
        <v>13134</v>
      </c>
      <c r="V5444" t="s">
        <v>13134</v>
      </c>
      <c r="W5444" t="s">
        <v>18514</v>
      </c>
      <c r="X5444">
        <v>17</v>
      </c>
      <c r="Y5444" t="s">
        <v>24879</v>
      </c>
      <c r="Z5444" t="s">
        <v>31412</v>
      </c>
      <c r="AA5444">
        <v>0.48866631393285298</v>
      </c>
      <c r="AB5444" t="str">
        <f>HYPERLINK("Melting_Curves/meltCurve_Q9BX66_9_SORBS1.pdf", "Melting_Curves/meltCurve_Q9BX66_9_SORBS1.pdf")</f>
        <v>Melting_Curves/meltCurve_Q9BX66_9_SORBS1.pdf</v>
      </c>
    </row>
    <row r="5445" spans="1:28" x14ac:dyDescent="0.25">
      <c r="A5445" t="s">
        <v>5449</v>
      </c>
      <c r="B5445">
        <v>0.99472303558308395</v>
      </c>
      <c r="C5445">
        <v>0.91457227309268996</v>
      </c>
      <c r="D5445">
        <v>1.01059251717646</v>
      </c>
      <c r="E5445">
        <v>0.89069678114445605</v>
      </c>
      <c r="F5445">
        <v>0.66331427143380595</v>
      </c>
      <c r="G5445">
        <v>0.56192808028682195</v>
      </c>
      <c r="H5445">
        <v>0.379151231027961</v>
      </c>
      <c r="I5445">
        <v>0.18802935717128499</v>
      </c>
      <c r="J5445">
        <v>0.12470436187690601</v>
      </c>
      <c r="K5445">
        <v>0.102568371853725</v>
      </c>
      <c r="L5445">
        <v>637.95708660314199</v>
      </c>
      <c r="M5445">
        <v>11.745411487569701</v>
      </c>
      <c r="N5445">
        <v>54.3154207900239</v>
      </c>
      <c r="O5445">
        <v>52.812660266596097</v>
      </c>
      <c r="P5445">
        <v>-5.56139758564645E-2</v>
      </c>
      <c r="Q5445">
        <v>0</v>
      </c>
      <c r="R5445">
        <v>0.98734374838806804</v>
      </c>
      <c r="S5445" t="s">
        <v>12013</v>
      </c>
      <c r="T5445" t="s">
        <v>13134</v>
      </c>
      <c r="U5445" t="s">
        <v>13134</v>
      </c>
      <c r="V5445" t="s">
        <v>13134</v>
      </c>
      <c r="W5445" t="s">
        <v>18515</v>
      </c>
      <c r="X5445">
        <v>6</v>
      </c>
      <c r="Y5445" t="s">
        <v>24880</v>
      </c>
      <c r="Z5445" t="s">
        <v>31413</v>
      </c>
      <c r="AA5445">
        <v>0.59398157170889121</v>
      </c>
      <c r="AB5445" t="str">
        <f>HYPERLINK("Melting_Curves/meltCurve_Q9BX68_HINT2.pdf", "Melting_Curves/meltCurve_Q9BX68_HINT2.pdf")</f>
        <v>Melting_Curves/meltCurve_Q9BX68_HINT2.pdf</v>
      </c>
    </row>
    <row r="5446" spans="1:28" x14ac:dyDescent="0.25">
      <c r="A5446" t="s">
        <v>5450</v>
      </c>
      <c r="B5446">
        <v>0.99472303558308395</v>
      </c>
      <c r="C5446">
        <v>1.0168077890424101</v>
      </c>
      <c r="D5446">
        <v>0.73407145113644001</v>
      </c>
      <c r="E5446">
        <v>0.47991510162979201</v>
      </c>
      <c r="F5446">
        <v>0.37990444509007198</v>
      </c>
      <c r="G5446">
        <v>0.22335051932511399</v>
      </c>
      <c r="H5446">
        <v>0.184562594164527</v>
      </c>
      <c r="I5446">
        <v>0.105830735431858</v>
      </c>
      <c r="J5446">
        <v>0.118814032005051</v>
      </c>
      <c r="K5446">
        <v>0.121739677193045</v>
      </c>
      <c r="L5446">
        <v>677.59618383808299</v>
      </c>
      <c r="M5446">
        <v>14.678807061447101</v>
      </c>
      <c r="N5446">
        <v>47.002058246027197</v>
      </c>
      <c r="O5446">
        <v>45.330175770629197</v>
      </c>
      <c r="P5446">
        <v>-7.16176937964626E-2</v>
      </c>
      <c r="Q5446">
        <v>0.11543607310718899</v>
      </c>
      <c r="R5446">
        <v>0.98382151027890896</v>
      </c>
      <c r="S5446" t="s">
        <v>12014</v>
      </c>
      <c r="T5446" t="s">
        <v>13134</v>
      </c>
      <c r="U5446" t="s">
        <v>13134</v>
      </c>
      <c r="V5446" t="s">
        <v>13134</v>
      </c>
      <c r="W5446" t="s">
        <v>18516</v>
      </c>
      <c r="X5446">
        <v>1</v>
      </c>
      <c r="Y5446" t="s">
        <v>24881</v>
      </c>
      <c r="Z5446" t="s">
        <v>31414</v>
      </c>
      <c r="AA5446">
        <v>0.40672119218932151</v>
      </c>
      <c r="AB5446" t="str">
        <f>HYPERLINK("Melting_Curves/meltCurve_Q9BX69_CARD6.pdf", "Melting_Curves/meltCurve_Q9BX69_CARD6.pdf")</f>
        <v>Melting_Curves/meltCurve_Q9BX69_CARD6.pdf</v>
      </c>
    </row>
    <row r="5447" spans="1:28" x14ac:dyDescent="0.25">
      <c r="A5447" t="s">
        <v>5451</v>
      </c>
      <c r="B5447">
        <v>0.99472303558308395</v>
      </c>
      <c r="C5447">
        <v>1.2707240997049201</v>
      </c>
      <c r="D5447">
        <v>0.93762416265108095</v>
      </c>
      <c r="E5447">
        <v>0.84429130342884895</v>
      </c>
      <c r="F5447">
        <v>0.73126699239934001</v>
      </c>
      <c r="G5447">
        <v>0.44422484113681898</v>
      </c>
      <c r="H5447">
        <v>0.178173012889458</v>
      </c>
      <c r="I5447">
        <v>8.8312171939034401E-2</v>
      </c>
      <c r="J5447">
        <v>1.8555473352435601E-2</v>
      </c>
      <c r="K5447">
        <v>5.9149187765856502E-2</v>
      </c>
      <c r="L5447">
        <v>903.235645784231</v>
      </c>
      <c r="M5447">
        <v>17.101190486240899</v>
      </c>
      <c r="N5447">
        <v>52.817102525717097</v>
      </c>
      <c r="O5447">
        <v>52.110761023350797</v>
      </c>
      <c r="P5447">
        <v>-8.2047462925295703E-2</v>
      </c>
      <c r="Q5447">
        <v>0</v>
      </c>
      <c r="R5447">
        <v>0.95473926086876504</v>
      </c>
      <c r="S5447" t="s">
        <v>12015</v>
      </c>
      <c r="T5447" t="s">
        <v>13134</v>
      </c>
      <c r="U5447" t="s">
        <v>13134</v>
      </c>
      <c r="V5447" t="s">
        <v>13134</v>
      </c>
      <c r="W5447" t="s">
        <v>18517</v>
      </c>
      <c r="X5447">
        <v>4</v>
      </c>
      <c r="Y5447" t="s">
        <v>24882</v>
      </c>
      <c r="Z5447" t="s">
        <v>31415</v>
      </c>
      <c r="AA5447">
        <v>0.54288496446497292</v>
      </c>
      <c r="AB5447" t="str">
        <f>HYPERLINK("Melting_Curves/meltCurve_Q9BX95_SGPP1.pdf", "Melting_Curves/meltCurve_Q9BX95_SGPP1.pdf")</f>
        <v>Melting_Curves/meltCurve_Q9BX95_SGPP1.pdf</v>
      </c>
    </row>
    <row r="5448" spans="1:28" x14ac:dyDescent="0.25">
      <c r="A5448" t="s">
        <v>5452</v>
      </c>
      <c r="B5448">
        <v>0.99472303558308395</v>
      </c>
      <c r="C5448">
        <v>0.92725471321545005</v>
      </c>
      <c r="D5448">
        <v>0.78674041949413498</v>
      </c>
      <c r="E5448">
        <v>0.384917504437717</v>
      </c>
      <c r="F5448">
        <v>0.312915162086773</v>
      </c>
      <c r="G5448">
        <v>0.125111633301596</v>
      </c>
      <c r="H5448">
        <v>0.125660226747873</v>
      </c>
      <c r="I5448">
        <v>8.3803074785409007E-2</v>
      </c>
      <c r="J5448">
        <v>0.15044072721750101</v>
      </c>
      <c r="K5448">
        <v>0.136508361732676</v>
      </c>
      <c r="L5448">
        <v>865.14499164155302</v>
      </c>
      <c r="M5448">
        <v>19.140471771018301</v>
      </c>
      <c r="N5448">
        <v>45.857927106716502</v>
      </c>
      <c r="O5448">
        <v>44.715065289214103</v>
      </c>
      <c r="P5448">
        <v>-9.4164291516704399E-2</v>
      </c>
      <c r="Q5448">
        <v>0.120105399537267</v>
      </c>
      <c r="R5448">
        <v>0.98820081872558996</v>
      </c>
      <c r="S5448" t="s">
        <v>12016</v>
      </c>
      <c r="T5448" t="s">
        <v>13134</v>
      </c>
      <c r="U5448" t="s">
        <v>13134</v>
      </c>
      <c r="V5448" t="s">
        <v>13134</v>
      </c>
      <c r="W5448" t="s">
        <v>18518</v>
      </c>
      <c r="X5448">
        <v>4</v>
      </c>
      <c r="Y5448" t="s">
        <v>24883</v>
      </c>
      <c r="Z5448" t="s">
        <v>31416</v>
      </c>
      <c r="AA5448">
        <v>0.37325222246041162</v>
      </c>
      <c r="AB5448" t="str">
        <f>HYPERLINK("Melting_Curves/meltCurve_Q9BXB4_OSBPL11.pdf", "Melting_Curves/meltCurve_Q9BXB4_OSBPL11.pdf")</f>
        <v>Melting_Curves/meltCurve_Q9BXB4_OSBPL11.pdf</v>
      </c>
    </row>
    <row r="5449" spans="1:28" x14ac:dyDescent="0.25">
      <c r="A5449" t="s">
        <v>5453</v>
      </c>
      <c r="B5449">
        <v>0.99472303558308395</v>
      </c>
      <c r="C5449">
        <v>0.59752660069505803</v>
      </c>
      <c r="D5449">
        <v>1.0337552286796099</v>
      </c>
      <c r="E5449">
        <v>0.68728618132910402</v>
      </c>
      <c r="F5449">
        <v>0.28402131939855602</v>
      </c>
      <c r="G5449">
        <v>0.19307741165328901</v>
      </c>
      <c r="H5449">
        <v>0.127272224767456</v>
      </c>
      <c r="I5449">
        <v>0.11957152775951201</v>
      </c>
      <c r="J5449">
        <v>0.14288567654116099</v>
      </c>
      <c r="K5449">
        <v>0.121489336815436</v>
      </c>
      <c r="L5449">
        <v>1319.3323394746501</v>
      </c>
      <c r="M5449">
        <v>27.718634063089102</v>
      </c>
      <c r="N5449">
        <v>48.119018125721297</v>
      </c>
      <c r="O5449">
        <v>47.351637480015299</v>
      </c>
      <c r="P5449">
        <v>-0.12735223266727599</v>
      </c>
      <c r="Q5449">
        <v>0.129786419898507</v>
      </c>
      <c r="R5449">
        <v>0.863974669800327</v>
      </c>
      <c r="S5449" t="s">
        <v>12017</v>
      </c>
      <c r="T5449" t="s">
        <v>13134</v>
      </c>
      <c r="U5449" t="s">
        <v>13134</v>
      </c>
      <c r="V5449" t="s">
        <v>13134</v>
      </c>
      <c r="W5449" t="s">
        <v>18519</v>
      </c>
      <c r="X5449">
        <v>6</v>
      </c>
      <c r="Y5449" t="s">
        <v>24602</v>
      </c>
      <c r="Z5449" t="s">
        <v>31417</v>
      </c>
      <c r="AA5449">
        <v>0.44318064896156489</v>
      </c>
      <c r="AB5449" t="str">
        <f>HYPERLINK("Melting_Curves/meltCurve_Q9BXH1_BBC3.pdf", "Melting_Curves/meltCurve_Q9BXH1_BBC3.pdf")</f>
        <v>Melting_Curves/meltCurve_Q9BXH1_BBC3.pdf</v>
      </c>
    </row>
    <row r="5450" spans="1:28" x14ac:dyDescent="0.25">
      <c r="A5450" t="s">
        <v>5454</v>
      </c>
      <c r="B5450">
        <v>0.99472303558308395</v>
      </c>
      <c r="C5450">
        <v>0.93679717710994403</v>
      </c>
      <c r="D5450">
        <v>0.96383730594443395</v>
      </c>
      <c r="E5450">
        <v>0.88574746096632195</v>
      </c>
      <c r="F5450">
        <v>0.70830763062374702</v>
      </c>
      <c r="G5450">
        <v>0.29321456899388898</v>
      </c>
      <c r="H5450">
        <v>6.24710439958817E-2</v>
      </c>
      <c r="I5450">
        <v>4.7707913188046798E-2</v>
      </c>
      <c r="J5450">
        <v>4.58530304807803E-2</v>
      </c>
      <c r="K5450">
        <v>4.2217194705802999E-2</v>
      </c>
      <c r="L5450">
        <v>1278.18973933742</v>
      </c>
      <c r="M5450">
        <v>24.732188627604799</v>
      </c>
      <c r="N5450">
        <v>51.7855065856279</v>
      </c>
      <c r="O5450">
        <v>51.346910050810699</v>
      </c>
      <c r="P5450">
        <v>-0.117493561064292</v>
      </c>
      <c r="Q5450">
        <v>2.42925355400995E-2</v>
      </c>
      <c r="R5450">
        <v>0.99404382694786997</v>
      </c>
      <c r="S5450" t="s">
        <v>12018</v>
      </c>
      <c r="T5450" t="s">
        <v>13134</v>
      </c>
      <c r="U5450" t="s">
        <v>13134</v>
      </c>
      <c r="V5450" t="s">
        <v>13134</v>
      </c>
      <c r="W5450" t="s">
        <v>18520</v>
      </c>
      <c r="X5450">
        <v>60</v>
      </c>
      <c r="Y5450" t="s">
        <v>24884</v>
      </c>
      <c r="Z5450" t="s">
        <v>31418</v>
      </c>
      <c r="AA5450">
        <v>0.51058680869283357</v>
      </c>
      <c r="AB5450" t="str">
        <f>HYPERLINK("Melting_Curves/meltCurve_Q9BXJ9_NAA15.pdf", "Melting_Curves/meltCurve_Q9BXJ9_NAA15.pdf")</f>
        <v>Melting_Curves/meltCurve_Q9BXJ9_NAA15.pdf</v>
      </c>
    </row>
    <row r="5451" spans="1:28" x14ac:dyDescent="0.25">
      <c r="A5451" t="s">
        <v>5455</v>
      </c>
      <c r="B5451">
        <v>0.99472303558308395</v>
      </c>
      <c r="C5451">
        <v>1.0109947700520101</v>
      </c>
      <c r="D5451">
        <v>0.89719135173238396</v>
      </c>
      <c r="E5451">
        <v>0.55323886448878801</v>
      </c>
      <c r="F5451">
        <v>0.26263489990164302</v>
      </c>
      <c r="G5451">
        <v>0.21528533584439699</v>
      </c>
      <c r="H5451">
        <v>0.143592820699014</v>
      </c>
      <c r="I5451">
        <v>0.14744034050499499</v>
      </c>
      <c r="J5451">
        <v>0.217859680817271</v>
      </c>
      <c r="K5451">
        <v>0.13530835697785901</v>
      </c>
      <c r="L5451">
        <v>1190.7139338214599</v>
      </c>
      <c r="M5451">
        <v>25.689435698997801</v>
      </c>
      <c r="N5451">
        <v>47.082334720857197</v>
      </c>
      <c r="O5451">
        <v>46.072212952491199</v>
      </c>
      <c r="P5451">
        <v>-0.11644945396848901</v>
      </c>
      <c r="Q5451">
        <v>0.164634281010024</v>
      </c>
      <c r="R5451">
        <v>0.99512239249478096</v>
      </c>
      <c r="S5451" t="s">
        <v>12019</v>
      </c>
      <c r="T5451" t="s">
        <v>13134</v>
      </c>
      <c r="U5451" t="s">
        <v>13134</v>
      </c>
      <c r="V5451" t="s">
        <v>13134</v>
      </c>
      <c r="W5451" t="s">
        <v>18521</v>
      </c>
      <c r="X5451">
        <v>4</v>
      </c>
      <c r="Y5451" t="s">
        <v>24885</v>
      </c>
      <c r="Z5451" t="s">
        <v>31419</v>
      </c>
      <c r="AA5451">
        <v>0.43157713046732521</v>
      </c>
      <c r="AB5451" t="str">
        <f>HYPERLINK("Melting_Curves/meltCurve_Q9BXK1_KLF16.pdf", "Melting_Curves/meltCurve_Q9BXK1_KLF16.pdf")</f>
        <v>Melting_Curves/meltCurve_Q9BXK1_KLF16.pdf</v>
      </c>
    </row>
    <row r="5452" spans="1:28" x14ac:dyDescent="0.25">
      <c r="A5452" t="s">
        <v>5456</v>
      </c>
      <c r="B5452">
        <v>0.99472303558308395</v>
      </c>
      <c r="C5452">
        <v>1.0744861235937999</v>
      </c>
      <c r="D5452">
        <v>0.97636386492761496</v>
      </c>
      <c r="E5452">
        <v>0.86309566684240502</v>
      </c>
      <c r="F5452">
        <v>0.73954023105992495</v>
      </c>
      <c r="G5452">
        <v>0.297850119807059</v>
      </c>
      <c r="H5452">
        <v>0.150333109661132</v>
      </c>
      <c r="I5452">
        <v>9.9870211077205007E-2</v>
      </c>
      <c r="J5452">
        <v>0.115805128410716</v>
      </c>
      <c r="K5452">
        <v>9.4295186825409993E-2</v>
      </c>
      <c r="L5452">
        <v>1303.1727785936901</v>
      </c>
      <c r="M5452">
        <v>25.279629227676001</v>
      </c>
      <c r="N5452">
        <v>51.957916700532998</v>
      </c>
      <c r="O5452">
        <v>51.230962807067897</v>
      </c>
      <c r="P5452">
        <v>-0.112266828906133</v>
      </c>
      <c r="Q5452">
        <v>8.9944709819290397E-2</v>
      </c>
      <c r="R5452">
        <v>0.990412099683046</v>
      </c>
      <c r="S5452" t="s">
        <v>12020</v>
      </c>
      <c r="T5452" t="s">
        <v>13134</v>
      </c>
      <c r="U5452" t="s">
        <v>13134</v>
      </c>
      <c r="V5452" t="s">
        <v>13134</v>
      </c>
      <c r="W5452" t="s">
        <v>18522</v>
      </c>
      <c r="X5452">
        <v>7</v>
      </c>
      <c r="Y5452" t="s">
        <v>24886</v>
      </c>
      <c r="Z5452" t="s">
        <v>31420</v>
      </c>
      <c r="AA5452">
        <v>0.53922164723877131</v>
      </c>
      <c r="AB5452" t="str">
        <f>HYPERLINK("Melting_Curves/meltCurve_Q9BXK5_BCL2L13.pdf", "Melting_Curves/meltCurve_Q9BXK5_BCL2L13.pdf")</f>
        <v>Melting_Curves/meltCurve_Q9BXK5_BCL2L13.pdf</v>
      </c>
    </row>
    <row r="5453" spans="1:28" x14ac:dyDescent="0.25">
      <c r="A5453" t="s">
        <v>5457</v>
      </c>
      <c r="B5453">
        <v>0.99472303558308395</v>
      </c>
      <c r="C5453">
        <v>0.99602700640150299</v>
      </c>
      <c r="D5453">
        <v>0.96207163965359399</v>
      </c>
      <c r="E5453">
        <v>0.88059567831166197</v>
      </c>
      <c r="F5453">
        <v>0.68502027743989302</v>
      </c>
      <c r="G5453">
        <v>0.55483753023451998</v>
      </c>
      <c r="H5453">
        <v>0.51548032728891702</v>
      </c>
      <c r="I5453">
        <v>0.56879897144567004</v>
      </c>
      <c r="J5453">
        <v>0.87162485315482396</v>
      </c>
      <c r="K5453">
        <v>0.70917185705935504</v>
      </c>
      <c r="L5453">
        <v>1987.60435166861</v>
      </c>
      <c r="M5453">
        <v>41.995567402022303</v>
      </c>
      <c r="O5453">
        <v>47.221968522561902</v>
      </c>
      <c r="P5453">
        <v>-7.8819829042022102E-2</v>
      </c>
      <c r="Q5453">
        <v>0.64548438759663895</v>
      </c>
      <c r="R5453">
        <v>0.72819769023210101</v>
      </c>
      <c r="S5453" t="s">
        <v>12021</v>
      </c>
      <c r="T5453" t="s">
        <v>13134</v>
      </c>
      <c r="U5453" t="s">
        <v>13134</v>
      </c>
      <c r="V5453" t="s">
        <v>13134</v>
      </c>
      <c r="W5453" t="s">
        <v>18523</v>
      </c>
      <c r="X5453">
        <v>25</v>
      </c>
      <c r="Y5453" t="s">
        <v>24887</v>
      </c>
      <c r="Z5453" t="s">
        <v>31421</v>
      </c>
      <c r="AA5453">
        <v>0.76859459489568172</v>
      </c>
      <c r="AB5453" t="str">
        <f>HYPERLINK("Melting_Curves/meltCurve_Q9BXL5_HEMGN.pdf", "Melting_Curves/meltCurve_Q9BXL5_HEMGN.pdf")</f>
        <v>Melting_Curves/meltCurve_Q9BXL5_HEMGN.pdf</v>
      </c>
    </row>
    <row r="5454" spans="1:28" x14ac:dyDescent="0.25">
      <c r="A5454" t="s">
        <v>5458</v>
      </c>
      <c r="B5454">
        <v>0.99472303558308395</v>
      </c>
      <c r="C5454">
        <v>0.96845506056588304</v>
      </c>
      <c r="D5454">
        <v>0.791310940951655</v>
      </c>
      <c r="E5454">
        <v>0.69054820823631702</v>
      </c>
      <c r="F5454">
        <v>0.25085218514394902</v>
      </c>
      <c r="G5454">
        <v>0.149062809841358</v>
      </c>
      <c r="H5454">
        <v>6.6678105900949497E-2</v>
      </c>
      <c r="I5454">
        <v>6.8727083840994893E-2</v>
      </c>
      <c r="J5454">
        <v>6.9588436741378198E-2</v>
      </c>
      <c r="K5454">
        <v>6.7552880027819701E-2</v>
      </c>
      <c r="L5454">
        <v>868.84603380114004</v>
      </c>
      <c r="M5454">
        <v>18.301099292364</v>
      </c>
      <c r="N5454">
        <v>47.738212024047598</v>
      </c>
      <c r="O5454">
        <v>46.919121719595402</v>
      </c>
      <c r="P5454">
        <v>-9.2839813332872695E-2</v>
      </c>
      <c r="Q5454">
        <v>4.7978235471788498E-2</v>
      </c>
      <c r="R5454">
        <v>0.98721606312546994</v>
      </c>
      <c r="S5454" t="s">
        <v>12022</v>
      </c>
      <c r="T5454" t="s">
        <v>13134</v>
      </c>
      <c r="U5454" t="s">
        <v>13134</v>
      </c>
      <c r="V5454" t="s">
        <v>13134</v>
      </c>
      <c r="W5454" t="s">
        <v>18524</v>
      </c>
      <c r="X5454">
        <v>6</v>
      </c>
      <c r="Y5454" t="s">
        <v>24888</v>
      </c>
      <c r="Z5454" t="s">
        <v>31422</v>
      </c>
      <c r="AA5454">
        <v>0.39517802864675922</v>
      </c>
      <c r="AB5454" t="str">
        <f>HYPERLINK("Melting_Curves/meltCurve_Q9BXL7_CARD11.pdf", "Melting_Curves/meltCurve_Q9BXL7_CARD11.pdf")</f>
        <v>Melting_Curves/meltCurve_Q9BXL7_CARD11.pdf</v>
      </c>
    </row>
    <row r="5455" spans="1:28" x14ac:dyDescent="0.25">
      <c r="A5455" t="s">
        <v>5459</v>
      </c>
      <c r="B5455">
        <v>0.99472303558308395</v>
      </c>
      <c r="C5455">
        <v>0.98609150556680403</v>
      </c>
      <c r="D5455">
        <v>0.88209011904037304</v>
      </c>
      <c r="E5455">
        <v>0.87437434017902804</v>
      </c>
      <c r="F5455">
        <v>0.77948282079098496</v>
      </c>
      <c r="G5455">
        <v>0.55981436472208101</v>
      </c>
      <c r="H5455">
        <v>0.314418998988234</v>
      </c>
      <c r="I5455">
        <v>0.22761182219432799</v>
      </c>
      <c r="J5455">
        <v>0.14863474892155701</v>
      </c>
      <c r="K5455">
        <v>0.112825235988131</v>
      </c>
      <c r="L5455">
        <v>650.49374845521697</v>
      </c>
      <c r="M5455">
        <v>11.927773633040299</v>
      </c>
      <c r="N5455">
        <v>54.574420075783401</v>
      </c>
      <c r="O5455">
        <v>53.070947269580998</v>
      </c>
      <c r="P5455">
        <v>-5.5966972071204803E-2</v>
      </c>
      <c r="Q5455">
        <v>4.1771567494507901E-3</v>
      </c>
      <c r="R5455">
        <v>0.99098665472375103</v>
      </c>
      <c r="S5455" t="s">
        <v>12023</v>
      </c>
      <c r="T5455" t="s">
        <v>13134</v>
      </c>
      <c r="U5455" t="s">
        <v>13134</v>
      </c>
      <c r="V5455" t="s">
        <v>13134</v>
      </c>
      <c r="W5455" t="s">
        <v>18525</v>
      </c>
      <c r="X5455">
        <v>7</v>
      </c>
      <c r="Y5455" t="s">
        <v>24889</v>
      </c>
      <c r="Z5455" t="s">
        <v>31423</v>
      </c>
      <c r="AA5455">
        <v>0.60218597314502875</v>
      </c>
      <c r="AB5455" t="str">
        <f>HYPERLINK("Melting_Curves/meltCurve_Q9BXP2_SLC12A9.pdf", "Melting_Curves/meltCurve_Q9BXP2_SLC12A9.pdf")</f>
        <v>Melting_Curves/meltCurve_Q9BXP2_SLC12A9.pdf</v>
      </c>
    </row>
    <row r="5456" spans="1:28" x14ac:dyDescent="0.25">
      <c r="A5456" t="s">
        <v>5460</v>
      </c>
      <c r="B5456">
        <v>0.99472303558308395</v>
      </c>
      <c r="C5456">
        <v>0.94030426368532705</v>
      </c>
      <c r="D5456">
        <v>0.99847932448224797</v>
      </c>
      <c r="E5456">
        <v>0.52003946425235703</v>
      </c>
      <c r="F5456">
        <v>0.11082648145499401</v>
      </c>
      <c r="G5456">
        <v>7.5809911349807302E-2</v>
      </c>
      <c r="H5456">
        <v>5.4254871833074099E-2</v>
      </c>
      <c r="I5456">
        <v>4.6475170232762E-2</v>
      </c>
      <c r="J5456">
        <v>5.7587723750196301E-2</v>
      </c>
      <c r="K5456">
        <v>4.5795124147469099E-2</v>
      </c>
      <c r="L5456">
        <v>2010.29237575606</v>
      </c>
      <c r="M5456">
        <v>43.156685675559402</v>
      </c>
      <c r="N5456">
        <v>46.713490859323201</v>
      </c>
      <c r="O5456">
        <v>46.481566725298201</v>
      </c>
      <c r="P5456">
        <v>-0.218770398450509</v>
      </c>
      <c r="Q5456">
        <v>5.7501740186114203E-2</v>
      </c>
      <c r="R5456">
        <v>0.99717759514859405</v>
      </c>
      <c r="S5456" t="s">
        <v>12024</v>
      </c>
      <c r="T5456" t="s">
        <v>13134</v>
      </c>
      <c r="U5456" t="s">
        <v>13134</v>
      </c>
      <c r="V5456" t="s">
        <v>13134</v>
      </c>
      <c r="W5456" t="s">
        <v>18526</v>
      </c>
      <c r="X5456">
        <v>42</v>
      </c>
      <c r="Y5456" t="s">
        <v>24890</v>
      </c>
      <c r="Z5456" t="s">
        <v>31424</v>
      </c>
      <c r="AA5456">
        <v>0.36111673562788121</v>
      </c>
      <c r="AB5456" t="str">
        <f>HYPERLINK("Melting_Curves/meltCurve_Q9BXP5_4_SRRT.pdf", "Melting_Curves/meltCurve_Q9BXP5_4_SRRT.pdf")</f>
        <v>Melting_Curves/meltCurve_Q9BXP5_4_SRRT.pdf</v>
      </c>
    </row>
    <row r="5457" spans="1:28" x14ac:dyDescent="0.25">
      <c r="A5457" t="s">
        <v>5461</v>
      </c>
      <c r="B5457">
        <v>0.99472303558308395</v>
      </c>
      <c r="C5457">
        <v>0.94987389853566295</v>
      </c>
      <c r="D5457">
        <v>0.91997118193705096</v>
      </c>
      <c r="E5457">
        <v>0.84959702055094699</v>
      </c>
      <c r="F5457">
        <v>0.74789329812279504</v>
      </c>
      <c r="G5457">
        <v>0.54999623518113305</v>
      </c>
      <c r="H5457">
        <v>0.273093776079946</v>
      </c>
      <c r="I5457">
        <v>8.5315821015813503E-2</v>
      </c>
      <c r="J5457">
        <v>0.11138108823083701</v>
      </c>
      <c r="K5457">
        <v>0.14389080762536999</v>
      </c>
      <c r="L5457">
        <v>771.09865893131098</v>
      </c>
      <c r="M5457">
        <v>14.417080803080101</v>
      </c>
      <c r="N5457">
        <v>53.714841790377903</v>
      </c>
      <c r="O5457">
        <v>52.487625272495102</v>
      </c>
      <c r="P5457">
        <v>-6.6623351940192893E-2</v>
      </c>
      <c r="Q5457">
        <v>2.9903752302672199E-2</v>
      </c>
      <c r="R5457">
        <v>0.98268584417488203</v>
      </c>
      <c r="S5457" t="s">
        <v>12025</v>
      </c>
      <c r="T5457" t="s">
        <v>13134</v>
      </c>
      <c r="U5457" t="s">
        <v>13134</v>
      </c>
      <c r="V5457" t="s">
        <v>13134</v>
      </c>
      <c r="W5457" t="s">
        <v>18527</v>
      </c>
      <c r="X5457">
        <v>12</v>
      </c>
      <c r="Y5457" t="s">
        <v>24891</v>
      </c>
      <c r="Z5457" t="s">
        <v>31425</v>
      </c>
      <c r="AA5457">
        <v>0.5801022700296451</v>
      </c>
      <c r="AB5457" t="str">
        <f>HYPERLINK("Melting_Curves/meltCurve_Q9BXR0_QTRT1.pdf", "Melting_Curves/meltCurve_Q9BXR0_QTRT1.pdf")</f>
        <v>Melting_Curves/meltCurve_Q9BXR0_QTRT1.pdf</v>
      </c>
    </row>
    <row r="5458" spans="1:28" x14ac:dyDescent="0.25">
      <c r="A5458" t="s">
        <v>5462</v>
      </c>
      <c r="B5458">
        <v>0.99472303558308395</v>
      </c>
      <c r="C5458">
        <v>0.89308292191290894</v>
      </c>
      <c r="D5458">
        <v>0.85114845346286805</v>
      </c>
      <c r="E5458">
        <v>0.80348934065359301</v>
      </c>
      <c r="F5458">
        <v>0.62144536460710698</v>
      </c>
      <c r="G5458">
        <v>0.28886322594928299</v>
      </c>
      <c r="H5458">
        <v>0.15841623357633</v>
      </c>
      <c r="I5458">
        <v>0.15648874960578599</v>
      </c>
      <c r="J5458">
        <v>0.148378681511214</v>
      </c>
      <c r="K5458">
        <v>0.127295526903768</v>
      </c>
      <c r="L5458">
        <v>733.20392425151999</v>
      </c>
      <c r="M5458">
        <v>14.577399624107301</v>
      </c>
      <c r="N5458">
        <v>50.940329699510997</v>
      </c>
      <c r="O5458">
        <v>49.379205811053403</v>
      </c>
      <c r="P5458">
        <v>-6.7608763297326194E-2</v>
      </c>
      <c r="Q5458">
        <v>8.4036974595613906E-2</v>
      </c>
      <c r="R5458">
        <v>0.97766622254102598</v>
      </c>
      <c r="S5458" t="s">
        <v>12026</v>
      </c>
      <c r="T5458" t="s">
        <v>13134</v>
      </c>
      <c r="U5458" t="s">
        <v>13134</v>
      </c>
      <c r="V5458" t="s">
        <v>13134</v>
      </c>
      <c r="W5458" t="s">
        <v>18528</v>
      </c>
      <c r="X5458">
        <v>9</v>
      </c>
      <c r="Y5458" t="s">
        <v>24892</v>
      </c>
      <c r="Z5458" t="s">
        <v>31426</v>
      </c>
      <c r="AA5458">
        <v>0.50975374473596546</v>
      </c>
      <c r="AB5458" t="str">
        <f>HYPERLINK("Melting_Curves/meltCurve_Q9BXS6_2_NUSAP1.pdf", "Melting_Curves/meltCurve_Q9BXS6_2_NUSAP1.pdf")</f>
        <v>Melting_Curves/meltCurve_Q9BXS6_2_NUSAP1.pdf</v>
      </c>
    </row>
    <row r="5459" spans="1:28" x14ac:dyDescent="0.25">
      <c r="A5459" t="s">
        <v>5463</v>
      </c>
      <c r="B5459">
        <v>0.99472303558308395</v>
      </c>
      <c r="C5459">
        <v>0.71090631790216896</v>
      </c>
      <c r="D5459">
        <v>0.95530857746531195</v>
      </c>
      <c r="E5459">
        <v>0.74222644073250599</v>
      </c>
      <c r="F5459">
        <v>0.525085577717325</v>
      </c>
      <c r="G5459">
        <v>0.37499351434696798</v>
      </c>
      <c r="H5459">
        <v>0.42925525688642402</v>
      </c>
      <c r="I5459">
        <v>0.42152961036178699</v>
      </c>
      <c r="J5459">
        <v>0.68760526100495201</v>
      </c>
      <c r="K5459">
        <v>0.55711706242269399</v>
      </c>
      <c r="S5459" t="s">
        <v>12027</v>
      </c>
      <c r="T5459" t="s">
        <v>13134</v>
      </c>
      <c r="U5459" t="s">
        <v>13135</v>
      </c>
      <c r="V5459" t="s">
        <v>13134</v>
      </c>
      <c r="W5459" t="s">
        <v>18529</v>
      </c>
      <c r="X5459">
        <v>3</v>
      </c>
      <c r="Y5459" t="s">
        <v>24893</v>
      </c>
      <c r="Z5459" t="s">
        <v>31427</v>
      </c>
      <c r="AB5459" t="str">
        <f>HYPERLINK("Melting_Curves/meltCurve_Q9BXV9_C14orf142.pdf", "Melting_Curves/meltCurve_Q9BXV9_C14orf142.pdf")</f>
        <v>Melting_Curves/meltCurve_Q9BXV9_C14orf142.pdf</v>
      </c>
    </row>
    <row r="5460" spans="1:28" x14ac:dyDescent="0.25">
      <c r="A5460" t="s">
        <v>5464</v>
      </c>
      <c r="B5460">
        <v>0.99472303558308395</v>
      </c>
      <c r="C5460">
        <v>1.0736378499027801</v>
      </c>
      <c r="D5460">
        <v>0.99457876419112501</v>
      </c>
      <c r="E5460">
        <v>0.90775678664965698</v>
      </c>
      <c r="F5460">
        <v>0.43952799899859402</v>
      </c>
      <c r="G5460">
        <v>0.12801086637734299</v>
      </c>
      <c r="H5460">
        <v>7.2259377788032694E-2</v>
      </c>
      <c r="I5460">
        <v>6.4608498985836704E-2</v>
      </c>
      <c r="J5460">
        <v>6.3993346404926196E-2</v>
      </c>
      <c r="K5460">
        <v>5.4248930977911801E-2</v>
      </c>
      <c r="L5460">
        <v>1679.1638762533701</v>
      </c>
      <c r="M5460">
        <v>33.836001182325496</v>
      </c>
      <c r="N5460">
        <v>49.819392360482297</v>
      </c>
      <c r="O5460">
        <v>49.454162332578598</v>
      </c>
      <c r="P5460">
        <v>-0.16054893849903401</v>
      </c>
      <c r="Q5460">
        <v>6.13806651044825E-2</v>
      </c>
      <c r="R5460">
        <v>0.99704644815884302</v>
      </c>
      <c r="S5460" t="s">
        <v>12028</v>
      </c>
      <c r="T5460" t="s">
        <v>13134</v>
      </c>
      <c r="U5460" t="s">
        <v>13134</v>
      </c>
      <c r="V5460" t="s">
        <v>13134</v>
      </c>
      <c r="W5460" t="s">
        <v>18530</v>
      </c>
      <c r="X5460">
        <v>11</v>
      </c>
      <c r="Y5460" t="s">
        <v>24894</v>
      </c>
      <c r="Z5460" t="s">
        <v>31428</v>
      </c>
      <c r="AA5460">
        <v>0.46093457980928648</v>
      </c>
      <c r="AB5460" t="str">
        <f>HYPERLINK("Melting_Curves/meltCurve_Q9BXW7_2_CECR5.pdf", "Melting_Curves/meltCurve_Q9BXW7_2_CECR5.pdf")</f>
        <v>Melting_Curves/meltCurve_Q9BXW7_2_CECR5.pdf</v>
      </c>
    </row>
    <row r="5461" spans="1:28" x14ac:dyDescent="0.25">
      <c r="A5461" t="s">
        <v>5465</v>
      </c>
      <c r="B5461">
        <v>0.99472303558308395</v>
      </c>
      <c r="C5461">
        <v>0.85362012522166697</v>
      </c>
      <c r="D5461">
        <v>0.67487146970907796</v>
      </c>
      <c r="E5461">
        <v>0.295713903862248</v>
      </c>
      <c r="F5461">
        <v>0.14212298416486199</v>
      </c>
      <c r="G5461">
        <v>9.7201921262643695E-2</v>
      </c>
      <c r="H5461">
        <v>5.5887515242805601E-2</v>
      </c>
      <c r="I5461">
        <v>5.0304793327610099E-2</v>
      </c>
      <c r="J5461">
        <v>6.5228882725395398E-2</v>
      </c>
      <c r="K5461">
        <v>4.78322264488159E-2</v>
      </c>
      <c r="L5461">
        <v>828.65731348838597</v>
      </c>
      <c r="M5461">
        <v>18.7449561799111</v>
      </c>
      <c r="N5461">
        <v>44.461900082523101</v>
      </c>
      <c r="O5461">
        <v>43.713045249845898</v>
      </c>
      <c r="P5461">
        <v>-0.101746444096461</v>
      </c>
      <c r="Q5461">
        <v>5.0953254623842002E-2</v>
      </c>
      <c r="R5461">
        <v>0.997467035627569</v>
      </c>
      <c r="S5461" t="s">
        <v>12029</v>
      </c>
      <c r="T5461" t="s">
        <v>13134</v>
      </c>
      <c r="U5461" t="s">
        <v>13134</v>
      </c>
      <c r="V5461" t="s">
        <v>13134</v>
      </c>
      <c r="W5461" t="s">
        <v>18531</v>
      </c>
      <c r="X5461">
        <v>12</v>
      </c>
      <c r="Y5461" t="s">
        <v>24895</v>
      </c>
      <c r="Z5461" t="s">
        <v>31429</v>
      </c>
      <c r="AA5461">
        <v>0.29348557862158758</v>
      </c>
      <c r="AB5461" t="str">
        <f>HYPERLINK("Melting_Curves/meltCurve_Q9BXW9_2_FANCD2.pdf", "Melting_Curves/meltCurve_Q9BXW9_2_FANCD2.pdf")</f>
        <v>Melting_Curves/meltCurve_Q9BXW9_2_FANCD2.pdf</v>
      </c>
    </row>
    <row r="5462" spans="1:28" x14ac:dyDescent="0.25">
      <c r="A5462" t="s">
        <v>5466</v>
      </c>
      <c r="B5462">
        <v>0.99472303558308395</v>
      </c>
      <c r="C5462">
        <v>0.83171994346100597</v>
      </c>
      <c r="D5462">
        <v>0.73415010424233995</v>
      </c>
      <c r="E5462">
        <v>0.47512707569649998</v>
      </c>
      <c r="F5462">
        <v>0.28240548545761202</v>
      </c>
      <c r="G5462">
        <v>0.16185576867960799</v>
      </c>
      <c r="H5462">
        <v>9.6066901384194006E-2</v>
      </c>
      <c r="I5462">
        <v>6.6059498096701294E-2</v>
      </c>
      <c r="J5462">
        <v>0.10146129712709</v>
      </c>
      <c r="K5462">
        <v>6.9670199047430201E-2</v>
      </c>
      <c r="L5462">
        <v>599.49287309008298</v>
      </c>
      <c r="M5462">
        <v>13.091703218031</v>
      </c>
      <c r="N5462">
        <v>46.163146953326397</v>
      </c>
      <c r="O5462">
        <v>44.7628849881037</v>
      </c>
      <c r="P5462">
        <v>-6.9474739824672199E-2</v>
      </c>
      <c r="Q5462">
        <v>4.9976340881562602E-2</v>
      </c>
      <c r="R5462">
        <v>0.99510633682177296</v>
      </c>
      <c r="S5462" t="s">
        <v>12030</v>
      </c>
      <c r="T5462" t="s">
        <v>13134</v>
      </c>
      <c r="U5462" t="s">
        <v>13134</v>
      </c>
      <c r="V5462" t="s">
        <v>13134</v>
      </c>
      <c r="W5462" t="s">
        <v>18532</v>
      </c>
      <c r="X5462">
        <v>2</v>
      </c>
      <c r="Y5462" t="s">
        <v>24896</v>
      </c>
      <c r="Z5462" t="s">
        <v>31430</v>
      </c>
      <c r="AA5462">
        <v>0.35678780898487827</v>
      </c>
      <c r="AB5462" t="str">
        <f>HYPERLINK("Melting_Curves/meltCurve_Q9BY27_DGCR6L.pdf", "Melting_Curves/meltCurve_Q9BY27_DGCR6L.pdf")</f>
        <v>Melting_Curves/meltCurve_Q9BY27_DGCR6L.pdf</v>
      </c>
    </row>
    <row r="5463" spans="1:28" x14ac:dyDescent="0.25">
      <c r="A5463" t="s">
        <v>5467</v>
      </c>
      <c r="B5463">
        <v>0.99472303558308395</v>
      </c>
      <c r="C5463">
        <v>0.94950938015563102</v>
      </c>
      <c r="D5463">
        <v>0.99534463381771798</v>
      </c>
      <c r="E5463">
        <v>0.89653304311722803</v>
      </c>
      <c r="F5463">
        <v>0.70365877007070499</v>
      </c>
      <c r="G5463">
        <v>0.61867899547786798</v>
      </c>
      <c r="H5463">
        <v>0.32073576030741202</v>
      </c>
      <c r="I5463">
        <v>0.54778305194911703</v>
      </c>
      <c r="J5463">
        <v>0.54949048294838698</v>
      </c>
      <c r="K5463">
        <v>0.328521076284844</v>
      </c>
      <c r="L5463">
        <v>993.15242636656296</v>
      </c>
      <c r="M5463">
        <v>19.776652319412602</v>
      </c>
      <c r="N5463">
        <v>55.8529089085864</v>
      </c>
      <c r="O5463">
        <v>49.713424553878603</v>
      </c>
      <c r="P5463">
        <v>-5.6491519805998099E-2</v>
      </c>
      <c r="Q5463">
        <v>0.43199864165226398</v>
      </c>
      <c r="R5463">
        <v>0.89373578581153901</v>
      </c>
      <c r="S5463" t="s">
        <v>12031</v>
      </c>
      <c r="T5463" t="s">
        <v>13134</v>
      </c>
      <c r="U5463" t="s">
        <v>13134</v>
      </c>
      <c r="V5463" t="s">
        <v>13134</v>
      </c>
      <c r="W5463" t="s">
        <v>18533</v>
      </c>
      <c r="X5463">
        <v>5</v>
      </c>
      <c r="Y5463" t="s">
        <v>24897</v>
      </c>
      <c r="Z5463" t="s">
        <v>31431</v>
      </c>
      <c r="AA5463">
        <v>0.68988917505617864</v>
      </c>
      <c r="AB5463" t="str">
        <f>HYPERLINK("Melting_Curves/meltCurve_Q9BY32_ITPA.pdf", "Melting_Curves/meltCurve_Q9BY32_ITPA.pdf")</f>
        <v>Melting_Curves/meltCurve_Q9BY32_ITPA.pdf</v>
      </c>
    </row>
    <row r="5464" spans="1:28" x14ac:dyDescent="0.25">
      <c r="A5464" t="s">
        <v>5468</v>
      </c>
      <c r="B5464">
        <v>0.99472303558308395</v>
      </c>
      <c r="C5464">
        <v>0.84424459687653797</v>
      </c>
      <c r="D5464">
        <v>1.1033973824532699</v>
      </c>
      <c r="E5464">
        <v>0.83763043382889102</v>
      </c>
      <c r="F5464">
        <v>0.357862452748275</v>
      </c>
      <c r="G5464">
        <v>0.226028105313027</v>
      </c>
      <c r="H5464">
        <v>0.110988620916389</v>
      </c>
      <c r="I5464">
        <v>6.1235927812755803E-2</v>
      </c>
      <c r="J5464">
        <v>7.3077114026995002E-2</v>
      </c>
      <c r="K5464">
        <v>6.60661344846835E-2</v>
      </c>
      <c r="L5464">
        <v>1424.44988201306</v>
      </c>
      <c r="M5464">
        <v>29.067365012086199</v>
      </c>
      <c r="N5464">
        <v>49.326699704291201</v>
      </c>
      <c r="O5464">
        <v>48.774946661364702</v>
      </c>
      <c r="P5464">
        <v>-0.136128704878865</v>
      </c>
      <c r="Q5464">
        <v>8.6312749184515897E-2</v>
      </c>
      <c r="R5464">
        <v>0.97165030277704301</v>
      </c>
      <c r="S5464" t="s">
        <v>12032</v>
      </c>
      <c r="T5464" t="s">
        <v>13134</v>
      </c>
      <c r="U5464" t="s">
        <v>13134</v>
      </c>
      <c r="V5464" t="s">
        <v>13134</v>
      </c>
      <c r="W5464" t="s">
        <v>18534</v>
      </c>
      <c r="X5464">
        <v>9</v>
      </c>
      <c r="Y5464" t="s">
        <v>24898</v>
      </c>
      <c r="Z5464" t="s">
        <v>31432</v>
      </c>
      <c r="AA5464">
        <v>0.45781290159193011</v>
      </c>
      <c r="AB5464" t="str">
        <f>HYPERLINK("Melting_Curves/meltCurve_Q9BY42_RTFDC1.pdf", "Melting_Curves/meltCurve_Q9BY42_RTFDC1.pdf")</f>
        <v>Melting_Curves/meltCurve_Q9BY42_RTFDC1.pdf</v>
      </c>
    </row>
    <row r="5465" spans="1:28" x14ac:dyDescent="0.25">
      <c r="A5465" t="s">
        <v>5469</v>
      </c>
      <c r="B5465">
        <v>0.99472303558308395</v>
      </c>
      <c r="C5465">
        <v>0.93608307743557595</v>
      </c>
      <c r="D5465">
        <v>1.02486725075287</v>
      </c>
      <c r="E5465">
        <v>0.92067118806488102</v>
      </c>
      <c r="F5465">
        <v>0.59611562291085596</v>
      </c>
      <c r="G5465">
        <v>0.29626670309935599</v>
      </c>
      <c r="H5465">
        <v>6.8409311521823696E-2</v>
      </c>
      <c r="I5465">
        <v>4.3610641764709003E-2</v>
      </c>
      <c r="J5465">
        <v>4.16543076424978E-2</v>
      </c>
      <c r="K5465">
        <v>3.6702492583934099E-2</v>
      </c>
      <c r="L5465">
        <v>1177.0661284448299</v>
      </c>
      <c r="M5465">
        <v>23.004141931410899</v>
      </c>
      <c r="N5465">
        <v>51.280810004697202</v>
      </c>
      <c r="O5465">
        <v>50.785615722069601</v>
      </c>
      <c r="P5465">
        <v>-0.11043917257465299</v>
      </c>
      <c r="Q5465">
        <v>2.4764070512310901E-2</v>
      </c>
      <c r="R5465">
        <v>0.99538135961415697</v>
      </c>
      <c r="S5465" t="s">
        <v>12033</v>
      </c>
      <c r="T5465" t="s">
        <v>13134</v>
      </c>
      <c r="U5465" t="s">
        <v>13134</v>
      </c>
      <c r="V5465" t="s">
        <v>13134</v>
      </c>
      <c r="W5465" t="s">
        <v>18535</v>
      </c>
      <c r="X5465">
        <v>23</v>
      </c>
      <c r="Y5465" t="s">
        <v>24899</v>
      </c>
      <c r="Z5465" t="s">
        <v>31433</v>
      </c>
      <c r="AA5465">
        <v>0.49534130441270391</v>
      </c>
      <c r="AB5465" t="str">
        <f>HYPERLINK("Melting_Curves/meltCurve_Q9BY44_EIF2A.pdf", "Melting_Curves/meltCurve_Q9BY44_EIF2A.pdf")</f>
        <v>Melting_Curves/meltCurve_Q9BY44_EIF2A.pdf</v>
      </c>
    </row>
    <row r="5466" spans="1:28" x14ac:dyDescent="0.25">
      <c r="A5466" t="s">
        <v>5470</v>
      </c>
      <c r="B5466">
        <v>0.99472303558308395</v>
      </c>
      <c r="C5466">
        <v>0.963017265311641</v>
      </c>
      <c r="D5466">
        <v>0.951305657971936</v>
      </c>
      <c r="E5466">
        <v>0.65096732307002902</v>
      </c>
      <c r="F5466">
        <v>0.30239592406850502</v>
      </c>
      <c r="G5466">
        <v>0.152889103593632</v>
      </c>
      <c r="H5466">
        <v>9.5916416323029399E-2</v>
      </c>
      <c r="I5466">
        <v>5.6950535520948802E-2</v>
      </c>
      <c r="J5466">
        <v>6.2203609425533803E-2</v>
      </c>
      <c r="K5466">
        <v>5.9524690128539302E-2</v>
      </c>
      <c r="L5466">
        <v>1042.7222536486399</v>
      </c>
      <c r="M5466">
        <v>21.810863672066699</v>
      </c>
      <c r="N5466">
        <v>48.097217978841002</v>
      </c>
      <c r="O5466">
        <v>47.4110307218168</v>
      </c>
      <c r="P5466">
        <v>-0.107931584531392</v>
      </c>
      <c r="Q5466">
        <v>6.1563163851146199E-2</v>
      </c>
      <c r="R5466">
        <v>0.99872127025171098</v>
      </c>
      <c r="S5466" t="s">
        <v>12034</v>
      </c>
      <c r="T5466" t="s">
        <v>13134</v>
      </c>
      <c r="U5466" t="s">
        <v>13134</v>
      </c>
      <c r="V5466" t="s">
        <v>13134</v>
      </c>
      <c r="W5466" t="s">
        <v>18536</v>
      </c>
      <c r="X5466">
        <v>17</v>
      </c>
      <c r="Y5466" t="s">
        <v>24900</v>
      </c>
      <c r="Z5466" t="s">
        <v>31434</v>
      </c>
      <c r="AA5466">
        <v>0.41006233124556618</v>
      </c>
      <c r="AB5466" t="str">
        <f>HYPERLINK("Melting_Curves/meltCurve_Q9BY77_POLDIP3.pdf", "Melting_Curves/meltCurve_Q9BY77_POLDIP3.pdf")</f>
        <v>Melting_Curves/meltCurve_Q9BY77_POLDIP3.pdf</v>
      </c>
    </row>
    <row r="5467" spans="1:28" x14ac:dyDescent="0.25">
      <c r="A5467" t="s">
        <v>5471</v>
      </c>
      <c r="B5467">
        <v>0.99472303558308395</v>
      </c>
      <c r="C5467">
        <v>0.97947953722065395</v>
      </c>
      <c r="D5467">
        <v>1.01310498050263</v>
      </c>
      <c r="E5467">
        <v>0.92947554313872405</v>
      </c>
      <c r="F5467">
        <v>0.79072721496385401</v>
      </c>
      <c r="G5467">
        <v>0.63436231678643695</v>
      </c>
      <c r="H5467">
        <v>0.469371189772536</v>
      </c>
      <c r="I5467">
        <v>0.31420055998282398</v>
      </c>
      <c r="J5467">
        <v>0.213159225359138</v>
      </c>
      <c r="K5467">
        <v>0.13447467146732101</v>
      </c>
      <c r="L5467">
        <v>641.48418179125395</v>
      </c>
      <c r="M5467">
        <v>11.3351344700633</v>
      </c>
      <c r="N5467">
        <v>56.592551596908201</v>
      </c>
      <c r="O5467">
        <v>54.916992514927202</v>
      </c>
      <c r="P5467">
        <v>-5.1616723168563597E-2</v>
      </c>
      <c r="Q5467">
        <v>0</v>
      </c>
      <c r="R5467">
        <v>0.99755603978732199</v>
      </c>
      <c r="S5467" t="s">
        <v>12035</v>
      </c>
      <c r="T5467" t="s">
        <v>13134</v>
      </c>
      <c r="U5467" t="s">
        <v>13134</v>
      </c>
      <c r="V5467" t="s">
        <v>13134</v>
      </c>
      <c r="W5467" t="s">
        <v>18537</v>
      </c>
      <c r="X5467">
        <v>14</v>
      </c>
      <c r="Y5467" t="s">
        <v>24901</v>
      </c>
      <c r="Z5467" t="s">
        <v>31435</v>
      </c>
      <c r="AA5467">
        <v>0.65869318913816888</v>
      </c>
      <c r="AB5467" t="str">
        <f>HYPERLINK("Melting_Curves/meltCurve_Q9BYB4_GNB1L.pdf", "Melting_Curves/meltCurve_Q9BYB4_GNB1L.pdf")</f>
        <v>Melting_Curves/meltCurve_Q9BYB4_GNB1L.pdf</v>
      </c>
    </row>
    <row r="5468" spans="1:28" x14ac:dyDescent="0.25">
      <c r="A5468" t="s">
        <v>5472</v>
      </c>
      <c r="B5468">
        <v>0.99472303558308395</v>
      </c>
      <c r="C5468">
        <v>1.27045796668222</v>
      </c>
      <c r="D5468">
        <v>0.829281768978407</v>
      </c>
      <c r="E5468">
        <v>0.73351281115772404</v>
      </c>
      <c r="F5468">
        <v>0.27839108293958598</v>
      </c>
      <c r="G5468">
        <v>0.13258787097147501</v>
      </c>
      <c r="H5468">
        <v>7.2999567755026695E-2</v>
      </c>
      <c r="I5468">
        <v>6.0961631728567597E-2</v>
      </c>
      <c r="J5468">
        <v>3.0653605865730502E-2</v>
      </c>
      <c r="K5468">
        <v>3.2544819101527997E-2</v>
      </c>
      <c r="L5468">
        <v>1135.5641391791601</v>
      </c>
      <c r="M5468">
        <v>23.597141892138101</v>
      </c>
      <c r="N5468">
        <v>48.304275894442497</v>
      </c>
      <c r="O5468">
        <v>47.781339953588798</v>
      </c>
      <c r="P5468">
        <v>-0.118233618506965</v>
      </c>
      <c r="Q5468">
        <v>4.2381452614740203E-2</v>
      </c>
      <c r="R5468">
        <v>0.95242721926947504</v>
      </c>
      <c r="S5468" t="s">
        <v>12036</v>
      </c>
      <c r="T5468" t="s">
        <v>13134</v>
      </c>
      <c r="U5468" t="s">
        <v>13134</v>
      </c>
      <c r="V5468" t="s">
        <v>13134</v>
      </c>
      <c r="W5468" t="s">
        <v>18538</v>
      </c>
      <c r="X5468">
        <v>2</v>
      </c>
      <c r="Y5468" t="s">
        <v>24902</v>
      </c>
      <c r="Z5468" t="s">
        <v>31436</v>
      </c>
      <c r="AA5468">
        <v>0.40659083655502398</v>
      </c>
      <c r="AB5468" t="str">
        <f>HYPERLINK("Melting_Curves/meltCurve_Q9BYC5_2_FUT8.pdf", "Melting_Curves/meltCurve_Q9BYC5_2_FUT8.pdf")</f>
        <v>Melting_Curves/meltCurve_Q9BYC5_2_FUT8.pdf</v>
      </c>
    </row>
    <row r="5469" spans="1:28" x14ac:dyDescent="0.25">
      <c r="A5469" t="s">
        <v>5473</v>
      </c>
      <c r="B5469">
        <v>0.99472303558308395</v>
      </c>
      <c r="C5469">
        <v>1.1038878196575901</v>
      </c>
      <c r="D5469">
        <v>1.1553454145428299</v>
      </c>
      <c r="E5469">
        <v>1.3137452114791599</v>
      </c>
      <c r="F5469">
        <v>1.2908087863586299</v>
      </c>
      <c r="G5469">
        <v>1.16962954110682</v>
      </c>
      <c r="H5469">
        <v>0.806557906951754</v>
      </c>
      <c r="I5469">
        <v>0.83761281344523597</v>
      </c>
      <c r="J5469">
        <v>0.96323361110936001</v>
      </c>
      <c r="K5469">
        <v>0.65640682351396196</v>
      </c>
      <c r="L5469">
        <v>1134.8927229195999</v>
      </c>
      <c r="M5469">
        <v>16.086658130867399</v>
      </c>
      <c r="Q5469">
        <v>0</v>
      </c>
      <c r="R5469">
        <v>0.276575728952207</v>
      </c>
      <c r="S5469" t="s">
        <v>12037</v>
      </c>
      <c r="T5469" t="s">
        <v>13134</v>
      </c>
      <c r="U5469" t="s">
        <v>13134</v>
      </c>
      <c r="V5469" t="s">
        <v>13134</v>
      </c>
      <c r="W5469" t="s">
        <v>18539</v>
      </c>
      <c r="X5469">
        <v>3</v>
      </c>
      <c r="Y5469" t="s">
        <v>24903</v>
      </c>
      <c r="Z5469" t="s">
        <v>31437</v>
      </c>
      <c r="AA5469">
        <v>0.95829186504072772</v>
      </c>
      <c r="AB5469" t="str">
        <f>HYPERLINK("Melting_Curves/meltCurve_Q9BYC8_MRPL32.pdf", "Melting_Curves/meltCurve_Q9BYC8_MRPL32.pdf")</f>
        <v>Melting_Curves/meltCurve_Q9BYC8_MRPL32.pdf</v>
      </c>
    </row>
    <row r="5470" spans="1:28" x14ac:dyDescent="0.25">
      <c r="A5470" t="s">
        <v>5474</v>
      </c>
      <c r="B5470">
        <v>0.99472303558308395</v>
      </c>
      <c r="C5470">
        <v>1.0037399766831401</v>
      </c>
      <c r="D5470">
        <v>0.94934330884121898</v>
      </c>
      <c r="E5470">
        <v>0.34640334271494</v>
      </c>
      <c r="F5470">
        <v>0.15984315775984201</v>
      </c>
      <c r="G5470">
        <v>8.8376352448248693E-2</v>
      </c>
      <c r="H5470">
        <v>5.0367350806720397E-2</v>
      </c>
      <c r="I5470">
        <v>3.4263794564598098E-2</v>
      </c>
      <c r="J5470">
        <v>4.9777623834365299E-2</v>
      </c>
      <c r="K5470">
        <v>3.3415551747023098E-2</v>
      </c>
      <c r="L5470">
        <v>1774.3613263439499</v>
      </c>
      <c r="M5470">
        <v>38.820210702210503</v>
      </c>
      <c r="N5470">
        <v>45.863755963418797</v>
      </c>
      <c r="O5470">
        <v>45.586369822604802</v>
      </c>
      <c r="P5470">
        <v>-0.19967951306923601</v>
      </c>
      <c r="Q5470">
        <v>6.2071796062332998E-2</v>
      </c>
      <c r="R5470">
        <v>0.99508034811353396</v>
      </c>
      <c r="S5470" t="s">
        <v>12038</v>
      </c>
      <c r="T5470" t="s">
        <v>13134</v>
      </c>
      <c r="U5470" t="s">
        <v>13134</v>
      </c>
      <c r="V5470" t="s">
        <v>13134</v>
      </c>
      <c r="W5470" t="s">
        <v>18540</v>
      </c>
      <c r="X5470">
        <v>10</v>
      </c>
      <c r="Y5470" t="s">
        <v>24904</v>
      </c>
      <c r="Z5470" t="s">
        <v>31438</v>
      </c>
      <c r="AA5470">
        <v>0.33744553495933849</v>
      </c>
      <c r="AB5470" t="str">
        <f>HYPERLINK("Melting_Curves/meltCurve_Q9BYD6_MRPL1.pdf", "Melting_Curves/meltCurve_Q9BYD6_MRPL1.pdf")</f>
        <v>Melting_Curves/meltCurve_Q9BYD6_MRPL1.pdf</v>
      </c>
    </row>
    <row r="5471" spans="1:28" x14ac:dyDescent="0.25">
      <c r="A5471" t="s">
        <v>5475</v>
      </c>
      <c r="B5471">
        <v>0.99472303558308395</v>
      </c>
      <c r="C5471">
        <v>0.92727178753473305</v>
      </c>
      <c r="D5471">
        <v>0.98206930925136204</v>
      </c>
      <c r="E5471">
        <v>0.70832256078582301</v>
      </c>
      <c r="F5471">
        <v>0.30335752923133602</v>
      </c>
      <c r="G5471">
        <v>0.137722215883301</v>
      </c>
      <c r="H5471">
        <v>7.6299594256757197E-2</v>
      </c>
      <c r="I5471">
        <v>5.0010997206320303E-2</v>
      </c>
      <c r="J5471">
        <v>6.8746768580303694E-2</v>
      </c>
      <c r="K5471">
        <v>5.1607035177580397E-2</v>
      </c>
      <c r="L5471">
        <v>1191.8911204507301</v>
      </c>
      <c r="M5471">
        <v>24.756317934560201</v>
      </c>
      <c r="N5471">
        <v>48.385233830305097</v>
      </c>
      <c r="O5471">
        <v>47.834079722213303</v>
      </c>
      <c r="P5471">
        <v>-0.121903200187382</v>
      </c>
      <c r="Q5471">
        <v>5.7849254761261203E-2</v>
      </c>
      <c r="R5471">
        <v>0.99629948469710194</v>
      </c>
      <c r="S5471" t="s">
        <v>12039</v>
      </c>
      <c r="T5471" t="s">
        <v>13134</v>
      </c>
      <c r="U5471" t="s">
        <v>13134</v>
      </c>
      <c r="V5471" t="s">
        <v>13134</v>
      </c>
      <c r="W5471" t="s">
        <v>18541</v>
      </c>
      <c r="X5471">
        <v>9</v>
      </c>
      <c r="Y5471" t="s">
        <v>24905</v>
      </c>
      <c r="Z5471" t="s">
        <v>31439</v>
      </c>
      <c r="AA5471">
        <v>0.41605842795205911</v>
      </c>
      <c r="AB5471" t="str">
        <f>HYPERLINK("Melting_Curves/meltCurve_Q9BYG5_PARD6B.pdf", "Melting_Curves/meltCurve_Q9BYG5_PARD6B.pdf")</f>
        <v>Melting_Curves/meltCurve_Q9BYG5_PARD6B.pdf</v>
      </c>
    </row>
    <row r="5472" spans="1:28" x14ac:dyDescent="0.25">
      <c r="A5472" t="s">
        <v>5476</v>
      </c>
      <c r="B5472">
        <v>0.99472303558308395</v>
      </c>
      <c r="C5472">
        <v>0.92646789558849496</v>
      </c>
      <c r="D5472">
        <v>0.67363147800194201</v>
      </c>
      <c r="E5472">
        <v>0.48675196027560103</v>
      </c>
      <c r="F5472">
        <v>0.307420206892841</v>
      </c>
      <c r="G5472">
        <v>0.105444874849147</v>
      </c>
      <c r="H5472">
        <v>5.0872712226726999E-2</v>
      </c>
      <c r="I5472">
        <v>3.4765723237165501E-2</v>
      </c>
      <c r="J5472">
        <v>3.1195956311851701E-2</v>
      </c>
      <c r="K5472">
        <v>3.1611112568955303E-2</v>
      </c>
      <c r="L5472">
        <v>608.32402035190103</v>
      </c>
      <c r="M5472">
        <v>13.151411268325001</v>
      </c>
      <c r="N5472">
        <v>46.255417484490202</v>
      </c>
      <c r="O5472">
        <v>45.225163294779001</v>
      </c>
      <c r="P5472">
        <v>-7.2711911642269894E-2</v>
      </c>
      <c r="Q5472">
        <v>0</v>
      </c>
      <c r="R5472">
        <v>0.99297377265909603</v>
      </c>
      <c r="S5472" t="s">
        <v>12040</v>
      </c>
      <c r="T5472" t="s">
        <v>13134</v>
      </c>
      <c r="U5472" t="s">
        <v>13134</v>
      </c>
      <c r="V5472" t="s">
        <v>13134</v>
      </c>
      <c r="W5472" t="s">
        <v>18542</v>
      </c>
      <c r="X5472">
        <v>3</v>
      </c>
      <c r="Y5472" t="s">
        <v>24906</v>
      </c>
      <c r="Z5472" t="s">
        <v>31440</v>
      </c>
      <c r="AA5472">
        <v>0.33761118734300172</v>
      </c>
      <c r="AB5472" t="str">
        <f>HYPERLINK("Melting_Curves/meltCurve_Q9BYI3_FAM126A.pdf", "Melting_Curves/meltCurve_Q9BYI3_FAM126A.pdf")</f>
        <v>Melting_Curves/meltCurve_Q9BYI3_FAM126A.pdf</v>
      </c>
    </row>
    <row r="5473" spans="1:28" x14ac:dyDescent="0.25">
      <c r="A5473" t="s">
        <v>5477</v>
      </c>
      <c r="B5473">
        <v>0.99472303558308395</v>
      </c>
      <c r="C5473">
        <v>0.96002388091069901</v>
      </c>
      <c r="D5473">
        <v>0.97678367628832397</v>
      </c>
      <c r="E5473">
        <v>0.87984370280476898</v>
      </c>
      <c r="F5473">
        <v>0.65414762552304895</v>
      </c>
      <c r="G5473">
        <v>0.47007541075835602</v>
      </c>
      <c r="H5473">
        <v>0.30325185600504301</v>
      </c>
      <c r="I5473">
        <v>0.18316284710922001</v>
      </c>
      <c r="J5473">
        <v>0.113261793621971</v>
      </c>
      <c r="K5473">
        <v>9.0701510678882893E-2</v>
      </c>
      <c r="L5473">
        <v>687.57348650319102</v>
      </c>
      <c r="M5473">
        <v>12.981326181495101</v>
      </c>
      <c r="N5473">
        <v>53.226974063329003</v>
      </c>
      <c r="O5473">
        <v>51.756696174637</v>
      </c>
      <c r="P5473">
        <v>-6.0783679525080098E-2</v>
      </c>
      <c r="Q5473">
        <v>3.0791629815969199E-2</v>
      </c>
      <c r="R5473">
        <v>0.99791663875649905</v>
      </c>
      <c r="S5473" t="s">
        <v>12041</v>
      </c>
      <c r="T5473" t="s">
        <v>13134</v>
      </c>
      <c r="U5473" t="s">
        <v>13134</v>
      </c>
      <c r="V5473" t="s">
        <v>13134</v>
      </c>
      <c r="W5473" t="s">
        <v>18543</v>
      </c>
      <c r="X5473">
        <v>30</v>
      </c>
      <c r="Y5473" t="s">
        <v>24907</v>
      </c>
      <c r="Z5473" t="s">
        <v>31441</v>
      </c>
      <c r="AA5473">
        <v>0.56617522730314918</v>
      </c>
      <c r="AB5473" t="str">
        <f>HYPERLINK("Melting_Curves/meltCurve_Q9BYT8_NLN.pdf", "Melting_Curves/meltCurve_Q9BYT8_NLN.pdf")</f>
        <v>Melting_Curves/meltCurve_Q9BYT8_NLN.pdf</v>
      </c>
    </row>
    <row r="5474" spans="1:28" x14ac:dyDescent="0.25">
      <c r="A5474" t="s">
        <v>5478</v>
      </c>
      <c r="B5474">
        <v>0.99472303558308395</v>
      </c>
      <c r="C5474">
        <v>0.933114208798969</v>
      </c>
      <c r="D5474">
        <v>0.95706343012164796</v>
      </c>
      <c r="E5474">
        <v>0.75932374702825001</v>
      </c>
      <c r="F5474">
        <v>0.40744008571767198</v>
      </c>
      <c r="G5474">
        <v>0.22460550481191799</v>
      </c>
      <c r="H5474">
        <v>0.227798845603153</v>
      </c>
      <c r="I5474">
        <v>0.14754823191749999</v>
      </c>
      <c r="J5474">
        <v>0.216451086813467</v>
      </c>
      <c r="K5474">
        <v>0.18728115599556</v>
      </c>
      <c r="L5474">
        <v>1192.4510097519801</v>
      </c>
      <c r="M5474">
        <v>24.748342095651701</v>
      </c>
      <c r="N5474">
        <v>49.103263831303401</v>
      </c>
      <c r="O5474">
        <v>47.871774321068301</v>
      </c>
      <c r="P5474">
        <v>-0.105263144664812</v>
      </c>
      <c r="Q5474">
        <v>0.18555143058576901</v>
      </c>
      <c r="R5474">
        <v>0.99345868444310503</v>
      </c>
      <c r="S5474" t="s">
        <v>12042</v>
      </c>
      <c r="T5474" t="s">
        <v>13134</v>
      </c>
      <c r="U5474" t="s">
        <v>13134</v>
      </c>
      <c r="V5474" t="s">
        <v>13134</v>
      </c>
      <c r="W5474" t="s">
        <v>18544</v>
      </c>
      <c r="X5474">
        <v>5</v>
      </c>
      <c r="Y5474" t="s">
        <v>24908</v>
      </c>
      <c r="Z5474" t="s">
        <v>31442</v>
      </c>
      <c r="AA5474">
        <v>0.49625148608505792</v>
      </c>
      <c r="AB5474" t="str">
        <f>HYPERLINK("Melting_Curves/meltCurve_Q9BYV8_CEP41.pdf", "Melting_Curves/meltCurve_Q9BYV8_CEP41.pdf")</f>
        <v>Melting_Curves/meltCurve_Q9BYV8_CEP41.pdf</v>
      </c>
    </row>
    <row r="5475" spans="1:28" x14ac:dyDescent="0.25">
      <c r="A5475" t="s">
        <v>5479</v>
      </c>
      <c r="B5475">
        <v>0.99472303558308395</v>
      </c>
      <c r="C5475">
        <v>0.91306543942352003</v>
      </c>
      <c r="D5475">
        <v>0.59623660285406499</v>
      </c>
      <c r="E5475">
        <v>0.249084220257003</v>
      </c>
      <c r="F5475">
        <v>0.11726282968039201</v>
      </c>
      <c r="G5475">
        <v>6.5371633432060899E-2</v>
      </c>
      <c r="H5475">
        <v>4.5348459297822198E-2</v>
      </c>
      <c r="I5475">
        <v>3.2848772199659503E-2</v>
      </c>
      <c r="J5475">
        <v>3.6266854186991701E-2</v>
      </c>
      <c r="K5475">
        <v>2.91153650716779E-2</v>
      </c>
      <c r="L5475">
        <v>932.36998189861902</v>
      </c>
      <c r="M5475">
        <v>21.293535178713501</v>
      </c>
      <c r="N5475">
        <v>43.954948007377503</v>
      </c>
      <c r="O5475">
        <v>43.405836987498603</v>
      </c>
      <c r="P5475">
        <v>-0.11784065489392399</v>
      </c>
      <c r="Q5475">
        <v>3.9174739981238098E-2</v>
      </c>
      <c r="R5475">
        <v>0.99887817173684501</v>
      </c>
      <c r="S5475" t="s">
        <v>12043</v>
      </c>
      <c r="T5475" t="s">
        <v>13134</v>
      </c>
      <c r="U5475" t="s">
        <v>13134</v>
      </c>
      <c r="V5475" t="s">
        <v>13134</v>
      </c>
      <c r="W5475" t="s">
        <v>18545</v>
      </c>
      <c r="X5475">
        <v>13</v>
      </c>
      <c r="Y5475" t="s">
        <v>24909</v>
      </c>
      <c r="Z5475" t="s">
        <v>31443</v>
      </c>
      <c r="AA5475">
        <v>0.2677959688389589</v>
      </c>
      <c r="AB5475" t="str">
        <f>HYPERLINK("Melting_Curves/meltCurve_Q9BYW2_SETD2.pdf", "Melting_Curves/meltCurve_Q9BYW2_SETD2.pdf")</f>
        <v>Melting_Curves/meltCurve_Q9BYW2_SETD2.pdf</v>
      </c>
    </row>
    <row r="5476" spans="1:28" x14ac:dyDescent="0.25">
      <c r="A5476" t="s">
        <v>5480</v>
      </c>
      <c r="B5476">
        <v>0.99472303558308395</v>
      </c>
      <c r="C5476">
        <v>1.00683603507428</v>
      </c>
      <c r="D5476">
        <v>0.77039870723437298</v>
      </c>
      <c r="E5476">
        <v>0.55472525460438604</v>
      </c>
      <c r="F5476">
        <v>0.59354964259907295</v>
      </c>
      <c r="G5476">
        <v>0.204446263805592</v>
      </c>
      <c r="H5476">
        <v>0.11310135845602801</v>
      </c>
      <c r="I5476">
        <v>7.5310220558729199E-2</v>
      </c>
      <c r="J5476">
        <v>7.1678449421834795E-2</v>
      </c>
      <c r="K5476">
        <v>6.5350552245090995E-2</v>
      </c>
      <c r="L5476">
        <v>558.62146662417501</v>
      </c>
      <c r="M5476">
        <v>11.4113421838676</v>
      </c>
      <c r="N5476">
        <v>48.953178141621997</v>
      </c>
      <c r="O5476">
        <v>47.522169286999798</v>
      </c>
      <c r="P5476">
        <v>-6.0049257391220197E-2</v>
      </c>
      <c r="Q5476">
        <v>0</v>
      </c>
      <c r="R5476">
        <v>0.96269156318683602</v>
      </c>
      <c r="S5476" t="s">
        <v>12044</v>
      </c>
      <c r="T5476" t="s">
        <v>13134</v>
      </c>
      <c r="U5476" t="s">
        <v>13134</v>
      </c>
      <c r="V5476" t="s">
        <v>13134</v>
      </c>
      <c r="W5476" t="s">
        <v>18546</v>
      </c>
      <c r="X5476">
        <v>6</v>
      </c>
      <c r="Y5476" t="s">
        <v>24910</v>
      </c>
      <c r="Z5476" t="s">
        <v>31444</v>
      </c>
      <c r="AA5476">
        <v>0.43025290066879007</v>
      </c>
      <c r="AB5476" t="str">
        <f>HYPERLINK("Melting_Curves/meltCurve_Q9BYX2_4_TBC1D2.pdf", "Melting_Curves/meltCurve_Q9BYX2_4_TBC1D2.pdf")</f>
        <v>Melting_Curves/meltCurve_Q9BYX2_4_TBC1D2.pdf</v>
      </c>
    </row>
    <row r="5477" spans="1:28" x14ac:dyDescent="0.25">
      <c r="A5477" t="s">
        <v>5481</v>
      </c>
      <c r="B5477">
        <v>0.99472303558308395</v>
      </c>
      <c r="C5477">
        <v>0.91577639144580003</v>
      </c>
      <c r="D5477">
        <v>1.0267209114745399</v>
      </c>
      <c r="E5477">
        <v>0.88062418326396197</v>
      </c>
      <c r="F5477">
        <v>0.64687463609678797</v>
      </c>
      <c r="G5477">
        <v>0.415399904226607</v>
      </c>
      <c r="H5477">
        <v>0.15596313858701</v>
      </c>
      <c r="I5477">
        <v>5.6345851101539397E-2</v>
      </c>
      <c r="J5477">
        <v>4.6371484022758203E-2</v>
      </c>
      <c r="K5477">
        <v>4.0255410711908399E-2</v>
      </c>
      <c r="L5477">
        <v>894.74293627694499</v>
      </c>
      <c r="M5477">
        <v>17.127075728265801</v>
      </c>
      <c r="N5477">
        <v>52.243929766218699</v>
      </c>
      <c r="O5477">
        <v>51.544834264357497</v>
      </c>
      <c r="P5477">
        <v>-8.3039794913716797E-2</v>
      </c>
      <c r="Q5477">
        <v>4.0950386772109298E-4</v>
      </c>
      <c r="R5477">
        <v>0.99245217596832802</v>
      </c>
      <c r="S5477" t="s">
        <v>12045</v>
      </c>
      <c r="T5477" t="s">
        <v>13134</v>
      </c>
      <c r="U5477" t="s">
        <v>13134</v>
      </c>
      <c r="V5477" t="s">
        <v>13134</v>
      </c>
      <c r="W5477" t="s">
        <v>18547</v>
      </c>
      <c r="X5477">
        <v>12</v>
      </c>
      <c r="Y5477" t="s">
        <v>24911</v>
      </c>
      <c r="Z5477" t="s">
        <v>31445</v>
      </c>
      <c r="AA5477">
        <v>0.52428924915281538</v>
      </c>
      <c r="AB5477" t="str">
        <f>HYPERLINK("Melting_Curves/meltCurve_Q9BZ23_3_PANK2.pdf", "Melting_Curves/meltCurve_Q9BZ23_3_PANK2.pdf")</f>
        <v>Melting_Curves/meltCurve_Q9BZ23_3_PANK2.pdf</v>
      </c>
    </row>
    <row r="5478" spans="1:28" x14ac:dyDescent="0.25">
      <c r="A5478" t="s">
        <v>5482</v>
      </c>
      <c r="B5478">
        <v>0.99472303558308395</v>
      </c>
      <c r="C5478">
        <v>1.0322251221162699</v>
      </c>
      <c r="D5478">
        <v>0.70620205460965002</v>
      </c>
      <c r="E5478">
        <v>0.55254916262045595</v>
      </c>
      <c r="F5478">
        <v>0.248471512064211</v>
      </c>
      <c r="G5478">
        <v>9.8335025142525498E-2</v>
      </c>
      <c r="H5478">
        <v>5.7380495657003198E-2</v>
      </c>
      <c r="I5478">
        <v>5.7107514558280101E-2</v>
      </c>
      <c r="J5478">
        <v>7.54212147409309E-2</v>
      </c>
      <c r="K5478">
        <v>5.4619874633377898E-2</v>
      </c>
      <c r="L5478">
        <v>781.06560285313003</v>
      </c>
      <c r="M5478">
        <v>16.8424103076125</v>
      </c>
      <c r="N5478">
        <v>46.6125011590876</v>
      </c>
      <c r="O5478">
        <v>45.735959204047703</v>
      </c>
      <c r="P5478">
        <v>-8.8282385155003903E-2</v>
      </c>
      <c r="Q5478">
        <v>4.1129941583859103E-2</v>
      </c>
      <c r="R5478">
        <v>0.98522522535315105</v>
      </c>
      <c r="S5478" t="s">
        <v>12046</v>
      </c>
      <c r="T5478" t="s">
        <v>13134</v>
      </c>
      <c r="U5478" t="s">
        <v>13134</v>
      </c>
      <c r="V5478" t="s">
        <v>13134</v>
      </c>
      <c r="W5478" t="s">
        <v>18548</v>
      </c>
      <c r="X5478">
        <v>5</v>
      </c>
      <c r="Y5478" t="s">
        <v>24912</v>
      </c>
      <c r="Z5478" t="s">
        <v>31446</v>
      </c>
      <c r="AA5478">
        <v>0.35835950853649068</v>
      </c>
      <c r="AB5478" t="str">
        <f>HYPERLINK("Melting_Curves/meltCurve_Q9BZ29_3_DOCK9.pdf", "Melting_Curves/meltCurve_Q9BZ29_3_DOCK9.pdf")</f>
        <v>Melting_Curves/meltCurve_Q9BZ29_3_DOCK9.pdf</v>
      </c>
    </row>
    <row r="5479" spans="1:28" x14ac:dyDescent="0.25">
      <c r="A5479" t="s">
        <v>5483</v>
      </c>
      <c r="B5479">
        <v>0.99472303558308395</v>
      </c>
      <c r="C5479">
        <v>0.95925058794174201</v>
      </c>
      <c r="D5479">
        <v>0.660911602469892</v>
      </c>
      <c r="E5479">
        <v>0.357066692635025</v>
      </c>
      <c r="F5479">
        <v>0.22483719693238399</v>
      </c>
      <c r="G5479">
        <v>0.117647859448679</v>
      </c>
      <c r="H5479">
        <v>6.7732009593521297E-2</v>
      </c>
      <c r="I5479">
        <v>5.70752896195936E-2</v>
      </c>
      <c r="J5479">
        <v>7.16138493400061E-2</v>
      </c>
      <c r="K5479">
        <v>5.5550440711122299E-2</v>
      </c>
      <c r="L5479">
        <v>802.01209633983501</v>
      </c>
      <c r="M5479">
        <v>17.928138260228899</v>
      </c>
      <c r="N5479">
        <v>45.0780830007688</v>
      </c>
      <c r="O5479">
        <v>44.189383499318801</v>
      </c>
      <c r="P5479">
        <v>-9.4960996442646897E-2</v>
      </c>
      <c r="Q5479">
        <v>6.3805181218827695E-2</v>
      </c>
      <c r="R5479">
        <v>0.99438224556211896</v>
      </c>
      <c r="S5479" t="s">
        <v>12047</v>
      </c>
      <c r="T5479" t="s">
        <v>13134</v>
      </c>
      <c r="U5479" t="s">
        <v>13134</v>
      </c>
      <c r="V5479" t="s">
        <v>13134</v>
      </c>
      <c r="W5479" t="s">
        <v>18549</v>
      </c>
      <c r="X5479">
        <v>9</v>
      </c>
      <c r="Y5479" t="s">
        <v>24913</v>
      </c>
      <c r="Z5479" t="s">
        <v>31447</v>
      </c>
      <c r="AA5479">
        <v>0.32074206676965272</v>
      </c>
      <c r="AB5479" t="str">
        <f>HYPERLINK("Melting_Curves/meltCurve_Q9BZ95_4_WHSC1L1.pdf", "Melting_Curves/meltCurve_Q9BZ95_4_WHSC1L1.pdf")</f>
        <v>Melting_Curves/meltCurve_Q9BZ95_4_WHSC1L1.pdf</v>
      </c>
    </row>
    <row r="5480" spans="1:28" x14ac:dyDescent="0.25">
      <c r="A5480" t="s">
        <v>5484</v>
      </c>
      <c r="B5480">
        <v>0.99472303558308395</v>
      </c>
      <c r="C5480">
        <v>0.90348437611020704</v>
      </c>
      <c r="D5480">
        <v>0.68111129386490299</v>
      </c>
      <c r="E5480">
        <v>0.52460849302469803</v>
      </c>
      <c r="F5480">
        <v>0.48251832841787401</v>
      </c>
      <c r="G5480">
        <v>0.19727906019149599</v>
      </c>
      <c r="H5480">
        <v>0.116294880285469</v>
      </c>
      <c r="I5480">
        <v>0.10976333551857501</v>
      </c>
      <c r="J5480">
        <v>0.14101582952705899</v>
      </c>
      <c r="K5480">
        <v>0.15781052780493199</v>
      </c>
      <c r="L5480">
        <v>526.50050877534204</v>
      </c>
      <c r="M5480">
        <v>11.2955363945958</v>
      </c>
      <c r="N5480">
        <v>47.352934037382902</v>
      </c>
      <c r="O5480">
        <v>45.2221209461025</v>
      </c>
      <c r="P5480">
        <v>-5.7400202399168702E-2</v>
      </c>
      <c r="Q5480">
        <v>8.10641904333705E-2</v>
      </c>
      <c r="R5480">
        <v>0.970435026649626</v>
      </c>
      <c r="S5480" t="s">
        <v>12048</v>
      </c>
      <c r="T5480" t="s">
        <v>13134</v>
      </c>
      <c r="U5480" t="s">
        <v>13134</v>
      </c>
      <c r="V5480" t="s">
        <v>13134</v>
      </c>
      <c r="W5480" t="s">
        <v>18550</v>
      </c>
      <c r="X5480">
        <v>6</v>
      </c>
      <c r="Y5480" t="s">
        <v>24914</v>
      </c>
      <c r="Z5480" t="s">
        <v>31448</v>
      </c>
      <c r="AA5480">
        <v>0.40937339342992918</v>
      </c>
      <c r="AB5480" t="str">
        <f>HYPERLINK("Melting_Curves/meltCurve_Q9BZD3_GCOM2.pdf", "Melting_Curves/meltCurve_Q9BZD3_GCOM2.pdf")</f>
        <v>Melting_Curves/meltCurve_Q9BZD3_GCOM2.pdf</v>
      </c>
    </row>
    <row r="5481" spans="1:28" x14ac:dyDescent="0.25">
      <c r="A5481" t="s">
        <v>5485</v>
      </c>
      <c r="B5481">
        <v>0.99472303558308395</v>
      </c>
      <c r="C5481">
        <v>0.96731714853970696</v>
      </c>
      <c r="D5481">
        <v>0.89986618299944698</v>
      </c>
      <c r="E5481">
        <v>0.28503665587486998</v>
      </c>
      <c r="F5481">
        <v>9.5562402377224104E-2</v>
      </c>
      <c r="G5481">
        <v>5.1501503927397302E-2</v>
      </c>
      <c r="H5481">
        <v>3.8498729290289899E-2</v>
      </c>
      <c r="I5481">
        <v>2.7212083108297001E-2</v>
      </c>
      <c r="J5481">
        <v>3.6139253229121801E-2</v>
      </c>
      <c r="K5481">
        <v>3.12643042538025E-2</v>
      </c>
      <c r="L5481">
        <v>1712.85841572302</v>
      </c>
      <c r="M5481">
        <v>37.788320838463299</v>
      </c>
      <c r="N5481">
        <v>45.431266898960601</v>
      </c>
      <c r="O5481">
        <v>45.201339036676799</v>
      </c>
      <c r="P5481">
        <v>-0.20037690694749999</v>
      </c>
      <c r="Q5481">
        <v>4.126138529692E-2</v>
      </c>
      <c r="R5481">
        <v>0.99864865067087405</v>
      </c>
      <c r="S5481" t="s">
        <v>12049</v>
      </c>
      <c r="T5481" t="s">
        <v>13134</v>
      </c>
      <c r="U5481" t="s">
        <v>13134</v>
      </c>
      <c r="V5481" t="s">
        <v>13134</v>
      </c>
      <c r="W5481" t="s">
        <v>18551</v>
      </c>
      <c r="X5481">
        <v>18</v>
      </c>
      <c r="Y5481" t="s">
        <v>24915</v>
      </c>
      <c r="Z5481" t="s">
        <v>31449</v>
      </c>
      <c r="AA5481">
        <v>0.31077319255089342</v>
      </c>
      <c r="AB5481" t="str">
        <f>HYPERLINK("Melting_Curves/meltCurve_Q9BZD4_NUF2.pdf", "Melting_Curves/meltCurve_Q9BZD4_NUF2.pdf")</f>
        <v>Melting_Curves/meltCurve_Q9BZD4_NUF2.pdf</v>
      </c>
    </row>
    <row r="5482" spans="1:28" x14ac:dyDescent="0.25">
      <c r="A5482" t="s">
        <v>5486</v>
      </c>
      <c r="B5482">
        <v>0.99472303558308395</v>
      </c>
      <c r="C5482">
        <v>0.96395618976565001</v>
      </c>
      <c r="D5482">
        <v>0.92991985667351595</v>
      </c>
      <c r="E5482">
        <v>0.623802154688331</v>
      </c>
      <c r="F5482">
        <v>0.53548735169283002</v>
      </c>
      <c r="G5482">
        <v>0.108109636647244</v>
      </c>
      <c r="H5482">
        <v>6.2307655822565103E-2</v>
      </c>
      <c r="I5482">
        <v>5.9553502063702302E-2</v>
      </c>
      <c r="J5482">
        <v>6.1576228414777598E-2</v>
      </c>
      <c r="K5482">
        <v>4.1313572194759597E-2</v>
      </c>
      <c r="L5482">
        <v>799.46058014772495</v>
      </c>
      <c r="M5482">
        <v>16.321289524754</v>
      </c>
      <c r="N5482">
        <v>49.062811432123901</v>
      </c>
      <c r="O5482">
        <v>48.265058850449499</v>
      </c>
      <c r="P5482">
        <v>-8.3434076513691904E-2</v>
      </c>
      <c r="Q5482">
        <v>1.3151868141963299E-2</v>
      </c>
      <c r="R5482">
        <v>0.97902299132564097</v>
      </c>
      <c r="S5482" t="s">
        <v>12050</v>
      </c>
      <c r="T5482" t="s">
        <v>13134</v>
      </c>
      <c r="U5482" t="s">
        <v>13134</v>
      </c>
      <c r="V5482" t="s">
        <v>13134</v>
      </c>
      <c r="W5482" t="s">
        <v>13419</v>
      </c>
      <c r="X5482">
        <v>7</v>
      </c>
      <c r="Y5482" t="s">
        <v>24916</v>
      </c>
      <c r="Z5482" t="s">
        <v>31450</v>
      </c>
      <c r="AA5482">
        <v>0.42585547635532017</v>
      </c>
      <c r="AB5482" t="str">
        <f>HYPERLINK("Melting_Curves/meltCurve_Q9BZE1_MRPL37.pdf", "Melting_Curves/meltCurve_Q9BZE1_MRPL37.pdf")</f>
        <v>Melting_Curves/meltCurve_Q9BZE1_MRPL37.pdf</v>
      </c>
    </row>
    <row r="5483" spans="1:28" x14ac:dyDescent="0.25">
      <c r="A5483" t="s">
        <v>5487</v>
      </c>
      <c r="B5483">
        <v>0.99472303558308395</v>
      </c>
      <c r="C5483">
        <v>1.04132515600318</v>
      </c>
      <c r="D5483">
        <v>0.871992464141773</v>
      </c>
      <c r="E5483">
        <v>0.80953021474601705</v>
      </c>
      <c r="F5483">
        <v>0.53374918095734003</v>
      </c>
      <c r="G5483">
        <v>0.109401685321946</v>
      </c>
      <c r="H5483">
        <v>7.0502246993916703E-2</v>
      </c>
      <c r="I5483">
        <v>4.7115476340454897E-2</v>
      </c>
      <c r="J5483">
        <v>5.37163427144738E-2</v>
      </c>
      <c r="K5483">
        <v>4.7578495726041399E-2</v>
      </c>
      <c r="L5483">
        <v>1118.13803351712</v>
      </c>
      <c r="M5483">
        <v>22.446227891857799</v>
      </c>
      <c r="N5483">
        <v>49.941999967380198</v>
      </c>
      <c r="O5483">
        <v>49.4237382945471</v>
      </c>
      <c r="P5483">
        <v>-0.110369974621053</v>
      </c>
      <c r="Q5483">
        <v>2.79373022945535E-2</v>
      </c>
      <c r="R5483">
        <v>0.98675568934986702</v>
      </c>
      <c r="S5483" t="s">
        <v>12051</v>
      </c>
      <c r="T5483" t="s">
        <v>13134</v>
      </c>
      <c r="U5483" t="s">
        <v>13134</v>
      </c>
      <c r="V5483" t="s">
        <v>13134</v>
      </c>
      <c r="W5483" t="s">
        <v>18552</v>
      </c>
      <c r="X5483">
        <v>13</v>
      </c>
      <c r="Y5483" t="s">
        <v>24917</v>
      </c>
      <c r="Z5483" t="s">
        <v>31451</v>
      </c>
      <c r="AA5483">
        <v>0.45353313225268588</v>
      </c>
      <c r="AB5483" t="str">
        <f>HYPERLINK("Melting_Curves/meltCurve_Q9BZE2_PUS3.pdf", "Melting_Curves/meltCurve_Q9BZE2_PUS3.pdf")</f>
        <v>Melting_Curves/meltCurve_Q9BZE2_PUS3.pdf</v>
      </c>
    </row>
    <row r="5484" spans="1:28" x14ac:dyDescent="0.25">
      <c r="A5484" t="s">
        <v>5488</v>
      </c>
      <c r="B5484">
        <v>0.99472303558308395</v>
      </c>
      <c r="C5484">
        <v>1.0465947608377499</v>
      </c>
      <c r="D5484">
        <v>0.85720832915246803</v>
      </c>
      <c r="E5484">
        <v>0.76461602485396596</v>
      </c>
      <c r="F5484">
        <v>0.496900444457338</v>
      </c>
      <c r="G5484">
        <v>0.151794859890795</v>
      </c>
      <c r="H5484">
        <v>7.3910349874744999E-2</v>
      </c>
      <c r="I5484">
        <v>4.9891857967906503E-2</v>
      </c>
      <c r="J5484">
        <v>7.00044597080446E-2</v>
      </c>
      <c r="K5484">
        <v>5.8726505890870799E-2</v>
      </c>
      <c r="L5484">
        <v>927.49173267678202</v>
      </c>
      <c r="M5484">
        <v>18.769817771826201</v>
      </c>
      <c r="N5484">
        <v>49.583221361297497</v>
      </c>
      <c r="O5484">
        <v>48.863348669358103</v>
      </c>
      <c r="P5484">
        <v>-9.3056677061915796E-2</v>
      </c>
      <c r="Q5484">
        <v>3.1024991386966599E-2</v>
      </c>
      <c r="R5484">
        <v>0.98878483410762097</v>
      </c>
      <c r="S5484" t="s">
        <v>12052</v>
      </c>
      <c r="T5484" t="s">
        <v>13134</v>
      </c>
      <c r="U5484" t="s">
        <v>13134</v>
      </c>
      <c r="V5484" t="s">
        <v>13134</v>
      </c>
      <c r="W5484" t="s">
        <v>18553</v>
      </c>
      <c r="X5484">
        <v>8</v>
      </c>
      <c r="Y5484" t="s">
        <v>24918</v>
      </c>
      <c r="Z5484" t="s">
        <v>31452</v>
      </c>
      <c r="AA5484">
        <v>0.44627440371222998</v>
      </c>
      <c r="AB5484" t="str">
        <f>HYPERLINK("Melting_Curves/meltCurve_Q9BZE9_ASPSCR1.pdf", "Melting_Curves/meltCurve_Q9BZE9_ASPSCR1.pdf")</f>
        <v>Melting_Curves/meltCurve_Q9BZE9_ASPSCR1.pdf</v>
      </c>
    </row>
    <row r="5485" spans="1:28" x14ac:dyDescent="0.25">
      <c r="A5485" t="s">
        <v>5489</v>
      </c>
      <c r="B5485">
        <v>0.99472303558308395</v>
      </c>
      <c r="C5485">
        <v>0.87877033310586306</v>
      </c>
      <c r="D5485">
        <v>0.55813569028941001</v>
      </c>
      <c r="E5485">
        <v>0.25028566248273099</v>
      </c>
      <c r="F5485">
        <v>6.4420213932784201E-2</v>
      </c>
      <c r="G5485">
        <v>2.6997022387331902E-2</v>
      </c>
      <c r="H5485">
        <v>1.5559396938384099E-2</v>
      </c>
      <c r="I5485">
        <v>1.4305730009956301E-2</v>
      </c>
      <c r="J5485">
        <v>1.26552931140517E-2</v>
      </c>
      <c r="K5485">
        <v>1.0261996385324899E-2</v>
      </c>
      <c r="L5485">
        <v>872.31057068057305</v>
      </c>
      <c r="M5485">
        <v>19.9857317711596</v>
      </c>
      <c r="N5485">
        <v>43.685274337726398</v>
      </c>
      <c r="O5485">
        <v>43.216740029314103</v>
      </c>
      <c r="P5485">
        <v>-0.114605060934307</v>
      </c>
      <c r="Q5485">
        <v>8.7538750237965007E-3</v>
      </c>
      <c r="R5485">
        <v>0.99872856803481402</v>
      </c>
      <c r="S5485" t="s">
        <v>12053</v>
      </c>
      <c r="T5485" t="s">
        <v>13134</v>
      </c>
      <c r="U5485" t="s">
        <v>13134</v>
      </c>
      <c r="V5485" t="s">
        <v>13134</v>
      </c>
      <c r="W5485" t="s">
        <v>18554</v>
      </c>
      <c r="X5485">
        <v>10</v>
      </c>
      <c r="Y5485" t="s">
        <v>24919</v>
      </c>
      <c r="Z5485" t="s">
        <v>31453</v>
      </c>
      <c r="AA5485">
        <v>0.24180766288672459</v>
      </c>
      <c r="AB5485" t="str">
        <f>HYPERLINK("Melting_Curves/meltCurve_Q9BZF1_3_OSBPL8.pdf", "Melting_Curves/meltCurve_Q9BZF1_3_OSBPL8.pdf")</f>
        <v>Melting_Curves/meltCurve_Q9BZF1_3_OSBPL8.pdf</v>
      </c>
    </row>
    <row r="5486" spans="1:28" x14ac:dyDescent="0.25">
      <c r="A5486" t="s">
        <v>5490</v>
      </c>
      <c r="B5486">
        <v>0.99472303558308395</v>
      </c>
      <c r="C5486">
        <v>0.92157555831321403</v>
      </c>
      <c r="D5486">
        <v>0.64565132600720199</v>
      </c>
      <c r="E5486">
        <v>0.38155914022155402</v>
      </c>
      <c r="F5486">
        <v>0.19276965846303401</v>
      </c>
      <c r="G5486">
        <v>0.10901691584538301</v>
      </c>
      <c r="H5486">
        <v>6.01726196873218E-2</v>
      </c>
      <c r="I5486">
        <v>5.0490199941827102E-2</v>
      </c>
      <c r="J5486">
        <v>5.7598611098213903E-2</v>
      </c>
      <c r="K5486">
        <v>4.7501885510186102E-2</v>
      </c>
      <c r="L5486">
        <v>745.83301337058504</v>
      </c>
      <c r="M5486">
        <v>16.663740400526201</v>
      </c>
      <c r="N5486">
        <v>45.023889422461799</v>
      </c>
      <c r="O5486">
        <v>44.128163386784301</v>
      </c>
      <c r="P5486">
        <v>-8.9984913122034202E-2</v>
      </c>
      <c r="Q5486">
        <v>4.68878180647418E-2</v>
      </c>
      <c r="R5486">
        <v>0.99746403967401298</v>
      </c>
      <c r="S5486" t="s">
        <v>12054</v>
      </c>
      <c r="T5486" t="s">
        <v>13134</v>
      </c>
      <c r="U5486" t="s">
        <v>13134</v>
      </c>
      <c r="V5486" t="s">
        <v>13134</v>
      </c>
      <c r="W5486" t="s">
        <v>18555</v>
      </c>
      <c r="X5486">
        <v>6</v>
      </c>
      <c r="Y5486" t="s">
        <v>24920</v>
      </c>
      <c r="Z5486" t="s">
        <v>31454</v>
      </c>
      <c r="AA5486">
        <v>0.31180540219419289</v>
      </c>
      <c r="AB5486" t="str">
        <f>HYPERLINK("Melting_Curves/meltCurve_Q9BZF3_4_OSBPL6.pdf", "Melting_Curves/meltCurve_Q9BZF3_4_OSBPL6.pdf")</f>
        <v>Melting_Curves/meltCurve_Q9BZF3_4_OSBPL6.pdf</v>
      </c>
    </row>
    <row r="5487" spans="1:28" x14ac:dyDescent="0.25">
      <c r="A5487" t="s">
        <v>5491</v>
      </c>
      <c r="B5487">
        <v>0.99472303558308395</v>
      </c>
      <c r="C5487">
        <v>0.96848853657919298</v>
      </c>
      <c r="D5487">
        <v>0.82146879241368798</v>
      </c>
      <c r="E5487">
        <v>0.72989641706789898</v>
      </c>
      <c r="F5487">
        <v>0.74377812716543401</v>
      </c>
      <c r="G5487">
        <v>0.39062956405976101</v>
      </c>
      <c r="H5487">
        <v>0.22243878859375801</v>
      </c>
      <c r="I5487">
        <v>0.169516319377815</v>
      </c>
      <c r="J5487">
        <v>0.17829811282609601</v>
      </c>
      <c r="K5487">
        <v>0.15001269053728</v>
      </c>
      <c r="L5487">
        <v>549.99739325174301</v>
      </c>
      <c r="M5487">
        <v>10.624042875420001</v>
      </c>
      <c r="N5487">
        <v>52.177473662757698</v>
      </c>
      <c r="O5487">
        <v>50.035970749457199</v>
      </c>
      <c r="P5487">
        <v>-5.0984164731436701E-2</v>
      </c>
      <c r="Q5487">
        <v>3.9891416597592697E-2</v>
      </c>
      <c r="R5487">
        <v>0.965217922343935</v>
      </c>
      <c r="S5487" t="s">
        <v>12055</v>
      </c>
      <c r="T5487" t="s">
        <v>13134</v>
      </c>
      <c r="U5487" t="s">
        <v>13134</v>
      </c>
      <c r="V5487" t="s">
        <v>13134</v>
      </c>
      <c r="W5487" t="s">
        <v>18556</v>
      </c>
      <c r="X5487">
        <v>8</v>
      </c>
      <c r="Y5487" t="s">
        <v>24921</v>
      </c>
      <c r="Z5487" t="s">
        <v>31455</v>
      </c>
      <c r="AA5487">
        <v>0.53809917778605354</v>
      </c>
      <c r="AB5487" t="str">
        <f>HYPERLINK("Melting_Curves/meltCurve_Q9BZH6_WDR11.pdf", "Melting_Curves/meltCurve_Q9BZH6_WDR11.pdf")</f>
        <v>Melting_Curves/meltCurve_Q9BZH6_WDR11.pdf</v>
      </c>
    </row>
    <row r="5488" spans="1:28" x14ac:dyDescent="0.25">
      <c r="A5488" t="s">
        <v>5492</v>
      </c>
      <c r="B5488">
        <v>0.99472303558308395</v>
      </c>
      <c r="C5488">
        <v>0.94280095018808796</v>
      </c>
      <c r="D5488">
        <v>0.86162915112980798</v>
      </c>
      <c r="E5488">
        <v>0.670866151010161</v>
      </c>
      <c r="F5488">
        <v>0.360927216332732</v>
      </c>
      <c r="G5488">
        <v>0.21488412188261</v>
      </c>
      <c r="H5488">
        <v>0.13794907614264501</v>
      </c>
      <c r="I5488">
        <v>9.6883640972937904E-2</v>
      </c>
      <c r="J5488">
        <v>0.112878022730828</v>
      </c>
      <c r="K5488">
        <v>8.5077872615600403E-2</v>
      </c>
      <c r="L5488">
        <v>776.24975191841202</v>
      </c>
      <c r="M5488">
        <v>16.194774550382402</v>
      </c>
      <c r="N5488">
        <v>48.449747742743703</v>
      </c>
      <c r="O5488">
        <v>47.219147941005502</v>
      </c>
      <c r="P5488">
        <v>-7.8937033937847706E-2</v>
      </c>
      <c r="Q5488">
        <v>7.9441425751383493E-2</v>
      </c>
      <c r="R5488">
        <v>0.998292620004951</v>
      </c>
      <c r="S5488" t="s">
        <v>12056</v>
      </c>
      <c r="T5488" t="s">
        <v>13134</v>
      </c>
      <c r="U5488" t="s">
        <v>13134</v>
      </c>
      <c r="V5488" t="s">
        <v>13134</v>
      </c>
      <c r="W5488" t="s">
        <v>18557</v>
      </c>
      <c r="X5488">
        <v>17</v>
      </c>
      <c r="Y5488" t="s">
        <v>24922</v>
      </c>
      <c r="Z5488" t="s">
        <v>31456</v>
      </c>
      <c r="AA5488">
        <v>0.43268963795022158</v>
      </c>
      <c r="AB5488" t="str">
        <f>HYPERLINK("Melting_Curves/meltCurve_Q9BZI7_2_UPF3B.pdf", "Melting_Curves/meltCurve_Q9BZI7_2_UPF3B.pdf")</f>
        <v>Melting_Curves/meltCurve_Q9BZI7_2_UPF3B.pdf</v>
      </c>
    </row>
    <row r="5489" spans="1:28" x14ac:dyDescent="0.25">
      <c r="A5489" t="s">
        <v>5493</v>
      </c>
      <c r="B5489">
        <v>0.99472303558308395</v>
      </c>
      <c r="C5489">
        <v>0.96659276825157503</v>
      </c>
      <c r="D5489">
        <v>0.810383139030601</v>
      </c>
      <c r="E5489">
        <v>0.67497992429874698</v>
      </c>
      <c r="F5489">
        <v>0.50553152548223501</v>
      </c>
      <c r="G5489">
        <v>0.31028803168139701</v>
      </c>
      <c r="H5489">
        <v>0.22390802578090499</v>
      </c>
      <c r="I5489">
        <v>0.203677433381556</v>
      </c>
      <c r="J5489">
        <v>0.21115183827172701</v>
      </c>
      <c r="K5489">
        <v>9.0448784833185997E-2</v>
      </c>
      <c r="L5489">
        <v>562.13101458514996</v>
      </c>
      <c r="M5489">
        <v>11.5105948433553</v>
      </c>
      <c r="N5489">
        <v>49.834277237706701</v>
      </c>
      <c r="O5489">
        <v>47.431738752748402</v>
      </c>
      <c r="P5489">
        <v>-5.4437783989385299E-2</v>
      </c>
      <c r="Q5489">
        <v>0.102966362567857</v>
      </c>
      <c r="R5489">
        <v>0.990898469815225</v>
      </c>
      <c r="S5489" t="s">
        <v>12057</v>
      </c>
      <c r="T5489" t="s">
        <v>13134</v>
      </c>
      <c r="U5489" t="s">
        <v>13134</v>
      </c>
      <c r="V5489" t="s">
        <v>13134</v>
      </c>
      <c r="W5489" t="s">
        <v>18558</v>
      </c>
      <c r="X5489">
        <v>10</v>
      </c>
      <c r="Y5489" t="s">
        <v>24923</v>
      </c>
      <c r="Z5489" t="s">
        <v>31457</v>
      </c>
      <c r="AA5489">
        <v>0.48529960978412179</v>
      </c>
      <c r="AB5489" t="str">
        <f>HYPERLINK("Melting_Curves/meltCurve_Q9BZK7_TBL1XR1.pdf", "Melting_Curves/meltCurve_Q9BZK7_TBL1XR1.pdf")</f>
        <v>Melting_Curves/meltCurve_Q9BZK7_TBL1XR1.pdf</v>
      </c>
    </row>
    <row r="5490" spans="1:28" x14ac:dyDescent="0.25">
      <c r="A5490" t="s">
        <v>5494</v>
      </c>
      <c r="B5490">
        <v>0.99472303558308395</v>
      </c>
      <c r="C5490">
        <v>1.0173111494114</v>
      </c>
      <c r="D5490">
        <v>1.04737045281255</v>
      </c>
      <c r="E5490">
        <v>0.79234234215204902</v>
      </c>
      <c r="F5490">
        <v>0.303854704587463</v>
      </c>
      <c r="G5490">
        <v>0.15707554065620299</v>
      </c>
      <c r="H5490">
        <v>8.9963540922685298E-2</v>
      </c>
      <c r="I5490">
        <v>7.2559609842338502E-2</v>
      </c>
      <c r="J5490">
        <v>7.8137213508468195E-2</v>
      </c>
      <c r="K5490">
        <v>5.816490761227E-2</v>
      </c>
      <c r="L5490">
        <v>1533.7608868360501</v>
      </c>
      <c r="M5490">
        <v>31.640238591237001</v>
      </c>
      <c r="N5490">
        <v>48.744181531261603</v>
      </c>
      <c r="O5490">
        <v>48.282604161667003</v>
      </c>
      <c r="P5490">
        <v>-0.15069756739668</v>
      </c>
      <c r="Q5490">
        <v>8.0154517962962593E-2</v>
      </c>
      <c r="R5490">
        <v>0.99627521080109005</v>
      </c>
      <c r="S5490" t="s">
        <v>12058</v>
      </c>
      <c r="T5490" t="s">
        <v>13134</v>
      </c>
      <c r="U5490" t="s">
        <v>13134</v>
      </c>
      <c r="V5490" t="s">
        <v>13134</v>
      </c>
      <c r="W5490" t="s">
        <v>18559</v>
      </c>
      <c r="X5490">
        <v>7</v>
      </c>
      <c r="Y5490" t="s">
        <v>24924</v>
      </c>
      <c r="Z5490" t="s">
        <v>31458</v>
      </c>
      <c r="AA5490">
        <v>0.43693550979468709</v>
      </c>
      <c r="AB5490" t="str">
        <f>HYPERLINK("Melting_Curves/meltCurve_Q9BZL1_UBL5.pdf", "Melting_Curves/meltCurve_Q9BZL1_UBL5.pdf")</f>
        <v>Melting_Curves/meltCurve_Q9BZL1_UBL5.pdf</v>
      </c>
    </row>
    <row r="5491" spans="1:28" x14ac:dyDescent="0.25">
      <c r="A5491" t="s">
        <v>5495</v>
      </c>
      <c r="B5491">
        <v>0.99472303558308395</v>
      </c>
      <c r="C5491">
        <v>0.91196342520172102</v>
      </c>
      <c r="D5491">
        <v>0.96260693751201099</v>
      </c>
      <c r="E5491">
        <v>0.82189884537839597</v>
      </c>
      <c r="F5491">
        <v>0.58950364472934702</v>
      </c>
      <c r="G5491">
        <v>0.45563576179964599</v>
      </c>
      <c r="H5491">
        <v>0.35878593954800703</v>
      </c>
      <c r="I5491">
        <v>0.31379086478874901</v>
      </c>
      <c r="J5491">
        <v>0.45221254384231702</v>
      </c>
      <c r="K5491">
        <v>0.28597797896874699</v>
      </c>
      <c r="L5491">
        <v>891.76904263271297</v>
      </c>
      <c r="M5491">
        <v>18.2029785682831</v>
      </c>
      <c r="N5491">
        <v>52.186498475838299</v>
      </c>
      <c r="O5491">
        <v>48.4105062025195</v>
      </c>
      <c r="P5491">
        <v>-6.2419226707987802E-2</v>
      </c>
      <c r="Q5491">
        <v>0.33601993526075102</v>
      </c>
      <c r="R5491">
        <v>0.96779114813837996</v>
      </c>
      <c r="S5491" t="s">
        <v>12059</v>
      </c>
      <c r="T5491" t="s">
        <v>13134</v>
      </c>
      <c r="U5491" t="s">
        <v>13134</v>
      </c>
      <c r="V5491" t="s">
        <v>13134</v>
      </c>
      <c r="W5491" t="s">
        <v>18560</v>
      </c>
      <c r="X5491">
        <v>4</v>
      </c>
      <c r="Y5491" t="s">
        <v>24925</v>
      </c>
      <c r="Z5491" t="s">
        <v>31459</v>
      </c>
      <c r="AA5491">
        <v>0.61174942822915523</v>
      </c>
      <c r="AB5491" t="str">
        <f>HYPERLINK("Melting_Curves/meltCurve_Q9BZM1_PLA2G12A.pdf", "Melting_Curves/meltCurve_Q9BZM1_PLA2G12A.pdf")</f>
        <v>Melting_Curves/meltCurve_Q9BZM1_PLA2G12A.pdf</v>
      </c>
    </row>
    <row r="5492" spans="1:28" x14ac:dyDescent="0.25">
      <c r="A5492" t="s">
        <v>5496</v>
      </c>
      <c r="B5492">
        <v>0.99472303558308395</v>
      </c>
      <c r="C5492">
        <v>1.01891115691116</v>
      </c>
      <c r="D5492">
        <v>0.91429335603351303</v>
      </c>
      <c r="E5492">
        <v>0.75588890689532995</v>
      </c>
      <c r="F5492">
        <v>0.69823687738871698</v>
      </c>
      <c r="G5492">
        <v>0.36555665115421698</v>
      </c>
      <c r="H5492">
        <v>0.30382985988361</v>
      </c>
      <c r="I5492">
        <v>0.22939607224189901</v>
      </c>
      <c r="J5492">
        <v>0.15730297999774001</v>
      </c>
      <c r="K5492">
        <v>0.15482741361318</v>
      </c>
      <c r="L5492">
        <v>646.82412252630104</v>
      </c>
      <c r="M5492">
        <v>12.593298358516501</v>
      </c>
      <c r="N5492">
        <v>52.334567120184801</v>
      </c>
      <c r="O5492">
        <v>50.119045128932797</v>
      </c>
      <c r="P5492">
        <v>-5.6277956501084699E-2</v>
      </c>
      <c r="Q5492">
        <v>0.10427479303783301</v>
      </c>
      <c r="R5492">
        <v>0.98601773820440797</v>
      </c>
      <c r="S5492" t="s">
        <v>12060</v>
      </c>
      <c r="T5492" t="s">
        <v>13134</v>
      </c>
      <c r="U5492" t="s">
        <v>13134</v>
      </c>
      <c r="V5492" t="s">
        <v>13134</v>
      </c>
      <c r="W5492" t="s">
        <v>18561</v>
      </c>
      <c r="X5492">
        <v>1</v>
      </c>
      <c r="Y5492" t="s">
        <v>24926</v>
      </c>
      <c r="Z5492" t="s">
        <v>31460</v>
      </c>
      <c r="AA5492">
        <v>0.55469909889671343</v>
      </c>
      <c r="AB5492" t="str">
        <f>HYPERLINK("Melting_Curves/meltCurve_Q9BZM6_ULBP1.pdf", "Melting_Curves/meltCurve_Q9BZM6_ULBP1.pdf")</f>
        <v>Melting_Curves/meltCurve_Q9BZM6_ULBP1.pdf</v>
      </c>
    </row>
    <row r="5493" spans="1:28" x14ac:dyDescent="0.25">
      <c r="A5493" t="s">
        <v>5497</v>
      </c>
      <c r="B5493">
        <v>0.99472303558308395</v>
      </c>
      <c r="C5493">
        <v>0.97504028597828196</v>
      </c>
      <c r="D5493">
        <v>1.0278084367203699</v>
      </c>
      <c r="E5493">
        <v>0.77404734659673102</v>
      </c>
      <c r="F5493">
        <v>0.199264343144824</v>
      </c>
      <c r="G5493">
        <v>0.11106567359251</v>
      </c>
      <c r="H5493">
        <v>7.8329248186613104E-2</v>
      </c>
      <c r="I5493">
        <v>6.3935259127956695E-2</v>
      </c>
      <c r="J5493">
        <v>7.7393596363460798E-2</v>
      </c>
      <c r="K5493">
        <v>5.6386246075544003E-2</v>
      </c>
      <c r="L5493">
        <v>1944.5434465615001</v>
      </c>
      <c r="M5493">
        <v>40.583293788060701</v>
      </c>
      <c r="N5493">
        <v>48.106519456285703</v>
      </c>
      <c r="O5493">
        <v>47.798951026802698</v>
      </c>
      <c r="P5493">
        <v>-0.19641733511595</v>
      </c>
      <c r="Q5493">
        <v>7.4641005937414198E-2</v>
      </c>
      <c r="R5493">
        <v>0.99823903972469796</v>
      </c>
      <c r="S5493" t="s">
        <v>12061</v>
      </c>
      <c r="T5493" t="s">
        <v>13134</v>
      </c>
      <c r="U5493" t="s">
        <v>13134</v>
      </c>
      <c r="V5493" t="s">
        <v>13134</v>
      </c>
      <c r="W5493" t="s">
        <v>18562</v>
      </c>
      <c r="X5493">
        <v>6</v>
      </c>
      <c r="Y5493" t="s">
        <v>24927</v>
      </c>
      <c r="Z5493" t="s">
        <v>31461</v>
      </c>
      <c r="AA5493">
        <v>0.41429043314796299</v>
      </c>
      <c r="AB5493" t="str">
        <f>HYPERLINK("Melting_Curves/meltCurve_Q9BZQ8_FAM129A.pdf", "Melting_Curves/meltCurve_Q9BZQ8_FAM129A.pdf")</f>
        <v>Melting_Curves/meltCurve_Q9BZQ8_FAM129A.pdf</v>
      </c>
    </row>
    <row r="5494" spans="1:28" x14ac:dyDescent="0.25">
      <c r="A5494" t="s">
        <v>5498</v>
      </c>
      <c r="B5494">
        <v>0.99472303558308395</v>
      </c>
      <c r="C5494">
        <v>0.93195060699207999</v>
      </c>
      <c r="D5494">
        <v>0.95896914365601804</v>
      </c>
      <c r="E5494">
        <v>0.82323215061786503</v>
      </c>
      <c r="F5494">
        <v>0.61974950842245302</v>
      </c>
      <c r="G5494">
        <v>0.43430734357633899</v>
      </c>
      <c r="H5494">
        <v>0.31285990797401297</v>
      </c>
      <c r="I5494">
        <v>0.21266655123754</v>
      </c>
      <c r="J5494">
        <v>0.17712784695588399</v>
      </c>
      <c r="K5494">
        <v>0.10351133513947799</v>
      </c>
      <c r="L5494">
        <v>610.86887896228905</v>
      </c>
      <c r="M5494">
        <v>11.725945963247399</v>
      </c>
      <c r="N5494">
        <v>52.708972746929703</v>
      </c>
      <c r="O5494">
        <v>50.649566739459303</v>
      </c>
      <c r="P5494">
        <v>-5.4200201931838103E-2</v>
      </c>
      <c r="Q5494">
        <v>6.3787862778906093E-2</v>
      </c>
      <c r="R5494">
        <v>0.99600702221396797</v>
      </c>
      <c r="S5494" t="s">
        <v>12062</v>
      </c>
      <c r="T5494" t="s">
        <v>13134</v>
      </c>
      <c r="U5494" t="s">
        <v>13134</v>
      </c>
      <c r="V5494" t="s">
        <v>13134</v>
      </c>
      <c r="W5494" t="s">
        <v>18563</v>
      </c>
      <c r="X5494">
        <v>11</v>
      </c>
      <c r="Y5494" t="s">
        <v>24928</v>
      </c>
      <c r="Z5494" t="s">
        <v>31462</v>
      </c>
      <c r="AA5494">
        <v>0.55727348311039882</v>
      </c>
      <c r="AB5494" t="str">
        <f>HYPERLINK("Melting_Curves/meltCurve_Q9BZX2_UCK2.pdf", "Melting_Curves/meltCurve_Q9BZX2_UCK2.pdf")</f>
        <v>Melting_Curves/meltCurve_Q9BZX2_UCK2.pdf</v>
      </c>
    </row>
    <row r="5495" spans="1:28" x14ac:dyDescent="0.25">
      <c r="A5495" t="s">
        <v>5499</v>
      </c>
      <c r="B5495">
        <v>0.99472303558308395</v>
      </c>
      <c r="C5495">
        <v>0.78279260286691899</v>
      </c>
      <c r="D5495">
        <v>0.96395744650405901</v>
      </c>
      <c r="E5495">
        <v>0.85562541259698999</v>
      </c>
      <c r="F5495">
        <v>0.56945300115239905</v>
      </c>
      <c r="G5495">
        <v>0.443691308100502</v>
      </c>
      <c r="H5495">
        <v>6.6796821142773896E-2</v>
      </c>
      <c r="I5495">
        <v>4.4032553820172501E-2</v>
      </c>
      <c r="J5495">
        <v>2.04833874665553E-2</v>
      </c>
      <c r="K5495">
        <v>2.3599085423326598E-2</v>
      </c>
      <c r="L5495">
        <v>842.25841052405804</v>
      </c>
      <c r="M5495">
        <v>16.346403559011101</v>
      </c>
      <c r="N5495">
        <v>51.5256097788319</v>
      </c>
      <c r="O5495">
        <v>50.772990202339898</v>
      </c>
      <c r="P5495">
        <v>-8.0493497265726993E-2</v>
      </c>
      <c r="Q5495">
        <v>0</v>
      </c>
      <c r="R5495">
        <v>0.95624001266372904</v>
      </c>
      <c r="S5495" t="s">
        <v>12063</v>
      </c>
      <c r="T5495" t="s">
        <v>13134</v>
      </c>
      <c r="U5495" t="s">
        <v>13134</v>
      </c>
      <c r="V5495" t="s">
        <v>13134</v>
      </c>
      <c r="W5495" t="s">
        <v>13973</v>
      </c>
      <c r="X5495">
        <v>24</v>
      </c>
      <c r="Y5495" t="s">
        <v>20465</v>
      </c>
      <c r="Z5495" t="s">
        <v>31463</v>
      </c>
      <c r="AA5495">
        <v>0.50176184332213958</v>
      </c>
      <c r="AB5495" t="str">
        <f>HYPERLINK("Melting_Curves/meltCurve_Q9BZZ5_API5.pdf", "Melting_Curves/meltCurve_Q9BZZ5_API5.pdf")</f>
        <v>Melting_Curves/meltCurve_Q9BZZ5_API5.pdf</v>
      </c>
    </row>
    <row r="5496" spans="1:28" x14ac:dyDescent="0.25">
      <c r="A5496" t="s">
        <v>5500</v>
      </c>
      <c r="B5496">
        <v>0.99472303558308395</v>
      </c>
      <c r="C5496">
        <v>0.92269545756972904</v>
      </c>
      <c r="D5496">
        <v>1.02023055052278</v>
      </c>
      <c r="E5496">
        <v>0.93162806377595397</v>
      </c>
      <c r="F5496">
        <v>0.80111038547267999</v>
      </c>
      <c r="G5496">
        <v>0.57594588458845397</v>
      </c>
      <c r="H5496">
        <v>0.107338423250909</v>
      </c>
      <c r="I5496">
        <v>6.3834302598830203E-2</v>
      </c>
      <c r="J5496">
        <v>5.3393172353209603E-2</v>
      </c>
      <c r="K5496">
        <v>5.2866490943578898E-2</v>
      </c>
      <c r="L5496">
        <v>1338.5209978561199</v>
      </c>
      <c r="M5496">
        <v>24.913943401651998</v>
      </c>
      <c r="N5496">
        <v>53.816328988958098</v>
      </c>
      <c r="O5496">
        <v>53.383227013075903</v>
      </c>
      <c r="P5496">
        <v>-0.114282179591832</v>
      </c>
      <c r="Q5496">
        <v>2.0521437585479699E-2</v>
      </c>
      <c r="R5496">
        <v>0.98573823289604401</v>
      </c>
      <c r="S5496" t="s">
        <v>12064</v>
      </c>
      <c r="T5496" t="s">
        <v>13134</v>
      </c>
      <c r="U5496" t="s">
        <v>13134</v>
      </c>
      <c r="V5496" t="s">
        <v>13134</v>
      </c>
      <c r="W5496" t="s">
        <v>18564</v>
      </c>
      <c r="X5496">
        <v>24</v>
      </c>
      <c r="Y5496" t="s">
        <v>20465</v>
      </c>
      <c r="Z5496" t="s">
        <v>31464</v>
      </c>
      <c r="AA5496">
        <v>0.57524483332240506</v>
      </c>
      <c r="AB5496" t="str">
        <f>HYPERLINK("Melting_Curves/meltCurve_Q9BZZ5_2_API5.pdf", "Melting_Curves/meltCurve_Q9BZZ5_2_API5.pdf")</f>
        <v>Melting_Curves/meltCurve_Q9BZZ5_2_API5.pdf</v>
      </c>
    </row>
    <row r="5497" spans="1:28" x14ac:dyDescent="0.25">
      <c r="A5497" t="s">
        <v>5501</v>
      </c>
      <c r="B5497">
        <v>0.99472303558308395</v>
      </c>
      <c r="C5497">
        <v>1.0776126938269299</v>
      </c>
      <c r="D5497">
        <v>0.90735547363288305</v>
      </c>
      <c r="E5497">
        <v>0.81830431110897806</v>
      </c>
      <c r="F5497">
        <v>0.58675128909909402</v>
      </c>
      <c r="G5497">
        <v>0.46046459475774498</v>
      </c>
      <c r="H5497">
        <v>0.33809344172977801</v>
      </c>
      <c r="I5497">
        <v>0.37291171653591598</v>
      </c>
      <c r="J5497">
        <v>0.38101514820961202</v>
      </c>
      <c r="K5497">
        <v>0.37074876535488399</v>
      </c>
      <c r="L5497">
        <v>953.27002307739394</v>
      </c>
      <c r="M5497">
        <v>19.5872200383075</v>
      </c>
      <c r="N5497">
        <v>51.996261264738699</v>
      </c>
      <c r="O5497">
        <v>48.169194959146097</v>
      </c>
      <c r="P5497">
        <v>-6.5339315186651301E-2</v>
      </c>
      <c r="Q5497">
        <v>0.35728889296946598</v>
      </c>
      <c r="R5497">
        <v>0.98277919733742602</v>
      </c>
      <c r="S5497" t="s">
        <v>12065</v>
      </c>
      <c r="T5497" t="s">
        <v>13134</v>
      </c>
      <c r="U5497" t="s">
        <v>13134</v>
      </c>
      <c r="V5497" t="s">
        <v>13134</v>
      </c>
      <c r="W5497" t="s">
        <v>18565</v>
      </c>
      <c r="X5497">
        <v>6</v>
      </c>
      <c r="Y5497" t="s">
        <v>24929</v>
      </c>
      <c r="Z5497" t="s">
        <v>31465</v>
      </c>
      <c r="AA5497">
        <v>0.61605259164179449</v>
      </c>
      <c r="AB5497" t="str">
        <f>HYPERLINK("Melting_Curves/meltCurve_Q9C004_SPRY4.pdf", "Melting_Curves/meltCurve_Q9C004_SPRY4.pdf")</f>
        <v>Melting_Curves/meltCurve_Q9C004_SPRY4.pdf</v>
      </c>
    </row>
    <row r="5498" spans="1:28" x14ac:dyDescent="0.25">
      <c r="A5498" t="s">
        <v>5502</v>
      </c>
      <c r="B5498">
        <v>0.99472303558308395</v>
      </c>
      <c r="C5498">
        <v>0.98173496883077305</v>
      </c>
      <c r="D5498">
        <v>0.90624557351464896</v>
      </c>
      <c r="E5498">
        <v>0.77765701822551303</v>
      </c>
      <c r="F5498">
        <v>0.43780433078561398</v>
      </c>
      <c r="G5498">
        <v>0.44812432755510001</v>
      </c>
      <c r="H5498">
        <v>0.60543164111852299</v>
      </c>
      <c r="I5498">
        <v>0.80586701936822502</v>
      </c>
      <c r="J5498">
        <v>1.1384520201906201</v>
      </c>
      <c r="K5498">
        <v>0.866476580102571</v>
      </c>
      <c r="L5498">
        <v>1849.5159948963999</v>
      </c>
      <c r="M5498">
        <v>42.281674942211097</v>
      </c>
      <c r="O5498">
        <v>43.645223384211398</v>
      </c>
      <c r="P5498">
        <v>-6.7237526492624794E-2</v>
      </c>
      <c r="Q5498">
        <v>0.72237694148630205</v>
      </c>
      <c r="R5498">
        <v>0.24566080881785901</v>
      </c>
      <c r="S5498" t="s">
        <v>12066</v>
      </c>
      <c r="T5498" t="s">
        <v>13134</v>
      </c>
      <c r="U5498" t="s">
        <v>13134</v>
      </c>
      <c r="V5498" t="s">
        <v>13134</v>
      </c>
      <c r="W5498" t="s">
        <v>18566</v>
      </c>
      <c r="X5498">
        <v>4</v>
      </c>
      <c r="Y5498" t="s">
        <v>24930</v>
      </c>
      <c r="Z5498" t="s">
        <v>31466</v>
      </c>
      <c r="AA5498">
        <v>0.78552862259326495</v>
      </c>
      <c r="AB5498" t="str">
        <f>HYPERLINK("Melting_Curves/meltCurve_Q9C005_DPY30.pdf", "Melting_Curves/meltCurve_Q9C005_DPY30.pdf")</f>
        <v>Melting_Curves/meltCurve_Q9C005_DPY30.pdf</v>
      </c>
    </row>
    <row r="5499" spans="1:28" x14ac:dyDescent="0.25">
      <c r="A5499" t="s">
        <v>5503</v>
      </c>
      <c r="B5499">
        <v>0.99472303558308395</v>
      </c>
      <c r="C5499">
        <v>1.0402799687161699</v>
      </c>
      <c r="D5499">
        <v>0.94634608796701702</v>
      </c>
      <c r="E5499">
        <v>0.78001805181111905</v>
      </c>
      <c r="F5499">
        <v>0.28040472550699402</v>
      </c>
      <c r="G5499">
        <v>0.130092435759005</v>
      </c>
      <c r="H5499">
        <v>8.4295617370636206E-2</v>
      </c>
      <c r="I5499">
        <v>6.5172330247065702E-2</v>
      </c>
      <c r="J5499">
        <v>7.5533733873621695E-2</v>
      </c>
      <c r="K5499">
        <v>6.3144743128602507E-2</v>
      </c>
      <c r="L5499">
        <v>1477.7539473898801</v>
      </c>
      <c r="M5499">
        <v>30.606760805480199</v>
      </c>
      <c r="N5499">
        <v>48.530355364744899</v>
      </c>
      <c r="O5499">
        <v>48.0772376999846</v>
      </c>
      <c r="P5499">
        <v>-0.14761553298504601</v>
      </c>
      <c r="Q5499">
        <v>7.2505002387502904E-2</v>
      </c>
      <c r="R5499">
        <v>0.99785566508526802</v>
      </c>
      <c r="S5499" t="s">
        <v>12067</v>
      </c>
      <c r="T5499" t="s">
        <v>13134</v>
      </c>
      <c r="U5499" t="s">
        <v>13134</v>
      </c>
      <c r="V5499" t="s">
        <v>13134</v>
      </c>
      <c r="W5499" t="s">
        <v>18567</v>
      </c>
      <c r="X5499">
        <v>10</v>
      </c>
      <c r="Y5499" t="s">
        <v>24931</v>
      </c>
      <c r="Z5499" t="s">
        <v>31467</v>
      </c>
      <c r="AA5499">
        <v>0.42660792680325582</v>
      </c>
      <c r="AB5499" t="str">
        <f>HYPERLINK("Melting_Curves/meltCurve_Q9C037_2_TRIM4.pdf", "Melting_Curves/meltCurve_Q9C037_2_TRIM4.pdf")</f>
        <v>Melting_Curves/meltCurve_Q9C037_2_TRIM4.pdf</v>
      </c>
    </row>
    <row r="5500" spans="1:28" x14ac:dyDescent="0.25">
      <c r="A5500" t="s">
        <v>5504</v>
      </c>
      <c r="B5500">
        <v>0.99472303558308395</v>
      </c>
      <c r="C5500">
        <v>0.98349906429108003</v>
      </c>
      <c r="D5500">
        <v>0.90802954043918005</v>
      </c>
      <c r="E5500">
        <v>0.72997365344457399</v>
      </c>
      <c r="F5500">
        <v>0.54013192573756097</v>
      </c>
      <c r="G5500">
        <v>0.316314396312038</v>
      </c>
      <c r="H5500">
        <v>0.189591677210839</v>
      </c>
      <c r="I5500">
        <v>0.103411459599169</v>
      </c>
      <c r="J5500">
        <v>0.106832075945114</v>
      </c>
      <c r="K5500">
        <v>0.11072491324952199</v>
      </c>
      <c r="L5500">
        <v>694.77188225858299</v>
      </c>
      <c r="M5500">
        <v>13.8989041419422</v>
      </c>
      <c r="N5500">
        <v>50.464287665153499</v>
      </c>
      <c r="O5500">
        <v>48.986839059303698</v>
      </c>
      <c r="P5500">
        <v>-6.6576694913599105E-2</v>
      </c>
      <c r="Q5500">
        <v>6.1526610938918501E-2</v>
      </c>
      <c r="R5500">
        <v>0.99813141888419898</v>
      </c>
      <c r="S5500" t="s">
        <v>12068</v>
      </c>
      <c r="T5500" t="s">
        <v>13134</v>
      </c>
      <c r="U5500" t="s">
        <v>13134</v>
      </c>
      <c r="V5500" t="s">
        <v>13134</v>
      </c>
      <c r="W5500" t="s">
        <v>18568</v>
      </c>
      <c r="X5500">
        <v>10</v>
      </c>
      <c r="Y5500" t="s">
        <v>24932</v>
      </c>
      <c r="Z5500" t="s">
        <v>31468</v>
      </c>
      <c r="AA5500">
        <v>0.48964640351550798</v>
      </c>
      <c r="AB5500" t="str">
        <f>HYPERLINK("Melting_Curves/meltCurve_Q9C073_FAM117A.pdf", "Melting_Curves/meltCurve_Q9C073_FAM117A.pdf")</f>
        <v>Melting_Curves/meltCurve_Q9C073_FAM117A.pdf</v>
      </c>
    </row>
    <row r="5501" spans="1:28" x14ac:dyDescent="0.25">
      <c r="A5501" t="s">
        <v>5505</v>
      </c>
      <c r="B5501">
        <v>0.99472303558308395</v>
      </c>
      <c r="C5501">
        <v>1.1280877743948201</v>
      </c>
      <c r="D5501">
        <v>0.966307694312321</v>
      </c>
      <c r="E5501">
        <v>0.710268595916558</v>
      </c>
      <c r="F5501">
        <v>0.35811754822794001</v>
      </c>
      <c r="G5501">
        <v>0.21291999190078001</v>
      </c>
      <c r="H5501">
        <v>9.9688582298176301E-2</v>
      </c>
      <c r="I5501">
        <v>6.6824556695445902E-2</v>
      </c>
      <c r="J5501">
        <v>9.6629792903711501E-2</v>
      </c>
      <c r="K5501">
        <v>6.6644687102820496E-2</v>
      </c>
      <c r="L5501">
        <v>1074.10589956749</v>
      </c>
      <c r="M5501">
        <v>22.182073251286099</v>
      </c>
      <c r="N5501">
        <v>48.801558574423197</v>
      </c>
      <c r="O5501">
        <v>48.0338729303135</v>
      </c>
      <c r="P5501">
        <v>-0.106310595965716</v>
      </c>
      <c r="Q5501">
        <v>7.9184721971335095E-2</v>
      </c>
      <c r="R5501">
        <v>0.98695190599218896</v>
      </c>
      <c r="S5501" t="s">
        <v>12069</v>
      </c>
      <c r="T5501" t="s">
        <v>13134</v>
      </c>
      <c r="U5501" t="s">
        <v>13134</v>
      </c>
      <c r="V5501" t="s">
        <v>13134</v>
      </c>
      <c r="W5501" t="s">
        <v>18569</v>
      </c>
      <c r="X5501">
        <v>6</v>
      </c>
      <c r="Y5501" t="s">
        <v>24933</v>
      </c>
      <c r="Z5501" t="s">
        <v>31469</v>
      </c>
      <c r="AA5501">
        <v>0.43973691813936089</v>
      </c>
      <c r="AB5501" t="str">
        <f>HYPERLINK("Melting_Curves/meltCurve_Q9C0B0_UNK.pdf", "Melting_Curves/meltCurve_Q9C0B0_UNK.pdf")</f>
        <v>Melting_Curves/meltCurve_Q9C0B0_UNK.pdf</v>
      </c>
    </row>
    <row r="5502" spans="1:28" x14ac:dyDescent="0.25">
      <c r="A5502" t="s">
        <v>5506</v>
      </c>
      <c r="B5502">
        <v>0.99472303558308395</v>
      </c>
      <c r="C5502">
        <v>1.0095170322951399</v>
      </c>
      <c r="D5502">
        <v>0.97032751362605296</v>
      </c>
      <c r="E5502">
        <v>0.893707163167758</v>
      </c>
      <c r="F5502">
        <v>0.72368755010973995</v>
      </c>
      <c r="G5502">
        <v>0.50964454308106799</v>
      </c>
      <c r="H5502">
        <v>0.29106151363414701</v>
      </c>
      <c r="I5502">
        <v>0.19735856588339801</v>
      </c>
      <c r="J5502">
        <v>0.16920629477180699</v>
      </c>
      <c r="K5502">
        <v>0.12964850556180901</v>
      </c>
      <c r="L5502">
        <v>811.92546702219897</v>
      </c>
      <c r="M5502">
        <v>15.340234577150399</v>
      </c>
      <c r="N5502">
        <v>53.690125612466197</v>
      </c>
      <c r="O5502">
        <v>52.052859906381698</v>
      </c>
      <c r="P5502">
        <v>-6.6472756483894696E-2</v>
      </c>
      <c r="Q5502">
        <v>9.7855542057202205E-2</v>
      </c>
      <c r="R5502">
        <v>0.99912933494048695</v>
      </c>
      <c r="S5502" t="s">
        <v>12070</v>
      </c>
      <c r="T5502" t="s">
        <v>13134</v>
      </c>
      <c r="U5502" t="s">
        <v>13134</v>
      </c>
      <c r="V5502" t="s">
        <v>13134</v>
      </c>
      <c r="W5502" t="s">
        <v>18570</v>
      </c>
      <c r="X5502">
        <v>11</v>
      </c>
      <c r="Y5502" t="s">
        <v>24934</v>
      </c>
      <c r="Z5502" t="s">
        <v>31470</v>
      </c>
      <c r="AA5502">
        <v>0.59266681150929845</v>
      </c>
      <c r="AB5502" t="str">
        <f>HYPERLINK("Melting_Curves/meltCurve_Q9C0B1_FTO.pdf", "Melting_Curves/meltCurve_Q9C0B1_FTO.pdf")</f>
        <v>Melting_Curves/meltCurve_Q9C0B1_FTO.pdf</v>
      </c>
    </row>
    <row r="5503" spans="1:28" x14ac:dyDescent="0.25">
      <c r="A5503" t="s">
        <v>5507</v>
      </c>
      <c r="B5503">
        <v>0.99472303558308395</v>
      </c>
      <c r="C5503">
        <v>0.97798362856632803</v>
      </c>
      <c r="D5503">
        <v>1.0191797503243401</v>
      </c>
      <c r="E5503">
        <v>0.89973080213011503</v>
      </c>
      <c r="F5503">
        <v>0.66108720240996299</v>
      </c>
      <c r="G5503">
        <v>0.57352724397868005</v>
      </c>
      <c r="H5503">
        <v>0.49654974253705603</v>
      </c>
      <c r="I5503">
        <v>0.52238395113008695</v>
      </c>
      <c r="J5503">
        <v>0.68040481619261095</v>
      </c>
      <c r="K5503">
        <v>0.55977357296836905</v>
      </c>
      <c r="L5503">
        <v>1716.4583651888399</v>
      </c>
      <c r="M5503">
        <v>35.543598065208698</v>
      </c>
      <c r="O5503">
        <v>48.139534078489802</v>
      </c>
      <c r="P5503">
        <v>-8.0324765950433197E-2</v>
      </c>
      <c r="Q5503">
        <v>0.56484045982532405</v>
      </c>
      <c r="R5503">
        <v>0.94704215401737002</v>
      </c>
      <c r="S5503" t="s">
        <v>12071</v>
      </c>
      <c r="T5503" t="s">
        <v>13134</v>
      </c>
      <c r="U5503" t="s">
        <v>13134</v>
      </c>
      <c r="V5503" t="s">
        <v>13134</v>
      </c>
      <c r="W5503" t="s">
        <v>18571</v>
      </c>
      <c r="X5503">
        <v>14</v>
      </c>
      <c r="Y5503" t="s">
        <v>24935</v>
      </c>
      <c r="Z5503" t="s">
        <v>31471</v>
      </c>
      <c r="AA5503">
        <v>0.73047196362983813</v>
      </c>
      <c r="AB5503" t="str">
        <f>HYPERLINK("Melting_Curves/meltCurve_Q9C0B5_2_ZDHHC5.pdf", "Melting_Curves/meltCurve_Q9C0B5_2_ZDHHC5.pdf")</f>
        <v>Melting_Curves/meltCurve_Q9C0B5_2_ZDHHC5.pdf</v>
      </c>
    </row>
    <row r="5504" spans="1:28" x14ac:dyDescent="0.25">
      <c r="A5504" t="s">
        <v>5508</v>
      </c>
      <c r="B5504">
        <v>0.99472303558308395</v>
      </c>
      <c r="C5504">
        <v>1.02682945174482</v>
      </c>
      <c r="D5504">
        <v>0.87117223583511405</v>
      </c>
      <c r="E5504">
        <v>0.72868047466417096</v>
      </c>
      <c r="F5504">
        <v>0.17235788280112199</v>
      </c>
      <c r="G5504">
        <v>6.8586269124583099E-2</v>
      </c>
      <c r="H5504">
        <v>2.3087110826213699E-2</v>
      </c>
      <c r="I5504">
        <v>2.02113480861697E-2</v>
      </c>
      <c r="J5504">
        <v>1.3573404692015499E-2</v>
      </c>
      <c r="K5504">
        <v>0</v>
      </c>
      <c r="L5504">
        <v>1459.97716860278</v>
      </c>
      <c r="M5504">
        <v>30.519291755731501</v>
      </c>
      <c r="N5504">
        <v>47.880156049251802</v>
      </c>
      <c r="O5504">
        <v>47.633869263549499</v>
      </c>
      <c r="P5504">
        <v>-0.15804655077868399</v>
      </c>
      <c r="Q5504">
        <v>1.3303147425506701E-2</v>
      </c>
      <c r="R5504">
        <v>0.99279936019922899</v>
      </c>
      <c r="S5504" t="s">
        <v>12072</v>
      </c>
      <c r="T5504" t="s">
        <v>13134</v>
      </c>
      <c r="U5504" t="s">
        <v>13134</v>
      </c>
      <c r="V5504" t="s">
        <v>13134</v>
      </c>
      <c r="W5504" t="s">
        <v>18572</v>
      </c>
      <c r="X5504">
        <v>2</v>
      </c>
      <c r="Y5504" t="s">
        <v>24936</v>
      </c>
      <c r="Z5504" t="s">
        <v>31472</v>
      </c>
      <c r="AA5504">
        <v>0.37538716564950331</v>
      </c>
      <c r="AB5504" t="str">
        <f>HYPERLINK("Melting_Curves/meltCurve_Q9C0B7_TANGO6.pdf", "Melting_Curves/meltCurve_Q9C0B7_TANGO6.pdf")</f>
        <v>Melting_Curves/meltCurve_Q9C0B7_TANGO6.pdf</v>
      </c>
    </row>
    <row r="5505" spans="1:28" x14ac:dyDescent="0.25">
      <c r="A5505" t="s">
        <v>5509</v>
      </c>
      <c r="B5505">
        <v>0.99472303558308395</v>
      </c>
      <c r="C5505">
        <v>1.0027356251347701</v>
      </c>
      <c r="D5505">
        <v>0.73490483326123701</v>
      </c>
      <c r="E5505">
        <v>0.66031898505611897</v>
      </c>
      <c r="F5505">
        <v>0.71835226793143203</v>
      </c>
      <c r="G5505">
        <v>0.59686555199705005</v>
      </c>
      <c r="H5505">
        <v>0.54473916880123996</v>
      </c>
      <c r="I5505">
        <v>0.64707833433026996</v>
      </c>
      <c r="J5505">
        <v>0.92374678968005197</v>
      </c>
      <c r="K5505">
        <v>0.83236196419346498</v>
      </c>
      <c r="L5505">
        <v>10658.477887904201</v>
      </c>
      <c r="M5505">
        <v>250</v>
      </c>
      <c r="O5505">
        <v>42.631183262890097</v>
      </c>
      <c r="P5505">
        <v>-0.43490485097777498</v>
      </c>
      <c r="Q5505">
        <v>0.70335186587630305</v>
      </c>
      <c r="R5505">
        <v>0.56106049251137702</v>
      </c>
      <c r="S5505" t="s">
        <v>12073</v>
      </c>
      <c r="T5505" t="s">
        <v>13134</v>
      </c>
      <c r="U5505" t="s">
        <v>13134</v>
      </c>
      <c r="V5505" t="s">
        <v>13134</v>
      </c>
      <c r="W5505" t="s">
        <v>18573</v>
      </c>
      <c r="X5505">
        <v>43</v>
      </c>
      <c r="Y5505" t="s">
        <v>24937</v>
      </c>
      <c r="Z5505" t="s">
        <v>31473</v>
      </c>
      <c r="AA5505">
        <v>0.75908370662570124</v>
      </c>
      <c r="AB5505" t="str">
        <f>HYPERLINK("Melting_Curves/meltCurve_Q9C0C2_TNKS1BP1.pdf", "Melting_Curves/meltCurve_Q9C0C2_TNKS1BP1.pdf")</f>
        <v>Melting_Curves/meltCurve_Q9C0C2_TNKS1BP1.pdf</v>
      </c>
    </row>
    <row r="5506" spans="1:28" x14ac:dyDescent="0.25">
      <c r="A5506" t="s">
        <v>5510</v>
      </c>
      <c r="B5506">
        <v>0.99472303558308395</v>
      </c>
      <c r="C5506">
        <v>1.02201326531284</v>
      </c>
      <c r="D5506">
        <v>0.88253139303237205</v>
      </c>
      <c r="E5506">
        <v>0.778773783412956</v>
      </c>
      <c r="F5506">
        <v>0.62218141990972897</v>
      </c>
      <c r="G5506">
        <v>0.30390741602254601</v>
      </c>
      <c r="H5506">
        <v>9.6147416890408094E-2</v>
      </c>
      <c r="I5506">
        <v>7.0289865059166401E-2</v>
      </c>
      <c r="J5506">
        <v>6.5663411159705101E-2</v>
      </c>
      <c r="K5506">
        <v>9.5773492219774201E-2</v>
      </c>
      <c r="L5506">
        <v>816.98252570723503</v>
      </c>
      <c r="M5506">
        <v>16.093890250477301</v>
      </c>
      <c r="N5506">
        <v>50.941620867834501</v>
      </c>
      <c r="O5506">
        <v>49.999164889048899</v>
      </c>
      <c r="P5506">
        <v>-7.8275443621966798E-2</v>
      </c>
      <c r="Q5506">
        <v>2.7355878296426599E-2</v>
      </c>
      <c r="R5506">
        <v>0.98816291565327496</v>
      </c>
      <c r="S5506" t="s">
        <v>12074</v>
      </c>
      <c r="T5506" t="s">
        <v>13134</v>
      </c>
      <c r="U5506" t="s">
        <v>13134</v>
      </c>
      <c r="V5506" t="s">
        <v>13134</v>
      </c>
      <c r="W5506" t="s">
        <v>18574</v>
      </c>
      <c r="X5506">
        <v>8</v>
      </c>
      <c r="Y5506" t="s">
        <v>24938</v>
      </c>
      <c r="Z5506" t="s">
        <v>31474</v>
      </c>
      <c r="AA5506">
        <v>0.49152227328098491</v>
      </c>
      <c r="AB5506" t="str">
        <f>HYPERLINK("Melting_Curves/meltCurve_Q9C0C4_SEMA4C.pdf", "Melting_Curves/meltCurve_Q9C0C4_SEMA4C.pdf")</f>
        <v>Melting_Curves/meltCurve_Q9C0C4_SEMA4C.pdf</v>
      </c>
    </row>
    <row r="5507" spans="1:28" x14ac:dyDescent="0.25">
      <c r="A5507" t="s">
        <v>5511</v>
      </c>
      <c r="B5507">
        <v>0.99472303558308395</v>
      </c>
      <c r="C5507">
        <v>0.77330913103896703</v>
      </c>
      <c r="D5507">
        <v>0.50922476851123999</v>
      </c>
      <c r="E5507">
        <v>0.338881858639274</v>
      </c>
      <c r="F5507">
        <v>0.19162914767539799</v>
      </c>
      <c r="G5507">
        <v>0.101497587027644</v>
      </c>
      <c r="H5507">
        <v>6.3510380083712403E-2</v>
      </c>
      <c r="I5507">
        <v>5.5148840415446702E-2</v>
      </c>
      <c r="J5507">
        <v>6.7093099373370602E-2</v>
      </c>
      <c r="K5507">
        <v>0.100451109178766</v>
      </c>
      <c r="L5507">
        <v>640.57280692829102</v>
      </c>
      <c r="M5507">
        <v>14.8248475675636</v>
      </c>
      <c r="N5507">
        <v>43.615931663486599</v>
      </c>
      <c r="O5507">
        <v>42.446028878927301</v>
      </c>
      <c r="P5507">
        <v>-8.1690197644572998E-2</v>
      </c>
      <c r="Q5507">
        <v>6.4527934963127004E-2</v>
      </c>
      <c r="R5507">
        <v>0.98984137521317395</v>
      </c>
      <c r="S5507" t="s">
        <v>12075</v>
      </c>
      <c r="T5507" t="s">
        <v>13134</v>
      </c>
      <c r="U5507" t="s">
        <v>13134</v>
      </c>
      <c r="V5507" t="s">
        <v>13134</v>
      </c>
      <c r="W5507" t="s">
        <v>18575</v>
      </c>
      <c r="X5507">
        <v>4</v>
      </c>
      <c r="Y5507" t="s">
        <v>24939</v>
      </c>
      <c r="Z5507" t="s">
        <v>31475</v>
      </c>
      <c r="AA5507">
        <v>0.28312190221090311</v>
      </c>
      <c r="AB5507" t="str">
        <f>HYPERLINK("Melting_Curves/meltCurve_Q9C0C7_4_AMBRA1.pdf", "Melting_Curves/meltCurve_Q9C0C7_4_AMBRA1.pdf")</f>
        <v>Melting_Curves/meltCurve_Q9C0C7_4_AMBRA1.pdf</v>
      </c>
    </row>
    <row r="5508" spans="1:28" x14ac:dyDescent="0.25">
      <c r="A5508" t="s">
        <v>5512</v>
      </c>
      <c r="B5508">
        <v>0.99472303558308395</v>
      </c>
      <c r="C5508">
        <v>0.95910717719497696</v>
      </c>
      <c r="D5508">
        <v>0.93813928647950795</v>
      </c>
      <c r="E5508">
        <v>0.76564750598290698</v>
      </c>
      <c r="F5508">
        <v>0.31864698624166199</v>
      </c>
      <c r="G5508">
        <v>0.115903348128503</v>
      </c>
      <c r="H5508">
        <v>6.7106099905083205E-2</v>
      </c>
      <c r="I5508">
        <v>4.8934201009097802E-2</v>
      </c>
      <c r="J5508">
        <v>5.6501447597025703E-2</v>
      </c>
      <c r="K5508">
        <v>4.4450037258512903E-2</v>
      </c>
      <c r="L5508">
        <v>1252.70261669001</v>
      </c>
      <c r="M5508">
        <v>25.8374617427455</v>
      </c>
      <c r="N5508">
        <v>48.671665549047397</v>
      </c>
      <c r="O5508">
        <v>48.196309517284497</v>
      </c>
      <c r="P5508">
        <v>-0.127668592484524</v>
      </c>
      <c r="Q5508">
        <v>4.7416566701994199E-2</v>
      </c>
      <c r="R5508">
        <v>0.99847504921316099</v>
      </c>
      <c r="S5508" t="s">
        <v>12076</v>
      </c>
      <c r="T5508" t="s">
        <v>13134</v>
      </c>
      <c r="U5508" t="s">
        <v>13134</v>
      </c>
      <c r="V5508" t="s">
        <v>13134</v>
      </c>
      <c r="W5508" t="s">
        <v>18576</v>
      </c>
      <c r="X5508">
        <v>30</v>
      </c>
      <c r="Y5508" t="s">
        <v>20957</v>
      </c>
      <c r="Z5508" t="s">
        <v>31476</v>
      </c>
      <c r="AA5508">
        <v>0.4197253385051673</v>
      </c>
      <c r="AB5508" t="str">
        <f>HYPERLINK("Melting_Curves/meltCurve_Q9C0C9_UBE2O.pdf", "Melting_Curves/meltCurve_Q9C0C9_UBE2O.pdf")</f>
        <v>Melting_Curves/meltCurve_Q9C0C9_UBE2O.pdf</v>
      </c>
    </row>
    <row r="5509" spans="1:28" x14ac:dyDescent="0.25">
      <c r="A5509" t="s">
        <v>5513</v>
      </c>
      <c r="B5509">
        <v>0.99472303558308395</v>
      </c>
      <c r="C5509">
        <v>1.0278455855498401</v>
      </c>
      <c r="D5509">
        <v>0.94163938468395203</v>
      </c>
      <c r="E5509">
        <v>0.86404832529966502</v>
      </c>
      <c r="F5509">
        <v>0.72989387403163997</v>
      </c>
      <c r="G5509">
        <v>0.30158082849927298</v>
      </c>
      <c r="H5509">
        <v>0.10497132836811</v>
      </c>
      <c r="I5509">
        <v>8.4403072350174094E-2</v>
      </c>
      <c r="J5509">
        <v>8.64150055372436E-2</v>
      </c>
      <c r="K5509">
        <v>7.5370629028439301E-2</v>
      </c>
      <c r="L5509">
        <v>1261.9345281621399</v>
      </c>
      <c r="M5509">
        <v>24.447713140315301</v>
      </c>
      <c r="N5509">
        <v>51.8962998378083</v>
      </c>
      <c r="O5509">
        <v>51.276048733852498</v>
      </c>
      <c r="P5509">
        <v>-0.11186758699410999</v>
      </c>
      <c r="Q5509">
        <v>6.1500184143434403E-2</v>
      </c>
      <c r="R5509">
        <v>0.99246769268273805</v>
      </c>
      <c r="S5509" t="s">
        <v>12077</v>
      </c>
      <c r="T5509" t="s">
        <v>13134</v>
      </c>
      <c r="U5509" t="s">
        <v>13134</v>
      </c>
      <c r="V5509" t="s">
        <v>13134</v>
      </c>
      <c r="W5509" t="s">
        <v>18577</v>
      </c>
      <c r="X5509">
        <v>6</v>
      </c>
      <c r="Y5509" t="s">
        <v>24940</v>
      </c>
      <c r="Z5509" t="s">
        <v>31477</v>
      </c>
      <c r="AA5509">
        <v>0.52744037680911871</v>
      </c>
      <c r="AB5509" t="str">
        <f>HYPERLINK("Melting_Curves/meltCurve_Q9C0D3_ZYG11B.pdf", "Melting_Curves/meltCurve_Q9C0D3_ZYG11B.pdf")</f>
        <v>Melting_Curves/meltCurve_Q9C0D3_ZYG11B.pdf</v>
      </c>
    </row>
    <row r="5510" spans="1:28" x14ac:dyDescent="0.25">
      <c r="A5510" t="s">
        <v>5514</v>
      </c>
      <c r="B5510">
        <v>0.99472303558308395</v>
      </c>
      <c r="C5510">
        <v>0.97476910575010101</v>
      </c>
      <c r="D5510">
        <v>0.86572812580608605</v>
      </c>
      <c r="E5510">
        <v>0.599871531781902</v>
      </c>
      <c r="F5510">
        <v>0.281200158403345</v>
      </c>
      <c r="G5510">
        <v>0.131848867215656</v>
      </c>
      <c r="H5510">
        <v>8.1274834260244705E-2</v>
      </c>
      <c r="I5510">
        <v>6.7856810038268198E-2</v>
      </c>
      <c r="J5510">
        <v>6.5659802552613597E-2</v>
      </c>
      <c r="K5510">
        <v>6.5467926886785793E-2</v>
      </c>
      <c r="L5510">
        <v>915.24506235814704</v>
      </c>
      <c r="M5510">
        <v>19.3773704732493</v>
      </c>
      <c r="N5510">
        <v>47.526354002664</v>
      </c>
      <c r="O5510">
        <v>46.738262752379498</v>
      </c>
      <c r="P5510">
        <v>-9.7803728250264593E-2</v>
      </c>
      <c r="Q5510">
        <v>5.6423513322338303E-2</v>
      </c>
      <c r="R5510">
        <v>0.99975274142701498</v>
      </c>
      <c r="S5510" t="s">
        <v>12078</v>
      </c>
      <c r="T5510" t="s">
        <v>13134</v>
      </c>
      <c r="U5510" t="s">
        <v>13134</v>
      </c>
      <c r="V5510" t="s">
        <v>13134</v>
      </c>
      <c r="W5510" t="s">
        <v>18578</v>
      </c>
      <c r="X5510">
        <v>7</v>
      </c>
      <c r="Y5510" t="s">
        <v>24941</v>
      </c>
      <c r="Z5510" t="s">
        <v>31478</v>
      </c>
      <c r="AA5510">
        <v>0.39141013453710177</v>
      </c>
      <c r="AB5510" t="str">
        <f>HYPERLINK("Melting_Curves/meltCurve_Q9C0F1_CEP44.pdf", "Melting_Curves/meltCurve_Q9C0F1_CEP44.pdf")</f>
        <v>Melting_Curves/meltCurve_Q9C0F1_CEP44.pdf</v>
      </c>
    </row>
    <row r="5511" spans="1:28" x14ac:dyDescent="0.25">
      <c r="A5511" t="s">
        <v>5515</v>
      </c>
      <c r="B5511">
        <v>0.99472303558308395</v>
      </c>
      <c r="C5511">
        <v>0.94085360250118599</v>
      </c>
      <c r="D5511">
        <v>0.87995007420489701</v>
      </c>
      <c r="E5511">
        <v>0.77334565384130804</v>
      </c>
      <c r="F5511">
        <v>0.74383961894224604</v>
      </c>
      <c r="G5511">
        <v>0.51672407546903398</v>
      </c>
      <c r="H5511">
        <v>0.37557945534955101</v>
      </c>
      <c r="I5511">
        <v>0.187925631731513</v>
      </c>
      <c r="J5511">
        <v>0.109962140927176</v>
      </c>
      <c r="K5511">
        <v>0.13702145937948801</v>
      </c>
      <c r="L5511">
        <v>550.02190335460898</v>
      </c>
      <c r="M5511">
        <v>10.2172301172545</v>
      </c>
      <c r="N5511">
        <v>53.832798984279101</v>
      </c>
      <c r="O5511">
        <v>51.892805767122297</v>
      </c>
      <c r="P5511">
        <v>-4.9244822189163498E-2</v>
      </c>
      <c r="Q5511">
        <v>0</v>
      </c>
      <c r="R5511">
        <v>0.98387707099833299</v>
      </c>
      <c r="S5511" t="s">
        <v>12079</v>
      </c>
      <c r="T5511" t="s">
        <v>13134</v>
      </c>
      <c r="U5511" t="s">
        <v>13134</v>
      </c>
      <c r="V5511" t="s">
        <v>13134</v>
      </c>
      <c r="W5511" t="s">
        <v>18579</v>
      </c>
      <c r="X5511">
        <v>13</v>
      </c>
      <c r="Y5511" t="s">
        <v>24942</v>
      </c>
      <c r="Z5511" t="s">
        <v>31479</v>
      </c>
      <c r="AA5511">
        <v>0.57962491084267564</v>
      </c>
      <c r="AB5511" t="str">
        <f>HYPERLINK("Melting_Curves/meltCurve_Q9C0I1_MTMR12.pdf", "Melting_Curves/meltCurve_Q9C0I1_MTMR12.pdf")</f>
        <v>Melting_Curves/meltCurve_Q9C0I1_MTMR12.pdf</v>
      </c>
    </row>
    <row r="5512" spans="1:28" x14ac:dyDescent="0.25">
      <c r="A5512" t="s">
        <v>5516</v>
      </c>
      <c r="B5512">
        <v>0.99472303558308395</v>
      </c>
      <c r="C5512">
        <v>0.89936006879949304</v>
      </c>
      <c r="D5512">
        <v>0.63335205119511795</v>
      </c>
      <c r="E5512">
        <v>0.43422642060995698</v>
      </c>
      <c r="F5512">
        <v>0.44374773482521002</v>
      </c>
      <c r="G5512">
        <v>0.15297729543972399</v>
      </c>
      <c r="H5512">
        <v>8.4822336427239506E-2</v>
      </c>
      <c r="I5512">
        <v>6.0290339244760301E-2</v>
      </c>
      <c r="J5512">
        <v>7.3143217247649703E-2</v>
      </c>
      <c r="K5512">
        <v>6.0119594481954697E-2</v>
      </c>
      <c r="L5512">
        <v>502.95697748069898</v>
      </c>
      <c r="M5512">
        <v>10.8641631475304</v>
      </c>
      <c r="N5512">
        <v>46.409497069367603</v>
      </c>
      <c r="O5512">
        <v>44.809352160004302</v>
      </c>
      <c r="P5512">
        <v>-5.9833261450378997E-2</v>
      </c>
      <c r="Q5512">
        <v>1.32176655088743E-2</v>
      </c>
      <c r="R5512">
        <v>0.97036740450465797</v>
      </c>
      <c r="S5512" t="s">
        <v>12080</v>
      </c>
      <c r="T5512" t="s">
        <v>13134</v>
      </c>
      <c r="U5512" t="s">
        <v>13134</v>
      </c>
      <c r="V5512" t="s">
        <v>13134</v>
      </c>
      <c r="W5512" t="s">
        <v>18580</v>
      </c>
      <c r="X5512">
        <v>10</v>
      </c>
      <c r="Y5512" t="s">
        <v>24943</v>
      </c>
      <c r="Z5512" t="s">
        <v>31480</v>
      </c>
      <c r="AA5512">
        <v>0.35836942701315072</v>
      </c>
      <c r="AB5512" t="str">
        <f>HYPERLINK("Melting_Curves/meltCurve_Q9C0J8_WDR33.pdf", "Melting_Curves/meltCurve_Q9C0J8_WDR33.pdf")</f>
        <v>Melting_Curves/meltCurve_Q9C0J8_WDR33.pdf</v>
      </c>
    </row>
    <row r="5513" spans="1:28" x14ac:dyDescent="0.25">
      <c r="A5513" t="s">
        <v>5517</v>
      </c>
      <c r="B5513">
        <v>0.99472303558308395</v>
      </c>
      <c r="C5513">
        <v>0.982674954922511</v>
      </c>
      <c r="D5513">
        <v>0.92345472129336903</v>
      </c>
      <c r="E5513">
        <v>0.89613427701493398</v>
      </c>
      <c r="F5513">
        <v>0.69833479600349202</v>
      </c>
      <c r="G5513">
        <v>0.52127768307091105</v>
      </c>
      <c r="H5513">
        <v>0.300970110984563</v>
      </c>
      <c r="I5513">
        <v>0.208261033434886</v>
      </c>
      <c r="J5513">
        <v>0.23200447707956601</v>
      </c>
      <c r="K5513">
        <v>0.170513770897815</v>
      </c>
      <c r="L5513">
        <v>768.500284995181</v>
      </c>
      <c r="M5513">
        <v>14.6521313851537</v>
      </c>
      <c r="N5513">
        <v>53.642605905871797</v>
      </c>
      <c r="O5513">
        <v>51.501782986514897</v>
      </c>
      <c r="P5513">
        <v>-6.1242430131089598E-2</v>
      </c>
      <c r="Q5513">
        <v>0.13903439663702599</v>
      </c>
      <c r="R5513">
        <v>0.99431476501756699</v>
      </c>
      <c r="S5513" t="s">
        <v>12081</v>
      </c>
      <c r="T5513" t="s">
        <v>13134</v>
      </c>
      <c r="U5513" t="s">
        <v>13134</v>
      </c>
      <c r="V5513" t="s">
        <v>13134</v>
      </c>
      <c r="W5513" t="s">
        <v>18581</v>
      </c>
      <c r="X5513">
        <v>9</v>
      </c>
      <c r="Y5513" t="s">
        <v>24944</v>
      </c>
      <c r="Z5513" t="s">
        <v>31481</v>
      </c>
      <c r="AA5513">
        <v>0.59883457205103008</v>
      </c>
      <c r="AB5513" t="str">
        <f>HYPERLINK("Melting_Curves/meltCurve_Q9GZL7_WDR12.pdf", "Melting_Curves/meltCurve_Q9GZL7_WDR12.pdf")</f>
        <v>Melting_Curves/meltCurve_Q9GZL7_WDR12.pdf</v>
      </c>
    </row>
    <row r="5514" spans="1:28" x14ac:dyDescent="0.25">
      <c r="A5514" t="s">
        <v>5518</v>
      </c>
      <c r="B5514">
        <v>0.99472303558308395</v>
      </c>
      <c r="C5514">
        <v>0.88046483121725505</v>
      </c>
      <c r="D5514">
        <v>0.83757456599047797</v>
      </c>
      <c r="E5514">
        <v>0.69170809724835203</v>
      </c>
      <c r="F5514">
        <v>0.43802338002159902</v>
      </c>
      <c r="G5514">
        <v>0.241204642962595</v>
      </c>
      <c r="H5514">
        <v>0.160105478274498</v>
      </c>
      <c r="I5514">
        <v>0.11188696652191001</v>
      </c>
      <c r="J5514">
        <v>0.12940817594521001</v>
      </c>
      <c r="K5514">
        <v>6.0243577834538403E-2</v>
      </c>
      <c r="L5514">
        <v>600.63043805468806</v>
      </c>
      <c r="M5514">
        <v>12.3254729065938</v>
      </c>
      <c r="N5514">
        <v>49.0806277565421</v>
      </c>
      <c r="O5514">
        <v>47.501340089086703</v>
      </c>
      <c r="P5514">
        <v>-6.2154918973064403E-2</v>
      </c>
      <c r="Q5514">
        <v>4.2048764644888E-2</v>
      </c>
      <c r="R5514">
        <v>0.993051572145078</v>
      </c>
      <c r="S5514" t="s">
        <v>12082</v>
      </c>
      <c r="T5514" t="s">
        <v>13134</v>
      </c>
      <c r="U5514" t="s">
        <v>13134</v>
      </c>
      <c r="V5514" t="s">
        <v>13134</v>
      </c>
      <c r="W5514" t="s">
        <v>18582</v>
      </c>
      <c r="X5514">
        <v>3</v>
      </c>
      <c r="Y5514" t="s">
        <v>24945</v>
      </c>
      <c r="Z5514" t="s">
        <v>31482</v>
      </c>
      <c r="AA5514">
        <v>0.44447691057804611</v>
      </c>
      <c r="AB5514" t="str">
        <f>HYPERLINK("Melting_Curves/meltCurve_Q9GZN1_ACTR6.pdf", "Melting_Curves/meltCurve_Q9GZN1_ACTR6.pdf")</f>
        <v>Melting_Curves/meltCurve_Q9GZN1_ACTR6.pdf</v>
      </c>
    </row>
    <row r="5515" spans="1:28" x14ac:dyDescent="0.25">
      <c r="A5515" t="s">
        <v>5519</v>
      </c>
      <c r="B5515">
        <v>0.99472303558308395</v>
      </c>
      <c r="C5515">
        <v>1.0682473777939601</v>
      </c>
      <c r="D5515">
        <v>0.97260679026715602</v>
      </c>
      <c r="E5515">
        <v>0.888636693283957</v>
      </c>
      <c r="F5515">
        <v>0.67701793569373603</v>
      </c>
      <c r="G5515">
        <v>0.42672907602949001</v>
      </c>
      <c r="H5515">
        <v>0.188829503324593</v>
      </c>
      <c r="I5515">
        <v>8.5245249578266097E-2</v>
      </c>
      <c r="J5515">
        <v>9.8724817264470993E-2</v>
      </c>
      <c r="K5515">
        <v>8.4641038880683903E-2</v>
      </c>
      <c r="L5515">
        <v>937.042269425889</v>
      </c>
      <c r="M5515">
        <v>17.964534535268001</v>
      </c>
      <c r="N5515">
        <v>52.478036729999403</v>
      </c>
      <c r="O5515">
        <v>51.527216568138101</v>
      </c>
      <c r="P5515">
        <v>-8.2678072966040295E-2</v>
      </c>
      <c r="Q5515">
        <v>5.1473513865644603E-2</v>
      </c>
      <c r="R5515">
        <v>0.99486785241986997</v>
      </c>
      <c r="S5515" t="s">
        <v>12083</v>
      </c>
      <c r="T5515" t="s">
        <v>13134</v>
      </c>
      <c r="U5515" t="s">
        <v>13134</v>
      </c>
      <c r="V5515" t="s">
        <v>13134</v>
      </c>
      <c r="W5515" t="s">
        <v>18583</v>
      </c>
      <c r="X5515">
        <v>5</v>
      </c>
      <c r="Y5515" t="s">
        <v>24946</v>
      </c>
      <c r="Z5515" t="s">
        <v>31483</v>
      </c>
      <c r="AA5515">
        <v>0.54512391968467067</v>
      </c>
      <c r="AB5515" t="str">
        <f>HYPERLINK("Melting_Curves/meltCurve_Q9GZN8_C20orf27.pdf", "Melting_Curves/meltCurve_Q9GZN8_C20orf27.pdf")</f>
        <v>Melting_Curves/meltCurve_Q9GZN8_C20orf27.pdf</v>
      </c>
    </row>
    <row r="5516" spans="1:28" x14ac:dyDescent="0.25">
      <c r="A5516" t="s">
        <v>5520</v>
      </c>
      <c r="B5516">
        <v>0.99472303558308395</v>
      </c>
      <c r="C5516">
        <v>0.87909830564714198</v>
      </c>
      <c r="D5516">
        <v>0.80791997204676802</v>
      </c>
      <c r="E5516">
        <v>0.73156648057141105</v>
      </c>
      <c r="F5516">
        <v>0.59431307062357397</v>
      </c>
      <c r="G5516">
        <v>0.37142519744080998</v>
      </c>
      <c r="H5516">
        <v>0.28628471993946197</v>
      </c>
      <c r="I5516">
        <v>0.26916799889608101</v>
      </c>
      <c r="J5516">
        <v>0.353476665321723</v>
      </c>
      <c r="K5516">
        <v>0.30942527013919902</v>
      </c>
      <c r="L5516">
        <v>547.03172114433698</v>
      </c>
      <c r="M5516">
        <v>11.393309718933301</v>
      </c>
      <c r="N5516">
        <v>51.127181242435</v>
      </c>
      <c r="O5516">
        <v>46.605656883839103</v>
      </c>
      <c r="P5516">
        <v>-4.5838946560823803E-2</v>
      </c>
      <c r="Q5516">
        <v>0.25018294910057498</v>
      </c>
      <c r="R5516">
        <v>0.96619145964084197</v>
      </c>
      <c r="S5516" t="s">
        <v>12084</v>
      </c>
      <c r="T5516" t="s">
        <v>13134</v>
      </c>
      <c r="U5516" t="s">
        <v>13134</v>
      </c>
      <c r="V5516" t="s">
        <v>13134</v>
      </c>
      <c r="W5516" t="s">
        <v>18584</v>
      </c>
      <c r="X5516">
        <v>2</v>
      </c>
      <c r="Y5516" t="s">
        <v>24947</v>
      </c>
      <c r="Z5516" t="s">
        <v>31484</v>
      </c>
      <c r="AA5516">
        <v>0.5507225057786691</v>
      </c>
      <c r="AB5516" t="str">
        <f>HYPERLINK("Melting_Curves/meltCurve_Q9GZP1_NRSN2.pdf", "Melting_Curves/meltCurve_Q9GZP1_NRSN2.pdf")</f>
        <v>Melting_Curves/meltCurve_Q9GZP1_NRSN2.pdf</v>
      </c>
    </row>
    <row r="5517" spans="1:28" x14ac:dyDescent="0.25">
      <c r="A5517" t="s">
        <v>5521</v>
      </c>
      <c r="B5517">
        <v>0.99472303558308395</v>
      </c>
      <c r="C5517">
        <v>1.25340208344263</v>
      </c>
      <c r="D5517">
        <v>0.92677995309007999</v>
      </c>
      <c r="E5517">
        <v>0.88525500381113797</v>
      </c>
      <c r="F5517">
        <v>0.79649643439866102</v>
      </c>
      <c r="G5517">
        <v>0.45945557412342902</v>
      </c>
      <c r="H5517">
        <v>0.34871732932038402</v>
      </c>
      <c r="I5517">
        <v>0.39129420842773999</v>
      </c>
      <c r="J5517">
        <v>0.45672715049517298</v>
      </c>
      <c r="K5517">
        <v>0.30399118365436101</v>
      </c>
      <c r="L5517">
        <v>1459.52486965198</v>
      </c>
      <c r="M5517">
        <v>28.599473276253701</v>
      </c>
      <c r="N5517">
        <v>53.478135457250197</v>
      </c>
      <c r="O5517">
        <v>50.785720882546599</v>
      </c>
      <c r="P5517">
        <v>-8.9434430531140793E-2</v>
      </c>
      <c r="Q5517">
        <v>0.36474967234988898</v>
      </c>
      <c r="R5517">
        <v>0.90667112875155798</v>
      </c>
      <c r="S5517" t="s">
        <v>12085</v>
      </c>
      <c r="T5517" t="s">
        <v>13134</v>
      </c>
      <c r="U5517" t="s">
        <v>13134</v>
      </c>
      <c r="V5517" t="s">
        <v>13134</v>
      </c>
      <c r="W5517" t="s">
        <v>18585</v>
      </c>
      <c r="X5517">
        <v>13</v>
      </c>
      <c r="Y5517" t="s">
        <v>24948</v>
      </c>
      <c r="Z5517" t="s">
        <v>31485</v>
      </c>
      <c r="AA5517">
        <v>0.66624874340318585</v>
      </c>
      <c r="AB5517" t="str">
        <f>HYPERLINK("Melting_Curves/meltCurve_Q9GZP4_PITHD1.pdf", "Melting_Curves/meltCurve_Q9GZP4_PITHD1.pdf")</f>
        <v>Melting_Curves/meltCurve_Q9GZP4_PITHD1.pdf</v>
      </c>
    </row>
    <row r="5518" spans="1:28" x14ac:dyDescent="0.25">
      <c r="A5518" t="s">
        <v>5522</v>
      </c>
      <c r="B5518">
        <v>0.99472303558308395</v>
      </c>
      <c r="C5518">
        <v>0.95266580001156798</v>
      </c>
      <c r="D5518">
        <v>0.92167533981600902</v>
      </c>
      <c r="E5518">
        <v>0.73968984040502095</v>
      </c>
      <c r="F5518">
        <v>0.75325756991142401</v>
      </c>
      <c r="G5518">
        <v>0.47819814220999401</v>
      </c>
      <c r="H5518">
        <v>0.23799389949140401</v>
      </c>
      <c r="I5518">
        <v>0.10573872169965901</v>
      </c>
      <c r="J5518">
        <v>3.6264834640430801E-2</v>
      </c>
      <c r="K5518">
        <v>5.4165903350735303E-2</v>
      </c>
      <c r="L5518">
        <v>708.14980349468101</v>
      </c>
      <c r="M5518">
        <v>13.4044391224971</v>
      </c>
      <c r="N5518">
        <v>52.829499186321101</v>
      </c>
      <c r="O5518">
        <v>51.6952655051211</v>
      </c>
      <c r="P5518">
        <v>-6.4834471467918195E-2</v>
      </c>
      <c r="Q5518">
        <v>0</v>
      </c>
      <c r="R5518">
        <v>0.979018543284363</v>
      </c>
      <c r="S5518" t="s">
        <v>12086</v>
      </c>
      <c r="T5518" t="s">
        <v>13134</v>
      </c>
      <c r="U5518" t="s">
        <v>13134</v>
      </c>
      <c r="V5518" t="s">
        <v>13134</v>
      </c>
      <c r="W5518" t="s">
        <v>18586</v>
      </c>
      <c r="X5518">
        <v>2</v>
      </c>
      <c r="Y5518" t="s">
        <v>24949</v>
      </c>
      <c r="Z5518" t="s">
        <v>31486</v>
      </c>
      <c r="AA5518">
        <v>0.5476519579983905</v>
      </c>
      <c r="AB5518" t="str">
        <f>HYPERLINK("Melting_Curves/meltCurve_Q9GZP9_DERL2.pdf", "Melting_Curves/meltCurve_Q9GZP9_DERL2.pdf")</f>
        <v>Melting_Curves/meltCurve_Q9GZP9_DERL2.pdf</v>
      </c>
    </row>
    <row r="5519" spans="1:28" x14ac:dyDescent="0.25">
      <c r="A5519" t="s">
        <v>5523</v>
      </c>
      <c r="B5519">
        <v>0.99472303558308395</v>
      </c>
      <c r="C5519">
        <v>1.0399539310989401</v>
      </c>
      <c r="D5519">
        <v>0.76142075078370097</v>
      </c>
      <c r="E5519">
        <v>0.65697873602849</v>
      </c>
      <c r="F5519">
        <v>0.62270706805698195</v>
      </c>
      <c r="G5519">
        <v>0.29544710290936599</v>
      </c>
      <c r="H5519">
        <v>0.120066067149941</v>
      </c>
      <c r="I5519">
        <v>4.8566183848747897E-2</v>
      </c>
      <c r="J5519">
        <v>9.24101995841944E-2</v>
      </c>
      <c r="K5519">
        <v>2.8978662922011799E-2</v>
      </c>
      <c r="L5519">
        <v>599.52690319281396</v>
      </c>
      <c r="M5519">
        <v>11.981632100925699</v>
      </c>
      <c r="N5519">
        <v>50.037173252279203</v>
      </c>
      <c r="O5519">
        <v>48.704446205596497</v>
      </c>
      <c r="P5519">
        <v>-6.1516651149344903E-2</v>
      </c>
      <c r="Q5519">
        <v>0</v>
      </c>
      <c r="R5519">
        <v>0.96595882621002904</v>
      </c>
      <c r="S5519" t="s">
        <v>12087</v>
      </c>
      <c r="T5519" t="s">
        <v>13134</v>
      </c>
      <c r="U5519" t="s">
        <v>13134</v>
      </c>
      <c r="V5519" t="s">
        <v>13134</v>
      </c>
      <c r="W5519" t="s">
        <v>18587</v>
      </c>
      <c r="X5519">
        <v>3</v>
      </c>
      <c r="Y5519" t="s">
        <v>24950</v>
      </c>
      <c r="Z5519" t="s">
        <v>31487</v>
      </c>
      <c r="AA5519">
        <v>0.46254603658094651</v>
      </c>
      <c r="AB5519" t="str">
        <f>HYPERLINK("Melting_Curves/meltCurve_Q9GZQ3_COMMD5.pdf", "Melting_Curves/meltCurve_Q9GZQ3_COMMD5.pdf")</f>
        <v>Melting_Curves/meltCurve_Q9GZQ3_COMMD5.pdf</v>
      </c>
    </row>
    <row r="5520" spans="1:28" x14ac:dyDescent="0.25">
      <c r="A5520" t="s">
        <v>5524</v>
      </c>
      <c r="B5520">
        <v>0.99472303558308395</v>
      </c>
      <c r="C5520">
        <v>0.88494734773919004</v>
      </c>
      <c r="D5520">
        <v>0.70430353867101703</v>
      </c>
      <c r="E5520">
        <v>0.242697315437752</v>
      </c>
      <c r="F5520">
        <v>9.2479687054675103E-2</v>
      </c>
      <c r="G5520">
        <v>4.38463699685104E-2</v>
      </c>
      <c r="H5520">
        <v>3.04137810524613E-2</v>
      </c>
      <c r="I5520">
        <v>2.5146913378851998E-2</v>
      </c>
      <c r="J5520">
        <v>2.8000877434656402E-2</v>
      </c>
      <c r="K5520">
        <v>2.4477824340307101E-2</v>
      </c>
      <c r="L5520">
        <v>1019.4655766094</v>
      </c>
      <c r="M5520">
        <v>23.008509880069699</v>
      </c>
      <c r="N5520">
        <v>44.4064584495598</v>
      </c>
      <c r="O5520">
        <v>43.977566447338397</v>
      </c>
      <c r="P5520">
        <v>-0.12755291073320699</v>
      </c>
      <c r="Q5520">
        <v>2.4819636494870199E-2</v>
      </c>
      <c r="R5520">
        <v>0.99772433129063398</v>
      </c>
      <c r="S5520" t="s">
        <v>12088</v>
      </c>
      <c r="T5520" t="s">
        <v>13134</v>
      </c>
      <c r="U5520" t="s">
        <v>13134</v>
      </c>
      <c r="V5520" t="s">
        <v>13134</v>
      </c>
      <c r="W5520" t="s">
        <v>18588</v>
      </c>
      <c r="X5520">
        <v>8</v>
      </c>
      <c r="Y5520" t="s">
        <v>24951</v>
      </c>
      <c r="Z5520" t="s">
        <v>31488</v>
      </c>
      <c r="AA5520">
        <v>0.27194165880220872</v>
      </c>
      <c r="AB5520" t="str">
        <f>HYPERLINK("Melting_Curves/meltCurve_Q9GZS1_2_POLR1E.pdf", "Melting_Curves/meltCurve_Q9GZS1_2_POLR1E.pdf")</f>
        <v>Melting_Curves/meltCurve_Q9GZS1_2_POLR1E.pdf</v>
      </c>
    </row>
    <row r="5521" spans="1:28" x14ac:dyDescent="0.25">
      <c r="A5521" t="s">
        <v>5525</v>
      </c>
      <c r="B5521">
        <v>0.99472303558308395</v>
      </c>
      <c r="C5521">
        <v>0.98831390799172003</v>
      </c>
      <c r="D5521">
        <v>0.875221151344721</v>
      </c>
      <c r="E5521">
        <v>0.73265715829575395</v>
      </c>
      <c r="F5521">
        <v>0.50496273638521905</v>
      </c>
      <c r="G5521">
        <v>0.28517489636068899</v>
      </c>
      <c r="H5521">
        <v>0.12658799708848001</v>
      </c>
      <c r="I5521">
        <v>9.0165520422648304E-2</v>
      </c>
      <c r="J5521">
        <v>8.8650185460377104E-2</v>
      </c>
      <c r="K5521">
        <v>7.6542709145169599E-2</v>
      </c>
      <c r="L5521">
        <v>710.96103457963704</v>
      </c>
      <c r="M5521">
        <v>14.3026141169507</v>
      </c>
      <c r="N5521">
        <v>49.981382030970103</v>
      </c>
      <c r="O5521">
        <v>48.767016400563897</v>
      </c>
      <c r="P5521">
        <v>-7.0575607049462905E-2</v>
      </c>
      <c r="Q5521">
        <v>3.7562546238554297E-2</v>
      </c>
      <c r="R5521">
        <v>0.99752075435941001</v>
      </c>
      <c r="S5521" t="s">
        <v>12089</v>
      </c>
      <c r="T5521" t="s">
        <v>13134</v>
      </c>
      <c r="U5521" t="s">
        <v>13134</v>
      </c>
      <c r="V5521" t="s">
        <v>13134</v>
      </c>
      <c r="W5521" t="s">
        <v>18589</v>
      </c>
      <c r="X5521">
        <v>8</v>
      </c>
      <c r="Y5521" t="s">
        <v>24952</v>
      </c>
      <c r="Z5521" t="s">
        <v>31489</v>
      </c>
      <c r="AA5521">
        <v>0.46702497876967408</v>
      </c>
      <c r="AB5521" t="str">
        <f>HYPERLINK("Melting_Curves/meltCurve_Q9GZS3_WDR61.pdf", "Melting_Curves/meltCurve_Q9GZS3_WDR61.pdf")</f>
        <v>Melting_Curves/meltCurve_Q9GZS3_WDR61.pdf</v>
      </c>
    </row>
    <row r="5522" spans="1:28" x14ac:dyDescent="0.25">
      <c r="A5522" t="s">
        <v>5526</v>
      </c>
      <c r="B5522">
        <v>0.99472303558308395</v>
      </c>
      <c r="C5522">
        <v>1.0180717376839401</v>
      </c>
      <c r="D5522">
        <v>0.82184741154957597</v>
      </c>
      <c r="E5522">
        <v>0.41945261955513802</v>
      </c>
      <c r="F5522">
        <v>0.37359255182760798</v>
      </c>
      <c r="G5522">
        <v>0.40442459546922699</v>
      </c>
      <c r="H5522">
        <v>0.37949045069612403</v>
      </c>
      <c r="I5522">
        <v>0.37553760803508102</v>
      </c>
      <c r="J5522">
        <v>0.33447779386679799</v>
      </c>
      <c r="K5522">
        <v>0.22585523556736201</v>
      </c>
      <c r="L5522">
        <v>1721.5802882835901</v>
      </c>
      <c r="M5522">
        <v>39.031796623848798</v>
      </c>
      <c r="N5522">
        <v>45.492673454463699</v>
      </c>
      <c r="O5522">
        <v>43.991822029957703</v>
      </c>
      <c r="P5522">
        <v>-0.14468838423125099</v>
      </c>
      <c r="Q5522">
        <v>0.34770196095503397</v>
      </c>
      <c r="R5522">
        <v>0.97240828090160203</v>
      </c>
      <c r="S5522" t="s">
        <v>12090</v>
      </c>
      <c r="T5522" t="s">
        <v>13134</v>
      </c>
      <c r="U5522" t="s">
        <v>13134</v>
      </c>
      <c r="V5522" t="s">
        <v>13134</v>
      </c>
      <c r="W5522" t="s">
        <v>18590</v>
      </c>
      <c r="X5522">
        <v>7</v>
      </c>
      <c r="Y5522" t="s">
        <v>24953</v>
      </c>
      <c r="Z5522" t="s">
        <v>31490</v>
      </c>
      <c r="AA5522">
        <v>0.50433331627029787</v>
      </c>
      <c r="AB5522" t="str">
        <f>HYPERLINK("Melting_Curves/meltCurve_Q9GZT3_2_SLIRP.pdf", "Melting_Curves/meltCurve_Q9GZT3_2_SLIRP.pdf")</f>
        <v>Melting_Curves/meltCurve_Q9GZT3_2_SLIRP.pdf</v>
      </c>
    </row>
    <row r="5523" spans="1:28" x14ac:dyDescent="0.25">
      <c r="A5523" t="s">
        <v>5527</v>
      </c>
      <c r="B5523">
        <v>0.99472303558308395</v>
      </c>
      <c r="C5523">
        <v>0.91949041669549403</v>
      </c>
      <c r="D5523">
        <v>0.99981301820033297</v>
      </c>
      <c r="E5523">
        <v>0.82456556369989198</v>
      </c>
      <c r="F5523">
        <v>0.63353127225678696</v>
      </c>
      <c r="G5523">
        <v>0.28497414643939201</v>
      </c>
      <c r="H5523">
        <v>0.121753774210555</v>
      </c>
      <c r="I5523">
        <v>9.9744963756938199E-2</v>
      </c>
      <c r="J5523">
        <v>0.12371702682576501</v>
      </c>
      <c r="K5523">
        <v>0.140271843580525</v>
      </c>
      <c r="L5523">
        <v>1089.0696637641299</v>
      </c>
      <c r="M5523">
        <v>21.512665716224301</v>
      </c>
      <c r="N5523">
        <v>51.140664732739403</v>
      </c>
      <c r="O5523">
        <v>50.193225519820302</v>
      </c>
      <c r="P5523">
        <v>-9.6696557506902897E-2</v>
      </c>
      <c r="Q5523">
        <v>9.7574662010395594E-2</v>
      </c>
      <c r="R5523">
        <v>0.98921264527403496</v>
      </c>
      <c r="S5523" t="s">
        <v>12091</v>
      </c>
      <c r="T5523" t="s">
        <v>13134</v>
      </c>
      <c r="U5523" t="s">
        <v>13134</v>
      </c>
      <c r="V5523" t="s">
        <v>13134</v>
      </c>
      <c r="W5523" t="s">
        <v>18591</v>
      </c>
      <c r="X5523">
        <v>5</v>
      </c>
      <c r="Y5523" t="s">
        <v>24954</v>
      </c>
      <c r="Z5523" t="s">
        <v>31491</v>
      </c>
      <c r="AA5523">
        <v>0.5178568594380728</v>
      </c>
      <c r="AB5523" t="str">
        <f>HYPERLINK("Melting_Curves/meltCurve_Q9GZT4_SRR.pdf", "Melting_Curves/meltCurve_Q9GZT4_SRR.pdf")</f>
        <v>Melting_Curves/meltCurve_Q9GZT4_SRR.pdf</v>
      </c>
    </row>
    <row r="5524" spans="1:28" x14ac:dyDescent="0.25">
      <c r="A5524" t="s">
        <v>5528</v>
      </c>
      <c r="B5524">
        <v>0.99472303558308395</v>
      </c>
      <c r="C5524">
        <v>0.98358847611586098</v>
      </c>
      <c r="D5524">
        <v>0.86239466028605405</v>
      </c>
      <c r="E5524">
        <v>0.76048683979472398</v>
      </c>
      <c r="F5524">
        <v>0.61862793834882801</v>
      </c>
      <c r="G5524">
        <v>0.46008502139356</v>
      </c>
      <c r="H5524">
        <v>0.33404965921240098</v>
      </c>
      <c r="I5524">
        <v>0.316132860268385</v>
      </c>
      <c r="J5524">
        <v>0.29094456738340602</v>
      </c>
      <c r="K5524">
        <v>0.189452249137363</v>
      </c>
      <c r="L5524">
        <v>523.66356379317699</v>
      </c>
      <c r="M5524">
        <v>10.317537056119299</v>
      </c>
      <c r="N5524">
        <v>52.816964937909098</v>
      </c>
      <c r="O5524">
        <v>48.9589952024985</v>
      </c>
      <c r="P5524">
        <v>-4.3968737562546698E-2</v>
      </c>
      <c r="Q5524">
        <v>0.165794448246396</v>
      </c>
      <c r="R5524">
        <v>0.99250625460391995</v>
      </c>
      <c r="S5524" t="s">
        <v>12092</v>
      </c>
      <c r="T5524" t="s">
        <v>13134</v>
      </c>
      <c r="U5524" t="s">
        <v>13134</v>
      </c>
      <c r="V5524" t="s">
        <v>13134</v>
      </c>
      <c r="W5524" t="s">
        <v>18592</v>
      </c>
      <c r="X5524">
        <v>8</v>
      </c>
      <c r="Y5524" t="s">
        <v>24955</v>
      </c>
      <c r="Z5524" t="s">
        <v>31492</v>
      </c>
      <c r="AA5524">
        <v>0.57377034751429135</v>
      </c>
      <c r="AB5524" t="str">
        <f>HYPERLINK("Melting_Curves/meltCurve_Q9GZT6_2_CCDC90B.pdf", "Melting_Curves/meltCurve_Q9GZT6_2_CCDC90B.pdf")</f>
        <v>Melting_Curves/meltCurve_Q9GZT6_2_CCDC90B.pdf</v>
      </c>
    </row>
    <row r="5525" spans="1:28" x14ac:dyDescent="0.25">
      <c r="A5525" t="s">
        <v>5529</v>
      </c>
      <c r="B5525">
        <v>0.99472303558308395</v>
      </c>
      <c r="C5525">
        <v>0.92051503437137705</v>
      </c>
      <c r="D5525">
        <v>0.85664873966931798</v>
      </c>
      <c r="E5525">
        <v>0.76391829021092095</v>
      </c>
      <c r="F5525">
        <v>0.83231958587742905</v>
      </c>
      <c r="G5525">
        <v>0.54003169262709005</v>
      </c>
      <c r="H5525">
        <v>0.39017641853060098</v>
      </c>
      <c r="I5525">
        <v>0.34266366101546297</v>
      </c>
      <c r="J5525">
        <v>0.47730910103391599</v>
      </c>
      <c r="K5525">
        <v>0.44304624996603098</v>
      </c>
      <c r="L5525">
        <v>528.17432142610801</v>
      </c>
      <c r="M5525">
        <v>10.499150886857899</v>
      </c>
      <c r="N5525">
        <v>56.6131098697578</v>
      </c>
      <c r="O5525">
        <v>48.584147078733302</v>
      </c>
      <c r="P5525">
        <v>-3.54142313541779E-2</v>
      </c>
      <c r="Q5525">
        <v>0.34475599919546401</v>
      </c>
      <c r="R5525">
        <v>0.89396336805152299</v>
      </c>
      <c r="S5525" t="s">
        <v>12093</v>
      </c>
      <c r="T5525" t="s">
        <v>13134</v>
      </c>
      <c r="U5525" t="s">
        <v>13134</v>
      </c>
      <c r="V5525" t="s">
        <v>13134</v>
      </c>
      <c r="W5525" t="s">
        <v>18593</v>
      </c>
      <c r="X5525">
        <v>7</v>
      </c>
      <c r="Y5525" t="s">
        <v>24956</v>
      </c>
      <c r="Z5525" t="s">
        <v>31493</v>
      </c>
      <c r="AA5525">
        <v>0.65600952243286537</v>
      </c>
      <c r="AB5525" t="str">
        <f>HYPERLINK("Melting_Curves/meltCurve_Q9GZT8_2_NIF3L1.pdf", "Melting_Curves/meltCurve_Q9GZT8_2_NIF3L1.pdf")</f>
        <v>Melting_Curves/meltCurve_Q9GZT8_2_NIF3L1.pdf</v>
      </c>
    </row>
    <row r="5526" spans="1:28" x14ac:dyDescent="0.25">
      <c r="A5526" t="s">
        <v>5530</v>
      </c>
      <c r="B5526">
        <v>0.99472303558308395</v>
      </c>
      <c r="C5526">
        <v>1.0397711639337399</v>
      </c>
      <c r="D5526">
        <v>0.91452428840690203</v>
      </c>
      <c r="E5526">
        <v>0.62654647921592199</v>
      </c>
      <c r="F5526">
        <v>0.30196498491042101</v>
      </c>
      <c r="G5526">
        <v>0.18970237403189499</v>
      </c>
      <c r="H5526">
        <v>0.11841548926223899</v>
      </c>
      <c r="I5526">
        <v>0.10515119902661001</v>
      </c>
      <c r="J5526">
        <v>0.12703293547181399</v>
      </c>
      <c r="K5526">
        <v>9.4320900757198803E-2</v>
      </c>
      <c r="L5526">
        <v>1058.4180666520399</v>
      </c>
      <c r="M5526">
        <v>22.3569762177735</v>
      </c>
      <c r="N5526">
        <v>47.868983288196297</v>
      </c>
      <c r="O5526">
        <v>46.967854893274399</v>
      </c>
      <c r="P5526">
        <v>-0.106016624150903</v>
      </c>
      <c r="Q5526">
        <v>0.109133735573607</v>
      </c>
      <c r="R5526">
        <v>0.99714185919488096</v>
      </c>
      <c r="S5526" t="s">
        <v>12094</v>
      </c>
      <c r="T5526" t="s">
        <v>13134</v>
      </c>
      <c r="U5526" t="s">
        <v>13134</v>
      </c>
      <c r="V5526" t="s">
        <v>13134</v>
      </c>
      <c r="W5526" t="s">
        <v>18594</v>
      </c>
      <c r="X5526">
        <v>11</v>
      </c>
      <c r="Y5526" t="s">
        <v>24957</v>
      </c>
      <c r="Z5526" t="s">
        <v>31494</v>
      </c>
      <c r="AA5526">
        <v>0.42562699607244442</v>
      </c>
      <c r="AB5526" t="str">
        <f>HYPERLINK("Melting_Curves/meltCurve_Q9GZT9_EGLN1.pdf", "Melting_Curves/meltCurve_Q9GZT9_EGLN1.pdf")</f>
        <v>Melting_Curves/meltCurve_Q9GZT9_EGLN1.pdf</v>
      </c>
    </row>
    <row r="5527" spans="1:28" x14ac:dyDescent="0.25">
      <c r="A5527" t="s">
        <v>5531</v>
      </c>
      <c r="B5527">
        <v>0.99472303558308395</v>
      </c>
      <c r="C5527">
        <v>0.99591408370479495</v>
      </c>
      <c r="D5527">
        <v>0.91541560636073205</v>
      </c>
      <c r="E5527">
        <v>0.85997766283362898</v>
      </c>
      <c r="F5527">
        <v>0.738519107949274</v>
      </c>
      <c r="G5527">
        <v>0.58076339633567098</v>
      </c>
      <c r="H5527">
        <v>0.46466928998702001</v>
      </c>
      <c r="I5527">
        <v>0.506888273708332</v>
      </c>
      <c r="J5527">
        <v>0.70930992741281396</v>
      </c>
      <c r="K5527">
        <v>0.63910273216471802</v>
      </c>
      <c r="L5527">
        <v>1053.07512493793</v>
      </c>
      <c r="M5527">
        <v>21.921457764577099</v>
      </c>
      <c r="O5527">
        <v>47.644126660336902</v>
      </c>
      <c r="P5527">
        <v>-4.8764544767793197E-2</v>
      </c>
      <c r="Q5527">
        <v>0.576069666307926</v>
      </c>
      <c r="R5527">
        <v>0.86096768057581097</v>
      </c>
      <c r="S5527" t="s">
        <v>12095</v>
      </c>
      <c r="T5527" t="s">
        <v>13134</v>
      </c>
      <c r="U5527" t="s">
        <v>13134</v>
      </c>
      <c r="V5527" t="s">
        <v>13134</v>
      </c>
      <c r="W5527" t="s">
        <v>18595</v>
      </c>
      <c r="X5527">
        <v>22</v>
      </c>
      <c r="Y5527" t="s">
        <v>24958</v>
      </c>
      <c r="Z5527" t="s">
        <v>31495</v>
      </c>
      <c r="AA5527">
        <v>0.73673008411532814</v>
      </c>
      <c r="AB5527" t="str">
        <f>HYPERLINK("Melting_Curves/meltCurve_Q9GZU8_FAM192A.pdf", "Melting_Curves/meltCurve_Q9GZU8_FAM192A.pdf")</f>
        <v>Melting_Curves/meltCurve_Q9GZU8_FAM192A.pdf</v>
      </c>
    </row>
    <row r="5528" spans="1:28" x14ac:dyDescent="0.25">
      <c r="A5528" t="s">
        <v>5532</v>
      </c>
      <c r="B5528">
        <v>0.99472303558308395</v>
      </c>
      <c r="C5528">
        <v>0.747448206548882</v>
      </c>
      <c r="D5528">
        <v>1.0996331189342099</v>
      </c>
      <c r="E5528">
        <v>0.80268776887924198</v>
      </c>
      <c r="F5528">
        <v>0.35988544179618498</v>
      </c>
      <c r="G5528">
        <v>0.38699959246525301</v>
      </c>
      <c r="H5528">
        <v>0.32636945452635802</v>
      </c>
      <c r="I5528">
        <v>0.36423859430879701</v>
      </c>
      <c r="J5528">
        <v>0.54559940540685803</v>
      </c>
      <c r="K5528">
        <v>0.359572543910744</v>
      </c>
      <c r="L5528">
        <v>11684.3361382822</v>
      </c>
      <c r="M5528">
        <v>250</v>
      </c>
      <c r="N5528">
        <v>47.022896003866698</v>
      </c>
      <c r="O5528">
        <v>46.734353731560702</v>
      </c>
      <c r="P5528">
        <v>-0.81518704035839895</v>
      </c>
      <c r="Q5528">
        <v>0.39044416945334798</v>
      </c>
      <c r="R5528">
        <v>0.86294785520606598</v>
      </c>
      <c r="S5528" t="s">
        <v>12096</v>
      </c>
      <c r="T5528" t="s">
        <v>13134</v>
      </c>
      <c r="U5528" t="s">
        <v>13134</v>
      </c>
      <c r="V5528" t="s">
        <v>13134</v>
      </c>
      <c r="W5528" t="s">
        <v>18596</v>
      </c>
      <c r="X5528">
        <v>5</v>
      </c>
      <c r="Y5528" t="s">
        <v>24959</v>
      </c>
      <c r="Z5528" t="s">
        <v>31496</v>
      </c>
      <c r="AA5528">
        <v>0.58834267212164426</v>
      </c>
      <c r="AB5528" t="str">
        <f>HYPERLINK("Melting_Curves/meltCurve_Q9GZX9_TWSG1.pdf", "Melting_Curves/meltCurve_Q9GZX9_TWSG1.pdf")</f>
        <v>Melting_Curves/meltCurve_Q9GZX9_TWSG1.pdf</v>
      </c>
    </row>
    <row r="5529" spans="1:28" x14ac:dyDescent="0.25">
      <c r="A5529" t="s">
        <v>5533</v>
      </c>
      <c r="B5529">
        <v>0.99472303558308395</v>
      </c>
      <c r="C5529">
        <v>1.0796638264756799</v>
      </c>
      <c r="D5529">
        <v>0.98615644213600695</v>
      </c>
      <c r="E5529">
        <v>0.89083001970254605</v>
      </c>
      <c r="F5529">
        <v>0.567204923772062</v>
      </c>
      <c r="G5529">
        <v>0.40724419560070402</v>
      </c>
      <c r="H5529">
        <v>0.31346733830579798</v>
      </c>
      <c r="I5529">
        <v>0.25970578771851499</v>
      </c>
      <c r="J5529">
        <v>0.24532393522061399</v>
      </c>
      <c r="K5529">
        <v>0.183436859652711</v>
      </c>
      <c r="L5529">
        <v>1012.16085325531</v>
      </c>
      <c r="M5529">
        <v>20.183594913709399</v>
      </c>
      <c r="N5529">
        <v>51.705796279203902</v>
      </c>
      <c r="O5529">
        <v>49.663213242586203</v>
      </c>
      <c r="P5529">
        <v>-7.8455941593289405E-2</v>
      </c>
      <c r="Q5529">
        <v>0.22783788612174299</v>
      </c>
      <c r="R5529">
        <v>0.98803117039866395</v>
      </c>
      <c r="S5529" t="s">
        <v>12097</v>
      </c>
      <c r="T5529" t="s">
        <v>13134</v>
      </c>
      <c r="U5529" t="s">
        <v>13134</v>
      </c>
      <c r="V5529" t="s">
        <v>13134</v>
      </c>
      <c r="W5529" t="s">
        <v>18597</v>
      </c>
      <c r="X5529">
        <v>2</v>
      </c>
      <c r="Y5529" t="s">
        <v>24960</v>
      </c>
      <c r="Z5529" t="s">
        <v>31497</v>
      </c>
      <c r="AA5529">
        <v>0.57624640837567531</v>
      </c>
      <c r="AB5529" t="str">
        <f>HYPERLINK("Melting_Curves/meltCurve_Q9GZY4_COA1.pdf", "Melting_Curves/meltCurve_Q9GZY4_COA1.pdf")</f>
        <v>Melting_Curves/meltCurve_Q9GZY4_COA1.pdf</v>
      </c>
    </row>
    <row r="5530" spans="1:28" x14ac:dyDescent="0.25">
      <c r="A5530" t="s">
        <v>5534</v>
      </c>
      <c r="B5530">
        <v>0.99472303558308395</v>
      </c>
      <c r="C5530">
        <v>1.03021667374256</v>
      </c>
      <c r="D5530">
        <v>0.86796546534774999</v>
      </c>
      <c r="E5530">
        <v>0.73559251086785105</v>
      </c>
      <c r="F5530">
        <v>0.46078343482801498</v>
      </c>
      <c r="G5530">
        <v>0.23512974706381701</v>
      </c>
      <c r="H5530">
        <v>0.15918413629039699</v>
      </c>
      <c r="I5530">
        <v>0.142328391922285</v>
      </c>
      <c r="J5530">
        <v>0.161371655604545</v>
      </c>
      <c r="K5530">
        <v>0.14986466400306001</v>
      </c>
      <c r="L5530">
        <v>875.602346296007</v>
      </c>
      <c r="M5530">
        <v>18.029304445176098</v>
      </c>
      <c r="N5530">
        <v>49.386665227923103</v>
      </c>
      <c r="O5530">
        <v>47.979856169587798</v>
      </c>
      <c r="P5530">
        <v>-8.1779863420106E-2</v>
      </c>
      <c r="Q5530">
        <v>0.12950745649518</v>
      </c>
      <c r="R5530">
        <v>0.99405649763054404</v>
      </c>
      <c r="S5530" t="s">
        <v>12098</v>
      </c>
      <c r="T5530" t="s">
        <v>13134</v>
      </c>
      <c r="U5530" t="s">
        <v>13134</v>
      </c>
      <c r="V5530" t="s">
        <v>13134</v>
      </c>
      <c r="W5530" t="s">
        <v>18598</v>
      </c>
      <c r="X5530">
        <v>7</v>
      </c>
      <c r="Y5530" t="s">
        <v>24961</v>
      </c>
      <c r="Z5530" t="s">
        <v>31498</v>
      </c>
      <c r="AA5530">
        <v>0.47893339014269481</v>
      </c>
      <c r="AB5530" t="str">
        <f>HYPERLINK("Melting_Curves/meltCurve_Q9GZY8_2_MFF.pdf", "Melting_Curves/meltCurve_Q9GZY8_2_MFF.pdf")</f>
        <v>Melting_Curves/meltCurve_Q9GZY8_2_MFF.pdf</v>
      </c>
    </row>
    <row r="5531" spans="1:28" x14ac:dyDescent="0.25">
      <c r="A5531" t="s">
        <v>5535</v>
      </c>
      <c r="B5531">
        <v>0.99472303558308395</v>
      </c>
      <c r="C5531">
        <v>0.98286054830487302</v>
      </c>
      <c r="D5531">
        <v>1.0099985322816201</v>
      </c>
      <c r="E5531">
        <v>0.96800518001301405</v>
      </c>
      <c r="F5531">
        <v>0.77166102196735897</v>
      </c>
      <c r="G5531">
        <v>0.461725842558737</v>
      </c>
      <c r="H5531">
        <v>0.130232992475763</v>
      </c>
      <c r="I5531">
        <v>6.9376497529117204E-2</v>
      </c>
      <c r="J5531">
        <v>7.1369238774866506E-2</v>
      </c>
      <c r="K5531">
        <v>6.6595505497898694E-2</v>
      </c>
      <c r="L5531">
        <v>1285.84181870676</v>
      </c>
      <c r="M5531">
        <v>24.308534999440099</v>
      </c>
      <c r="N5531">
        <v>53.102491914368102</v>
      </c>
      <c r="O5531">
        <v>52.542651186506397</v>
      </c>
      <c r="P5531">
        <v>-0.110464023484612</v>
      </c>
      <c r="Q5531">
        <v>4.4947151793010801E-2</v>
      </c>
      <c r="R5531">
        <v>0.99741674555174398</v>
      </c>
      <c r="S5531" t="s">
        <v>12099</v>
      </c>
      <c r="T5531" t="s">
        <v>13134</v>
      </c>
      <c r="U5531" t="s">
        <v>13134</v>
      </c>
      <c r="V5531" t="s">
        <v>13134</v>
      </c>
      <c r="W5531" t="s">
        <v>18599</v>
      </c>
      <c r="X5531">
        <v>8</v>
      </c>
      <c r="Y5531" t="s">
        <v>24962</v>
      </c>
      <c r="Z5531" t="s">
        <v>31499</v>
      </c>
      <c r="AA5531">
        <v>0.55988182342141324</v>
      </c>
      <c r="AB5531" t="str">
        <f>HYPERLINK("Melting_Curves/meltCurve_Q9GZZ9_UBA5.pdf", "Melting_Curves/meltCurve_Q9GZZ9_UBA5.pdf")</f>
        <v>Melting_Curves/meltCurve_Q9GZZ9_UBA5.pdf</v>
      </c>
    </row>
    <row r="5532" spans="1:28" x14ac:dyDescent="0.25">
      <c r="A5532" t="s">
        <v>5536</v>
      </c>
      <c r="B5532">
        <v>0.99472303558308395</v>
      </c>
      <c r="C5532">
        <v>0.91311134263427796</v>
      </c>
      <c r="D5532">
        <v>0.78726172992326404</v>
      </c>
      <c r="E5532">
        <v>0.45132596348128001</v>
      </c>
      <c r="F5532">
        <v>0.25836759926276498</v>
      </c>
      <c r="G5532">
        <v>0.11317192462667799</v>
      </c>
      <c r="H5532">
        <v>7.9509271748225099E-2</v>
      </c>
      <c r="I5532">
        <v>4.2305582841087999E-2</v>
      </c>
      <c r="J5532">
        <v>5.8109042216978102E-2</v>
      </c>
      <c r="K5532">
        <v>3.4386219462835203E-2</v>
      </c>
      <c r="L5532">
        <v>745.60636008356698</v>
      </c>
      <c r="M5532">
        <v>16.184355169891301</v>
      </c>
      <c r="N5532">
        <v>46.281236784015398</v>
      </c>
      <c r="O5532">
        <v>45.383440032484003</v>
      </c>
      <c r="P5532">
        <v>-8.5979565639695901E-2</v>
      </c>
      <c r="Q5532">
        <v>3.5672189799432097E-2</v>
      </c>
      <c r="R5532">
        <v>0.99845973645580299</v>
      </c>
      <c r="S5532" t="s">
        <v>12100</v>
      </c>
      <c r="T5532" t="s">
        <v>13134</v>
      </c>
      <c r="U5532" t="s">
        <v>13134</v>
      </c>
      <c r="V5532" t="s">
        <v>13134</v>
      </c>
      <c r="W5532" t="s">
        <v>18600</v>
      </c>
      <c r="X5532">
        <v>3</v>
      </c>
      <c r="Y5532" t="s">
        <v>24963</v>
      </c>
      <c r="Z5532" t="s">
        <v>31500</v>
      </c>
      <c r="AA5532">
        <v>0.34640143314262878</v>
      </c>
      <c r="AB5532" t="str">
        <f>HYPERLINK("Melting_Curves/meltCurve_Q9H019_3_MTFR1L.pdf", "Melting_Curves/meltCurve_Q9H019_3_MTFR1L.pdf")</f>
        <v>Melting_Curves/meltCurve_Q9H019_3_MTFR1L.pdf</v>
      </c>
    </row>
    <row r="5533" spans="1:28" x14ac:dyDescent="0.25">
      <c r="A5533" t="s">
        <v>5537</v>
      </c>
      <c r="B5533">
        <v>0.99472303558308395</v>
      </c>
      <c r="C5533">
        <v>1.0505642409295599</v>
      </c>
      <c r="D5533">
        <v>0.763402406290553</v>
      </c>
      <c r="E5533">
        <v>0.68491394932910699</v>
      </c>
      <c r="F5533">
        <v>0.54458570731910705</v>
      </c>
      <c r="G5533">
        <v>0.36500169301886098</v>
      </c>
      <c r="H5533">
        <v>0.24815572229729199</v>
      </c>
      <c r="I5533">
        <v>0.24051198292918299</v>
      </c>
      <c r="J5533">
        <v>0.19024083737953401</v>
      </c>
      <c r="K5533">
        <v>0.12012868144319599</v>
      </c>
      <c r="L5533">
        <v>528.34039116113797</v>
      </c>
      <c r="M5533">
        <v>10.678688494523501</v>
      </c>
      <c r="N5533">
        <v>50.551077854835</v>
      </c>
      <c r="O5533">
        <v>47.835752225771202</v>
      </c>
      <c r="P5533">
        <v>-5.0159624156762998E-2</v>
      </c>
      <c r="Q5533">
        <v>0.101568937349212</v>
      </c>
      <c r="R5533">
        <v>0.97604118600606504</v>
      </c>
      <c r="S5533" t="s">
        <v>12101</v>
      </c>
      <c r="T5533" t="s">
        <v>13134</v>
      </c>
      <c r="U5533" t="s">
        <v>13134</v>
      </c>
      <c r="V5533" t="s">
        <v>13134</v>
      </c>
      <c r="W5533" t="s">
        <v>18601</v>
      </c>
      <c r="X5533">
        <v>3</v>
      </c>
      <c r="Y5533" t="s">
        <v>24964</v>
      </c>
      <c r="Z5533" t="s">
        <v>31501</v>
      </c>
      <c r="AA5533">
        <v>0.50503066688968612</v>
      </c>
      <c r="AB5533" t="str">
        <f>HYPERLINK("Melting_Curves/meltCurve_Q9H061_TMEM126A.pdf", "Melting_Curves/meltCurve_Q9H061_TMEM126A.pdf")</f>
        <v>Melting_Curves/meltCurve_Q9H061_TMEM126A.pdf</v>
      </c>
    </row>
    <row r="5534" spans="1:28" x14ac:dyDescent="0.25">
      <c r="A5534" t="s">
        <v>5538</v>
      </c>
      <c r="B5534">
        <v>0.99472303558308395</v>
      </c>
      <c r="C5534">
        <v>0.96325953658285801</v>
      </c>
      <c r="D5534">
        <v>0.90221598762852495</v>
      </c>
      <c r="E5534">
        <v>0.83862545700561397</v>
      </c>
      <c r="F5534">
        <v>0.48518093927044698</v>
      </c>
      <c r="G5534">
        <v>0.170248338832514</v>
      </c>
      <c r="H5534">
        <v>7.3350138858644803E-2</v>
      </c>
      <c r="I5534">
        <v>5.2415853030548999E-2</v>
      </c>
      <c r="J5534">
        <v>6.5224060065437503E-2</v>
      </c>
      <c r="K5534">
        <v>5.3713037456370703E-2</v>
      </c>
      <c r="L5534">
        <v>1118.7723380319301</v>
      </c>
      <c r="M5534">
        <v>22.494977068710899</v>
      </c>
      <c r="N5534">
        <v>49.928213630149003</v>
      </c>
      <c r="O5534">
        <v>49.346284892609503</v>
      </c>
      <c r="P5534">
        <v>-0.109200439575755</v>
      </c>
      <c r="Q5534">
        <v>4.1826002352900099E-2</v>
      </c>
      <c r="R5534">
        <v>0.99539904074137497</v>
      </c>
      <c r="S5534" t="s">
        <v>12102</v>
      </c>
      <c r="T5534" t="s">
        <v>13134</v>
      </c>
      <c r="U5534" t="s">
        <v>13134</v>
      </c>
      <c r="V5534" t="s">
        <v>13134</v>
      </c>
      <c r="W5534" t="s">
        <v>18602</v>
      </c>
      <c r="X5534">
        <v>11</v>
      </c>
      <c r="Y5534" t="s">
        <v>24965</v>
      </c>
      <c r="Z5534" t="s">
        <v>31502</v>
      </c>
      <c r="AA5534">
        <v>0.45874756660658689</v>
      </c>
      <c r="AB5534" t="str">
        <f>HYPERLINK("Melting_Curves/meltCurve_Q9H074_PAIP1.pdf", "Melting_Curves/meltCurve_Q9H074_PAIP1.pdf")</f>
        <v>Melting_Curves/meltCurve_Q9H074_PAIP1.pdf</v>
      </c>
    </row>
    <row r="5535" spans="1:28" x14ac:dyDescent="0.25">
      <c r="A5535" t="s">
        <v>5539</v>
      </c>
      <c r="B5535">
        <v>0.99472303558308395</v>
      </c>
      <c r="C5535">
        <v>1.0184779346438699</v>
      </c>
      <c r="D5535">
        <v>0.94309623613682703</v>
      </c>
      <c r="E5535">
        <v>0.83703800805824302</v>
      </c>
      <c r="F5535">
        <v>0.61880605988384896</v>
      </c>
      <c r="G5535">
        <v>0.40158218800864298</v>
      </c>
      <c r="H5535">
        <v>0.104359894642195</v>
      </c>
      <c r="I5535">
        <v>8.3326290433410194E-2</v>
      </c>
      <c r="J5535">
        <v>8.6436799397861502E-2</v>
      </c>
      <c r="K5535">
        <v>7.0900516732249605E-2</v>
      </c>
      <c r="L5535">
        <v>860.53297417611498</v>
      </c>
      <c r="M5535">
        <v>16.713257488739899</v>
      </c>
      <c r="N5535">
        <v>51.679876394508902</v>
      </c>
      <c r="O5535">
        <v>50.767866488353199</v>
      </c>
      <c r="P5535">
        <v>-7.9832260917589895E-2</v>
      </c>
      <c r="Q5535">
        <v>3.0076262138714699E-2</v>
      </c>
      <c r="R5535">
        <v>0.99291417434895601</v>
      </c>
      <c r="S5535" t="s">
        <v>12103</v>
      </c>
      <c r="T5535" t="s">
        <v>13134</v>
      </c>
      <c r="U5535" t="s">
        <v>13134</v>
      </c>
      <c r="V5535" t="s">
        <v>13134</v>
      </c>
      <c r="W5535" t="s">
        <v>18603</v>
      </c>
      <c r="X5535">
        <v>29</v>
      </c>
      <c r="Y5535" t="s">
        <v>24966</v>
      </c>
      <c r="Z5535" t="s">
        <v>31503</v>
      </c>
      <c r="AA5535">
        <v>0.51504355949692371</v>
      </c>
      <c r="AB5535" t="str">
        <f>HYPERLINK("Melting_Curves/meltCurve_Q9H078_2_CLPB.pdf", "Melting_Curves/meltCurve_Q9H078_2_CLPB.pdf")</f>
        <v>Melting_Curves/meltCurve_Q9H078_2_CLPB.pdf</v>
      </c>
    </row>
    <row r="5536" spans="1:28" x14ac:dyDescent="0.25">
      <c r="A5536" t="s">
        <v>5540</v>
      </c>
      <c r="B5536">
        <v>0.99472303558308395</v>
      </c>
      <c r="C5536">
        <v>1.13372410181443</v>
      </c>
      <c r="D5536">
        <v>0.96125485187451998</v>
      </c>
      <c r="E5536">
        <v>0.96244327829913801</v>
      </c>
      <c r="F5536">
        <v>0.61559794480670704</v>
      </c>
      <c r="G5536">
        <v>0.28563871603335</v>
      </c>
      <c r="H5536">
        <v>0.19133106455912099</v>
      </c>
      <c r="I5536">
        <v>0.13921670048043</v>
      </c>
      <c r="J5536">
        <v>0.114354544477968</v>
      </c>
      <c r="K5536">
        <v>0.111250765358568</v>
      </c>
      <c r="L5536">
        <v>1378.9738477752501</v>
      </c>
      <c r="M5536">
        <v>27.153509895294899</v>
      </c>
      <c r="N5536">
        <v>51.332357850258099</v>
      </c>
      <c r="O5536">
        <v>50.5113228661722</v>
      </c>
      <c r="P5536">
        <v>-0.117484900632737</v>
      </c>
      <c r="Q5536">
        <v>0.12582051394414301</v>
      </c>
      <c r="R5536">
        <v>0.98667581494584999</v>
      </c>
      <c r="S5536" t="s">
        <v>12104</v>
      </c>
      <c r="T5536" t="s">
        <v>13134</v>
      </c>
      <c r="U5536" t="s">
        <v>13134</v>
      </c>
      <c r="V5536" t="s">
        <v>13134</v>
      </c>
      <c r="W5536" t="s">
        <v>18604</v>
      </c>
      <c r="X5536">
        <v>4</v>
      </c>
      <c r="Y5536" t="s">
        <v>24967</v>
      </c>
      <c r="Z5536" t="s">
        <v>31504</v>
      </c>
      <c r="AA5536">
        <v>0.53407314830651476</v>
      </c>
      <c r="AB5536" t="str">
        <f>HYPERLINK("Melting_Curves/meltCurve_Q9H081_MIS12.pdf", "Melting_Curves/meltCurve_Q9H081_MIS12.pdf")</f>
        <v>Melting_Curves/meltCurve_Q9H081_MIS12.pdf</v>
      </c>
    </row>
    <row r="5537" spans="1:28" x14ac:dyDescent="0.25">
      <c r="A5537" t="s">
        <v>5541</v>
      </c>
      <c r="B5537">
        <v>0.99472303558308395</v>
      </c>
      <c r="C5537">
        <v>1.0956378881537601</v>
      </c>
      <c r="D5537">
        <v>0.97855578012525801</v>
      </c>
      <c r="E5537">
        <v>0.94317388508158795</v>
      </c>
      <c r="F5537">
        <v>0.76158735527117005</v>
      </c>
      <c r="G5537">
        <v>0.59049098433142799</v>
      </c>
      <c r="H5537">
        <v>0.384957831696004</v>
      </c>
      <c r="I5537">
        <v>0.29729793228113399</v>
      </c>
      <c r="J5537">
        <v>0.18189053792634799</v>
      </c>
      <c r="K5537">
        <v>0.129920482817073</v>
      </c>
      <c r="L5537">
        <v>735.26572686520103</v>
      </c>
      <c r="M5537">
        <v>13.4367331845464</v>
      </c>
      <c r="N5537">
        <v>55.3782338355471</v>
      </c>
      <c r="O5537">
        <v>53.551179498120298</v>
      </c>
      <c r="P5537">
        <v>-5.8111605465504201E-2</v>
      </c>
      <c r="Q5537">
        <v>7.3744587073281798E-2</v>
      </c>
      <c r="R5537">
        <v>0.98882269761261299</v>
      </c>
      <c r="S5537" t="s">
        <v>12105</v>
      </c>
      <c r="T5537" t="s">
        <v>13134</v>
      </c>
      <c r="U5537" t="s">
        <v>13134</v>
      </c>
      <c r="V5537" t="s">
        <v>13134</v>
      </c>
      <c r="W5537" t="s">
        <v>18605</v>
      </c>
      <c r="X5537">
        <v>3</v>
      </c>
      <c r="Y5537" t="s">
        <v>24968</v>
      </c>
      <c r="Z5537" t="s">
        <v>31505</v>
      </c>
      <c r="AA5537">
        <v>0.63503999479831241</v>
      </c>
      <c r="AB5537" t="str">
        <f>HYPERLINK("Melting_Curves/meltCurve_Q9H082_RAB33B.pdf", "Melting_Curves/meltCurve_Q9H082_RAB33B.pdf")</f>
        <v>Melting_Curves/meltCurve_Q9H082_RAB33B.pdf</v>
      </c>
    </row>
    <row r="5538" spans="1:28" x14ac:dyDescent="0.25">
      <c r="A5538" t="s">
        <v>5542</v>
      </c>
      <c r="B5538">
        <v>0.99472303558308395</v>
      </c>
      <c r="C5538">
        <v>1.0306291242309</v>
      </c>
      <c r="D5538">
        <v>0.900230826609833</v>
      </c>
      <c r="E5538">
        <v>0.63740362955679397</v>
      </c>
      <c r="F5538">
        <v>0.28827461024343598</v>
      </c>
      <c r="G5538">
        <v>0.14544906800717999</v>
      </c>
      <c r="H5538">
        <v>9.0651987210920798E-2</v>
      </c>
      <c r="I5538">
        <v>6.2829695077491393E-2</v>
      </c>
      <c r="J5538">
        <v>5.8035595428511798E-2</v>
      </c>
      <c r="K5538">
        <v>6.03338742894272E-2</v>
      </c>
      <c r="L5538">
        <v>1011.34920076482</v>
      </c>
      <c r="M5538">
        <v>21.247071465122101</v>
      </c>
      <c r="N5538">
        <v>47.8859502721658</v>
      </c>
      <c r="O5538">
        <v>47.183829248964699</v>
      </c>
      <c r="P5538">
        <v>-0.105859787455775</v>
      </c>
      <c r="Q5538">
        <v>5.9683656031782897E-2</v>
      </c>
      <c r="R5538">
        <v>0.998384393284935</v>
      </c>
      <c r="S5538" t="s">
        <v>12106</v>
      </c>
      <c r="T5538" t="s">
        <v>13134</v>
      </c>
      <c r="U5538" t="s">
        <v>13134</v>
      </c>
      <c r="V5538" t="s">
        <v>13134</v>
      </c>
      <c r="W5538" t="s">
        <v>18606</v>
      </c>
      <c r="X5538">
        <v>17</v>
      </c>
      <c r="Y5538" t="s">
        <v>24969</v>
      </c>
      <c r="Z5538" t="s">
        <v>31506</v>
      </c>
      <c r="AA5538">
        <v>0.40288794597301542</v>
      </c>
      <c r="AB5538" t="str">
        <f>HYPERLINK("Melting_Curves/meltCurve_Q9H089_LSG1.pdf", "Melting_Curves/meltCurve_Q9H089_LSG1.pdf")</f>
        <v>Melting_Curves/meltCurve_Q9H089_LSG1.pdf</v>
      </c>
    </row>
    <row r="5539" spans="1:28" x14ac:dyDescent="0.25">
      <c r="A5539" t="s">
        <v>5543</v>
      </c>
      <c r="B5539">
        <v>0.99472303558308395</v>
      </c>
      <c r="C5539">
        <v>0.92851335386462297</v>
      </c>
      <c r="D5539">
        <v>0.840383443950941</v>
      </c>
      <c r="E5539">
        <v>0.63749327844161496</v>
      </c>
      <c r="F5539">
        <v>0.205825694903253</v>
      </c>
      <c r="G5539">
        <v>9.5838771039292503E-2</v>
      </c>
      <c r="H5539">
        <v>5.38973016964676E-2</v>
      </c>
      <c r="I5539">
        <v>4.0249856192797702E-2</v>
      </c>
      <c r="J5539">
        <v>4.0893278159144897E-2</v>
      </c>
      <c r="K5539">
        <v>3.5009564044450603E-2</v>
      </c>
      <c r="L5539">
        <v>967.32382137924003</v>
      </c>
      <c r="M5539">
        <v>20.479271264933299</v>
      </c>
      <c r="N5539">
        <v>47.362114022224098</v>
      </c>
      <c r="O5539">
        <v>46.790827440434697</v>
      </c>
      <c r="P5539">
        <v>-0.10648060040254199</v>
      </c>
      <c r="Q5539">
        <v>2.6885726337856401E-2</v>
      </c>
      <c r="R5539">
        <v>0.99352059495988798</v>
      </c>
      <c r="S5539" t="s">
        <v>12107</v>
      </c>
      <c r="T5539" t="s">
        <v>13134</v>
      </c>
      <c r="U5539" t="s">
        <v>13134</v>
      </c>
      <c r="V5539" t="s">
        <v>13134</v>
      </c>
      <c r="W5539" t="s">
        <v>18607</v>
      </c>
      <c r="X5539">
        <v>30</v>
      </c>
      <c r="Y5539" t="s">
        <v>24970</v>
      </c>
      <c r="Z5539" t="s">
        <v>31507</v>
      </c>
      <c r="AA5539">
        <v>0.37103187382273001</v>
      </c>
      <c r="AB5539" t="str">
        <f>HYPERLINK("Melting_Curves/meltCurve_Q9H0B6_KLC2.pdf", "Melting_Curves/meltCurve_Q9H0B6_KLC2.pdf")</f>
        <v>Melting_Curves/meltCurve_Q9H0B6_KLC2.pdf</v>
      </c>
    </row>
    <row r="5540" spans="1:28" x14ac:dyDescent="0.25">
      <c r="A5540" t="s">
        <v>5544</v>
      </c>
      <c r="B5540">
        <v>0.99472303558308395</v>
      </c>
      <c r="C5540">
        <v>0.91840293355713098</v>
      </c>
      <c r="D5540">
        <v>1.0217173920190901</v>
      </c>
      <c r="E5540">
        <v>0.77099596107950397</v>
      </c>
      <c r="F5540">
        <v>0.28588120762980701</v>
      </c>
      <c r="G5540">
        <v>0.125004952153982</v>
      </c>
      <c r="H5540">
        <v>7.7884019001421001E-2</v>
      </c>
      <c r="I5540">
        <v>5.6977204025911797E-2</v>
      </c>
      <c r="J5540">
        <v>6.92231908919414E-2</v>
      </c>
      <c r="K5540">
        <v>5.4101842345531101E-2</v>
      </c>
      <c r="L5540">
        <v>1495.6235300664</v>
      </c>
      <c r="M5540">
        <v>30.946514619117799</v>
      </c>
      <c r="N5540">
        <v>48.5522615023066</v>
      </c>
      <c r="O5540">
        <v>48.128839989296502</v>
      </c>
      <c r="P5540">
        <v>-0.15010168370858101</v>
      </c>
      <c r="Q5540">
        <v>6.6236902514534096E-2</v>
      </c>
      <c r="R5540">
        <v>0.99465900438082899</v>
      </c>
      <c r="S5540" t="s">
        <v>12108</v>
      </c>
      <c r="T5540" t="s">
        <v>13134</v>
      </c>
      <c r="U5540" t="s">
        <v>13134</v>
      </c>
      <c r="V5540" t="s">
        <v>13134</v>
      </c>
      <c r="W5540" t="s">
        <v>18608</v>
      </c>
      <c r="X5540">
        <v>16</v>
      </c>
      <c r="Y5540" t="s">
        <v>24971</v>
      </c>
      <c r="Z5540" t="s">
        <v>31508</v>
      </c>
      <c r="AA5540">
        <v>0.42409464156444848</v>
      </c>
      <c r="AB5540" t="str">
        <f>HYPERLINK("Melting_Curves/meltCurve_Q9H0C8_ILKAP.pdf", "Melting_Curves/meltCurve_Q9H0C8_ILKAP.pdf")</f>
        <v>Melting_Curves/meltCurve_Q9H0C8_ILKAP.pdf</v>
      </c>
    </row>
    <row r="5541" spans="1:28" x14ac:dyDescent="0.25">
      <c r="A5541" t="s">
        <v>5545</v>
      </c>
      <c r="B5541">
        <v>0.99472303558308395</v>
      </c>
      <c r="C5541">
        <v>0.80470491901394403</v>
      </c>
      <c r="D5541">
        <v>0.73398230920880003</v>
      </c>
      <c r="E5541">
        <v>0.54717448950356895</v>
      </c>
      <c r="F5541">
        <v>0.51012608608049403</v>
      </c>
      <c r="G5541">
        <v>0.29258280564940398</v>
      </c>
      <c r="H5541">
        <v>0.242138780121402</v>
      </c>
      <c r="I5541">
        <v>0.232658982901186</v>
      </c>
      <c r="J5541">
        <v>0.23625882903761999</v>
      </c>
      <c r="K5541">
        <v>0.21382364709069901</v>
      </c>
      <c r="L5541">
        <v>453.210251321756</v>
      </c>
      <c r="M5541">
        <v>9.7933498855219803</v>
      </c>
      <c r="N5541">
        <v>48.263826903540803</v>
      </c>
      <c r="O5541">
        <v>44.47156757834</v>
      </c>
      <c r="P5541">
        <v>-4.5946304494952399E-2</v>
      </c>
      <c r="Q5541">
        <v>0.16587135886743601</v>
      </c>
      <c r="R5541">
        <v>0.97734083173211606</v>
      </c>
      <c r="S5541" t="s">
        <v>12109</v>
      </c>
      <c r="T5541" t="s">
        <v>13134</v>
      </c>
      <c r="U5541" t="s">
        <v>13134</v>
      </c>
      <c r="V5541" t="s">
        <v>13134</v>
      </c>
      <c r="W5541" t="s">
        <v>18609</v>
      </c>
      <c r="X5541">
        <v>16</v>
      </c>
      <c r="Y5541" t="s">
        <v>24972</v>
      </c>
      <c r="Z5541" t="s">
        <v>31509</v>
      </c>
      <c r="AA5541">
        <v>0.46284165278136102</v>
      </c>
      <c r="AB5541" t="str">
        <f>HYPERLINK("Melting_Curves/meltCurve_Q9H0D6_XRN2.pdf", "Melting_Curves/meltCurve_Q9H0D6_XRN2.pdf")</f>
        <v>Melting_Curves/meltCurve_Q9H0D6_XRN2.pdf</v>
      </c>
    </row>
    <row r="5542" spans="1:28" x14ac:dyDescent="0.25">
      <c r="A5542" t="s">
        <v>5546</v>
      </c>
      <c r="B5542">
        <v>0.99472303558308395</v>
      </c>
      <c r="C5542">
        <v>0.90139630898407996</v>
      </c>
      <c r="D5542">
        <v>0.99576225905650895</v>
      </c>
      <c r="E5542">
        <v>0.88197451413838501</v>
      </c>
      <c r="F5542">
        <v>0.58010677056206095</v>
      </c>
      <c r="G5542">
        <v>0.23195584006809</v>
      </c>
      <c r="H5542">
        <v>7.6359116812563493E-2</v>
      </c>
      <c r="I5542">
        <v>5.4687698721391197E-2</v>
      </c>
      <c r="J5542">
        <v>5.6684153515056297E-2</v>
      </c>
      <c r="K5542">
        <v>5.89206010199365E-2</v>
      </c>
      <c r="L5542">
        <v>1218.28630984968</v>
      </c>
      <c r="M5542">
        <v>24.0584977181616</v>
      </c>
      <c r="N5542">
        <v>50.830322149224202</v>
      </c>
      <c r="O5542">
        <v>50.292549885920998</v>
      </c>
      <c r="P5542">
        <v>-0.114404824872309</v>
      </c>
      <c r="Q5542">
        <v>4.3395250105074903E-2</v>
      </c>
      <c r="R5542">
        <v>0.99366270832898296</v>
      </c>
      <c r="S5542" t="s">
        <v>12110</v>
      </c>
      <c r="T5542" t="s">
        <v>13134</v>
      </c>
      <c r="U5542" t="s">
        <v>13134</v>
      </c>
      <c r="V5542" t="s">
        <v>13134</v>
      </c>
      <c r="W5542" t="s">
        <v>18610</v>
      </c>
      <c r="X5542">
        <v>7</v>
      </c>
      <c r="Y5542" t="s">
        <v>24973</v>
      </c>
      <c r="Z5542" t="s">
        <v>31510</v>
      </c>
      <c r="AA5542">
        <v>0.48732492100830682</v>
      </c>
      <c r="AB5542" t="str">
        <f>HYPERLINK("Melting_Curves/meltCurve_Q9H0E2_TOLLIP.pdf", "Melting_Curves/meltCurve_Q9H0E2_TOLLIP.pdf")</f>
        <v>Melting_Curves/meltCurve_Q9H0E2_TOLLIP.pdf</v>
      </c>
    </row>
    <row r="5543" spans="1:28" x14ac:dyDescent="0.25">
      <c r="A5543" t="s">
        <v>5547</v>
      </c>
      <c r="B5543">
        <v>0.99472303558308395</v>
      </c>
      <c r="C5543">
        <v>0.996672340204102</v>
      </c>
      <c r="D5543">
        <v>0.79801829808108005</v>
      </c>
      <c r="E5543">
        <v>0.54524468092785705</v>
      </c>
      <c r="F5543">
        <v>0.32448719682649901</v>
      </c>
      <c r="G5543">
        <v>0.18105621208535</v>
      </c>
      <c r="H5543">
        <v>9.8998511935658007E-2</v>
      </c>
      <c r="I5543">
        <v>5.4260198461099397E-2</v>
      </c>
      <c r="J5543">
        <v>7.6863725131212202E-2</v>
      </c>
      <c r="K5543">
        <v>6.29172608417293E-2</v>
      </c>
      <c r="L5543">
        <v>729.99532283994699</v>
      </c>
      <c r="M5543">
        <v>15.525891936748099</v>
      </c>
      <c r="N5543">
        <v>47.346780212691598</v>
      </c>
      <c r="O5543">
        <v>46.258636335085299</v>
      </c>
      <c r="P5543">
        <v>-7.9626355827653705E-2</v>
      </c>
      <c r="Q5543">
        <v>5.1112405733226597E-2</v>
      </c>
      <c r="R5543">
        <v>0.99665348474314697</v>
      </c>
      <c r="S5543" t="s">
        <v>12111</v>
      </c>
      <c r="T5543" t="s">
        <v>13134</v>
      </c>
      <c r="U5543" t="s">
        <v>13134</v>
      </c>
      <c r="V5543" t="s">
        <v>13134</v>
      </c>
      <c r="W5543" t="s">
        <v>18611</v>
      </c>
      <c r="X5543">
        <v>15</v>
      </c>
      <c r="Y5543" t="s">
        <v>24974</v>
      </c>
      <c r="Z5543" t="s">
        <v>31511</v>
      </c>
      <c r="AA5543">
        <v>0.38804251676636942</v>
      </c>
      <c r="AB5543" t="str">
        <f>HYPERLINK("Melting_Curves/meltCurve_Q9H0E9_2_BRD8.pdf", "Melting_Curves/meltCurve_Q9H0E9_2_BRD8.pdf")</f>
        <v>Melting_Curves/meltCurve_Q9H0E9_2_BRD8.pdf</v>
      </c>
    </row>
    <row r="5544" spans="1:28" x14ac:dyDescent="0.25">
      <c r="A5544" t="s">
        <v>5548</v>
      </c>
      <c r="B5544">
        <v>0.99472303558308395</v>
      </c>
      <c r="C5544">
        <v>0.849175588821939</v>
      </c>
      <c r="D5544">
        <v>0.72419783830868101</v>
      </c>
      <c r="E5544">
        <v>0.440214514156542</v>
      </c>
      <c r="F5544">
        <v>0.24461409808092199</v>
      </c>
      <c r="G5544">
        <v>0.15166223138906401</v>
      </c>
      <c r="H5544">
        <v>8.7161685611405998E-2</v>
      </c>
      <c r="I5544">
        <v>7.7152010956569705E-2</v>
      </c>
      <c r="J5544">
        <v>8.83864181012394E-2</v>
      </c>
      <c r="K5544">
        <v>4.9110068178138802E-2</v>
      </c>
      <c r="L5544">
        <v>644.58638895390902</v>
      </c>
      <c r="M5544">
        <v>14.186653088178</v>
      </c>
      <c r="N5544">
        <v>45.791938118115802</v>
      </c>
      <c r="O5544">
        <v>44.5619007065212</v>
      </c>
      <c r="P5544">
        <v>-7.5445369080209296E-2</v>
      </c>
      <c r="Q5544">
        <v>5.2188931496044297E-2</v>
      </c>
      <c r="R5544">
        <v>0.99721006241034005</v>
      </c>
      <c r="S5544" t="s">
        <v>12112</v>
      </c>
      <c r="T5544" t="s">
        <v>13134</v>
      </c>
      <c r="U5544" t="s">
        <v>13134</v>
      </c>
      <c r="V5544" t="s">
        <v>13134</v>
      </c>
      <c r="W5544" t="s">
        <v>18612</v>
      </c>
      <c r="X5544">
        <v>4</v>
      </c>
      <c r="Y5544" t="s">
        <v>24975</v>
      </c>
      <c r="Z5544" t="s">
        <v>31512</v>
      </c>
      <c r="AA5544">
        <v>0.34345970784505681</v>
      </c>
      <c r="AB5544" t="str">
        <f>HYPERLINK("Melting_Curves/meltCurve_Q9H0F6_2_SHARPIN.pdf", "Melting_Curves/meltCurve_Q9H0F6_2_SHARPIN.pdf")</f>
        <v>Melting_Curves/meltCurve_Q9H0F6_2_SHARPIN.pdf</v>
      </c>
    </row>
    <row r="5545" spans="1:28" x14ac:dyDescent="0.25">
      <c r="A5545" t="s">
        <v>5549</v>
      </c>
      <c r="B5545">
        <v>0.99472303558308395</v>
      </c>
      <c r="C5545">
        <v>0.92342834635954296</v>
      </c>
      <c r="D5545">
        <v>0.98425087001254496</v>
      </c>
      <c r="E5545">
        <v>0.82371844680487105</v>
      </c>
      <c r="F5545">
        <v>0.57492195618548203</v>
      </c>
      <c r="G5545">
        <v>0.46675854053802601</v>
      </c>
      <c r="H5545">
        <v>0.46399582597727301</v>
      </c>
      <c r="I5545">
        <v>0.45364019697976399</v>
      </c>
      <c r="J5545">
        <v>0.66829167169494397</v>
      </c>
      <c r="K5545">
        <v>0.47885915592935102</v>
      </c>
      <c r="L5545">
        <v>1698.6376052790499</v>
      </c>
      <c r="M5545">
        <v>35.856669047502798</v>
      </c>
      <c r="O5545">
        <v>47.2263678824471</v>
      </c>
      <c r="P5545">
        <v>-9.3647997560992693E-2</v>
      </c>
      <c r="Q5545">
        <v>0.50663121082393003</v>
      </c>
      <c r="R5545">
        <v>0.91487018421911404</v>
      </c>
      <c r="S5545" t="s">
        <v>12113</v>
      </c>
      <c r="T5545" t="s">
        <v>13134</v>
      </c>
      <c r="U5545" t="s">
        <v>13134</v>
      </c>
      <c r="V5545" t="s">
        <v>13134</v>
      </c>
      <c r="W5545" t="s">
        <v>18613</v>
      </c>
      <c r="X5545">
        <v>16</v>
      </c>
      <c r="Y5545" t="s">
        <v>24976</v>
      </c>
      <c r="Z5545" t="s">
        <v>31513</v>
      </c>
      <c r="AA5545">
        <v>0.679236253144752</v>
      </c>
      <c r="AB5545" t="str">
        <f>HYPERLINK("Melting_Curves/meltCurve_Q9H0G5_NSRP1.pdf", "Melting_Curves/meltCurve_Q9H0G5_NSRP1.pdf")</f>
        <v>Melting_Curves/meltCurve_Q9H0G5_NSRP1.pdf</v>
      </c>
    </row>
    <row r="5546" spans="1:28" x14ac:dyDescent="0.25">
      <c r="A5546" t="s">
        <v>5550</v>
      </c>
      <c r="B5546">
        <v>0.99472303558308395</v>
      </c>
      <c r="C5546">
        <v>0.84125634497637403</v>
      </c>
      <c r="D5546">
        <v>0.58167020019493798</v>
      </c>
      <c r="E5546">
        <v>0.33911403299430098</v>
      </c>
      <c r="F5546">
        <v>0.14486551077474399</v>
      </c>
      <c r="G5546">
        <v>9.0347054014712602E-2</v>
      </c>
      <c r="H5546">
        <v>5.91426274951177E-2</v>
      </c>
      <c r="I5546">
        <v>5.75867620838953E-2</v>
      </c>
      <c r="J5546">
        <v>6.94781046572788E-2</v>
      </c>
      <c r="K5546">
        <v>5.9606555803219503E-2</v>
      </c>
      <c r="L5546">
        <v>727.03760922397805</v>
      </c>
      <c r="M5546">
        <v>16.582229803672</v>
      </c>
      <c r="N5546">
        <v>44.138913519053801</v>
      </c>
      <c r="O5546">
        <v>43.2215960294929</v>
      </c>
      <c r="P5546">
        <v>-9.08966550947546E-2</v>
      </c>
      <c r="Q5546">
        <v>5.2375215147013002E-2</v>
      </c>
      <c r="R5546">
        <v>0.99732141212060299</v>
      </c>
      <c r="S5546" t="s">
        <v>12114</v>
      </c>
      <c r="T5546" t="s">
        <v>13134</v>
      </c>
      <c r="U5546" t="s">
        <v>13134</v>
      </c>
      <c r="V5546" t="s">
        <v>13134</v>
      </c>
      <c r="W5546" t="s">
        <v>18614</v>
      </c>
      <c r="X5546">
        <v>8</v>
      </c>
      <c r="Y5546" t="s">
        <v>24977</v>
      </c>
      <c r="Z5546" t="s">
        <v>31514</v>
      </c>
      <c r="AA5546">
        <v>0.28775777058188401</v>
      </c>
      <c r="AB5546" t="str">
        <f>HYPERLINK("Melting_Curves/meltCurve_Q9H0H5_RACGAP1.pdf", "Melting_Curves/meltCurve_Q9H0H5_RACGAP1.pdf")</f>
        <v>Melting_Curves/meltCurve_Q9H0H5_RACGAP1.pdf</v>
      </c>
    </row>
    <row r="5547" spans="1:28" x14ac:dyDescent="0.25">
      <c r="A5547" t="s">
        <v>5551</v>
      </c>
      <c r="B5547">
        <v>0.99472303558308395</v>
      </c>
      <c r="C5547">
        <v>0.98547290843825597</v>
      </c>
      <c r="D5547">
        <v>0.79969157413011305</v>
      </c>
      <c r="E5547">
        <v>0.65217730455909195</v>
      </c>
      <c r="F5547">
        <v>0.36089117210486399</v>
      </c>
      <c r="G5547">
        <v>0.205726321377877</v>
      </c>
      <c r="H5547">
        <v>0.13982721719642899</v>
      </c>
      <c r="I5547">
        <v>0.12400594668489701</v>
      </c>
      <c r="J5547">
        <v>0.169316545772837</v>
      </c>
      <c r="K5547">
        <v>0.11630524720631701</v>
      </c>
      <c r="L5547">
        <v>767.75168699792505</v>
      </c>
      <c r="M5547">
        <v>16.220637048651</v>
      </c>
      <c r="N5547">
        <v>48.088532428686499</v>
      </c>
      <c r="O5547">
        <v>46.629946060749702</v>
      </c>
      <c r="P5547">
        <v>-7.7174684099387394E-2</v>
      </c>
      <c r="Q5547">
        <v>0.112640969859443</v>
      </c>
      <c r="R5547">
        <v>0.99316502352819802</v>
      </c>
      <c r="S5547" t="s">
        <v>12115</v>
      </c>
      <c r="T5547" t="s">
        <v>13134</v>
      </c>
      <c r="U5547" t="s">
        <v>13134</v>
      </c>
      <c r="V5547" t="s">
        <v>13134</v>
      </c>
      <c r="W5547" t="s">
        <v>18615</v>
      </c>
      <c r="X5547">
        <v>4</v>
      </c>
      <c r="Y5547" t="s">
        <v>24978</v>
      </c>
      <c r="Z5547" t="s">
        <v>31515</v>
      </c>
      <c r="AA5547">
        <v>0.43548548648440438</v>
      </c>
      <c r="AB5547" t="str">
        <f>HYPERLINK("Melting_Curves/meltCurve_Q9H0J9_PARP12.pdf", "Melting_Curves/meltCurve_Q9H0J9_PARP12.pdf")</f>
        <v>Melting_Curves/meltCurve_Q9H0J9_PARP12.pdf</v>
      </c>
    </row>
    <row r="5548" spans="1:28" x14ac:dyDescent="0.25">
      <c r="A5548" t="s">
        <v>5552</v>
      </c>
      <c r="B5548">
        <v>0.99472303558308395</v>
      </c>
      <c r="C5548">
        <v>0.85158177557780401</v>
      </c>
      <c r="D5548">
        <v>0.94355490580713397</v>
      </c>
      <c r="E5548">
        <v>0.73699449073666301</v>
      </c>
      <c r="F5548">
        <v>0.44798753070209602</v>
      </c>
      <c r="G5548">
        <v>0.18933288864726699</v>
      </c>
      <c r="H5548">
        <v>8.2026738144428804E-2</v>
      </c>
      <c r="I5548">
        <v>5.8163571712259499E-2</v>
      </c>
      <c r="J5548">
        <v>6.3233612911077902E-2</v>
      </c>
      <c r="K5548">
        <v>4.30300705373357E-2</v>
      </c>
      <c r="L5548">
        <v>849.52311941179096</v>
      </c>
      <c r="M5548">
        <v>17.261811070538599</v>
      </c>
      <c r="N5548">
        <v>49.368717206320198</v>
      </c>
      <c r="O5548">
        <v>48.567773572509502</v>
      </c>
      <c r="P5548">
        <v>-8.6519859405584806E-2</v>
      </c>
      <c r="Q5548">
        <v>2.6328716024079799E-2</v>
      </c>
      <c r="R5548">
        <v>0.98687132540676203</v>
      </c>
      <c r="S5548" t="s">
        <v>12116</v>
      </c>
      <c r="T5548" t="s">
        <v>13134</v>
      </c>
      <c r="U5548" t="s">
        <v>13134</v>
      </c>
      <c r="V5548" t="s">
        <v>13134</v>
      </c>
      <c r="W5548" t="s">
        <v>18616</v>
      </c>
      <c r="X5548">
        <v>19</v>
      </c>
      <c r="Y5548" t="s">
        <v>24979</v>
      </c>
      <c r="Z5548" t="s">
        <v>31516</v>
      </c>
      <c r="AA5548">
        <v>0.43934346851980322</v>
      </c>
      <c r="AB5548" t="str">
        <f>HYPERLINK("Melting_Curves/meltCurve_Q9H0K6_PUS7L.pdf", "Melting_Curves/meltCurve_Q9H0K6_PUS7L.pdf")</f>
        <v>Melting_Curves/meltCurve_Q9H0K6_PUS7L.pdf</v>
      </c>
    </row>
    <row r="5549" spans="1:28" x14ac:dyDescent="0.25">
      <c r="A5549" t="s">
        <v>5553</v>
      </c>
      <c r="B5549">
        <v>0.99472303558308395</v>
      </c>
      <c r="C5549">
        <v>0.99274254872933199</v>
      </c>
      <c r="D5549">
        <v>0.72462481031987303</v>
      </c>
      <c r="E5549">
        <v>0.50316185421205695</v>
      </c>
      <c r="F5549">
        <v>0.41176977312021001</v>
      </c>
      <c r="G5549">
        <v>0.16136899900868101</v>
      </c>
      <c r="H5549">
        <v>0.113926762908579</v>
      </c>
      <c r="I5549">
        <v>6.8683470747636394E-2</v>
      </c>
      <c r="J5549">
        <v>8.7400297319927697E-2</v>
      </c>
      <c r="K5549">
        <v>8.6709014783814001E-2</v>
      </c>
      <c r="L5549">
        <v>624.91452325790601</v>
      </c>
      <c r="M5549">
        <v>13.3502656660093</v>
      </c>
      <c r="N5549">
        <v>47.203283453116001</v>
      </c>
      <c r="O5549">
        <v>45.796286763146398</v>
      </c>
      <c r="P5549">
        <v>-6.9045788489743201E-2</v>
      </c>
      <c r="Q5549">
        <v>5.2741829608089097E-2</v>
      </c>
      <c r="R5549">
        <v>0.98385242335850698</v>
      </c>
      <c r="S5549" t="s">
        <v>12117</v>
      </c>
      <c r="T5549" t="s">
        <v>13134</v>
      </c>
      <c r="U5549" t="s">
        <v>13134</v>
      </c>
      <c r="V5549" t="s">
        <v>13134</v>
      </c>
      <c r="W5549" t="s">
        <v>18617</v>
      </c>
      <c r="X5549">
        <v>14</v>
      </c>
      <c r="Y5549" t="s">
        <v>24980</v>
      </c>
      <c r="Z5549" t="s">
        <v>31517</v>
      </c>
      <c r="AA5549">
        <v>0.38877256414024502</v>
      </c>
      <c r="AB5549" t="str">
        <f>HYPERLINK("Melting_Curves/meltCurve_Q9H0L4_CSTF2T.pdf", "Melting_Curves/meltCurve_Q9H0L4_CSTF2T.pdf")</f>
        <v>Melting_Curves/meltCurve_Q9H0L4_CSTF2T.pdf</v>
      </c>
    </row>
    <row r="5550" spans="1:28" x14ac:dyDescent="0.25">
      <c r="A5550" t="s">
        <v>5554</v>
      </c>
      <c r="B5550">
        <v>0.99472303558308395</v>
      </c>
      <c r="C5550">
        <v>0.95393949470147099</v>
      </c>
      <c r="D5550">
        <v>0.92546546245884198</v>
      </c>
      <c r="E5550">
        <v>0.76481560992796405</v>
      </c>
      <c r="F5550">
        <v>0.30454924585446502</v>
      </c>
      <c r="G5550">
        <v>8.1931081476832202E-2</v>
      </c>
      <c r="H5550">
        <v>4.2049962401427499E-2</v>
      </c>
      <c r="I5550">
        <v>2.84714572458497E-2</v>
      </c>
      <c r="J5550">
        <v>2.9723905762708201E-2</v>
      </c>
      <c r="K5550">
        <v>2.5079466635615898E-2</v>
      </c>
      <c r="L5550">
        <v>1265.2924990512599</v>
      </c>
      <c r="M5550">
        <v>26.088701452740199</v>
      </c>
      <c r="N5550">
        <v>48.586708769016703</v>
      </c>
      <c r="O5550">
        <v>48.217339278154498</v>
      </c>
      <c r="P5550">
        <v>-0.13217827920263001</v>
      </c>
      <c r="Q5550">
        <v>2.28389343991891E-2</v>
      </c>
      <c r="R5550">
        <v>0.99772469506882</v>
      </c>
      <c r="S5550" t="s">
        <v>12118</v>
      </c>
      <c r="T5550" t="s">
        <v>13134</v>
      </c>
      <c r="U5550" t="s">
        <v>13134</v>
      </c>
      <c r="V5550" t="s">
        <v>13134</v>
      </c>
      <c r="W5550" t="s">
        <v>18618</v>
      </c>
      <c r="X5550">
        <v>11</v>
      </c>
      <c r="Y5550" t="s">
        <v>24981</v>
      </c>
      <c r="Z5550" t="s">
        <v>31518</v>
      </c>
      <c r="AA5550">
        <v>0.40511725262995568</v>
      </c>
      <c r="AB5550" t="str">
        <f>HYPERLINK("Melting_Curves/meltCurve_Q9H0P0_NT5C3A.pdf", "Melting_Curves/meltCurve_Q9H0P0_NT5C3A.pdf")</f>
        <v>Melting_Curves/meltCurve_Q9H0P0_NT5C3A.pdf</v>
      </c>
    </row>
    <row r="5551" spans="1:28" x14ac:dyDescent="0.25">
      <c r="A5551" t="s">
        <v>5555</v>
      </c>
      <c r="B5551">
        <v>0.99472303558308395</v>
      </c>
      <c r="C5551">
        <v>1.0164021089017901</v>
      </c>
      <c r="D5551">
        <v>0.96577894387783603</v>
      </c>
      <c r="E5551">
        <v>0.90635825539606996</v>
      </c>
      <c r="F5551">
        <v>0.83068671143427797</v>
      </c>
      <c r="G5551">
        <v>0.50600180550279705</v>
      </c>
      <c r="H5551">
        <v>0.40265726984753297</v>
      </c>
      <c r="I5551">
        <v>0.41507019210748702</v>
      </c>
      <c r="J5551">
        <v>0.57819519696885502</v>
      </c>
      <c r="K5551">
        <v>0.39727536468257002</v>
      </c>
      <c r="L5551">
        <v>1991.79308886168</v>
      </c>
      <c r="M5551">
        <v>38.980633299689501</v>
      </c>
      <c r="N5551">
        <v>54.172957615621897</v>
      </c>
      <c r="O5551">
        <v>50.963066177335499</v>
      </c>
      <c r="P5551">
        <v>-0.106063770179511</v>
      </c>
      <c r="Q5551">
        <v>0.44533249011414899</v>
      </c>
      <c r="R5551">
        <v>0.94973107118030797</v>
      </c>
      <c r="S5551" t="s">
        <v>12119</v>
      </c>
      <c r="T5551" t="s">
        <v>13134</v>
      </c>
      <c r="U5551" t="s">
        <v>13134</v>
      </c>
      <c r="V5551" t="s">
        <v>13134</v>
      </c>
      <c r="W5551" t="s">
        <v>18619</v>
      </c>
      <c r="X5551">
        <v>8</v>
      </c>
      <c r="Y5551" t="s">
        <v>24982</v>
      </c>
      <c r="Z5551" t="s">
        <v>31519</v>
      </c>
      <c r="AA5551">
        <v>0.708030746034223</v>
      </c>
      <c r="AB5551" t="str">
        <f>HYPERLINK("Melting_Curves/meltCurve_Q9H0R4_HDHD2.pdf", "Melting_Curves/meltCurve_Q9H0R4_HDHD2.pdf")</f>
        <v>Melting_Curves/meltCurve_Q9H0R4_HDHD2.pdf</v>
      </c>
    </row>
    <row r="5552" spans="1:28" x14ac:dyDescent="0.25">
      <c r="A5552" t="s">
        <v>5556</v>
      </c>
      <c r="B5552">
        <v>0.99472303558308395</v>
      </c>
      <c r="C5552">
        <v>0.90964855517363297</v>
      </c>
      <c r="D5552">
        <v>0.89587475489312696</v>
      </c>
      <c r="E5552">
        <v>0.68695808511607104</v>
      </c>
      <c r="F5552">
        <v>0.16645834559658701</v>
      </c>
      <c r="G5552">
        <v>9.4012583794545496E-2</v>
      </c>
      <c r="H5552">
        <v>7.0458541692412904E-2</v>
      </c>
      <c r="I5552">
        <v>5.96643053282742E-2</v>
      </c>
      <c r="J5552">
        <v>6.4908571997965306E-2</v>
      </c>
      <c r="K5552">
        <v>5.2233241829750698E-2</v>
      </c>
      <c r="L5552">
        <v>1504.1927046634601</v>
      </c>
      <c r="M5552">
        <v>31.7120816482186</v>
      </c>
      <c r="N5552">
        <v>47.620956035323402</v>
      </c>
      <c r="O5552">
        <v>47.245380826588203</v>
      </c>
      <c r="P5552">
        <v>-0.15792526934307</v>
      </c>
      <c r="Q5552">
        <v>5.8882427036117201E-2</v>
      </c>
      <c r="R5552">
        <v>0.99048215971740505</v>
      </c>
      <c r="S5552" t="s">
        <v>12120</v>
      </c>
      <c r="T5552" t="s">
        <v>13134</v>
      </c>
      <c r="U5552" t="s">
        <v>13134</v>
      </c>
      <c r="V5552" t="s">
        <v>13134</v>
      </c>
      <c r="W5552" t="s">
        <v>18620</v>
      </c>
      <c r="X5552">
        <v>10</v>
      </c>
      <c r="Y5552" t="s">
        <v>24983</v>
      </c>
      <c r="Z5552" t="s">
        <v>31520</v>
      </c>
      <c r="AA5552">
        <v>0.39109595924477319</v>
      </c>
      <c r="AB5552" t="str">
        <f>HYPERLINK("Melting_Curves/meltCurve_Q9H0R6_QRSL1.pdf", "Melting_Curves/meltCurve_Q9H0R6_QRSL1.pdf")</f>
        <v>Melting_Curves/meltCurve_Q9H0R6_QRSL1.pdf</v>
      </c>
    </row>
    <row r="5553" spans="1:28" x14ac:dyDescent="0.25">
      <c r="A5553" t="s">
        <v>5557</v>
      </c>
      <c r="B5553">
        <v>0.99472303558308395</v>
      </c>
      <c r="C5553">
        <v>0.92783174551833303</v>
      </c>
      <c r="D5553">
        <v>0.92801586123107604</v>
      </c>
      <c r="E5553">
        <v>0.89735416347565</v>
      </c>
      <c r="F5553">
        <v>0.65930048066757896</v>
      </c>
      <c r="G5553">
        <v>0.23432032282318499</v>
      </c>
      <c r="H5553">
        <v>0.108449181502944</v>
      </c>
      <c r="I5553">
        <v>7.6592586239090196E-2</v>
      </c>
      <c r="J5553">
        <v>8.81536109478821E-2</v>
      </c>
      <c r="K5553">
        <v>6.3818390966779104E-2</v>
      </c>
      <c r="L5553">
        <v>1338.0076281837501</v>
      </c>
      <c r="M5553">
        <v>26.222817389443399</v>
      </c>
      <c r="N5553">
        <v>51.2970127435675</v>
      </c>
      <c r="O5553">
        <v>50.730590888557998</v>
      </c>
      <c r="P5553">
        <v>-0.12082658989444101</v>
      </c>
      <c r="Q5553">
        <v>6.5007235662796398E-2</v>
      </c>
      <c r="R5553">
        <v>0.99229184909053003</v>
      </c>
      <c r="S5553" t="s">
        <v>12121</v>
      </c>
      <c r="T5553" t="s">
        <v>13134</v>
      </c>
      <c r="U5553" t="s">
        <v>13134</v>
      </c>
      <c r="V5553" t="s">
        <v>13134</v>
      </c>
      <c r="W5553" t="s">
        <v>18621</v>
      </c>
      <c r="X5553">
        <v>10</v>
      </c>
      <c r="Y5553" t="s">
        <v>24984</v>
      </c>
      <c r="Z5553" t="s">
        <v>31521</v>
      </c>
      <c r="AA5553">
        <v>0.50964759124304271</v>
      </c>
      <c r="AB5553" t="str">
        <f>HYPERLINK("Melting_Curves/meltCurve_Q9H0S4_2_DDX47.pdf", "Melting_Curves/meltCurve_Q9H0S4_2_DDX47.pdf")</f>
        <v>Melting_Curves/meltCurve_Q9H0S4_2_DDX47.pdf</v>
      </c>
    </row>
    <row r="5554" spans="1:28" x14ac:dyDescent="0.25">
      <c r="A5554" t="s">
        <v>5558</v>
      </c>
      <c r="B5554">
        <v>0.99472303558308395</v>
      </c>
      <c r="C5554">
        <v>0.92897064066191803</v>
      </c>
      <c r="D5554">
        <v>0.77872079523034898</v>
      </c>
      <c r="E5554">
        <v>0.60760979103454704</v>
      </c>
      <c r="F5554">
        <v>0.432066830511878</v>
      </c>
      <c r="G5554">
        <v>0.12875203590371501</v>
      </c>
      <c r="H5554">
        <v>5.9545768288574899E-2</v>
      </c>
      <c r="I5554">
        <v>3.2090186054542898E-2</v>
      </c>
      <c r="J5554">
        <v>4.27349934126297E-2</v>
      </c>
      <c r="K5554">
        <v>3.05585213541253E-2</v>
      </c>
      <c r="L5554">
        <v>650.12958857693002</v>
      </c>
      <c r="M5554">
        <v>13.5521974898457</v>
      </c>
      <c r="N5554">
        <v>47.972272647787698</v>
      </c>
      <c r="O5554">
        <v>46.963875705579497</v>
      </c>
      <c r="P5554">
        <v>-7.2152443200801206E-2</v>
      </c>
      <c r="Q5554">
        <v>0</v>
      </c>
      <c r="R5554">
        <v>0.98986748892736198</v>
      </c>
      <c r="S5554" t="s">
        <v>12122</v>
      </c>
      <c r="T5554" t="s">
        <v>13134</v>
      </c>
      <c r="U5554" t="s">
        <v>13134</v>
      </c>
      <c r="V5554" t="s">
        <v>13134</v>
      </c>
      <c r="W5554" t="s">
        <v>18622</v>
      </c>
      <c r="X5554">
        <v>4</v>
      </c>
      <c r="Y5554" t="s">
        <v>24985</v>
      </c>
      <c r="Z5554" t="s">
        <v>31522</v>
      </c>
      <c r="AA5554">
        <v>0.39176965533959968</v>
      </c>
      <c r="AB5554" t="str">
        <f>HYPERLINK("Melting_Curves/meltCurve_Q9H0U3_MAGT1.pdf", "Melting_Curves/meltCurve_Q9H0U3_MAGT1.pdf")</f>
        <v>Melting_Curves/meltCurve_Q9H0U3_MAGT1.pdf</v>
      </c>
    </row>
    <row r="5555" spans="1:28" x14ac:dyDescent="0.25">
      <c r="A5555" t="s">
        <v>5559</v>
      </c>
      <c r="B5555">
        <v>0.99472303558308395</v>
      </c>
      <c r="C5555">
        <v>0.97112741152139803</v>
      </c>
      <c r="D5555">
        <v>0.961187263400754</v>
      </c>
      <c r="E5555">
        <v>0.93415826540948999</v>
      </c>
      <c r="F5555">
        <v>0.82491398744059596</v>
      </c>
      <c r="G5555">
        <v>0.65045637978866</v>
      </c>
      <c r="H5555">
        <v>0.55985220680649395</v>
      </c>
      <c r="I5555">
        <v>0.55629507781552701</v>
      </c>
      <c r="J5555">
        <v>0.58401158122298102</v>
      </c>
      <c r="K5555">
        <v>0.44084355502444</v>
      </c>
      <c r="L5555">
        <v>854.62443566721095</v>
      </c>
      <c r="M5555">
        <v>16.543151566163001</v>
      </c>
      <c r="O5555">
        <v>50.923147919331903</v>
      </c>
      <c r="P5555">
        <v>-4.0872268699086001E-2</v>
      </c>
      <c r="Q5555">
        <v>0.49678234652308301</v>
      </c>
      <c r="R5555">
        <v>0.97080431682774204</v>
      </c>
      <c r="S5555" t="s">
        <v>12123</v>
      </c>
      <c r="T5555" t="s">
        <v>13134</v>
      </c>
      <c r="U5555" t="s">
        <v>13134</v>
      </c>
      <c r="V5555" t="s">
        <v>13134</v>
      </c>
      <c r="W5555" t="s">
        <v>18623</v>
      </c>
      <c r="X5555">
        <v>20</v>
      </c>
      <c r="Y5555" t="s">
        <v>24986</v>
      </c>
      <c r="Z5555" t="s">
        <v>31523</v>
      </c>
      <c r="AA5555">
        <v>0.75135060160287614</v>
      </c>
      <c r="AB5555" t="str">
        <f>HYPERLINK("Melting_Curves/meltCurve_Q9H0U4_RAB1B.pdf", "Melting_Curves/meltCurve_Q9H0U4_RAB1B.pdf")</f>
        <v>Melting_Curves/meltCurve_Q9H0U4_RAB1B.pdf</v>
      </c>
    </row>
    <row r="5556" spans="1:28" x14ac:dyDescent="0.25">
      <c r="A5556" t="s">
        <v>5560</v>
      </c>
      <c r="B5556">
        <v>0.99472303558308395</v>
      </c>
      <c r="C5556">
        <v>1.0676521994048001</v>
      </c>
      <c r="D5556">
        <v>0.90440372442067296</v>
      </c>
      <c r="E5556">
        <v>0.60545700578838502</v>
      </c>
      <c r="F5556">
        <v>0.47176399195046198</v>
      </c>
      <c r="G5556">
        <v>0.15460169788435901</v>
      </c>
      <c r="H5556">
        <v>5.9991716506981201E-2</v>
      </c>
      <c r="I5556">
        <v>7.3629236964528E-2</v>
      </c>
      <c r="J5556">
        <v>9.0047057932445801E-2</v>
      </c>
      <c r="K5556">
        <v>3.5583163936703202E-2</v>
      </c>
      <c r="L5556">
        <v>811.33112833108703</v>
      </c>
      <c r="M5556">
        <v>16.724744497706599</v>
      </c>
      <c r="N5556">
        <v>48.724154165711901</v>
      </c>
      <c r="O5556">
        <v>47.8332033426964</v>
      </c>
      <c r="P5556">
        <v>-8.4331297396240207E-2</v>
      </c>
      <c r="Q5556">
        <v>3.5304773146587101E-2</v>
      </c>
      <c r="R5556">
        <v>0.98362645348908295</v>
      </c>
      <c r="S5556" t="s">
        <v>12124</v>
      </c>
      <c r="T5556" t="s">
        <v>13134</v>
      </c>
      <c r="U5556" t="s">
        <v>13134</v>
      </c>
      <c r="V5556" t="s">
        <v>13134</v>
      </c>
      <c r="W5556" t="s">
        <v>18624</v>
      </c>
      <c r="X5556">
        <v>1</v>
      </c>
      <c r="Y5556" t="s">
        <v>24987</v>
      </c>
      <c r="Z5556" t="s">
        <v>31524</v>
      </c>
      <c r="AA5556">
        <v>0.42295259232453758</v>
      </c>
      <c r="AB5556" t="str">
        <f>HYPERLINK("Melting_Curves/meltCurve_Q9H0U6_MRPL18.pdf", "Melting_Curves/meltCurve_Q9H0U6_MRPL18.pdf")</f>
        <v>Melting_Curves/meltCurve_Q9H0U6_MRPL18.pdf</v>
      </c>
    </row>
    <row r="5557" spans="1:28" x14ac:dyDescent="0.25">
      <c r="A5557" t="s">
        <v>5561</v>
      </c>
      <c r="B5557">
        <v>0.99472303558308395</v>
      </c>
      <c r="C5557">
        <v>1.1486395184773801</v>
      </c>
      <c r="D5557">
        <v>0.82063416361943498</v>
      </c>
      <c r="E5557">
        <v>0.83193725000393703</v>
      </c>
      <c r="F5557">
        <v>0.63124282718838698</v>
      </c>
      <c r="G5557">
        <v>0.36219552954977802</v>
      </c>
      <c r="H5557">
        <v>0.24499965215818001</v>
      </c>
      <c r="I5557">
        <v>0.219836206117869</v>
      </c>
      <c r="J5557">
        <v>0.27157093959138601</v>
      </c>
      <c r="K5557">
        <v>0.22071742654705001</v>
      </c>
      <c r="L5557">
        <v>864.10048689781797</v>
      </c>
      <c r="M5557">
        <v>17.291042599628302</v>
      </c>
      <c r="N5557">
        <v>51.558097048254098</v>
      </c>
      <c r="O5557">
        <v>49.319830135811102</v>
      </c>
      <c r="P5557">
        <v>-6.9589185213731503E-2</v>
      </c>
      <c r="Q5557">
        <v>0.20607956862688601</v>
      </c>
      <c r="R5557">
        <v>0.956010690173838</v>
      </c>
      <c r="S5557" t="s">
        <v>12125</v>
      </c>
      <c r="T5557" t="s">
        <v>13134</v>
      </c>
      <c r="U5557" t="s">
        <v>13134</v>
      </c>
      <c r="V5557" t="s">
        <v>13134</v>
      </c>
      <c r="W5557" t="s">
        <v>18625</v>
      </c>
      <c r="X5557">
        <v>2</v>
      </c>
      <c r="Y5557" t="s">
        <v>24988</v>
      </c>
      <c r="Z5557" t="s">
        <v>31525</v>
      </c>
      <c r="AA5557">
        <v>0.56278022101174585</v>
      </c>
      <c r="AB5557" t="str">
        <f>HYPERLINK("Melting_Curves/meltCurve_Q9H0U9_TSPYL1.pdf", "Melting_Curves/meltCurve_Q9H0U9_TSPYL1.pdf")</f>
        <v>Melting_Curves/meltCurve_Q9H0U9_TSPYL1.pdf</v>
      </c>
    </row>
    <row r="5558" spans="1:28" x14ac:dyDescent="0.25">
      <c r="A5558" t="s">
        <v>5562</v>
      </c>
      <c r="B5558">
        <v>0.99472303558308395</v>
      </c>
      <c r="C5558">
        <v>1.2088254150183799</v>
      </c>
      <c r="D5558">
        <v>0.90235197824487701</v>
      </c>
      <c r="E5558">
        <v>0.75037720044435297</v>
      </c>
      <c r="F5558">
        <v>0.61799604186464896</v>
      </c>
      <c r="G5558">
        <v>0.34215145038031503</v>
      </c>
      <c r="H5558">
        <v>0.155723330732181</v>
      </c>
      <c r="I5558">
        <v>7.5705325391084002E-2</v>
      </c>
      <c r="J5558">
        <v>7.3586075431251799E-2</v>
      </c>
      <c r="K5558">
        <v>6.5096712829641204E-2</v>
      </c>
      <c r="L5558">
        <v>770.686419715017</v>
      </c>
      <c r="M5558">
        <v>15.087813526759</v>
      </c>
      <c r="N5558">
        <v>51.227033608491702</v>
      </c>
      <c r="O5558">
        <v>50.207938269950098</v>
      </c>
      <c r="P5558">
        <v>-7.3542562707342093E-2</v>
      </c>
      <c r="Q5558">
        <v>2.1181978740600599E-2</v>
      </c>
      <c r="R5558">
        <v>0.96483606355924201</v>
      </c>
      <c r="S5558" t="s">
        <v>12126</v>
      </c>
      <c r="T5558" t="s">
        <v>13134</v>
      </c>
      <c r="U5558" t="s">
        <v>13134</v>
      </c>
      <c r="V5558" t="s">
        <v>13134</v>
      </c>
      <c r="W5558" t="s">
        <v>18626</v>
      </c>
      <c r="X5558">
        <v>2</v>
      </c>
      <c r="Y5558" t="s">
        <v>24989</v>
      </c>
      <c r="Z5558" t="s">
        <v>31526</v>
      </c>
      <c r="AA5558">
        <v>0.50006337683837532</v>
      </c>
      <c r="AB5558" t="str">
        <f>HYPERLINK("Melting_Curves/meltCurve_Q9H0V1_TMEM168.pdf", "Melting_Curves/meltCurve_Q9H0V1_TMEM168.pdf")</f>
        <v>Melting_Curves/meltCurve_Q9H0V1_TMEM168.pdf</v>
      </c>
    </row>
    <row r="5559" spans="1:28" x14ac:dyDescent="0.25">
      <c r="A5559" t="s">
        <v>5563</v>
      </c>
      <c r="B5559">
        <v>0.99472303558308395</v>
      </c>
      <c r="C5559">
        <v>0.91850372089736698</v>
      </c>
      <c r="D5559">
        <v>0.96474871908147297</v>
      </c>
      <c r="E5559">
        <v>0.80535548965471504</v>
      </c>
      <c r="F5559">
        <v>0.60435861479873798</v>
      </c>
      <c r="G5559">
        <v>0.26190800406828901</v>
      </c>
      <c r="H5559">
        <v>9.0121233887059907E-2</v>
      </c>
      <c r="I5559">
        <v>5.5417693088682399E-2</v>
      </c>
      <c r="J5559">
        <v>4.98330811816321E-2</v>
      </c>
      <c r="K5559">
        <v>5.0737490660815003E-2</v>
      </c>
      <c r="L5559">
        <v>932.02919227683503</v>
      </c>
      <c r="M5559">
        <v>18.3575000078146</v>
      </c>
      <c r="N5559">
        <v>50.872467420430397</v>
      </c>
      <c r="O5559">
        <v>50.180059330309099</v>
      </c>
      <c r="P5559">
        <v>-8.9818668181020495E-2</v>
      </c>
      <c r="Q5559">
        <v>1.7970788270538499E-2</v>
      </c>
      <c r="R5559">
        <v>0.99312280251603802</v>
      </c>
      <c r="S5559" t="s">
        <v>12127</v>
      </c>
      <c r="T5559" t="s">
        <v>13134</v>
      </c>
      <c r="U5559" t="s">
        <v>13134</v>
      </c>
      <c r="V5559" t="s">
        <v>13134</v>
      </c>
      <c r="W5559" t="s">
        <v>18627</v>
      </c>
      <c r="X5559">
        <v>6</v>
      </c>
      <c r="Y5559" t="s">
        <v>24990</v>
      </c>
      <c r="Z5559" t="s">
        <v>31527</v>
      </c>
      <c r="AA5559">
        <v>0.48358349229334591</v>
      </c>
      <c r="AB5559" t="str">
        <f>HYPERLINK("Melting_Curves/meltCurve_Q9H0V9_LMAN2L.pdf", "Melting_Curves/meltCurve_Q9H0V9_LMAN2L.pdf")</f>
        <v>Melting_Curves/meltCurve_Q9H0V9_LMAN2L.pdf</v>
      </c>
    </row>
    <row r="5560" spans="1:28" x14ac:dyDescent="0.25">
      <c r="A5560" t="s">
        <v>5564</v>
      </c>
      <c r="B5560">
        <v>0.99472303558308395</v>
      </c>
      <c r="C5560">
        <v>0.91930614483078599</v>
      </c>
      <c r="D5560">
        <v>0.78059777391904905</v>
      </c>
      <c r="E5560">
        <v>0.52180845436100798</v>
      </c>
      <c r="F5560">
        <v>0.15290565632900299</v>
      </c>
      <c r="G5560">
        <v>9.5005986603520096E-2</v>
      </c>
      <c r="H5560">
        <v>6.9631938581048894E-2</v>
      </c>
      <c r="I5560">
        <v>6.1937598124120898E-2</v>
      </c>
      <c r="J5560">
        <v>8.48105213913109E-2</v>
      </c>
      <c r="K5560">
        <v>7.8129634164446099E-2</v>
      </c>
      <c r="L5560">
        <v>902.16446676519297</v>
      </c>
      <c r="M5560">
        <v>19.6298834366855</v>
      </c>
      <c r="N5560">
        <v>46.245469338339497</v>
      </c>
      <c r="O5560">
        <v>45.489748485191001</v>
      </c>
      <c r="P5560">
        <v>-0.101702930331573</v>
      </c>
      <c r="Q5560">
        <v>5.7299009012452003E-2</v>
      </c>
      <c r="R5560">
        <v>0.99317199609809803</v>
      </c>
      <c r="S5560" t="s">
        <v>12128</v>
      </c>
      <c r="T5560" t="s">
        <v>13134</v>
      </c>
      <c r="U5560" t="s">
        <v>13134</v>
      </c>
      <c r="V5560" t="s">
        <v>13134</v>
      </c>
      <c r="W5560" t="s">
        <v>18628</v>
      </c>
      <c r="X5560">
        <v>11</v>
      </c>
      <c r="Y5560" t="s">
        <v>24991</v>
      </c>
      <c r="Z5560" t="s">
        <v>31528</v>
      </c>
      <c r="AA5560">
        <v>0.35161341630665799</v>
      </c>
      <c r="AB5560" t="str">
        <f>HYPERLINK("Melting_Curves/meltCurve_Q9H0W8_2_SMG9.pdf", "Melting_Curves/meltCurve_Q9H0W8_2_SMG9.pdf")</f>
        <v>Melting_Curves/meltCurve_Q9H0W8_2_SMG9.pdf</v>
      </c>
    </row>
    <row r="5561" spans="1:28" x14ac:dyDescent="0.25">
      <c r="A5561" t="s">
        <v>5565</v>
      </c>
      <c r="B5561">
        <v>0.99472303558308395</v>
      </c>
      <c r="C5561">
        <v>0.94074873498564804</v>
      </c>
      <c r="D5561">
        <v>1.2458356347606101</v>
      </c>
      <c r="E5561">
        <v>1.12297617529502</v>
      </c>
      <c r="F5561">
        <v>0.63905708459141997</v>
      </c>
      <c r="G5561">
        <v>0.72259970171774601</v>
      </c>
      <c r="H5561">
        <v>0.30392566251061398</v>
      </c>
      <c r="I5561">
        <v>0.36272957984505899</v>
      </c>
      <c r="J5561">
        <v>6.8786228322084905E-2</v>
      </c>
      <c r="K5561">
        <v>5.6376185619632299E-2</v>
      </c>
      <c r="L5561">
        <v>822.59013800641605</v>
      </c>
      <c r="M5561">
        <v>14.7508475854995</v>
      </c>
      <c r="N5561">
        <v>55.765618964356101</v>
      </c>
      <c r="O5561">
        <v>54.770796778058703</v>
      </c>
      <c r="P5561">
        <v>-6.7337155292878703E-2</v>
      </c>
      <c r="Q5561">
        <v>0</v>
      </c>
      <c r="R5561">
        <v>0.89231703648338001</v>
      </c>
      <c r="S5561" t="s">
        <v>12129</v>
      </c>
      <c r="T5561" t="s">
        <v>13134</v>
      </c>
      <c r="U5561" t="s">
        <v>13134</v>
      </c>
      <c r="V5561" t="s">
        <v>13134</v>
      </c>
      <c r="W5561" t="s">
        <v>18629</v>
      </c>
      <c r="X5561">
        <v>7</v>
      </c>
      <c r="Y5561" t="s">
        <v>24992</v>
      </c>
      <c r="Z5561" t="s">
        <v>31529</v>
      </c>
      <c r="AA5561">
        <v>0.6376571704025078</v>
      </c>
      <c r="AB5561" t="str">
        <f>HYPERLINK("Melting_Curves/meltCurve_Q9H0W9_C11orf54.pdf", "Melting_Curves/meltCurve_Q9H0W9_C11orf54.pdf")</f>
        <v>Melting_Curves/meltCurve_Q9H0W9_C11orf54.pdf</v>
      </c>
    </row>
    <row r="5562" spans="1:28" x14ac:dyDescent="0.25">
      <c r="A5562" t="s">
        <v>5566</v>
      </c>
      <c r="B5562">
        <v>0.99472303558308395</v>
      </c>
      <c r="C5562">
        <v>1.06899417512727</v>
      </c>
      <c r="D5562">
        <v>0.91822221866544296</v>
      </c>
      <c r="E5562">
        <v>0.73266421900383505</v>
      </c>
      <c r="F5562">
        <v>0.54388997200609501</v>
      </c>
      <c r="G5562">
        <v>0.38733733549275401</v>
      </c>
      <c r="H5562">
        <v>0.26698523490882897</v>
      </c>
      <c r="I5562">
        <v>0.19183084930654001</v>
      </c>
      <c r="J5562">
        <v>0.200824579017431</v>
      </c>
      <c r="K5562">
        <v>0.24710137158471401</v>
      </c>
      <c r="L5562">
        <v>774.14329434675301</v>
      </c>
      <c r="M5562">
        <v>15.7399874274456</v>
      </c>
      <c r="N5562">
        <v>50.785649537512597</v>
      </c>
      <c r="O5562">
        <v>48.409861998166399</v>
      </c>
      <c r="P5562">
        <v>-6.5381874827646902E-2</v>
      </c>
      <c r="Q5562">
        <v>0.195714021426279</v>
      </c>
      <c r="R5562">
        <v>0.98792295209300596</v>
      </c>
      <c r="S5562" t="s">
        <v>12130</v>
      </c>
      <c r="T5562" t="s">
        <v>13134</v>
      </c>
      <c r="U5562" t="s">
        <v>13134</v>
      </c>
      <c r="V5562" t="s">
        <v>13134</v>
      </c>
      <c r="W5562" t="s">
        <v>18630</v>
      </c>
      <c r="X5562">
        <v>4</v>
      </c>
      <c r="Y5562" t="s">
        <v>24993</v>
      </c>
      <c r="Z5562" t="s">
        <v>31530</v>
      </c>
      <c r="AA5562">
        <v>0.53830432629929714</v>
      </c>
      <c r="AB5562" t="str">
        <f>HYPERLINK("Melting_Curves/meltCurve_Q9H0X4_ITFG3.pdf", "Melting_Curves/meltCurve_Q9H0X4_ITFG3.pdf")</f>
        <v>Melting_Curves/meltCurve_Q9H0X4_ITFG3.pdf</v>
      </c>
    </row>
    <row r="5563" spans="1:28" x14ac:dyDescent="0.25">
      <c r="A5563" t="s">
        <v>5567</v>
      </c>
      <c r="B5563">
        <v>0.99472303558308395</v>
      </c>
      <c r="C5563">
        <v>1.1408472814731001</v>
      </c>
      <c r="D5563">
        <v>0.84601906798857696</v>
      </c>
      <c r="E5563">
        <v>0.65935661804807699</v>
      </c>
      <c r="F5563">
        <v>0.37279161784428799</v>
      </c>
      <c r="G5563">
        <v>0.27085181246588702</v>
      </c>
      <c r="H5563">
        <v>0.20060621275301099</v>
      </c>
      <c r="I5563">
        <v>0.16844804569632801</v>
      </c>
      <c r="J5563">
        <v>0.235949601336987</v>
      </c>
      <c r="K5563">
        <v>0.245607510366604</v>
      </c>
      <c r="L5563">
        <v>1020.54666184421</v>
      </c>
      <c r="M5563">
        <v>21.688845753745401</v>
      </c>
      <c r="N5563">
        <v>48.266879538985499</v>
      </c>
      <c r="O5563">
        <v>46.659452248916701</v>
      </c>
      <c r="P5563">
        <v>-9.1796911735842895E-2</v>
      </c>
      <c r="Q5563">
        <v>0.21008383287858601</v>
      </c>
      <c r="R5563">
        <v>0.97214249214778403</v>
      </c>
      <c r="S5563" t="s">
        <v>12131</v>
      </c>
      <c r="T5563" t="s">
        <v>13134</v>
      </c>
      <c r="U5563" t="s">
        <v>13134</v>
      </c>
      <c r="V5563" t="s">
        <v>13134</v>
      </c>
      <c r="W5563" t="s">
        <v>18631</v>
      </c>
      <c r="X5563">
        <v>1</v>
      </c>
      <c r="Y5563" t="s">
        <v>24994</v>
      </c>
      <c r="Z5563" t="s">
        <v>31531</v>
      </c>
      <c r="AA5563">
        <v>0.48362827647402618</v>
      </c>
      <c r="AB5563" t="str">
        <f>HYPERLINK("Melting_Curves/meltCurve_Q9H160_ING2.pdf", "Melting_Curves/meltCurve_Q9H160_ING2.pdf")</f>
        <v>Melting_Curves/meltCurve_Q9H160_ING2.pdf</v>
      </c>
    </row>
    <row r="5564" spans="1:28" x14ac:dyDescent="0.25">
      <c r="A5564" t="s">
        <v>5568</v>
      </c>
      <c r="B5564">
        <v>0.99472303558308395</v>
      </c>
      <c r="C5564">
        <v>0.88826880763591798</v>
      </c>
      <c r="D5564">
        <v>0.96635768066684702</v>
      </c>
      <c r="E5564">
        <v>0.71521957930579305</v>
      </c>
      <c r="F5564">
        <v>0.40081603075342498</v>
      </c>
      <c r="G5564">
        <v>0.18652940947954799</v>
      </c>
      <c r="H5564">
        <v>9.2539824623181902E-2</v>
      </c>
      <c r="I5564">
        <v>8.7854222308923396E-2</v>
      </c>
      <c r="J5564">
        <v>9.07790666608079E-2</v>
      </c>
      <c r="K5564">
        <v>7.2619994543513006E-2</v>
      </c>
      <c r="L5564">
        <v>959.69502418383297</v>
      </c>
      <c r="M5564">
        <v>19.739915289669899</v>
      </c>
      <c r="N5564">
        <v>48.9820265866528</v>
      </c>
      <c r="O5564">
        <v>48.1263027217991</v>
      </c>
      <c r="P5564">
        <v>-9.5531471851047697E-2</v>
      </c>
      <c r="Q5564">
        <v>6.8401807876130399E-2</v>
      </c>
      <c r="R5564">
        <v>0.99186739911445598</v>
      </c>
      <c r="S5564" t="s">
        <v>12132</v>
      </c>
      <c r="T5564" t="s">
        <v>13134</v>
      </c>
      <c r="U5564" t="s">
        <v>13134</v>
      </c>
      <c r="V5564" t="s">
        <v>13134</v>
      </c>
      <c r="W5564" t="s">
        <v>18632</v>
      </c>
      <c r="X5564">
        <v>5</v>
      </c>
      <c r="Y5564" t="s">
        <v>24995</v>
      </c>
      <c r="Z5564" t="s">
        <v>31532</v>
      </c>
      <c r="AA5564">
        <v>0.44171060195438561</v>
      </c>
      <c r="AB5564" t="str">
        <f>HYPERLINK("Melting_Curves/meltCurve_Q9H173_SIL1.pdf", "Melting_Curves/meltCurve_Q9H173_SIL1.pdf")</f>
        <v>Melting_Curves/meltCurve_Q9H173_SIL1.pdf</v>
      </c>
    </row>
    <row r="5565" spans="1:28" x14ac:dyDescent="0.25">
      <c r="A5565" t="s">
        <v>5569</v>
      </c>
      <c r="B5565">
        <v>0.99472303558308395</v>
      </c>
      <c r="C5565">
        <v>0.83935418218892299</v>
      </c>
      <c r="D5565">
        <v>0.79255016573313197</v>
      </c>
      <c r="E5565">
        <v>0.57054292044392896</v>
      </c>
      <c r="F5565">
        <v>0.27901037568292397</v>
      </c>
      <c r="G5565">
        <v>0.16703499130233199</v>
      </c>
      <c r="H5565">
        <v>0.13422952899271301</v>
      </c>
      <c r="I5565">
        <v>0.13046414457160099</v>
      </c>
      <c r="J5565">
        <v>0.14919468811846401</v>
      </c>
      <c r="K5565">
        <v>0.13614570810101101</v>
      </c>
      <c r="L5565">
        <v>700.50597568958494</v>
      </c>
      <c r="M5565">
        <v>15.184510861085201</v>
      </c>
      <c r="N5565">
        <v>46.889936719687398</v>
      </c>
      <c r="O5565">
        <v>45.354993267572503</v>
      </c>
      <c r="P5565">
        <v>-7.4606987380578402E-2</v>
      </c>
      <c r="Q5565">
        <v>0.108703918676026</v>
      </c>
      <c r="R5565">
        <v>0.98723631003035195</v>
      </c>
      <c r="S5565" t="s">
        <v>12133</v>
      </c>
      <c r="T5565" t="s">
        <v>13134</v>
      </c>
      <c r="U5565" t="s">
        <v>13134</v>
      </c>
      <c r="V5565" t="s">
        <v>13134</v>
      </c>
      <c r="W5565" t="s">
        <v>18633</v>
      </c>
      <c r="X5565">
        <v>2</v>
      </c>
      <c r="Y5565" t="s">
        <v>24996</v>
      </c>
      <c r="Z5565" t="s">
        <v>31533</v>
      </c>
      <c r="AA5565">
        <v>0.4000585866068278</v>
      </c>
      <c r="AB5565" t="str">
        <f>HYPERLINK("Melting_Curves/meltCurve_Q9H1A3_2_METTL9.pdf", "Melting_Curves/meltCurve_Q9H1A3_2_METTL9.pdf")</f>
        <v>Melting_Curves/meltCurve_Q9H1A3_2_METTL9.pdf</v>
      </c>
    </row>
    <row r="5566" spans="1:28" x14ac:dyDescent="0.25">
      <c r="A5566" t="s">
        <v>5570</v>
      </c>
      <c r="B5566">
        <v>0.99472303558308395</v>
      </c>
      <c r="C5566">
        <v>0.99972030738237505</v>
      </c>
      <c r="D5566">
        <v>0.749741497614968</v>
      </c>
      <c r="E5566">
        <v>0.60498748692485604</v>
      </c>
      <c r="F5566">
        <v>0.51113566781003505</v>
      </c>
      <c r="G5566">
        <v>0.17238661171777001</v>
      </c>
      <c r="H5566">
        <v>0.107311916645506</v>
      </c>
      <c r="I5566">
        <v>7.9080982821136098E-2</v>
      </c>
      <c r="J5566">
        <v>0.12799120311651499</v>
      </c>
      <c r="K5566">
        <v>9.4459030148074496E-2</v>
      </c>
      <c r="L5566">
        <v>614.88367909472697</v>
      </c>
      <c r="M5566">
        <v>12.7802884858651</v>
      </c>
      <c r="N5566">
        <v>48.475152617245499</v>
      </c>
      <c r="O5566">
        <v>46.979582673764497</v>
      </c>
      <c r="P5566">
        <v>-6.4916308173079501E-2</v>
      </c>
      <c r="Q5566">
        <v>4.5666158649777501E-2</v>
      </c>
      <c r="R5566">
        <v>0.97379052170298397</v>
      </c>
      <c r="S5566" t="s">
        <v>12134</v>
      </c>
      <c r="T5566" t="s">
        <v>13134</v>
      </c>
      <c r="U5566" t="s">
        <v>13134</v>
      </c>
      <c r="V5566" t="s">
        <v>13134</v>
      </c>
      <c r="W5566" t="s">
        <v>18634</v>
      </c>
      <c r="X5566">
        <v>4</v>
      </c>
      <c r="Y5566" t="s">
        <v>24997</v>
      </c>
      <c r="Z5566" t="s">
        <v>31534</v>
      </c>
      <c r="AA5566">
        <v>0.42621176080716061</v>
      </c>
      <c r="AB5566" t="str">
        <f>HYPERLINK("Melting_Curves/meltCurve_Q9H1A4_ANAPC1.pdf", "Melting_Curves/meltCurve_Q9H1A4_ANAPC1.pdf")</f>
        <v>Melting_Curves/meltCurve_Q9H1A4_ANAPC1.pdf</v>
      </c>
    </row>
    <row r="5567" spans="1:28" x14ac:dyDescent="0.25">
      <c r="A5567" t="s">
        <v>5571</v>
      </c>
      <c r="B5567">
        <v>0.99472303558308395</v>
      </c>
      <c r="C5567">
        <v>0.84022251152362004</v>
      </c>
      <c r="D5567">
        <v>0.71931131207268995</v>
      </c>
      <c r="E5567">
        <v>0.40565456542259898</v>
      </c>
      <c r="F5567">
        <v>0.157328910707382</v>
      </c>
      <c r="G5567">
        <v>8.6336525146569296E-2</v>
      </c>
      <c r="H5567">
        <v>5.05936736935454E-2</v>
      </c>
      <c r="I5567">
        <v>4.0435878247422202E-2</v>
      </c>
      <c r="J5567">
        <v>3.5086741330596298E-2</v>
      </c>
      <c r="K5567">
        <v>3.4105592238063698E-2</v>
      </c>
      <c r="L5567">
        <v>721.19299049133804</v>
      </c>
      <c r="M5567">
        <v>15.9748721591312</v>
      </c>
      <c r="N5567">
        <v>45.267657995542301</v>
      </c>
      <c r="O5567">
        <v>44.455787719990703</v>
      </c>
      <c r="P5567">
        <v>-8.7946860790934403E-2</v>
      </c>
      <c r="Q5567">
        <v>2.1102983764550599E-2</v>
      </c>
      <c r="R5567">
        <v>0.99614066694093995</v>
      </c>
      <c r="S5567" t="s">
        <v>12135</v>
      </c>
      <c r="T5567" t="s">
        <v>13134</v>
      </c>
      <c r="U5567" t="s">
        <v>13134</v>
      </c>
      <c r="V5567" t="s">
        <v>13134</v>
      </c>
      <c r="W5567" t="s">
        <v>18635</v>
      </c>
      <c r="X5567">
        <v>13</v>
      </c>
      <c r="Y5567" t="s">
        <v>24998</v>
      </c>
      <c r="Z5567" t="s">
        <v>31535</v>
      </c>
      <c r="AA5567">
        <v>0.30731446931772588</v>
      </c>
      <c r="AB5567" t="str">
        <f>HYPERLINK("Melting_Curves/meltCurve_Q9H1B7_IRF2BPL.pdf", "Melting_Curves/meltCurve_Q9H1B7_IRF2BPL.pdf")</f>
        <v>Melting_Curves/meltCurve_Q9H1B7_IRF2BPL.pdf</v>
      </c>
    </row>
    <row r="5568" spans="1:28" x14ac:dyDescent="0.25">
      <c r="A5568" t="s">
        <v>5572</v>
      </c>
      <c r="B5568">
        <v>0.99472303558308395</v>
      </c>
      <c r="C5568">
        <v>1.0203213362744901</v>
      </c>
      <c r="D5568">
        <v>0.89978252949730897</v>
      </c>
      <c r="E5568">
        <v>0.66810352948679097</v>
      </c>
      <c r="F5568">
        <v>0.86663892141819299</v>
      </c>
      <c r="G5568">
        <v>0.55223905829086395</v>
      </c>
      <c r="H5568">
        <v>0.28921976923850301</v>
      </c>
      <c r="I5568">
        <v>0.13947577337282899</v>
      </c>
      <c r="J5568">
        <v>0.108291325192465</v>
      </c>
      <c r="K5568">
        <v>9.88262682392681E-2</v>
      </c>
      <c r="L5568">
        <v>656.12151266289902</v>
      </c>
      <c r="M5568">
        <v>12.1626147663174</v>
      </c>
      <c r="N5568">
        <v>53.9457556306632</v>
      </c>
      <c r="O5568">
        <v>52.549574411441</v>
      </c>
      <c r="P5568">
        <v>-5.7875814912820997E-2</v>
      </c>
      <c r="Q5568">
        <v>0</v>
      </c>
      <c r="R5568">
        <v>0.94050586069040798</v>
      </c>
      <c r="S5568" t="s">
        <v>12136</v>
      </c>
      <c r="T5568" t="s">
        <v>13134</v>
      </c>
      <c r="U5568" t="s">
        <v>13134</v>
      </c>
      <c r="V5568" t="s">
        <v>13134</v>
      </c>
      <c r="W5568" t="s">
        <v>18636</v>
      </c>
      <c r="X5568">
        <v>4</v>
      </c>
      <c r="Y5568" t="s">
        <v>24999</v>
      </c>
      <c r="Z5568" t="s">
        <v>31536</v>
      </c>
      <c r="AA5568">
        <v>0.58290963642367566</v>
      </c>
      <c r="AB5568" t="str">
        <f>HYPERLINK("Melting_Curves/meltCurve_Q9H1D9_POLR3F.pdf", "Melting_Curves/meltCurve_Q9H1D9_POLR3F.pdf")</f>
        <v>Melting_Curves/meltCurve_Q9H1D9_POLR3F.pdf</v>
      </c>
    </row>
    <row r="5569" spans="1:28" x14ac:dyDescent="0.25">
      <c r="A5569" t="s">
        <v>5573</v>
      </c>
      <c r="B5569">
        <v>0.99472303558308395</v>
      </c>
      <c r="C5569">
        <v>0.96768106637619</v>
      </c>
      <c r="D5569">
        <v>0.97730304650855704</v>
      </c>
      <c r="E5569">
        <v>1.1185778106358499</v>
      </c>
      <c r="F5569">
        <v>0.75163749037198802</v>
      </c>
      <c r="G5569">
        <v>0.63354627137893704</v>
      </c>
      <c r="H5569">
        <v>0.79390774157120003</v>
      </c>
      <c r="I5569">
        <v>1.03767661003898</v>
      </c>
      <c r="J5569">
        <v>1.16419780401033</v>
      </c>
      <c r="K5569">
        <v>0.76504875607336598</v>
      </c>
      <c r="L5569">
        <v>3799.9814129966599</v>
      </c>
      <c r="M5569">
        <v>78.543584468571098</v>
      </c>
      <c r="O5569">
        <v>48.349209344356197</v>
      </c>
      <c r="P5569">
        <v>-5.7501833730992602E-2</v>
      </c>
      <c r="Q5569">
        <v>0.85841400985295402</v>
      </c>
      <c r="R5569">
        <v>0.199930755334843</v>
      </c>
      <c r="S5569" t="s">
        <v>12137</v>
      </c>
      <c r="T5569" t="s">
        <v>13134</v>
      </c>
      <c r="U5569" t="s">
        <v>13134</v>
      </c>
      <c r="V5569" t="s">
        <v>13134</v>
      </c>
      <c r="W5569" t="s">
        <v>18637</v>
      </c>
      <c r="X5569">
        <v>10</v>
      </c>
      <c r="Y5569" t="s">
        <v>25000</v>
      </c>
      <c r="Z5569" t="s">
        <v>31537</v>
      </c>
      <c r="AA5569">
        <v>0.91224690734808389</v>
      </c>
      <c r="AB5569" t="str">
        <f>HYPERLINK("Melting_Curves/meltCurve_Q9H1E3_NUCKS1.pdf", "Melting_Curves/meltCurve_Q9H1E3_NUCKS1.pdf")</f>
        <v>Melting_Curves/meltCurve_Q9H1E3_NUCKS1.pdf</v>
      </c>
    </row>
    <row r="5570" spans="1:28" x14ac:dyDescent="0.25">
      <c r="A5570" t="s">
        <v>5574</v>
      </c>
      <c r="B5570">
        <v>0.99472303558308395</v>
      </c>
      <c r="C5570">
        <v>0.97657660897066201</v>
      </c>
      <c r="D5570">
        <v>0.838396999325148</v>
      </c>
      <c r="E5570">
        <v>0.73004468947417001</v>
      </c>
      <c r="F5570">
        <v>0.41755470203529998</v>
      </c>
      <c r="G5570">
        <v>0.14210379893782299</v>
      </c>
      <c r="H5570">
        <v>9.7063379380972301E-2</v>
      </c>
      <c r="I5570">
        <v>7.0096859831684497E-2</v>
      </c>
      <c r="J5570">
        <v>8.0495668361563397E-2</v>
      </c>
      <c r="K5570">
        <v>7.6430822939583198E-2</v>
      </c>
      <c r="L5570">
        <v>856.16718928237003</v>
      </c>
      <c r="M5570">
        <v>17.6229123514935</v>
      </c>
      <c r="N5570">
        <v>48.866512877431397</v>
      </c>
      <c r="O5570">
        <v>47.969996411337704</v>
      </c>
      <c r="P5570">
        <v>-8.7379202406668202E-2</v>
      </c>
      <c r="Q5570">
        <v>4.86577540482801E-2</v>
      </c>
      <c r="R5570">
        <v>0.99238709743253195</v>
      </c>
      <c r="S5570" t="s">
        <v>12138</v>
      </c>
      <c r="T5570" t="s">
        <v>13134</v>
      </c>
      <c r="U5570" t="s">
        <v>13134</v>
      </c>
      <c r="V5570" t="s">
        <v>13134</v>
      </c>
      <c r="W5570" t="s">
        <v>18638</v>
      </c>
      <c r="X5570">
        <v>15</v>
      </c>
      <c r="Y5570" t="s">
        <v>25001</v>
      </c>
      <c r="Z5570" t="s">
        <v>31538</v>
      </c>
      <c r="AA5570">
        <v>0.43170162486483171</v>
      </c>
      <c r="AB5570" t="str">
        <f>HYPERLINK("Melting_Curves/meltCurve_Q9H1H9_3_KIF13A.pdf", "Melting_Curves/meltCurve_Q9H1H9_3_KIF13A.pdf")</f>
        <v>Melting_Curves/meltCurve_Q9H1H9_3_KIF13A.pdf</v>
      </c>
    </row>
    <row r="5571" spans="1:28" x14ac:dyDescent="0.25">
      <c r="A5571" t="s">
        <v>5575</v>
      </c>
      <c r="B5571">
        <v>0.99472303558308395</v>
      </c>
      <c r="C5571">
        <v>1.0652517361287901</v>
      </c>
      <c r="D5571">
        <v>0.84133293598011305</v>
      </c>
      <c r="E5571">
        <v>0.74408904508414098</v>
      </c>
      <c r="F5571">
        <v>0.49704025124685303</v>
      </c>
      <c r="G5571">
        <v>0.33832122880000998</v>
      </c>
      <c r="H5571">
        <v>0.243730080407351</v>
      </c>
      <c r="I5571">
        <v>0.28083646175729099</v>
      </c>
      <c r="J5571">
        <v>0.37479081030425598</v>
      </c>
      <c r="K5571">
        <v>0.269185663131633</v>
      </c>
      <c r="L5571">
        <v>901.30851122244201</v>
      </c>
      <c r="M5571">
        <v>18.902321190945699</v>
      </c>
      <c r="N5571">
        <v>49.852714896988303</v>
      </c>
      <c r="O5571">
        <v>47.158364146178201</v>
      </c>
      <c r="P5571">
        <v>-7.2109616267977794E-2</v>
      </c>
      <c r="Q5571">
        <v>0.28041997138631802</v>
      </c>
      <c r="R5571">
        <v>0.97082761457105504</v>
      </c>
      <c r="S5571" t="s">
        <v>12139</v>
      </c>
      <c r="T5571" t="s">
        <v>13134</v>
      </c>
      <c r="U5571" t="s">
        <v>13134</v>
      </c>
      <c r="V5571" t="s">
        <v>13134</v>
      </c>
      <c r="W5571" t="s">
        <v>18639</v>
      </c>
      <c r="X5571">
        <v>3</v>
      </c>
      <c r="Y5571" t="s">
        <v>25002</v>
      </c>
      <c r="Z5571" t="s">
        <v>31539</v>
      </c>
      <c r="AA5571">
        <v>0.54715971459077062</v>
      </c>
      <c r="AB5571" t="str">
        <f>HYPERLINK("Melting_Curves/meltCurve_Q9H1J1_2_UPF3A.pdf", "Melting_Curves/meltCurve_Q9H1J1_2_UPF3A.pdf")</f>
        <v>Melting_Curves/meltCurve_Q9H1J1_2_UPF3A.pdf</v>
      </c>
    </row>
    <row r="5572" spans="1:28" x14ac:dyDescent="0.25">
      <c r="A5572" t="s">
        <v>5576</v>
      </c>
      <c r="B5572">
        <v>0.99472303558308395</v>
      </c>
      <c r="C5572">
        <v>1.1329960934844601</v>
      </c>
      <c r="D5572">
        <v>0.87566418345977803</v>
      </c>
      <c r="E5572">
        <v>0.852029208042696</v>
      </c>
      <c r="F5572">
        <v>0.16035206046976999</v>
      </c>
      <c r="G5572">
        <v>5.8723309944254398E-2</v>
      </c>
      <c r="H5572">
        <v>2.2006161550425E-2</v>
      </c>
      <c r="I5572">
        <v>3.0836903479956799E-2</v>
      </c>
      <c r="J5572">
        <v>0</v>
      </c>
      <c r="K5572">
        <v>2.4699505114051001E-2</v>
      </c>
      <c r="L5572">
        <v>2222.1551055454802</v>
      </c>
      <c r="M5572">
        <v>46.026651801417799</v>
      </c>
      <c r="N5572">
        <v>48.3320819855672</v>
      </c>
      <c r="O5572">
        <v>48.188872630228801</v>
      </c>
      <c r="P5572">
        <v>-0.23297940547997201</v>
      </c>
      <c r="Q5572">
        <v>2.4304298659107802E-2</v>
      </c>
      <c r="R5572">
        <v>0.98370730218358005</v>
      </c>
      <c r="S5572" t="s">
        <v>12140</v>
      </c>
      <c r="T5572" t="s">
        <v>13134</v>
      </c>
      <c r="U5572" t="s">
        <v>13134</v>
      </c>
      <c r="V5572" t="s">
        <v>13134</v>
      </c>
      <c r="W5572" t="s">
        <v>18640</v>
      </c>
      <c r="X5572">
        <v>4</v>
      </c>
      <c r="Y5572" t="s">
        <v>25003</v>
      </c>
      <c r="Z5572" t="s">
        <v>31540</v>
      </c>
      <c r="AA5572">
        <v>0.39361210650249262</v>
      </c>
      <c r="AB5572" t="str">
        <f>HYPERLINK("Melting_Curves/meltCurve_Q9H1K0_ZFYVE20.pdf", "Melting_Curves/meltCurve_Q9H1K0_ZFYVE20.pdf")</f>
        <v>Melting_Curves/meltCurve_Q9H1K0_ZFYVE20.pdf</v>
      </c>
    </row>
    <row r="5573" spans="1:28" x14ac:dyDescent="0.25">
      <c r="A5573" t="s">
        <v>5577</v>
      </c>
      <c r="B5573">
        <v>0.99472303558308395</v>
      </c>
      <c r="C5573">
        <v>0.88100524684890502</v>
      </c>
      <c r="D5573">
        <v>1.0295619434093199</v>
      </c>
      <c r="E5573">
        <v>0.87825852477059796</v>
      </c>
      <c r="F5573">
        <v>0.56739315446624194</v>
      </c>
      <c r="G5573">
        <v>0.46456119882369601</v>
      </c>
      <c r="H5573">
        <v>0.39156250876238402</v>
      </c>
      <c r="I5573">
        <v>0.35607810585941602</v>
      </c>
      <c r="J5573">
        <v>0.406780419300106</v>
      </c>
      <c r="K5573">
        <v>0.27614514656633599</v>
      </c>
      <c r="L5573">
        <v>1177.7940320903001</v>
      </c>
      <c r="M5573">
        <v>23.9506053504618</v>
      </c>
      <c r="N5573">
        <v>51.844504253963898</v>
      </c>
      <c r="O5573">
        <v>48.8369840984194</v>
      </c>
      <c r="P5573">
        <v>-7.9172066425058404E-2</v>
      </c>
      <c r="Q5573">
        <v>0.35426044878583601</v>
      </c>
      <c r="R5573">
        <v>0.96320012430270696</v>
      </c>
      <c r="S5573" t="s">
        <v>12141</v>
      </c>
      <c r="T5573" t="s">
        <v>13134</v>
      </c>
      <c r="U5573" t="s">
        <v>13134</v>
      </c>
      <c r="V5573" t="s">
        <v>13134</v>
      </c>
      <c r="W5573" t="s">
        <v>18641</v>
      </c>
      <c r="X5573">
        <v>10</v>
      </c>
      <c r="Y5573" t="s">
        <v>25004</v>
      </c>
      <c r="Z5573" t="s">
        <v>31541</v>
      </c>
      <c r="AA5573">
        <v>0.62241875235465971</v>
      </c>
      <c r="AB5573" t="str">
        <f>HYPERLINK("Melting_Curves/meltCurve_Q9H1K1_ISCU.pdf", "Melting_Curves/meltCurve_Q9H1K1_ISCU.pdf")</f>
        <v>Melting_Curves/meltCurve_Q9H1K1_ISCU.pdf</v>
      </c>
    </row>
    <row r="5574" spans="1:28" x14ac:dyDescent="0.25">
      <c r="A5574" t="s">
        <v>5578</v>
      </c>
      <c r="B5574">
        <v>0.99472303558308395</v>
      </c>
      <c r="C5574">
        <v>0.97989614093252098</v>
      </c>
      <c r="D5574">
        <v>0.91489069553900704</v>
      </c>
      <c r="E5574">
        <v>0.86435016686896804</v>
      </c>
      <c r="F5574">
        <v>0.71031514323913902</v>
      </c>
      <c r="G5574">
        <v>0.404012686805026</v>
      </c>
      <c r="H5574">
        <v>0.124067103110285</v>
      </c>
      <c r="I5574">
        <v>9.4096683612644297E-2</v>
      </c>
      <c r="J5574">
        <v>9.6306502338182595E-2</v>
      </c>
      <c r="K5574">
        <v>7.8051382446195194E-2</v>
      </c>
      <c r="L5574">
        <v>974.44746223212405</v>
      </c>
      <c r="M5574">
        <v>18.728873312294098</v>
      </c>
      <c r="N5574">
        <v>52.2957959698686</v>
      </c>
      <c r="O5574">
        <v>51.446866333830997</v>
      </c>
      <c r="P5574">
        <v>-8.6869995007834697E-2</v>
      </c>
      <c r="Q5574">
        <v>4.5537565629839002E-2</v>
      </c>
      <c r="R5574">
        <v>0.99141256628490704</v>
      </c>
      <c r="S5574" t="s">
        <v>12142</v>
      </c>
      <c r="T5574" t="s">
        <v>13134</v>
      </c>
      <c r="U5574" t="s">
        <v>13134</v>
      </c>
      <c r="V5574" t="s">
        <v>13134</v>
      </c>
      <c r="W5574" t="s">
        <v>18642</v>
      </c>
      <c r="X5574">
        <v>3</v>
      </c>
      <c r="Y5574" t="s">
        <v>25005</v>
      </c>
      <c r="Z5574" t="s">
        <v>31542</v>
      </c>
      <c r="AA5574">
        <v>0.53730883049667599</v>
      </c>
      <c r="AB5574" t="str">
        <f>HYPERLINK("Melting_Curves/meltCurve_Q9H1K6_MESDC1.pdf", "Melting_Curves/meltCurve_Q9H1K6_MESDC1.pdf")</f>
        <v>Melting_Curves/meltCurve_Q9H1K6_MESDC1.pdf</v>
      </c>
    </row>
    <row r="5575" spans="1:28" x14ac:dyDescent="0.25">
      <c r="A5575" t="s">
        <v>5579</v>
      </c>
      <c r="B5575">
        <v>0.99472303558308395</v>
      </c>
      <c r="C5575">
        <v>0.91506269479558699</v>
      </c>
      <c r="D5575">
        <v>0.73525779086607701</v>
      </c>
      <c r="E5575">
        <v>0.39795613998860302</v>
      </c>
      <c r="F5575">
        <v>0.25603379084234601</v>
      </c>
      <c r="G5575">
        <v>0.104253545991775</v>
      </c>
      <c r="H5575">
        <v>5.6125637604257803E-2</v>
      </c>
      <c r="I5575">
        <v>2.5651176447687898E-2</v>
      </c>
      <c r="J5575">
        <v>2.8576501847692299E-2</v>
      </c>
      <c r="K5575">
        <v>1.9972151466313998E-2</v>
      </c>
      <c r="L5575">
        <v>701.62270871046599</v>
      </c>
      <c r="M5575">
        <v>15.353027124955</v>
      </c>
      <c r="N5575">
        <v>45.796783343029901</v>
      </c>
      <c r="O5575">
        <v>44.945050633891498</v>
      </c>
      <c r="P5575">
        <v>-8.4033842930096594E-2</v>
      </c>
      <c r="Q5575">
        <v>1.6074940757259602E-2</v>
      </c>
      <c r="R5575">
        <v>0.99715521014738095</v>
      </c>
      <c r="S5575" t="s">
        <v>12143</v>
      </c>
      <c r="T5575" t="s">
        <v>13134</v>
      </c>
      <c r="U5575" t="s">
        <v>13134</v>
      </c>
      <c r="V5575" t="s">
        <v>13134</v>
      </c>
      <c r="W5575" t="s">
        <v>18643</v>
      </c>
      <c r="X5575">
        <v>5</v>
      </c>
      <c r="Y5575" t="s">
        <v>25006</v>
      </c>
      <c r="Z5575" t="s">
        <v>31543</v>
      </c>
      <c r="AA5575">
        <v>0.32326594022402749</v>
      </c>
      <c r="AB5575" t="str">
        <f>HYPERLINK("Melting_Curves/meltCurve_Q9H1P3_2_OSBPL2.pdf", "Melting_Curves/meltCurve_Q9H1P3_2_OSBPL2.pdf")</f>
        <v>Melting_Curves/meltCurve_Q9H1P3_2_OSBPL2.pdf</v>
      </c>
    </row>
    <row r="5576" spans="1:28" x14ac:dyDescent="0.25">
      <c r="A5576" t="s">
        <v>5580</v>
      </c>
      <c r="B5576">
        <v>0.99472303558308395</v>
      </c>
      <c r="C5576">
        <v>0.90482025314049297</v>
      </c>
      <c r="D5576">
        <v>0.78403724044895196</v>
      </c>
      <c r="E5576">
        <v>0.66646255139093102</v>
      </c>
      <c r="F5576">
        <v>0.51292056019408605</v>
      </c>
      <c r="G5576">
        <v>0.28579433130064402</v>
      </c>
      <c r="H5576">
        <v>0.133775971324431</v>
      </c>
      <c r="I5576">
        <v>0.101941321318121</v>
      </c>
      <c r="J5576">
        <v>0.125780009246447</v>
      </c>
      <c r="K5576">
        <v>9.1521643850335496E-2</v>
      </c>
      <c r="L5576">
        <v>523.67313554445002</v>
      </c>
      <c r="M5576">
        <v>10.634957963392401</v>
      </c>
      <c r="N5576">
        <v>49.376471262594499</v>
      </c>
      <c r="O5576">
        <v>47.5954244775576</v>
      </c>
      <c r="P5576">
        <v>-5.50775878147855E-2</v>
      </c>
      <c r="Q5576">
        <v>1.44071941198808E-2</v>
      </c>
      <c r="R5576">
        <v>0.98960248931208905</v>
      </c>
      <c r="S5576" t="s">
        <v>12144</v>
      </c>
      <c r="T5576" t="s">
        <v>13134</v>
      </c>
      <c r="U5576" t="s">
        <v>13134</v>
      </c>
      <c r="V5576" t="s">
        <v>13134</v>
      </c>
      <c r="W5576" t="s">
        <v>18644</v>
      </c>
      <c r="X5576">
        <v>5</v>
      </c>
      <c r="Y5576" t="s">
        <v>25007</v>
      </c>
      <c r="Z5576" t="s">
        <v>31544</v>
      </c>
      <c r="AA5576">
        <v>0.4500315977000654</v>
      </c>
      <c r="AB5576" t="str">
        <f>HYPERLINK("Melting_Curves/meltCurve_Q9H1Y0_ATG5.pdf", "Melting_Curves/meltCurve_Q9H1Y0_ATG5.pdf")</f>
        <v>Melting_Curves/meltCurve_Q9H1Y0_ATG5.pdf</v>
      </c>
    </row>
    <row r="5577" spans="1:28" x14ac:dyDescent="0.25">
      <c r="A5577" t="s">
        <v>5581</v>
      </c>
      <c r="B5577">
        <v>0.99472303558308395</v>
      </c>
      <c r="C5577">
        <v>1.00537842935484</v>
      </c>
      <c r="D5577">
        <v>0.89116418143156195</v>
      </c>
      <c r="E5577">
        <v>0.71907084784602504</v>
      </c>
      <c r="F5577">
        <v>0.52872190104351702</v>
      </c>
      <c r="G5577">
        <v>0.38295390998808898</v>
      </c>
      <c r="H5577">
        <v>0.307037977715095</v>
      </c>
      <c r="I5577">
        <v>0.279123371035921</v>
      </c>
      <c r="J5577">
        <v>0.39264024598057401</v>
      </c>
      <c r="K5577">
        <v>0.121883883247415</v>
      </c>
      <c r="L5577">
        <v>693.34837696668296</v>
      </c>
      <c r="M5577">
        <v>14.2866711827799</v>
      </c>
      <c r="N5577">
        <v>50.794477068089499</v>
      </c>
      <c r="O5577">
        <v>47.609993647046402</v>
      </c>
      <c r="P5577">
        <v>-5.7362625818995899E-2</v>
      </c>
      <c r="Q5577">
        <v>0.23545509624722</v>
      </c>
      <c r="R5577">
        <v>0.96068963972829002</v>
      </c>
      <c r="S5577" t="s">
        <v>12145</v>
      </c>
      <c r="T5577" t="s">
        <v>13134</v>
      </c>
      <c r="U5577" t="s">
        <v>13134</v>
      </c>
      <c r="V5577" t="s">
        <v>13134</v>
      </c>
      <c r="W5577" t="s">
        <v>18645</v>
      </c>
      <c r="X5577">
        <v>4</v>
      </c>
      <c r="Y5577" t="s">
        <v>25008</v>
      </c>
      <c r="Z5577" t="s">
        <v>31545</v>
      </c>
      <c r="AA5577">
        <v>0.54730932664680476</v>
      </c>
      <c r="AB5577" t="str">
        <f>HYPERLINK("Melting_Curves/meltCurve_Q9H1Z4_WDR13.pdf", "Melting_Curves/meltCurve_Q9H1Z4_WDR13.pdf")</f>
        <v>Melting_Curves/meltCurve_Q9H1Z4_WDR13.pdf</v>
      </c>
    </row>
    <row r="5578" spans="1:28" x14ac:dyDescent="0.25">
      <c r="A5578" t="s">
        <v>5582</v>
      </c>
      <c r="B5578">
        <v>0.99472303558308395</v>
      </c>
      <c r="C5578">
        <v>0.83224338444671797</v>
      </c>
      <c r="D5578">
        <v>0.74577279092770299</v>
      </c>
      <c r="E5578">
        <v>0.457358443620971</v>
      </c>
      <c r="F5578">
        <v>0.30965439740172701</v>
      </c>
      <c r="G5578">
        <v>0.15317471681895001</v>
      </c>
      <c r="H5578">
        <v>9.3573143646365903E-2</v>
      </c>
      <c r="I5578">
        <v>6.26486069372202E-2</v>
      </c>
      <c r="J5578">
        <v>0.106223894894723</v>
      </c>
      <c r="K5578">
        <v>5.32839823886712E-2</v>
      </c>
      <c r="L5578">
        <v>591.40773088395599</v>
      </c>
      <c r="M5578">
        <v>12.882313329324401</v>
      </c>
      <c r="N5578">
        <v>46.231406279413797</v>
      </c>
      <c r="O5578">
        <v>44.844473418072603</v>
      </c>
      <c r="P5578">
        <v>-6.8739409581362598E-2</v>
      </c>
      <c r="Q5578">
        <v>4.3023568761340399E-2</v>
      </c>
      <c r="R5578">
        <v>0.99310472410803796</v>
      </c>
      <c r="S5578" t="s">
        <v>12146</v>
      </c>
      <c r="T5578" t="s">
        <v>13134</v>
      </c>
      <c r="U5578" t="s">
        <v>13134</v>
      </c>
      <c r="V5578" t="s">
        <v>13134</v>
      </c>
      <c r="W5578" t="s">
        <v>18646</v>
      </c>
      <c r="X5578">
        <v>2</v>
      </c>
      <c r="Y5578" t="s">
        <v>25009</v>
      </c>
      <c r="Z5578" t="s">
        <v>31546</v>
      </c>
      <c r="AA5578">
        <v>0.35649641618262939</v>
      </c>
      <c r="AB5578" t="str">
        <f>HYPERLINK("Melting_Curves/meltCurve_Q9H211_CDT1.pdf", "Melting_Curves/meltCurve_Q9H211_CDT1.pdf")</f>
        <v>Melting_Curves/meltCurve_Q9H211_CDT1.pdf</v>
      </c>
    </row>
    <row r="5579" spans="1:28" x14ac:dyDescent="0.25">
      <c r="A5579" t="s">
        <v>5583</v>
      </c>
      <c r="B5579">
        <v>0.99472303558308395</v>
      </c>
      <c r="C5579">
        <v>1.02097310307612</v>
      </c>
      <c r="D5579">
        <v>1.0046698545361401</v>
      </c>
      <c r="E5579">
        <v>0.86679170230609504</v>
      </c>
      <c r="F5579">
        <v>0.51927293037665401</v>
      </c>
      <c r="G5579">
        <v>0.164537855509202</v>
      </c>
      <c r="H5579">
        <v>9.5021150610131194E-2</v>
      </c>
      <c r="I5579">
        <v>7.43230130202015E-2</v>
      </c>
      <c r="J5579">
        <v>8.7080278977956505E-2</v>
      </c>
      <c r="K5579">
        <v>6.9875324877077705E-2</v>
      </c>
      <c r="L5579">
        <v>1377.5574548618999</v>
      </c>
      <c r="M5579">
        <v>27.579975630191999</v>
      </c>
      <c r="N5579">
        <v>50.223998228010302</v>
      </c>
      <c r="O5579">
        <v>49.687364910565201</v>
      </c>
      <c r="P5579">
        <v>-0.129002434309585</v>
      </c>
      <c r="Q5579">
        <v>7.0378816971901806E-2</v>
      </c>
      <c r="R5579">
        <v>0.99882781182358904</v>
      </c>
      <c r="S5579" t="s">
        <v>12147</v>
      </c>
      <c r="T5579" t="s">
        <v>13134</v>
      </c>
      <c r="U5579" t="s">
        <v>13134</v>
      </c>
      <c r="V5579" t="s">
        <v>13134</v>
      </c>
      <c r="W5579" t="s">
        <v>18647</v>
      </c>
      <c r="X5579">
        <v>22</v>
      </c>
      <c r="Y5579" t="s">
        <v>25010</v>
      </c>
      <c r="Z5579" t="s">
        <v>31547</v>
      </c>
      <c r="AA5579">
        <v>0.47831758051736201</v>
      </c>
      <c r="AB5579" t="str">
        <f>HYPERLINK("Melting_Curves/meltCurve_Q9H223_EHD4.pdf", "Melting_Curves/meltCurve_Q9H223_EHD4.pdf")</f>
        <v>Melting_Curves/meltCurve_Q9H223_EHD4.pdf</v>
      </c>
    </row>
    <row r="5580" spans="1:28" x14ac:dyDescent="0.25">
      <c r="A5580" t="s">
        <v>5584</v>
      </c>
      <c r="B5580">
        <v>0.99472303558308395</v>
      </c>
      <c r="C5580">
        <v>0.884089482920414</v>
      </c>
      <c r="D5580">
        <v>0.78440920065721198</v>
      </c>
      <c r="E5580">
        <v>0.59246248528201095</v>
      </c>
      <c r="F5580">
        <v>0.72448274159157899</v>
      </c>
      <c r="G5580">
        <v>0.22774426958987601</v>
      </c>
      <c r="H5580">
        <v>0.14470228901732601</v>
      </c>
      <c r="I5580">
        <v>6.7038321255683805E-2</v>
      </c>
      <c r="J5580">
        <v>6.3589931219085002E-2</v>
      </c>
      <c r="K5580">
        <v>6.7058532842250398E-2</v>
      </c>
      <c r="L5580">
        <v>535.47890704548797</v>
      </c>
      <c r="M5580">
        <v>10.7527135259751</v>
      </c>
      <c r="N5580">
        <v>49.799416252825097</v>
      </c>
      <c r="O5580">
        <v>48.169745639856998</v>
      </c>
      <c r="P5580">
        <v>-5.5826914664709099E-2</v>
      </c>
      <c r="Q5580">
        <v>0</v>
      </c>
      <c r="R5580">
        <v>0.93196792859633004</v>
      </c>
      <c r="S5580" t="s">
        <v>12148</v>
      </c>
      <c r="T5580" t="s">
        <v>13134</v>
      </c>
      <c r="U5580" t="s">
        <v>13134</v>
      </c>
      <c r="V5580" t="s">
        <v>13134</v>
      </c>
      <c r="W5580" t="s">
        <v>18648</v>
      </c>
      <c r="X5580">
        <v>7</v>
      </c>
      <c r="Y5580" t="s">
        <v>25011</v>
      </c>
      <c r="Z5580" t="s">
        <v>31548</v>
      </c>
      <c r="AA5580">
        <v>0.45876191771485331</v>
      </c>
      <c r="AB5580" t="str">
        <f>HYPERLINK("Melting_Curves/meltCurve_Q9H257_2_CARD9.pdf", "Melting_Curves/meltCurve_Q9H257_2_CARD9.pdf")</f>
        <v>Melting_Curves/meltCurve_Q9H257_2_CARD9.pdf</v>
      </c>
    </row>
    <row r="5581" spans="1:28" x14ac:dyDescent="0.25">
      <c r="A5581" t="s">
        <v>5585</v>
      </c>
      <c r="B5581">
        <v>0.99472303558308395</v>
      </c>
      <c r="C5581">
        <v>0.89508455281348298</v>
      </c>
      <c r="D5581">
        <v>0.91323565504236004</v>
      </c>
      <c r="E5581">
        <v>0.63398383600707098</v>
      </c>
      <c r="F5581">
        <v>0.19197859120139299</v>
      </c>
      <c r="G5581">
        <v>9.70089381790009E-2</v>
      </c>
      <c r="H5581">
        <v>5.7510017581396199E-2</v>
      </c>
      <c r="I5581">
        <v>3.9242882904942197E-2</v>
      </c>
      <c r="J5581">
        <v>4.1526852920394798E-2</v>
      </c>
      <c r="K5581">
        <v>3.5000962088618602E-2</v>
      </c>
      <c r="L5581">
        <v>1184.78332784035</v>
      </c>
      <c r="M5581">
        <v>25.043474592277001</v>
      </c>
      <c r="N5581">
        <v>47.459900720165798</v>
      </c>
      <c r="O5581">
        <v>47.010510039916397</v>
      </c>
      <c r="P5581">
        <v>-0.12808725704521101</v>
      </c>
      <c r="Q5581">
        <v>3.8253880287188402E-2</v>
      </c>
      <c r="R5581">
        <v>0.99282774137557595</v>
      </c>
      <c r="S5581" t="s">
        <v>12149</v>
      </c>
      <c r="T5581" t="s">
        <v>13134</v>
      </c>
      <c r="U5581" t="s">
        <v>13134</v>
      </c>
      <c r="V5581" t="s">
        <v>13134</v>
      </c>
      <c r="W5581" t="s">
        <v>18649</v>
      </c>
      <c r="X5581">
        <v>19</v>
      </c>
      <c r="Y5581" t="s">
        <v>25012</v>
      </c>
      <c r="Z5581" t="s">
        <v>31549</v>
      </c>
      <c r="AA5581">
        <v>0.37682906972807029</v>
      </c>
      <c r="AB5581" t="str">
        <f>HYPERLINK("Melting_Curves/meltCurve_Q9H267_VPS33B.pdf", "Melting_Curves/meltCurve_Q9H267_VPS33B.pdf")</f>
        <v>Melting_Curves/meltCurve_Q9H267_VPS33B.pdf</v>
      </c>
    </row>
    <row r="5582" spans="1:28" x14ac:dyDescent="0.25">
      <c r="A5582" t="s">
        <v>5586</v>
      </c>
      <c r="B5582">
        <v>0.99472303558308395</v>
      </c>
      <c r="C5582">
        <v>0.87624925665919295</v>
      </c>
      <c r="D5582">
        <v>0.74655312892828196</v>
      </c>
      <c r="E5582">
        <v>0.417670906108636</v>
      </c>
      <c r="F5582">
        <v>0.15316694835953301</v>
      </c>
      <c r="G5582">
        <v>9.0495477728909604E-2</v>
      </c>
      <c r="H5582">
        <v>8.9371629221772095E-2</v>
      </c>
      <c r="I5582">
        <v>5.1682602154791299E-2</v>
      </c>
      <c r="J5582">
        <v>8.4638620522090105E-2</v>
      </c>
      <c r="K5582">
        <v>8.3797230592300903E-2</v>
      </c>
      <c r="L5582">
        <v>842.14672186283997</v>
      </c>
      <c r="M5582">
        <v>18.664456027892001</v>
      </c>
      <c r="N5582">
        <v>45.4452649993408</v>
      </c>
      <c r="O5582">
        <v>44.611961750874499</v>
      </c>
      <c r="P5582">
        <v>-9.8064863208333103E-2</v>
      </c>
      <c r="Q5582">
        <v>6.2457791827695598E-2</v>
      </c>
      <c r="R5582">
        <v>0.995577537254419</v>
      </c>
      <c r="S5582" t="s">
        <v>12150</v>
      </c>
      <c r="T5582" t="s">
        <v>13134</v>
      </c>
      <c r="U5582" t="s">
        <v>13134</v>
      </c>
      <c r="V5582" t="s">
        <v>13134</v>
      </c>
      <c r="W5582" t="s">
        <v>18650</v>
      </c>
      <c r="X5582">
        <v>8</v>
      </c>
      <c r="Y5582" t="s">
        <v>25013</v>
      </c>
      <c r="Z5582" t="s">
        <v>31550</v>
      </c>
      <c r="AA5582">
        <v>0.33044822516152172</v>
      </c>
      <c r="AB5582" t="str">
        <f>HYPERLINK("Melting_Curves/meltCurve_Q9H269_VPS16.pdf", "Melting_Curves/meltCurve_Q9H269_VPS16.pdf")</f>
        <v>Melting_Curves/meltCurve_Q9H269_VPS16.pdf</v>
      </c>
    </row>
    <row r="5583" spans="1:28" x14ac:dyDescent="0.25">
      <c r="A5583" t="s">
        <v>5587</v>
      </c>
      <c r="B5583">
        <v>0.99472303558308395</v>
      </c>
      <c r="C5583">
        <v>1.02351438961035</v>
      </c>
      <c r="D5583">
        <v>0.80892993341962505</v>
      </c>
      <c r="E5583">
        <v>0.55028445154586303</v>
      </c>
      <c r="F5583">
        <v>0.24127311397669299</v>
      </c>
      <c r="G5583">
        <v>0.11516717148663599</v>
      </c>
      <c r="H5583">
        <v>7.6034778018535906E-2</v>
      </c>
      <c r="I5583">
        <v>5.64264610471805E-2</v>
      </c>
      <c r="J5583">
        <v>7.4085897210526996E-2</v>
      </c>
      <c r="K5583">
        <v>5.1484294841565401E-2</v>
      </c>
      <c r="L5583">
        <v>904.64010734037004</v>
      </c>
      <c r="M5583">
        <v>19.385682359639599</v>
      </c>
      <c r="N5583">
        <v>46.9369981009228</v>
      </c>
      <c r="O5583">
        <v>46.177301800392101</v>
      </c>
      <c r="P5583">
        <v>-9.9387253519060706E-2</v>
      </c>
      <c r="Q5583">
        <v>5.3060504536372399E-2</v>
      </c>
      <c r="R5583">
        <v>0.99630774506036501</v>
      </c>
      <c r="S5583" t="s">
        <v>12151</v>
      </c>
      <c r="T5583" t="s">
        <v>13134</v>
      </c>
      <c r="U5583" t="s">
        <v>13134</v>
      </c>
      <c r="V5583" t="s">
        <v>13134</v>
      </c>
      <c r="W5583" t="s">
        <v>18651</v>
      </c>
      <c r="X5583">
        <v>12</v>
      </c>
      <c r="Y5583" t="s">
        <v>25014</v>
      </c>
      <c r="Z5583" t="s">
        <v>31551</v>
      </c>
      <c r="AA5583">
        <v>0.37131808377016001</v>
      </c>
      <c r="AB5583" t="str">
        <f>HYPERLINK("Melting_Curves/meltCurve_Q9H270_VPS11.pdf", "Melting_Curves/meltCurve_Q9H270_VPS11.pdf")</f>
        <v>Melting_Curves/meltCurve_Q9H270_VPS11.pdf</v>
      </c>
    </row>
    <row r="5584" spans="1:28" x14ac:dyDescent="0.25">
      <c r="A5584" t="s">
        <v>5588</v>
      </c>
      <c r="B5584">
        <v>0.99472303558308395</v>
      </c>
      <c r="C5584">
        <v>0.940287552695528</v>
      </c>
      <c r="D5584">
        <v>0.91736041248693201</v>
      </c>
      <c r="E5584">
        <v>0.77819280108442801</v>
      </c>
      <c r="F5584">
        <v>0.45743893366758398</v>
      </c>
      <c r="G5584">
        <v>0.17947967474295301</v>
      </c>
      <c r="H5584">
        <v>0.120634144231493</v>
      </c>
      <c r="I5584">
        <v>6.9005737847777998E-2</v>
      </c>
      <c r="J5584">
        <v>9.0519863791499705E-2</v>
      </c>
      <c r="K5584">
        <v>8.3329123793637702E-2</v>
      </c>
      <c r="L5584">
        <v>978.88834601307303</v>
      </c>
      <c r="M5584">
        <v>19.900701862501201</v>
      </c>
      <c r="N5584">
        <v>49.5411422470156</v>
      </c>
      <c r="O5584">
        <v>48.700031991843098</v>
      </c>
      <c r="P5584">
        <v>-9.5418514502892002E-2</v>
      </c>
      <c r="Q5584">
        <v>6.6016788503229298E-2</v>
      </c>
      <c r="R5584">
        <v>0.99613920937893097</v>
      </c>
      <c r="S5584" t="s">
        <v>12152</v>
      </c>
      <c r="T5584" t="s">
        <v>13134</v>
      </c>
      <c r="U5584" t="s">
        <v>13134</v>
      </c>
      <c r="V5584" t="s">
        <v>13134</v>
      </c>
      <c r="W5584" t="s">
        <v>18652</v>
      </c>
      <c r="X5584">
        <v>14</v>
      </c>
      <c r="Y5584" t="s">
        <v>25015</v>
      </c>
      <c r="Z5584" t="s">
        <v>31552</v>
      </c>
      <c r="AA5584">
        <v>0.45790177645582558</v>
      </c>
      <c r="AB5584" t="str">
        <f>HYPERLINK("Melting_Curves/meltCurve_Q9H2C0_GAN.pdf", "Melting_Curves/meltCurve_Q9H2C0_GAN.pdf")</f>
        <v>Melting_Curves/meltCurve_Q9H2C0_GAN.pdf</v>
      </c>
    </row>
    <row r="5585" spans="1:28" x14ac:dyDescent="0.25">
      <c r="A5585" t="s">
        <v>5589</v>
      </c>
      <c r="B5585">
        <v>0.99472303558308395</v>
      </c>
      <c r="C5585">
        <v>0.94934462933050301</v>
      </c>
      <c r="D5585">
        <v>0.88343853415322404</v>
      </c>
      <c r="E5585">
        <v>0.65172848268794903</v>
      </c>
      <c r="F5585">
        <v>0.50079608582545099</v>
      </c>
      <c r="G5585">
        <v>0.37104085446128998</v>
      </c>
      <c r="H5585">
        <v>0.31231408216686801</v>
      </c>
      <c r="I5585">
        <v>0.28048363561615702</v>
      </c>
      <c r="J5585">
        <v>0.191378943161918</v>
      </c>
      <c r="K5585">
        <v>0.122437286532215</v>
      </c>
      <c r="L5585">
        <v>532.39567336736798</v>
      </c>
      <c r="M5585">
        <v>10.838013918985601</v>
      </c>
      <c r="N5585">
        <v>50.5525189690415</v>
      </c>
      <c r="O5585">
        <v>47.539325162796501</v>
      </c>
      <c r="P5585">
        <v>-4.9490328970781899E-2</v>
      </c>
      <c r="Q5585">
        <v>0.131982397764043</v>
      </c>
      <c r="R5585">
        <v>0.988885275060572</v>
      </c>
      <c r="S5585" t="s">
        <v>12153</v>
      </c>
      <c r="T5585" t="s">
        <v>13134</v>
      </c>
      <c r="U5585" t="s">
        <v>13134</v>
      </c>
      <c r="V5585" t="s">
        <v>13134</v>
      </c>
      <c r="W5585" t="s">
        <v>18653</v>
      </c>
      <c r="X5585">
        <v>2</v>
      </c>
      <c r="Y5585" t="s">
        <v>25016</v>
      </c>
      <c r="Z5585" t="s">
        <v>31553</v>
      </c>
      <c r="AA5585">
        <v>0.51184014937623545</v>
      </c>
      <c r="AB5585" t="str">
        <f>HYPERLINK("Melting_Curves/meltCurve_Q9H2D1_SLC25A32.pdf", "Melting_Curves/meltCurve_Q9H2D1_SLC25A32.pdf")</f>
        <v>Melting_Curves/meltCurve_Q9H2D1_SLC25A32.pdf</v>
      </c>
    </row>
    <row r="5586" spans="1:28" x14ac:dyDescent="0.25">
      <c r="A5586" t="s">
        <v>5590</v>
      </c>
      <c r="B5586">
        <v>0.99472303558308395</v>
      </c>
      <c r="C5586">
        <v>1.0037901283596</v>
      </c>
      <c r="D5586">
        <v>1.0251672977758</v>
      </c>
      <c r="E5586">
        <v>0.86662431438169696</v>
      </c>
      <c r="F5586">
        <v>0.153349570565535</v>
      </c>
      <c r="G5586">
        <v>7.7595553984382504E-2</v>
      </c>
      <c r="H5586">
        <v>4.83083461359868E-2</v>
      </c>
      <c r="I5586">
        <v>3.5608699337380603E-2</v>
      </c>
      <c r="J5586">
        <v>5.18512620702987E-2</v>
      </c>
      <c r="K5586">
        <v>3.5885260906982401E-2</v>
      </c>
      <c r="L5586">
        <v>2527.5843422113799</v>
      </c>
      <c r="M5586">
        <v>52.425726746253197</v>
      </c>
      <c r="N5586">
        <v>48.307127077919198</v>
      </c>
      <c r="O5586">
        <v>48.142677268521801</v>
      </c>
      <c r="P5586">
        <v>-0.25897949809734999</v>
      </c>
      <c r="Q5586">
        <v>4.87146187143584E-2</v>
      </c>
      <c r="R5586">
        <v>0.99913454186786899</v>
      </c>
      <c r="S5586" t="s">
        <v>12154</v>
      </c>
      <c r="T5586" t="s">
        <v>13134</v>
      </c>
      <c r="U5586" t="s">
        <v>13134</v>
      </c>
      <c r="V5586" t="s">
        <v>13134</v>
      </c>
      <c r="W5586" t="s">
        <v>18654</v>
      </c>
      <c r="X5586">
        <v>48</v>
      </c>
      <c r="Y5586" t="s">
        <v>25017</v>
      </c>
      <c r="Z5586" t="s">
        <v>31554</v>
      </c>
      <c r="AA5586">
        <v>0.40610220717594958</v>
      </c>
      <c r="AB5586" t="str">
        <f>HYPERLINK("Melting_Curves/meltCurve_Q9H2G2_2_SLK.pdf", "Melting_Curves/meltCurve_Q9H2G2_2_SLK.pdf")</f>
        <v>Melting_Curves/meltCurve_Q9H2G2_2_SLK.pdf</v>
      </c>
    </row>
    <row r="5587" spans="1:28" x14ac:dyDescent="0.25">
      <c r="A5587" t="s">
        <v>5591</v>
      </c>
      <c r="B5587">
        <v>0.99472303558308395</v>
      </c>
      <c r="C5587">
        <v>0.93581619682046102</v>
      </c>
      <c r="D5587">
        <v>0.77075450172580895</v>
      </c>
      <c r="E5587">
        <v>0.56802262263465997</v>
      </c>
      <c r="F5587">
        <v>0.28219515423355102</v>
      </c>
      <c r="G5587">
        <v>0.156723990472588</v>
      </c>
      <c r="H5587">
        <v>0.127158218967552</v>
      </c>
      <c r="I5587">
        <v>7.3235249292251794E-2</v>
      </c>
      <c r="J5587">
        <v>5.9014629867378203E-2</v>
      </c>
      <c r="K5587">
        <v>0.13962218543258201</v>
      </c>
      <c r="L5587">
        <v>736.02888840603305</v>
      </c>
      <c r="M5587">
        <v>15.822698795984101</v>
      </c>
      <c r="N5587">
        <v>47.004036166946698</v>
      </c>
      <c r="O5587">
        <v>45.793268768248801</v>
      </c>
      <c r="P5587">
        <v>-7.9860107790869994E-2</v>
      </c>
      <c r="Q5587">
        <v>7.5567124729550406E-2</v>
      </c>
      <c r="R5587">
        <v>0.99399348175193403</v>
      </c>
      <c r="S5587" t="s">
        <v>12155</v>
      </c>
      <c r="T5587" t="s">
        <v>13134</v>
      </c>
      <c r="U5587" t="s">
        <v>13134</v>
      </c>
      <c r="V5587" t="s">
        <v>13134</v>
      </c>
      <c r="W5587" t="s">
        <v>18655</v>
      </c>
      <c r="X5587">
        <v>2</v>
      </c>
      <c r="Y5587" t="s">
        <v>25018</v>
      </c>
      <c r="Z5587" t="s">
        <v>31555</v>
      </c>
      <c r="AA5587">
        <v>0.38788965123980901</v>
      </c>
      <c r="AB5587" t="str">
        <f>HYPERLINK("Melting_Curves/meltCurve_Q9H2G9_BLZF1.pdf", "Melting_Curves/meltCurve_Q9H2G9_BLZF1.pdf")</f>
        <v>Melting_Curves/meltCurve_Q9H2G9_BLZF1.pdf</v>
      </c>
    </row>
    <row r="5588" spans="1:28" x14ac:dyDescent="0.25">
      <c r="A5588" t="s">
        <v>5592</v>
      </c>
      <c r="B5588">
        <v>0.99472303558308395</v>
      </c>
      <c r="C5588">
        <v>1.0360657191383</v>
      </c>
      <c r="D5588">
        <v>0.82177098943188398</v>
      </c>
      <c r="E5588">
        <v>0.74993734295654702</v>
      </c>
      <c r="F5588">
        <v>0.806516801366706</v>
      </c>
      <c r="G5588">
        <v>0.44795890226759699</v>
      </c>
      <c r="H5588">
        <v>0.27995075234110001</v>
      </c>
      <c r="I5588">
        <v>0.12597463899679001</v>
      </c>
      <c r="J5588">
        <v>0.109844107947246</v>
      </c>
      <c r="K5588">
        <v>0.103325094214599</v>
      </c>
      <c r="L5588">
        <v>626.57890610709296</v>
      </c>
      <c r="M5588">
        <v>11.7923137090468</v>
      </c>
      <c r="N5588">
        <v>53.134518237622501</v>
      </c>
      <c r="O5588">
        <v>51.675564535684899</v>
      </c>
      <c r="P5588">
        <v>-5.7064472328546501E-2</v>
      </c>
      <c r="Q5588">
        <v>0</v>
      </c>
      <c r="R5588">
        <v>0.96131567609968405</v>
      </c>
      <c r="S5588" t="s">
        <v>12156</v>
      </c>
      <c r="T5588" t="s">
        <v>13134</v>
      </c>
      <c r="U5588" t="s">
        <v>13134</v>
      </c>
      <c r="V5588" t="s">
        <v>13134</v>
      </c>
      <c r="W5588" t="s">
        <v>18656</v>
      </c>
      <c r="X5588">
        <v>8</v>
      </c>
      <c r="Y5588" t="s">
        <v>25019</v>
      </c>
      <c r="Z5588" t="s">
        <v>31556</v>
      </c>
      <c r="AA5588">
        <v>0.55866816554488785</v>
      </c>
      <c r="AB5588" t="str">
        <f>HYPERLINK("Melting_Curves/meltCurve_Q9H2J4_PDCL3.pdf", "Melting_Curves/meltCurve_Q9H2J4_PDCL3.pdf")</f>
        <v>Melting_Curves/meltCurve_Q9H2J4_PDCL3.pdf</v>
      </c>
    </row>
    <row r="5589" spans="1:28" x14ac:dyDescent="0.25">
      <c r="A5589" t="s">
        <v>5593</v>
      </c>
      <c r="B5589">
        <v>0.99472303558308395</v>
      </c>
      <c r="C5589">
        <v>0.947240423585749</v>
      </c>
      <c r="D5589">
        <v>1.0860617297034501</v>
      </c>
      <c r="E5589">
        <v>0.78314013882795497</v>
      </c>
      <c r="F5589">
        <v>0.38704497064608401</v>
      </c>
      <c r="G5589">
        <v>0.139501345984059</v>
      </c>
      <c r="H5589">
        <v>6.1875819504631599E-2</v>
      </c>
      <c r="I5589">
        <v>5.9127355609682103E-2</v>
      </c>
      <c r="J5589">
        <v>5.7696804430752403E-2</v>
      </c>
      <c r="K5589">
        <v>5.02314467616293E-2</v>
      </c>
      <c r="L5589">
        <v>1323.4499098149599</v>
      </c>
      <c r="M5589">
        <v>27.0090706580709</v>
      </c>
      <c r="N5589">
        <v>49.206017379011698</v>
      </c>
      <c r="O5589">
        <v>48.733949995538701</v>
      </c>
      <c r="P5589">
        <v>-0.13115456706452</v>
      </c>
      <c r="Q5589">
        <v>5.3411809393845398E-2</v>
      </c>
      <c r="R5589">
        <v>0.99145516008366297</v>
      </c>
      <c r="S5589" t="s">
        <v>12157</v>
      </c>
      <c r="T5589" t="s">
        <v>13134</v>
      </c>
      <c r="U5589" t="s">
        <v>13134</v>
      </c>
      <c r="V5589" t="s">
        <v>13134</v>
      </c>
      <c r="W5589" t="s">
        <v>18657</v>
      </c>
      <c r="X5589">
        <v>2</v>
      </c>
      <c r="Y5589" t="s">
        <v>25020</v>
      </c>
      <c r="Z5589" t="s">
        <v>31557</v>
      </c>
      <c r="AA5589">
        <v>0.43908451802762499</v>
      </c>
      <c r="AB5589" t="str">
        <f>HYPERLINK("Melting_Curves/meltCurve_Q9H2K0_MTIF3.pdf", "Melting_Curves/meltCurve_Q9H2K0_MTIF3.pdf")</f>
        <v>Melting_Curves/meltCurve_Q9H2K0_MTIF3.pdf</v>
      </c>
    </row>
    <row r="5590" spans="1:28" x14ac:dyDescent="0.25">
      <c r="A5590" t="s">
        <v>5594</v>
      </c>
      <c r="B5590">
        <v>0.99472303558308395</v>
      </c>
      <c r="C5590">
        <v>1.0051296684445601</v>
      </c>
      <c r="D5590">
        <v>0.98456449645652899</v>
      </c>
      <c r="E5590">
        <v>0.87152756350296101</v>
      </c>
      <c r="F5590">
        <v>0.48904702540963402</v>
      </c>
      <c r="G5590">
        <v>0.111087929913222</v>
      </c>
      <c r="H5590">
        <v>7.4446535887544296E-2</v>
      </c>
      <c r="I5590">
        <v>5.2080538680484401E-2</v>
      </c>
      <c r="J5590">
        <v>6.6989923592475006E-2</v>
      </c>
      <c r="K5590">
        <v>5.0447341674776602E-2</v>
      </c>
      <c r="L5590">
        <v>1489.3436697300399</v>
      </c>
      <c r="M5590">
        <v>29.903365902564001</v>
      </c>
      <c r="N5590">
        <v>49.981447948111999</v>
      </c>
      <c r="O5590">
        <v>49.5840962823791</v>
      </c>
      <c r="P5590">
        <v>-0.143228248927706</v>
      </c>
      <c r="Q5590">
        <v>5.0034233067111203E-2</v>
      </c>
      <c r="R5590">
        <v>0.99874306871035301</v>
      </c>
      <c r="S5590" t="s">
        <v>12158</v>
      </c>
      <c r="T5590" t="s">
        <v>13134</v>
      </c>
      <c r="U5590" t="s">
        <v>13134</v>
      </c>
      <c r="V5590" t="s">
        <v>13134</v>
      </c>
      <c r="W5590" t="s">
        <v>18658</v>
      </c>
      <c r="X5590">
        <v>31</v>
      </c>
      <c r="Y5590" t="s">
        <v>25021</v>
      </c>
      <c r="Z5590" t="s">
        <v>31558</v>
      </c>
      <c r="AA5590">
        <v>0.46136541228895961</v>
      </c>
      <c r="AB5590" t="str">
        <f>HYPERLINK("Melting_Curves/meltCurve_Q9H2K8_TAOK3.pdf", "Melting_Curves/meltCurve_Q9H2K8_TAOK3.pdf")</f>
        <v>Melting_Curves/meltCurve_Q9H2K8_TAOK3.pdf</v>
      </c>
    </row>
    <row r="5591" spans="1:28" x14ac:dyDescent="0.25">
      <c r="A5591" t="s">
        <v>5595</v>
      </c>
      <c r="B5591">
        <v>0.99472303558308395</v>
      </c>
      <c r="C5591">
        <v>0.99793808259682204</v>
      </c>
      <c r="D5591">
        <v>0.86626607961658697</v>
      </c>
      <c r="E5591">
        <v>0.57734671820571704</v>
      </c>
      <c r="F5591">
        <v>0.18871494087350801</v>
      </c>
      <c r="G5591">
        <v>9.8492251800386399E-2</v>
      </c>
      <c r="H5591">
        <v>5.6953386405568303E-2</v>
      </c>
      <c r="I5591">
        <v>4.4604148789435298E-2</v>
      </c>
      <c r="J5591">
        <v>5.3257116706174799E-2</v>
      </c>
      <c r="K5591">
        <v>3.2991712002849297E-2</v>
      </c>
      <c r="L5591">
        <v>1079.9444995972101</v>
      </c>
      <c r="M5591">
        <v>23.030708349948501</v>
      </c>
      <c r="N5591">
        <v>47.065734599322901</v>
      </c>
      <c r="O5591">
        <v>46.542260887961703</v>
      </c>
      <c r="P5591">
        <v>-0.11865579939913901</v>
      </c>
      <c r="Q5591">
        <v>4.0862097393510002E-2</v>
      </c>
      <c r="R5591">
        <v>0.99849991957000295</v>
      </c>
      <c r="S5591" t="s">
        <v>12159</v>
      </c>
      <c r="T5591" t="s">
        <v>13134</v>
      </c>
      <c r="U5591" t="s">
        <v>13134</v>
      </c>
      <c r="V5591" t="s">
        <v>13134</v>
      </c>
      <c r="W5591" t="s">
        <v>18659</v>
      </c>
      <c r="X5591">
        <v>28</v>
      </c>
      <c r="Y5591" t="s">
        <v>25022</v>
      </c>
      <c r="Z5591" t="s">
        <v>31559</v>
      </c>
      <c r="AA5591">
        <v>0.36659042932233199</v>
      </c>
      <c r="AB5591" t="str">
        <f>HYPERLINK("Melting_Curves/meltCurve_Q9H2M9_RAB3GAP2.pdf", "Melting_Curves/meltCurve_Q9H2M9_RAB3GAP2.pdf")</f>
        <v>Melting_Curves/meltCurve_Q9H2M9_RAB3GAP2.pdf</v>
      </c>
    </row>
    <row r="5592" spans="1:28" x14ac:dyDescent="0.25">
      <c r="A5592" t="s">
        <v>5596</v>
      </c>
      <c r="B5592">
        <v>0.99472303558308395</v>
      </c>
      <c r="C5592">
        <v>0.88916258290035199</v>
      </c>
      <c r="D5592">
        <v>0.68370688882876496</v>
      </c>
      <c r="E5592">
        <v>0.322779247687215</v>
      </c>
      <c r="F5592">
        <v>0.16758676761475899</v>
      </c>
      <c r="G5592">
        <v>9.0995545276128298E-2</v>
      </c>
      <c r="H5592">
        <v>5.6556219500581699E-2</v>
      </c>
      <c r="I5592">
        <v>5.4682299219384001E-2</v>
      </c>
      <c r="J5592">
        <v>5.7562922054213803E-2</v>
      </c>
      <c r="K5592">
        <v>3.9824506755239499E-2</v>
      </c>
      <c r="L5592">
        <v>823.49871835823001</v>
      </c>
      <c r="M5592">
        <v>18.499643892660899</v>
      </c>
      <c r="N5592">
        <v>44.759886112399499</v>
      </c>
      <c r="O5592">
        <v>44.0039232477707</v>
      </c>
      <c r="P5592">
        <v>-0.100033881875098</v>
      </c>
      <c r="Q5592">
        <v>4.8264949715134203E-2</v>
      </c>
      <c r="R5592">
        <v>0.999104953596051</v>
      </c>
      <c r="S5592" t="s">
        <v>12160</v>
      </c>
      <c r="T5592" t="s">
        <v>13134</v>
      </c>
      <c r="U5592" t="s">
        <v>13134</v>
      </c>
      <c r="V5592" t="s">
        <v>13134</v>
      </c>
      <c r="W5592" t="s">
        <v>18660</v>
      </c>
      <c r="X5592">
        <v>13</v>
      </c>
      <c r="Y5592" t="s">
        <v>25023</v>
      </c>
      <c r="Z5592" t="s">
        <v>31560</v>
      </c>
      <c r="AA5592">
        <v>0.30153121270360528</v>
      </c>
      <c r="AB5592" t="str">
        <f>HYPERLINK("Melting_Curves/meltCurve_Q9H2P0_ADNP.pdf", "Melting_Curves/meltCurve_Q9H2P0_ADNP.pdf")</f>
        <v>Melting_Curves/meltCurve_Q9H2P0_ADNP.pdf</v>
      </c>
    </row>
    <row r="5593" spans="1:28" x14ac:dyDescent="0.25">
      <c r="A5593" t="s">
        <v>5597</v>
      </c>
      <c r="B5593">
        <v>0.99472303558308395</v>
      </c>
      <c r="C5593">
        <v>0.923012445049751</v>
      </c>
      <c r="D5593">
        <v>0.95073079054137499</v>
      </c>
      <c r="E5593">
        <v>0.84562032710127799</v>
      </c>
      <c r="F5593">
        <v>0.65350243276642594</v>
      </c>
      <c r="G5593">
        <v>0.50188205689148202</v>
      </c>
      <c r="H5593">
        <v>0.36530364014653499</v>
      </c>
      <c r="I5593">
        <v>0.15472100327411101</v>
      </c>
      <c r="J5593">
        <v>0.13813141102311599</v>
      </c>
      <c r="K5593">
        <v>0.135927208893282</v>
      </c>
      <c r="L5593">
        <v>578.87470361159103</v>
      </c>
      <c r="M5593">
        <v>10.8082693110464</v>
      </c>
      <c r="N5593">
        <v>53.586137170009302</v>
      </c>
      <c r="O5593">
        <v>51.8228389165048</v>
      </c>
      <c r="P5593">
        <v>-5.20143192068869E-2</v>
      </c>
      <c r="Q5593">
        <v>2.7797235812093402E-3</v>
      </c>
      <c r="R5593">
        <v>0.99148693853483605</v>
      </c>
      <c r="S5593" t="s">
        <v>12161</v>
      </c>
      <c r="T5593" t="s">
        <v>13134</v>
      </c>
      <c r="U5593" t="s">
        <v>13134</v>
      </c>
      <c r="V5593" t="s">
        <v>13134</v>
      </c>
      <c r="W5593" t="s">
        <v>18661</v>
      </c>
      <c r="X5593">
        <v>9</v>
      </c>
      <c r="Y5593" t="s">
        <v>25024</v>
      </c>
      <c r="Z5593" t="s">
        <v>31561</v>
      </c>
      <c r="AA5593">
        <v>0.57295311813319871</v>
      </c>
      <c r="AB5593" t="str">
        <f>HYPERLINK("Melting_Curves/meltCurve_Q9H2P9_3_DPH5.pdf", "Melting_Curves/meltCurve_Q9H2P9_3_DPH5.pdf")</f>
        <v>Melting_Curves/meltCurve_Q9H2P9_3_DPH5.pdf</v>
      </c>
    </row>
    <row r="5594" spans="1:28" x14ac:dyDescent="0.25">
      <c r="A5594" t="s">
        <v>5598</v>
      </c>
      <c r="B5594">
        <v>0.99472303558308395</v>
      </c>
      <c r="C5594">
        <v>1.0134379503437301</v>
      </c>
      <c r="D5594">
        <v>0.99817926474375196</v>
      </c>
      <c r="E5594">
        <v>0.94774280959525203</v>
      </c>
      <c r="F5594">
        <v>0.72745012134933296</v>
      </c>
      <c r="G5594">
        <v>0.63237437575589805</v>
      </c>
      <c r="H5594">
        <v>0.375701032876819</v>
      </c>
      <c r="I5594">
        <v>0.225154047695941</v>
      </c>
      <c r="J5594">
        <v>8.4558139262009294E-2</v>
      </c>
      <c r="K5594">
        <v>8.9704121709813803E-2</v>
      </c>
      <c r="L5594">
        <v>754.60725337760505</v>
      </c>
      <c r="M5594">
        <v>13.672183301810801</v>
      </c>
      <c r="N5594">
        <v>55.192886109691599</v>
      </c>
      <c r="O5594">
        <v>54.052319255649799</v>
      </c>
      <c r="P5594">
        <v>-6.3245076763621705E-2</v>
      </c>
      <c r="Q5594">
        <v>0</v>
      </c>
      <c r="R5594">
        <v>0.99243063742754301</v>
      </c>
      <c r="S5594" t="s">
        <v>12162</v>
      </c>
      <c r="T5594" t="s">
        <v>13134</v>
      </c>
      <c r="U5594" t="s">
        <v>13134</v>
      </c>
      <c r="V5594" t="s">
        <v>13134</v>
      </c>
      <c r="W5594" t="s">
        <v>18662</v>
      </c>
      <c r="X5594">
        <v>9</v>
      </c>
      <c r="Y5594" t="s">
        <v>25025</v>
      </c>
      <c r="Z5594" t="s">
        <v>31562</v>
      </c>
      <c r="AA5594">
        <v>0.62026945641523523</v>
      </c>
      <c r="AB5594" t="str">
        <f>HYPERLINK("Melting_Curves/meltCurve_Q9H2U2_PPA2.pdf", "Melting_Curves/meltCurve_Q9H2U2_PPA2.pdf")</f>
        <v>Melting_Curves/meltCurve_Q9H2U2_PPA2.pdf</v>
      </c>
    </row>
    <row r="5595" spans="1:28" x14ac:dyDescent="0.25">
      <c r="A5595" t="s">
        <v>5599</v>
      </c>
      <c r="B5595">
        <v>0.99472303558308395</v>
      </c>
      <c r="C5595">
        <v>1.13844178765159</v>
      </c>
      <c r="D5595">
        <v>1.1405754801793699</v>
      </c>
      <c r="E5595">
        <v>1.1776182182182999</v>
      </c>
      <c r="F5595">
        <v>0.50877258321512397</v>
      </c>
      <c r="G5595">
        <v>9.0984975247294597E-2</v>
      </c>
      <c r="H5595">
        <v>6.1204123300426599E-2</v>
      </c>
      <c r="I5595">
        <v>6.1066799774131597E-2</v>
      </c>
      <c r="J5595">
        <v>6.0731525915903903E-2</v>
      </c>
      <c r="K5595">
        <v>6.0680008509071598E-2</v>
      </c>
      <c r="L5595">
        <v>11356.544553799</v>
      </c>
      <c r="M5595">
        <v>226.33194828103501</v>
      </c>
      <c r="N5595">
        <v>50.2083794374308</v>
      </c>
      <c r="O5595">
        <v>50.172574583033203</v>
      </c>
      <c r="P5595">
        <v>-1.0522818073568501</v>
      </c>
      <c r="Q5595">
        <v>6.6933431564749998E-2</v>
      </c>
      <c r="R5595">
        <v>0.97094798796563297</v>
      </c>
      <c r="S5595" t="s">
        <v>12163</v>
      </c>
      <c r="T5595" t="s">
        <v>13134</v>
      </c>
      <c r="U5595" t="s">
        <v>13134</v>
      </c>
      <c r="V5595" t="s">
        <v>13134</v>
      </c>
      <c r="W5595" t="s">
        <v>18663</v>
      </c>
      <c r="X5595">
        <v>5</v>
      </c>
      <c r="Y5595" t="s">
        <v>25026</v>
      </c>
      <c r="Z5595" t="s">
        <v>31563</v>
      </c>
      <c r="AA5595">
        <v>0.47685201042299108</v>
      </c>
      <c r="AB5595" t="str">
        <f>HYPERLINK("Melting_Curves/meltCurve_Q9H2W6_MRPL46.pdf", "Melting_Curves/meltCurve_Q9H2W6_MRPL46.pdf")</f>
        <v>Melting_Curves/meltCurve_Q9H2W6_MRPL46.pdf</v>
      </c>
    </row>
    <row r="5596" spans="1:28" x14ac:dyDescent="0.25">
      <c r="A5596" t="s">
        <v>5600</v>
      </c>
      <c r="B5596">
        <v>0.99472303558308395</v>
      </c>
      <c r="C5596">
        <v>0.90455012561268999</v>
      </c>
      <c r="D5596">
        <v>0.74312143654846896</v>
      </c>
      <c r="E5596">
        <v>0.76463260689833901</v>
      </c>
      <c r="F5596">
        <v>0.66633024736725399</v>
      </c>
      <c r="G5596">
        <v>0.41983937797004001</v>
      </c>
      <c r="H5596">
        <v>0.28840307410430699</v>
      </c>
      <c r="I5596">
        <v>0.32999906181593802</v>
      </c>
      <c r="J5596">
        <v>0.27966910930942901</v>
      </c>
      <c r="K5596">
        <v>0.15112659403582199</v>
      </c>
      <c r="L5596">
        <v>373.68440243349397</v>
      </c>
      <c r="M5596">
        <v>7.09554402197407</v>
      </c>
      <c r="N5596">
        <v>52.823106368933203</v>
      </c>
      <c r="O5596">
        <v>48.9618305191185</v>
      </c>
      <c r="P5596">
        <v>-3.5911737683934797E-2</v>
      </c>
      <c r="Q5596">
        <v>1.05294293969411E-2</v>
      </c>
      <c r="R5596">
        <v>0.95919431650223697</v>
      </c>
      <c r="S5596" t="s">
        <v>12164</v>
      </c>
      <c r="T5596" t="s">
        <v>13134</v>
      </c>
      <c r="U5596" t="s">
        <v>13134</v>
      </c>
      <c r="V5596" t="s">
        <v>13134</v>
      </c>
      <c r="W5596" t="s">
        <v>18664</v>
      </c>
      <c r="X5596">
        <v>2</v>
      </c>
      <c r="Y5596" t="s">
        <v>25027</v>
      </c>
      <c r="Z5596" t="s">
        <v>31564</v>
      </c>
      <c r="AA5596">
        <v>0.55027053866705145</v>
      </c>
      <c r="AB5596" t="str">
        <f>HYPERLINK("Melting_Curves/meltCurve_Q9H300_PARL.pdf", "Melting_Curves/meltCurve_Q9H300_PARL.pdf")</f>
        <v>Melting_Curves/meltCurve_Q9H300_PARL.pdf</v>
      </c>
    </row>
    <row r="5597" spans="1:28" x14ac:dyDescent="0.25">
      <c r="A5597" t="s">
        <v>5601</v>
      </c>
      <c r="B5597">
        <v>0.99472303558308395</v>
      </c>
      <c r="C5597">
        <v>0.97258005496090605</v>
      </c>
      <c r="D5597">
        <v>0.92112714284771002</v>
      </c>
      <c r="E5597">
        <v>0.92769223676726598</v>
      </c>
      <c r="F5597">
        <v>0.827296610529765</v>
      </c>
      <c r="G5597">
        <v>0.39910092499883498</v>
      </c>
      <c r="H5597">
        <v>0.21917143162271799</v>
      </c>
      <c r="I5597">
        <v>0.174343860583733</v>
      </c>
      <c r="J5597">
        <v>0.23823753247783999</v>
      </c>
      <c r="K5597">
        <v>0.19755435998482901</v>
      </c>
      <c r="L5597">
        <v>1721.1977129386801</v>
      </c>
      <c r="M5597">
        <v>33.0754030680773</v>
      </c>
      <c r="N5597">
        <v>52.8380827842279</v>
      </c>
      <c r="O5597">
        <v>51.849480567643901</v>
      </c>
      <c r="P5597">
        <v>-0.128081620069602</v>
      </c>
      <c r="Q5597">
        <v>0.196873142708617</v>
      </c>
      <c r="R5597">
        <v>0.98955401623074302</v>
      </c>
      <c r="S5597" t="s">
        <v>12165</v>
      </c>
      <c r="T5597" t="s">
        <v>13134</v>
      </c>
      <c r="U5597" t="s">
        <v>13134</v>
      </c>
      <c r="V5597" t="s">
        <v>13134</v>
      </c>
      <c r="W5597" t="s">
        <v>18665</v>
      </c>
      <c r="X5597">
        <v>14</v>
      </c>
      <c r="Y5597" t="s">
        <v>25028</v>
      </c>
      <c r="Z5597" t="s">
        <v>31565</v>
      </c>
      <c r="AA5597">
        <v>0.60366683833597412</v>
      </c>
      <c r="AB5597" t="str">
        <f>HYPERLINK("Melting_Curves/meltCurve_Q9H307_PNN.pdf", "Melting_Curves/meltCurve_Q9H307_PNN.pdf")</f>
        <v>Melting_Curves/meltCurve_Q9H307_PNN.pdf</v>
      </c>
    </row>
    <row r="5598" spans="1:28" x14ac:dyDescent="0.25">
      <c r="A5598" t="s">
        <v>5602</v>
      </c>
      <c r="B5598">
        <v>0.99472303558308395</v>
      </c>
      <c r="C5598">
        <v>0.86835994864253396</v>
      </c>
      <c r="D5598">
        <v>0.83867582901819804</v>
      </c>
      <c r="E5598">
        <v>0.72905325925589304</v>
      </c>
      <c r="F5598">
        <v>0.56271713815883295</v>
      </c>
      <c r="G5598">
        <v>0.39869776896332199</v>
      </c>
      <c r="H5598">
        <v>0.294401267384095</v>
      </c>
      <c r="I5598">
        <v>0.23764709732188399</v>
      </c>
      <c r="J5598">
        <v>0.28357519576545298</v>
      </c>
      <c r="K5598">
        <v>0.26068797865321303</v>
      </c>
      <c r="L5598">
        <v>520.10860733954598</v>
      </c>
      <c r="M5598">
        <v>10.6464130054806</v>
      </c>
      <c r="N5598">
        <v>51.1737084304375</v>
      </c>
      <c r="O5598">
        <v>47.223915516096099</v>
      </c>
      <c r="P5598">
        <v>-4.5586765338054301E-2</v>
      </c>
      <c r="Q5598">
        <v>0.191479037394364</v>
      </c>
      <c r="R5598">
        <v>0.98556547126627803</v>
      </c>
      <c r="S5598" t="s">
        <v>12166</v>
      </c>
      <c r="T5598" t="s">
        <v>13134</v>
      </c>
      <c r="U5598" t="s">
        <v>13134</v>
      </c>
      <c r="V5598" t="s">
        <v>13134</v>
      </c>
      <c r="W5598" t="s">
        <v>18666</v>
      </c>
      <c r="X5598">
        <v>4</v>
      </c>
      <c r="Y5598" t="s">
        <v>25029</v>
      </c>
      <c r="Z5598" t="s">
        <v>31566</v>
      </c>
      <c r="AA5598">
        <v>0.53915140501073866</v>
      </c>
      <c r="AB5598" t="str">
        <f>HYPERLINK("Melting_Curves/meltCurve_Q9H330_2_TMEM245.pdf", "Melting_Curves/meltCurve_Q9H330_2_TMEM245.pdf")</f>
        <v>Melting_Curves/meltCurve_Q9H330_2_TMEM245.pdf</v>
      </c>
    </row>
    <row r="5599" spans="1:28" x14ac:dyDescent="0.25">
      <c r="A5599" t="s">
        <v>5603</v>
      </c>
      <c r="B5599">
        <v>0.99472303558308395</v>
      </c>
      <c r="C5599">
        <v>0.99086637422591495</v>
      </c>
      <c r="D5599">
        <v>0.92068493819619701</v>
      </c>
      <c r="E5599">
        <v>0.82157070735308102</v>
      </c>
      <c r="F5599">
        <v>0.64882713782760404</v>
      </c>
      <c r="G5599">
        <v>0.33383930570810899</v>
      </c>
      <c r="H5599">
        <v>0.12757563045956199</v>
      </c>
      <c r="I5599">
        <v>7.0380195245274293E-2</v>
      </c>
      <c r="J5599">
        <v>8.1689210280040503E-2</v>
      </c>
      <c r="K5599">
        <v>6.7879499571383298E-2</v>
      </c>
      <c r="L5599">
        <v>870.83770681237797</v>
      </c>
      <c r="M5599">
        <v>16.967740603250501</v>
      </c>
      <c r="N5599">
        <v>51.502751878399401</v>
      </c>
      <c r="O5599">
        <v>50.626162677814001</v>
      </c>
      <c r="P5599">
        <v>-8.1387307289328706E-2</v>
      </c>
      <c r="Q5599">
        <v>2.8728527163194999E-2</v>
      </c>
      <c r="R5599">
        <v>0.99490142051661801</v>
      </c>
      <c r="S5599" t="s">
        <v>12167</v>
      </c>
      <c r="T5599" t="s">
        <v>13134</v>
      </c>
      <c r="U5599" t="s">
        <v>13134</v>
      </c>
      <c r="V5599" t="s">
        <v>13134</v>
      </c>
      <c r="W5599" t="s">
        <v>18667</v>
      </c>
      <c r="X5599">
        <v>6</v>
      </c>
      <c r="Y5599" t="s">
        <v>25030</v>
      </c>
      <c r="Z5599" t="s">
        <v>31567</v>
      </c>
      <c r="AA5599">
        <v>0.50876783814391924</v>
      </c>
      <c r="AB5599" t="str">
        <f>HYPERLINK("Melting_Curves/meltCurve_Q9H3C7_GGNBP2.pdf", "Melting_Curves/meltCurve_Q9H3C7_GGNBP2.pdf")</f>
        <v>Melting_Curves/meltCurve_Q9H3C7_GGNBP2.pdf</v>
      </c>
    </row>
    <row r="5600" spans="1:28" x14ac:dyDescent="0.25">
      <c r="A5600" t="s">
        <v>5604</v>
      </c>
      <c r="B5600">
        <v>0.99472303558308395</v>
      </c>
      <c r="C5600">
        <v>1.04100333498012</v>
      </c>
      <c r="D5600">
        <v>0.95886060979564502</v>
      </c>
      <c r="E5600">
        <v>0.51407683221591205</v>
      </c>
      <c r="F5600">
        <v>0.192414609727563</v>
      </c>
      <c r="G5600">
        <v>0.126654842322827</v>
      </c>
      <c r="H5600">
        <v>6.9627476118813897E-2</v>
      </c>
      <c r="I5600">
        <v>4.9782616019354603E-2</v>
      </c>
      <c r="J5600">
        <v>5.6972932566888901E-2</v>
      </c>
      <c r="K5600">
        <v>5.5486221782541499E-2</v>
      </c>
      <c r="L5600">
        <v>1372.3678043563</v>
      </c>
      <c r="M5600">
        <v>29.445061855399199</v>
      </c>
      <c r="N5600">
        <v>46.8452858510868</v>
      </c>
      <c r="O5600">
        <v>46.394353099419398</v>
      </c>
      <c r="P5600">
        <v>-0.14766534012698801</v>
      </c>
      <c r="Q5600">
        <v>6.9346189179528506E-2</v>
      </c>
      <c r="R5600">
        <v>0.99607271899223004</v>
      </c>
      <c r="S5600" t="s">
        <v>12168</v>
      </c>
      <c r="T5600" t="s">
        <v>13134</v>
      </c>
      <c r="U5600" t="s">
        <v>13134</v>
      </c>
      <c r="V5600" t="s">
        <v>13134</v>
      </c>
      <c r="W5600" t="s">
        <v>18668</v>
      </c>
      <c r="X5600">
        <v>11</v>
      </c>
      <c r="Y5600" t="s">
        <v>25031</v>
      </c>
      <c r="Z5600" t="s">
        <v>31568</v>
      </c>
      <c r="AA5600">
        <v>0.3729721716388516</v>
      </c>
      <c r="AB5600" t="str">
        <f>HYPERLINK("Melting_Curves/meltCurve_Q9H3H1_4_TRIT1.pdf", "Melting_Curves/meltCurve_Q9H3H1_4_TRIT1.pdf")</f>
        <v>Melting_Curves/meltCurve_Q9H3H1_4_TRIT1.pdf</v>
      </c>
    </row>
    <row r="5601" spans="1:28" x14ac:dyDescent="0.25">
      <c r="A5601" t="s">
        <v>5605</v>
      </c>
      <c r="B5601">
        <v>0.99472303558308395</v>
      </c>
      <c r="C5601">
        <v>1.0408325413691599</v>
      </c>
      <c r="D5601">
        <v>1.0248085740633499</v>
      </c>
      <c r="E5601">
        <v>0.92412339255838105</v>
      </c>
      <c r="F5601">
        <v>0.77967421150777905</v>
      </c>
      <c r="G5601">
        <v>0.19647396875967499</v>
      </c>
      <c r="H5601">
        <v>0.103250560151547</v>
      </c>
      <c r="I5601">
        <v>4.6959512649141499E-2</v>
      </c>
      <c r="J5601">
        <v>3.7862087832477499E-2</v>
      </c>
      <c r="K5601">
        <v>4.8439398572795597E-2</v>
      </c>
      <c r="L5601">
        <v>2039.84635973735</v>
      </c>
      <c r="M5601">
        <v>39.511498445434299</v>
      </c>
      <c r="N5601">
        <v>51.768773652953101</v>
      </c>
      <c r="O5601">
        <v>51.494936890039199</v>
      </c>
      <c r="P5601">
        <v>-0.181963354551124</v>
      </c>
      <c r="Q5601">
        <v>5.1398074138723299E-2</v>
      </c>
      <c r="R5601">
        <v>0.99584201892416302</v>
      </c>
      <c r="S5601" t="s">
        <v>12169</v>
      </c>
      <c r="T5601" t="s">
        <v>13134</v>
      </c>
      <c r="U5601" t="s">
        <v>13134</v>
      </c>
      <c r="V5601" t="s">
        <v>13134</v>
      </c>
      <c r="W5601" t="s">
        <v>18669</v>
      </c>
      <c r="X5601">
        <v>7</v>
      </c>
      <c r="Y5601" t="s">
        <v>25032</v>
      </c>
      <c r="Z5601" t="s">
        <v>31569</v>
      </c>
      <c r="AA5601">
        <v>0.517356266614861</v>
      </c>
      <c r="AB5601" t="str">
        <f>HYPERLINK("Melting_Curves/meltCurve_Q9H3H3_2_C11orf68.pdf", "Melting_Curves/meltCurve_Q9H3H3_2_C11orf68.pdf")</f>
        <v>Melting_Curves/meltCurve_Q9H3H3_2_C11orf68.pdf</v>
      </c>
    </row>
    <row r="5602" spans="1:28" x14ac:dyDescent="0.25">
      <c r="A5602" t="s">
        <v>5606</v>
      </c>
      <c r="B5602">
        <v>0.99472303558308395</v>
      </c>
      <c r="C5602">
        <v>0.91775842983451905</v>
      </c>
      <c r="D5602">
        <v>1.0249474554848499</v>
      </c>
      <c r="E5602">
        <v>0.856413518990089</v>
      </c>
      <c r="F5602">
        <v>0.56319397675709704</v>
      </c>
      <c r="G5602">
        <v>0.51525859173404698</v>
      </c>
      <c r="H5602">
        <v>0.41524727610666801</v>
      </c>
      <c r="I5602">
        <v>0.574449685337872</v>
      </c>
      <c r="J5602">
        <v>0.72494209119832798</v>
      </c>
      <c r="K5602">
        <v>0.68285531273292599</v>
      </c>
      <c r="L5602">
        <v>11680.6349024427</v>
      </c>
      <c r="M5602">
        <v>250</v>
      </c>
      <c r="O5602">
        <v>46.7195500015793</v>
      </c>
      <c r="P5602">
        <v>-0.56276697382773</v>
      </c>
      <c r="Q5602">
        <v>0.57932448704642103</v>
      </c>
      <c r="R5602">
        <v>0.82670440596640504</v>
      </c>
      <c r="S5602" t="s">
        <v>12170</v>
      </c>
      <c r="T5602" t="s">
        <v>13134</v>
      </c>
      <c r="U5602" t="s">
        <v>13134</v>
      </c>
      <c r="V5602" t="s">
        <v>13134</v>
      </c>
      <c r="W5602" t="s">
        <v>18670</v>
      </c>
      <c r="X5602">
        <v>3</v>
      </c>
      <c r="Y5602" t="s">
        <v>25033</v>
      </c>
      <c r="Z5602" t="s">
        <v>31570</v>
      </c>
      <c r="AA5602">
        <v>0.71569345923361127</v>
      </c>
      <c r="AB5602" t="str">
        <f>HYPERLINK("Melting_Curves/meltCurve_Q9H3H5_2_DPAGT1.pdf", "Melting_Curves/meltCurve_Q9H3H5_2_DPAGT1.pdf")</f>
        <v>Melting_Curves/meltCurve_Q9H3H5_2_DPAGT1.pdf</v>
      </c>
    </row>
    <row r="5603" spans="1:28" x14ac:dyDescent="0.25">
      <c r="A5603" t="s">
        <v>5607</v>
      </c>
      <c r="B5603">
        <v>0.99472303558308395</v>
      </c>
      <c r="C5603">
        <v>0.71335567207359896</v>
      </c>
      <c r="D5603">
        <v>1.0734414624067901</v>
      </c>
      <c r="E5603">
        <v>0.77342838567349803</v>
      </c>
      <c r="F5603">
        <v>0.31192938573627299</v>
      </c>
      <c r="G5603">
        <v>0.402236682996159</v>
      </c>
      <c r="H5603">
        <v>0.25056268423643102</v>
      </c>
      <c r="I5603">
        <v>0.33665149019295598</v>
      </c>
      <c r="J5603">
        <v>0.40000965997252402</v>
      </c>
      <c r="K5603">
        <v>0.32053213900529398</v>
      </c>
      <c r="L5603">
        <v>11680.550632937</v>
      </c>
      <c r="M5603">
        <v>250</v>
      </c>
      <c r="N5603">
        <v>46.932615555517003</v>
      </c>
      <c r="O5603">
        <v>46.719212952036798</v>
      </c>
      <c r="P5603">
        <v>-0.88696512576953102</v>
      </c>
      <c r="Q5603">
        <v>0.33698700400926601</v>
      </c>
      <c r="R5603">
        <v>0.87547188578203405</v>
      </c>
      <c r="S5603" t="s">
        <v>12171</v>
      </c>
      <c r="T5603" t="s">
        <v>13134</v>
      </c>
      <c r="U5603" t="s">
        <v>13134</v>
      </c>
      <c r="V5603" t="s">
        <v>13134</v>
      </c>
      <c r="W5603" t="s">
        <v>18671</v>
      </c>
      <c r="X5603">
        <v>2</v>
      </c>
      <c r="Y5603" t="s">
        <v>25034</v>
      </c>
      <c r="Z5603" t="s">
        <v>31571</v>
      </c>
      <c r="AA5603">
        <v>0.5519062565191426</v>
      </c>
      <c r="AB5603" t="str">
        <f>HYPERLINK("Melting_Curves/meltCurve_Q9H3J6_C12orf65.pdf", "Melting_Curves/meltCurve_Q9H3J6_C12orf65.pdf")</f>
        <v>Melting_Curves/meltCurve_Q9H3J6_C12orf65.pdf</v>
      </c>
    </row>
    <row r="5604" spans="1:28" x14ac:dyDescent="0.25">
      <c r="A5604" t="s">
        <v>5608</v>
      </c>
      <c r="B5604">
        <v>0.99472303558308395</v>
      </c>
      <c r="C5604">
        <v>1.0547535591483299</v>
      </c>
      <c r="D5604">
        <v>1.08626797271114</v>
      </c>
      <c r="E5604">
        <v>0.90634240732798099</v>
      </c>
      <c r="F5604">
        <v>0.48063028413317099</v>
      </c>
      <c r="G5604">
        <v>0.21992612765455</v>
      </c>
      <c r="H5604">
        <v>0.10140885233782899</v>
      </c>
      <c r="I5604">
        <v>7.7962056263642193E-2</v>
      </c>
      <c r="J5604">
        <v>9.8124579617849997E-2</v>
      </c>
      <c r="K5604">
        <v>7.3720418586014899E-2</v>
      </c>
      <c r="L5604">
        <v>1471.73019375072</v>
      </c>
      <c r="M5604">
        <v>29.5070460713881</v>
      </c>
      <c r="N5604">
        <v>50.2053820899215</v>
      </c>
      <c r="O5604">
        <v>49.649837481415197</v>
      </c>
      <c r="P5604">
        <v>-0.135546913223342</v>
      </c>
      <c r="Q5604">
        <v>8.7697808067706898E-2</v>
      </c>
      <c r="R5604">
        <v>0.99211382101925105</v>
      </c>
      <c r="S5604" t="s">
        <v>12172</v>
      </c>
      <c r="T5604" t="s">
        <v>13134</v>
      </c>
      <c r="U5604" t="s">
        <v>13134</v>
      </c>
      <c r="V5604" t="s">
        <v>13134</v>
      </c>
      <c r="W5604" t="s">
        <v>18672</v>
      </c>
      <c r="X5604">
        <v>5</v>
      </c>
      <c r="Y5604" t="s">
        <v>25035</v>
      </c>
      <c r="Z5604" t="s">
        <v>31572</v>
      </c>
      <c r="AA5604">
        <v>0.48506793093026429</v>
      </c>
      <c r="AB5604" t="str">
        <f>HYPERLINK("Melting_Curves/meltCurve_Q9H3K6_BOLA2.pdf", "Melting_Curves/meltCurve_Q9H3K6_BOLA2.pdf")</f>
        <v>Melting_Curves/meltCurve_Q9H3K6_BOLA2.pdf</v>
      </c>
    </row>
    <row r="5605" spans="1:28" x14ac:dyDescent="0.25">
      <c r="A5605" t="s">
        <v>5609</v>
      </c>
      <c r="B5605">
        <v>0.99472303558308395</v>
      </c>
      <c r="C5605">
        <v>0.98383549148798699</v>
      </c>
      <c r="D5605">
        <v>0.83239255894752295</v>
      </c>
      <c r="E5605">
        <v>0.63381562685149395</v>
      </c>
      <c r="F5605">
        <v>0.25289778163405602</v>
      </c>
      <c r="G5605">
        <v>0.130386556923414</v>
      </c>
      <c r="H5605">
        <v>7.8173107438224795E-2</v>
      </c>
      <c r="I5605">
        <v>6.1188675484924002E-2</v>
      </c>
      <c r="J5605">
        <v>7.7990027707632997E-2</v>
      </c>
      <c r="K5605">
        <v>7.7804626121789205E-2</v>
      </c>
      <c r="L5605">
        <v>938.56269419098203</v>
      </c>
      <c r="M5605">
        <v>19.881586532635598</v>
      </c>
      <c r="N5605">
        <v>47.510952782466703</v>
      </c>
      <c r="O5605">
        <v>46.737822522658</v>
      </c>
      <c r="P5605">
        <v>-0.100011329665619</v>
      </c>
      <c r="Q5605">
        <v>5.9600992528311102E-2</v>
      </c>
      <c r="R5605">
        <v>0.99603931950779601</v>
      </c>
      <c r="S5605" t="s">
        <v>12173</v>
      </c>
      <c r="T5605" t="s">
        <v>13134</v>
      </c>
      <c r="U5605" t="s">
        <v>13134</v>
      </c>
      <c r="V5605" t="s">
        <v>13134</v>
      </c>
      <c r="W5605" t="s">
        <v>18673</v>
      </c>
      <c r="X5605">
        <v>5</v>
      </c>
      <c r="Y5605" t="s">
        <v>25036</v>
      </c>
      <c r="Z5605" t="s">
        <v>31573</v>
      </c>
      <c r="AA5605">
        <v>0.39203873967931868</v>
      </c>
      <c r="AB5605" t="str">
        <f>HYPERLINK("Melting_Curves/meltCurve_Q9H3M7_TXNIP.pdf", "Melting_Curves/meltCurve_Q9H3M7_TXNIP.pdf")</f>
        <v>Melting_Curves/meltCurve_Q9H3M7_TXNIP.pdf</v>
      </c>
    </row>
    <row r="5606" spans="1:28" x14ac:dyDescent="0.25">
      <c r="A5606" t="s">
        <v>5610</v>
      </c>
      <c r="B5606">
        <v>0.99472303558308395</v>
      </c>
      <c r="C5606">
        <v>1.07089812901768</v>
      </c>
      <c r="D5606">
        <v>1.03962314818062</v>
      </c>
      <c r="E5606">
        <v>0.962543753862386</v>
      </c>
      <c r="F5606">
        <v>0.78375492920959</v>
      </c>
      <c r="G5606">
        <v>0.55632955554133001</v>
      </c>
      <c r="H5606">
        <v>0.31386362017827502</v>
      </c>
      <c r="I5606">
        <v>0.178340598032414</v>
      </c>
      <c r="J5606">
        <v>0.170020279552488</v>
      </c>
      <c r="K5606">
        <v>0.14762148481555401</v>
      </c>
      <c r="L5606">
        <v>1035.2222508956199</v>
      </c>
      <c r="M5606">
        <v>19.347863654949201</v>
      </c>
      <c r="N5606">
        <v>54.320116620249699</v>
      </c>
      <c r="O5606">
        <v>52.944001284780597</v>
      </c>
      <c r="P5606">
        <v>-7.9861678344472706E-2</v>
      </c>
      <c r="Q5606">
        <v>0.125889959949335</v>
      </c>
      <c r="R5606">
        <v>0.99344943088242799</v>
      </c>
      <c r="S5606" t="s">
        <v>12174</v>
      </c>
      <c r="T5606" t="s">
        <v>13134</v>
      </c>
      <c r="U5606" t="s">
        <v>13134</v>
      </c>
      <c r="V5606" t="s">
        <v>13134</v>
      </c>
      <c r="W5606" t="s">
        <v>18674</v>
      </c>
      <c r="X5606">
        <v>9</v>
      </c>
      <c r="Y5606" t="s">
        <v>25037</v>
      </c>
      <c r="Z5606" t="s">
        <v>31574</v>
      </c>
      <c r="AA5606">
        <v>0.61812171935056481</v>
      </c>
      <c r="AB5606" t="str">
        <f>HYPERLINK("Melting_Curves/meltCurve_Q9H3N1_TMX1.pdf", "Melting_Curves/meltCurve_Q9H3N1_TMX1.pdf")</f>
        <v>Melting_Curves/meltCurve_Q9H3N1_TMX1.pdf</v>
      </c>
    </row>
    <row r="5607" spans="1:28" x14ac:dyDescent="0.25">
      <c r="A5607" t="s">
        <v>5611</v>
      </c>
      <c r="B5607">
        <v>0.99472303558308395</v>
      </c>
      <c r="C5607">
        <v>1.01094851246826</v>
      </c>
      <c r="D5607">
        <v>0.84492672232461197</v>
      </c>
      <c r="E5607">
        <v>0.57693296120929405</v>
      </c>
      <c r="F5607">
        <v>0.26690876232138599</v>
      </c>
      <c r="G5607">
        <v>0.13568051312437401</v>
      </c>
      <c r="H5607">
        <v>8.8588441402525295E-2</v>
      </c>
      <c r="I5607">
        <v>5.8870123287799399E-2</v>
      </c>
      <c r="J5607">
        <v>7.3503407451248795E-2</v>
      </c>
      <c r="K5607">
        <v>5.5997963624422303E-2</v>
      </c>
      <c r="L5607">
        <v>909.83651259543501</v>
      </c>
      <c r="M5607">
        <v>19.353796187740201</v>
      </c>
      <c r="N5607">
        <v>47.310861319532897</v>
      </c>
      <c r="O5607">
        <v>46.517480515873999</v>
      </c>
      <c r="P5607">
        <v>-9.80087995439715E-2</v>
      </c>
      <c r="Q5607">
        <v>5.7765474260768002E-2</v>
      </c>
      <c r="R5607">
        <v>0.99837541608189395</v>
      </c>
      <c r="S5607" t="s">
        <v>12175</v>
      </c>
      <c r="T5607" t="s">
        <v>13134</v>
      </c>
      <c r="U5607" t="s">
        <v>13134</v>
      </c>
      <c r="V5607" t="s">
        <v>13134</v>
      </c>
      <c r="W5607" t="s">
        <v>18675</v>
      </c>
      <c r="X5607">
        <v>12</v>
      </c>
      <c r="Y5607" t="s">
        <v>25038</v>
      </c>
      <c r="Z5607" t="s">
        <v>31575</v>
      </c>
      <c r="AA5607">
        <v>0.38533346720525052</v>
      </c>
      <c r="AB5607" t="str">
        <f>HYPERLINK("Melting_Curves/meltCurve_Q9H3P2_NELFA.pdf", "Melting_Curves/meltCurve_Q9H3P2_NELFA.pdf")</f>
        <v>Melting_Curves/meltCurve_Q9H3P2_NELFA.pdf</v>
      </c>
    </row>
    <row r="5608" spans="1:28" x14ac:dyDescent="0.25">
      <c r="A5608" t="s">
        <v>5612</v>
      </c>
      <c r="B5608">
        <v>0.99472303558308395</v>
      </c>
      <c r="C5608">
        <v>0.97457569500088104</v>
      </c>
      <c r="D5608">
        <v>0.971791405434411</v>
      </c>
      <c r="E5608">
        <v>0.82763203400973395</v>
      </c>
      <c r="F5608">
        <v>0.492903445082717</v>
      </c>
      <c r="G5608">
        <v>0.16824879022911199</v>
      </c>
      <c r="H5608">
        <v>9.6839595554159705E-2</v>
      </c>
      <c r="I5608">
        <v>6.7111849536097001E-2</v>
      </c>
      <c r="J5608">
        <v>7.2444118190789303E-2</v>
      </c>
      <c r="K5608">
        <v>6.11225413984317E-2</v>
      </c>
      <c r="L5608">
        <v>1179.2082243500399</v>
      </c>
      <c r="M5608">
        <v>23.7213991949566</v>
      </c>
      <c r="N5608">
        <v>49.968215192034499</v>
      </c>
      <c r="O5608">
        <v>49.361489239080903</v>
      </c>
      <c r="P5608">
        <v>-0.113230929976599</v>
      </c>
      <c r="Q5608">
        <v>5.7533566112435999E-2</v>
      </c>
      <c r="R5608">
        <v>0.99897086467116103</v>
      </c>
      <c r="S5608" t="s">
        <v>12176</v>
      </c>
      <c r="T5608" t="s">
        <v>13134</v>
      </c>
      <c r="U5608" t="s">
        <v>13134</v>
      </c>
      <c r="V5608" t="s">
        <v>13134</v>
      </c>
      <c r="W5608" t="s">
        <v>18676</v>
      </c>
      <c r="X5608">
        <v>14</v>
      </c>
      <c r="Y5608" t="s">
        <v>25039</v>
      </c>
      <c r="Z5608" t="s">
        <v>31576</v>
      </c>
      <c r="AA5608">
        <v>0.46592798796952428</v>
      </c>
      <c r="AB5608" t="str">
        <f>HYPERLINK("Melting_Curves/meltCurve_Q9H3P7_ACBD3.pdf", "Melting_Curves/meltCurve_Q9H3P7_ACBD3.pdf")</f>
        <v>Melting_Curves/meltCurve_Q9H3P7_ACBD3.pdf</v>
      </c>
    </row>
    <row r="5609" spans="1:28" x14ac:dyDescent="0.25">
      <c r="A5609" t="s">
        <v>5613</v>
      </c>
      <c r="B5609">
        <v>0.99472303558308395</v>
      </c>
      <c r="C5609">
        <v>0.96102617006496505</v>
      </c>
      <c r="D5609">
        <v>0.99558090385536702</v>
      </c>
      <c r="E5609">
        <v>0.764757419579286</v>
      </c>
      <c r="F5609">
        <v>0.52215028213743198</v>
      </c>
      <c r="G5609">
        <v>0.36622114090088997</v>
      </c>
      <c r="H5609">
        <v>0.30654428357180902</v>
      </c>
      <c r="I5609">
        <v>0.247144007498659</v>
      </c>
      <c r="J5609">
        <v>0.371783229759242</v>
      </c>
      <c r="K5609">
        <v>0.298153482051497</v>
      </c>
      <c r="L5609">
        <v>1090.5611882191299</v>
      </c>
      <c r="M5609">
        <v>22.590400030236399</v>
      </c>
      <c r="N5609">
        <v>50.326683783733699</v>
      </c>
      <c r="O5609">
        <v>47.901907253606801</v>
      </c>
      <c r="P5609">
        <v>-8.2426052269060704E-2</v>
      </c>
      <c r="Q5609">
        <v>0.30089139758636202</v>
      </c>
      <c r="R5609">
        <v>0.98692564157732798</v>
      </c>
      <c r="S5609" t="s">
        <v>12177</v>
      </c>
      <c r="T5609" t="s">
        <v>13134</v>
      </c>
      <c r="U5609" t="s">
        <v>13134</v>
      </c>
      <c r="V5609" t="s">
        <v>13134</v>
      </c>
      <c r="W5609" t="s">
        <v>18677</v>
      </c>
      <c r="X5609">
        <v>13</v>
      </c>
      <c r="Y5609" t="s">
        <v>25040</v>
      </c>
      <c r="Z5609" t="s">
        <v>31577</v>
      </c>
      <c r="AA5609">
        <v>0.57093974190454588</v>
      </c>
      <c r="AB5609" t="str">
        <f>HYPERLINK("Melting_Curves/meltCurve_Q9H3Q1_CDC42EP4.pdf", "Melting_Curves/meltCurve_Q9H3Q1_CDC42EP4.pdf")</f>
        <v>Melting_Curves/meltCurve_Q9H3Q1_CDC42EP4.pdf</v>
      </c>
    </row>
    <row r="5610" spans="1:28" x14ac:dyDescent="0.25">
      <c r="A5610" t="s">
        <v>5614</v>
      </c>
      <c r="B5610">
        <v>0.99472303558308395</v>
      </c>
      <c r="C5610">
        <v>0.960136051802716</v>
      </c>
      <c r="D5610">
        <v>0.739485206216423</v>
      </c>
      <c r="E5610">
        <v>0.38999206869774</v>
      </c>
      <c r="F5610">
        <v>0.163250200105201</v>
      </c>
      <c r="G5610">
        <v>8.9131478573156897E-2</v>
      </c>
      <c r="H5610">
        <v>5.6822047361418097E-2</v>
      </c>
      <c r="I5610">
        <v>4.9776213673580497E-2</v>
      </c>
      <c r="J5610">
        <v>5.1595164318580598E-2</v>
      </c>
      <c r="K5610">
        <v>4.7322787534435903E-2</v>
      </c>
      <c r="L5610">
        <v>910.76872776520099</v>
      </c>
      <c r="M5610">
        <v>20.137309657721399</v>
      </c>
      <c r="N5610">
        <v>45.452941892403203</v>
      </c>
      <c r="O5610">
        <v>44.788990477186204</v>
      </c>
      <c r="P5610">
        <v>-0.107071937591245</v>
      </c>
      <c r="Q5610">
        <v>4.7441356382246301E-2</v>
      </c>
      <c r="R5610">
        <v>0.99951684795523199</v>
      </c>
      <c r="S5610" t="s">
        <v>12178</v>
      </c>
      <c r="T5610" t="s">
        <v>13134</v>
      </c>
      <c r="U5610" t="s">
        <v>13134</v>
      </c>
      <c r="V5610" t="s">
        <v>13134</v>
      </c>
      <c r="W5610" t="s">
        <v>18678</v>
      </c>
      <c r="X5610">
        <v>8</v>
      </c>
      <c r="Y5610" t="s">
        <v>25041</v>
      </c>
      <c r="Z5610" t="s">
        <v>31578</v>
      </c>
      <c r="AA5610">
        <v>0.32100849395455472</v>
      </c>
      <c r="AB5610" t="str">
        <f>HYPERLINK("Melting_Curves/meltCurve_Q9H3R5_CENPH.pdf", "Melting_Curves/meltCurve_Q9H3R5_CENPH.pdf")</f>
        <v>Melting_Curves/meltCurve_Q9H3R5_CENPH.pdf</v>
      </c>
    </row>
    <row r="5611" spans="1:28" x14ac:dyDescent="0.25">
      <c r="A5611" t="s">
        <v>5615</v>
      </c>
      <c r="B5611">
        <v>0.99472303558308395</v>
      </c>
      <c r="C5611">
        <v>0.938249992112688</v>
      </c>
      <c r="D5611">
        <v>0.964092462865488</v>
      </c>
      <c r="E5611">
        <v>0.77069635259953095</v>
      </c>
      <c r="F5611">
        <v>0.20772965158957199</v>
      </c>
      <c r="G5611">
        <v>0.121716177997853</v>
      </c>
      <c r="H5611">
        <v>7.3892114225353203E-2</v>
      </c>
      <c r="I5611">
        <v>5.8978723646388703E-2</v>
      </c>
      <c r="J5611">
        <v>8.8976828840243993E-2</v>
      </c>
      <c r="K5611">
        <v>5.2606503502867802E-2</v>
      </c>
      <c r="L5611">
        <v>1796.09426663058</v>
      </c>
      <c r="M5611">
        <v>37.468511707096098</v>
      </c>
      <c r="N5611">
        <v>48.142102118889703</v>
      </c>
      <c r="O5611">
        <v>47.8001743221797</v>
      </c>
      <c r="P5611">
        <v>-0.18145060237803801</v>
      </c>
      <c r="Q5611">
        <v>7.4065704110570396E-2</v>
      </c>
      <c r="R5611">
        <v>0.99607867657183502</v>
      </c>
      <c r="S5611" t="s">
        <v>12179</v>
      </c>
      <c r="T5611" t="s">
        <v>13134</v>
      </c>
      <c r="U5611" t="s">
        <v>13134</v>
      </c>
      <c r="V5611" t="s">
        <v>13134</v>
      </c>
      <c r="W5611" t="s">
        <v>18679</v>
      </c>
      <c r="X5611">
        <v>40</v>
      </c>
      <c r="Y5611" t="s">
        <v>25042</v>
      </c>
      <c r="Z5611" t="s">
        <v>31579</v>
      </c>
      <c r="AA5611">
        <v>0.41510307078915998</v>
      </c>
      <c r="AB5611" t="str">
        <f>HYPERLINK("Melting_Curves/meltCurve_Q9H3S7_PTPN23.pdf", "Melting_Curves/meltCurve_Q9H3S7_PTPN23.pdf")</f>
        <v>Melting_Curves/meltCurve_Q9H3S7_PTPN23.pdf</v>
      </c>
    </row>
    <row r="5612" spans="1:28" x14ac:dyDescent="0.25">
      <c r="A5612" t="s">
        <v>5616</v>
      </c>
      <c r="B5612">
        <v>0.99472303558308395</v>
      </c>
      <c r="C5612">
        <v>0.957724028633268</v>
      </c>
      <c r="D5612">
        <v>0.95409953665849601</v>
      </c>
      <c r="E5612">
        <v>0.561342468861319</v>
      </c>
      <c r="F5612">
        <v>0.196360903677198</v>
      </c>
      <c r="G5612">
        <v>0.112001321851754</v>
      </c>
      <c r="H5612">
        <v>6.9937353731742799E-2</v>
      </c>
      <c r="I5612">
        <v>5.8686542923879398E-2</v>
      </c>
      <c r="J5612">
        <v>6.1343368290507502E-2</v>
      </c>
      <c r="K5612">
        <v>5.8869124895854601E-2</v>
      </c>
      <c r="L5612">
        <v>1304.7109517579199</v>
      </c>
      <c r="M5612">
        <v>27.834510896107801</v>
      </c>
      <c r="N5612">
        <v>47.1112978418914</v>
      </c>
      <c r="O5612">
        <v>46.633911239550898</v>
      </c>
      <c r="P5612">
        <v>-0.13945401443029901</v>
      </c>
      <c r="Q5612">
        <v>6.5443633029397305E-2</v>
      </c>
      <c r="R5612">
        <v>0.99838613024980905</v>
      </c>
      <c r="S5612" t="s">
        <v>12180</v>
      </c>
      <c r="T5612" t="s">
        <v>13134</v>
      </c>
      <c r="U5612" t="s">
        <v>13134</v>
      </c>
      <c r="V5612" t="s">
        <v>13134</v>
      </c>
      <c r="W5612" t="s">
        <v>18680</v>
      </c>
      <c r="X5612">
        <v>38</v>
      </c>
      <c r="Y5612" t="s">
        <v>25043</v>
      </c>
      <c r="Z5612" t="s">
        <v>31580</v>
      </c>
      <c r="AA5612">
        <v>0.37933908332763772</v>
      </c>
      <c r="AB5612" t="str">
        <f>HYPERLINK("Melting_Curves/meltCurve_Q9H3U1_UNC45A.pdf", "Melting_Curves/meltCurve_Q9H3U1_UNC45A.pdf")</f>
        <v>Melting_Curves/meltCurve_Q9H3U1_UNC45A.pdf</v>
      </c>
    </row>
    <row r="5613" spans="1:28" x14ac:dyDescent="0.25">
      <c r="A5613" t="s">
        <v>5617</v>
      </c>
      <c r="B5613">
        <v>0.99472303558308395</v>
      </c>
      <c r="C5613">
        <v>0.95064609399950295</v>
      </c>
      <c r="D5613">
        <v>0.78664938845156995</v>
      </c>
      <c r="E5613">
        <v>0.74680185782439501</v>
      </c>
      <c r="F5613">
        <v>0.50675319410587805</v>
      </c>
      <c r="G5613">
        <v>0.31219522049860998</v>
      </c>
      <c r="H5613">
        <v>0.321625595104439</v>
      </c>
      <c r="I5613">
        <v>0.34979346730509597</v>
      </c>
      <c r="J5613">
        <v>0.497519043106736</v>
      </c>
      <c r="K5613">
        <v>0.49683681541660601</v>
      </c>
      <c r="L5613">
        <v>825.81474201373896</v>
      </c>
      <c r="M5613">
        <v>17.979318168593998</v>
      </c>
      <c r="N5613">
        <v>50.192113575486999</v>
      </c>
      <c r="O5613">
        <v>45.374468932248199</v>
      </c>
      <c r="P5613">
        <v>-6.0298871102223803E-2</v>
      </c>
      <c r="Q5613">
        <v>0.39132436167484103</v>
      </c>
      <c r="R5613">
        <v>0.89902376689571895</v>
      </c>
      <c r="S5613" t="s">
        <v>12181</v>
      </c>
      <c r="T5613" t="s">
        <v>13134</v>
      </c>
      <c r="U5613" t="s">
        <v>13134</v>
      </c>
      <c r="V5613" t="s">
        <v>13134</v>
      </c>
      <c r="W5613" t="s">
        <v>18681</v>
      </c>
      <c r="X5613">
        <v>2</v>
      </c>
      <c r="Y5613" t="s">
        <v>25044</v>
      </c>
      <c r="Z5613" t="s">
        <v>31581</v>
      </c>
      <c r="AA5613">
        <v>0.58240156546658817</v>
      </c>
      <c r="AB5613" t="str">
        <f>HYPERLINK("Melting_Curves/meltCurve_Q9H3U5_3_MFSD1.pdf", "Melting_Curves/meltCurve_Q9H3U5_3_MFSD1.pdf")</f>
        <v>Melting_Curves/meltCurve_Q9H3U5_3_MFSD1.pdf</v>
      </c>
    </row>
    <row r="5614" spans="1:28" x14ac:dyDescent="0.25">
      <c r="A5614" t="s">
        <v>5618</v>
      </c>
      <c r="B5614">
        <v>0.99472303558308395</v>
      </c>
      <c r="C5614">
        <v>1.5215627964388501</v>
      </c>
      <c r="D5614">
        <v>1.6599114881863699</v>
      </c>
      <c r="E5614">
        <v>1.39464848935357</v>
      </c>
      <c r="F5614">
        <v>0.23807048249597301</v>
      </c>
      <c r="G5614">
        <v>0.12297950819635201</v>
      </c>
      <c r="H5614">
        <v>0.75582890386662605</v>
      </c>
      <c r="I5614">
        <v>0.68647951886561398</v>
      </c>
      <c r="J5614">
        <v>0.99365796025513697</v>
      </c>
      <c r="K5614">
        <v>0.22669546358657799</v>
      </c>
      <c r="L5614">
        <v>4772.2486894858403</v>
      </c>
      <c r="M5614">
        <v>98.531863583302197</v>
      </c>
      <c r="O5614">
        <v>48.413616644308298</v>
      </c>
      <c r="P5614">
        <v>-0.25222328200295702</v>
      </c>
      <c r="Q5614">
        <v>0.50428054259629396</v>
      </c>
      <c r="R5614">
        <v>0.45557140266580698</v>
      </c>
      <c r="S5614" t="s">
        <v>12182</v>
      </c>
      <c r="T5614" t="s">
        <v>13134</v>
      </c>
      <c r="U5614" t="s">
        <v>13134</v>
      </c>
      <c r="V5614" t="s">
        <v>13134</v>
      </c>
      <c r="W5614" t="s">
        <v>18682</v>
      </c>
      <c r="X5614">
        <v>1</v>
      </c>
      <c r="Y5614" t="s">
        <v>25045</v>
      </c>
      <c r="Z5614" t="s">
        <v>31582</v>
      </c>
      <c r="AA5614">
        <v>0.69348002648388818</v>
      </c>
      <c r="AB5614" t="str">
        <f>HYPERLINK("Melting_Curves/meltCurve_Q9H3Y8_PPDPF.pdf", "Melting_Curves/meltCurve_Q9H3Y8_PPDPF.pdf")</f>
        <v>Melting_Curves/meltCurve_Q9H3Y8_PPDPF.pdf</v>
      </c>
    </row>
    <row r="5615" spans="1:28" x14ac:dyDescent="0.25">
      <c r="A5615" t="s">
        <v>5619</v>
      </c>
      <c r="B5615">
        <v>0.99472303558308395</v>
      </c>
      <c r="C5615">
        <v>1.0107607615604901</v>
      </c>
      <c r="D5615">
        <v>0.88069565262509697</v>
      </c>
      <c r="E5615">
        <v>0.88747136730398202</v>
      </c>
      <c r="F5615">
        <v>0.57081305350921496</v>
      </c>
      <c r="G5615">
        <v>0.41692186697772798</v>
      </c>
      <c r="H5615">
        <v>0.37051684065104001</v>
      </c>
      <c r="I5615">
        <v>0.52402692916404703</v>
      </c>
      <c r="J5615">
        <v>0.76193070581143896</v>
      </c>
      <c r="K5615">
        <v>0.43947012187435602</v>
      </c>
      <c r="L5615">
        <v>2033.93700206061</v>
      </c>
      <c r="M5615">
        <v>42.486912373288</v>
      </c>
      <c r="O5615">
        <v>47.766372724457803</v>
      </c>
      <c r="P5615">
        <v>-0.110501068563355</v>
      </c>
      <c r="Q5615">
        <v>0.50307248507935698</v>
      </c>
      <c r="R5615">
        <v>0.80094462376393505</v>
      </c>
      <c r="S5615" t="s">
        <v>12183</v>
      </c>
      <c r="T5615" t="s">
        <v>13134</v>
      </c>
      <c r="U5615" t="s">
        <v>13134</v>
      </c>
      <c r="V5615" t="s">
        <v>13134</v>
      </c>
      <c r="W5615" t="s">
        <v>18683</v>
      </c>
      <c r="X5615">
        <v>2</v>
      </c>
      <c r="Y5615" t="s">
        <v>25046</v>
      </c>
      <c r="Z5615" t="s">
        <v>31583</v>
      </c>
      <c r="AA5615">
        <v>0.68461666367932317</v>
      </c>
      <c r="AB5615" t="str">
        <f>HYPERLINK("Melting_Curves/meltCurve_Q9H3Z4_2_DNAJC5.pdf", "Melting_Curves/meltCurve_Q9H3Z4_2_DNAJC5.pdf")</f>
        <v>Melting_Curves/meltCurve_Q9H3Z4_2_DNAJC5.pdf</v>
      </c>
    </row>
    <row r="5616" spans="1:28" x14ac:dyDescent="0.25">
      <c r="A5616" t="s">
        <v>5620</v>
      </c>
      <c r="B5616">
        <v>0.99472303558308395</v>
      </c>
      <c r="C5616">
        <v>0.93348820343091898</v>
      </c>
      <c r="D5616">
        <v>0.91375519757766099</v>
      </c>
      <c r="E5616">
        <v>0.96942431790710004</v>
      </c>
      <c r="F5616">
        <v>0.19279557980784301</v>
      </c>
      <c r="G5616">
        <v>8.8444264062543201E-2</v>
      </c>
      <c r="H5616">
        <v>4.0185229402435602E-2</v>
      </c>
      <c r="I5616">
        <v>4.62125126177724E-2</v>
      </c>
      <c r="J5616">
        <v>2.2922358667976699E-2</v>
      </c>
      <c r="K5616">
        <v>4.0163060522181201E-2</v>
      </c>
      <c r="L5616">
        <v>3256.3273244016</v>
      </c>
      <c r="M5616">
        <v>66.566341397152797</v>
      </c>
      <c r="N5616">
        <v>48.990991338291103</v>
      </c>
      <c r="O5616">
        <v>48.874433304112202</v>
      </c>
      <c r="P5616">
        <v>-0.32453272478836998</v>
      </c>
      <c r="Q5616">
        <v>4.6884756601794302E-2</v>
      </c>
      <c r="R5616">
        <v>0.99253146338430098</v>
      </c>
      <c r="S5616" t="s">
        <v>12184</v>
      </c>
      <c r="T5616" t="s">
        <v>13134</v>
      </c>
      <c r="U5616" t="s">
        <v>13134</v>
      </c>
      <c r="V5616" t="s">
        <v>13134</v>
      </c>
      <c r="W5616" t="s">
        <v>18684</v>
      </c>
      <c r="X5616">
        <v>4</v>
      </c>
      <c r="Y5616" t="s">
        <v>25047</v>
      </c>
      <c r="Z5616" t="s">
        <v>31584</v>
      </c>
      <c r="AA5616">
        <v>0.42669991319552308</v>
      </c>
      <c r="AB5616" t="str">
        <f>HYPERLINK("Melting_Curves/meltCurve_Q9H410_DSN1.pdf", "Melting_Curves/meltCurve_Q9H410_DSN1.pdf")</f>
        <v>Melting_Curves/meltCurve_Q9H410_DSN1.pdf</v>
      </c>
    </row>
    <row r="5617" spans="1:28" x14ac:dyDescent="0.25">
      <c r="A5617" t="s">
        <v>5621</v>
      </c>
      <c r="B5617">
        <v>0.99472303558308395</v>
      </c>
      <c r="C5617">
        <v>1.03001519975086</v>
      </c>
      <c r="D5617">
        <v>0.81623128607890505</v>
      </c>
      <c r="E5617">
        <v>0.62583231754677104</v>
      </c>
      <c r="F5617">
        <v>0.47937301121777998</v>
      </c>
      <c r="G5617">
        <v>0.26277889832770601</v>
      </c>
      <c r="H5617">
        <v>0.176754393137764</v>
      </c>
      <c r="I5617">
        <v>0.14104014063401099</v>
      </c>
      <c r="J5617">
        <v>0.23031996637426599</v>
      </c>
      <c r="K5617">
        <v>0.18963712279880199</v>
      </c>
      <c r="L5617">
        <v>727.00473529792202</v>
      </c>
      <c r="M5617">
        <v>15.288814001637499</v>
      </c>
      <c r="N5617">
        <v>48.789327669246497</v>
      </c>
      <c r="O5617">
        <v>46.760172523757397</v>
      </c>
      <c r="P5617">
        <v>-6.8606072036515503E-2</v>
      </c>
      <c r="Q5617">
        <v>0.16076407877874199</v>
      </c>
      <c r="R5617">
        <v>0.98292364389556997</v>
      </c>
      <c r="S5617" t="s">
        <v>12185</v>
      </c>
      <c r="T5617" t="s">
        <v>13134</v>
      </c>
      <c r="U5617" t="s">
        <v>13134</v>
      </c>
      <c r="V5617" t="s">
        <v>13134</v>
      </c>
      <c r="W5617" t="s">
        <v>18685</v>
      </c>
      <c r="X5617">
        <v>9</v>
      </c>
      <c r="Y5617" t="s">
        <v>25048</v>
      </c>
      <c r="Z5617" t="s">
        <v>31585</v>
      </c>
      <c r="AA5617">
        <v>0.47399176309117758</v>
      </c>
      <c r="AB5617" t="str">
        <f>HYPERLINK("Melting_Curves/meltCurve_Q9H425_C1orf198.pdf", "Melting_Curves/meltCurve_Q9H425_C1orf198.pdf")</f>
        <v>Melting_Curves/meltCurve_Q9H425_C1orf198.pdf</v>
      </c>
    </row>
    <row r="5618" spans="1:28" x14ac:dyDescent="0.25">
      <c r="A5618" t="s">
        <v>5622</v>
      </c>
      <c r="B5618">
        <v>0.99472303558308395</v>
      </c>
      <c r="C5618">
        <v>0.89173906022998894</v>
      </c>
      <c r="D5618">
        <v>1.08679436603327</v>
      </c>
      <c r="E5618">
        <v>0.87064218755039402</v>
      </c>
      <c r="F5618">
        <v>0.60302253018648699</v>
      </c>
      <c r="G5618">
        <v>0.57845447138151995</v>
      </c>
      <c r="H5618">
        <v>0.54342744870106796</v>
      </c>
      <c r="I5618">
        <v>0.544582646166893</v>
      </c>
      <c r="J5618">
        <v>0.79205384576495796</v>
      </c>
      <c r="K5618">
        <v>0.58673456810079905</v>
      </c>
      <c r="L5618">
        <v>11682.9944520389</v>
      </c>
      <c r="M5618">
        <v>250</v>
      </c>
      <c r="O5618">
        <v>46.728987407618</v>
      </c>
      <c r="P5618">
        <v>-0.52423841570937502</v>
      </c>
      <c r="Q5618">
        <v>0.60804591638038796</v>
      </c>
      <c r="R5618">
        <v>0.831582483356756</v>
      </c>
      <c r="S5618" t="s">
        <v>12186</v>
      </c>
      <c r="T5618" t="s">
        <v>13134</v>
      </c>
      <c r="U5618" t="s">
        <v>13134</v>
      </c>
      <c r="V5618" t="s">
        <v>13134</v>
      </c>
      <c r="W5618" t="s">
        <v>18686</v>
      </c>
      <c r="X5618">
        <v>13</v>
      </c>
      <c r="Y5618" t="s">
        <v>25049</v>
      </c>
      <c r="Z5618" t="s">
        <v>31586</v>
      </c>
      <c r="AA5618">
        <v>0.73522767684768831</v>
      </c>
      <c r="AB5618" t="str">
        <f>HYPERLINK("Melting_Curves/meltCurve_Q9H444_CHMP4B.pdf", "Melting_Curves/meltCurve_Q9H444_CHMP4B.pdf")</f>
        <v>Melting_Curves/meltCurve_Q9H444_CHMP4B.pdf</v>
      </c>
    </row>
    <row r="5619" spans="1:28" x14ac:dyDescent="0.25">
      <c r="A5619" t="s">
        <v>5623</v>
      </c>
      <c r="B5619">
        <v>0.99472303558308395</v>
      </c>
      <c r="C5619">
        <v>0.99397798029298001</v>
      </c>
      <c r="D5619">
        <v>0.99226655232984895</v>
      </c>
      <c r="E5619">
        <v>0.77640061053506604</v>
      </c>
      <c r="F5619">
        <v>0.40655608471758697</v>
      </c>
      <c r="G5619">
        <v>0.27317700624483099</v>
      </c>
      <c r="H5619">
        <v>0.17629297847226799</v>
      </c>
      <c r="I5619">
        <v>0.143639665753093</v>
      </c>
      <c r="J5619">
        <v>0.232353515991641</v>
      </c>
      <c r="K5619">
        <v>0.15555098407218601</v>
      </c>
      <c r="L5619">
        <v>1228.6227999761199</v>
      </c>
      <c r="M5619">
        <v>25.361939087943799</v>
      </c>
      <c r="N5619">
        <v>49.296585126564601</v>
      </c>
      <c r="O5619">
        <v>48.145396975003003</v>
      </c>
      <c r="P5619">
        <v>-0.10830488061975201</v>
      </c>
      <c r="Q5619">
        <v>0.17761563360334101</v>
      </c>
      <c r="R5619">
        <v>0.99454100764807096</v>
      </c>
      <c r="S5619" t="s">
        <v>12187</v>
      </c>
      <c r="T5619" t="s">
        <v>13134</v>
      </c>
      <c r="U5619" t="s">
        <v>13134</v>
      </c>
      <c r="V5619" t="s">
        <v>13134</v>
      </c>
      <c r="W5619" t="s">
        <v>18687</v>
      </c>
      <c r="X5619">
        <v>2</v>
      </c>
      <c r="Y5619" t="s">
        <v>25050</v>
      </c>
      <c r="Z5619" t="s">
        <v>31587</v>
      </c>
      <c r="AA5619">
        <v>0.49817220530315448</v>
      </c>
      <c r="AB5619" t="str">
        <f>HYPERLINK("Melting_Curves/meltCurve_Q9H467_CUEDC2.pdf", "Melting_Curves/meltCurve_Q9H467_CUEDC2.pdf")</f>
        <v>Melting_Curves/meltCurve_Q9H467_CUEDC2.pdf</v>
      </c>
    </row>
    <row r="5620" spans="1:28" x14ac:dyDescent="0.25">
      <c r="A5620" t="s">
        <v>5624</v>
      </c>
      <c r="B5620">
        <v>0.99472303558308395</v>
      </c>
      <c r="C5620">
        <v>0.92410743887761704</v>
      </c>
      <c r="D5620">
        <v>0.65564638827765098</v>
      </c>
      <c r="E5620">
        <v>0.35760347618550498</v>
      </c>
      <c r="F5620">
        <v>0.187198805292139</v>
      </c>
      <c r="G5620">
        <v>0.104422826977464</v>
      </c>
      <c r="H5620">
        <v>6.5450340661384804E-2</v>
      </c>
      <c r="I5620">
        <v>4.4794179629436E-2</v>
      </c>
      <c r="J5620">
        <v>6.1881067631249197E-2</v>
      </c>
      <c r="K5620">
        <v>5.4017379960877902E-2</v>
      </c>
      <c r="L5620">
        <v>789.23229883660804</v>
      </c>
      <c r="M5620">
        <v>17.684548105468402</v>
      </c>
      <c r="N5620">
        <v>44.912087654624202</v>
      </c>
      <c r="O5620">
        <v>44.069450504640599</v>
      </c>
      <c r="P5620">
        <v>-9.5024711004472101E-2</v>
      </c>
      <c r="Q5620">
        <v>5.2853687790313401E-2</v>
      </c>
      <c r="R5620">
        <v>0.998131605148604</v>
      </c>
      <c r="S5620" t="s">
        <v>12188</v>
      </c>
      <c r="T5620" t="s">
        <v>13134</v>
      </c>
      <c r="U5620" t="s">
        <v>13134</v>
      </c>
      <c r="V5620" t="s">
        <v>13134</v>
      </c>
      <c r="W5620" t="s">
        <v>18688</v>
      </c>
      <c r="X5620">
        <v>3</v>
      </c>
      <c r="Y5620" t="s">
        <v>25051</v>
      </c>
      <c r="Z5620" t="s">
        <v>31588</v>
      </c>
      <c r="AA5620">
        <v>0.30993868266653429</v>
      </c>
      <c r="AB5620" t="str">
        <f>HYPERLINK("Melting_Curves/meltCurve_Q9H469_FBXL15.pdf", "Melting_Curves/meltCurve_Q9H469_FBXL15.pdf")</f>
        <v>Melting_Curves/meltCurve_Q9H469_FBXL15.pdf</v>
      </c>
    </row>
    <row r="5621" spans="1:28" x14ac:dyDescent="0.25">
      <c r="A5621" t="s">
        <v>5625</v>
      </c>
      <c r="B5621">
        <v>0.99472303558308395</v>
      </c>
      <c r="C5621">
        <v>1.05432993068702</v>
      </c>
      <c r="D5621">
        <v>1.0321666854537299</v>
      </c>
      <c r="E5621">
        <v>0.96039712541909095</v>
      </c>
      <c r="F5621">
        <v>0.72037642156204895</v>
      </c>
      <c r="G5621">
        <v>0.62227349492538597</v>
      </c>
      <c r="H5621">
        <v>0.55751026866647402</v>
      </c>
      <c r="I5621">
        <v>0.70508950163633699</v>
      </c>
      <c r="J5621">
        <v>0.90739720645987698</v>
      </c>
      <c r="K5621">
        <v>0.45449150737289901</v>
      </c>
      <c r="L5621">
        <v>2383.4145194203902</v>
      </c>
      <c r="M5621">
        <v>48.935917127320003</v>
      </c>
      <c r="O5621">
        <v>48.623703848984199</v>
      </c>
      <c r="P5621">
        <v>-8.8216049230532695E-2</v>
      </c>
      <c r="Q5621">
        <v>0.64938757649743295</v>
      </c>
      <c r="R5621">
        <v>0.71074540971855404</v>
      </c>
      <c r="S5621" t="s">
        <v>12189</v>
      </c>
      <c r="T5621" t="s">
        <v>13134</v>
      </c>
      <c r="U5621" t="s">
        <v>13134</v>
      </c>
      <c r="V5621" t="s">
        <v>13134</v>
      </c>
      <c r="W5621" t="s">
        <v>18689</v>
      </c>
      <c r="X5621">
        <v>9</v>
      </c>
      <c r="Y5621" t="s">
        <v>25052</v>
      </c>
      <c r="Z5621" t="s">
        <v>31589</v>
      </c>
      <c r="AA5621">
        <v>0.78696915649586985</v>
      </c>
      <c r="AB5621" t="str">
        <f>HYPERLINK("Melting_Curves/meltCurve_Q9H479_FN3K.pdf", "Melting_Curves/meltCurve_Q9H479_FN3K.pdf")</f>
        <v>Melting_Curves/meltCurve_Q9H479_FN3K.pdf</v>
      </c>
    </row>
    <row r="5622" spans="1:28" x14ac:dyDescent="0.25">
      <c r="A5622" t="s">
        <v>5626</v>
      </c>
      <c r="B5622">
        <v>0.99472303558308395</v>
      </c>
      <c r="C5622">
        <v>1.0001300884337401</v>
      </c>
      <c r="D5622">
        <v>0.99968339282964902</v>
      </c>
      <c r="E5622">
        <v>0.93125865171675704</v>
      </c>
      <c r="F5622">
        <v>0.73179809405585405</v>
      </c>
      <c r="G5622">
        <v>0.488419402858287</v>
      </c>
      <c r="H5622">
        <v>0.23435558196051301</v>
      </c>
      <c r="I5622">
        <v>7.9655121908149495E-2</v>
      </c>
      <c r="J5622">
        <v>7.5524658686732596E-2</v>
      </c>
      <c r="K5622">
        <v>7.5116004184762206E-2</v>
      </c>
      <c r="L5622">
        <v>960.74745052632704</v>
      </c>
      <c r="M5622">
        <v>18.065751438523499</v>
      </c>
      <c r="N5622">
        <v>53.362119678369702</v>
      </c>
      <c r="O5622">
        <v>52.541824741493897</v>
      </c>
      <c r="P5622">
        <v>-8.3401206227995905E-2</v>
      </c>
      <c r="Q5622">
        <v>2.98021118595607E-2</v>
      </c>
      <c r="R5622">
        <v>0.99799963455185203</v>
      </c>
      <c r="S5622" t="s">
        <v>12190</v>
      </c>
      <c r="T5622" t="s">
        <v>13134</v>
      </c>
      <c r="U5622" t="s">
        <v>13134</v>
      </c>
      <c r="V5622" t="s">
        <v>13134</v>
      </c>
      <c r="W5622" t="s">
        <v>18690</v>
      </c>
      <c r="X5622">
        <v>14</v>
      </c>
      <c r="Y5622" t="s">
        <v>25053</v>
      </c>
      <c r="Z5622" t="s">
        <v>31590</v>
      </c>
      <c r="AA5622">
        <v>0.56700005356135508</v>
      </c>
      <c r="AB5622" t="str">
        <f>HYPERLINK("Melting_Curves/meltCurve_Q9H488_POFUT1.pdf", "Melting_Curves/meltCurve_Q9H488_POFUT1.pdf")</f>
        <v>Melting_Curves/meltCurve_Q9H488_POFUT1.pdf</v>
      </c>
    </row>
    <row r="5623" spans="1:28" x14ac:dyDescent="0.25">
      <c r="A5623" t="s">
        <v>5627</v>
      </c>
      <c r="B5623">
        <v>0.99472303558308395</v>
      </c>
      <c r="C5623">
        <v>0.84408113846866195</v>
      </c>
      <c r="D5623">
        <v>0.85966967051786003</v>
      </c>
      <c r="E5623">
        <v>0.65791784161299904</v>
      </c>
      <c r="F5623">
        <v>0.54872433810905696</v>
      </c>
      <c r="G5623">
        <v>0.22243811346103601</v>
      </c>
      <c r="H5623">
        <v>0.109276922602298</v>
      </c>
      <c r="I5623">
        <v>0.12531534864719401</v>
      </c>
      <c r="J5623">
        <v>0.11971586153651501</v>
      </c>
      <c r="K5623">
        <v>0.13315865151542799</v>
      </c>
      <c r="L5623">
        <v>604.52399679074199</v>
      </c>
      <c r="M5623">
        <v>12.3695094741107</v>
      </c>
      <c r="N5623">
        <v>49.324645874818799</v>
      </c>
      <c r="O5623">
        <v>47.647462604733001</v>
      </c>
      <c r="P5623">
        <v>-6.1432943126802302E-2</v>
      </c>
      <c r="Q5623">
        <v>5.3641809536401998E-2</v>
      </c>
      <c r="R5623">
        <v>0.97222895008350996</v>
      </c>
      <c r="S5623" t="s">
        <v>12191</v>
      </c>
      <c r="T5623" t="s">
        <v>13134</v>
      </c>
      <c r="U5623" t="s">
        <v>13134</v>
      </c>
      <c r="V5623" t="s">
        <v>13134</v>
      </c>
      <c r="W5623" t="s">
        <v>18691</v>
      </c>
      <c r="X5623">
        <v>1</v>
      </c>
      <c r="Y5623" t="s">
        <v>25054</v>
      </c>
      <c r="Z5623" t="s">
        <v>31591</v>
      </c>
      <c r="AA5623">
        <v>0.45532959485149022</v>
      </c>
      <c r="AB5623" t="str">
        <f>HYPERLINK("Melting_Curves/meltCurve_Q9H490_2_PIGU.pdf", "Melting_Curves/meltCurve_Q9H490_2_PIGU.pdf")</f>
        <v>Melting_Curves/meltCurve_Q9H490_2_PIGU.pdf</v>
      </c>
    </row>
    <row r="5624" spans="1:28" x14ac:dyDescent="0.25">
      <c r="A5624" t="s">
        <v>5628</v>
      </c>
      <c r="B5624">
        <v>0.99472303558308395</v>
      </c>
      <c r="C5624">
        <v>0.85259532258406401</v>
      </c>
      <c r="D5624">
        <v>0.80980401923336698</v>
      </c>
      <c r="E5624">
        <v>0.61293164328139105</v>
      </c>
      <c r="F5624">
        <v>0.27571267575459102</v>
      </c>
      <c r="G5624">
        <v>0.172013563327785</v>
      </c>
      <c r="H5624">
        <v>9.9523430205926203E-2</v>
      </c>
      <c r="I5624">
        <v>5.8986396171844702E-2</v>
      </c>
      <c r="J5624">
        <v>5.20225718372513E-2</v>
      </c>
      <c r="K5624">
        <v>6.4225078679847405E-2</v>
      </c>
      <c r="L5624">
        <v>664.88619072997096</v>
      </c>
      <c r="M5624">
        <v>14.088609926588701</v>
      </c>
      <c r="N5624">
        <v>47.388514585199196</v>
      </c>
      <c r="O5624">
        <v>46.272877475655001</v>
      </c>
      <c r="P5624">
        <v>-7.3979239423353202E-2</v>
      </c>
      <c r="Q5624">
        <v>2.8210589720067E-2</v>
      </c>
      <c r="R5624">
        <v>0.99061109604388198</v>
      </c>
      <c r="S5624" t="s">
        <v>12192</v>
      </c>
      <c r="T5624" t="s">
        <v>13134</v>
      </c>
      <c r="U5624" t="s">
        <v>13134</v>
      </c>
      <c r="V5624" t="s">
        <v>13134</v>
      </c>
      <c r="W5624" t="s">
        <v>18692</v>
      </c>
      <c r="X5624">
        <v>4</v>
      </c>
      <c r="Y5624" t="s">
        <v>25055</v>
      </c>
      <c r="Z5624" t="s">
        <v>31592</v>
      </c>
      <c r="AA5624">
        <v>0.38269931259974188</v>
      </c>
      <c r="AB5624" t="str">
        <f>HYPERLINK("Melting_Curves/meltCurve_Q9H496_IFRG15.pdf", "Melting_Curves/meltCurve_Q9H496_IFRG15.pdf")</f>
        <v>Melting_Curves/meltCurve_Q9H496_IFRG15.pdf</v>
      </c>
    </row>
    <row r="5625" spans="1:28" x14ac:dyDescent="0.25">
      <c r="A5625" t="s">
        <v>5629</v>
      </c>
      <c r="B5625">
        <v>0.99472303558308395</v>
      </c>
      <c r="C5625">
        <v>0.96870936788997597</v>
      </c>
      <c r="D5625">
        <v>1.05957238552095</v>
      </c>
      <c r="E5625">
        <v>0.87691009708483203</v>
      </c>
      <c r="F5625">
        <v>0.62698531576528804</v>
      </c>
      <c r="G5625">
        <v>0.38087882142463902</v>
      </c>
      <c r="H5625">
        <v>0.21090717786038199</v>
      </c>
      <c r="I5625">
        <v>9.9529545535751204E-2</v>
      </c>
      <c r="J5625">
        <v>0.103414652147178</v>
      </c>
      <c r="K5625">
        <v>9.5917572428462994E-2</v>
      </c>
      <c r="L5625">
        <v>955.70004443088897</v>
      </c>
      <c r="M5625">
        <v>18.5569971361009</v>
      </c>
      <c r="N5625">
        <v>51.971736492603902</v>
      </c>
      <c r="O5625">
        <v>50.913903992720897</v>
      </c>
      <c r="P5625">
        <v>-8.4071691474361901E-2</v>
      </c>
      <c r="Q5625">
        <v>7.7387204329810805E-2</v>
      </c>
      <c r="R5625">
        <v>0.99381252520444496</v>
      </c>
      <c r="S5625" t="s">
        <v>12193</v>
      </c>
      <c r="T5625" t="s">
        <v>13134</v>
      </c>
      <c r="U5625" t="s">
        <v>13134</v>
      </c>
      <c r="V5625" t="s">
        <v>13134</v>
      </c>
      <c r="W5625" t="s">
        <v>18693</v>
      </c>
      <c r="X5625">
        <v>8</v>
      </c>
      <c r="Y5625" t="s">
        <v>25056</v>
      </c>
      <c r="Z5625" t="s">
        <v>31593</v>
      </c>
      <c r="AA5625">
        <v>0.53685389169825559</v>
      </c>
      <c r="AB5625" t="str">
        <f>HYPERLINK("Melting_Curves/meltCurve_Q9H497_TOR3A.pdf", "Melting_Curves/meltCurve_Q9H497_TOR3A.pdf")</f>
        <v>Melting_Curves/meltCurve_Q9H497_TOR3A.pdf</v>
      </c>
    </row>
    <row r="5626" spans="1:28" x14ac:dyDescent="0.25">
      <c r="A5626" t="s">
        <v>5630</v>
      </c>
      <c r="B5626">
        <v>0.99472303558308395</v>
      </c>
      <c r="C5626">
        <v>0.97687969913578998</v>
      </c>
      <c r="D5626">
        <v>1.0037650562210501</v>
      </c>
      <c r="E5626">
        <v>0.91964457094194196</v>
      </c>
      <c r="F5626">
        <v>0.64348690682395804</v>
      </c>
      <c r="G5626">
        <v>0.17622756838050499</v>
      </c>
      <c r="H5626">
        <v>6.9431776328363407E-2</v>
      </c>
      <c r="I5626">
        <v>4.5687169731179901E-2</v>
      </c>
      <c r="J5626">
        <v>5.2967565179269802E-2</v>
      </c>
      <c r="K5626">
        <v>4.5734719667646903E-2</v>
      </c>
      <c r="L5626">
        <v>1625.9217607933199</v>
      </c>
      <c r="M5626">
        <v>31.930532337171801</v>
      </c>
      <c r="N5626">
        <v>51.0660499585452</v>
      </c>
      <c r="O5626">
        <v>50.722118755859498</v>
      </c>
      <c r="P5626">
        <v>-0.15053949361500499</v>
      </c>
      <c r="Q5626">
        <v>4.34681005739719E-2</v>
      </c>
      <c r="R5626">
        <v>0.99881123968639296</v>
      </c>
      <c r="S5626" t="s">
        <v>12194</v>
      </c>
      <c r="T5626" t="s">
        <v>13134</v>
      </c>
      <c r="U5626" t="s">
        <v>13134</v>
      </c>
      <c r="V5626" t="s">
        <v>13134</v>
      </c>
      <c r="W5626" t="s">
        <v>18694</v>
      </c>
      <c r="X5626">
        <v>27</v>
      </c>
      <c r="Y5626" t="s">
        <v>25057</v>
      </c>
      <c r="Z5626" t="s">
        <v>31594</v>
      </c>
      <c r="AA5626">
        <v>0.49258499167916542</v>
      </c>
      <c r="AB5626" t="str">
        <f>HYPERLINK("Melting_Curves/meltCurve_Q9H4A4_RNPEP.pdf", "Melting_Curves/meltCurve_Q9H4A4_RNPEP.pdf")</f>
        <v>Melting_Curves/meltCurve_Q9H4A4_RNPEP.pdf</v>
      </c>
    </row>
    <row r="5627" spans="1:28" x14ac:dyDescent="0.25">
      <c r="A5627" t="s">
        <v>5631</v>
      </c>
      <c r="B5627">
        <v>0.99472303558308395</v>
      </c>
      <c r="C5627">
        <v>0.88659265353148398</v>
      </c>
      <c r="D5627">
        <v>0.91852093495800302</v>
      </c>
      <c r="E5627">
        <v>0.48068877286339601</v>
      </c>
      <c r="F5627">
        <v>0.16258407767323901</v>
      </c>
      <c r="G5627">
        <v>8.0162567559952297E-2</v>
      </c>
      <c r="H5627">
        <v>4.4733315376914398E-2</v>
      </c>
      <c r="I5627">
        <v>2.8181397227026499E-2</v>
      </c>
      <c r="J5627">
        <v>3.6827489192422298E-2</v>
      </c>
      <c r="K5627">
        <v>4.1170921787148797E-2</v>
      </c>
      <c r="L5627">
        <v>1164.2069842270901</v>
      </c>
      <c r="M5627">
        <v>25.097494450463302</v>
      </c>
      <c r="N5627">
        <v>46.531889855836198</v>
      </c>
      <c r="O5627">
        <v>46.095884318548002</v>
      </c>
      <c r="P5627">
        <v>-0.131014250342915</v>
      </c>
      <c r="Q5627">
        <v>3.7491575466972897E-2</v>
      </c>
      <c r="R5627">
        <v>0.992718409221239</v>
      </c>
      <c r="S5627" t="s">
        <v>12195</v>
      </c>
      <c r="T5627" t="s">
        <v>13134</v>
      </c>
      <c r="U5627" t="s">
        <v>13134</v>
      </c>
      <c r="V5627" t="s">
        <v>13134</v>
      </c>
      <c r="W5627" t="s">
        <v>18695</v>
      </c>
      <c r="X5627">
        <v>5</v>
      </c>
      <c r="Y5627" t="s">
        <v>25058</v>
      </c>
      <c r="Z5627" t="s">
        <v>31595</v>
      </c>
      <c r="AA5627">
        <v>0.34662404238492589</v>
      </c>
      <c r="AB5627" t="str">
        <f>HYPERLINK("Melting_Curves/meltCurve_Q9H4A5_GOLPH3L.pdf", "Melting_Curves/meltCurve_Q9H4A5_GOLPH3L.pdf")</f>
        <v>Melting_Curves/meltCurve_Q9H4A5_GOLPH3L.pdf</v>
      </c>
    </row>
    <row r="5628" spans="1:28" x14ac:dyDescent="0.25">
      <c r="A5628" t="s">
        <v>5632</v>
      </c>
      <c r="B5628">
        <v>0.99472303558308395</v>
      </c>
      <c r="C5628">
        <v>0.917788762006845</v>
      </c>
      <c r="D5628">
        <v>0.96165679347152699</v>
      </c>
      <c r="E5628">
        <v>0.83448761806370797</v>
      </c>
      <c r="F5628">
        <v>0.64018765475226902</v>
      </c>
      <c r="G5628">
        <v>0.32477450333931401</v>
      </c>
      <c r="H5628">
        <v>7.3743956305047903E-2</v>
      </c>
      <c r="I5628">
        <v>5.4201316536890601E-2</v>
      </c>
      <c r="J5628">
        <v>4.6268633428269097E-2</v>
      </c>
      <c r="K5628">
        <v>4.1870596402634699E-2</v>
      </c>
      <c r="L5628">
        <v>946.55711191803402</v>
      </c>
      <c r="M5628">
        <v>18.420242260494</v>
      </c>
      <c r="N5628">
        <v>51.421426395195702</v>
      </c>
      <c r="O5628">
        <v>50.792647387740601</v>
      </c>
      <c r="P5628">
        <v>-9.0109004513330995E-2</v>
      </c>
      <c r="Q5628">
        <v>6.1654864094534603E-3</v>
      </c>
      <c r="R5628">
        <v>0.99199743132197304</v>
      </c>
      <c r="S5628" t="s">
        <v>12196</v>
      </c>
      <c r="T5628" t="s">
        <v>13134</v>
      </c>
      <c r="U5628" t="s">
        <v>13134</v>
      </c>
      <c r="V5628" t="s">
        <v>13134</v>
      </c>
      <c r="W5628" t="s">
        <v>18696</v>
      </c>
      <c r="X5628">
        <v>7</v>
      </c>
      <c r="Y5628" t="s">
        <v>25059</v>
      </c>
      <c r="Z5628" t="s">
        <v>31596</v>
      </c>
      <c r="AA5628">
        <v>0.49752604237717291</v>
      </c>
      <c r="AB5628" t="str">
        <f>HYPERLINK("Melting_Curves/meltCurve_Q9H4A6_GOLPH3.pdf", "Melting_Curves/meltCurve_Q9H4A6_GOLPH3.pdf")</f>
        <v>Melting_Curves/meltCurve_Q9H4A6_GOLPH3.pdf</v>
      </c>
    </row>
    <row r="5629" spans="1:28" x14ac:dyDescent="0.25">
      <c r="A5629" t="s">
        <v>5633</v>
      </c>
      <c r="B5629">
        <v>0.99472303558308395</v>
      </c>
      <c r="C5629">
        <v>0.92290158485490603</v>
      </c>
      <c r="D5629">
        <v>0.849661285439686</v>
      </c>
      <c r="E5629">
        <v>0.29370617116334802</v>
      </c>
      <c r="F5629">
        <v>0.14488886984052901</v>
      </c>
      <c r="G5629">
        <v>8.3697205624189405E-2</v>
      </c>
      <c r="H5629">
        <v>4.9444696619442702E-2</v>
      </c>
      <c r="I5629">
        <v>3.4029875720289197E-2</v>
      </c>
      <c r="J5629">
        <v>4.5656531128825603E-2</v>
      </c>
      <c r="K5629">
        <v>3.8924566010414302E-2</v>
      </c>
      <c r="L5629">
        <v>1330.9860028814201</v>
      </c>
      <c r="M5629">
        <v>29.496804131042602</v>
      </c>
      <c r="N5629">
        <v>45.298077649730097</v>
      </c>
      <c r="O5629">
        <v>44.917206383278</v>
      </c>
      <c r="P5629">
        <v>-0.15533252477752901</v>
      </c>
      <c r="Q5629">
        <v>5.3856648961725498E-2</v>
      </c>
      <c r="R5629">
        <v>0.99452657786010101</v>
      </c>
      <c r="S5629" t="s">
        <v>12197</v>
      </c>
      <c r="T5629" t="s">
        <v>13134</v>
      </c>
      <c r="U5629" t="s">
        <v>13134</v>
      </c>
      <c r="V5629" t="s">
        <v>13134</v>
      </c>
      <c r="W5629" t="s">
        <v>18697</v>
      </c>
      <c r="X5629">
        <v>18</v>
      </c>
      <c r="Y5629" t="s">
        <v>25060</v>
      </c>
      <c r="Z5629" t="s">
        <v>31597</v>
      </c>
      <c r="AA5629">
        <v>0.31555184076264331</v>
      </c>
      <c r="AB5629" t="str">
        <f>HYPERLINK("Melting_Curves/meltCurve_Q9H4E7_DEF6.pdf", "Melting_Curves/meltCurve_Q9H4E7_DEF6.pdf")</f>
        <v>Melting_Curves/meltCurve_Q9H4E7_DEF6.pdf</v>
      </c>
    </row>
    <row r="5630" spans="1:28" x14ac:dyDescent="0.25">
      <c r="A5630" t="s">
        <v>5634</v>
      </c>
      <c r="B5630">
        <v>0.99472303558308395</v>
      </c>
      <c r="C5630">
        <v>0.91187813478424395</v>
      </c>
      <c r="D5630">
        <v>0.79939688055602598</v>
      </c>
      <c r="E5630">
        <v>0.53296065720091701</v>
      </c>
      <c r="F5630">
        <v>0.22968570197895899</v>
      </c>
      <c r="G5630">
        <v>9.58198606444534E-2</v>
      </c>
      <c r="H5630">
        <v>6.58375273258891E-2</v>
      </c>
      <c r="I5630">
        <v>3.30620199085963E-2</v>
      </c>
      <c r="J5630">
        <v>4.9633451487133801E-2</v>
      </c>
      <c r="K5630">
        <v>4.14076855454341E-2</v>
      </c>
      <c r="L5630">
        <v>788.88858972324499</v>
      </c>
      <c r="M5630">
        <v>16.955663177563999</v>
      </c>
      <c r="N5630">
        <v>46.670868471559601</v>
      </c>
      <c r="O5630">
        <v>45.893837070534097</v>
      </c>
      <c r="P5630">
        <v>-9.0010214439819602E-2</v>
      </c>
      <c r="Q5630">
        <v>2.5539443300822098E-2</v>
      </c>
      <c r="R5630">
        <v>0.99793750778635104</v>
      </c>
      <c r="S5630" t="s">
        <v>12198</v>
      </c>
      <c r="T5630" t="s">
        <v>13134</v>
      </c>
      <c r="U5630" t="s">
        <v>13134</v>
      </c>
      <c r="V5630" t="s">
        <v>13134</v>
      </c>
      <c r="W5630" t="s">
        <v>18698</v>
      </c>
      <c r="X5630">
        <v>10</v>
      </c>
      <c r="Y5630" t="s">
        <v>25061</v>
      </c>
      <c r="Z5630" t="s">
        <v>31598</v>
      </c>
      <c r="AA5630">
        <v>0.35258969521027572</v>
      </c>
      <c r="AB5630" t="str">
        <f>HYPERLINK("Melting_Curves/meltCurve_Q9H4H8_FAM83D.pdf", "Melting_Curves/meltCurve_Q9H4H8_FAM83D.pdf")</f>
        <v>Melting_Curves/meltCurve_Q9H4H8_FAM83D.pdf</v>
      </c>
    </row>
    <row r="5631" spans="1:28" x14ac:dyDescent="0.25">
      <c r="A5631" t="s">
        <v>5635</v>
      </c>
      <c r="B5631">
        <v>0.99472303558308395</v>
      </c>
      <c r="C5631">
        <v>0.95240251785666996</v>
      </c>
      <c r="D5631">
        <v>0.55053429359879902</v>
      </c>
      <c r="E5631">
        <v>0.243831597178788</v>
      </c>
      <c r="F5631">
        <v>0.14086475733072701</v>
      </c>
      <c r="G5631">
        <v>6.6253740689975096E-2</v>
      </c>
      <c r="H5631">
        <v>4.70846869940892E-2</v>
      </c>
      <c r="I5631">
        <v>3.4514581439330901E-2</v>
      </c>
      <c r="J5631">
        <v>3.9839332127681697E-2</v>
      </c>
      <c r="K5631">
        <v>3.2064402010524698E-2</v>
      </c>
      <c r="L5631">
        <v>981.51156436127701</v>
      </c>
      <c r="M5631">
        <v>22.530025399214299</v>
      </c>
      <c r="N5631">
        <v>43.765243617360802</v>
      </c>
      <c r="O5631">
        <v>43.225722682397297</v>
      </c>
      <c r="P5631">
        <v>-0.12391333967822001</v>
      </c>
      <c r="Q5631">
        <v>4.9066737019310198E-2</v>
      </c>
      <c r="R5631">
        <v>0.99349825997463503</v>
      </c>
      <c r="S5631" t="s">
        <v>12199</v>
      </c>
      <c r="T5631" t="s">
        <v>13134</v>
      </c>
      <c r="U5631" t="s">
        <v>13134</v>
      </c>
      <c r="V5631" t="s">
        <v>13134</v>
      </c>
      <c r="W5631" t="s">
        <v>18699</v>
      </c>
      <c r="X5631">
        <v>18</v>
      </c>
      <c r="Y5631" t="s">
        <v>25062</v>
      </c>
      <c r="Z5631" t="s">
        <v>31599</v>
      </c>
      <c r="AA5631">
        <v>0.26704575322824931</v>
      </c>
      <c r="AB5631" t="str">
        <f>HYPERLINK("Melting_Curves/meltCurve_Q9H4L5_OSBPL3.pdf", "Melting_Curves/meltCurve_Q9H4L5_OSBPL3.pdf")</f>
        <v>Melting_Curves/meltCurve_Q9H4L5_OSBPL3.pdf</v>
      </c>
    </row>
    <row r="5632" spans="1:28" x14ac:dyDescent="0.25">
      <c r="A5632" t="s">
        <v>5636</v>
      </c>
      <c r="B5632">
        <v>0.99472303558308395</v>
      </c>
      <c r="C5632">
        <v>0.92783233873419402</v>
      </c>
      <c r="D5632">
        <v>0.89602726725510895</v>
      </c>
      <c r="E5632">
        <v>0.68391658429680302</v>
      </c>
      <c r="F5632">
        <v>0.29879840890026999</v>
      </c>
      <c r="G5632">
        <v>0.108200076273407</v>
      </c>
      <c r="H5632">
        <v>7.0679966618899207E-2</v>
      </c>
      <c r="I5632">
        <v>5.8298571545475499E-2</v>
      </c>
      <c r="J5632">
        <v>7.5978193420972603E-2</v>
      </c>
      <c r="K5632">
        <v>6.7239494124093899E-2</v>
      </c>
      <c r="L5632">
        <v>1043.3891099077</v>
      </c>
      <c r="M5632">
        <v>21.8131356962196</v>
      </c>
      <c r="N5632">
        <v>48.0842554603053</v>
      </c>
      <c r="O5632">
        <v>47.436491040377597</v>
      </c>
      <c r="P5632">
        <v>-0.10877168608049501</v>
      </c>
      <c r="Q5632">
        <v>5.3849362868623803E-2</v>
      </c>
      <c r="R5632">
        <v>0.99589984298179002</v>
      </c>
      <c r="S5632" t="s">
        <v>12200</v>
      </c>
      <c r="T5632" t="s">
        <v>13134</v>
      </c>
      <c r="U5632" t="s">
        <v>13134</v>
      </c>
      <c r="V5632" t="s">
        <v>13134</v>
      </c>
      <c r="W5632" t="s">
        <v>18700</v>
      </c>
      <c r="X5632">
        <v>23</v>
      </c>
      <c r="Y5632" t="s">
        <v>25063</v>
      </c>
      <c r="Z5632" t="s">
        <v>31600</v>
      </c>
      <c r="AA5632">
        <v>0.40602050929863098</v>
      </c>
      <c r="AB5632" t="str">
        <f>HYPERLINK("Melting_Curves/meltCurve_Q9H4L7_SMARCAD1.pdf", "Melting_Curves/meltCurve_Q9H4L7_SMARCAD1.pdf")</f>
        <v>Melting_Curves/meltCurve_Q9H4L7_SMARCAD1.pdf</v>
      </c>
    </row>
    <row r="5633" spans="1:28" x14ac:dyDescent="0.25">
      <c r="A5633" t="s">
        <v>5637</v>
      </c>
      <c r="B5633">
        <v>0.99472303558308395</v>
      </c>
      <c r="C5633">
        <v>0.94670851803545397</v>
      </c>
      <c r="D5633">
        <v>0.95680980498125801</v>
      </c>
      <c r="E5633">
        <v>0.85382646547230201</v>
      </c>
      <c r="F5633">
        <v>0.62971291236131999</v>
      </c>
      <c r="G5633">
        <v>0.19245185154625499</v>
      </c>
      <c r="H5633">
        <v>6.0966395494874502E-2</v>
      </c>
      <c r="I5633">
        <v>3.4825910707762101E-2</v>
      </c>
      <c r="J5633">
        <v>3.62895689145925E-2</v>
      </c>
      <c r="K5633">
        <v>3.5352541061532697E-2</v>
      </c>
      <c r="L5633">
        <v>1236.4250907498199</v>
      </c>
      <c r="M5633">
        <v>24.3141193300842</v>
      </c>
      <c r="N5633">
        <v>50.930199723327298</v>
      </c>
      <c r="O5633">
        <v>50.511886146362301</v>
      </c>
      <c r="P5633">
        <v>-0.118139986922629</v>
      </c>
      <c r="Q5633">
        <v>1.8284725649167301E-2</v>
      </c>
      <c r="R5633">
        <v>0.99439766732036605</v>
      </c>
      <c r="S5633" t="s">
        <v>12201</v>
      </c>
      <c r="T5633" t="s">
        <v>13134</v>
      </c>
      <c r="U5633" t="s">
        <v>13134</v>
      </c>
      <c r="V5633" t="s">
        <v>13134</v>
      </c>
      <c r="W5633" t="s">
        <v>18701</v>
      </c>
      <c r="X5633">
        <v>26</v>
      </c>
      <c r="Y5633" t="s">
        <v>25064</v>
      </c>
      <c r="Z5633" t="s">
        <v>31601</v>
      </c>
      <c r="AA5633">
        <v>0.4806908537747196</v>
      </c>
      <c r="AB5633" t="str">
        <f>HYPERLINK("Melting_Curves/meltCurve_Q9H4M9_EHD1.pdf", "Melting_Curves/meltCurve_Q9H4M9_EHD1.pdf")</f>
        <v>Melting_Curves/meltCurve_Q9H4M9_EHD1.pdf</v>
      </c>
    </row>
    <row r="5634" spans="1:28" x14ac:dyDescent="0.25">
      <c r="A5634" t="s">
        <v>5638</v>
      </c>
      <c r="B5634">
        <v>0.99472303558308395</v>
      </c>
      <c r="C5634">
        <v>0.94917128561184005</v>
      </c>
      <c r="D5634">
        <v>0.93010476927270402</v>
      </c>
      <c r="E5634">
        <v>0.76773751068309104</v>
      </c>
      <c r="F5634">
        <v>0.67775060275903398</v>
      </c>
      <c r="G5634">
        <v>0.29129614836302298</v>
      </c>
      <c r="H5634">
        <v>0.19280076049181399</v>
      </c>
      <c r="I5634">
        <v>0.11601988422892601</v>
      </c>
      <c r="J5634">
        <v>0.102006476529457</v>
      </c>
      <c r="K5634">
        <v>0.110103240628819</v>
      </c>
      <c r="L5634">
        <v>785.86760249429801</v>
      </c>
      <c r="M5634">
        <v>15.422773460992101</v>
      </c>
      <c r="N5634">
        <v>51.3836745221139</v>
      </c>
      <c r="O5634">
        <v>50.121393529522301</v>
      </c>
      <c r="P5634">
        <v>-7.2290118919781599E-2</v>
      </c>
      <c r="Q5634">
        <v>6.0362691013048198E-2</v>
      </c>
      <c r="R5634">
        <v>0.98681607954345996</v>
      </c>
      <c r="S5634" t="s">
        <v>12202</v>
      </c>
      <c r="T5634" t="s">
        <v>13134</v>
      </c>
      <c r="U5634" t="s">
        <v>13134</v>
      </c>
      <c r="V5634" t="s">
        <v>13134</v>
      </c>
      <c r="W5634" t="s">
        <v>18702</v>
      </c>
      <c r="X5634">
        <v>2</v>
      </c>
      <c r="Y5634" t="s">
        <v>25065</v>
      </c>
      <c r="Z5634" t="s">
        <v>31602</v>
      </c>
      <c r="AA5634">
        <v>0.51571383358499179</v>
      </c>
      <c r="AB5634" t="str">
        <f>HYPERLINK("Melting_Curves/meltCurve_Q9H4P4_2_RNF41.pdf", "Melting_Curves/meltCurve_Q9H4P4_2_RNF41.pdf")</f>
        <v>Melting_Curves/meltCurve_Q9H4P4_2_RNF41.pdf</v>
      </c>
    </row>
    <row r="5635" spans="1:28" x14ac:dyDescent="0.25">
      <c r="A5635" t="s">
        <v>5639</v>
      </c>
      <c r="B5635">
        <v>0.99472303558308395</v>
      </c>
      <c r="C5635">
        <v>1.0472562364289899</v>
      </c>
      <c r="D5635">
        <v>0.99149967569289998</v>
      </c>
      <c r="E5635">
        <v>0.89725493530885803</v>
      </c>
      <c r="F5635">
        <v>0.47256814988656798</v>
      </c>
      <c r="G5635">
        <v>0.23362891953506101</v>
      </c>
      <c r="H5635">
        <v>0.15073499415023101</v>
      </c>
      <c r="I5635">
        <v>0.121428969816246</v>
      </c>
      <c r="J5635">
        <v>0.10812250184545</v>
      </c>
      <c r="K5635">
        <v>7.9458487967265207E-2</v>
      </c>
      <c r="L5635">
        <v>1361.4995856584801</v>
      </c>
      <c r="M5635">
        <v>27.393670005602701</v>
      </c>
      <c r="N5635">
        <v>50.158133645496598</v>
      </c>
      <c r="O5635">
        <v>49.438650742584002</v>
      </c>
      <c r="P5635">
        <v>-0.12323008718997</v>
      </c>
      <c r="Q5635">
        <v>0.110411679215295</v>
      </c>
      <c r="R5635">
        <v>0.99668598487500504</v>
      </c>
      <c r="S5635" t="s">
        <v>12203</v>
      </c>
      <c r="T5635" t="s">
        <v>13134</v>
      </c>
      <c r="U5635" t="s">
        <v>13134</v>
      </c>
      <c r="V5635" t="s">
        <v>13134</v>
      </c>
      <c r="W5635" t="s">
        <v>18703</v>
      </c>
      <c r="X5635">
        <v>5</v>
      </c>
      <c r="Y5635" t="s">
        <v>25066</v>
      </c>
      <c r="Z5635" t="s">
        <v>31603</v>
      </c>
      <c r="AA5635">
        <v>0.4935364127016203</v>
      </c>
      <c r="AB5635" t="str">
        <f>HYPERLINK("Melting_Curves/meltCurve_Q9H4Z3_PCIF1.pdf", "Melting_Curves/meltCurve_Q9H4Z3_PCIF1.pdf")</f>
        <v>Melting_Curves/meltCurve_Q9H4Z3_PCIF1.pdf</v>
      </c>
    </row>
    <row r="5636" spans="1:28" x14ac:dyDescent="0.25">
      <c r="A5636" t="s">
        <v>5640</v>
      </c>
      <c r="B5636">
        <v>0.99472303558308395</v>
      </c>
      <c r="C5636">
        <v>0.93238805398990199</v>
      </c>
      <c r="D5636">
        <v>0.81321045549359305</v>
      </c>
      <c r="E5636">
        <v>0.46482174404590898</v>
      </c>
      <c r="F5636">
        <v>0.24926555769904199</v>
      </c>
      <c r="G5636">
        <v>0.156331460648236</v>
      </c>
      <c r="H5636">
        <v>8.4310284014733297E-2</v>
      </c>
      <c r="I5636">
        <v>6.6598244931934905E-2</v>
      </c>
      <c r="J5636">
        <v>7.7314356481457E-2</v>
      </c>
      <c r="K5636">
        <v>6.4748675700049801E-2</v>
      </c>
      <c r="L5636">
        <v>814.73006509935203</v>
      </c>
      <c r="M5636">
        <v>17.687094508835699</v>
      </c>
      <c r="N5636">
        <v>46.433214268567703</v>
      </c>
      <c r="O5636">
        <v>45.486799603803902</v>
      </c>
      <c r="P5636">
        <v>-9.0830495762563898E-2</v>
      </c>
      <c r="Q5636">
        <v>6.5675796850181795E-2</v>
      </c>
      <c r="R5636">
        <v>0.99864943697825503</v>
      </c>
      <c r="S5636" t="s">
        <v>12204</v>
      </c>
      <c r="T5636" t="s">
        <v>13134</v>
      </c>
      <c r="U5636" t="s">
        <v>13134</v>
      </c>
      <c r="V5636" t="s">
        <v>13134</v>
      </c>
      <c r="W5636" t="s">
        <v>18704</v>
      </c>
      <c r="X5636">
        <v>4</v>
      </c>
      <c r="Y5636" t="s">
        <v>25067</v>
      </c>
      <c r="Z5636" t="s">
        <v>31604</v>
      </c>
      <c r="AA5636">
        <v>0.36357884949354419</v>
      </c>
      <c r="AB5636" t="str">
        <f>HYPERLINK("Melting_Curves/meltCurve_Q9H501_ESF1.pdf", "Melting_Curves/meltCurve_Q9H501_ESF1.pdf")</f>
        <v>Melting_Curves/meltCurve_Q9H501_ESF1.pdf</v>
      </c>
    </row>
    <row r="5637" spans="1:28" x14ac:dyDescent="0.25">
      <c r="A5637" t="s">
        <v>5641</v>
      </c>
      <c r="B5637">
        <v>0.99472303558308395</v>
      </c>
      <c r="C5637">
        <v>0.98689957012938301</v>
      </c>
      <c r="D5637">
        <v>0.93641065621225705</v>
      </c>
      <c r="E5637">
        <v>0.86621514325212101</v>
      </c>
      <c r="F5637">
        <v>0.60716282973691305</v>
      </c>
      <c r="G5637">
        <v>0.24837094868847101</v>
      </c>
      <c r="H5637">
        <v>0.11493787092129901</v>
      </c>
      <c r="I5637">
        <v>7.5113930103892806E-2</v>
      </c>
      <c r="J5637">
        <v>8.5530347537954202E-2</v>
      </c>
      <c r="K5637">
        <v>9.2135284977713894E-2</v>
      </c>
      <c r="L5637">
        <v>1140.9659317658</v>
      </c>
      <c r="M5637">
        <v>22.526513001159501</v>
      </c>
      <c r="N5637">
        <v>50.979751637234997</v>
      </c>
      <c r="O5637">
        <v>50.2558240343579</v>
      </c>
      <c r="P5637">
        <v>-0.10446243445277401</v>
      </c>
      <c r="Q5637">
        <v>6.7811492624788097E-2</v>
      </c>
      <c r="R5637">
        <v>0.99707640121868901</v>
      </c>
      <c r="S5637" t="s">
        <v>12205</v>
      </c>
      <c r="T5637" t="s">
        <v>13134</v>
      </c>
      <c r="U5637" t="s">
        <v>13134</v>
      </c>
      <c r="V5637" t="s">
        <v>13134</v>
      </c>
      <c r="W5637" t="s">
        <v>18705</v>
      </c>
      <c r="X5637">
        <v>7</v>
      </c>
      <c r="Y5637" t="s">
        <v>25068</v>
      </c>
      <c r="Z5637" t="s">
        <v>31605</v>
      </c>
      <c r="AA5637">
        <v>0.50189130501117141</v>
      </c>
      <c r="AB5637" t="str">
        <f>HYPERLINK("Melting_Curves/meltCurve_Q9H553_ALG2.pdf", "Melting_Curves/meltCurve_Q9H553_ALG2.pdf")</f>
        <v>Melting_Curves/meltCurve_Q9H553_ALG2.pdf</v>
      </c>
    </row>
    <row r="5638" spans="1:28" x14ac:dyDescent="0.25">
      <c r="A5638" t="s">
        <v>5642</v>
      </c>
      <c r="B5638">
        <v>0.99472303558308395</v>
      </c>
      <c r="C5638">
        <v>1.1855027944049701</v>
      </c>
      <c r="D5638">
        <v>0.93337800402994997</v>
      </c>
      <c r="E5638">
        <v>0.80257445288575202</v>
      </c>
      <c r="F5638">
        <v>0.41154138350439501</v>
      </c>
      <c r="G5638">
        <v>0.110999040982824</v>
      </c>
      <c r="H5638">
        <v>6.9914007108704199E-2</v>
      </c>
      <c r="I5638">
        <v>4.9478512540514698E-2</v>
      </c>
      <c r="J5638">
        <v>4.5235363508738399E-2</v>
      </c>
      <c r="K5638">
        <v>3.8489900715896003E-2</v>
      </c>
      <c r="L5638">
        <v>1246.0564616660799</v>
      </c>
      <c r="M5638">
        <v>25.344575444576598</v>
      </c>
      <c r="N5638">
        <v>49.319614138163502</v>
      </c>
      <c r="O5638">
        <v>48.861608954321703</v>
      </c>
      <c r="P5638">
        <v>-0.124713029465588</v>
      </c>
      <c r="Q5638">
        <v>3.82792127762187E-2</v>
      </c>
      <c r="R5638">
        <v>0.98041514406632202</v>
      </c>
      <c r="S5638" t="s">
        <v>12206</v>
      </c>
      <c r="T5638" t="s">
        <v>13134</v>
      </c>
      <c r="U5638" t="s">
        <v>13134</v>
      </c>
      <c r="V5638" t="s">
        <v>13134</v>
      </c>
      <c r="W5638" t="s">
        <v>18706</v>
      </c>
      <c r="X5638">
        <v>3</v>
      </c>
      <c r="Y5638" t="s">
        <v>25069</v>
      </c>
      <c r="Z5638" t="s">
        <v>31606</v>
      </c>
      <c r="AA5638">
        <v>0.43635472717421359</v>
      </c>
      <c r="AB5638" t="str">
        <f>HYPERLINK("Melting_Curves/meltCurve_Q9H5K3_SGK196.pdf", "Melting_Curves/meltCurve_Q9H5K3_SGK196.pdf")</f>
        <v>Melting_Curves/meltCurve_Q9H5K3_SGK196.pdf</v>
      </c>
    </row>
    <row r="5639" spans="1:28" x14ac:dyDescent="0.25">
      <c r="A5639" t="s">
        <v>5643</v>
      </c>
      <c r="B5639">
        <v>0.99472303558308395</v>
      </c>
      <c r="C5639">
        <v>0.96247789509242199</v>
      </c>
      <c r="D5639">
        <v>0.91362019996741295</v>
      </c>
      <c r="E5639">
        <v>0.32762197208008897</v>
      </c>
      <c r="F5639">
        <v>0.16579273016840901</v>
      </c>
      <c r="G5639">
        <v>0.10980283267365699</v>
      </c>
      <c r="H5639">
        <v>8.1404312303398105E-2</v>
      </c>
      <c r="I5639">
        <v>5.99031087009812E-2</v>
      </c>
      <c r="J5639">
        <v>7.6518815413624999E-2</v>
      </c>
      <c r="K5639">
        <v>5.5709360207984199E-2</v>
      </c>
      <c r="L5639">
        <v>1655.4197831023801</v>
      </c>
      <c r="M5639">
        <v>36.451836377334402</v>
      </c>
      <c r="N5639">
        <v>45.645476039547198</v>
      </c>
      <c r="O5639">
        <v>45.277864954676602</v>
      </c>
      <c r="P5639">
        <v>-0.18427643307729699</v>
      </c>
      <c r="Q5639">
        <v>8.4422774149771507E-2</v>
      </c>
      <c r="R5639">
        <v>0.99568062946652902</v>
      </c>
      <c r="S5639" t="s">
        <v>12207</v>
      </c>
      <c r="T5639" t="s">
        <v>13134</v>
      </c>
      <c r="U5639" t="s">
        <v>13134</v>
      </c>
      <c r="V5639" t="s">
        <v>13134</v>
      </c>
      <c r="W5639" t="s">
        <v>18707</v>
      </c>
      <c r="X5639">
        <v>11</v>
      </c>
      <c r="Y5639" t="s">
        <v>25070</v>
      </c>
      <c r="Z5639" t="s">
        <v>31607</v>
      </c>
      <c r="AA5639">
        <v>0.34468195083325021</v>
      </c>
      <c r="AB5639" t="str">
        <f>HYPERLINK("Melting_Curves/meltCurve_Q9H5N1_RABEP2.pdf", "Melting_Curves/meltCurve_Q9H5N1_RABEP2.pdf")</f>
        <v>Melting_Curves/meltCurve_Q9H5N1_RABEP2.pdf</v>
      </c>
    </row>
    <row r="5640" spans="1:28" x14ac:dyDescent="0.25">
      <c r="A5640" t="s">
        <v>5644</v>
      </c>
      <c r="B5640">
        <v>0.99472303558308395</v>
      </c>
      <c r="C5640">
        <v>0.90632415685536005</v>
      </c>
      <c r="D5640">
        <v>0.93076305762846501</v>
      </c>
      <c r="E5640">
        <v>0.75558987928092503</v>
      </c>
      <c r="F5640">
        <v>0.42658735375004603</v>
      </c>
      <c r="G5640">
        <v>0.13155070454248699</v>
      </c>
      <c r="H5640">
        <v>7.6927790270829896E-2</v>
      </c>
      <c r="I5640">
        <v>3.97545606333191E-2</v>
      </c>
      <c r="J5640">
        <v>5.7069754334176298E-2</v>
      </c>
      <c r="K5640">
        <v>3.9783814103356699E-2</v>
      </c>
      <c r="L5640">
        <v>993.78454913685005</v>
      </c>
      <c r="M5640">
        <v>20.259184211291402</v>
      </c>
      <c r="N5640">
        <v>49.198813474822899</v>
      </c>
      <c r="O5640">
        <v>48.583090779909902</v>
      </c>
      <c r="P5640">
        <v>-0.101226330580223</v>
      </c>
      <c r="Q5640">
        <v>2.9035755427577099E-2</v>
      </c>
      <c r="R5640">
        <v>0.99373717272011197</v>
      </c>
      <c r="S5640" t="s">
        <v>12208</v>
      </c>
      <c r="T5640" t="s">
        <v>13134</v>
      </c>
      <c r="U5640" t="s">
        <v>13134</v>
      </c>
      <c r="V5640" t="s">
        <v>13134</v>
      </c>
      <c r="W5640" t="s">
        <v>18708</v>
      </c>
      <c r="X5640">
        <v>12</v>
      </c>
      <c r="Y5640" t="s">
        <v>25071</v>
      </c>
      <c r="Z5640" t="s">
        <v>31608</v>
      </c>
      <c r="AA5640">
        <v>0.43165010196379983</v>
      </c>
      <c r="AB5640" t="str">
        <f>HYPERLINK("Melting_Curves/meltCurve_Q9H5Q4_TFB2M.pdf", "Melting_Curves/meltCurve_Q9H5Q4_TFB2M.pdf")</f>
        <v>Melting_Curves/meltCurve_Q9H5Q4_TFB2M.pdf</v>
      </c>
    </row>
    <row r="5641" spans="1:28" x14ac:dyDescent="0.25">
      <c r="A5641" t="s">
        <v>5645</v>
      </c>
      <c r="B5641">
        <v>0.99472303558308395</v>
      </c>
      <c r="C5641">
        <v>0.91004652754247195</v>
      </c>
      <c r="D5641">
        <v>0.90396480210165497</v>
      </c>
      <c r="E5641">
        <v>0.80724063647210897</v>
      </c>
      <c r="F5641">
        <v>0.76987778305946597</v>
      </c>
      <c r="G5641">
        <v>0.50293562308364004</v>
      </c>
      <c r="H5641">
        <v>0.30917314822082398</v>
      </c>
      <c r="I5641">
        <v>0.185479658661827</v>
      </c>
      <c r="J5641">
        <v>0.16737816392625601</v>
      </c>
      <c r="K5641">
        <v>0.27039150314530902</v>
      </c>
      <c r="L5641">
        <v>687.99234895579696</v>
      </c>
      <c r="M5641">
        <v>13.131432141139801</v>
      </c>
      <c r="N5641">
        <v>53.634323402105601</v>
      </c>
      <c r="O5641">
        <v>51.222413776019302</v>
      </c>
      <c r="P5641">
        <v>-5.5700217078377301E-2</v>
      </c>
      <c r="Q5641">
        <v>0.131057491104562</v>
      </c>
      <c r="R5641">
        <v>0.96650241191345798</v>
      </c>
      <c r="S5641" t="s">
        <v>12209</v>
      </c>
      <c r="T5641" t="s">
        <v>13134</v>
      </c>
      <c r="U5641" t="s">
        <v>13134</v>
      </c>
      <c r="V5641" t="s">
        <v>13134</v>
      </c>
      <c r="W5641" t="s">
        <v>18709</v>
      </c>
      <c r="X5641">
        <v>4</v>
      </c>
      <c r="Y5641" t="s">
        <v>25072</v>
      </c>
      <c r="Z5641" t="s">
        <v>31609</v>
      </c>
      <c r="AA5641">
        <v>0.59535426291076521</v>
      </c>
      <c r="AB5641" t="str">
        <f>HYPERLINK("Melting_Curves/meltCurve_Q9H5V8_CDCP1.pdf", "Melting_Curves/meltCurve_Q9H5V8_CDCP1.pdf")</f>
        <v>Melting_Curves/meltCurve_Q9H5V8_CDCP1.pdf</v>
      </c>
    </row>
    <row r="5642" spans="1:28" x14ac:dyDescent="0.25">
      <c r="A5642" t="s">
        <v>5646</v>
      </c>
      <c r="B5642">
        <v>0.99472303558308395</v>
      </c>
      <c r="C5642">
        <v>1.0229360226280899</v>
      </c>
      <c r="D5642">
        <v>0.97112683409756095</v>
      </c>
      <c r="E5642">
        <v>0.82373681331363802</v>
      </c>
      <c r="F5642">
        <v>0.61197027628813905</v>
      </c>
      <c r="G5642">
        <v>0.30670714896791401</v>
      </c>
      <c r="H5642">
        <v>0.13302864127636799</v>
      </c>
      <c r="I5642">
        <v>8.8684160135153206E-2</v>
      </c>
      <c r="J5642">
        <v>0.101780051865361</v>
      </c>
      <c r="K5642">
        <v>8.1996791102011093E-2</v>
      </c>
      <c r="L5642">
        <v>959.45204311090504</v>
      </c>
      <c r="M5642">
        <v>18.880453129182101</v>
      </c>
      <c r="N5642">
        <v>51.182722295867102</v>
      </c>
      <c r="O5642">
        <v>50.257429019843201</v>
      </c>
      <c r="P5642">
        <v>-8.7999244673362204E-2</v>
      </c>
      <c r="Q5642">
        <v>6.3065893016893596E-2</v>
      </c>
      <c r="R5642">
        <v>0.99742731720107203</v>
      </c>
      <c r="S5642" t="s">
        <v>12210</v>
      </c>
      <c r="T5642" t="s">
        <v>13134</v>
      </c>
      <c r="U5642" t="s">
        <v>13134</v>
      </c>
      <c r="V5642" t="s">
        <v>13134</v>
      </c>
      <c r="W5642" t="s">
        <v>18710</v>
      </c>
      <c r="X5642">
        <v>11</v>
      </c>
      <c r="Y5642" t="s">
        <v>25073</v>
      </c>
      <c r="Z5642" t="s">
        <v>31610</v>
      </c>
      <c r="AA5642">
        <v>0.50810617448267725</v>
      </c>
      <c r="AB5642" t="str">
        <f>HYPERLINK("Melting_Curves/meltCurve_Q9H5V9_3_CXorf56.pdf", "Melting_Curves/meltCurve_Q9H5V9_3_CXorf56.pdf")</f>
        <v>Melting_Curves/meltCurve_Q9H5V9_3_CXorf56.pdf</v>
      </c>
    </row>
    <row r="5643" spans="1:28" x14ac:dyDescent="0.25">
      <c r="A5643" t="s">
        <v>5647</v>
      </c>
      <c r="B5643">
        <v>0.99472303558308395</v>
      </c>
      <c r="C5643">
        <v>1.00068638830573</v>
      </c>
      <c r="D5643">
        <v>0.983937631533914</v>
      </c>
      <c r="E5643">
        <v>0.88383969942102103</v>
      </c>
      <c r="F5643">
        <v>0.71889022284478599</v>
      </c>
      <c r="G5643">
        <v>0.539830230778791</v>
      </c>
      <c r="H5643">
        <v>0.37942414705458799</v>
      </c>
      <c r="I5643">
        <v>0.27405444761532299</v>
      </c>
      <c r="J5643">
        <v>0.21124786493268</v>
      </c>
      <c r="K5643">
        <v>0.12442043719873</v>
      </c>
      <c r="L5643">
        <v>639.97698131503603</v>
      </c>
      <c r="M5643">
        <v>11.830627664543</v>
      </c>
      <c r="N5643">
        <v>54.7304756870424</v>
      </c>
      <c r="O5643">
        <v>52.618780356471902</v>
      </c>
      <c r="P5643">
        <v>-5.2615003589990099E-2</v>
      </c>
      <c r="Q5643">
        <v>6.4180735503388098E-2</v>
      </c>
      <c r="R5643">
        <v>0.99770319247158501</v>
      </c>
      <c r="S5643" t="s">
        <v>12211</v>
      </c>
      <c r="T5643" t="s">
        <v>13134</v>
      </c>
      <c r="U5643" t="s">
        <v>13134</v>
      </c>
      <c r="V5643" t="s">
        <v>13134</v>
      </c>
      <c r="W5643" t="s">
        <v>18711</v>
      </c>
      <c r="X5643">
        <v>2</v>
      </c>
      <c r="Y5643" t="s">
        <v>25074</v>
      </c>
      <c r="Z5643" t="s">
        <v>31611</v>
      </c>
      <c r="AA5643">
        <v>0.61392313361862705</v>
      </c>
      <c r="AB5643" t="str">
        <f>HYPERLINK("Melting_Curves/meltCurve_Q9H5X1_FAM96A.pdf", "Melting_Curves/meltCurve_Q9H5X1_FAM96A.pdf")</f>
        <v>Melting_Curves/meltCurve_Q9H5X1_FAM96A.pdf</v>
      </c>
    </row>
    <row r="5644" spans="1:28" x14ac:dyDescent="0.25">
      <c r="A5644" t="s">
        <v>5648</v>
      </c>
      <c r="B5644">
        <v>0.99472303558308395</v>
      </c>
      <c r="C5644">
        <v>0.84045745270636496</v>
      </c>
      <c r="D5644">
        <v>0.85608444486754398</v>
      </c>
      <c r="E5644">
        <v>0.48737625718022998</v>
      </c>
      <c r="F5644">
        <v>0.25739264524594002</v>
      </c>
      <c r="G5644">
        <v>0.119926486002331</v>
      </c>
      <c r="H5644">
        <v>7.0024153720604401E-2</v>
      </c>
      <c r="I5644">
        <v>5.06919151578544E-2</v>
      </c>
      <c r="J5644">
        <v>5.5950035546199497E-2</v>
      </c>
      <c r="K5644">
        <v>5.0933869275316998E-2</v>
      </c>
      <c r="L5644">
        <v>760.40503678682205</v>
      </c>
      <c r="M5644">
        <v>16.376448387013301</v>
      </c>
      <c r="N5644">
        <v>46.6466181790692</v>
      </c>
      <c r="O5644">
        <v>45.757037292929503</v>
      </c>
      <c r="P5644">
        <v>-8.6246487020046794E-2</v>
      </c>
      <c r="Q5644">
        <v>3.6152126215702199E-2</v>
      </c>
      <c r="R5644">
        <v>0.98947187149298599</v>
      </c>
      <c r="S5644" t="s">
        <v>12212</v>
      </c>
      <c r="T5644" t="s">
        <v>13134</v>
      </c>
      <c r="U5644" t="s">
        <v>13134</v>
      </c>
      <c r="V5644" t="s">
        <v>13134</v>
      </c>
      <c r="W5644" t="s">
        <v>18712</v>
      </c>
      <c r="X5644">
        <v>9</v>
      </c>
      <c r="Y5644" t="s">
        <v>25075</v>
      </c>
      <c r="Z5644" t="s">
        <v>31612</v>
      </c>
      <c r="AA5644">
        <v>0.35785185365382011</v>
      </c>
      <c r="AB5644" t="str">
        <f>HYPERLINK("Melting_Curves/meltCurve_Q9H6D7_HAUS4.pdf", "Melting_Curves/meltCurve_Q9H6D7_HAUS4.pdf")</f>
        <v>Melting_Curves/meltCurve_Q9H6D7_HAUS4.pdf</v>
      </c>
    </row>
    <row r="5645" spans="1:28" x14ac:dyDescent="0.25">
      <c r="A5645" t="s">
        <v>5649</v>
      </c>
      <c r="B5645">
        <v>0.99472303558308395</v>
      </c>
      <c r="C5645">
        <v>0.94312474271741997</v>
      </c>
      <c r="D5645">
        <v>0.98374318325126398</v>
      </c>
      <c r="E5645">
        <v>0.80306796130885105</v>
      </c>
      <c r="F5645">
        <v>0.45922894187588897</v>
      </c>
      <c r="G5645">
        <v>0.16797356367081601</v>
      </c>
      <c r="H5645">
        <v>0.121039583831626</v>
      </c>
      <c r="I5645">
        <v>8.5658769016956002E-2</v>
      </c>
      <c r="J5645">
        <v>8.8441277142997099E-2</v>
      </c>
      <c r="K5645">
        <v>8.6133933067881405E-2</v>
      </c>
      <c r="L5645">
        <v>1168.75532308269</v>
      </c>
      <c r="M5645">
        <v>23.709673377016099</v>
      </c>
      <c r="N5645">
        <v>49.661569370582797</v>
      </c>
      <c r="O5645">
        <v>48.947796858264297</v>
      </c>
      <c r="P5645">
        <v>-0.111364243016109</v>
      </c>
      <c r="Q5645">
        <v>8.0384818310162004E-2</v>
      </c>
      <c r="R5645">
        <v>0.99733656880837296</v>
      </c>
      <c r="S5645" t="s">
        <v>12213</v>
      </c>
      <c r="T5645" t="s">
        <v>13134</v>
      </c>
      <c r="U5645" t="s">
        <v>13134</v>
      </c>
      <c r="V5645" t="s">
        <v>13134</v>
      </c>
      <c r="W5645" t="s">
        <v>18713</v>
      </c>
      <c r="X5645">
        <v>5</v>
      </c>
      <c r="Y5645" t="s">
        <v>25076</v>
      </c>
      <c r="Z5645" t="s">
        <v>31613</v>
      </c>
      <c r="AA5645">
        <v>0.46608877891976241</v>
      </c>
      <c r="AB5645" t="str">
        <f>HYPERLINK("Melting_Curves/meltCurve_Q9H6E4_CCDC134.pdf", "Melting_Curves/meltCurve_Q9H6E4_CCDC134.pdf")</f>
        <v>Melting_Curves/meltCurve_Q9H6E4_CCDC134.pdf</v>
      </c>
    </row>
    <row r="5646" spans="1:28" x14ac:dyDescent="0.25">
      <c r="A5646" t="s">
        <v>5650</v>
      </c>
      <c r="B5646">
        <v>0.99472303558308395</v>
      </c>
      <c r="C5646">
        <v>1.0649918156717699</v>
      </c>
      <c r="D5646">
        <v>0.89686961813902999</v>
      </c>
      <c r="E5646">
        <v>0.74035223800359096</v>
      </c>
      <c r="F5646">
        <v>0.81856594945987105</v>
      </c>
      <c r="G5646">
        <v>0.45806613353071501</v>
      </c>
      <c r="H5646">
        <v>0.334580983818134</v>
      </c>
      <c r="I5646">
        <v>0.17767428048514899</v>
      </c>
      <c r="J5646">
        <v>0.141886331741502</v>
      </c>
      <c r="K5646">
        <v>0.201333003664143</v>
      </c>
      <c r="L5646">
        <v>648.91216083963104</v>
      </c>
      <c r="M5646">
        <v>12.2540788753145</v>
      </c>
      <c r="N5646">
        <v>53.643865277346599</v>
      </c>
      <c r="O5646">
        <v>51.603777211417601</v>
      </c>
      <c r="P5646">
        <v>-5.5055232807810703E-2</v>
      </c>
      <c r="Q5646">
        <v>7.2822469623613495E-2</v>
      </c>
      <c r="R5646">
        <v>0.95889711599705896</v>
      </c>
      <c r="S5646" t="s">
        <v>12214</v>
      </c>
      <c r="T5646" t="s">
        <v>13134</v>
      </c>
      <c r="U5646" t="s">
        <v>13134</v>
      </c>
      <c r="V5646" t="s">
        <v>13134</v>
      </c>
      <c r="W5646" t="s">
        <v>18714</v>
      </c>
      <c r="X5646">
        <v>4</v>
      </c>
      <c r="Y5646" t="s">
        <v>25077</v>
      </c>
      <c r="Z5646" t="s">
        <v>31614</v>
      </c>
      <c r="AA5646">
        <v>0.58535617034896315</v>
      </c>
      <c r="AB5646" t="str">
        <f>HYPERLINK("Melting_Curves/meltCurve_Q9H6F5_CCDC86.pdf", "Melting_Curves/meltCurve_Q9H6F5_CCDC86.pdf")</f>
        <v>Melting_Curves/meltCurve_Q9H6F5_CCDC86.pdf</v>
      </c>
    </row>
    <row r="5647" spans="1:28" x14ac:dyDescent="0.25">
      <c r="A5647" t="s">
        <v>5651</v>
      </c>
      <c r="B5647">
        <v>0.99472303558308395</v>
      </c>
      <c r="C5647">
        <v>1.0082043331822701</v>
      </c>
      <c r="D5647">
        <v>0.87189705494258196</v>
      </c>
      <c r="E5647">
        <v>0.80872779405880602</v>
      </c>
      <c r="F5647">
        <v>0.58001819489036299</v>
      </c>
      <c r="G5647">
        <v>0.314262060128147</v>
      </c>
      <c r="H5647">
        <v>0.197210227939391</v>
      </c>
      <c r="I5647">
        <v>0.181846661297724</v>
      </c>
      <c r="J5647">
        <v>0.22129850449442401</v>
      </c>
      <c r="K5647">
        <v>0.181829159424199</v>
      </c>
      <c r="L5647">
        <v>866.52708904038195</v>
      </c>
      <c r="M5647">
        <v>17.443991649203198</v>
      </c>
      <c r="N5647">
        <v>50.8300681710638</v>
      </c>
      <c r="O5647">
        <v>49.035784340850803</v>
      </c>
      <c r="P5647">
        <v>-7.4384759555828406E-2</v>
      </c>
      <c r="Q5647">
        <v>0.163652115061903</v>
      </c>
      <c r="R5647">
        <v>0.98976577650379205</v>
      </c>
      <c r="S5647" t="s">
        <v>12215</v>
      </c>
      <c r="T5647" t="s">
        <v>13134</v>
      </c>
      <c r="U5647" t="s">
        <v>13134</v>
      </c>
      <c r="V5647" t="s">
        <v>13134</v>
      </c>
      <c r="W5647" t="s">
        <v>18715</v>
      </c>
      <c r="X5647">
        <v>6</v>
      </c>
      <c r="Y5647" t="s">
        <v>25078</v>
      </c>
      <c r="Z5647" t="s">
        <v>31615</v>
      </c>
      <c r="AA5647">
        <v>0.53093669113441211</v>
      </c>
      <c r="AB5647" t="str">
        <f>HYPERLINK("Melting_Curves/meltCurve_Q9H6H4_REEP4.pdf", "Melting_Curves/meltCurve_Q9H6H4_REEP4.pdf")</f>
        <v>Melting_Curves/meltCurve_Q9H6H4_REEP4.pdf</v>
      </c>
    </row>
    <row r="5648" spans="1:28" x14ac:dyDescent="0.25">
      <c r="A5648" t="s">
        <v>5652</v>
      </c>
      <c r="B5648">
        <v>0.99472303558308395</v>
      </c>
      <c r="C5648">
        <v>1.06203324009458</v>
      </c>
      <c r="D5648">
        <v>0.86537061123954095</v>
      </c>
      <c r="E5648">
        <v>0.67160692234345998</v>
      </c>
      <c r="F5648">
        <v>0.28440838216669201</v>
      </c>
      <c r="G5648">
        <v>0.113474506719143</v>
      </c>
      <c r="H5648">
        <v>5.3704960574656298E-2</v>
      </c>
      <c r="I5648">
        <v>2.55417713176497E-2</v>
      </c>
      <c r="J5648">
        <v>2.81527674136005E-2</v>
      </c>
      <c r="K5648">
        <v>1.8407403580451401E-2</v>
      </c>
      <c r="L5648">
        <v>987.75761178388905</v>
      </c>
      <c r="M5648">
        <v>20.604648939469399</v>
      </c>
      <c r="N5648">
        <v>48.023338525607699</v>
      </c>
      <c r="O5648">
        <v>47.493881829664197</v>
      </c>
      <c r="P5648">
        <v>-0.106525881480627</v>
      </c>
      <c r="Q5648">
        <v>1.78563260908337E-2</v>
      </c>
      <c r="R5648">
        <v>0.99466501768381699</v>
      </c>
      <c r="S5648" t="s">
        <v>12216</v>
      </c>
      <c r="T5648" t="s">
        <v>13134</v>
      </c>
      <c r="U5648" t="s">
        <v>13134</v>
      </c>
      <c r="V5648" t="s">
        <v>13134</v>
      </c>
      <c r="W5648" t="s">
        <v>18716</v>
      </c>
      <c r="X5648">
        <v>5</v>
      </c>
      <c r="Y5648" t="s">
        <v>25079</v>
      </c>
      <c r="Z5648" t="s">
        <v>31616</v>
      </c>
      <c r="AA5648">
        <v>0.3881550297729397</v>
      </c>
      <c r="AB5648" t="str">
        <f>HYPERLINK("Melting_Curves/meltCurve_Q9H6K1_C6orf106.pdf", "Melting_Curves/meltCurve_Q9H6K1_C6orf106.pdf")</f>
        <v>Melting_Curves/meltCurve_Q9H6K1_C6orf106.pdf</v>
      </c>
    </row>
    <row r="5649" spans="1:28" x14ac:dyDescent="0.25">
      <c r="A5649" t="s">
        <v>5653</v>
      </c>
      <c r="B5649">
        <v>0.99472303558308395</v>
      </c>
      <c r="C5649">
        <v>0.73166593130052504</v>
      </c>
      <c r="D5649">
        <v>1.0196260292649799</v>
      </c>
      <c r="E5649">
        <v>0.763854461480585</v>
      </c>
      <c r="F5649">
        <v>0.43927795632794198</v>
      </c>
      <c r="G5649">
        <v>0.34876503360466499</v>
      </c>
      <c r="H5649">
        <v>0.271711035998836</v>
      </c>
      <c r="I5649">
        <v>0.18875852145208799</v>
      </c>
      <c r="J5649">
        <v>0.19686359140533599</v>
      </c>
      <c r="K5649">
        <v>0.14027901212848301</v>
      </c>
      <c r="L5649">
        <v>725.53232062587801</v>
      </c>
      <c r="M5649">
        <v>14.797590227260701</v>
      </c>
      <c r="N5649">
        <v>50.270217003844898</v>
      </c>
      <c r="O5649">
        <v>48.161123276107801</v>
      </c>
      <c r="P5649">
        <v>-6.5076484796927694E-2</v>
      </c>
      <c r="Q5649">
        <v>0.15288296205983601</v>
      </c>
      <c r="R5649">
        <v>0.92401985718019997</v>
      </c>
      <c r="S5649" t="s">
        <v>12217</v>
      </c>
      <c r="T5649" t="s">
        <v>13134</v>
      </c>
      <c r="U5649" t="s">
        <v>13134</v>
      </c>
      <c r="V5649" t="s">
        <v>13134</v>
      </c>
      <c r="W5649" t="s">
        <v>18717</v>
      </c>
      <c r="X5649">
        <v>2</v>
      </c>
      <c r="Y5649" t="s">
        <v>25080</v>
      </c>
      <c r="Z5649" t="s">
        <v>31617</v>
      </c>
      <c r="AA5649">
        <v>0.51118811602977776</v>
      </c>
      <c r="AB5649" t="str">
        <f>HYPERLINK("Melting_Curves/meltCurve_Q9H6K4_OPA3.pdf", "Melting_Curves/meltCurve_Q9H6K4_OPA3.pdf")</f>
        <v>Melting_Curves/meltCurve_Q9H6K4_OPA3.pdf</v>
      </c>
    </row>
    <row r="5650" spans="1:28" x14ac:dyDescent="0.25">
      <c r="A5650" t="s">
        <v>5654</v>
      </c>
      <c r="B5650">
        <v>0.99472303558308395</v>
      </c>
      <c r="C5650">
        <v>1.01204480818325</v>
      </c>
      <c r="D5650">
        <v>0.99586222316994499</v>
      </c>
      <c r="E5650">
        <v>0.87042484597335801</v>
      </c>
      <c r="F5650">
        <v>0.68886814385247097</v>
      </c>
      <c r="G5650">
        <v>0.35766124545385197</v>
      </c>
      <c r="H5650">
        <v>0.150891676759423</v>
      </c>
      <c r="I5650">
        <v>7.3503299286238E-2</v>
      </c>
      <c r="J5650">
        <v>6.7368665104198602E-2</v>
      </c>
      <c r="K5650">
        <v>6.2535227745793606E-2</v>
      </c>
      <c r="L5650">
        <v>1019.27325475922</v>
      </c>
      <c r="M5650">
        <v>19.654842789947299</v>
      </c>
      <c r="N5650">
        <v>52.071414525883398</v>
      </c>
      <c r="O5650">
        <v>51.330769879530799</v>
      </c>
      <c r="P5650">
        <v>-9.20357543618468E-2</v>
      </c>
      <c r="Q5650">
        <v>3.8588027687110102E-2</v>
      </c>
      <c r="R5650">
        <v>0.998433372963623</v>
      </c>
      <c r="S5650" t="s">
        <v>12218</v>
      </c>
      <c r="T5650" t="s">
        <v>13134</v>
      </c>
      <c r="U5650" t="s">
        <v>13134</v>
      </c>
      <c r="V5650" t="s">
        <v>13134</v>
      </c>
      <c r="W5650" t="s">
        <v>18718</v>
      </c>
      <c r="X5650">
        <v>11</v>
      </c>
      <c r="Y5650" t="s">
        <v>25081</v>
      </c>
      <c r="Z5650" t="s">
        <v>31618</v>
      </c>
      <c r="AA5650">
        <v>0.52755586254938103</v>
      </c>
      <c r="AB5650" t="str">
        <f>HYPERLINK("Melting_Curves/meltCurve_Q9H6Q4_NARFL.pdf", "Melting_Curves/meltCurve_Q9H6Q4_NARFL.pdf")</f>
        <v>Melting_Curves/meltCurve_Q9H6Q4_NARFL.pdf</v>
      </c>
    </row>
    <row r="5651" spans="1:28" x14ac:dyDescent="0.25">
      <c r="A5651" t="s">
        <v>5655</v>
      </c>
      <c r="B5651">
        <v>0.99472303558308395</v>
      </c>
      <c r="C5651">
        <v>0.89328437164355301</v>
      </c>
      <c r="D5651">
        <v>0.93070266664814705</v>
      </c>
      <c r="E5651">
        <v>0.57126866045178404</v>
      </c>
      <c r="F5651">
        <v>0.13645464877701299</v>
      </c>
      <c r="G5651">
        <v>5.9583281484428603E-2</v>
      </c>
      <c r="H5651">
        <v>2.5627971735694002E-2</v>
      </c>
      <c r="I5651">
        <v>8.6291562156644602E-2</v>
      </c>
      <c r="J5651">
        <v>0.160880355623847</v>
      </c>
      <c r="K5651">
        <v>0.106875180965765</v>
      </c>
      <c r="L5651">
        <v>1662.2793717499001</v>
      </c>
      <c r="M5651">
        <v>35.596256381403798</v>
      </c>
      <c r="N5651">
        <v>46.939354192719598</v>
      </c>
      <c r="O5651">
        <v>46.551508515801203</v>
      </c>
      <c r="P5651">
        <v>-0.17518880986472299</v>
      </c>
      <c r="Q5651">
        <v>8.3580514767267994E-2</v>
      </c>
      <c r="R5651">
        <v>0.98421020797247905</v>
      </c>
      <c r="S5651" t="s">
        <v>12219</v>
      </c>
      <c r="T5651" t="s">
        <v>13134</v>
      </c>
      <c r="U5651" t="s">
        <v>13134</v>
      </c>
      <c r="V5651" t="s">
        <v>13134</v>
      </c>
      <c r="W5651" t="s">
        <v>18719</v>
      </c>
      <c r="X5651">
        <v>1</v>
      </c>
      <c r="Y5651" t="s">
        <v>25082</v>
      </c>
      <c r="Z5651" t="s">
        <v>31619</v>
      </c>
      <c r="AA5651">
        <v>0.38357847781393711</v>
      </c>
      <c r="AB5651" t="str">
        <f>HYPERLINK("Melting_Curves/meltCurve_Q9H6R6_2_ZDHHC6.pdf", "Melting_Curves/meltCurve_Q9H6R6_2_ZDHHC6.pdf")</f>
        <v>Melting_Curves/meltCurve_Q9H6R6_2_ZDHHC6.pdf</v>
      </c>
    </row>
    <row r="5652" spans="1:28" x14ac:dyDescent="0.25">
      <c r="A5652" t="s">
        <v>5656</v>
      </c>
      <c r="B5652">
        <v>0.99472303558308395</v>
      </c>
      <c r="C5652">
        <v>0.76088834836258501</v>
      </c>
      <c r="D5652">
        <v>0.60448101524678099</v>
      </c>
      <c r="E5652">
        <v>0.42324146845532401</v>
      </c>
      <c r="F5652">
        <v>0.25805713969389399</v>
      </c>
      <c r="G5652">
        <v>0.160552523169737</v>
      </c>
      <c r="H5652">
        <v>0.111084870383761</v>
      </c>
      <c r="I5652">
        <v>7.3710815727747195E-2</v>
      </c>
      <c r="J5652">
        <v>5.4198058910014599E-2</v>
      </c>
      <c r="K5652">
        <v>0.111308061528625</v>
      </c>
      <c r="L5652">
        <v>528.86816119662603</v>
      </c>
      <c r="M5652">
        <v>11.901990394089101</v>
      </c>
      <c r="N5652">
        <v>44.887065605477503</v>
      </c>
      <c r="O5652">
        <v>43.236568568547</v>
      </c>
      <c r="P5652">
        <v>-6.4950397417916902E-2</v>
      </c>
      <c r="Q5652">
        <v>5.6449025461631698E-2</v>
      </c>
      <c r="R5652">
        <v>0.98888031945111998</v>
      </c>
      <c r="S5652" t="s">
        <v>12220</v>
      </c>
      <c r="T5652" t="s">
        <v>13134</v>
      </c>
      <c r="U5652" t="s">
        <v>13134</v>
      </c>
      <c r="V5652" t="s">
        <v>13134</v>
      </c>
      <c r="W5652" t="s">
        <v>18720</v>
      </c>
      <c r="X5652">
        <v>1</v>
      </c>
      <c r="Y5652" t="s">
        <v>25083</v>
      </c>
      <c r="Z5652" t="s">
        <v>31620</v>
      </c>
      <c r="AA5652">
        <v>0.32631010907791869</v>
      </c>
      <c r="AB5652" t="str">
        <f>HYPERLINK("Melting_Curves/meltCurve_Q9H6R7_2_C2orf44.pdf", "Melting_Curves/meltCurve_Q9H6R7_2_C2orf44.pdf")</f>
        <v>Melting_Curves/meltCurve_Q9H6R7_2_C2orf44.pdf</v>
      </c>
    </row>
    <row r="5653" spans="1:28" x14ac:dyDescent="0.25">
      <c r="A5653" t="s">
        <v>5657</v>
      </c>
      <c r="B5653">
        <v>0.99472303558308395</v>
      </c>
      <c r="C5653">
        <v>0.97791875063299405</v>
      </c>
      <c r="D5653">
        <v>0.85815988429039003</v>
      </c>
      <c r="E5653">
        <v>0.59248921531154997</v>
      </c>
      <c r="F5653">
        <v>0.37246669005793298</v>
      </c>
      <c r="G5653">
        <v>0.18673360830455701</v>
      </c>
      <c r="H5653">
        <v>0.126857275300854</v>
      </c>
      <c r="I5653">
        <v>0.12456995818264199</v>
      </c>
      <c r="J5653">
        <v>0.143073438036914</v>
      </c>
      <c r="K5653">
        <v>0.104855133455764</v>
      </c>
      <c r="L5653">
        <v>811.45164269932695</v>
      </c>
      <c r="M5653">
        <v>17.1761920798217</v>
      </c>
      <c r="N5653">
        <v>47.908869892611499</v>
      </c>
      <c r="O5653">
        <v>46.616410619044203</v>
      </c>
      <c r="P5653">
        <v>-8.2335896898823896E-2</v>
      </c>
      <c r="Q5653">
        <v>0.10621066111784599</v>
      </c>
      <c r="R5653">
        <v>0.99787388458149495</v>
      </c>
      <c r="S5653" t="s">
        <v>12221</v>
      </c>
      <c r="T5653" t="s">
        <v>13134</v>
      </c>
      <c r="U5653" t="s">
        <v>13134</v>
      </c>
      <c r="V5653" t="s">
        <v>13134</v>
      </c>
      <c r="W5653" t="s">
        <v>18721</v>
      </c>
      <c r="X5653">
        <v>5</v>
      </c>
      <c r="Y5653" t="s">
        <v>25084</v>
      </c>
      <c r="Z5653" t="s">
        <v>31621</v>
      </c>
      <c r="AA5653">
        <v>0.42702355968844607</v>
      </c>
      <c r="AB5653" t="str">
        <f>HYPERLINK("Melting_Curves/meltCurve_Q9H6S0_YTHDC2.pdf", "Melting_Curves/meltCurve_Q9H6S0_YTHDC2.pdf")</f>
        <v>Melting_Curves/meltCurve_Q9H6S0_YTHDC2.pdf</v>
      </c>
    </row>
    <row r="5654" spans="1:28" x14ac:dyDescent="0.25">
      <c r="A5654" t="s">
        <v>5658</v>
      </c>
      <c r="B5654">
        <v>0.99472303558308395</v>
      </c>
      <c r="C5654">
        <v>0.94967750454676103</v>
      </c>
      <c r="D5654">
        <v>0.80975226221730301</v>
      </c>
      <c r="E5654">
        <v>0.53902196268076497</v>
      </c>
      <c r="F5654">
        <v>0.202127229202575</v>
      </c>
      <c r="G5654">
        <v>0.106423555286886</v>
      </c>
      <c r="H5654">
        <v>7.2801367862770902E-2</v>
      </c>
      <c r="I5654">
        <v>5.4126392054209903E-2</v>
      </c>
      <c r="J5654">
        <v>6.8946582631991396E-2</v>
      </c>
      <c r="K5654">
        <v>4.14275271304686E-2</v>
      </c>
      <c r="L5654">
        <v>886.63411555422897</v>
      </c>
      <c r="M5654">
        <v>19.089375498322301</v>
      </c>
      <c r="N5654">
        <v>46.6783126608046</v>
      </c>
      <c r="O5654">
        <v>45.945770416112701</v>
      </c>
      <c r="P5654">
        <v>-9.9175088998843794E-2</v>
      </c>
      <c r="Q5654">
        <v>4.5228562356957797E-2</v>
      </c>
      <c r="R5654">
        <v>0.998104233553747</v>
      </c>
      <c r="S5654" t="s">
        <v>12222</v>
      </c>
      <c r="T5654" t="s">
        <v>13134</v>
      </c>
      <c r="U5654" t="s">
        <v>13134</v>
      </c>
      <c r="V5654" t="s">
        <v>13134</v>
      </c>
      <c r="W5654" t="s">
        <v>18722</v>
      </c>
      <c r="X5654">
        <v>4</v>
      </c>
      <c r="Y5654" t="s">
        <v>25085</v>
      </c>
      <c r="Z5654" t="s">
        <v>31622</v>
      </c>
      <c r="AA5654">
        <v>0.35956511514373751</v>
      </c>
      <c r="AB5654" t="str">
        <f>HYPERLINK("Melting_Curves/meltCurve_Q9H6S1_AZI2.pdf", "Melting_Curves/meltCurve_Q9H6S1_AZI2.pdf")</f>
        <v>Melting_Curves/meltCurve_Q9H6S1_AZI2.pdf</v>
      </c>
    </row>
    <row r="5655" spans="1:28" x14ac:dyDescent="0.25">
      <c r="A5655" t="s">
        <v>5659</v>
      </c>
      <c r="B5655">
        <v>0.99472303558308395</v>
      </c>
      <c r="C5655">
        <v>0.98531139501420595</v>
      </c>
      <c r="D5655">
        <v>0.876852525211955</v>
      </c>
      <c r="E5655">
        <v>0.79682446739873203</v>
      </c>
      <c r="F5655">
        <v>0.44015514925044602</v>
      </c>
      <c r="G5655">
        <v>0.28198680128624998</v>
      </c>
      <c r="H5655">
        <v>0.22114341965006501</v>
      </c>
      <c r="I5655">
        <v>0.229034861066755</v>
      </c>
      <c r="J5655">
        <v>0.27692328923551701</v>
      </c>
      <c r="K5655">
        <v>0.17192866488519501</v>
      </c>
      <c r="L5655">
        <v>1039.65406101196</v>
      </c>
      <c r="M5655">
        <v>21.512276316783002</v>
      </c>
      <c r="N5655">
        <v>49.599822431685901</v>
      </c>
      <c r="O5655">
        <v>47.916623764962999</v>
      </c>
      <c r="P5655">
        <v>-8.8452617456932198E-2</v>
      </c>
      <c r="Q5655">
        <v>0.21193917576809901</v>
      </c>
      <c r="R5655">
        <v>0.98766512884356406</v>
      </c>
      <c r="S5655" t="s">
        <v>12223</v>
      </c>
      <c r="T5655" t="s">
        <v>13134</v>
      </c>
      <c r="U5655" t="s">
        <v>13134</v>
      </c>
      <c r="V5655" t="s">
        <v>13134</v>
      </c>
      <c r="W5655" t="s">
        <v>18723</v>
      </c>
      <c r="X5655">
        <v>5</v>
      </c>
      <c r="Y5655" t="s">
        <v>25086</v>
      </c>
      <c r="Z5655" t="s">
        <v>31623</v>
      </c>
      <c r="AA5655">
        <v>0.51855326246072098</v>
      </c>
      <c r="AB5655" t="str">
        <f>HYPERLINK("Melting_Curves/meltCurve_Q9H6S3_EPS8L2.pdf", "Melting_Curves/meltCurve_Q9H6S3_EPS8L2.pdf")</f>
        <v>Melting_Curves/meltCurve_Q9H6S3_EPS8L2.pdf</v>
      </c>
    </row>
    <row r="5656" spans="1:28" x14ac:dyDescent="0.25">
      <c r="A5656" t="s">
        <v>5660</v>
      </c>
      <c r="B5656">
        <v>0.99472303558308395</v>
      </c>
      <c r="C5656">
        <v>0.90576823046885002</v>
      </c>
      <c r="D5656">
        <v>0.78288280821837697</v>
      </c>
      <c r="E5656">
        <v>0.61438696560883399</v>
      </c>
      <c r="F5656">
        <v>0.29877543332450002</v>
      </c>
      <c r="G5656">
        <v>7.8005232741364297E-2</v>
      </c>
      <c r="H5656">
        <v>4.4675199300545303E-2</v>
      </c>
      <c r="I5656">
        <v>3.2844300691601602E-2</v>
      </c>
      <c r="J5656">
        <v>4.5254121398829603E-2</v>
      </c>
      <c r="K5656">
        <v>3.32631349349293E-2</v>
      </c>
      <c r="L5656">
        <v>728.98668268361803</v>
      </c>
      <c r="M5656">
        <v>15.4104378615872</v>
      </c>
      <c r="N5656">
        <v>47.313393614610298</v>
      </c>
      <c r="O5656">
        <v>46.5296306954965</v>
      </c>
      <c r="P5656">
        <v>-8.2689885555156203E-2</v>
      </c>
      <c r="Q5656">
        <v>1.40925643508465E-3</v>
      </c>
      <c r="R5656">
        <v>0.99205815353537397</v>
      </c>
      <c r="S5656" t="s">
        <v>12224</v>
      </c>
      <c r="T5656" t="s">
        <v>13134</v>
      </c>
      <c r="U5656" t="s">
        <v>13134</v>
      </c>
      <c r="V5656" t="s">
        <v>13134</v>
      </c>
      <c r="W5656" t="s">
        <v>18724</v>
      </c>
      <c r="X5656">
        <v>29</v>
      </c>
      <c r="Y5656" t="s">
        <v>25087</v>
      </c>
      <c r="Z5656" t="s">
        <v>31624</v>
      </c>
      <c r="AA5656">
        <v>0.3657047564883103</v>
      </c>
      <c r="AB5656" t="str">
        <f>HYPERLINK("Melting_Curves/meltCurve_Q9H6T3_RPAP3.pdf", "Melting_Curves/meltCurve_Q9H6T3_RPAP3.pdf")</f>
        <v>Melting_Curves/meltCurve_Q9H6T3_RPAP3.pdf</v>
      </c>
    </row>
    <row r="5657" spans="1:28" x14ac:dyDescent="0.25">
      <c r="A5657" t="s">
        <v>5661</v>
      </c>
      <c r="B5657">
        <v>0.99472303558308395</v>
      </c>
      <c r="C5657">
        <v>1.0934262224628499</v>
      </c>
      <c r="D5657">
        <v>0.83925671209117003</v>
      </c>
      <c r="E5657">
        <v>0.804599816741837</v>
      </c>
      <c r="F5657">
        <v>0.55869889408152396</v>
      </c>
      <c r="G5657">
        <v>0.24001916959160899</v>
      </c>
      <c r="H5657">
        <v>8.8971889411001495E-2</v>
      </c>
      <c r="I5657">
        <v>6.36811514077293E-2</v>
      </c>
      <c r="J5657">
        <v>7.5235841994257202E-2</v>
      </c>
      <c r="K5657">
        <v>6.2440830179819003E-2</v>
      </c>
      <c r="L5657">
        <v>881.40214369407204</v>
      </c>
      <c r="M5657">
        <v>17.555079954821501</v>
      </c>
      <c r="N5657">
        <v>50.392402126677801</v>
      </c>
      <c r="O5657">
        <v>49.569899720028303</v>
      </c>
      <c r="P5657">
        <v>-8.57846198256626E-2</v>
      </c>
      <c r="Q5657">
        <v>3.11400610564448E-2</v>
      </c>
      <c r="R5657">
        <v>0.98249205126827199</v>
      </c>
      <c r="S5657" t="s">
        <v>12225</v>
      </c>
      <c r="T5657" t="s">
        <v>13134</v>
      </c>
      <c r="U5657" t="s">
        <v>13134</v>
      </c>
      <c r="V5657" t="s">
        <v>13134</v>
      </c>
      <c r="W5657" t="s">
        <v>18725</v>
      </c>
      <c r="X5657">
        <v>6</v>
      </c>
      <c r="Y5657" t="s">
        <v>25088</v>
      </c>
      <c r="Z5657" t="s">
        <v>31625</v>
      </c>
      <c r="AA5657">
        <v>0.4735431352238651</v>
      </c>
      <c r="AB5657" t="str">
        <f>HYPERLINK("Melting_Curves/meltCurve_Q9H6U8_ALG9.pdf", "Melting_Curves/meltCurve_Q9H6U8_ALG9.pdf")</f>
        <v>Melting_Curves/meltCurve_Q9H6U8_ALG9.pdf</v>
      </c>
    </row>
    <row r="5658" spans="1:28" x14ac:dyDescent="0.25">
      <c r="A5658" t="s">
        <v>5662</v>
      </c>
      <c r="B5658">
        <v>0.99472303558308395</v>
      </c>
      <c r="C5658">
        <v>0.98815128959558896</v>
      </c>
      <c r="D5658">
        <v>0.90845340392975604</v>
      </c>
      <c r="E5658">
        <v>0.86262078326118896</v>
      </c>
      <c r="F5658">
        <v>0.70484556756139505</v>
      </c>
      <c r="G5658">
        <v>0.48596525555265102</v>
      </c>
      <c r="H5658">
        <v>0.27160824628748997</v>
      </c>
      <c r="I5658">
        <v>0.11504700175959</v>
      </c>
      <c r="J5658">
        <v>0.100917353374924</v>
      </c>
      <c r="K5658">
        <v>0.104127888633525</v>
      </c>
      <c r="L5658">
        <v>714.01903642987099</v>
      </c>
      <c r="M5658">
        <v>13.4377261893636</v>
      </c>
      <c r="N5658">
        <v>53.233422314757</v>
      </c>
      <c r="O5658">
        <v>52.000050727957699</v>
      </c>
      <c r="P5658">
        <v>-6.3824875052897495E-2</v>
      </c>
      <c r="Q5658">
        <v>1.2219360696757799E-2</v>
      </c>
      <c r="R5658">
        <v>0.99492773616887797</v>
      </c>
      <c r="S5658" t="s">
        <v>12226</v>
      </c>
      <c r="T5658" t="s">
        <v>13134</v>
      </c>
      <c r="U5658" t="s">
        <v>13134</v>
      </c>
      <c r="V5658" t="s">
        <v>13134</v>
      </c>
      <c r="W5658" t="s">
        <v>18726</v>
      </c>
      <c r="X5658">
        <v>11</v>
      </c>
      <c r="Y5658" t="s">
        <v>25089</v>
      </c>
      <c r="Z5658" t="s">
        <v>31626</v>
      </c>
      <c r="AA5658">
        <v>0.56258149119490652</v>
      </c>
      <c r="AB5658" t="str">
        <f>HYPERLINK("Melting_Curves/meltCurve_Q9H6Y2_WDR55.pdf", "Melting_Curves/meltCurve_Q9H6Y2_WDR55.pdf")</f>
        <v>Melting_Curves/meltCurve_Q9H6Y2_WDR55.pdf</v>
      </c>
    </row>
    <row r="5659" spans="1:28" x14ac:dyDescent="0.25">
      <c r="A5659" t="s">
        <v>5663</v>
      </c>
      <c r="B5659">
        <v>0.99472303558308395</v>
      </c>
      <c r="C5659">
        <v>1.0378736031301701</v>
      </c>
      <c r="D5659">
        <v>0.96746473584283998</v>
      </c>
      <c r="E5659">
        <v>0.93885910335501399</v>
      </c>
      <c r="F5659">
        <v>0.79300205822372705</v>
      </c>
      <c r="G5659">
        <v>0.61871196288519004</v>
      </c>
      <c r="H5659">
        <v>0.52180950320931996</v>
      </c>
      <c r="I5659">
        <v>0.57520759696033297</v>
      </c>
      <c r="J5659">
        <v>0.76796255825425797</v>
      </c>
      <c r="K5659">
        <v>0.52159944798112101</v>
      </c>
      <c r="L5659">
        <v>1618.9351274691501</v>
      </c>
      <c r="M5659">
        <v>32.451253860524801</v>
      </c>
      <c r="O5659">
        <v>49.699912107311398</v>
      </c>
      <c r="P5659">
        <v>-6.6222248466148298E-2</v>
      </c>
      <c r="Q5659">
        <v>0.59431777213564896</v>
      </c>
      <c r="R5659">
        <v>0.87920703275783996</v>
      </c>
      <c r="S5659" t="s">
        <v>12227</v>
      </c>
      <c r="T5659" t="s">
        <v>13134</v>
      </c>
      <c r="U5659" t="s">
        <v>13134</v>
      </c>
      <c r="V5659" t="s">
        <v>13134</v>
      </c>
      <c r="W5659" t="s">
        <v>18727</v>
      </c>
      <c r="X5659">
        <v>14</v>
      </c>
      <c r="Y5659" t="s">
        <v>25090</v>
      </c>
      <c r="Z5659" t="s">
        <v>31627</v>
      </c>
      <c r="AA5659">
        <v>0.77072764427457452</v>
      </c>
      <c r="AB5659" t="str">
        <f>HYPERLINK("Melting_Curves/meltCurve_Q9H773_DCTPP1.pdf", "Melting_Curves/meltCurve_Q9H773_DCTPP1.pdf")</f>
        <v>Melting_Curves/meltCurve_Q9H773_DCTPP1.pdf</v>
      </c>
    </row>
    <row r="5660" spans="1:28" x14ac:dyDescent="0.25">
      <c r="A5660" t="s">
        <v>5664</v>
      </c>
      <c r="B5660">
        <v>0.99472303558308395</v>
      </c>
      <c r="C5660">
        <v>0.89170694384036597</v>
      </c>
      <c r="D5660">
        <v>0.89234089636937797</v>
      </c>
      <c r="E5660">
        <v>0.53901868307392697</v>
      </c>
      <c r="F5660">
        <v>0.16996037196067401</v>
      </c>
      <c r="G5660">
        <v>8.4530843190571497E-2</v>
      </c>
      <c r="H5660">
        <v>5.81975555502975E-2</v>
      </c>
      <c r="I5660">
        <v>4.2808637158135501E-2</v>
      </c>
      <c r="J5660">
        <v>5.7937645357475497E-2</v>
      </c>
      <c r="K5660">
        <v>4.4888783681555598E-2</v>
      </c>
      <c r="L5660">
        <v>1099.3213884664499</v>
      </c>
      <c r="M5660">
        <v>23.5826390039892</v>
      </c>
      <c r="N5660">
        <v>46.797443240761098</v>
      </c>
      <c r="O5660">
        <v>46.284393308130802</v>
      </c>
      <c r="P5660">
        <v>-0.121807366584543</v>
      </c>
      <c r="Q5660">
        <v>4.37568451581756E-2</v>
      </c>
      <c r="R5660">
        <v>0.99379603495632096</v>
      </c>
      <c r="S5660" t="s">
        <v>12228</v>
      </c>
      <c r="T5660" t="s">
        <v>13134</v>
      </c>
      <c r="U5660" t="s">
        <v>13134</v>
      </c>
      <c r="V5660" t="s">
        <v>13134</v>
      </c>
      <c r="W5660" t="s">
        <v>18728</v>
      </c>
      <c r="X5660">
        <v>4</v>
      </c>
      <c r="Y5660" t="s">
        <v>25091</v>
      </c>
      <c r="Z5660" t="s">
        <v>31628</v>
      </c>
      <c r="AA5660">
        <v>0.35924346978581861</v>
      </c>
      <c r="AB5660" t="str">
        <f>HYPERLINK("Melting_Curves/meltCurve_Q9H7B4_SMYD3.pdf", "Melting_Curves/meltCurve_Q9H7B4_SMYD3.pdf")</f>
        <v>Melting_Curves/meltCurve_Q9H7B4_SMYD3.pdf</v>
      </c>
    </row>
    <row r="5661" spans="1:28" x14ac:dyDescent="0.25">
      <c r="A5661" t="s">
        <v>5665</v>
      </c>
      <c r="B5661">
        <v>0.99472303558308395</v>
      </c>
      <c r="C5661">
        <v>0.990282705176871</v>
      </c>
      <c r="D5661">
        <v>0.80583228512565896</v>
      </c>
      <c r="E5661">
        <v>0.67157504223903897</v>
      </c>
      <c r="F5661">
        <v>0.57107018412431199</v>
      </c>
      <c r="G5661">
        <v>0.27924184708820399</v>
      </c>
      <c r="H5661">
        <v>0.176954208944754</v>
      </c>
      <c r="I5661">
        <v>0.13891964418533001</v>
      </c>
      <c r="J5661">
        <v>0.17465308412872199</v>
      </c>
      <c r="K5661">
        <v>0.12611832538515799</v>
      </c>
      <c r="L5661">
        <v>599.49425076790396</v>
      </c>
      <c r="M5661">
        <v>12.190831794668201</v>
      </c>
      <c r="N5661">
        <v>49.907955343783897</v>
      </c>
      <c r="O5661">
        <v>47.908728954865801</v>
      </c>
      <c r="P5661">
        <v>-5.8419490859217001E-2</v>
      </c>
      <c r="Q5661">
        <v>8.18775731910414E-2</v>
      </c>
      <c r="R5661">
        <v>0.98349163697975595</v>
      </c>
      <c r="S5661" t="s">
        <v>12229</v>
      </c>
      <c r="T5661" t="s">
        <v>13134</v>
      </c>
      <c r="U5661" t="s">
        <v>13134</v>
      </c>
      <c r="V5661" t="s">
        <v>13134</v>
      </c>
      <c r="W5661" t="s">
        <v>18729</v>
      </c>
      <c r="X5661">
        <v>8</v>
      </c>
      <c r="Y5661" t="s">
        <v>25092</v>
      </c>
      <c r="Z5661" t="s">
        <v>31629</v>
      </c>
      <c r="AA5661">
        <v>0.48097529385371163</v>
      </c>
      <c r="AB5661" t="str">
        <f>HYPERLINK("Melting_Curves/meltCurve_Q9H7D7_2_WDR26.pdf", "Melting_Curves/meltCurve_Q9H7D7_2_WDR26.pdf")</f>
        <v>Melting_Curves/meltCurve_Q9H7D7_2_WDR26.pdf</v>
      </c>
    </row>
    <row r="5662" spans="1:28" x14ac:dyDescent="0.25">
      <c r="A5662" t="s">
        <v>5666</v>
      </c>
      <c r="B5662">
        <v>0.99472303558308395</v>
      </c>
      <c r="C5662">
        <v>0.98358473218953402</v>
      </c>
      <c r="D5662">
        <v>0.78523149492307898</v>
      </c>
      <c r="E5662">
        <v>0.73025239212196202</v>
      </c>
      <c r="F5662">
        <v>0.47069609263156698</v>
      </c>
      <c r="G5662">
        <v>0.17746146421667999</v>
      </c>
      <c r="H5662">
        <v>0.13531340301375799</v>
      </c>
      <c r="I5662">
        <v>4.1576719728910798E-2</v>
      </c>
      <c r="J5662">
        <v>0.13207231015951301</v>
      </c>
      <c r="K5662">
        <v>0.114902251356142</v>
      </c>
      <c r="L5662">
        <v>733.49959774287402</v>
      </c>
      <c r="M5662">
        <v>15.067751130546799</v>
      </c>
      <c r="N5662">
        <v>49.094424003324697</v>
      </c>
      <c r="O5662">
        <v>47.846812450688503</v>
      </c>
      <c r="P5662">
        <v>-7.4036007592293507E-2</v>
      </c>
      <c r="Q5662">
        <v>5.9704532249577197E-2</v>
      </c>
      <c r="R5662">
        <v>0.97977378578538199</v>
      </c>
      <c r="S5662" t="s">
        <v>12230</v>
      </c>
      <c r="T5662" t="s">
        <v>13134</v>
      </c>
      <c r="U5662" t="s">
        <v>13134</v>
      </c>
      <c r="V5662" t="s">
        <v>13134</v>
      </c>
      <c r="W5662" t="s">
        <v>18730</v>
      </c>
      <c r="X5662">
        <v>3</v>
      </c>
      <c r="Y5662" t="s">
        <v>25093</v>
      </c>
      <c r="Z5662" t="s">
        <v>31630</v>
      </c>
      <c r="AA5662">
        <v>0.4460376613788955</v>
      </c>
      <c r="AB5662" t="str">
        <f>HYPERLINK("Melting_Curves/meltCurve_Q9H7E2_3_TDRD3.pdf", "Melting_Curves/meltCurve_Q9H7E2_3_TDRD3.pdf")</f>
        <v>Melting_Curves/meltCurve_Q9H7E2_3_TDRD3.pdf</v>
      </c>
    </row>
    <row r="5663" spans="1:28" x14ac:dyDescent="0.25">
      <c r="A5663" t="s">
        <v>5667</v>
      </c>
      <c r="B5663">
        <v>0.99472303558308395</v>
      </c>
      <c r="C5663">
        <v>1.07441270859217</v>
      </c>
      <c r="D5663">
        <v>0.76683732371475899</v>
      </c>
      <c r="E5663">
        <v>0.75965283955141705</v>
      </c>
      <c r="F5663">
        <v>0.58868817382179295</v>
      </c>
      <c r="G5663">
        <v>0.31349418727407102</v>
      </c>
      <c r="H5663">
        <v>0.24844336955235699</v>
      </c>
      <c r="I5663">
        <v>0.249599033832615</v>
      </c>
      <c r="J5663">
        <v>0.23793385922830401</v>
      </c>
      <c r="K5663">
        <v>0.17184857242117599</v>
      </c>
      <c r="L5663">
        <v>649.01831322529097</v>
      </c>
      <c r="M5663">
        <v>13.1850098900848</v>
      </c>
      <c r="N5663">
        <v>50.776643437803301</v>
      </c>
      <c r="O5663">
        <v>48.132957014804902</v>
      </c>
      <c r="P5663">
        <v>-5.7130116203336502E-2</v>
      </c>
      <c r="Q5663">
        <v>0.165906820501629</v>
      </c>
      <c r="R5663">
        <v>0.96301489489155501</v>
      </c>
      <c r="S5663" t="s">
        <v>12231</v>
      </c>
      <c r="T5663" t="s">
        <v>13134</v>
      </c>
      <c r="U5663" t="s">
        <v>13134</v>
      </c>
      <c r="V5663" t="s">
        <v>13134</v>
      </c>
      <c r="W5663" t="s">
        <v>18731</v>
      </c>
      <c r="X5663">
        <v>1</v>
      </c>
      <c r="Y5663" t="s">
        <v>25094</v>
      </c>
      <c r="Z5663" t="s">
        <v>31631</v>
      </c>
      <c r="AA5663">
        <v>0.52733730061386241</v>
      </c>
      <c r="AB5663" t="str">
        <f>HYPERLINK("Melting_Curves/meltCurve_Q9H7E9_C8orf33.pdf", "Melting_Curves/meltCurve_Q9H7E9_C8orf33.pdf")</f>
        <v>Melting_Curves/meltCurve_Q9H7E9_C8orf33.pdf</v>
      </c>
    </row>
    <row r="5664" spans="1:28" x14ac:dyDescent="0.25">
      <c r="A5664" t="s">
        <v>5668</v>
      </c>
      <c r="B5664">
        <v>0.99472303558308395</v>
      </c>
      <c r="C5664">
        <v>0.946711279920459</v>
      </c>
      <c r="D5664">
        <v>0.83485032721614605</v>
      </c>
      <c r="E5664">
        <v>0.74802202624107506</v>
      </c>
      <c r="F5664">
        <v>0.69688416897108896</v>
      </c>
      <c r="G5664">
        <v>0.43920652103667102</v>
      </c>
      <c r="H5664">
        <v>0.23145095360037299</v>
      </c>
      <c r="I5664">
        <v>0.16403435780799699</v>
      </c>
      <c r="J5664">
        <v>0.12598008358594301</v>
      </c>
      <c r="K5664">
        <v>0.14537698887794001</v>
      </c>
      <c r="L5664">
        <v>526.22966918596103</v>
      </c>
      <c r="M5664">
        <v>10.0604006956329</v>
      </c>
      <c r="N5664">
        <v>52.307028817840397</v>
      </c>
      <c r="O5664">
        <v>50.3663900523416</v>
      </c>
      <c r="P5664">
        <v>-4.9959805058429098E-2</v>
      </c>
      <c r="Q5664">
        <v>0</v>
      </c>
      <c r="R5664">
        <v>0.98167846931248504</v>
      </c>
      <c r="S5664" t="s">
        <v>12232</v>
      </c>
      <c r="T5664" t="s">
        <v>13134</v>
      </c>
      <c r="U5664" t="s">
        <v>13134</v>
      </c>
      <c r="V5664" t="s">
        <v>13134</v>
      </c>
      <c r="W5664" t="s">
        <v>18732</v>
      </c>
      <c r="X5664">
        <v>7</v>
      </c>
      <c r="Y5664" t="s">
        <v>25095</v>
      </c>
      <c r="Z5664" t="s">
        <v>31632</v>
      </c>
      <c r="AA5664">
        <v>0.53557650233233711</v>
      </c>
      <c r="AB5664" t="str">
        <f>HYPERLINK("Melting_Curves/meltCurve_Q9H7F0_ATP13A3.pdf", "Melting_Curves/meltCurve_Q9H7F0_ATP13A3.pdf")</f>
        <v>Melting_Curves/meltCurve_Q9H7F0_ATP13A3.pdf</v>
      </c>
    </row>
    <row r="5665" spans="1:28" x14ac:dyDescent="0.25">
      <c r="A5665" t="s">
        <v>5669</v>
      </c>
      <c r="B5665">
        <v>0.99472303558308395</v>
      </c>
      <c r="C5665">
        <v>0.93224046828108698</v>
      </c>
      <c r="D5665">
        <v>0.57136843052997</v>
      </c>
      <c r="E5665">
        <v>0.335522513886232</v>
      </c>
      <c r="F5665">
        <v>0.27575659660177398</v>
      </c>
      <c r="G5665">
        <v>0.11661740283189199</v>
      </c>
      <c r="H5665">
        <v>4.5771583061788697E-2</v>
      </c>
      <c r="I5665">
        <v>3.97240694798097E-2</v>
      </c>
      <c r="J5665">
        <v>4.6584206932677799E-2</v>
      </c>
      <c r="K5665">
        <v>3.7648137601023098E-2</v>
      </c>
      <c r="L5665">
        <v>672.59484953000799</v>
      </c>
      <c r="M5665">
        <v>15.1232626721744</v>
      </c>
      <c r="N5665">
        <v>44.7281801349313</v>
      </c>
      <c r="O5665">
        <v>43.718333991741297</v>
      </c>
      <c r="P5665">
        <v>-8.2930957882115006E-2</v>
      </c>
      <c r="Q5665">
        <v>4.1146941128609997E-2</v>
      </c>
      <c r="R5665">
        <v>0.98216482996677101</v>
      </c>
      <c r="S5665" t="s">
        <v>12233</v>
      </c>
      <c r="T5665" t="s">
        <v>13134</v>
      </c>
      <c r="U5665" t="s">
        <v>13134</v>
      </c>
      <c r="V5665" t="s">
        <v>13134</v>
      </c>
      <c r="W5665" t="s">
        <v>18733</v>
      </c>
      <c r="X5665">
        <v>2</v>
      </c>
      <c r="Y5665" t="s">
        <v>25096</v>
      </c>
      <c r="Z5665" t="s">
        <v>31633</v>
      </c>
      <c r="AA5665">
        <v>0.30293723380478349</v>
      </c>
      <c r="AB5665" t="str">
        <f>HYPERLINK("Melting_Curves/meltCurve_Q9H7L9_SUDS3.pdf", "Melting_Curves/meltCurve_Q9H7L9_SUDS3.pdf")</f>
        <v>Melting_Curves/meltCurve_Q9H7L9_SUDS3.pdf</v>
      </c>
    </row>
    <row r="5666" spans="1:28" x14ac:dyDescent="0.25">
      <c r="A5666" t="s">
        <v>5670</v>
      </c>
      <c r="B5666">
        <v>0.99472303558308395</v>
      </c>
      <c r="C5666">
        <v>0.809530494595463</v>
      </c>
      <c r="D5666">
        <v>0.74439558109414505</v>
      </c>
      <c r="E5666">
        <v>0.75192358980233798</v>
      </c>
      <c r="F5666">
        <v>0.84546474997344201</v>
      </c>
      <c r="G5666">
        <v>0.53697706374576504</v>
      </c>
      <c r="H5666">
        <v>0.38973502348706501</v>
      </c>
      <c r="I5666">
        <v>9.6586221145477102E-2</v>
      </c>
      <c r="J5666">
        <v>4.7701879172963202E-2</v>
      </c>
      <c r="K5666">
        <v>6.9739145126080301E-2</v>
      </c>
      <c r="L5666">
        <v>615.45672359740104</v>
      </c>
      <c r="M5666">
        <v>11.447351078106999</v>
      </c>
      <c r="N5666">
        <v>53.764116824701098</v>
      </c>
      <c r="O5666">
        <v>52.201871667766603</v>
      </c>
      <c r="P5666">
        <v>-5.4838369460896201E-2</v>
      </c>
      <c r="Q5666">
        <v>0</v>
      </c>
      <c r="R5666">
        <v>0.88642568156460999</v>
      </c>
      <c r="S5666" t="s">
        <v>12234</v>
      </c>
      <c r="T5666" t="s">
        <v>13134</v>
      </c>
      <c r="U5666" t="s">
        <v>13134</v>
      </c>
      <c r="V5666" t="s">
        <v>13134</v>
      </c>
      <c r="W5666" t="s">
        <v>18734</v>
      </c>
      <c r="X5666">
        <v>1</v>
      </c>
      <c r="Y5666" t="s">
        <v>25097</v>
      </c>
      <c r="Z5666" t="s">
        <v>31634</v>
      </c>
      <c r="AA5666">
        <v>0.57769363710777499</v>
      </c>
      <c r="AB5666" t="str">
        <f>HYPERLINK("Melting_Curves/meltCurve_Q9H7N4_SCAF1.pdf", "Melting_Curves/meltCurve_Q9H7N4_SCAF1.pdf")</f>
        <v>Melting_Curves/meltCurve_Q9H7N4_SCAF1.pdf</v>
      </c>
    </row>
    <row r="5667" spans="1:28" x14ac:dyDescent="0.25">
      <c r="A5667" t="s">
        <v>5671</v>
      </c>
      <c r="B5667">
        <v>0.99472303558308395</v>
      </c>
      <c r="C5667">
        <v>0.95760393452945303</v>
      </c>
      <c r="D5667">
        <v>0.81296259261583603</v>
      </c>
      <c r="E5667">
        <v>0.58022851105126705</v>
      </c>
      <c r="F5667">
        <v>0.35040890963714699</v>
      </c>
      <c r="G5667">
        <v>0.19210234498913301</v>
      </c>
      <c r="H5667">
        <v>0.18156365337946101</v>
      </c>
      <c r="I5667">
        <v>0.14603069665428001</v>
      </c>
      <c r="J5667">
        <v>0.18807374889325701</v>
      </c>
      <c r="K5667">
        <v>0.15470484250022901</v>
      </c>
      <c r="L5667">
        <v>794.83108335011195</v>
      </c>
      <c r="M5667">
        <v>17.086205085148801</v>
      </c>
      <c r="N5667">
        <v>47.498612215689697</v>
      </c>
      <c r="O5667">
        <v>45.895680816876798</v>
      </c>
      <c r="P5667">
        <v>-7.9253695492628895E-2</v>
      </c>
      <c r="Q5667">
        <v>0.148510284530984</v>
      </c>
      <c r="R5667">
        <v>0.99718154767411504</v>
      </c>
      <c r="S5667" t="s">
        <v>12235</v>
      </c>
      <c r="T5667" t="s">
        <v>13134</v>
      </c>
      <c r="U5667" t="s">
        <v>13134</v>
      </c>
      <c r="V5667" t="s">
        <v>13134</v>
      </c>
      <c r="W5667" t="s">
        <v>18735</v>
      </c>
      <c r="X5667">
        <v>9</v>
      </c>
      <c r="Y5667" t="s">
        <v>25098</v>
      </c>
      <c r="Z5667" t="s">
        <v>31635</v>
      </c>
      <c r="AA5667">
        <v>0.4338470710879061</v>
      </c>
      <c r="AB5667" t="str">
        <f>HYPERLINK("Melting_Curves/meltCurve_Q9H7Z6_KAT8.pdf", "Melting_Curves/meltCurve_Q9H7Z6_KAT8.pdf")</f>
        <v>Melting_Curves/meltCurve_Q9H7Z6_KAT8.pdf</v>
      </c>
    </row>
    <row r="5668" spans="1:28" x14ac:dyDescent="0.25">
      <c r="A5668" t="s">
        <v>5672</v>
      </c>
      <c r="B5668">
        <v>0.99472303558308395</v>
      </c>
      <c r="C5668">
        <v>0.91222398786216696</v>
      </c>
      <c r="D5668">
        <v>1.0236448694962801</v>
      </c>
      <c r="E5668">
        <v>0.88750808264757197</v>
      </c>
      <c r="F5668">
        <v>0.59061307904632598</v>
      </c>
      <c r="G5668">
        <v>0.52305786331212301</v>
      </c>
      <c r="H5668">
        <v>0.32801561204290802</v>
      </c>
      <c r="I5668">
        <v>0.26268598466387899</v>
      </c>
      <c r="J5668">
        <v>0.114980631934476</v>
      </c>
      <c r="K5668">
        <v>0.101236586536948</v>
      </c>
      <c r="L5668">
        <v>601.805337328463</v>
      </c>
      <c r="M5668">
        <v>11.2484652088926</v>
      </c>
      <c r="N5668">
        <v>53.656585239423102</v>
      </c>
      <c r="O5668">
        <v>51.8937870337381</v>
      </c>
      <c r="P5668">
        <v>-5.3337455774657899E-2</v>
      </c>
      <c r="Q5668">
        <v>1.6034371625272999E-2</v>
      </c>
      <c r="R5668">
        <v>0.97791294801284001</v>
      </c>
      <c r="S5668" t="s">
        <v>12236</v>
      </c>
      <c r="T5668" t="s">
        <v>13134</v>
      </c>
      <c r="U5668" t="s">
        <v>13134</v>
      </c>
      <c r="V5668" t="s">
        <v>13134</v>
      </c>
      <c r="W5668" t="s">
        <v>18736</v>
      </c>
      <c r="X5668">
        <v>16</v>
      </c>
      <c r="Y5668" t="s">
        <v>25099</v>
      </c>
      <c r="Z5668" t="s">
        <v>31636</v>
      </c>
      <c r="AA5668">
        <v>0.57685397919797077</v>
      </c>
      <c r="AB5668" t="str">
        <f>HYPERLINK("Melting_Curves/meltCurve_Q9H7Z7_PTGES2.pdf", "Melting_Curves/meltCurve_Q9H7Z7_PTGES2.pdf")</f>
        <v>Melting_Curves/meltCurve_Q9H7Z7_PTGES2.pdf</v>
      </c>
    </row>
    <row r="5669" spans="1:28" x14ac:dyDescent="0.25">
      <c r="A5669" t="s">
        <v>5673</v>
      </c>
      <c r="B5669">
        <v>0.99472303558308395</v>
      </c>
      <c r="C5669">
        <v>0.88738365765218197</v>
      </c>
      <c r="D5669">
        <v>0.63547383178287398</v>
      </c>
      <c r="E5669">
        <v>0.84882204547311702</v>
      </c>
      <c r="F5669">
        <v>0.65428536028835904</v>
      </c>
      <c r="G5669">
        <v>0.42352708090471203</v>
      </c>
      <c r="H5669">
        <v>0.25174947138417397</v>
      </c>
      <c r="I5669">
        <v>0.14374056102403901</v>
      </c>
      <c r="J5669">
        <v>0.166613316479919</v>
      </c>
      <c r="K5669">
        <v>0.27786505392953198</v>
      </c>
      <c r="L5669">
        <v>409.026997942516</v>
      </c>
      <c r="M5669">
        <v>7.9341650622486499</v>
      </c>
      <c r="N5669">
        <v>51.849861141857801</v>
      </c>
      <c r="O5669">
        <v>48.586336430052398</v>
      </c>
      <c r="P5669">
        <v>-3.9963989278822998E-2</v>
      </c>
      <c r="Q5669">
        <v>2.2232749003636799E-2</v>
      </c>
      <c r="R5669">
        <v>0.88960554496706501</v>
      </c>
      <c r="S5669" t="s">
        <v>12237</v>
      </c>
      <c r="T5669" t="s">
        <v>13134</v>
      </c>
      <c r="U5669" t="s">
        <v>13134</v>
      </c>
      <c r="V5669" t="s">
        <v>13134</v>
      </c>
      <c r="W5669" t="s">
        <v>18737</v>
      </c>
      <c r="X5669">
        <v>1</v>
      </c>
      <c r="Y5669" t="s">
        <v>25100</v>
      </c>
      <c r="Z5669" t="s">
        <v>31637</v>
      </c>
      <c r="AA5669">
        <v>0.52732211452623801</v>
      </c>
      <c r="AB5669" t="str">
        <f>HYPERLINK("Melting_Curves/meltCurve_Q9H813_TMEM206.pdf", "Melting_Curves/meltCurve_Q9H813_TMEM206.pdf")</f>
        <v>Melting_Curves/meltCurve_Q9H813_TMEM206.pdf</v>
      </c>
    </row>
    <row r="5670" spans="1:28" x14ac:dyDescent="0.25">
      <c r="A5670" t="s">
        <v>5674</v>
      </c>
      <c r="B5670">
        <v>0.99472303558308395</v>
      </c>
      <c r="C5670">
        <v>0.91644082553057504</v>
      </c>
      <c r="D5670">
        <v>0.86874788584498597</v>
      </c>
      <c r="E5670">
        <v>0.68788524965776299</v>
      </c>
      <c r="F5670">
        <v>0.57973827718156301</v>
      </c>
      <c r="G5670">
        <v>0.31385075570668902</v>
      </c>
      <c r="H5670">
        <v>0.25682008283179197</v>
      </c>
      <c r="I5670">
        <v>0.20162264317349701</v>
      </c>
      <c r="J5670">
        <v>0.255600840483935</v>
      </c>
      <c r="K5670">
        <v>0.24588385298087401</v>
      </c>
      <c r="L5670">
        <v>641.05844383336898</v>
      </c>
      <c r="M5670">
        <v>13.2183023598279</v>
      </c>
      <c r="N5670">
        <v>50.336603026712503</v>
      </c>
      <c r="O5670">
        <v>47.4280989975816</v>
      </c>
      <c r="P5670">
        <v>-5.6342320377251898E-2</v>
      </c>
      <c r="Q5670">
        <v>0.19149473558982</v>
      </c>
      <c r="R5670">
        <v>0.98397324213024695</v>
      </c>
      <c r="S5670" t="s">
        <v>12238</v>
      </c>
      <c r="T5670" t="s">
        <v>13134</v>
      </c>
      <c r="U5670" t="s">
        <v>13134</v>
      </c>
      <c r="V5670" t="s">
        <v>13134</v>
      </c>
      <c r="W5670" t="s">
        <v>18738</v>
      </c>
      <c r="X5670">
        <v>6</v>
      </c>
      <c r="Y5670" t="s">
        <v>25101</v>
      </c>
      <c r="Z5670" t="s">
        <v>31638</v>
      </c>
      <c r="AA5670">
        <v>0.52282001641338161</v>
      </c>
      <c r="AB5670" t="str">
        <f>HYPERLINK("Melting_Curves/meltCurve_Q9H814_PHAX.pdf", "Melting_Curves/meltCurve_Q9H814_PHAX.pdf")</f>
        <v>Melting_Curves/meltCurve_Q9H814_PHAX.pdf</v>
      </c>
    </row>
    <row r="5671" spans="1:28" x14ac:dyDescent="0.25">
      <c r="A5671" t="s">
        <v>5675</v>
      </c>
      <c r="B5671">
        <v>0.99472303558308395</v>
      </c>
      <c r="C5671">
        <v>1.00765562980768</v>
      </c>
      <c r="D5671">
        <v>1.05000993936166</v>
      </c>
      <c r="E5671">
        <v>0.90566574610633699</v>
      </c>
      <c r="F5671">
        <v>0.59197987340173697</v>
      </c>
      <c r="G5671">
        <v>0.27886758202586398</v>
      </c>
      <c r="H5671">
        <v>8.2188693496427795E-2</v>
      </c>
      <c r="I5671">
        <v>6.99608013163288E-2</v>
      </c>
      <c r="J5671">
        <v>6.6516572704495597E-2</v>
      </c>
      <c r="K5671">
        <v>5.39140797052945E-2</v>
      </c>
      <c r="L5671">
        <v>1229.87184687279</v>
      </c>
      <c r="M5671">
        <v>24.160265158999</v>
      </c>
      <c r="N5671">
        <v>51.132549501750503</v>
      </c>
      <c r="O5671">
        <v>50.559834568440898</v>
      </c>
      <c r="P5671">
        <v>-0.11336967452930299</v>
      </c>
      <c r="Q5671">
        <v>5.1026355319754302E-2</v>
      </c>
      <c r="R5671">
        <v>0.99694224409040799</v>
      </c>
      <c r="S5671" t="s">
        <v>12239</v>
      </c>
      <c r="T5671" t="s">
        <v>13134</v>
      </c>
      <c r="U5671" t="s">
        <v>13134</v>
      </c>
      <c r="V5671" t="s">
        <v>13134</v>
      </c>
      <c r="W5671" t="s">
        <v>18739</v>
      </c>
      <c r="X5671">
        <v>13</v>
      </c>
      <c r="Y5671" t="s">
        <v>25102</v>
      </c>
      <c r="Z5671" t="s">
        <v>31639</v>
      </c>
      <c r="AA5671">
        <v>0.49978037936556768</v>
      </c>
      <c r="AB5671" t="str">
        <f>HYPERLINK("Melting_Curves/meltCurve_Q9H832_UBE2Z.pdf", "Melting_Curves/meltCurve_Q9H832_UBE2Z.pdf")</f>
        <v>Melting_Curves/meltCurve_Q9H832_UBE2Z.pdf</v>
      </c>
    </row>
    <row r="5672" spans="1:28" x14ac:dyDescent="0.25">
      <c r="A5672" t="s">
        <v>5676</v>
      </c>
      <c r="B5672">
        <v>0.99472303558308395</v>
      </c>
      <c r="C5672">
        <v>0.84929886573644098</v>
      </c>
      <c r="D5672">
        <v>0.87106883922296197</v>
      </c>
      <c r="E5672">
        <v>0.67202564066800297</v>
      </c>
      <c r="F5672">
        <v>0.640953540989043</v>
      </c>
      <c r="G5672">
        <v>0.31367217369501599</v>
      </c>
      <c r="H5672">
        <v>0.176631431060875</v>
      </c>
      <c r="I5672">
        <v>7.8285977143000299E-2</v>
      </c>
      <c r="J5672">
        <v>0</v>
      </c>
      <c r="K5672">
        <v>2.96466934798622E-2</v>
      </c>
      <c r="L5672">
        <v>606.66058975345095</v>
      </c>
      <c r="M5672">
        <v>12.0164720702289</v>
      </c>
      <c r="N5672">
        <v>50.485751674751697</v>
      </c>
      <c r="O5672">
        <v>49.1485288933455</v>
      </c>
      <c r="P5672">
        <v>-6.1137910872322399E-2</v>
      </c>
      <c r="Q5672">
        <v>0</v>
      </c>
      <c r="R5672">
        <v>0.97091171378637997</v>
      </c>
      <c r="S5672" t="s">
        <v>12240</v>
      </c>
      <c r="T5672" t="s">
        <v>13134</v>
      </c>
      <c r="U5672" t="s">
        <v>13134</v>
      </c>
      <c r="V5672" t="s">
        <v>13134</v>
      </c>
      <c r="W5672" t="s">
        <v>18740</v>
      </c>
      <c r="X5672">
        <v>2</v>
      </c>
      <c r="Y5672" t="s">
        <v>25103</v>
      </c>
      <c r="Z5672" t="s">
        <v>31640</v>
      </c>
      <c r="AA5672">
        <v>0.47655950065492753</v>
      </c>
      <c r="AB5672" t="str">
        <f>HYPERLINK("Melting_Curves/meltCurve_Q9H840_GEMIN7.pdf", "Melting_Curves/meltCurve_Q9H840_GEMIN7.pdf")</f>
        <v>Melting_Curves/meltCurve_Q9H840_GEMIN7.pdf</v>
      </c>
    </row>
    <row r="5673" spans="1:28" x14ac:dyDescent="0.25">
      <c r="A5673" t="s">
        <v>5677</v>
      </c>
      <c r="B5673">
        <v>0.99472303558308395</v>
      </c>
      <c r="C5673">
        <v>0.95701725686951999</v>
      </c>
      <c r="D5673">
        <v>0.85593775456494703</v>
      </c>
      <c r="E5673">
        <v>0.73454668786945898</v>
      </c>
      <c r="F5673">
        <v>0.58461816460096405</v>
      </c>
      <c r="G5673">
        <v>0.34498243934524903</v>
      </c>
      <c r="H5673">
        <v>0.23033480396390399</v>
      </c>
      <c r="I5673">
        <v>0.167001132759067</v>
      </c>
      <c r="J5673">
        <v>0.112653389708716</v>
      </c>
      <c r="K5673">
        <v>0.106576034402971</v>
      </c>
      <c r="L5673">
        <v>561.51846834863295</v>
      </c>
      <c r="M5673">
        <v>11.0638402413762</v>
      </c>
      <c r="N5673">
        <v>51.0541292642475</v>
      </c>
      <c r="O5673">
        <v>49.179130132312402</v>
      </c>
      <c r="P5673">
        <v>-5.4481613918320397E-2</v>
      </c>
      <c r="Q5673">
        <v>3.1629318539202998E-2</v>
      </c>
      <c r="R5673">
        <v>0.99705017669347296</v>
      </c>
      <c r="S5673" t="s">
        <v>12241</v>
      </c>
      <c r="T5673" t="s">
        <v>13134</v>
      </c>
      <c r="U5673" t="s">
        <v>13134</v>
      </c>
      <c r="V5673" t="s">
        <v>13134</v>
      </c>
      <c r="W5673" t="s">
        <v>18741</v>
      </c>
      <c r="X5673">
        <v>14</v>
      </c>
      <c r="Y5673" t="s">
        <v>25104</v>
      </c>
      <c r="Z5673" t="s">
        <v>31641</v>
      </c>
      <c r="AA5673">
        <v>0.50339086264943067</v>
      </c>
      <c r="AB5673" t="str">
        <f>HYPERLINK("Melting_Curves/meltCurve_Q9H845_ACAD9.pdf", "Melting_Curves/meltCurve_Q9H845_ACAD9.pdf")</f>
        <v>Melting_Curves/meltCurve_Q9H845_ACAD9.pdf</v>
      </c>
    </row>
    <row r="5674" spans="1:28" x14ac:dyDescent="0.25">
      <c r="A5674" t="s">
        <v>5678</v>
      </c>
      <c r="B5674">
        <v>0.99472303558308395</v>
      </c>
      <c r="C5674">
        <v>0.87078240641332105</v>
      </c>
      <c r="D5674">
        <v>0.55971540304713796</v>
      </c>
      <c r="E5674">
        <v>0.45135838241216197</v>
      </c>
      <c r="F5674">
        <v>0.46373512480983597</v>
      </c>
      <c r="G5674">
        <v>2.7539141651547399E-2</v>
      </c>
      <c r="H5674">
        <v>1.71510839600796E-2</v>
      </c>
      <c r="I5674">
        <v>1.2518863846868501E-2</v>
      </c>
      <c r="J5674">
        <v>0</v>
      </c>
      <c r="K5674">
        <v>1.46405818580179E-2</v>
      </c>
      <c r="L5674">
        <v>537.73971089747204</v>
      </c>
      <c r="M5674">
        <v>11.7714976943663</v>
      </c>
      <c r="N5674">
        <v>45.681510412415498</v>
      </c>
      <c r="O5674">
        <v>44.422953640750897</v>
      </c>
      <c r="P5674">
        <v>-6.6263911756966595E-2</v>
      </c>
      <c r="Q5674">
        <v>0</v>
      </c>
      <c r="R5674">
        <v>0.93908323293343499</v>
      </c>
      <c r="S5674" t="s">
        <v>12242</v>
      </c>
      <c r="T5674" t="s">
        <v>13134</v>
      </c>
      <c r="U5674" t="s">
        <v>13134</v>
      </c>
      <c r="V5674" t="s">
        <v>13134</v>
      </c>
      <c r="W5674" t="s">
        <v>18742</v>
      </c>
      <c r="X5674">
        <v>3</v>
      </c>
      <c r="Y5674" t="s">
        <v>25105</v>
      </c>
      <c r="Z5674" t="s">
        <v>31642</v>
      </c>
      <c r="AA5674">
        <v>0.32562610959198851</v>
      </c>
      <c r="AB5674" t="str">
        <f>HYPERLINK("Melting_Curves/meltCurve_Q9H871_RMND5A.pdf", "Melting_Curves/meltCurve_Q9H871_RMND5A.pdf")</f>
        <v>Melting_Curves/meltCurve_Q9H871_RMND5A.pdf</v>
      </c>
    </row>
    <row r="5675" spans="1:28" x14ac:dyDescent="0.25">
      <c r="A5675" t="s">
        <v>5679</v>
      </c>
      <c r="B5675">
        <v>0.99472303558308395</v>
      </c>
      <c r="C5675">
        <v>0.93304575903021802</v>
      </c>
      <c r="D5675">
        <v>0.89728837213733204</v>
      </c>
      <c r="E5675">
        <v>0.73401473085084401</v>
      </c>
      <c r="F5675">
        <v>0.65031422949604401</v>
      </c>
      <c r="G5675">
        <v>0.44102257127005101</v>
      </c>
      <c r="H5675">
        <v>0.43480678319678101</v>
      </c>
      <c r="I5675">
        <v>0.47095891848289401</v>
      </c>
      <c r="J5675">
        <v>0.70196142698222497</v>
      </c>
      <c r="K5675">
        <v>0.54351495488010404</v>
      </c>
      <c r="L5675">
        <v>915.56083242181501</v>
      </c>
      <c r="M5675">
        <v>19.9430438221233</v>
      </c>
      <c r="O5675">
        <v>45.454670538204198</v>
      </c>
      <c r="P5675">
        <v>-5.2466204783902202E-2</v>
      </c>
      <c r="Q5675">
        <v>0.52168685611732901</v>
      </c>
      <c r="R5675">
        <v>0.84645956589673299</v>
      </c>
      <c r="S5675" t="s">
        <v>12243</v>
      </c>
      <c r="T5675" t="s">
        <v>13134</v>
      </c>
      <c r="U5675" t="s">
        <v>13134</v>
      </c>
      <c r="V5675" t="s">
        <v>13134</v>
      </c>
      <c r="W5675" t="s">
        <v>18743</v>
      </c>
      <c r="X5675">
        <v>8</v>
      </c>
      <c r="Y5675" t="s">
        <v>25106</v>
      </c>
      <c r="Z5675" t="s">
        <v>31643</v>
      </c>
      <c r="AA5675">
        <v>0.67001675453770859</v>
      </c>
      <c r="AB5675" t="str">
        <f>HYPERLINK("Melting_Curves/meltCurve_Q9H875_PRKRIP1.pdf", "Melting_Curves/meltCurve_Q9H875_PRKRIP1.pdf")</f>
        <v>Melting_Curves/meltCurve_Q9H875_PRKRIP1.pdf</v>
      </c>
    </row>
    <row r="5676" spans="1:28" x14ac:dyDescent="0.25">
      <c r="A5676" t="s">
        <v>5680</v>
      </c>
      <c r="B5676">
        <v>0.99472303558308395</v>
      </c>
      <c r="C5676">
        <v>0.91758765477989701</v>
      </c>
      <c r="D5676">
        <v>0.81505876030714097</v>
      </c>
      <c r="E5676">
        <v>0.55752591449964395</v>
      </c>
      <c r="F5676">
        <v>0.46263649372835502</v>
      </c>
      <c r="G5676">
        <v>0.34256912786728999</v>
      </c>
      <c r="H5676">
        <v>0.23767395660097099</v>
      </c>
      <c r="I5676">
        <v>0.27203887161220902</v>
      </c>
      <c r="J5676">
        <v>0.37227729429913298</v>
      </c>
      <c r="K5676">
        <v>0.29829924324780999</v>
      </c>
      <c r="L5676">
        <v>734.48830795774097</v>
      </c>
      <c r="M5676">
        <v>16.128953782101</v>
      </c>
      <c r="N5676">
        <v>48.120295740165197</v>
      </c>
      <c r="O5676">
        <v>44.855720572821603</v>
      </c>
      <c r="P5676">
        <v>-6.3869563863688902E-2</v>
      </c>
      <c r="Q5676">
        <v>0.28955154013852002</v>
      </c>
      <c r="R5676">
        <v>0.97847605322020903</v>
      </c>
      <c r="S5676" t="s">
        <v>12244</v>
      </c>
      <c r="T5676" t="s">
        <v>13134</v>
      </c>
      <c r="U5676" t="s">
        <v>13134</v>
      </c>
      <c r="V5676" t="s">
        <v>13134</v>
      </c>
      <c r="W5676" t="s">
        <v>18744</v>
      </c>
      <c r="X5676">
        <v>5</v>
      </c>
      <c r="Y5676" t="s">
        <v>25107</v>
      </c>
      <c r="Z5676" t="s">
        <v>31644</v>
      </c>
      <c r="AA5676">
        <v>0.50615227723449352</v>
      </c>
      <c r="AB5676" t="str">
        <f>HYPERLINK("Melting_Curves/meltCurve_Q9H8G2_CAAP1.pdf", "Melting_Curves/meltCurve_Q9H8G2_CAAP1.pdf")</f>
        <v>Melting_Curves/meltCurve_Q9H8G2_CAAP1.pdf</v>
      </c>
    </row>
    <row r="5677" spans="1:28" x14ac:dyDescent="0.25">
      <c r="A5677" t="s">
        <v>5681</v>
      </c>
      <c r="B5677">
        <v>0.99472303558308395</v>
      </c>
      <c r="C5677">
        <v>0.99708583861595002</v>
      </c>
      <c r="D5677">
        <v>0.88374366105768898</v>
      </c>
      <c r="E5677">
        <v>1.095853744352</v>
      </c>
      <c r="F5677">
        <v>1.41123509239742</v>
      </c>
      <c r="G5677">
        <v>0.74312640775981997</v>
      </c>
      <c r="H5677">
        <v>0.24235325733638599</v>
      </c>
      <c r="I5677">
        <v>0.106504704199302</v>
      </c>
      <c r="J5677">
        <v>9.1956583572971706E-2</v>
      </c>
      <c r="K5677">
        <v>7.6904570457030696E-2</v>
      </c>
      <c r="L5677">
        <v>2723.1917331455202</v>
      </c>
      <c r="M5677">
        <v>49.462382913482998</v>
      </c>
      <c r="N5677">
        <v>55.300510760100302</v>
      </c>
      <c r="O5677">
        <v>54.966044280826502</v>
      </c>
      <c r="P5677">
        <v>-0.202857593269793</v>
      </c>
      <c r="Q5677">
        <v>9.8282877860188606E-2</v>
      </c>
      <c r="R5677">
        <v>0.90747025052900998</v>
      </c>
      <c r="S5677" t="s">
        <v>12245</v>
      </c>
      <c r="T5677" t="s">
        <v>13134</v>
      </c>
      <c r="U5677" t="s">
        <v>13134</v>
      </c>
      <c r="V5677" t="s">
        <v>13134</v>
      </c>
      <c r="W5677" t="s">
        <v>18745</v>
      </c>
      <c r="X5677">
        <v>14</v>
      </c>
      <c r="Y5677" t="s">
        <v>25108</v>
      </c>
      <c r="Z5677" t="s">
        <v>31645</v>
      </c>
      <c r="AA5677">
        <v>0.64322101752598926</v>
      </c>
      <c r="AB5677" t="str">
        <f>HYPERLINK("Melting_Curves/meltCurve_Q9H8H0_NOL11.pdf", "Melting_Curves/meltCurve_Q9H8H0_NOL11.pdf")</f>
        <v>Melting_Curves/meltCurve_Q9H8H0_NOL11.pdf</v>
      </c>
    </row>
    <row r="5678" spans="1:28" x14ac:dyDescent="0.25">
      <c r="A5678" t="s">
        <v>5682</v>
      </c>
      <c r="B5678">
        <v>0.99472303558308395</v>
      </c>
      <c r="C5678">
        <v>0.982910210455474</v>
      </c>
      <c r="D5678">
        <v>0.98284326958836898</v>
      </c>
      <c r="E5678">
        <v>0.95184684236115402</v>
      </c>
      <c r="F5678">
        <v>0.75532627654657503</v>
      </c>
      <c r="G5678">
        <v>0.42168272571503301</v>
      </c>
      <c r="H5678">
        <v>0.12860389665065899</v>
      </c>
      <c r="I5678">
        <v>0.10367821787048601</v>
      </c>
      <c r="J5678">
        <v>9.8268494431272002E-2</v>
      </c>
      <c r="K5678">
        <v>9.3566953871315001E-2</v>
      </c>
      <c r="L5678">
        <v>1300.8296508277799</v>
      </c>
      <c r="M5678">
        <v>24.829294033698499</v>
      </c>
      <c r="N5678">
        <v>52.7461233122702</v>
      </c>
      <c r="O5678">
        <v>52.054626188740698</v>
      </c>
      <c r="P5678">
        <v>-0.110067513321486</v>
      </c>
      <c r="Q5678">
        <v>7.6986386951258298E-2</v>
      </c>
      <c r="R5678">
        <v>0.99771190500436102</v>
      </c>
      <c r="S5678" t="s">
        <v>12246</v>
      </c>
      <c r="T5678" t="s">
        <v>13134</v>
      </c>
      <c r="U5678" t="s">
        <v>13134</v>
      </c>
      <c r="V5678" t="s">
        <v>13134</v>
      </c>
      <c r="W5678" t="s">
        <v>18746</v>
      </c>
      <c r="X5678">
        <v>5</v>
      </c>
      <c r="Y5678" t="s">
        <v>25109</v>
      </c>
      <c r="Z5678" t="s">
        <v>31646</v>
      </c>
      <c r="AA5678">
        <v>0.55879708879685563</v>
      </c>
      <c r="AB5678" t="str">
        <f>HYPERLINK("Melting_Curves/meltCurve_Q9H8M7_FAM188A.pdf", "Melting_Curves/meltCurve_Q9H8M7_FAM188A.pdf")</f>
        <v>Melting_Curves/meltCurve_Q9H8M7_FAM188A.pdf</v>
      </c>
    </row>
    <row r="5679" spans="1:28" x14ac:dyDescent="0.25">
      <c r="A5679" t="s">
        <v>5683</v>
      </c>
      <c r="B5679">
        <v>0.99472303558308395</v>
      </c>
      <c r="C5679">
        <v>1.04930764582789</v>
      </c>
      <c r="D5679">
        <v>0.94448089459308904</v>
      </c>
      <c r="E5679">
        <v>0.92075014661948595</v>
      </c>
      <c r="F5679">
        <v>0.69550173043547703</v>
      </c>
      <c r="G5679">
        <v>0.49965646699049798</v>
      </c>
      <c r="H5679">
        <v>0.173152470528007</v>
      </c>
      <c r="I5679">
        <v>9.31343207937297E-2</v>
      </c>
      <c r="J5679">
        <v>0.10409764549813</v>
      </c>
      <c r="K5679">
        <v>8.8390926325588204E-2</v>
      </c>
      <c r="L5679">
        <v>954.07998627507698</v>
      </c>
      <c r="M5679">
        <v>18.101093391212402</v>
      </c>
      <c r="N5679">
        <v>52.999403219509603</v>
      </c>
      <c r="O5679">
        <v>52.077738948465601</v>
      </c>
      <c r="P5679">
        <v>-8.2788344411283701E-2</v>
      </c>
      <c r="Q5679">
        <v>4.7301393688013199E-2</v>
      </c>
      <c r="R5679">
        <v>0.99119481355558003</v>
      </c>
      <c r="S5679" t="s">
        <v>12247</v>
      </c>
      <c r="T5679" t="s">
        <v>13134</v>
      </c>
      <c r="U5679" t="s">
        <v>13134</v>
      </c>
      <c r="V5679" t="s">
        <v>13134</v>
      </c>
      <c r="W5679" t="s">
        <v>18747</v>
      </c>
      <c r="X5679">
        <v>7</v>
      </c>
      <c r="Y5679" t="s">
        <v>25110</v>
      </c>
      <c r="Z5679" t="s">
        <v>31647</v>
      </c>
      <c r="AA5679">
        <v>0.56007947816427639</v>
      </c>
      <c r="AB5679" t="str">
        <f>HYPERLINK("Melting_Curves/meltCurve_Q9H8S9_MOB1A.pdf", "Melting_Curves/meltCurve_Q9H8S9_MOB1A.pdf")</f>
        <v>Melting_Curves/meltCurve_Q9H8S9_MOB1A.pdf</v>
      </c>
    </row>
    <row r="5680" spans="1:28" x14ac:dyDescent="0.25">
      <c r="A5680" t="s">
        <v>5684</v>
      </c>
      <c r="B5680">
        <v>0.99472303558308395</v>
      </c>
      <c r="C5680">
        <v>1.0633639376214501</v>
      </c>
      <c r="D5680">
        <v>0.961565210372611</v>
      </c>
      <c r="E5680">
        <v>0.82608334398311301</v>
      </c>
      <c r="F5680">
        <v>0.65904563612695799</v>
      </c>
      <c r="G5680">
        <v>0.53193951882727697</v>
      </c>
      <c r="H5680">
        <v>0.40665193936815902</v>
      </c>
      <c r="I5680">
        <v>0.51153818663117401</v>
      </c>
      <c r="J5680">
        <v>0.60622145404193195</v>
      </c>
      <c r="K5680">
        <v>0.419974334063132</v>
      </c>
      <c r="L5680">
        <v>1097.3463533865599</v>
      </c>
      <c r="M5680">
        <v>22.738968886476901</v>
      </c>
      <c r="N5680">
        <v>57.018373397239998</v>
      </c>
      <c r="O5680">
        <v>47.889818665401499</v>
      </c>
      <c r="P5680">
        <v>-6.1157506991431798E-2</v>
      </c>
      <c r="Q5680">
        <v>0.48480257412345201</v>
      </c>
      <c r="R5680">
        <v>0.93920022522380697</v>
      </c>
      <c r="S5680" t="s">
        <v>12248</v>
      </c>
      <c r="T5680" t="s">
        <v>13134</v>
      </c>
      <c r="U5680" t="s">
        <v>13134</v>
      </c>
      <c r="V5680" t="s">
        <v>13134</v>
      </c>
      <c r="W5680" t="s">
        <v>18748</v>
      </c>
      <c r="X5680">
        <v>6</v>
      </c>
      <c r="Y5680" t="s">
        <v>25111</v>
      </c>
      <c r="Z5680" t="s">
        <v>31648</v>
      </c>
      <c r="AA5680">
        <v>0.68344959960849627</v>
      </c>
      <c r="AB5680" t="str">
        <f>HYPERLINK("Melting_Curves/meltCurve_Q9H8U3_ZFAND3.pdf", "Melting_Curves/meltCurve_Q9H8U3_ZFAND3.pdf")</f>
        <v>Melting_Curves/meltCurve_Q9H8U3_ZFAND3.pdf</v>
      </c>
    </row>
    <row r="5681" spans="1:28" x14ac:dyDescent="0.25">
      <c r="A5681" t="s">
        <v>5685</v>
      </c>
      <c r="B5681">
        <v>0.99472303558308395</v>
      </c>
      <c r="C5681">
        <v>1.07651770389338</v>
      </c>
      <c r="D5681">
        <v>0.92920880405498196</v>
      </c>
      <c r="E5681">
        <v>0.58522323988882896</v>
      </c>
      <c r="F5681">
        <v>0.28802841174570698</v>
      </c>
      <c r="G5681">
        <v>0.157995871381992</v>
      </c>
      <c r="H5681">
        <v>0.101870904971504</v>
      </c>
      <c r="I5681">
        <v>6.3016711789436006E-2</v>
      </c>
      <c r="J5681">
        <v>6.8792221370403001E-2</v>
      </c>
      <c r="K5681">
        <v>6.8191847994024293E-2</v>
      </c>
      <c r="L5681">
        <v>1059.63094888093</v>
      </c>
      <c r="M5681">
        <v>22.4065997936084</v>
      </c>
      <c r="N5681">
        <v>47.6375090961252</v>
      </c>
      <c r="O5681">
        <v>46.919169176907197</v>
      </c>
      <c r="P5681">
        <v>-0.110414421862363</v>
      </c>
      <c r="Q5681">
        <v>7.5192962747519396E-2</v>
      </c>
      <c r="R5681">
        <v>0.99326560487796201</v>
      </c>
      <c r="S5681" t="s">
        <v>12249</v>
      </c>
      <c r="T5681" t="s">
        <v>13134</v>
      </c>
      <c r="U5681" t="s">
        <v>13134</v>
      </c>
      <c r="V5681" t="s">
        <v>13134</v>
      </c>
      <c r="W5681" t="s">
        <v>18749</v>
      </c>
      <c r="X5681">
        <v>9</v>
      </c>
      <c r="Y5681" t="s">
        <v>25112</v>
      </c>
      <c r="Z5681" t="s">
        <v>31649</v>
      </c>
      <c r="AA5681">
        <v>0.40213317469470389</v>
      </c>
      <c r="AB5681" t="str">
        <f>HYPERLINK("Melting_Curves/meltCurve_Q9H8W4_PLEKHF2.pdf", "Melting_Curves/meltCurve_Q9H8W4_PLEKHF2.pdf")</f>
        <v>Melting_Curves/meltCurve_Q9H8W4_PLEKHF2.pdf</v>
      </c>
    </row>
    <row r="5682" spans="1:28" x14ac:dyDescent="0.25">
      <c r="A5682" t="s">
        <v>5686</v>
      </c>
      <c r="B5682">
        <v>0.99472303558308395</v>
      </c>
      <c r="C5682">
        <v>1.25840665617476</v>
      </c>
      <c r="D5682">
        <v>0.96664761413719003</v>
      </c>
      <c r="E5682">
        <v>0.90238729609109503</v>
      </c>
      <c r="F5682">
        <v>0.78968919967253703</v>
      </c>
      <c r="G5682">
        <v>0.40713814336315302</v>
      </c>
      <c r="H5682">
        <v>0.24552318516153701</v>
      </c>
      <c r="I5682">
        <v>0.142683114722506</v>
      </c>
      <c r="J5682">
        <v>0.227673009315838</v>
      </c>
      <c r="K5682">
        <v>0.17733248025641599</v>
      </c>
      <c r="L5682">
        <v>1347.7714719650701</v>
      </c>
      <c r="M5682">
        <v>25.928432348690599</v>
      </c>
      <c r="N5682">
        <v>52.857051018593801</v>
      </c>
      <c r="O5682">
        <v>51.674201670132703</v>
      </c>
      <c r="P5682">
        <v>-0.10352231103849401</v>
      </c>
      <c r="Q5682">
        <v>0.17474833443780999</v>
      </c>
      <c r="R5682">
        <v>0.95020809084888203</v>
      </c>
      <c r="S5682" t="s">
        <v>12250</v>
      </c>
      <c r="T5682" t="s">
        <v>13134</v>
      </c>
      <c r="U5682" t="s">
        <v>13134</v>
      </c>
      <c r="V5682" t="s">
        <v>13134</v>
      </c>
      <c r="W5682" t="s">
        <v>18750</v>
      </c>
      <c r="X5682">
        <v>3</v>
      </c>
      <c r="Y5682" t="s">
        <v>25113</v>
      </c>
      <c r="Z5682" t="s">
        <v>31650</v>
      </c>
      <c r="AA5682">
        <v>0.5936795224423056</v>
      </c>
      <c r="AB5682" t="str">
        <f>HYPERLINK("Melting_Curves/meltCurve_Q9H8X2_IPPK.pdf", "Melting_Curves/meltCurve_Q9H8X2_IPPK.pdf")</f>
        <v>Melting_Curves/meltCurve_Q9H8X2_IPPK.pdf</v>
      </c>
    </row>
    <row r="5683" spans="1:28" x14ac:dyDescent="0.25">
      <c r="A5683" t="s">
        <v>5687</v>
      </c>
      <c r="B5683">
        <v>0.99472303558308395</v>
      </c>
      <c r="C5683">
        <v>0.92527039001204603</v>
      </c>
      <c r="D5683">
        <v>0.93279142311159102</v>
      </c>
      <c r="E5683">
        <v>0.57924187687536499</v>
      </c>
      <c r="F5683">
        <v>0.27140854759507199</v>
      </c>
      <c r="G5683">
        <v>0.17655435135229999</v>
      </c>
      <c r="H5683">
        <v>0.12596721587096901</v>
      </c>
      <c r="I5683">
        <v>9.6592153965345595E-2</v>
      </c>
      <c r="J5683">
        <v>0.12208573103310399</v>
      </c>
      <c r="K5683">
        <v>0.107036707089218</v>
      </c>
      <c r="L5683">
        <v>1072.34860618465</v>
      </c>
      <c r="M5683">
        <v>22.8583245669702</v>
      </c>
      <c r="N5683">
        <v>47.435743218896398</v>
      </c>
      <c r="O5683">
        <v>46.558188287900499</v>
      </c>
      <c r="P5683">
        <v>-0.109073337074185</v>
      </c>
      <c r="Q5683">
        <v>0.111367740936308</v>
      </c>
      <c r="R5683">
        <v>0.99588486769600704</v>
      </c>
      <c r="S5683" t="s">
        <v>12251</v>
      </c>
      <c r="T5683" t="s">
        <v>13134</v>
      </c>
      <c r="U5683" t="s">
        <v>13134</v>
      </c>
      <c r="V5683" t="s">
        <v>13134</v>
      </c>
      <c r="W5683" t="s">
        <v>18751</v>
      </c>
      <c r="X5683">
        <v>12</v>
      </c>
      <c r="Y5683" t="s">
        <v>25114</v>
      </c>
      <c r="Z5683" t="s">
        <v>31651</v>
      </c>
      <c r="AA5683">
        <v>0.41391886910275422</v>
      </c>
      <c r="AB5683" t="str">
        <f>HYPERLINK("Melting_Curves/meltCurve_Q9H8Y5_ANKZF1.pdf", "Melting_Curves/meltCurve_Q9H8Y5_ANKZF1.pdf")</f>
        <v>Melting_Curves/meltCurve_Q9H8Y5_ANKZF1.pdf</v>
      </c>
    </row>
    <row r="5684" spans="1:28" x14ac:dyDescent="0.25">
      <c r="A5684" t="s">
        <v>5688</v>
      </c>
      <c r="B5684">
        <v>0.99472303558308395</v>
      </c>
      <c r="C5684">
        <v>0.99528639697872001</v>
      </c>
      <c r="D5684">
        <v>0.88931107395598596</v>
      </c>
      <c r="E5684">
        <v>0.62286901330672495</v>
      </c>
      <c r="F5684">
        <v>0.28398406145781901</v>
      </c>
      <c r="G5684">
        <v>0.103661135420811</v>
      </c>
      <c r="H5684">
        <v>4.6303185090469899E-2</v>
      </c>
      <c r="I5684">
        <v>3.1249702280542E-2</v>
      </c>
      <c r="J5684">
        <v>3.3433148798938599E-2</v>
      </c>
      <c r="K5684">
        <v>2.7002372748318199E-2</v>
      </c>
      <c r="L5684">
        <v>959.92664218555296</v>
      </c>
      <c r="M5684">
        <v>20.144184121952499</v>
      </c>
      <c r="N5684">
        <v>47.754719688697001</v>
      </c>
      <c r="O5684">
        <v>47.190636553489</v>
      </c>
      <c r="P5684">
        <v>-0.10447482885727601</v>
      </c>
      <c r="Q5684">
        <v>2.10419715823458E-2</v>
      </c>
      <c r="R5684">
        <v>0.99969581141217101</v>
      </c>
      <c r="S5684" t="s">
        <v>12252</v>
      </c>
      <c r="T5684" t="s">
        <v>13134</v>
      </c>
      <c r="U5684" t="s">
        <v>13134</v>
      </c>
      <c r="V5684" t="s">
        <v>13134</v>
      </c>
      <c r="W5684" t="s">
        <v>18752</v>
      </c>
      <c r="X5684">
        <v>9</v>
      </c>
      <c r="Y5684" t="s">
        <v>25115</v>
      </c>
      <c r="Z5684" t="s">
        <v>31652</v>
      </c>
      <c r="AA5684">
        <v>0.38133326207912133</v>
      </c>
      <c r="AB5684" t="str">
        <f>HYPERLINK("Melting_Curves/meltCurve_Q9H8Y8_GORASP2.pdf", "Melting_Curves/meltCurve_Q9H8Y8_GORASP2.pdf")</f>
        <v>Melting_Curves/meltCurve_Q9H8Y8_GORASP2.pdf</v>
      </c>
    </row>
    <row r="5685" spans="1:28" x14ac:dyDescent="0.25">
      <c r="A5685" t="s">
        <v>5689</v>
      </c>
      <c r="B5685">
        <v>0.99472303558308395</v>
      </c>
      <c r="C5685">
        <v>0.90716619856639902</v>
      </c>
      <c r="D5685">
        <v>0.80692628105822795</v>
      </c>
      <c r="E5685">
        <v>0.65833295779009504</v>
      </c>
      <c r="F5685">
        <v>0.43939850074605902</v>
      </c>
      <c r="G5685">
        <v>0.26688757626078602</v>
      </c>
      <c r="H5685">
        <v>0.12045827214174901</v>
      </c>
      <c r="I5685">
        <v>9.1090132367851503E-2</v>
      </c>
      <c r="J5685">
        <v>8.7451461734385505E-2</v>
      </c>
      <c r="K5685">
        <v>8.6285906638155996E-2</v>
      </c>
      <c r="L5685">
        <v>573.75283577871596</v>
      </c>
      <c r="M5685">
        <v>11.786696338617899</v>
      </c>
      <c r="N5685">
        <v>48.871422373014397</v>
      </c>
      <c r="O5685">
        <v>47.340198146017698</v>
      </c>
      <c r="P5685">
        <v>-6.0841900388778403E-2</v>
      </c>
      <c r="Q5685">
        <v>2.2788589286321301E-2</v>
      </c>
      <c r="R5685">
        <v>0.99595084897887298</v>
      </c>
      <c r="S5685" t="s">
        <v>12253</v>
      </c>
      <c r="T5685" t="s">
        <v>13134</v>
      </c>
      <c r="U5685" t="s">
        <v>13134</v>
      </c>
      <c r="V5685" t="s">
        <v>13134</v>
      </c>
      <c r="W5685" t="s">
        <v>18753</v>
      </c>
      <c r="X5685">
        <v>6</v>
      </c>
      <c r="Y5685" t="s">
        <v>25116</v>
      </c>
      <c r="Z5685" t="s">
        <v>31653</v>
      </c>
      <c r="AA5685">
        <v>0.4334667197354154</v>
      </c>
      <c r="AB5685" t="str">
        <f>HYPERLINK("Melting_Curves/meltCurve_Q9H900_ZWILCH.pdf", "Melting_Curves/meltCurve_Q9H900_ZWILCH.pdf")</f>
        <v>Melting_Curves/meltCurve_Q9H900_ZWILCH.pdf</v>
      </c>
    </row>
    <row r="5686" spans="1:28" x14ac:dyDescent="0.25">
      <c r="A5686" t="s">
        <v>5690</v>
      </c>
      <c r="B5686">
        <v>0.99472303558308395</v>
      </c>
      <c r="C5686">
        <v>1.0117937256101901</v>
      </c>
      <c r="D5686">
        <v>1.0199764513335201</v>
      </c>
      <c r="E5686">
        <v>0.92331788298447204</v>
      </c>
      <c r="F5686">
        <v>0.69678879350016798</v>
      </c>
      <c r="G5686">
        <v>0.62087046802178902</v>
      </c>
      <c r="H5686">
        <v>0.62044685335764804</v>
      </c>
      <c r="I5686">
        <v>0.66852702020582999</v>
      </c>
      <c r="J5686">
        <v>1.0382035768111599</v>
      </c>
      <c r="K5686">
        <v>0.76803641581839999</v>
      </c>
      <c r="L5686">
        <v>11691.749719343001</v>
      </c>
      <c r="M5686">
        <v>250</v>
      </c>
      <c r="O5686">
        <v>46.7640060916289</v>
      </c>
      <c r="P5686">
        <v>-0.35353198009490799</v>
      </c>
      <c r="Q5686">
        <v>0.73547885353282205</v>
      </c>
      <c r="R5686">
        <v>0.55651196194998698</v>
      </c>
      <c r="S5686" t="s">
        <v>12254</v>
      </c>
      <c r="T5686" t="s">
        <v>13134</v>
      </c>
      <c r="U5686" t="s">
        <v>13134</v>
      </c>
      <c r="V5686" t="s">
        <v>13134</v>
      </c>
      <c r="W5686" t="s">
        <v>18754</v>
      </c>
      <c r="X5686">
        <v>19</v>
      </c>
      <c r="Y5686" t="s">
        <v>19670</v>
      </c>
      <c r="Z5686" t="s">
        <v>31654</v>
      </c>
      <c r="AA5686">
        <v>0.82161982221940555</v>
      </c>
      <c r="AB5686" t="str">
        <f>HYPERLINK("Melting_Curves/meltCurve_Q9H910_2_HN1L.pdf", "Melting_Curves/meltCurve_Q9H910_2_HN1L.pdf")</f>
        <v>Melting_Curves/meltCurve_Q9H910_2_HN1L.pdf</v>
      </c>
    </row>
    <row r="5687" spans="1:28" x14ac:dyDescent="0.25">
      <c r="A5687" t="s">
        <v>5691</v>
      </c>
      <c r="B5687">
        <v>0.99472303558308395</v>
      </c>
      <c r="C5687">
        <v>0.82911034992063604</v>
      </c>
      <c r="D5687">
        <v>0.79440195422811399</v>
      </c>
      <c r="E5687">
        <v>0.58106436299166198</v>
      </c>
      <c r="F5687">
        <v>0.36890663842930799</v>
      </c>
      <c r="G5687">
        <v>0.318539241106362</v>
      </c>
      <c r="H5687">
        <v>0.16667137320776201</v>
      </c>
      <c r="I5687">
        <v>0.142726407517246</v>
      </c>
      <c r="J5687">
        <v>0.156017456623848</v>
      </c>
      <c r="K5687">
        <v>0.109077092286988</v>
      </c>
      <c r="L5687">
        <v>507.41758412711903</v>
      </c>
      <c r="M5687">
        <v>10.734725118252699</v>
      </c>
      <c r="N5687">
        <v>48.030121868526898</v>
      </c>
      <c r="O5687">
        <v>45.7170318503209</v>
      </c>
      <c r="P5687">
        <v>-5.4129623670343401E-2</v>
      </c>
      <c r="Q5687">
        <v>7.8233004527210506E-2</v>
      </c>
      <c r="R5687">
        <v>0.98904763966517295</v>
      </c>
      <c r="S5687" t="s">
        <v>12255</v>
      </c>
      <c r="T5687" t="s">
        <v>13134</v>
      </c>
      <c r="U5687" t="s">
        <v>13134</v>
      </c>
      <c r="V5687" t="s">
        <v>13134</v>
      </c>
      <c r="W5687" t="s">
        <v>18755</v>
      </c>
      <c r="X5687">
        <v>8</v>
      </c>
      <c r="Y5687" t="s">
        <v>25117</v>
      </c>
      <c r="Z5687" t="s">
        <v>31655</v>
      </c>
      <c r="AA5687">
        <v>0.42908664439081912</v>
      </c>
      <c r="AB5687" t="str">
        <f>HYPERLINK("Melting_Curves/meltCurve_Q9H936_SLC25A22.pdf", "Melting_Curves/meltCurve_Q9H936_SLC25A22.pdf")</f>
        <v>Melting_Curves/meltCurve_Q9H936_SLC25A22.pdf</v>
      </c>
    </row>
    <row r="5688" spans="1:28" x14ac:dyDescent="0.25">
      <c r="A5688" t="s">
        <v>5692</v>
      </c>
      <c r="B5688">
        <v>0.99472303558308395</v>
      </c>
      <c r="C5688">
        <v>0.90794699224729103</v>
      </c>
      <c r="D5688">
        <v>0.96540563698642501</v>
      </c>
      <c r="E5688">
        <v>0.55122676777493196</v>
      </c>
      <c r="F5688">
        <v>0.26457348800888503</v>
      </c>
      <c r="G5688">
        <v>9.4527039439426502E-2</v>
      </c>
      <c r="H5688">
        <v>6.8623750202937303E-2</v>
      </c>
      <c r="I5688">
        <v>4.8273092985449302E-2</v>
      </c>
      <c r="J5688">
        <v>3.7180803131217098E-2</v>
      </c>
      <c r="K5688">
        <v>3.5377574124209402E-2</v>
      </c>
      <c r="L5688">
        <v>1053.46498774</v>
      </c>
      <c r="M5688">
        <v>22.332146728686102</v>
      </c>
      <c r="N5688">
        <v>47.357783477624501</v>
      </c>
      <c r="O5688">
        <v>46.799214362313798</v>
      </c>
      <c r="P5688">
        <v>-0.11431164415697</v>
      </c>
      <c r="Q5688">
        <v>4.1814865467038803E-2</v>
      </c>
      <c r="R5688">
        <v>0.99237138161845695</v>
      </c>
      <c r="S5688" t="s">
        <v>12256</v>
      </c>
      <c r="T5688" t="s">
        <v>13134</v>
      </c>
      <c r="U5688" t="s">
        <v>13134</v>
      </c>
      <c r="V5688" t="s">
        <v>13134</v>
      </c>
      <c r="W5688" t="s">
        <v>18756</v>
      </c>
      <c r="X5688">
        <v>13</v>
      </c>
      <c r="Y5688" t="s">
        <v>25118</v>
      </c>
      <c r="Z5688" t="s">
        <v>31656</v>
      </c>
      <c r="AA5688">
        <v>0.3768266385582083</v>
      </c>
      <c r="AB5688" t="str">
        <f>HYPERLINK("Melting_Curves/meltCurve_Q9H939_PSTPIP2.pdf", "Melting_Curves/meltCurve_Q9H939_PSTPIP2.pdf")</f>
        <v>Melting_Curves/meltCurve_Q9H939_PSTPIP2.pdf</v>
      </c>
    </row>
    <row r="5689" spans="1:28" x14ac:dyDescent="0.25">
      <c r="A5689" t="s">
        <v>5693</v>
      </c>
      <c r="B5689">
        <v>0.99472303558308395</v>
      </c>
      <c r="C5689">
        <v>1.00277947085186</v>
      </c>
      <c r="D5689">
        <v>0.93550690080452203</v>
      </c>
      <c r="E5689">
        <v>0.80775933216249096</v>
      </c>
      <c r="F5689">
        <v>0.56687415560508003</v>
      </c>
      <c r="G5689">
        <v>0.37463280852300901</v>
      </c>
      <c r="H5689">
        <v>0.21790040497141799</v>
      </c>
      <c r="I5689">
        <v>6.7964592372817406E-2</v>
      </c>
      <c r="J5689">
        <v>5.8110751804787399E-2</v>
      </c>
      <c r="K5689">
        <v>6.5086465706149302E-2</v>
      </c>
      <c r="L5689">
        <v>700.36049854842497</v>
      </c>
      <c r="M5689">
        <v>13.608447022293801</v>
      </c>
      <c r="N5689">
        <v>51.475543139029703</v>
      </c>
      <c r="O5689">
        <v>50.391939372652203</v>
      </c>
      <c r="P5689">
        <v>-6.7430184333224494E-2</v>
      </c>
      <c r="Q5689">
        <v>1.37450626436589E-3</v>
      </c>
      <c r="R5689">
        <v>0.99746498288796304</v>
      </c>
      <c r="S5689" t="s">
        <v>12257</v>
      </c>
      <c r="T5689" t="s">
        <v>13134</v>
      </c>
      <c r="U5689" t="s">
        <v>13134</v>
      </c>
      <c r="V5689" t="s">
        <v>13134</v>
      </c>
      <c r="W5689" t="s">
        <v>18757</v>
      </c>
      <c r="X5689">
        <v>9</v>
      </c>
      <c r="Y5689" t="s">
        <v>25119</v>
      </c>
      <c r="Z5689" t="s">
        <v>31657</v>
      </c>
      <c r="AA5689">
        <v>0.50492208112137527</v>
      </c>
      <c r="AB5689" t="str">
        <f>HYPERLINK("Melting_Curves/meltCurve_Q9H944_MED20.pdf", "Melting_Curves/meltCurve_Q9H944_MED20.pdf")</f>
        <v>Melting_Curves/meltCurve_Q9H944_MED20.pdf</v>
      </c>
    </row>
    <row r="5690" spans="1:28" x14ac:dyDescent="0.25">
      <c r="A5690" t="s">
        <v>5694</v>
      </c>
      <c r="B5690">
        <v>0.99472303558308395</v>
      </c>
      <c r="C5690">
        <v>0.98527245363223503</v>
      </c>
      <c r="D5690">
        <v>0.89825903076890001</v>
      </c>
      <c r="E5690">
        <v>0.82649679855967495</v>
      </c>
      <c r="F5690">
        <v>0.74721436799889496</v>
      </c>
      <c r="G5690">
        <v>0.44988367540162499</v>
      </c>
      <c r="H5690">
        <v>0.21190527442201401</v>
      </c>
      <c r="I5690">
        <v>8.5603108183660195E-2</v>
      </c>
      <c r="J5690">
        <v>0.123537845038915</v>
      </c>
      <c r="K5690">
        <v>0.188497490840983</v>
      </c>
      <c r="L5690">
        <v>878.80529439228997</v>
      </c>
      <c r="M5690">
        <v>16.848303279082099</v>
      </c>
      <c r="N5690">
        <v>52.761822874783597</v>
      </c>
      <c r="O5690">
        <v>51.441682380381799</v>
      </c>
      <c r="P5690">
        <v>-7.4725960935625405E-2</v>
      </c>
      <c r="Q5690">
        <v>8.7437351392293403E-2</v>
      </c>
      <c r="R5690">
        <v>0.97838903497461205</v>
      </c>
      <c r="S5690" t="s">
        <v>12258</v>
      </c>
      <c r="T5690" t="s">
        <v>13134</v>
      </c>
      <c r="U5690" t="s">
        <v>13134</v>
      </c>
      <c r="V5690" t="s">
        <v>13134</v>
      </c>
      <c r="W5690" t="s">
        <v>18758</v>
      </c>
      <c r="X5690">
        <v>14</v>
      </c>
      <c r="Y5690" t="s">
        <v>25120</v>
      </c>
      <c r="Z5690" t="s">
        <v>31658</v>
      </c>
      <c r="AA5690">
        <v>0.56359633671510911</v>
      </c>
      <c r="AB5690" t="str">
        <f>HYPERLINK("Melting_Curves/meltCurve_Q9H974_QTRTD1.pdf", "Melting_Curves/meltCurve_Q9H974_QTRTD1.pdf")</f>
        <v>Melting_Curves/meltCurve_Q9H974_QTRTD1.pdf</v>
      </c>
    </row>
    <row r="5691" spans="1:28" x14ac:dyDescent="0.25">
      <c r="A5691" t="s">
        <v>5695</v>
      </c>
      <c r="B5691">
        <v>0.99472303558308395</v>
      </c>
      <c r="C5691">
        <v>0.76022045454424703</v>
      </c>
      <c r="D5691">
        <v>0.66067072776837399</v>
      </c>
      <c r="E5691">
        <v>0.190249881176141</v>
      </c>
      <c r="F5691">
        <v>6.6353716189125E-2</v>
      </c>
      <c r="G5691">
        <v>4.0809977183015399E-2</v>
      </c>
      <c r="H5691">
        <v>5.0193992236168897E-2</v>
      </c>
      <c r="I5691">
        <v>4.38663863070963E-2</v>
      </c>
      <c r="J5691">
        <v>5.39243434905749E-2</v>
      </c>
      <c r="K5691">
        <v>4.7783261926272698E-2</v>
      </c>
      <c r="L5691">
        <v>867.043538548686</v>
      </c>
      <c r="M5691">
        <v>19.926113868274999</v>
      </c>
      <c r="N5691">
        <v>43.660265892142199</v>
      </c>
      <c r="O5691">
        <v>43.081789237753</v>
      </c>
      <c r="P5691">
        <v>-0.111873398661596</v>
      </c>
      <c r="Q5691">
        <v>3.2516501176026003E-2</v>
      </c>
      <c r="R5691">
        <v>0.98124244549870798</v>
      </c>
      <c r="S5691" t="s">
        <v>12259</v>
      </c>
      <c r="T5691" t="s">
        <v>13134</v>
      </c>
      <c r="U5691" t="s">
        <v>13134</v>
      </c>
      <c r="V5691" t="s">
        <v>13134</v>
      </c>
      <c r="W5691" t="s">
        <v>18759</v>
      </c>
      <c r="X5691">
        <v>3</v>
      </c>
      <c r="Y5691" t="s">
        <v>25121</v>
      </c>
      <c r="Z5691" t="s">
        <v>31659</v>
      </c>
      <c r="AA5691">
        <v>0.25582634742135157</v>
      </c>
      <c r="AB5691" t="str">
        <f>HYPERLINK("Melting_Curves/meltCurve_Q9H981_ACTR8.pdf", "Melting_Curves/meltCurve_Q9H981_ACTR8.pdf")</f>
        <v>Melting_Curves/meltCurve_Q9H981_ACTR8.pdf</v>
      </c>
    </row>
    <row r="5692" spans="1:28" x14ac:dyDescent="0.25">
      <c r="A5692" t="s">
        <v>5696</v>
      </c>
      <c r="B5692">
        <v>0.99472303558308395</v>
      </c>
      <c r="C5692">
        <v>0.794644823537621</v>
      </c>
      <c r="D5692">
        <v>0.888434574467593</v>
      </c>
      <c r="E5692">
        <v>0.51277371221431101</v>
      </c>
      <c r="F5692">
        <v>0.12946174666624599</v>
      </c>
      <c r="G5692">
        <v>8.6654318244773806E-2</v>
      </c>
      <c r="H5692">
        <v>5.5613918586946601E-2</v>
      </c>
      <c r="I5692">
        <v>4.5046956093586298E-2</v>
      </c>
      <c r="J5692">
        <v>6.5120680680545801E-2</v>
      </c>
      <c r="K5692">
        <v>4.9895983075659497E-2</v>
      </c>
      <c r="L5692">
        <v>1055.39801326107</v>
      </c>
      <c r="M5692">
        <v>22.799765100560101</v>
      </c>
      <c r="N5692">
        <v>46.474126558573502</v>
      </c>
      <c r="O5692">
        <v>45.938172286597897</v>
      </c>
      <c r="P5692">
        <v>-0.11871866163399</v>
      </c>
      <c r="Q5692">
        <v>4.3215993916277701E-2</v>
      </c>
      <c r="R5692">
        <v>0.97299623288639603</v>
      </c>
      <c r="S5692" t="s">
        <v>12260</v>
      </c>
      <c r="T5692" t="s">
        <v>13134</v>
      </c>
      <c r="U5692" t="s">
        <v>13134</v>
      </c>
      <c r="V5692" t="s">
        <v>13134</v>
      </c>
      <c r="W5692" t="s">
        <v>18760</v>
      </c>
      <c r="X5692">
        <v>10</v>
      </c>
      <c r="Y5692" t="s">
        <v>25122</v>
      </c>
      <c r="Z5692" t="s">
        <v>31660</v>
      </c>
      <c r="AA5692">
        <v>0.34909366207601239</v>
      </c>
      <c r="AB5692" t="str">
        <f>HYPERLINK("Melting_Curves/meltCurve_Q9H993_C6orf211.pdf", "Melting_Curves/meltCurve_Q9H993_C6orf211.pdf")</f>
        <v>Melting_Curves/meltCurve_Q9H993_C6orf211.pdf</v>
      </c>
    </row>
    <row r="5693" spans="1:28" x14ac:dyDescent="0.25">
      <c r="A5693" t="s">
        <v>5697</v>
      </c>
      <c r="B5693">
        <v>0.99472303558308395</v>
      </c>
      <c r="C5693">
        <v>0.97531795922598596</v>
      </c>
      <c r="D5693">
        <v>1.0632205308887499</v>
      </c>
      <c r="E5693">
        <v>0.91730379271351903</v>
      </c>
      <c r="F5693">
        <v>0.66863367483873704</v>
      </c>
      <c r="G5693">
        <v>0.31594691332000902</v>
      </c>
      <c r="H5693">
        <v>9.5261237499868506E-2</v>
      </c>
      <c r="I5693">
        <v>6.1632312908407899E-2</v>
      </c>
      <c r="J5693">
        <v>3.6571582878896301E-2</v>
      </c>
      <c r="K5693">
        <v>5.5752045183496801E-2</v>
      </c>
      <c r="L5693">
        <v>1232.4142253447701</v>
      </c>
      <c r="M5693">
        <v>23.878377110805399</v>
      </c>
      <c r="N5693">
        <v>51.773161158529</v>
      </c>
      <c r="O5693">
        <v>51.254258904128697</v>
      </c>
      <c r="P5693">
        <v>-0.112304014218765</v>
      </c>
      <c r="Q5693">
        <v>3.5786342111408201E-2</v>
      </c>
      <c r="R5693">
        <v>0.99616396555348896</v>
      </c>
      <c r="S5693" t="s">
        <v>12261</v>
      </c>
      <c r="T5693" t="s">
        <v>13134</v>
      </c>
      <c r="U5693" t="s">
        <v>13134</v>
      </c>
      <c r="V5693" t="s">
        <v>13134</v>
      </c>
      <c r="W5693" t="s">
        <v>18761</v>
      </c>
      <c r="X5693">
        <v>5</v>
      </c>
      <c r="Y5693" t="s">
        <v>25123</v>
      </c>
      <c r="Z5693" t="s">
        <v>31661</v>
      </c>
      <c r="AA5693">
        <v>0.51469834756504973</v>
      </c>
      <c r="AB5693" t="str">
        <f>HYPERLINK("Melting_Curves/meltCurve_Q9H999_PANK3.pdf", "Melting_Curves/meltCurve_Q9H999_PANK3.pdf")</f>
        <v>Melting_Curves/meltCurve_Q9H999_PANK3.pdf</v>
      </c>
    </row>
    <row r="5694" spans="1:28" x14ac:dyDescent="0.25">
      <c r="A5694" t="s">
        <v>5698</v>
      </c>
      <c r="B5694">
        <v>0.99472303558308395</v>
      </c>
      <c r="C5694">
        <v>0.80795292414798103</v>
      </c>
      <c r="D5694">
        <v>0.63329229414242105</v>
      </c>
      <c r="E5694">
        <v>0.44271973815300802</v>
      </c>
      <c r="F5694">
        <v>0.27139706738530101</v>
      </c>
      <c r="G5694">
        <v>6.7907018590960502E-2</v>
      </c>
      <c r="H5694">
        <v>4.0575312908224401E-2</v>
      </c>
      <c r="I5694">
        <v>2.3964281785850999E-2</v>
      </c>
      <c r="J5694">
        <v>3.5032510202020403E-2</v>
      </c>
      <c r="K5694">
        <v>2.5615339595369799E-2</v>
      </c>
      <c r="L5694">
        <v>565.24090418205299</v>
      </c>
      <c r="M5694">
        <v>12.4845166145235</v>
      </c>
      <c r="N5694">
        <v>45.275353666045298</v>
      </c>
      <c r="O5694">
        <v>44.160809483792399</v>
      </c>
      <c r="P5694">
        <v>-7.0691076391715596E-2</v>
      </c>
      <c r="Q5694">
        <v>0</v>
      </c>
      <c r="R5694">
        <v>0.99043831959666095</v>
      </c>
      <c r="S5694" t="s">
        <v>12262</v>
      </c>
      <c r="T5694" t="s">
        <v>13134</v>
      </c>
      <c r="U5694" t="s">
        <v>13134</v>
      </c>
      <c r="V5694" t="s">
        <v>13134</v>
      </c>
      <c r="W5694" t="s">
        <v>18762</v>
      </c>
      <c r="X5694">
        <v>9</v>
      </c>
      <c r="Y5694" t="s">
        <v>25124</v>
      </c>
      <c r="Z5694" t="s">
        <v>31662</v>
      </c>
      <c r="AA5694">
        <v>0.30920836765832022</v>
      </c>
      <c r="AB5694" t="str">
        <f>HYPERLINK("Melting_Curves/meltCurve_Q9H9A5_2_CNOT10.pdf", "Melting_Curves/meltCurve_Q9H9A5_2_CNOT10.pdf")</f>
        <v>Melting_Curves/meltCurve_Q9H9A5_2_CNOT10.pdf</v>
      </c>
    </row>
    <row r="5695" spans="1:28" x14ac:dyDescent="0.25">
      <c r="A5695" t="s">
        <v>5699</v>
      </c>
      <c r="B5695">
        <v>0.99472303558308395</v>
      </c>
      <c r="C5695">
        <v>0.94180602042182704</v>
      </c>
      <c r="D5695">
        <v>1.0098250800742099</v>
      </c>
      <c r="E5695">
        <v>0.75257937714170198</v>
      </c>
      <c r="F5695">
        <v>0.17667179513442899</v>
      </c>
      <c r="G5695">
        <v>9.3624110692853701E-2</v>
      </c>
      <c r="H5695">
        <v>5.7654935070391003E-2</v>
      </c>
      <c r="I5695">
        <v>4.23730991063586E-2</v>
      </c>
      <c r="J5695">
        <v>4.7594450306831897E-2</v>
      </c>
      <c r="K5695">
        <v>3.69422465326344E-2</v>
      </c>
      <c r="L5695">
        <v>1883.0349471407901</v>
      </c>
      <c r="M5695">
        <v>39.364140921144497</v>
      </c>
      <c r="N5695">
        <v>47.970654853737102</v>
      </c>
      <c r="O5695">
        <v>47.713353285446303</v>
      </c>
      <c r="P5695">
        <v>-0.19548874868173899</v>
      </c>
      <c r="Q5695">
        <v>5.2193047007018198E-2</v>
      </c>
      <c r="R5695">
        <v>0.99716069895640902</v>
      </c>
      <c r="S5695" t="s">
        <v>12263</v>
      </c>
      <c r="T5695" t="s">
        <v>13134</v>
      </c>
      <c r="U5695" t="s">
        <v>13134</v>
      </c>
      <c r="V5695" t="s">
        <v>13134</v>
      </c>
      <c r="W5695" t="s">
        <v>18763</v>
      </c>
      <c r="X5695">
        <v>25</v>
      </c>
      <c r="Y5695" t="s">
        <v>25125</v>
      </c>
      <c r="Z5695" t="s">
        <v>31663</v>
      </c>
      <c r="AA5695">
        <v>0.39778758180502788</v>
      </c>
      <c r="AB5695" t="str">
        <f>HYPERLINK("Melting_Curves/meltCurve_Q9H9A6_LRRC40.pdf", "Melting_Curves/meltCurve_Q9H9A6_LRRC40.pdf")</f>
        <v>Melting_Curves/meltCurve_Q9H9A6_LRRC40.pdf</v>
      </c>
    </row>
    <row r="5696" spans="1:28" x14ac:dyDescent="0.25">
      <c r="A5696" t="s">
        <v>5700</v>
      </c>
      <c r="B5696">
        <v>0.99472303558308395</v>
      </c>
      <c r="C5696">
        <v>0.88550714281982401</v>
      </c>
      <c r="D5696">
        <v>0.73755363968126397</v>
      </c>
      <c r="E5696">
        <v>0.34540218484746499</v>
      </c>
      <c r="F5696">
        <v>0.19704002458026601</v>
      </c>
      <c r="G5696">
        <v>9.9486494832091196E-2</v>
      </c>
      <c r="H5696">
        <v>9.0994249128778695E-2</v>
      </c>
      <c r="I5696">
        <v>5.8052662333818901E-2</v>
      </c>
      <c r="J5696">
        <v>8.8343836131374698E-2</v>
      </c>
      <c r="K5696">
        <v>7.2438033193555504E-2</v>
      </c>
      <c r="L5696">
        <v>855.33797295550403</v>
      </c>
      <c r="M5696">
        <v>19.102837332093699</v>
      </c>
      <c r="N5696">
        <v>45.140040353605301</v>
      </c>
      <c r="O5696">
        <v>44.293423434934098</v>
      </c>
      <c r="P5696">
        <v>-0.10011564814264901</v>
      </c>
      <c r="Q5696">
        <v>7.1490437144593896E-2</v>
      </c>
      <c r="R5696">
        <v>0.99705271543886298</v>
      </c>
      <c r="S5696" t="s">
        <v>12264</v>
      </c>
      <c r="T5696" t="s">
        <v>13134</v>
      </c>
      <c r="U5696" t="s">
        <v>13134</v>
      </c>
      <c r="V5696" t="s">
        <v>13134</v>
      </c>
      <c r="W5696" t="s">
        <v>18764</v>
      </c>
      <c r="X5696">
        <v>1</v>
      </c>
      <c r="Y5696" t="s">
        <v>25126</v>
      </c>
      <c r="Z5696" t="s">
        <v>31664</v>
      </c>
      <c r="AA5696">
        <v>0.32562773606683287</v>
      </c>
      <c r="AB5696" t="str">
        <f>HYPERLINK("Melting_Curves/meltCurve_Q9H9A7_RMI1.pdf", "Melting_Curves/meltCurve_Q9H9A7_RMI1.pdf")</f>
        <v>Melting_Curves/meltCurve_Q9H9A7_RMI1.pdf</v>
      </c>
    </row>
    <row r="5697" spans="1:28" x14ac:dyDescent="0.25">
      <c r="A5697" t="s">
        <v>5701</v>
      </c>
      <c r="B5697">
        <v>0.99472303558308395</v>
      </c>
      <c r="C5697">
        <v>0.95587844857978499</v>
      </c>
      <c r="D5697">
        <v>0.66755518276436698</v>
      </c>
      <c r="E5697">
        <v>0.44581553295274901</v>
      </c>
      <c r="F5697">
        <v>0.18296676315136701</v>
      </c>
      <c r="G5697">
        <v>0.12121645494045399</v>
      </c>
      <c r="H5697">
        <v>6.8516931250804894E-2</v>
      </c>
      <c r="I5697">
        <v>5.92360660665779E-2</v>
      </c>
      <c r="J5697">
        <v>6.5015512173525802E-2</v>
      </c>
      <c r="K5697">
        <v>6.9118657491594904E-2</v>
      </c>
      <c r="L5697">
        <v>769.56253704544304</v>
      </c>
      <c r="M5697">
        <v>17.0327734505641</v>
      </c>
      <c r="N5697">
        <v>45.4951110859528</v>
      </c>
      <c r="O5697">
        <v>44.572285884159101</v>
      </c>
      <c r="P5697">
        <v>-9.0245182874525195E-2</v>
      </c>
      <c r="Q5697">
        <v>5.5423967272440498E-2</v>
      </c>
      <c r="R5697">
        <v>0.99444146363993302</v>
      </c>
      <c r="S5697" t="s">
        <v>12265</v>
      </c>
      <c r="T5697" t="s">
        <v>13134</v>
      </c>
      <c r="U5697" t="s">
        <v>13134</v>
      </c>
      <c r="V5697" t="s">
        <v>13134</v>
      </c>
      <c r="W5697" t="s">
        <v>18765</v>
      </c>
      <c r="X5697">
        <v>12</v>
      </c>
      <c r="Y5697" t="s">
        <v>25127</v>
      </c>
      <c r="Z5697" t="s">
        <v>31665</v>
      </c>
      <c r="AA5697">
        <v>0.33030428018396768</v>
      </c>
      <c r="AB5697" t="str">
        <f>HYPERLINK("Melting_Curves/meltCurve_Q9H9B1_EHMT1.pdf", "Melting_Curves/meltCurve_Q9H9B1_EHMT1.pdf")</f>
        <v>Melting_Curves/meltCurve_Q9H9B1_EHMT1.pdf</v>
      </c>
    </row>
    <row r="5698" spans="1:28" x14ac:dyDescent="0.25">
      <c r="A5698" t="s">
        <v>5702</v>
      </c>
      <c r="B5698">
        <v>0.99472303558308395</v>
      </c>
      <c r="C5698">
        <v>1.0220207771949099</v>
      </c>
      <c r="D5698">
        <v>0.87520593925865697</v>
      </c>
      <c r="E5698">
        <v>0.78528195623803498</v>
      </c>
      <c r="F5698">
        <v>0.68255471124788303</v>
      </c>
      <c r="G5698">
        <v>0.44352972756521403</v>
      </c>
      <c r="H5698">
        <v>0.165178036989551</v>
      </c>
      <c r="I5698">
        <v>8.7952975341362094E-2</v>
      </c>
      <c r="J5698">
        <v>9.2047914296926395E-2</v>
      </c>
      <c r="K5698">
        <v>6.6011314981766794E-2</v>
      </c>
      <c r="L5698">
        <v>700.45265691098405</v>
      </c>
      <c r="M5698">
        <v>13.424385165805701</v>
      </c>
      <c r="N5698">
        <v>52.1776244970401</v>
      </c>
      <c r="O5698">
        <v>51.060605383596297</v>
      </c>
      <c r="P5698">
        <v>-6.5737949472813098E-2</v>
      </c>
      <c r="Q5698">
        <v>0</v>
      </c>
      <c r="R5698">
        <v>0.98627373560466303</v>
      </c>
      <c r="S5698" t="s">
        <v>12266</v>
      </c>
      <c r="T5698" t="s">
        <v>13134</v>
      </c>
      <c r="U5698" t="s">
        <v>13134</v>
      </c>
      <c r="V5698" t="s">
        <v>13134</v>
      </c>
      <c r="W5698" t="s">
        <v>18766</v>
      </c>
      <c r="X5698">
        <v>15</v>
      </c>
      <c r="Y5698" t="s">
        <v>25128</v>
      </c>
      <c r="Z5698" t="s">
        <v>31666</v>
      </c>
      <c r="AA5698">
        <v>0.52713950534121523</v>
      </c>
      <c r="AB5698" t="str">
        <f>HYPERLINK("Melting_Curves/meltCurve_Q9H9B4_SFXN1.pdf", "Melting_Curves/meltCurve_Q9H9B4_SFXN1.pdf")</f>
        <v>Melting_Curves/meltCurve_Q9H9B4_SFXN1.pdf</v>
      </c>
    </row>
    <row r="5699" spans="1:28" x14ac:dyDescent="0.25">
      <c r="A5699" t="s">
        <v>5703</v>
      </c>
      <c r="B5699">
        <v>0.99472303558308395</v>
      </c>
      <c r="C5699">
        <v>1.02168437789141</v>
      </c>
      <c r="D5699">
        <v>0.80470750974718597</v>
      </c>
      <c r="E5699">
        <v>0.41270267335412197</v>
      </c>
      <c r="F5699">
        <v>0.25104001385261099</v>
      </c>
      <c r="G5699">
        <v>0.13158378047649699</v>
      </c>
      <c r="H5699">
        <v>9.73878460971455E-2</v>
      </c>
      <c r="I5699">
        <v>7.2296064718730096E-2</v>
      </c>
      <c r="J5699">
        <v>0.120017190803772</v>
      </c>
      <c r="K5699">
        <v>7.5138530314908497E-2</v>
      </c>
      <c r="L5699">
        <v>997.66112251229197</v>
      </c>
      <c r="M5699">
        <v>21.8856304395214</v>
      </c>
      <c r="N5699">
        <v>46.030004041724098</v>
      </c>
      <c r="O5699">
        <v>45.2097434951759</v>
      </c>
      <c r="P5699">
        <v>-0.109490793873291</v>
      </c>
      <c r="Q5699">
        <v>9.5308158726459494E-2</v>
      </c>
      <c r="R5699">
        <v>0.99374564158404799</v>
      </c>
      <c r="S5699" t="s">
        <v>12267</v>
      </c>
      <c r="T5699" t="s">
        <v>13134</v>
      </c>
      <c r="U5699" t="s">
        <v>13134</v>
      </c>
      <c r="V5699" t="s">
        <v>13134</v>
      </c>
      <c r="W5699" t="s">
        <v>18767</v>
      </c>
      <c r="X5699">
        <v>7</v>
      </c>
      <c r="Y5699" t="s">
        <v>25129</v>
      </c>
      <c r="Z5699" t="s">
        <v>31667</v>
      </c>
      <c r="AA5699">
        <v>0.3640360484599332</v>
      </c>
      <c r="AB5699" t="str">
        <f>HYPERLINK("Melting_Curves/meltCurve_Q9H9F9_ACTR5.pdf", "Melting_Curves/meltCurve_Q9H9F9_ACTR5.pdf")</f>
        <v>Melting_Curves/meltCurve_Q9H9F9_ACTR5.pdf</v>
      </c>
    </row>
    <row r="5700" spans="1:28" x14ac:dyDescent="0.25">
      <c r="A5700" t="s">
        <v>5704</v>
      </c>
      <c r="B5700">
        <v>0.99472303558308395</v>
      </c>
      <c r="C5700">
        <v>0.95250071064138397</v>
      </c>
      <c r="D5700">
        <v>0.92776099272121304</v>
      </c>
      <c r="E5700">
        <v>0.72210904478924898</v>
      </c>
      <c r="F5700">
        <v>0.22323814857448801</v>
      </c>
      <c r="G5700">
        <v>9.1517635549208803E-2</v>
      </c>
      <c r="H5700">
        <v>5.0427018165858303E-2</v>
      </c>
      <c r="I5700">
        <v>2.9703134346843699E-2</v>
      </c>
      <c r="J5700">
        <v>2.58014335462886E-2</v>
      </c>
      <c r="K5700">
        <v>1.92122815103789E-2</v>
      </c>
      <c r="L5700">
        <v>1349.27927908483</v>
      </c>
      <c r="M5700">
        <v>28.137568957928401</v>
      </c>
      <c r="N5700">
        <v>48.056875517797401</v>
      </c>
      <c r="O5700">
        <v>47.712693816189201</v>
      </c>
      <c r="P5700">
        <v>-0.143081634479894</v>
      </c>
      <c r="Q5700">
        <v>2.9517754899482999E-2</v>
      </c>
      <c r="R5700">
        <v>0.99726742360647103</v>
      </c>
      <c r="S5700" t="s">
        <v>12268</v>
      </c>
      <c r="T5700" t="s">
        <v>13134</v>
      </c>
      <c r="U5700" t="s">
        <v>13134</v>
      </c>
      <c r="V5700" t="s">
        <v>13134</v>
      </c>
      <c r="W5700" t="s">
        <v>18768</v>
      </c>
      <c r="X5700">
        <v>4</v>
      </c>
      <c r="Y5700" t="s">
        <v>25130</v>
      </c>
      <c r="Z5700" t="s">
        <v>31668</v>
      </c>
      <c r="AA5700">
        <v>0.3903693853904483</v>
      </c>
      <c r="AB5700" t="str">
        <f>HYPERLINK("Melting_Curves/meltCurve_Q9H9H4_VPS37B.pdf", "Melting_Curves/meltCurve_Q9H9H4_VPS37B.pdf")</f>
        <v>Melting_Curves/meltCurve_Q9H9H4_VPS37B.pdf</v>
      </c>
    </row>
    <row r="5701" spans="1:28" x14ac:dyDescent="0.25">
      <c r="A5701" t="s">
        <v>5705</v>
      </c>
      <c r="B5701">
        <v>0.99472303558308395</v>
      </c>
      <c r="C5701">
        <v>1.03576577849952</v>
      </c>
      <c r="D5701">
        <v>0.985068752920219</v>
      </c>
      <c r="E5701">
        <v>0.88849137946089596</v>
      </c>
      <c r="F5701">
        <v>0.51026954312415695</v>
      </c>
      <c r="G5701">
        <v>0.27422958967345601</v>
      </c>
      <c r="H5701">
        <v>0.14184187847159899</v>
      </c>
      <c r="I5701">
        <v>8.3172320504976305E-2</v>
      </c>
      <c r="J5701">
        <v>7.0881688346026706E-2</v>
      </c>
      <c r="K5701">
        <v>8.4459594907735205E-2</v>
      </c>
      <c r="L5701">
        <v>1128.7836514949099</v>
      </c>
      <c r="M5701">
        <v>22.473910876077401</v>
      </c>
      <c r="N5701">
        <v>50.606687010962503</v>
      </c>
      <c r="O5701">
        <v>49.8338106021898</v>
      </c>
      <c r="P5701">
        <v>-0.103986733470719</v>
      </c>
      <c r="Q5701">
        <v>7.76954159654831E-2</v>
      </c>
      <c r="R5701">
        <v>0.99731212334680897</v>
      </c>
      <c r="S5701" t="s">
        <v>12269</v>
      </c>
      <c r="T5701" t="s">
        <v>13134</v>
      </c>
      <c r="U5701" t="s">
        <v>13134</v>
      </c>
      <c r="V5701" t="s">
        <v>13134</v>
      </c>
      <c r="W5701" t="s">
        <v>18769</v>
      </c>
      <c r="X5701">
        <v>7</v>
      </c>
      <c r="Y5701" t="s">
        <v>25131</v>
      </c>
      <c r="Z5701" t="s">
        <v>31669</v>
      </c>
      <c r="AA5701">
        <v>0.49418050634615102</v>
      </c>
      <c r="AB5701" t="str">
        <f>HYPERLINK("Melting_Curves/meltCurve_Q9H9P8_L2HGDH.pdf", "Melting_Curves/meltCurve_Q9H9P8_L2HGDH.pdf")</f>
        <v>Melting_Curves/meltCurve_Q9H9P8_L2HGDH.pdf</v>
      </c>
    </row>
    <row r="5702" spans="1:28" x14ac:dyDescent="0.25">
      <c r="A5702" t="s">
        <v>5706</v>
      </c>
      <c r="B5702">
        <v>0.99472303558308395</v>
      </c>
      <c r="C5702">
        <v>1.3031307067798099</v>
      </c>
      <c r="D5702">
        <v>0.95472226941390803</v>
      </c>
      <c r="E5702">
        <v>0.79160798632051299</v>
      </c>
      <c r="F5702">
        <v>0.62608811379649498</v>
      </c>
      <c r="G5702">
        <v>0.39651498302899302</v>
      </c>
      <c r="H5702">
        <v>0.22686208131554</v>
      </c>
      <c r="I5702">
        <v>0.16177050175851199</v>
      </c>
      <c r="J5702">
        <v>0.15491201312052</v>
      </c>
      <c r="K5702">
        <v>0.125202307699849</v>
      </c>
      <c r="L5702">
        <v>848.32370357451305</v>
      </c>
      <c r="M5702">
        <v>16.634897286093601</v>
      </c>
      <c r="N5702">
        <v>51.815756953144799</v>
      </c>
      <c r="O5702">
        <v>50.276751606672399</v>
      </c>
      <c r="P5702">
        <v>-7.3157916325547606E-2</v>
      </c>
      <c r="Q5702">
        <v>0.115619464967769</v>
      </c>
      <c r="R5702">
        <v>0.93689884809093704</v>
      </c>
      <c r="S5702" t="s">
        <v>12270</v>
      </c>
      <c r="T5702" t="s">
        <v>13134</v>
      </c>
      <c r="U5702" t="s">
        <v>13134</v>
      </c>
      <c r="V5702" t="s">
        <v>13134</v>
      </c>
      <c r="W5702" t="s">
        <v>18770</v>
      </c>
      <c r="X5702">
        <v>1</v>
      </c>
      <c r="Y5702" t="s">
        <v>25132</v>
      </c>
      <c r="Z5702" t="s">
        <v>31670</v>
      </c>
      <c r="AA5702">
        <v>0.5436686997975253</v>
      </c>
      <c r="AB5702" t="str">
        <f>HYPERLINK("Melting_Curves/meltCurve_Q9H9S5_FKRP.pdf", "Melting_Curves/meltCurve_Q9H9S5_FKRP.pdf")</f>
        <v>Melting_Curves/meltCurve_Q9H9S5_FKRP.pdf</v>
      </c>
    </row>
    <row r="5703" spans="1:28" x14ac:dyDescent="0.25">
      <c r="A5703" t="s">
        <v>5707</v>
      </c>
      <c r="B5703">
        <v>0.99472303558308395</v>
      </c>
      <c r="C5703">
        <v>0.89881257292490102</v>
      </c>
      <c r="D5703">
        <v>0.720920811488028</v>
      </c>
      <c r="E5703">
        <v>0.57980514430001495</v>
      </c>
      <c r="F5703">
        <v>0.70893504103260296</v>
      </c>
      <c r="G5703">
        <v>0.32354669516227003</v>
      </c>
      <c r="H5703">
        <v>0.123666756237509</v>
      </c>
      <c r="I5703">
        <v>5.78719760762006E-2</v>
      </c>
      <c r="J5703">
        <v>5.8309644575595503E-2</v>
      </c>
      <c r="K5703">
        <v>4.6254434067658397E-2</v>
      </c>
      <c r="L5703">
        <v>500.699922096715</v>
      </c>
      <c r="M5703">
        <v>10.080584708101201</v>
      </c>
      <c r="N5703">
        <v>49.669725117220302</v>
      </c>
      <c r="O5703">
        <v>47.833852250774598</v>
      </c>
      <c r="P5703">
        <v>-5.2710236451774903E-2</v>
      </c>
      <c r="Q5703">
        <v>0</v>
      </c>
      <c r="R5703">
        <v>0.92917808300487004</v>
      </c>
      <c r="S5703" t="s">
        <v>12271</v>
      </c>
      <c r="T5703" t="s">
        <v>13134</v>
      </c>
      <c r="U5703" t="s">
        <v>13134</v>
      </c>
      <c r="V5703" t="s">
        <v>13134</v>
      </c>
      <c r="W5703" t="s">
        <v>18771</v>
      </c>
      <c r="X5703">
        <v>17</v>
      </c>
      <c r="Y5703" t="s">
        <v>25133</v>
      </c>
      <c r="Z5703" t="s">
        <v>31671</v>
      </c>
      <c r="AA5703">
        <v>0.45705654257570111</v>
      </c>
      <c r="AB5703" t="str">
        <f>HYPERLINK("Melting_Curves/meltCurve_Q9H9T3_2_ELP3.pdf", "Melting_Curves/meltCurve_Q9H9T3_2_ELP3.pdf")</f>
        <v>Melting_Curves/meltCurve_Q9H9T3_2_ELP3.pdf</v>
      </c>
    </row>
    <row r="5704" spans="1:28" x14ac:dyDescent="0.25">
      <c r="A5704" t="s">
        <v>5708</v>
      </c>
      <c r="B5704">
        <v>0.99472303558308395</v>
      </c>
      <c r="C5704">
        <v>1.06633990835148</v>
      </c>
      <c r="D5704">
        <v>0.79795065985026903</v>
      </c>
      <c r="E5704">
        <v>0.54458354264083197</v>
      </c>
      <c r="F5704">
        <v>0.293535792991163</v>
      </c>
      <c r="G5704">
        <v>0.161953171076233</v>
      </c>
      <c r="H5704">
        <v>0.10813633859244701</v>
      </c>
      <c r="I5704">
        <v>5.7490006004438501E-2</v>
      </c>
      <c r="J5704">
        <v>8.5735687931170798E-2</v>
      </c>
      <c r="K5704">
        <v>8.3813469639018895E-2</v>
      </c>
      <c r="L5704">
        <v>848.58859583805895</v>
      </c>
      <c r="M5704">
        <v>18.158042518056799</v>
      </c>
      <c r="N5704">
        <v>47.1493767394375</v>
      </c>
      <c r="O5704">
        <v>46.177717154675499</v>
      </c>
      <c r="P5704">
        <v>-9.10350195997367E-2</v>
      </c>
      <c r="Q5704">
        <v>7.3999257430255899E-2</v>
      </c>
      <c r="R5704">
        <v>0.99004164397537398</v>
      </c>
      <c r="S5704" t="s">
        <v>12272</v>
      </c>
      <c r="T5704" t="s">
        <v>13134</v>
      </c>
      <c r="U5704" t="s">
        <v>13134</v>
      </c>
      <c r="V5704" t="s">
        <v>13134</v>
      </c>
      <c r="W5704" t="s">
        <v>18772</v>
      </c>
      <c r="X5704">
        <v>3</v>
      </c>
      <c r="Y5704" t="s">
        <v>25134</v>
      </c>
      <c r="Z5704" t="s">
        <v>31672</v>
      </c>
      <c r="AA5704">
        <v>0.38907618568385172</v>
      </c>
      <c r="AB5704" t="str">
        <f>HYPERLINK("Melting_Curves/meltCurve_Q9H9V9_2_JMJD4.pdf", "Melting_Curves/meltCurve_Q9H9V9_2_JMJD4.pdf")</f>
        <v>Melting_Curves/meltCurve_Q9H9V9_2_JMJD4.pdf</v>
      </c>
    </row>
    <row r="5705" spans="1:28" x14ac:dyDescent="0.25">
      <c r="A5705" t="s">
        <v>5709</v>
      </c>
      <c r="B5705">
        <v>0.99472303558308395</v>
      </c>
      <c r="C5705">
        <v>0.85246863332358203</v>
      </c>
      <c r="D5705">
        <v>0.71760327341488495</v>
      </c>
      <c r="E5705">
        <v>0.82697248017035696</v>
      </c>
      <c r="F5705">
        <v>1.00846045883295</v>
      </c>
      <c r="G5705">
        <v>0.69858907949195104</v>
      </c>
      <c r="H5705">
        <v>0.69381702554839497</v>
      </c>
      <c r="I5705">
        <v>0.59457441538384104</v>
      </c>
      <c r="J5705">
        <v>0.68401026815637</v>
      </c>
      <c r="K5705">
        <v>0.35531676213866298</v>
      </c>
      <c r="L5705">
        <v>252.08578362688201</v>
      </c>
      <c r="M5705">
        <v>3.6933647956368501</v>
      </c>
      <c r="O5705">
        <v>54.561280393453998</v>
      </c>
      <c r="P5705">
        <v>-1.7203019234651701E-2</v>
      </c>
      <c r="Q5705">
        <v>0</v>
      </c>
      <c r="R5705">
        <v>0.60579684498174202</v>
      </c>
      <c r="S5705" t="s">
        <v>12273</v>
      </c>
      <c r="T5705" t="s">
        <v>13134</v>
      </c>
      <c r="U5705" t="s">
        <v>13134</v>
      </c>
      <c r="V5705" t="s">
        <v>13134</v>
      </c>
      <c r="W5705" t="s">
        <v>18773</v>
      </c>
      <c r="X5705">
        <v>2</v>
      </c>
      <c r="Y5705" t="s">
        <v>25135</v>
      </c>
      <c r="Z5705" t="s">
        <v>31673</v>
      </c>
      <c r="AA5705">
        <v>0.75307259346316502</v>
      </c>
      <c r="AB5705" t="str">
        <f>HYPERLINK("Melting_Curves/meltCurve_Q9H9Y4_GPN2.pdf", "Melting_Curves/meltCurve_Q9H9Y4_GPN2.pdf")</f>
        <v>Melting_Curves/meltCurve_Q9H9Y4_GPN2.pdf</v>
      </c>
    </row>
    <row r="5706" spans="1:28" x14ac:dyDescent="0.25">
      <c r="A5706" t="s">
        <v>5710</v>
      </c>
      <c r="B5706">
        <v>0.99472303558308395</v>
      </c>
      <c r="C5706">
        <v>0.87345304363835297</v>
      </c>
      <c r="D5706">
        <v>0.59650907004435205</v>
      </c>
      <c r="E5706">
        <v>0.28248358316342898</v>
      </c>
      <c r="F5706">
        <v>0.17342395083346901</v>
      </c>
      <c r="G5706">
        <v>7.1786361673942006E-2</v>
      </c>
      <c r="H5706">
        <v>4.2708988297401301E-2</v>
      </c>
      <c r="I5706">
        <v>2.78406233567863E-2</v>
      </c>
      <c r="J5706">
        <v>2.6278916250651301E-2</v>
      </c>
      <c r="K5706">
        <v>2.7902805700358701E-2</v>
      </c>
      <c r="L5706">
        <v>762.573173126862</v>
      </c>
      <c r="M5706">
        <v>17.331203190782801</v>
      </c>
      <c r="N5706">
        <v>44.157054308518298</v>
      </c>
      <c r="O5706">
        <v>43.426751631879497</v>
      </c>
      <c r="P5706">
        <v>-9.6796167185256396E-2</v>
      </c>
      <c r="Q5706">
        <v>2.9887930011979199E-2</v>
      </c>
      <c r="R5706">
        <v>0.99727167494439495</v>
      </c>
      <c r="S5706" t="s">
        <v>12274</v>
      </c>
      <c r="T5706" t="s">
        <v>13134</v>
      </c>
      <c r="U5706" t="s">
        <v>13134</v>
      </c>
      <c r="V5706" t="s">
        <v>13134</v>
      </c>
      <c r="W5706" t="s">
        <v>18774</v>
      </c>
      <c r="X5706">
        <v>9</v>
      </c>
      <c r="Y5706" t="s">
        <v>25136</v>
      </c>
      <c r="Z5706" t="s">
        <v>31674</v>
      </c>
      <c r="AA5706">
        <v>0.2739848835882564</v>
      </c>
      <c r="AB5706" t="str">
        <f>HYPERLINK("Melting_Curves/meltCurve_Q9H9Y6_POLR1B.pdf", "Melting_Curves/meltCurve_Q9H9Y6_POLR1B.pdf")</f>
        <v>Melting_Curves/meltCurve_Q9H9Y6_POLR1B.pdf</v>
      </c>
    </row>
    <row r="5707" spans="1:28" x14ac:dyDescent="0.25">
      <c r="A5707" t="s">
        <v>5711</v>
      </c>
      <c r="B5707">
        <v>0.99472303558308395</v>
      </c>
      <c r="C5707">
        <v>1.1662872182055399</v>
      </c>
      <c r="D5707">
        <v>0.98434548756394802</v>
      </c>
      <c r="E5707">
        <v>0.87392162476927104</v>
      </c>
      <c r="F5707">
        <v>0.67368668333883697</v>
      </c>
      <c r="G5707">
        <v>0.50762298892848901</v>
      </c>
      <c r="H5707">
        <v>0.32981636652757601</v>
      </c>
      <c r="I5707">
        <v>0.23378986556143999</v>
      </c>
      <c r="J5707">
        <v>0.29068043928721898</v>
      </c>
      <c r="K5707">
        <v>0.27016836993711701</v>
      </c>
      <c r="L5707">
        <v>922.62462555148795</v>
      </c>
      <c r="M5707">
        <v>18.011861249606699</v>
      </c>
      <c r="N5707">
        <v>53.215159890321303</v>
      </c>
      <c r="O5707">
        <v>50.604287654724999</v>
      </c>
      <c r="P5707">
        <v>-6.7165950518549303E-2</v>
      </c>
      <c r="Q5707">
        <v>0.24522661810169299</v>
      </c>
      <c r="R5707">
        <v>0.96862840961126595</v>
      </c>
      <c r="S5707" t="s">
        <v>12275</v>
      </c>
      <c r="T5707" t="s">
        <v>13134</v>
      </c>
      <c r="U5707" t="s">
        <v>13134</v>
      </c>
      <c r="V5707" t="s">
        <v>13134</v>
      </c>
      <c r="W5707" t="s">
        <v>18775</v>
      </c>
      <c r="X5707">
        <v>3</v>
      </c>
      <c r="Y5707" t="s">
        <v>25137</v>
      </c>
      <c r="Z5707" t="s">
        <v>31675</v>
      </c>
      <c r="AA5707">
        <v>0.61470826205292417</v>
      </c>
      <c r="AB5707" t="str">
        <f>HYPERLINK("Melting_Curves/meltCurve_Q9HA47_3_UCK1.pdf", "Melting_Curves/meltCurve_Q9HA47_3_UCK1.pdf")</f>
        <v>Melting_Curves/meltCurve_Q9HA47_3_UCK1.pdf</v>
      </c>
    </row>
    <row r="5708" spans="1:28" x14ac:dyDescent="0.25">
      <c r="A5708" t="s">
        <v>5712</v>
      </c>
      <c r="B5708">
        <v>0.99472303558308395</v>
      </c>
      <c r="C5708">
        <v>0.91321801033795902</v>
      </c>
      <c r="D5708">
        <v>1.13555045241663</v>
      </c>
      <c r="E5708">
        <v>0.84190848612659397</v>
      </c>
      <c r="F5708">
        <v>0.56130787183782604</v>
      </c>
      <c r="G5708">
        <v>0.57179892590234205</v>
      </c>
      <c r="H5708">
        <v>0.59711811017479999</v>
      </c>
      <c r="I5708">
        <v>0.61952674194294699</v>
      </c>
      <c r="J5708">
        <v>0.96634171722564599</v>
      </c>
      <c r="K5708">
        <v>0.46500372622984198</v>
      </c>
      <c r="L5708">
        <v>11663.612659227299</v>
      </c>
      <c r="M5708">
        <v>250</v>
      </c>
      <c r="O5708">
        <v>46.651465675921301</v>
      </c>
      <c r="P5708">
        <v>-0.49545222178076997</v>
      </c>
      <c r="Q5708">
        <v>0.63018284820756998</v>
      </c>
      <c r="R5708">
        <v>0.63162916326295904</v>
      </c>
      <c r="S5708" t="s">
        <v>12276</v>
      </c>
      <c r="T5708" t="s">
        <v>13134</v>
      </c>
      <c r="U5708" t="s">
        <v>13134</v>
      </c>
      <c r="V5708" t="s">
        <v>13134</v>
      </c>
      <c r="W5708" t="s">
        <v>18776</v>
      </c>
      <c r="X5708">
        <v>8</v>
      </c>
      <c r="Y5708" t="s">
        <v>25138</v>
      </c>
      <c r="Z5708" t="s">
        <v>31676</v>
      </c>
      <c r="AA5708">
        <v>0.74922584259062741</v>
      </c>
      <c r="AB5708" t="str">
        <f>HYPERLINK("Melting_Curves/meltCurve_Q9HA64_FN3KRP.pdf", "Melting_Curves/meltCurve_Q9HA64_FN3KRP.pdf")</f>
        <v>Melting_Curves/meltCurve_Q9HA64_FN3KRP.pdf</v>
      </c>
    </row>
    <row r="5709" spans="1:28" x14ac:dyDescent="0.25">
      <c r="A5709" t="s">
        <v>5713</v>
      </c>
      <c r="B5709">
        <v>0.99472303558308395</v>
      </c>
      <c r="C5709">
        <v>0.95540707386802404</v>
      </c>
      <c r="D5709">
        <v>1.00299678851834</v>
      </c>
      <c r="E5709">
        <v>0.694669924718334</v>
      </c>
      <c r="F5709">
        <v>0.33516784332570998</v>
      </c>
      <c r="G5709">
        <v>0.15972904141245101</v>
      </c>
      <c r="H5709">
        <v>7.0507086706143696E-2</v>
      </c>
      <c r="I5709">
        <v>4.4481482073035698E-2</v>
      </c>
      <c r="J5709">
        <v>3.7849036723598802E-2</v>
      </c>
      <c r="K5709">
        <v>4.44977619230425E-2</v>
      </c>
      <c r="L5709">
        <v>1079.8691913156799</v>
      </c>
      <c r="M5709">
        <v>22.3170428497891</v>
      </c>
      <c r="N5709">
        <v>48.583047015668299</v>
      </c>
      <c r="O5709">
        <v>48.004177361699398</v>
      </c>
      <c r="P5709">
        <v>-0.111238161487397</v>
      </c>
      <c r="Q5709">
        <v>4.2923173318298799E-2</v>
      </c>
      <c r="R5709">
        <v>0.99643746079427498</v>
      </c>
      <c r="S5709" t="s">
        <v>12277</v>
      </c>
      <c r="T5709" t="s">
        <v>13134</v>
      </c>
      <c r="U5709" t="s">
        <v>13134</v>
      </c>
      <c r="V5709" t="s">
        <v>13134</v>
      </c>
      <c r="W5709" t="s">
        <v>18777</v>
      </c>
      <c r="X5709">
        <v>2</v>
      </c>
      <c r="Y5709" t="s">
        <v>25139</v>
      </c>
      <c r="Z5709" t="s">
        <v>31677</v>
      </c>
      <c r="AA5709">
        <v>0.41644672972471442</v>
      </c>
      <c r="AB5709" t="str">
        <f>HYPERLINK("Melting_Curves/meltCurve_Q9HA65_TBC1D17.pdf", "Melting_Curves/meltCurve_Q9HA65_TBC1D17.pdf")</f>
        <v>Melting_Curves/meltCurve_Q9HA65_TBC1D17.pdf</v>
      </c>
    </row>
    <row r="5710" spans="1:28" x14ac:dyDescent="0.25">
      <c r="A5710" t="s">
        <v>5714</v>
      </c>
      <c r="B5710">
        <v>0.99472303558308395</v>
      </c>
      <c r="C5710">
        <v>1.03400224307386</v>
      </c>
      <c r="D5710">
        <v>0.93149915564419805</v>
      </c>
      <c r="E5710">
        <v>0.76395054769868997</v>
      </c>
      <c r="F5710">
        <v>0.62640030603088903</v>
      </c>
      <c r="G5710">
        <v>0.46918966433228898</v>
      </c>
      <c r="H5710">
        <v>0.237706557817671</v>
      </c>
      <c r="I5710">
        <v>0.220428782988559</v>
      </c>
      <c r="J5710">
        <v>0.14353590961851401</v>
      </c>
      <c r="K5710">
        <v>0.13036256704542801</v>
      </c>
      <c r="L5710">
        <v>624.64752806989804</v>
      </c>
      <c r="M5710">
        <v>12.075518863649499</v>
      </c>
      <c r="N5710">
        <v>52.380571926231397</v>
      </c>
      <c r="O5710">
        <v>50.371079817263102</v>
      </c>
      <c r="P5710">
        <v>-5.5762983814458003E-2</v>
      </c>
      <c r="Q5710">
        <v>6.9793737176450502E-2</v>
      </c>
      <c r="R5710">
        <v>0.99162481404534097</v>
      </c>
      <c r="S5710" t="s">
        <v>12278</v>
      </c>
      <c r="T5710" t="s">
        <v>13134</v>
      </c>
      <c r="U5710" t="s">
        <v>13134</v>
      </c>
      <c r="V5710" t="s">
        <v>13134</v>
      </c>
      <c r="W5710" t="s">
        <v>18778</v>
      </c>
      <c r="X5710">
        <v>4</v>
      </c>
      <c r="Y5710" t="s">
        <v>25140</v>
      </c>
      <c r="Z5710" t="s">
        <v>31678</v>
      </c>
      <c r="AA5710">
        <v>0.54906219861841565</v>
      </c>
      <c r="AB5710" t="str">
        <f>HYPERLINK("Melting_Curves/meltCurve_Q9HA77_CARS2.pdf", "Melting_Curves/meltCurve_Q9HA77_CARS2.pdf")</f>
        <v>Melting_Curves/meltCurve_Q9HA77_CARS2.pdf</v>
      </c>
    </row>
    <row r="5711" spans="1:28" x14ac:dyDescent="0.25">
      <c r="A5711" t="s">
        <v>5715</v>
      </c>
      <c r="B5711">
        <v>0.99472303558308395</v>
      </c>
      <c r="C5711">
        <v>0.98082530563438897</v>
      </c>
      <c r="D5711">
        <v>1.0686599652814599</v>
      </c>
      <c r="E5711">
        <v>0.93674504830652505</v>
      </c>
      <c r="F5711">
        <v>0.81275034193414797</v>
      </c>
      <c r="G5711">
        <v>0.60669214768692703</v>
      </c>
      <c r="H5711">
        <v>0.27177464751589198</v>
      </c>
      <c r="I5711">
        <v>0.148097629316533</v>
      </c>
      <c r="J5711">
        <v>0.16075505888463501</v>
      </c>
      <c r="K5711">
        <v>0.194522241216188</v>
      </c>
      <c r="L5711">
        <v>1204.70729396498</v>
      </c>
      <c r="M5711">
        <v>22.451113043269</v>
      </c>
      <c r="N5711">
        <v>54.445434299501201</v>
      </c>
      <c r="O5711">
        <v>53.238859809848996</v>
      </c>
      <c r="P5711">
        <v>-9.0830727607627004E-2</v>
      </c>
      <c r="Q5711">
        <v>0.138461457714045</v>
      </c>
      <c r="R5711">
        <v>0.98842488650864702</v>
      </c>
      <c r="S5711" t="s">
        <v>12279</v>
      </c>
      <c r="T5711" t="s">
        <v>13134</v>
      </c>
      <c r="U5711" t="s">
        <v>13134</v>
      </c>
      <c r="V5711" t="s">
        <v>13134</v>
      </c>
      <c r="W5711" t="s">
        <v>18779</v>
      </c>
      <c r="X5711">
        <v>7</v>
      </c>
      <c r="Y5711" t="s">
        <v>25141</v>
      </c>
      <c r="Z5711" t="s">
        <v>31679</v>
      </c>
      <c r="AA5711">
        <v>0.62584853922266559</v>
      </c>
      <c r="AB5711" t="str">
        <f>HYPERLINK("Melting_Curves/meltCurve_Q9HAB8_PPCS.pdf", "Melting_Curves/meltCurve_Q9HAB8_PPCS.pdf")</f>
        <v>Melting_Curves/meltCurve_Q9HAB8_PPCS.pdf</v>
      </c>
    </row>
    <row r="5712" spans="1:28" x14ac:dyDescent="0.25">
      <c r="A5712" t="s">
        <v>5716</v>
      </c>
      <c r="B5712">
        <v>0.99472303558308395</v>
      </c>
      <c r="C5712">
        <v>0.98616422404870596</v>
      </c>
      <c r="D5712">
        <v>0.89105230680945202</v>
      </c>
      <c r="E5712">
        <v>0.73210476813780401</v>
      </c>
      <c r="F5712">
        <v>0.56896230499265898</v>
      </c>
      <c r="G5712">
        <v>0.542868961525243</v>
      </c>
      <c r="H5712">
        <v>0.419605668963413</v>
      </c>
      <c r="I5712">
        <v>0.66097792760224305</v>
      </c>
      <c r="J5712">
        <v>0.81711476567392105</v>
      </c>
      <c r="K5712">
        <v>0.71226833006129198</v>
      </c>
      <c r="L5712">
        <v>1354.30043264561</v>
      </c>
      <c r="M5712">
        <v>30.408333761062501</v>
      </c>
      <c r="O5712">
        <v>44.345862217165603</v>
      </c>
      <c r="P5712">
        <v>-6.4801874149856706E-2</v>
      </c>
      <c r="Q5712">
        <v>0.62198820053088699</v>
      </c>
      <c r="R5712">
        <v>0.69571824787180303</v>
      </c>
      <c r="S5712" t="s">
        <v>12280</v>
      </c>
      <c r="T5712" t="s">
        <v>13134</v>
      </c>
      <c r="U5712" t="s">
        <v>13134</v>
      </c>
      <c r="V5712" t="s">
        <v>13134</v>
      </c>
      <c r="W5712" t="s">
        <v>18780</v>
      </c>
      <c r="X5712">
        <v>5</v>
      </c>
      <c r="Y5712" t="s">
        <v>25142</v>
      </c>
      <c r="Z5712" t="s">
        <v>31680</v>
      </c>
      <c r="AA5712">
        <v>0.71900968015731581</v>
      </c>
      <c r="AB5712" t="str">
        <f>HYPERLINK("Melting_Curves/meltCurve_Q9HAF1_2_MEAF6.pdf", "Melting_Curves/meltCurve_Q9HAF1_2_MEAF6.pdf")</f>
        <v>Melting_Curves/meltCurve_Q9HAF1_2_MEAF6.pdf</v>
      </c>
    </row>
    <row r="5713" spans="1:28" x14ac:dyDescent="0.25">
      <c r="A5713" t="s">
        <v>5717</v>
      </c>
      <c r="B5713">
        <v>0.99472303558308395</v>
      </c>
      <c r="C5713">
        <v>0.89291764388654205</v>
      </c>
      <c r="D5713">
        <v>0.82943747889255404</v>
      </c>
      <c r="E5713">
        <v>0.49919847739109002</v>
      </c>
      <c r="F5713">
        <v>0.338157951865798</v>
      </c>
      <c r="G5713">
        <v>0.10698161925373501</v>
      </c>
      <c r="H5713">
        <v>0.116179877022364</v>
      </c>
      <c r="I5713">
        <v>6.7801832376234994E-2</v>
      </c>
      <c r="J5713">
        <v>8.9765639498419994E-2</v>
      </c>
      <c r="K5713">
        <v>4.8646376194852597E-2</v>
      </c>
      <c r="L5713">
        <v>712.01462990957396</v>
      </c>
      <c r="M5713">
        <v>15.2603945857353</v>
      </c>
      <c r="N5713">
        <v>46.978740304652803</v>
      </c>
      <c r="O5713">
        <v>45.8784883149686</v>
      </c>
      <c r="P5713">
        <v>-7.9046250461145995E-2</v>
      </c>
      <c r="Q5713">
        <v>4.9518673091692902E-2</v>
      </c>
      <c r="R5713">
        <v>0.99234772375212899</v>
      </c>
      <c r="S5713" t="s">
        <v>12281</v>
      </c>
      <c r="T5713" t="s">
        <v>13134</v>
      </c>
      <c r="U5713" t="s">
        <v>13134</v>
      </c>
      <c r="V5713" t="s">
        <v>13134</v>
      </c>
      <c r="W5713" t="s">
        <v>18781</v>
      </c>
      <c r="X5713">
        <v>1</v>
      </c>
      <c r="Y5713" t="s">
        <v>25143</v>
      </c>
      <c r="Z5713" t="s">
        <v>31681</v>
      </c>
      <c r="AA5713">
        <v>0.37639512602810887</v>
      </c>
      <c r="AB5713" t="str">
        <f>HYPERLINK("Melting_Curves/meltCurve_Q9HAJ7_SAP30L.pdf", "Melting_Curves/meltCurve_Q9HAJ7_SAP30L.pdf")</f>
        <v>Melting_Curves/meltCurve_Q9HAJ7_SAP30L.pdf</v>
      </c>
    </row>
    <row r="5714" spans="1:28" x14ac:dyDescent="0.25">
      <c r="A5714" t="s">
        <v>5718</v>
      </c>
      <c r="B5714">
        <v>0.99472303558308395</v>
      </c>
      <c r="C5714">
        <v>0.95152711753033303</v>
      </c>
      <c r="D5714">
        <v>0.81825567220922102</v>
      </c>
      <c r="E5714">
        <v>0.82473055585433996</v>
      </c>
      <c r="F5714">
        <v>0.84304565164159295</v>
      </c>
      <c r="G5714">
        <v>0.49148673090383799</v>
      </c>
      <c r="H5714">
        <v>0.23685760313557699</v>
      </c>
      <c r="I5714">
        <v>0.20902643668887</v>
      </c>
      <c r="J5714">
        <v>0.25032869075499198</v>
      </c>
      <c r="K5714">
        <v>0.22241765000309099</v>
      </c>
      <c r="L5714">
        <v>978.00434173227495</v>
      </c>
      <c r="M5714">
        <v>18.6862822730197</v>
      </c>
      <c r="N5714">
        <v>53.6313329504056</v>
      </c>
      <c r="O5714">
        <v>51.749733611334399</v>
      </c>
      <c r="P5714">
        <v>-7.3902378282598102E-2</v>
      </c>
      <c r="Q5714">
        <v>0.181374769137852</v>
      </c>
      <c r="R5714">
        <v>0.94055244086230105</v>
      </c>
      <c r="S5714" t="s">
        <v>12282</v>
      </c>
      <c r="T5714" t="s">
        <v>13134</v>
      </c>
      <c r="U5714" t="s">
        <v>13134</v>
      </c>
      <c r="V5714" t="s">
        <v>13134</v>
      </c>
      <c r="W5714" t="s">
        <v>18782</v>
      </c>
      <c r="X5714">
        <v>6</v>
      </c>
      <c r="Y5714" t="s">
        <v>25144</v>
      </c>
      <c r="Z5714" t="s">
        <v>31682</v>
      </c>
      <c r="AA5714">
        <v>0.61152275323996508</v>
      </c>
      <c r="AB5714" t="str">
        <f>HYPERLINK("Melting_Curves/meltCurve_Q9HAN9_NMNAT1.pdf", "Melting_Curves/meltCurve_Q9HAN9_NMNAT1.pdf")</f>
        <v>Melting_Curves/meltCurve_Q9HAN9_NMNAT1.pdf</v>
      </c>
    </row>
    <row r="5715" spans="1:28" x14ac:dyDescent="0.25">
      <c r="A5715" t="s">
        <v>5719</v>
      </c>
      <c r="B5715">
        <v>0.99472303558308395</v>
      </c>
      <c r="C5715">
        <v>1.0320880154609799</v>
      </c>
      <c r="D5715">
        <v>0.94549306428473001</v>
      </c>
      <c r="E5715">
        <v>0.81402424241621896</v>
      </c>
      <c r="F5715">
        <v>0.69462077172268799</v>
      </c>
      <c r="G5715">
        <v>0.28802004735429698</v>
      </c>
      <c r="H5715">
        <v>5.1269409013468097E-2</v>
      </c>
      <c r="I5715">
        <v>1.4569264513564099E-2</v>
      </c>
      <c r="J5715">
        <v>1.49090280714327E-2</v>
      </c>
      <c r="K5715">
        <v>1.9511302673479398E-2</v>
      </c>
      <c r="L5715">
        <v>1096.18032326088</v>
      </c>
      <c r="M5715">
        <v>21.278419583354001</v>
      </c>
      <c r="N5715">
        <v>51.516059225679498</v>
      </c>
      <c r="O5715">
        <v>51.067537426499399</v>
      </c>
      <c r="P5715">
        <v>-0.104170699426942</v>
      </c>
      <c r="Q5715">
        <v>0</v>
      </c>
      <c r="R5715">
        <v>0.99035185313201102</v>
      </c>
      <c r="S5715" t="s">
        <v>12283</v>
      </c>
      <c r="T5715" t="s">
        <v>13134</v>
      </c>
      <c r="U5715" t="s">
        <v>13134</v>
      </c>
      <c r="V5715" t="s">
        <v>13134</v>
      </c>
      <c r="W5715" t="s">
        <v>18783</v>
      </c>
      <c r="X5715">
        <v>1</v>
      </c>
      <c r="Y5715" t="s">
        <v>25145</v>
      </c>
      <c r="Z5715" t="s">
        <v>31683</v>
      </c>
      <c r="AA5715">
        <v>0.49561872596026901</v>
      </c>
      <c r="AB5715" t="str">
        <f>HYPERLINK("Melting_Curves/meltCurve_Q9HAP6_LIN7B.pdf", "Melting_Curves/meltCurve_Q9HAP6_LIN7B.pdf")</f>
        <v>Melting_Curves/meltCurve_Q9HAP6_LIN7B.pdf</v>
      </c>
    </row>
    <row r="5716" spans="1:28" x14ac:dyDescent="0.25">
      <c r="A5716" t="s">
        <v>5720</v>
      </c>
      <c r="B5716">
        <v>0.99472303558308395</v>
      </c>
      <c r="C5716">
        <v>1.0156963142204101</v>
      </c>
      <c r="D5716">
        <v>0.97451009061109495</v>
      </c>
      <c r="E5716">
        <v>0.85528029852936605</v>
      </c>
      <c r="F5716">
        <v>0.66611153076210206</v>
      </c>
      <c r="G5716">
        <v>0.53364163404054599</v>
      </c>
      <c r="H5716">
        <v>0.41541574506194201</v>
      </c>
      <c r="I5716">
        <v>0.42957374915379798</v>
      </c>
      <c r="J5716">
        <v>0.502845250115452</v>
      </c>
      <c r="K5716">
        <v>0.34005214791725202</v>
      </c>
      <c r="L5716">
        <v>926.88228910180601</v>
      </c>
      <c r="M5716">
        <v>18.703393594958801</v>
      </c>
      <c r="N5716">
        <v>54.453284039068897</v>
      </c>
      <c r="O5716">
        <v>49.000811171150303</v>
      </c>
      <c r="P5716">
        <v>-5.6590715452208298E-2</v>
      </c>
      <c r="Q5716">
        <v>0.40697963315825197</v>
      </c>
      <c r="R5716">
        <v>0.97648014434057495</v>
      </c>
      <c r="S5716" t="s">
        <v>12284</v>
      </c>
      <c r="T5716" t="s">
        <v>13134</v>
      </c>
      <c r="U5716" t="s">
        <v>13134</v>
      </c>
      <c r="V5716" t="s">
        <v>13134</v>
      </c>
      <c r="W5716" t="s">
        <v>18784</v>
      </c>
      <c r="X5716">
        <v>2</v>
      </c>
      <c r="Y5716" t="s">
        <v>25146</v>
      </c>
      <c r="Z5716" t="s">
        <v>31684</v>
      </c>
      <c r="AA5716">
        <v>0.66398756774233147</v>
      </c>
      <c r="AB5716" t="str">
        <f>HYPERLINK("Melting_Curves/meltCurve_Q9HAT2_2_SIAE.pdf", "Melting_Curves/meltCurve_Q9HAT2_2_SIAE.pdf")</f>
        <v>Melting_Curves/meltCurve_Q9HAT2_2_SIAE.pdf</v>
      </c>
    </row>
    <row r="5717" spans="1:28" x14ac:dyDescent="0.25">
      <c r="A5717" t="s">
        <v>5721</v>
      </c>
      <c r="B5717">
        <v>0.99472303558308395</v>
      </c>
      <c r="C5717">
        <v>0.88745210169946398</v>
      </c>
      <c r="D5717">
        <v>0.74135497420029295</v>
      </c>
      <c r="E5717">
        <v>0.33837318520279303</v>
      </c>
      <c r="F5717">
        <v>0.12571908270052901</v>
      </c>
      <c r="G5717">
        <v>7.7546507072515702E-2</v>
      </c>
      <c r="H5717">
        <v>4.3390661405224899E-2</v>
      </c>
      <c r="I5717">
        <v>3.1855634515460099E-2</v>
      </c>
      <c r="J5717">
        <v>3.3889033230174601E-2</v>
      </c>
      <c r="K5717">
        <v>2.2667545778412099E-2</v>
      </c>
      <c r="L5717">
        <v>891.72427507082398</v>
      </c>
      <c r="M5717">
        <v>19.849780496348998</v>
      </c>
      <c r="N5717">
        <v>45.055309943732503</v>
      </c>
      <c r="O5717">
        <v>44.475155472255899</v>
      </c>
      <c r="P5717">
        <v>-0.108437037937095</v>
      </c>
      <c r="Q5717">
        <v>2.8182523771992599E-2</v>
      </c>
      <c r="R5717">
        <v>0.99809976407657297</v>
      </c>
      <c r="S5717" t="s">
        <v>12285</v>
      </c>
      <c r="T5717" t="s">
        <v>13134</v>
      </c>
      <c r="U5717" t="s">
        <v>13134</v>
      </c>
      <c r="V5717" t="s">
        <v>13134</v>
      </c>
      <c r="W5717" t="s">
        <v>18785</v>
      </c>
      <c r="X5717">
        <v>10</v>
      </c>
      <c r="Y5717" t="s">
        <v>25147</v>
      </c>
      <c r="Z5717" t="s">
        <v>31685</v>
      </c>
      <c r="AA5717">
        <v>0.2978459757153159</v>
      </c>
      <c r="AB5717" t="str">
        <f>HYPERLINK("Melting_Curves/meltCurve_Q9HAU0_PLEKHA5.pdf", "Melting_Curves/meltCurve_Q9HAU0_PLEKHA5.pdf")</f>
        <v>Melting_Curves/meltCurve_Q9HAU0_PLEKHA5.pdf</v>
      </c>
    </row>
    <row r="5718" spans="1:28" x14ac:dyDescent="0.25">
      <c r="A5718" t="s">
        <v>5722</v>
      </c>
      <c r="B5718">
        <v>0.99472303558308395</v>
      </c>
      <c r="C5718">
        <v>1.02096629606458</v>
      </c>
      <c r="D5718">
        <v>0.84457071353384905</v>
      </c>
      <c r="E5718">
        <v>0.68254690134553997</v>
      </c>
      <c r="F5718">
        <v>0.153609278804689</v>
      </c>
      <c r="G5718">
        <v>7.5559180740851994E-2</v>
      </c>
      <c r="H5718">
        <v>4.9773766569026601E-2</v>
      </c>
      <c r="I5718">
        <v>2.7613524623083401E-2</v>
      </c>
      <c r="J5718">
        <v>4.10978017481348E-2</v>
      </c>
      <c r="K5718">
        <v>4.7887052051519101E-2</v>
      </c>
      <c r="L5718">
        <v>1358.03937461792</v>
      </c>
      <c r="M5718">
        <v>28.642705466912499</v>
      </c>
      <c r="N5718">
        <v>47.534574349646597</v>
      </c>
      <c r="O5718">
        <v>47.183789520478598</v>
      </c>
      <c r="P5718">
        <v>-0.14640680005853299</v>
      </c>
      <c r="Q5718">
        <v>3.5290372609421798E-2</v>
      </c>
      <c r="R5718">
        <v>0.99012911915020396</v>
      </c>
      <c r="S5718" t="s">
        <v>12286</v>
      </c>
      <c r="T5718" t="s">
        <v>13134</v>
      </c>
      <c r="U5718" t="s">
        <v>13134</v>
      </c>
      <c r="V5718" t="s">
        <v>13134</v>
      </c>
      <c r="W5718" t="s">
        <v>18786</v>
      </c>
      <c r="X5718">
        <v>20</v>
      </c>
      <c r="Y5718" t="s">
        <v>25148</v>
      </c>
      <c r="Z5718" t="s">
        <v>31686</v>
      </c>
      <c r="AA5718">
        <v>0.37634767866491958</v>
      </c>
      <c r="AB5718" t="str">
        <f>HYPERLINK("Melting_Curves/meltCurve_Q9HAU5_UPF2.pdf", "Melting_Curves/meltCurve_Q9HAU5_UPF2.pdf")</f>
        <v>Melting_Curves/meltCurve_Q9HAU5_UPF2.pdf</v>
      </c>
    </row>
    <row r="5719" spans="1:28" x14ac:dyDescent="0.25">
      <c r="A5719" t="s">
        <v>5723</v>
      </c>
      <c r="B5719">
        <v>0.99472303558308395</v>
      </c>
      <c r="C5719">
        <v>1.1105558733624801</v>
      </c>
      <c r="D5719">
        <v>1.02134999127681</v>
      </c>
      <c r="E5719">
        <v>0.85981107556407399</v>
      </c>
      <c r="F5719">
        <v>0.69262254827433001</v>
      </c>
      <c r="G5719">
        <v>0.53045547951272798</v>
      </c>
      <c r="H5719">
        <v>0.118736502715308</v>
      </c>
      <c r="I5719">
        <v>6.3245970741766605E-2</v>
      </c>
      <c r="J5719">
        <v>4.11148539575108E-2</v>
      </c>
      <c r="K5719">
        <v>4.9275096428217202E-2</v>
      </c>
      <c r="L5719">
        <v>947.51609034774197</v>
      </c>
      <c r="M5719">
        <v>17.894219991190901</v>
      </c>
      <c r="N5719">
        <v>52.950957947502097</v>
      </c>
      <c r="O5719">
        <v>52.302928901255299</v>
      </c>
      <c r="P5719">
        <v>-8.5535934792152393E-2</v>
      </c>
      <c r="Q5719">
        <v>0</v>
      </c>
      <c r="R5719">
        <v>0.97926953751970702</v>
      </c>
      <c r="S5719" t="s">
        <v>12287</v>
      </c>
      <c r="T5719" t="s">
        <v>13134</v>
      </c>
      <c r="U5719" t="s">
        <v>13134</v>
      </c>
      <c r="V5719" t="s">
        <v>13134</v>
      </c>
      <c r="W5719" t="s">
        <v>18787</v>
      </c>
      <c r="X5719">
        <v>10</v>
      </c>
      <c r="Y5719" t="s">
        <v>25149</v>
      </c>
      <c r="Z5719" t="s">
        <v>31687</v>
      </c>
      <c r="AA5719">
        <v>0.54638396931701938</v>
      </c>
      <c r="AB5719" t="str">
        <f>HYPERLINK("Melting_Curves/meltCurve_Q9HAV0_GNB4.pdf", "Melting_Curves/meltCurve_Q9HAV0_GNB4.pdf")</f>
        <v>Melting_Curves/meltCurve_Q9HAV0_GNB4.pdf</v>
      </c>
    </row>
    <row r="5720" spans="1:28" x14ac:dyDescent="0.25">
      <c r="A5720" t="s">
        <v>5724</v>
      </c>
      <c r="B5720">
        <v>0.99472303558308395</v>
      </c>
      <c r="C5720">
        <v>0.88178955751573296</v>
      </c>
      <c r="D5720">
        <v>0.928657616912825</v>
      </c>
      <c r="E5720">
        <v>0.68415750580342904</v>
      </c>
      <c r="F5720">
        <v>0.14067888727922001</v>
      </c>
      <c r="G5720">
        <v>7.6655098605107205E-2</v>
      </c>
      <c r="H5720">
        <v>4.62126570369807E-2</v>
      </c>
      <c r="I5720">
        <v>3.27342981476735E-2</v>
      </c>
      <c r="J5720">
        <v>4.0601876122604803E-2</v>
      </c>
      <c r="K5720">
        <v>3.6404135239965801E-2</v>
      </c>
      <c r="L5720">
        <v>1672.48820113328</v>
      </c>
      <c r="M5720">
        <v>35.245991583618299</v>
      </c>
      <c r="N5720">
        <v>47.564454017268197</v>
      </c>
      <c r="O5720">
        <v>47.299908685016902</v>
      </c>
      <c r="P5720">
        <v>-0.17883360274682999</v>
      </c>
      <c r="Q5720">
        <v>4.0029093022430101E-2</v>
      </c>
      <c r="R5720">
        <v>0.98952577412949805</v>
      </c>
      <c r="S5720" t="s">
        <v>12288</v>
      </c>
      <c r="T5720" t="s">
        <v>13134</v>
      </c>
      <c r="U5720" t="s">
        <v>13134</v>
      </c>
      <c r="V5720" t="s">
        <v>13134</v>
      </c>
      <c r="W5720" t="s">
        <v>18788</v>
      </c>
      <c r="X5720">
        <v>42</v>
      </c>
      <c r="Y5720" t="s">
        <v>25150</v>
      </c>
      <c r="Z5720" t="s">
        <v>31688</v>
      </c>
      <c r="AA5720">
        <v>0.37854381795970288</v>
      </c>
      <c r="AB5720" t="str">
        <f>HYPERLINK("Melting_Curves/meltCurve_Q9HAV4_XPO5.pdf", "Melting_Curves/meltCurve_Q9HAV4_XPO5.pdf")</f>
        <v>Melting_Curves/meltCurve_Q9HAV4_XPO5.pdf</v>
      </c>
    </row>
    <row r="5721" spans="1:28" x14ac:dyDescent="0.25">
      <c r="A5721" t="s">
        <v>5725</v>
      </c>
      <c r="B5721">
        <v>0.99472303558308395</v>
      </c>
      <c r="C5721">
        <v>0.96848082792424195</v>
      </c>
      <c r="D5721">
        <v>1.03168474872113</v>
      </c>
      <c r="E5721">
        <v>0.91317157207059796</v>
      </c>
      <c r="F5721">
        <v>0.58963889028161298</v>
      </c>
      <c r="G5721">
        <v>0.164795152012364</v>
      </c>
      <c r="H5721">
        <v>7.5314764866865905E-2</v>
      </c>
      <c r="I5721">
        <v>5.2584645828610999E-2</v>
      </c>
      <c r="J5721">
        <v>6.1404297099412003E-2</v>
      </c>
      <c r="K5721">
        <v>5.4774992498644398E-2</v>
      </c>
      <c r="L5721">
        <v>1579.06842869096</v>
      </c>
      <c r="M5721">
        <v>31.2336224418227</v>
      </c>
      <c r="N5721">
        <v>50.735264865161902</v>
      </c>
      <c r="O5721">
        <v>50.350808689106003</v>
      </c>
      <c r="P5721">
        <v>-0.147008156489881</v>
      </c>
      <c r="Q5721">
        <v>5.2055354715718601E-2</v>
      </c>
      <c r="R5721">
        <v>0.99821053620919398</v>
      </c>
      <c r="S5721" t="s">
        <v>12289</v>
      </c>
      <c r="T5721" t="s">
        <v>13134</v>
      </c>
      <c r="U5721" t="s">
        <v>13134</v>
      </c>
      <c r="V5721" t="s">
        <v>13134</v>
      </c>
      <c r="W5721" t="s">
        <v>18789</v>
      </c>
      <c r="X5721">
        <v>17</v>
      </c>
      <c r="Y5721" t="s">
        <v>25151</v>
      </c>
      <c r="Z5721" t="s">
        <v>31689</v>
      </c>
      <c r="AA5721">
        <v>0.48584190171007519</v>
      </c>
      <c r="AB5721" t="str">
        <f>HYPERLINK("Melting_Curves/meltCurve_Q9HAV7_GRPEL1.pdf", "Melting_Curves/meltCurve_Q9HAV7_GRPEL1.pdf")</f>
        <v>Melting_Curves/meltCurve_Q9HAV7_GRPEL1.pdf</v>
      </c>
    </row>
    <row r="5722" spans="1:28" x14ac:dyDescent="0.25">
      <c r="A5722" t="s">
        <v>5726</v>
      </c>
      <c r="B5722">
        <v>0.99472303558308395</v>
      </c>
      <c r="C5722">
        <v>0.96667955023917496</v>
      </c>
      <c r="D5722">
        <v>0.89279699708712201</v>
      </c>
      <c r="E5722">
        <v>0.74724787165099504</v>
      </c>
      <c r="F5722">
        <v>0.59705127231265798</v>
      </c>
      <c r="G5722">
        <v>0.41227469673088901</v>
      </c>
      <c r="H5722">
        <v>0.28644982564362897</v>
      </c>
      <c r="I5722">
        <v>0.28072515380537999</v>
      </c>
      <c r="J5722">
        <v>0.38267762290718998</v>
      </c>
      <c r="K5722">
        <v>0.33534112870867799</v>
      </c>
      <c r="L5722">
        <v>765.81221334012503</v>
      </c>
      <c r="M5722">
        <v>15.826260272930901</v>
      </c>
      <c r="N5722">
        <v>51.384350863382998</v>
      </c>
      <c r="O5722">
        <v>47.635896147379299</v>
      </c>
      <c r="P5722">
        <v>-5.8040306177377897E-2</v>
      </c>
      <c r="Q5722">
        <v>0.30126874733754</v>
      </c>
      <c r="R5722">
        <v>0.98050742827902304</v>
      </c>
      <c r="S5722" t="s">
        <v>12290</v>
      </c>
      <c r="T5722" t="s">
        <v>13134</v>
      </c>
      <c r="U5722" t="s">
        <v>13134</v>
      </c>
      <c r="V5722" t="s">
        <v>13134</v>
      </c>
      <c r="W5722" t="s">
        <v>18790</v>
      </c>
      <c r="X5722">
        <v>18</v>
      </c>
      <c r="Y5722" t="s">
        <v>25152</v>
      </c>
      <c r="Z5722" t="s">
        <v>31690</v>
      </c>
      <c r="AA5722">
        <v>0.5804762625399692</v>
      </c>
      <c r="AB5722" t="str">
        <f>HYPERLINK("Melting_Curves/meltCurve_Q9HAW4_CLSPN.pdf", "Melting_Curves/meltCurve_Q9HAW4_CLSPN.pdf")</f>
        <v>Melting_Curves/meltCurve_Q9HAW4_CLSPN.pdf</v>
      </c>
    </row>
    <row r="5723" spans="1:28" x14ac:dyDescent="0.25">
      <c r="A5723" t="s">
        <v>5727</v>
      </c>
      <c r="B5723">
        <v>0.99472303558308395</v>
      </c>
      <c r="C5723">
        <v>0.91047982753724999</v>
      </c>
      <c r="D5723">
        <v>0.85881231958237902</v>
      </c>
      <c r="E5723">
        <v>0.56373146784334005</v>
      </c>
      <c r="F5723">
        <v>0.33572569470105301</v>
      </c>
      <c r="G5723">
        <v>0.17320412607681099</v>
      </c>
      <c r="H5723">
        <v>0.10379000657786901</v>
      </c>
      <c r="I5723">
        <v>9.83413009832768E-2</v>
      </c>
      <c r="J5723">
        <v>0.110319453775184</v>
      </c>
      <c r="K5723">
        <v>7.65637199770344E-2</v>
      </c>
      <c r="L5723">
        <v>760.424690695506</v>
      </c>
      <c r="M5723">
        <v>16.1572053178216</v>
      </c>
      <c r="N5723">
        <v>47.539606126915601</v>
      </c>
      <c r="O5723">
        <v>46.360870242086499</v>
      </c>
      <c r="P5723">
        <v>-8.0632887423496793E-2</v>
      </c>
      <c r="Q5723">
        <v>7.4609959299181197E-2</v>
      </c>
      <c r="R5723">
        <v>0.99713668383390297</v>
      </c>
      <c r="S5723" t="s">
        <v>12291</v>
      </c>
      <c r="T5723" t="s">
        <v>13134</v>
      </c>
      <c r="U5723" t="s">
        <v>13134</v>
      </c>
      <c r="V5723" t="s">
        <v>13134</v>
      </c>
      <c r="W5723" t="s">
        <v>18791</v>
      </c>
      <c r="X5723">
        <v>5</v>
      </c>
      <c r="Y5723" t="s">
        <v>25153</v>
      </c>
      <c r="Z5723" t="s">
        <v>31691</v>
      </c>
      <c r="AA5723">
        <v>0.40323274130092718</v>
      </c>
      <c r="AB5723" t="str">
        <f>HYPERLINK("Melting_Curves/meltCurve_Q9HB09_BCL2L12.pdf", "Melting_Curves/meltCurve_Q9HB09_BCL2L12.pdf")</f>
        <v>Melting_Curves/meltCurve_Q9HB09_BCL2L12.pdf</v>
      </c>
    </row>
    <row r="5724" spans="1:28" x14ac:dyDescent="0.25">
      <c r="A5724" t="s">
        <v>5728</v>
      </c>
      <c r="B5724">
        <v>0.99472303558308395</v>
      </c>
      <c r="C5724">
        <v>0.89457701662192701</v>
      </c>
      <c r="D5724">
        <v>0.71229155392234</v>
      </c>
      <c r="E5724">
        <v>0.326190839376441</v>
      </c>
      <c r="F5724">
        <v>0.26363846103868299</v>
      </c>
      <c r="G5724">
        <v>0.16187698496601799</v>
      </c>
      <c r="H5724">
        <v>7.8250263112129403E-2</v>
      </c>
      <c r="I5724">
        <v>6.5471250999225197E-2</v>
      </c>
      <c r="J5724">
        <v>8.9445196703729996E-2</v>
      </c>
      <c r="K5724">
        <v>4.5443555699873503E-2</v>
      </c>
      <c r="L5724">
        <v>740.91182701694902</v>
      </c>
      <c r="M5724">
        <v>16.542846966165602</v>
      </c>
      <c r="N5724">
        <v>45.206702671348403</v>
      </c>
      <c r="O5724">
        <v>44.148326596548301</v>
      </c>
      <c r="P5724">
        <v>-8.7021584096766399E-2</v>
      </c>
      <c r="Q5724">
        <v>7.1116829866727196E-2</v>
      </c>
      <c r="R5724">
        <v>0.99033368570907798</v>
      </c>
      <c r="S5724" t="s">
        <v>12292</v>
      </c>
      <c r="T5724" t="s">
        <v>13134</v>
      </c>
      <c r="U5724" t="s">
        <v>13134</v>
      </c>
      <c r="V5724" t="s">
        <v>13134</v>
      </c>
      <c r="W5724" t="s">
        <v>18792</v>
      </c>
      <c r="X5724">
        <v>2</v>
      </c>
      <c r="Y5724" t="s">
        <v>25154</v>
      </c>
      <c r="Z5724" t="s">
        <v>31692</v>
      </c>
      <c r="AA5724">
        <v>0.33047372607666042</v>
      </c>
      <c r="AB5724" t="str">
        <f>HYPERLINK("Melting_Curves/meltCurve_Q9HB19_PLEKHA2.pdf", "Melting_Curves/meltCurve_Q9HB19_PLEKHA2.pdf")</f>
        <v>Melting_Curves/meltCurve_Q9HB19_PLEKHA2.pdf</v>
      </c>
    </row>
    <row r="5725" spans="1:28" x14ac:dyDescent="0.25">
      <c r="A5725" t="s">
        <v>5729</v>
      </c>
      <c r="B5725">
        <v>0.99472303558308395</v>
      </c>
      <c r="C5725">
        <v>0.97803185211786403</v>
      </c>
      <c r="D5725">
        <v>0.91980228334468095</v>
      </c>
      <c r="E5725">
        <v>0.79271942341692703</v>
      </c>
      <c r="F5725">
        <v>0.73098996340851297</v>
      </c>
      <c r="G5725">
        <v>0.49721609064264899</v>
      </c>
      <c r="H5725">
        <v>0.41806882636002302</v>
      </c>
      <c r="I5725">
        <v>0.38727773647358299</v>
      </c>
      <c r="J5725">
        <v>0.32617788976324502</v>
      </c>
      <c r="K5725">
        <v>0.22462978073437201</v>
      </c>
      <c r="L5725">
        <v>512.58242745730695</v>
      </c>
      <c r="M5725">
        <v>9.7334837361499904</v>
      </c>
      <c r="N5725">
        <v>55.079088620257203</v>
      </c>
      <c r="O5725">
        <v>50.583144339926399</v>
      </c>
      <c r="P5725">
        <v>-3.9765523113150097E-2</v>
      </c>
      <c r="Q5725">
        <v>0.17382881628980701</v>
      </c>
      <c r="R5725">
        <v>0.98719040691511495</v>
      </c>
      <c r="S5725" t="s">
        <v>12293</v>
      </c>
      <c r="T5725" t="s">
        <v>13134</v>
      </c>
      <c r="U5725" t="s">
        <v>13134</v>
      </c>
      <c r="V5725" t="s">
        <v>13134</v>
      </c>
      <c r="W5725" t="s">
        <v>18793</v>
      </c>
      <c r="X5725">
        <v>2</v>
      </c>
      <c r="Y5725" t="s">
        <v>25155</v>
      </c>
      <c r="Z5725" t="s">
        <v>31693</v>
      </c>
      <c r="AA5725">
        <v>0.62500707592446536</v>
      </c>
      <c r="AB5725" t="str">
        <f>HYPERLINK("Melting_Curves/meltCurve_Q9HB40_SCPEP1.pdf", "Melting_Curves/meltCurve_Q9HB40_SCPEP1.pdf")</f>
        <v>Melting_Curves/meltCurve_Q9HB40_SCPEP1.pdf</v>
      </c>
    </row>
    <row r="5726" spans="1:28" x14ac:dyDescent="0.25">
      <c r="A5726" t="s">
        <v>5730</v>
      </c>
      <c r="B5726">
        <v>0.99472303558308395</v>
      </c>
      <c r="C5726">
        <v>0.90306614833710797</v>
      </c>
      <c r="D5726">
        <v>0.97690385332853802</v>
      </c>
      <c r="E5726">
        <v>0.83308812838044599</v>
      </c>
      <c r="F5726">
        <v>0.54046026951514403</v>
      </c>
      <c r="G5726">
        <v>0.26336102814330598</v>
      </c>
      <c r="H5726">
        <v>7.0864160436084594E-2</v>
      </c>
      <c r="I5726">
        <v>4.42303319255056E-2</v>
      </c>
      <c r="J5726">
        <v>4.4714358407822001E-2</v>
      </c>
      <c r="K5726">
        <v>4.0829066475234502E-2</v>
      </c>
      <c r="L5726">
        <v>976.17333328477105</v>
      </c>
      <c r="M5726">
        <v>19.3289004929849</v>
      </c>
      <c r="N5726">
        <v>50.596540679841702</v>
      </c>
      <c r="O5726">
        <v>49.972058446612799</v>
      </c>
      <c r="P5726">
        <v>-9.5010288348482297E-2</v>
      </c>
      <c r="Q5726">
        <v>1.74957487331572E-2</v>
      </c>
      <c r="R5726">
        <v>0.99359132128723804</v>
      </c>
      <c r="S5726" t="s">
        <v>12294</v>
      </c>
      <c r="T5726" t="s">
        <v>13134</v>
      </c>
      <c r="U5726" t="s">
        <v>13134</v>
      </c>
      <c r="V5726" t="s">
        <v>13134</v>
      </c>
      <c r="W5726" t="s">
        <v>18794</v>
      </c>
      <c r="X5726">
        <v>25</v>
      </c>
      <c r="Y5726" t="s">
        <v>25156</v>
      </c>
      <c r="Z5726" t="s">
        <v>31694</v>
      </c>
      <c r="AA5726">
        <v>0.47341010738677702</v>
      </c>
      <c r="AB5726" t="str">
        <f>HYPERLINK("Melting_Curves/meltCurve_Q9HB71_CACYBP.pdf", "Melting_Curves/meltCurve_Q9HB71_CACYBP.pdf")</f>
        <v>Melting_Curves/meltCurve_Q9HB71_CACYBP.pdf</v>
      </c>
    </row>
    <row r="5727" spans="1:28" x14ac:dyDescent="0.25">
      <c r="A5727" t="s">
        <v>5731</v>
      </c>
      <c r="B5727">
        <v>0.99472303558308395</v>
      </c>
      <c r="C5727">
        <v>1.07630204114215</v>
      </c>
      <c r="D5727">
        <v>0.88980950485323396</v>
      </c>
      <c r="E5727">
        <v>0.81060995091453703</v>
      </c>
      <c r="F5727">
        <v>0.66655887598489705</v>
      </c>
      <c r="G5727">
        <v>0.42931821011975602</v>
      </c>
      <c r="H5727">
        <v>0.34135328508896101</v>
      </c>
      <c r="I5727">
        <v>0.29876209084757999</v>
      </c>
      <c r="J5727">
        <v>0.326051742119779</v>
      </c>
      <c r="K5727">
        <v>0.22562027422846401</v>
      </c>
      <c r="L5727">
        <v>736.88270108574704</v>
      </c>
      <c r="M5727">
        <v>14.635474331902399</v>
      </c>
      <c r="N5727">
        <v>52.751615622607602</v>
      </c>
      <c r="O5727">
        <v>49.4370785123389</v>
      </c>
      <c r="P5727">
        <v>-5.6012666139673199E-2</v>
      </c>
      <c r="Q5727">
        <v>0.24326453689793401</v>
      </c>
      <c r="R5727">
        <v>0.98079688957278099</v>
      </c>
      <c r="S5727" t="s">
        <v>12295</v>
      </c>
      <c r="T5727" t="s">
        <v>13134</v>
      </c>
      <c r="U5727" t="s">
        <v>13134</v>
      </c>
      <c r="V5727" t="s">
        <v>13134</v>
      </c>
      <c r="W5727" t="s">
        <v>18795</v>
      </c>
      <c r="X5727">
        <v>6</v>
      </c>
      <c r="Y5727" t="s">
        <v>25157</v>
      </c>
      <c r="Z5727" t="s">
        <v>31695</v>
      </c>
      <c r="AA5727">
        <v>0.59616097329516171</v>
      </c>
      <c r="AB5727" t="str">
        <f>HYPERLINK("Melting_Curves/meltCurve_Q9HB90_RRAGC.pdf", "Melting_Curves/meltCurve_Q9HB90_RRAGC.pdf")</f>
        <v>Melting_Curves/meltCurve_Q9HB90_RRAGC.pdf</v>
      </c>
    </row>
    <row r="5728" spans="1:28" x14ac:dyDescent="0.25">
      <c r="A5728" t="s">
        <v>5732</v>
      </c>
      <c r="B5728">
        <v>0.99472303558308395</v>
      </c>
      <c r="C5728">
        <v>0.83673133178547099</v>
      </c>
      <c r="D5728">
        <v>0.54330019119010098</v>
      </c>
      <c r="E5728">
        <v>0.24045415164108999</v>
      </c>
      <c r="F5728">
        <v>0.12898211730806899</v>
      </c>
      <c r="G5728">
        <v>7.7592523496280305E-2</v>
      </c>
      <c r="H5728">
        <v>5.1452928360691097E-2</v>
      </c>
      <c r="I5728">
        <v>3.9607040509436801E-2</v>
      </c>
      <c r="J5728">
        <v>4.6286885917869301E-2</v>
      </c>
      <c r="K5728">
        <v>3.6726934631671503E-2</v>
      </c>
      <c r="L5728">
        <v>816.86662190898096</v>
      </c>
      <c r="M5728">
        <v>18.8768757877979</v>
      </c>
      <c r="N5728">
        <v>43.490683144822903</v>
      </c>
      <c r="O5728">
        <v>42.796536306228802</v>
      </c>
      <c r="P5728">
        <v>-0.10531318456765699</v>
      </c>
      <c r="Q5728">
        <v>4.4999706327729497E-2</v>
      </c>
      <c r="R5728">
        <v>0.99854952575286904</v>
      </c>
      <c r="S5728" t="s">
        <v>12296</v>
      </c>
      <c r="T5728" t="s">
        <v>13134</v>
      </c>
      <c r="U5728" t="s">
        <v>13134</v>
      </c>
      <c r="V5728" t="s">
        <v>13134</v>
      </c>
      <c r="W5728" t="s">
        <v>18796</v>
      </c>
      <c r="X5728">
        <v>34</v>
      </c>
      <c r="Y5728" t="s">
        <v>25158</v>
      </c>
      <c r="Z5728" t="s">
        <v>31696</v>
      </c>
      <c r="AA5728">
        <v>0.25965660288207992</v>
      </c>
      <c r="AB5728" t="str">
        <f>HYPERLINK("Melting_Curves/meltCurve_Q9HBD4_SMARCA4.pdf", "Melting_Curves/meltCurve_Q9HBD4_SMARCA4.pdf")</f>
        <v>Melting_Curves/meltCurve_Q9HBD4_SMARCA4.pdf</v>
      </c>
    </row>
    <row r="5729" spans="1:28" x14ac:dyDescent="0.25">
      <c r="A5729" t="s">
        <v>5733</v>
      </c>
      <c r="B5729">
        <v>0.99472303558308395</v>
      </c>
      <c r="C5729">
        <v>1.01071359793856</v>
      </c>
      <c r="D5729">
        <v>0.84838730666976003</v>
      </c>
      <c r="E5729">
        <v>0.64557737771768298</v>
      </c>
      <c r="F5729">
        <v>0.38269030875139298</v>
      </c>
      <c r="G5729">
        <v>0.15310663320627399</v>
      </c>
      <c r="H5729">
        <v>0.131437540046832</v>
      </c>
      <c r="I5729">
        <v>7.7125373113815704E-2</v>
      </c>
      <c r="J5729">
        <v>0.101590686941452</v>
      </c>
      <c r="K5729">
        <v>8.9937113308974706E-2</v>
      </c>
      <c r="L5729">
        <v>827.60085684964895</v>
      </c>
      <c r="M5729">
        <v>17.304937960641599</v>
      </c>
      <c r="N5729">
        <v>48.268575841703502</v>
      </c>
      <c r="O5729">
        <v>47.199586488226302</v>
      </c>
      <c r="P5729">
        <v>-8.4918709509315599E-2</v>
      </c>
      <c r="Q5729">
        <v>7.3582634210830805E-2</v>
      </c>
      <c r="R5729">
        <v>0.99584645524660897</v>
      </c>
      <c r="S5729" t="s">
        <v>12297</v>
      </c>
      <c r="T5729" t="s">
        <v>13134</v>
      </c>
      <c r="U5729" t="s">
        <v>13134</v>
      </c>
      <c r="V5729" t="s">
        <v>13134</v>
      </c>
      <c r="W5729" t="s">
        <v>18797</v>
      </c>
      <c r="X5729">
        <v>7</v>
      </c>
      <c r="Y5729" t="s">
        <v>25159</v>
      </c>
      <c r="Z5729" t="s">
        <v>31697</v>
      </c>
      <c r="AA5729">
        <v>0.42377627360677672</v>
      </c>
      <c r="AB5729" t="str">
        <f>HYPERLINK("Melting_Curves/meltCurve_Q9HBH1_PDF.pdf", "Melting_Curves/meltCurve_Q9HBH1_PDF.pdf")</f>
        <v>Melting_Curves/meltCurve_Q9HBH1_PDF.pdf</v>
      </c>
    </row>
    <row r="5730" spans="1:28" x14ac:dyDescent="0.25">
      <c r="A5730" t="s">
        <v>5734</v>
      </c>
      <c r="B5730">
        <v>0.99472303558308395</v>
      </c>
      <c r="C5730">
        <v>1.0115891493275799</v>
      </c>
      <c r="D5730">
        <v>1.03278006839345</v>
      </c>
      <c r="E5730">
        <v>0.95950183839506298</v>
      </c>
      <c r="F5730">
        <v>0.49658112436739799</v>
      </c>
      <c r="G5730">
        <v>0.13405918992876201</v>
      </c>
      <c r="H5730">
        <v>6.5552034653112698E-2</v>
      </c>
      <c r="I5730">
        <v>6.5444075384021805E-2</v>
      </c>
      <c r="J5730">
        <v>7.0850128193847894E-2</v>
      </c>
      <c r="K5730">
        <v>4.5098509836562398E-2</v>
      </c>
      <c r="L5730">
        <v>1942.66609615783</v>
      </c>
      <c r="M5730">
        <v>38.823615204675399</v>
      </c>
      <c r="N5730">
        <v>50.210759287543802</v>
      </c>
      <c r="O5730">
        <v>49.906057757961399</v>
      </c>
      <c r="P5730">
        <v>-0.18234067804984999</v>
      </c>
      <c r="Q5730">
        <v>6.2438468579164498E-2</v>
      </c>
      <c r="R5730">
        <v>0.99892683733339505</v>
      </c>
      <c r="S5730" t="s">
        <v>12298</v>
      </c>
      <c r="T5730" t="s">
        <v>13134</v>
      </c>
      <c r="U5730" t="s">
        <v>13134</v>
      </c>
      <c r="V5730" t="s">
        <v>13134</v>
      </c>
      <c r="W5730" t="s">
        <v>18798</v>
      </c>
      <c r="X5730">
        <v>9</v>
      </c>
      <c r="Y5730" t="s">
        <v>25160</v>
      </c>
      <c r="Z5730" t="s">
        <v>31698</v>
      </c>
      <c r="AA5730">
        <v>0.47335183011443249</v>
      </c>
      <c r="AB5730" t="str">
        <f>HYPERLINK("Melting_Curves/meltCurve_Q9HBH5_RDH14.pdf", "Melting_Curves/meltCurve_Q9HBH5_RDH14.pdf")</f>
        <v>Melting_Curves/meltCurve_Q9HBH5_RDH14.pdf</v>
      </c>
    </row>
    <row r="5731" spans="1:28" x14ac:dyDescent="0.25">
      <c r="A5731" t="s">
        <v>5735</v>
      </c>
      <c r="B5731">
        <v>0.99472303558308395</v>
      </c>
      <c r="C5731">
        <v>0.97176031191359902</v>
      </c>
      <c r="D5731">
        <v>0.85311439373075104</v>
      </c>
      <c r="E5731">
        <v>0.658740721392022</v>
      </c>
      <c r="F5731">
        <v>0.29374043619123202</v>
      </c>
      <c r="G5731">
        <v>9.2463958820478601E-2</v>
      </c>
      <c r="H5731">
        <v>5.1396313630900997E-2</v>
      </c>
      <c r="I5731">
        <v>3.32136175281844E-2</v>
      </c>
      <c r="J5731">
        <v>3.4165269651763801E-2</v>
      </c>
      <c r="K5731">
        <v>3.05048307478906E-2</v>
      </c>
      <c r="L5731">
        <v>917.98422237253601</v>
      </c>
      <c r="M5731">
        <v>19.205198155152701</v>
      </c>
      <c r="N5731">
        <v>47.881435620318399</v>
      </c>
      <c r="O5731">
        <v>47.289559529251797</v>
      </c>
      <c r="P5731">
        <v>-9.9877384242538003E-2</v>
      </c>
      <c r="Q5731">
        <v>1.63130263380377E-2</v>
      </c>
      <c r="R5731">
        <v>0.99752722564387997</v>
      </c>
      <c r="S5731" t="s">
        <v>12299</v>
      </c>
      <c r="T5731" t="s">
        <v>13134</v>
      </c>
      <c r="U5731" t="s">
        <v>13134</v>
      </c>
      <c r="V5731" t="s">
        <v>13134</v>
      </c>
      <c r="W5731" t="s">
        <v>18799</v>
      </c>
      <c r="X5731">
        <v>5</v>
      </c>
      <c r="Y5731" t="s">
        <v>25161</v>
      </c>
      <c r="Z5731" t="s">
        <v>31699</v>
      </c>
      <c r="AA5731">
        <v>0.38434469377072322</v>
      </c>
      <c r="AB5731" t="str">
        <f>HYPERLINK("Melting_Curves/meltCurve_Q9HBI1_PARVB.pdf", "Melting_Curves/meltCurve_Q9HBI1_PARVB.pdf")</f>
        <v>Melting_Curves/meltCurve_Q9HBI1_PARVB.pdf</v>
      </c>
    </row>
    <row r="5732" spans="1:28" x14ac:dyDescent="0.25">
      <c r="A5732" t="s">
        <v>5736</v>
      </c>
      <c r="B5732">
        <v>0.99472303558308395</v>
      </c>
      <c r="C5732">
        <v>1.2003832153420599</v>
      </c>
      <c r="D5732">
        <v>0.89748288800210496</v>
      </c>
      <c r="E5732">
        <v>0.84606138120339802</v>
      </c>
      <c r="F5732">
        <v>0.66229760161123497</v>
      </c>
      <c r="G5732">
        <v>0.40893057562871299</v>
      </c>
      <c r="H5732">
        <v>0.19577025940165099</v>
      </c>
      <c r="I5732">
        <v>0.133062818391426</v>
      </c>
      <c r="J5732">
        <v>0.140276032194001</v>
      </c>
      <c r="K5732">
        <v>0.208064370334715</v>
      </c>
      <c r="L5732">
        <v>938.74828676147297</v>
      </c>
      <c r="M5732">
        <v>18.347244200056799</v>
      </c>
      <c r="N5732">
        <v>52.0308191246014</v>
      </c>
      <c r="O5732">
        <v>50.569411455512302</v>
      </c>
      <c r="P5732">
        <v>-7.8781927743289001E-2</v>
      </c>
      <c r="Q5732">
        <v>0.13147208892579301</v>
      </c>
      <c r="R5732">
        <v>0.95993977774122297</v>
      </c>
      <c r="S5732" t="s">
        <v>12300</v>
      </c>
      <c r="T5732" t="s">
        <v>13134</v>
      </c>
      <c r="U5732" t="s">
        <v>13134</v>
      </c>
      <c r="V5732" t="s">
        <v>13134</v>
      </c>
      <c r="W5732" t="s">
        <v>18800</v>
      </c>
      <c r="X5732">
        <v>1</v>
      </c>
      <c r="Y5732" t="s">
        <v>25162</v>
      </c>
      <c r="Z5732" t="s">
        <v>31700</v>
      </c>
      <c r="AA5732">
        <v>0.55461486172389229</v>
      </c>
      <c r="AB5732" t="str">
        <f>HYPERLINK("Melting_Curves/meltCurve_Q9HBL7_PLGRKT.pdf", "Melting_Curves/meltCurve_Q9HBL7_PLGRKT.pdf")</f>
        <v>Melting_Curves/meltCurve_Q9HBL7_PLGRKT.pdf</v>
      </c>
    </row>
    <row r="5733" spans="1:28" x14ac:dyDescent="0.25">
      <c r="A5733" t="s">
        <v>5737</v>
      </c>
      <c r="B5733">
        <v>0.99472303558308395</v>
      </c>
      <c r="C5733">
        <v>0.95516007843559703</v>
      </c>
      <c r="D5733">
        <v>1.00373124298509</v>
      </c>
      <c r="E5733">
        <v>0.88047182043112804</v>
      </c>
      <c r="F5733">
        <v>0.39434025692324598</v>
      </c>
      <c r="G5733">
        <v>0.15249208451400401</v>
      </c>
      <c r="H5733">
        <v>9.3393995575915698E-2</v>
      </c>
      <c r="I5733">
        <v>7.1054524456170304E-2</v>
      </c>
      <c r="J5733">
        <v>8.62265855547594E-2</v>
      </c>
      <c r="K5733">
        <v>6.7247385943794105E-2</v>
      </c>
      <c r="L5733">
        <v>1598.4131320508</v>
      </c>
      <c r="M5733">
        <v>32.456998841848403</v>
      </c>
      <c r="N5733">
        <v>49.511687269315402</v>
      </c>
      <c r="O5733">
        <v>49.061283495366602</v>
      </c>
      <c r="P5733">
        <v>-0.152223072364541</v>
      </c>
      <c r="Q5733">
        <v>7.9616213083197093E-2</v>
      </c>
      <c r="R5733">
        <v>0.99829385161749495</v>
      </c>
      <c r="S5733" t="s">
        <v>12301</v>
      </c>
      <c r="T5733" t="s">
        <v>13134</v>
      </c>
      <c r="U5733" t="s">
        <v>13134</v>
      </c>
      <c r="V5733" t="s">
        <v>13134</v>
      </c>
      <c r="W5733" t="s">
        <v>18801</v>
      </c>
      <c r="X5733">
        <v>9</v>
      </c>
      <c r="Y5733" t="s">
        <v>25163</v>
      </c>
      <c r="Z5733" t="s">
        <v>31701</v>
      </c>
      <c r="AA5733">
        <v>0.4601160127571155</v>
      </c>
      <c r="AB5733" t="str">
        <f>HYPERLINK("Melting_Curves/meltCurve_Q9HBL8_NMRAL1.pdf", "Melting_Curves/meltCurve_Q9HBL8_NMRAL1.pdf")</f>
        <v>Melting_Curves/meltCurve_Q9HBL8_NMRAL1.pdf</v>
      </c>
    </row>
    <row r="5734" spans="1:28" x14ac:dyDescent="0.25">
      <c r="A5734" t="s">
        <v>5738</v>
      </c>
      <c r="B5734">
        <v>0.99472303558308395</v>
      </c>
      <c r="C5734">
        <v>0.93581015637690801</v>
      </c>
      <c r="D5734">
        <v>0.94649476818881495</v>
      </c>
      <c r="E5734">
        <v>0.64071384176502399</v>
      </c>
      <c r="F5734">
        <v>0.184797678575676</v>
      </c>
      <c r="G5734">
        <v>9.1158408556618095E-2</v>
      </c>
      <c r="H5734">
        <v>6.07093499416392E-2</v>
      </c>
      <c r="I5734">
        <v>4.3930337873955602E-2</v>
      </c>
      <c r="J5734">
        <v>5.4139463970817002E-2</v>
      </c>
      <c r="K5734">
        <v>4.8537668358885497E-2</v>
      </c>
      <c r="L5734">
        <v>1403.52595709618</v>
      </c>
      <c r="M5734">
        <v>29.6595191310907</v>
      </c>
      <c r="N5734">
        <v>47.4947774031059</v>
      </c>
      <c r="O5734">
        <v>47.107725537762299</v>
      </c>
      <c r="P5734">
        <v>-0.149321901906631</v>
      </c>
      <c r="Q5734">
        <v>5.1344751874209803E-2</v>
      </c>
      <c r="R5734">
        <v>0.99737465827228899</v>
      </c>
      <c r="S5734" t="s">
        <v>12302</v>
      </c>
      <c r="T5734" t="s">
        <v>13134</v>
      </c>
      <c r="U5734" t="s">
        <v>13134</v>
      </c>
      <c r="V5734" t="s">
        <v>13134</v>
      </c>
      <c r="W5734" t="s">
        <v>18802</v>
      </c>
      <c r="X5734">
        <v>13</v>
      </c>
      <c r="Y5734" t="s">
        <v>25164</v>
      </c>
      <c r="Z5734" t="s">
        <v>31702</v>
      </c>
      <c r="AA5734">
        <v>0.38339855491571379</v>
      </c>
      <c r="AB5734" t="str">
        <f>HYPERLINK("Melting_Curves/meltCurve_Q9HBM1_SPC25.pdf", "Melting_Curves/meltCurve_Q9HBM1_SPC25.pdf")</f>
        <v>Melting_Curves/meltCurve_Q9HBM1_SPC25.pdf</v>
      </c>
    </row>
    <row r="5735" spans="1:28" x14ac:dyDescent="0.25">
      <c r="A5735" t="s">
        <v>5739</v>
      </c>
      <c r="B5735">
        <v>0.99472303558308395</v>
      </c>
      <c r="C5735">
        <v>0.84194546505148005</v>
      </c>
      <c r="D5735">
        <v>0.81170755788054205</v>
      </c>
      <c r="E5735">
        <v>0.61996429289547905</v>
      </c>
      <c r="F5735">
        <v>0.37108718753876002</v>
      </c>
      <c r="G5735">
        <v>0.280367818202023</v>
      </c>
      <c r="H5735">
        <v>0.25411360049860598</v>
      </c>
      <c r="I5735">
        <v>0.22168112452725799</v>
      </c>
      <c r="J5735">
        <v>0.284006786689878</v>
      </c>
      <c r="K5735">
        <v>0.15740253678559801</v>
      </c>
      <c r="L5735">
        <v>614.35739671736803</v>
      </c>
      <c r="M5735">
        <v>13.257269526593401</v>
      </c>
      <c r="N5735">
        <v>48.095740018838399</v>
      </c>
      <c r="O5735">
        <v>45.324831049739302</v>
      </c>
      <c r="P5735">
        <v>-5.9113299501156701E-2</v>
      </c>
      <c r="Q5735">
        <v>0.191730451269819</v>
      </c>
      <c r="R5735">
        <v>0.979498913573289</v>
      </c>
      <c r="S5735" t="s">
        <v>12303</v>
      </c>
      <c r="T5735" t="s">
        <v>13134</v>
      </c>
      <c r="U5735" t="s">
        <v>13134</v>
      </c>
      <c r="V5735" t="s">
        <v>13134</v>
      </c>
      <c r="W5735" t="s">
        <v>18803</v>
      </c>
      <c r="X5735">
        <v>7</v>
      </c>
      <c r="Y5735" t="s">
        <v>25165</v>
      </c>
      <c r="Z5735" t="s">
        <v>31703</v>
      </c>
      <c r="AA5735">
        <v>0.46651550900176991</v>
      </c>
      <c r="AB5735" t="str">
        <f>HYPERLINK("Melting_Curves/meltCurve_Q9HBM6_TAF9B.pdf", "Melting_Curves/meltCurve_Q9HBM6_TAF9B.pdf")</f>
        <v>Melting_Curves/meltCurve_Q9HBM6_TAF9B.pdf</v>
      </c>
    </row>
    <row r="5736" spans="1:28" x14ac:dyDescent="0.25">
      <c r="A5736" t="s">
        <v>5740</v>
      </c>
      <c r="B5736">
        <v>0.99472303558308395</v>
      </c>
      <c r="C5736">
        <v>0.84728162104725802</v>
      </c>
      <c r="D5736">
        <v>1.1494353707117499</v>
      </c>
      <c r="E5736">
        <v>0.84308233480991202</v>
      </c>
      <c r="F5736">
        <v>0.47159847989388398</v>
      </c>
      <c r="G5736">
        <v>0.200394965172774</v>
      </c>
      <c r="H5736">
        <v>0.10592199662764699</v>
      </c>
      <c r="I5736">
        <v>6.7965258818168006E-2</v>
      </c>
      <c r="J5736">
        <v>4.3567482882160301E-2</v>
      </c>
      <c r="K5736">
        <v>3.4883951756144997E-2</v>
      </c>
      <c r="L5736">
        <v>1264.0354412432</v>
      </c>
      <c r="M5736">
        <v>25.3607728166761</v>
      </c>
      <c r="N5736">
        <v>50.0672209071503</v>
      </c>
      <c r="O5736">
        <v>49.535346722789001</v>
      </c>
      <c r="P5736">
        <v>-0.121099367494445</v>
      </c>
      <c r="Q5736">
        <v>5.3873797288103299E-2</v>
      </c>
      <c r="R5736">
        <v>0.97024588427813097</v>
      </c>
      <c r="S5736" t="s">
        <v>12304</v>
      </c>
      <c r="T5736" t="s">
        <v>13134</v>
      </c>
      <c r="U5736" t="s">
        <v>13134</v>
      </c>
      <c r="V5736" t="s">
        <v>13134</v>
      </c>
      <c r="W5736" t="s">
        <v>18804</v>
      </c>
      <c r="X5736">
        <v>7</v>
      </c>
      <c r="Y5736" t="s">
        <v>25166</v>
      </c>
      <c r="Z5736" t="s">
        <v>31704</v>
      </c>
      <c r="AA5736">
        <v>0.4669200556464142</v>
      </c>
      <c r="AB5736" t="str">
        <f>HYPERLINK("Melting_Curves/meltCurve_Q9HBM8_AGPAT1.pdf", "Melting_Curves/meltCurve_Q9HBM8_AGPAT1.pdf")</f>
        <v>Melting_Curves/meltCurve_Q9HBM8_AGPAT1.pdf</v>
      </c>
    </row>
    <row r="5737" spans="1:28" x14ac:dyDescent="0.25">
      <c r="A5737" t="s">
        <v>5741</v>
      </c>
      <c r="B5737">
        <v>0.99472303558308395</v>
      </c>
      <c r="C5737">
        <v>0.84660954925924903</v>
      </c>
      <c r="D5737">
        <v>0.76009710068015401</v>
      </c>
      <c r="E5737">
        <v>0.67224671522979895</v>
      </c>
      <c r="F5737">
        <v>0.60541805567407803</v>
      </c>
      <c r="G5737">
        <v>0.35098369093314702</v>
      </c>
      <c r="H5737">
        <v>0.22398182633906799</v>
      </c>
      <c r="I5737">
        <v>0.21272118263404499</v>
      </c>
      <c r="J5737">
        <v>0.22267786318761801</v>
      </c>
      <c r="K5737">
        <v>0.160501621547879</v>
      </c>
      <c r="L5737">
        <v>409.16239169239901</v>
      </c>
      <c r="M5737">
        <v>8.1954687084268407</v>
      </c>
      <c r="N5737">
        <v>50.548874921885101</v>
      </c>
      <c r="O5737">
        <v>47.217216735901097</v>
      </c>
      <c r="P5737">
        <v>-4.1349254601955002E-2</v>
      </c>
      <c r="Q5737">
        <v>4.8068658265615301E-2</v>
      </c>
      <c r="R5737">
        <v>0.973803729398522</v>
      </c>
      <c r="S5737" t="s">
        <v>12305</v>
      </c>
      <c r="T5737" t="s">
        <v>13134</v>
      </c>
      <c r="U5737" t="s">
        <v>13134</v>
      </c>
      <c r="V5737" t="s">
        <v>13134</v>
      </c>
      <c r="W5737" t="s">
        <v>18805</v>
      </c>
      <c r="X5737">
        <v>1</v>
      </c>
      <c r="Y5737" t="s">
        <v>25167</v>
      </c>
      <c r="Z5737" t="s">
        <v>31705</v>
      </c>
      <c r="AA5737">
        <v>0.49671967946219853</v>
      </c>
      <c r="AB5737" t="str">
        <f>HYPERLINK("Melting_Curves/meltCurve_Q9HBR0_3_SLC38A10.pdf", "Melting_Curves/meltCurve_Q9HBR0_3_SLC38A10.pdf")</f>
        <v>Melting_Curves/meltCurve_Q9HBR0_3_SLC38A10.pdf</v>
      </c>
    </row>
    <row r="5738" spans="1:28" x14ac:dyDescent="0.25">
      <c r="A5738" t="s">
        <v>5742</v>
      </c>
      <c r="B5738">
        <v>0.99472303558308395</v>
      </c>
      <c r="C5738">
        <v>0.91128113493293805</v>
      </c>
      <c r="D5738">
        <v>0.90897936998528495</v>
      </c>
      <c r="E5738">
        <v>0.54934955092620597</v>
      </c>
      <c r="F5738">
        <v>0.111235701684923</v>
      </c>
      <c r="G5738">
        <v>5.6663492907631098E-2</v>
      </c>
      <c r="H5738">
        <v>3.7716914242724803E-2</v>
      </c>
      <c r="I5738">
        <v>2.3748147697398199E-2</v>
      </c>
      <c r="J5738">
        <v>3.10886406304712E-2</v>
      </c>
      <c r="K5738">
        <v>2.8070101099886599E-2</v>
      </c>
      <c r="L5738">
        <v>1347.8843475031499</v>
      </c>
      <c r="M5738">
        <v>28.8530151774684</v>
      </c>
      <c r="N5738">
        <v>46.8020842393286</v>
      </c>
      <c r="O5738">
        <v>46.492866810966902</v>
      </c>
      <c r="P5738">
        <v>-0.15111858551764201</v>
      </c>
      <c r="Q5738">
        <v>2.5975932691604801E-2</v>
      </c>
      <c r="R5738">
        <v>0.99482557422745199</v>
      </c>
      <c r="S5738" t="s">
        <v>12306</v>
      </c>
      <c r="T5738" t="s">
        <v>13134</v>
      </c>
      <c r="U5738" t="s">
        <v>13134</v>
      </c>
      <c r="V5738" t="s">
        <v>13134</v>
      </c>
      <c r="W5738" t="s">
        <v>18806</v>
      </c>
      <c r="X5738">
        <v>20</v>
      </c>
      <c r="Y5738" t="s">
        <v>25168</v>
      </c>
      <c r="Z5738" t="s">
        <v>31706</v>
      </c>
      <c r="AA5738">
        <v>0.34750905458633519</v>
      </c>
      <c r="AB5738" t="str">
        <f>HYPERLINK("Melting_Curves/meltCurve_Q9HC35_EML4.pdf", "Melting_Curves/meltCurve_Q9HC35_EML4.pdf")</f>
        <v>Melting_Curves/meltCurve_Q9HC35_EML4.pdf</v>
      </c>
    </row>
    <row r="5739" spans="1:28" x14ac:dyDescent="0.25">
      <c r="A5739" t="s">
        <v>5743</v>
      </c>
      <c r="B5739">
        <v>0.99472303558308395</v>
      </c>
      <c r="C5739">
        <v>1.0268325516646599</v>
      </c>
      <c r="D5739">
        <v>0.92055904355198104</v>
      </c>
      <c r="E5739">
        <v>0.77575127648613895</v>
      </c>
      <c r="F5739">
        <v>0.65320382828019397</v>
      </c>
      <c r="G5739">
        <v>0.39200984443883402</v>
      </c>
      <c r="H5739">
        <v>0.25946971036743299</v>
      </c>
      <c r="I5739">
        <v>0.20075662093933</v>
      </c>
      <c r="J5739">
        <v>0.211113418780287</v>
      </c>
      <c r="K5739">
        <v>0.16473819187764399</v>
      </c>
      <c r="L5739">
        <v>722.53404176715003</v>
      </c>
      <c r="M5739">
        <v>14.233435322781199</v>
      </c>
      <c r="N5739">
        <v>51.970814176884801</v>
      </c>
      <c r="O5739">
        <v>49.792651739279101</v>
      </c>
      <c r="P5739">
        <v>-6.1408627425940297E-2</v>
      </c>
      <c r="Q5739">
        <v>0.14080638813034499</v>
      </c>
      <c r="R5739">
        <v>0.993265909978988</v>
      </c>
      <c r="S5739" t="s">
        <v>12307</v>
      </c>
      <c r="T5739" t="s">
        <v>13134</v>
      </c>
      <c r="U5739" t="s">
        <v>13134</v>
      </c>
      <c r="V5739" t="s">
        <v>13134</v>
      </c>
      <c r="W5739" t="s">
        <v>18807</v>
      </c>
      <c r="X5739">
        <v>6</v>
      </c>
      <c r="Y5739" t="s">
        <v>25169</v>
      </c>
      <c r="Z5739" t="s">
        <v>31707</v>
      </c>
      <c r="AA5739">
        <v>0.55369043873110146</v>
      </c>
      <c r="AB5739" t="str">
        <f>HYPERLINK("Melting_Curves/meltCurve_Q9HC36_RNMTL1.pdf", "Melting_Curves/meltCurve_Q9HC36_RNMTL1.pdf")</f>
        <v>Melting_Curves/meltCurve_Q9HC36_RNMTL1.pdf</v>
      </c>
    </row>
    <row r="5740" spans="1:28" x14ac:dyDescent="0.25">
      <c r="A5740" t="s">
        <v>5744</v>
      </c>
      <c r="B5740">
        <v>0.99472303558308395</v>
      </c>
      <c r="C5740">
        <v>0.99815095644780005</v>
      </c>
      <c r="D5740">
        <v>1.0834176259955599</v>
      </c>
      <c r="E5740">
        <v>0.90823271689968399</v>
      </c>
      <c r="F5740">
        <v>0.26844389575546601</v>
      </c>
      <c r="G5740">
        <v>0.10265215394348801</v>
      </c>
      <c r="H5740">
        <v>5.6457857324220803E-2</v>
      </c>
      <c r="I5740">
        <v>3.9330744839907603E-2</v>
      </c>
      <c r="J5740">
        <v>3.7813843549193503E-2</v>
      </c>
      <c r="K5740">
        <v>3.4398591077361998E-2</v>
      </c>
      <c r="L5740">
        <v>2206.8914289535701</v>
      </c>
      <c r="M5740">
        <v>45.140967511771997</v>
      </c>
      <c r="N5740">
        <v>49.003273939013198</v>
      </c>
      <c r="O5740">
        <v>48.793226360435099</v>
      </c>
      <c r="P5740">
        <v>-0.21972165553735601</v>
      </c>
      <c r="Q5740">
        <v>5.0005763050481898E-2</v>
      </c>
      <c r="R5740">
        <v>0.99541967155615496</v>
      </c>
      <c r="S5740" t="s">
        <v>12308</v>
      </c>
      <c r="T5740" t="s">
        <v>13134</v>
      </c>
      <c r="U5740" t="s">
        <v>13134</v>
      </c>
      <c r="V5740" t="s">
        <v>13134</v>
      </c>
      <c r="W5740" t="s">
        <v>18808</v>
      </c>
      <c r="X5740">
        <v>24</v>
      </c>
      <c r="Y5740" t="s">
        <v>25170</v>
      </c>
      <c r="Z5740" t="s">
        <v>31708</v>
      </c>
      <c r="AA5740">
        <v>0.42900108157606132</v>
      </c>
      <c r="AB5740" t="str">
        <f>HYPERLINK("Melting_Curves/meltCurve_Q9HC38_2_GLOD4.pdf", "Melting_Curves/meltCurve_Q9HC38_2_GLOD4.pdf")</f>
        <v>Melting_Curves/meltCurve_Q9HC38_2_GLOD4.pdf</v>
      </c>
    </row>
    <row r="5741" spans="1:28" x14ac:dyDescent="0.25">
      <c r="A5741" t="s">
        <v>5745</v>
      </c>
      <c r="B5741">
        <v>0.99472303558308395</v>
      </c>
      <c r="C5741">
        <v>1.0307673853064301</v>
      </c>
      <c r="D5741">
        <v>0.746891866192674</v>
      </c>
      <c r="E5741">
        <v>0.689230704111916</v>
      </c>
      <c r="F5741">
        <v>0.58807437974854804</v>
      </c>
      <c r="G5741">
        <v>0.40177407805971799</v>
      </c>
      <c r="H5741">
        <v>0.25424988855985498</v>
      </c>
      <c r="I5741">
        <v>0.29382959108186602</v>
      </c>
      <c r="J5741">
        <v>0.319992786605381</v>
      </c>
      <c r="K5741">
        <v>0.24968987240741</v>
      </c>
      <c r="L5741">
        <v>563.47793874230399</v>
      </c>
      <c r="M5741">
        <v>11.7099619093855</v>
      </c>
      <c r="N5741">
        <v>50.812495595937399</v>
      </c>
      <c r="O5741">
        <v>46.7804886219702</v>
      </c>
      <c r="P5741">
        <v>-4.81243323986493E-2</v>
      </c>
      <c r="Q5741">
        <v>0.23119025084061101</v>
      </c>
      <c r="R5741">
        <v>0.96052348690696998</v>
      </c>
      <c r="S5741" t="s">
        <v>12309</v>
      </c>
      <c r="T5741" t="s">
        <v>13134</v>
      </c>
      <c r="U5741" t="s">
        <v>13134</v>
      </c>
      <c r="V5741" t="s">
        <v>13134</v>
      </c>
      <c r="W5741" t="s">
        <v>18809</v>
      </c>
      <c r="X5741">
        <v>1</v>
      </c>
      <c r="Y5741" t="s">
        <v>25171</v>
      </c>
      <c r="Z5741" t="s">
        <v>31709</v>
      </c>
      <c r="AA5741">
        <v>0.54093181771048449</v>
      </c>
      <c r="AB5741" t="str">
        <f>HYPERLINK("Melting_Curves/meltCurve_Q9HC44_GPBP1L1.pdf", "Melting_Curves/meltCurve_Q9HC44_GPBP1L1.pdf")</f>
        <v>Melting_Curves/meltCurve_Q9HC44_GPBP1L1.pdf</v>
      </c>
    </row>
    <row r="5742" spans="1:28" x14ac:dyDescent="0.25">
      <c r="A5742" t="s">
        <v>5746</v>
      </c>
      <c r="B5742">
        <v>0.99472303558308395</v>
      </c>
      <c r="C5742">
        <v>0.92824788052179197</v>
      </c>
      <c r="D5742">
        <v>0.65773281779038595</v>
      </c>
      <c r="E5742">
        <v>0.35787503978058099</v>
      </c>
      <c r="F5742">
        <v>0.144572759062919</v>
      </c>
      <c r="G5742">
        <v>0.115368613999141</v>
      </c>
      <c r="H5742">
        <v>4.7151582754909299E-2</v>
      </c>
      <c r="I5742">
        <v>6.1356490673969699E-2</v>
      </c>
      <c r="J5742">
        <v>0</v>
      </c>
      <c r="K5742">
        <v>0</v>
      </c>
      <c r="L5742">
        <v>778.972780518999</v>
      </c>
      <c r="M5742">
        <v>17.390675341699101</v>
      </c>
      <c r="N5742">
        <v>44.922778299776603</v>
      </c>
      <c r="O5742">
        <v>44.212855052822803</v>
      </c>
      <c r="P5742">
        <v>-9.5923064466485894E-2</v>
      </c>
      <c r="Q5742">
        <v>2.4582100455519899E-2</v>
      </c>
      <c r="R5742">
        <v>0.99551805201087096</v>
      </c>
      <c r="S5742" t="s">
        <v>12310</v>
      </c>
      <c r="T5742" t="s">
        <v>13134</v>
      </c>
      <c r="U5742" t="s">
        <v>13134</v>
      </c>
      <c r="V5742" t="s">
        <v>13134</v>
      </c>
      <c r="W5742" t="s">
        <v>18810</v>
      </c>
      <c r="X5742">
        <v>1</v>
      </c>
      <c r="Y5742" t="s">
        <v>25172</v>
      </c>
      <c r="Z5742" t="s">
        <v>31710</v>
      </c>
      <c r="AA5742">
        <v>0.29520530146111301</v>
      </c>
      <c r="AB5742" t="str">
        <f>HYPERLINK("Melting_Curves/meltCurve_Q9HC52_CBX8.pdf", "Melting_Curves/meltCurve_Q9HC52_CBX8.pdf")</f>
        <v>Melting_Curves/meltCurve_Q9HC52_CBX8.pdf</v>
      </c>
    </row>
    <row r="5743" spans="1:28" x14ac:dyDescent="0.25">
      <c r="A5743" t="s">
        <v>5747</v>
      </c>
      <c r="B5743">
        <v>0.99472303558308395</v>
      </c>
      <c r="C5743">
        <v>0.91131146083190395</v>
      </c>
      <c r="D5743">
        <v>0.83622479436156705</v>
      </c>
      <c r="E5743">
        <v>0.649532910772603</v>
      </c>
      <c r="F5743">
        <v>0.58360541595589699</v>
      </c>
      <c r="G5743">
        <v>0.46036690075358999</v>
      </c>
      <c r="H5743">
        <v>0.32392268101425897</v>
      </c>
      <c r="I5743">
        <v>0.33075928062010801</v>
      </c>
      <c r="J5743">
        <v>0.48121001209258202</v>
      </c>
      <c r="K5743">
        <v>0.31270591387452301</v>
      </c>
      <c r="L5743">
        <v>569.27017694213998</v>
      </c>
      <c r="M5743">
        <v>12.1736579033374</v>
      </c>
      <c r="N5743">
        <v>51.485103400949498</v>
      </c>
      <c r="O5743">
        <v>45.554306938830699</v>
      </c>
      <c r="P5743">
        <v>-4.4349865710986099E-2</v>
      </c>
      <c r="Q5743">
        <v>0.33631585133144298</v>
      </c>
      <c r="R5743">
        <v>0.95238211500659797</v>
      </c>
      <c r="S5743" t="s">
        <v>12311</v>
      </c>
      <c r="T5743" t="s">
        <v>13134</v>
      </c>
      <c r="U5743" t="s">
        <v>13134</v>
      </c>
      <c r="V5743" t="s">
        <v>13134</v>
      </c>
      <c r="W5743" t="s">
        <v>18811</v>
      </c>
      <c r="X5743">
        <v>22</v>
      </c>
      <c r="Y5743" t="s">
        <v>25173</v>
      </c>
      <c r="Z5743" t="s">
        <v>31711</v>
      </c>
      <c r="AA5743">
        <v>0.57383773275630423</v>
      </c>
      <c r="AB5743" t="str">
        <f>HYPERLINK("Melting_Curves/meltCurve_Q9HCC0_MCCC2.pdf", "Melting_Curves/meltCurve_Q9HCC0_MCCC2.pdf")</f>
        <v>Melting_Curves/meltCurve_Q9HCC0_MCCC2.pdf</v>
      </c>
    </row>
    <row r="5744" spans="1:28" x14ac:dyDescent="0.25">
      <c r="A5744" t="s">
        <v>5748</v>
      </c>
      <c r="B5744">
        <v>0.99472303558308395</v>
      </c>
      <c r="C5744">
        <v>0.98130555254496799</v>
      </c>
      <c r="D5744">
        <v>0.85675679437546404</v>
      </c>
      <c r="E5744">
        <v>0.88502255677158104</v>
      </c>
      <c r="F5744">
        <v>0.816231156748498</v>
      </c>
      <c r="G5744">
        <v>0.65844931637179005</v>
      </c>
      <c r="H5744">
        <v>0.57831746584119403</v>
      </c>
      <c r="I5744">
        <v>0.54020570555663705</v>
      </c>
      <c r="J5744">
        <v>0.863049772990928</v>
      </c>
      <c r="K5744">
        <v>0.34463727665598698</v>
      </c>
      <c r="L5744">
        <v>397.74838717188601</v>
      </c>
      <c r="M5744">
        <v>7.5229727463145997</v>
      </c>
      <c r="O5744">
        <v>49.522326412033102</v>
      </c>
      <c r="P5744">
        <v>-2.1261994178649699E-2</v>
      </c>
      <c r="Q5744">
        <v>0.44093950965956502</v>
      </c>
      <c r="R5744">
        <v>0.64433141163719398</v>
      </c>
      <c r="S5744" t="s">
        <v>12312</v>
      </c>
      <c r="T5744" t="s">
        <v>13134</v>
      </c>
      <c r="U5744" t="s">
        <v>13134</v>
      </c>
      <c r="V5744" t="s">
        <v>13134</v>
      </c>
      <c r="W5744" t="s">
        <v>18812</v>
      </c>
      <c r="X5744">
        <v>1</v>
      </c>
      <c r="Y5744" t="s">
        <v>25174</v>
      </c>
      <c r="Z5744" t="s">
        <v>31712</v>
      </c>
      <c r="AA5744">
        <v>0.74913717076976727</v>
      </c>
      <c r="AB5744" t="str">
        <f>HYPERLINK("Melting_Curves/meltCurve_Q9HCC9_5_ZFYVE28.pdf", "Melting_Curves/meltCurve_Q9HCC9_5_ZFYVE28.pdf")</f>
        <v>Melting_Curves/meltCurve_Q9HCC9_5_ZFYVE28.pdf</v>
      </c>
    </row>
    <row r="5745" spans="1:28" x14ac:dyDescent="0.25">
      <c r="A5745" t="s">
        <v>5749</v>
      </c>
      <c r="B5745">
        <v>0.99472303558308395</v>
      </c>
      <c r="C5745">
        <v>1.02329268656391</v>
      </c>
      <c r="D5745">
        <v>0.96002040711007597</v>
      </c>
      <c r="E5745">
        <v>0.80748967044310505</v>
      </c>
      <c r="F5745">
        <v>0.47007681303285997</v>
      </c>
      <c r="G5745">
        <v>0.13867473035282199</v>
      </c>
      <c r="H5745">
        <v>6.8636588637554702E-2</v>
      </c>
      <c r="I5745">
        <v>5.15963969991221E-2</v>
      </c>
      <c r="J5745">
        <v>6.19499808779235E-2</v>
      </c>
      <c r="K5745">
        <v>5.1298430167339301E-2</v>
      </c>
      <c r="L5745">
        <v>1180.71152201121</v>
      </c>
      <c r="M5745">
        <v>23.843691325831301</v>
      </c>
      <c r="N5745">
        <v>49.702681010206902</v>
      </c>
      <c r="O5745">
        <v>49.174442216632002</v>
      </c>
      <c r="P5745">
        <v>-0.116104757909717</v>
      </c>
      <c r="Q5745">
        <v>4.2212911575073502E-2</v>
      </c>
      <c r="R5745">
        <v>0.99822175630353205</v>
      </c>
      <c r="S5745" t="s">
        <v>12313</v>
      </c>
      <c r="T5745" t="s">
        <v>13134</v>
      </c>
      <c r="U5745" t="s">
        <v>13134</v>
      </c>
      <c r="V5745" t="s">
        <v>13134</v>
      </c>
      <c r="W5745" t="s">
        <v>18813</v>
      </c>
      <c r="X5745">
        <v>12</v>
      </c>
      <c r="Y5745" t="s">
        <v>25175</v>
      </c>
      <c r="Z5745" t="s">
        <v>31713</v>
      </c>
      <c r="AA5745">
        <v>0.45101276395738699</v>
      </c>
      <c r="AB5745" t="str">
        <f>HYPERLINK("Melting_Curves/meltCurve_Q9HCD5_NCOA5.pdf", "Melting_Curves/meltCurve_Q9HCD5_NCOA5.pdf")</f>
        <v>Melting_Curves/meltCurve_Q9HCD5_NCOA5.pdf</v>
      </c>
    </row>
    <row r="5746" spans="1:28" x14ac:dyDescent="0.25">
      <c r="A5746" t="s">
        <v>5750</v>
      </c>
      <c r="B5746">
        <v>0.99472303558308395</v>
      </c>
      <c r="C5746">
        <v>0.93612746599867502</v>
      </c>
      <c r="D5746">
        <v>0.886098518389698</v>
      </c>
      <c r="E5746">
        <v>0.75485884146322302</v>
      </c>
      <c r="F5746">
        <v>0.58590909790619905</v>
      </c>
      <c r="G5746">
        <v>0.33063827953949998</v>
      </c>
      <c r="H5746">
        <v>0.18446993732620101</v>
      </c>
      <c r="I5746">
        <v>0.17185705327738399</v>
      </c>
      <c r="J5746">
        <v>0.202707044989483</v>
      </c>
      <c r="K5746">
        <v>0.17845374516443499</v>
      </c>
      <c r="L5746">
        <v>720.92538200375895</v>
      </c>
      <c r="M5746">
        <v>14.5235786566518</v>
      </c>
      <c r="N5746">
        <v>50.745068180331302</v>
      </c>
      <c r="O5746">
        <v>48.725679390789203</v>
      </c>
      <c r="P5746">
        <v>-6.4408700232270799E-2</v>
      </c>
      <c r="Q5746">
        <v>0.135750767640508</v>
      </c>
      <c r="R5746">
        <v>0.98972070043332305</v>
      </c>
      <c r="S5746" t="s">
        <v>12314</v>
      </c>
      <c r="T5746" t="s">
        <v>13134</v>
      </c>
      <c r="U5746" t="s">
        <v>13134</v>
      </c>
      <c r="V5746" t="s">
        <v>13134</v>
      </c>
      <c r="W5746" t="s">
        <v>18814</v>
      </c>
      <c r="X5746">
        <v>7</v>
      </c>
      <c r="Y5746" t="s">
        <v>25176</v>
      </c>
      <c r="Z5746" t="s">
        <v>31714</v>
      </c>
      <c r="AA5746">
        <v>0.51899704580643857</v>
      </c>
      <c r="AB5746" t="str">
        <f>HYPERLINK("Melting_Curves/meltCurve_Q9HCE1_MOV10.pdf", "Melting_Curves/meltCurve_Q9HCE1_MOV10.pdf")</f>
        <v>Melting_Curves/meltCurve_Q9HCE1_MOV10.pdf</v>
      </c>
    </row>
    <row r="5747" spans="1:28" x14ac:dyDescent="0.25">
      <c r="A5747" t="s">
        <v>5751</v>
      </c>
      <c r="B5747">
        <v>0.99472303558308395</v>
      </c>
      <c r="C5747">
        <v>0.99469260013897298</v>
      </c>
      <c r="D5747">
        <v>0.93781525650093001</v>
      </c>
      <c r="E5747">
        <v>0.798132040874729</v>
      </c>
      <c r="F5747">
        <v>0.84876972143819895</v>
      </c>
      <c r="G5747">
        <v>0.35611370076693399</v>
      </c>
      <c r="H5747">
        <v>0.15657786601788901</v>
      </c>
      <c r="I5747">
        <v>0.14267119980033199</v>
      </c>
      <c r="J5747">
        <v>8.9244719895086699E-2</v>
      </c>
      <c r="K5747">
        <v>6.7033279706111795E-2</v>
      </c>
      <c r="L5747">
        <v>1283.7112893973799</v>
      </c>
      <c r="M5747">
        <v>24.506713006798801</v>
      </c>
      <c r="N5747">
        <v>52.739130559213201</v>
      </c>
      <c r="O5747">
        <v>52.036973411711898</v>
      </c>
      <c r="P5747">
        <v>-0.10873751931053301</v>
      </c>
      <c r="Q5747">
        <v>7.6450757879340095E-2</v>
      </c>
      <c r="R5747">
        <v>0.97359203800960603</v>
      </c>
      <c r="S5747" t="s">
        <v>12315</v>
      </c>
      <c r="T5747" t="s">
        <v>13134</v>
      </c>
      <c r="U5747" t="s">
        <v>13134</v>
      </c>
      <c r="V5747" t="s">
        <v>13134</v>
      </c>
      <c r="W5747" t="s">
        <v>18815</v>
      </c>
      <c r="X5747">
        <v>11</v>
      </c>
      <c r="Y5747" t="s">
        <v>25177</v>
      </c>
      <c r="Z5747" t="s">
        <v>31715</v>
      </c>
      <c r="AA5747">
        <v>0.55845981585026816</v>
      </c>
      <c r="AB5747" t="str">
        <f>HYPERLINK("Melting_Curves/meltCurve_Q9HCE5_METTL14.pdf", "Melting_Curves/meltCurve_Q9HCE5_METTL14.pdf")</f>
        <v>Melting_Curves/meltCurve_Q9HCE5_METTL14.pdf</v>
      </c>
    </row>
    <row r="5748" spans="1:28" x14ac:dyDescent="0.25">
      <c r="A5748" t="s">
        <v>5752</v>
      </c>
      <c r="B5748">
        <v>0.99472303558308395</v>
      </c>
      <c r="C5748">
        <v>0.82267362020427404</v>
      </c>
      <c r="D5748">
        <v>0.52243484704515797</v>
      </c>
      <c r="E5748">
        <v>0.26576939101437203</v>
      </c>
      <c r="F5748">
        <v>0.17055234169341901</v>
      </c>
      <c r="G5748">
        <v>0.101550251894883</v>
      </c>
      <c r="H5748">
        <v>7.0620345225352904E-2</v>
      </c>
      <c r="I5748">
        <v>5.0982196516044499E-2</v>
      </c>
      <c r="J5748">
        <v>6.1528688191382401E-2</v>
      </c>
      <c r="K5748">
        <v>4.8243534198144297E-2</v>
      </c>
      <c r="L5748">
        <v>753.03250811768896</v>
      </c>
      <c r="M5748">
        <v>17.447433510631299</v>
      </c>
      <c r="N5748">
        <v>43.485351721981502</v>
      </c>
      <c r="O5748">
        <v>42.605063119384603</v>
      </c>
      <c r="P5748">
        <v>-9.6121083542807698E-2</v>
      </c>
      <c r="Q5748">
        <v>6.1176226693412598E-2</v>
      </c>
      <c r="R5748">
        <v>0.99610067276464698</v>
      </c>
      <c r="S5748" t="s">
        <v>12316</v>
      </c>
      <c r="T5748" t="s">
        <v>13134</v>
      </c>
      <c r="U5748" t="s">
        <v>13134</v>
      </c>
      <c r="V5748" t="s">
        <v>13134</v>
      </c>
      <c r="W5748" t="s">
        <v>18816</v>
      </c>
      <c r="X5748">
        <v>17</v>
      </c>
      <c r="Y5748" t="s">
        <v>25178</v>
      </c>
      <c r="Z5748" t="s">
        <v>31716</v>
      </c>
      <c r="AA5748">
        <v>0.27159304243798738</v>
      </c>
      <c r="AB5748" t="str">
        <f>HYPERLINK("Melting_Curves/meltCurve_Q9HCK8_2_CHD8.pdf", "Melting_Curves/meltCurve_Q9HCK8_2_CHD8.pdf")</f>
        <v>Melting_Curves/meltCurve_Q9HCK8_2_CHD8.pdf</v>
      </c>
    </row>
    <row r="5749" spans="1:28" x14ac:dyDescent="0.25">
      <c r="A5749" t="s">
        <v>5753</v>
      </c>
      <c r="B5749">
        <v>0.99472303558308395</v>
      </c>
      <c r="C5749">
        <v>0.94481303417130202</v>
      </c>
      <c r="D5749">
        <v>0.78705388483953798</v>
      </c>
      <c r="E5749">
        <v>0.59738906230708899</v>
      </c>
      <c r="F5749">
        <v>0.58009465083836098</v>
      </c>
      <c r="G5749">
        <v>0.36401949577082798</v>
      </c>
      <c r="H5749">
        <v>0.26442980887672202</v>
      </c>
      <c r="I5749">
        <v>0.244014802134498</v>
      </c>
      <c r="J5749">
        <v>0.25701556979922602</v>
      </c>
      <c r="K5749">
        <v>0.26908424660708702</v>
      </c>
      <c r="L5749">
        <v>532.15985166739404</v>
      </c>
      <c r="M5749">
        <v>11.198092763619499</v>
      </c>
      <c r="N5749">
        <v>49.918737706582398</v>
      </c>
      <c r="O5749">
        <v>46.0824257035896</v>
      </c>
      <c r="P5749">
        <v>-4.8134549703196201E-2</v>
      </c>
      <c r="Q5749">
        <v>0.207915684602241</v>
      </c>
      <c r="R5749">
        <v>0.978536602356046</v>
      </c>
      <c r="S5749" t="s">
        <v>12317</v>
      </c>
      <c r="T5749" t="s">
        <v>13134</v>
      </c>
      <c r="U5749" t="s">
        <v>13134</v>
      </c>
      <c r="V5749" t="s">
        <v>13134</v>
      </c>
      <c r="W5749" t="s">
        <v>18817</v>
      </c>
      <c r="X5749">
        <v>4</v>
      </c>
      <c r="Y5749" t="s">
        <v>25179</v>
      </c>
      <c r="Z5749" t="s">
        <v>31717</v>
      </c>
      <c r="AA5749">
        <v>0.51387351305280526</v>
      </c>
      <c r="AB5749" t="str">
        <f>HYPERLINK("Melting_Curves/meltCurve_Q9HCN3_TMEM8A.pdf", "Melting_Curves/meltCurve_Q9HCN3_TMEM8A.pdf")</f>
        <v>Melting_Curves/meltCurve_Q9HCN3_TMEM8A.pdf</v>
      </c>
    </row>
    <row r="5750" spans="1:28" x14ac:dyDescent="0.25">
      <c r="A5750" t="s">
        <v>5754</v>
      </c>
      <c r="B5750">
        <v>0.99472303558308395</v>
      </c>
      <c r="C5750">
        <v>0.85986756520517604</v>
      </c>
      <c r="D5750">
        <v>0.79318612147281697</v>
      </c>
      <c r="E5750">
        <v>0.763214464835545</v>
      </c>
      <c r="F5750">
        <v>0.85683515065349902</v>
      </c>
      <c r="G5750">
        <v>0.64892878121983499</v>
      </c>
      <c r="H5750">
        <v>0.64863536702352897</v>
      </c>
      <c r="I5750">
        <v>0.575514461609544</v>
      </c>
      <c r="J5750">
        <v>0.73243614049654304</v>
      </c>
      <c r="K5750">
        <v>0.51089625220479196</v>
      </c>
      <c r="L5750">
        <v>239.09885819837399</v>
      </c>
      <c r="M5750">
        <v>4.5512472368637003</v>
      </c>
      <c r="O5750">
        <v>44.785051226806601</v>
      </c>
      <c r="P5750">
        <v>-1.46686009458739E-2</v>
      </c>
      <c r="Q5750">
        <v>0.42745592914806402</v>
      </c>
      <c r="R5750">
        <v>0.74252792170939597</v>
      </c>
      <c r="S5750" t="s">
        <v>12318</v>
      </c>
      <c r="T5750" t="s">
        <v>13134</v>
      </c>
      <c r="U5750" t="s">
        <v>13134</v>
      </c>
      <c r="V5750" t="s">
        <v>13134</v>
      </c>
      <c r="W5750" t="s">
        <v>18818</v>
      </c>
      <c r="X5750">
        <v>8</v>
      </c>
      <c r="Y5750" t="s">
        <v>25180</v>
      </c>
      <c r="Z5750" t="s">
        <v>31718</v>
      </c>
      <c r="AA5750">
        <v>0.73407725977140059</v>
      </c>
      <c r="AB5750" t="str">
        <f>HYPERLINK("Melting_Curves/meltCurve_Q9HCN4_4_GPN1.pdf", "Melting_Curves/meltCurve_Q9HCN4_4_GPN1.pdf")</f>
        <v>Melting_Curves/meltCurve_Q9HCN4_4_GPN1.pdf</v>
      </c>
    </row>
    <row r="5751" spans="1:28" x14ac:dyDescent="0.25">
      <c r="A5751" t="s">
        <v>5755</v>
      </c>
      <c r="B5751">
        <v>0.99472303558308395</v>
      </c>
      <c r="C5751">
        <v>0.94234164829508404</v>
      </c>
      <c r="D5751">
        <v>0.87864355859136001</v>
      </c>
      <c r="E5751">
        <v>0.58918381239460904</v>
      </c>
      <c r="F5751">
        <v>0.39326492275304897</v>
      </c>
      <c r="G5751">
        <v>0.15788858264195599</v>
      </c>
      <c r="H5751">
        <v>8.8625239544110099E-2</v>
      </c>
      <c r="I5751">
        <v>5.6285293006058397E-2</v>
      </c>
      <c r="J5751">
        <v>4.8896702983475197E-2</v>
      </c>
      <c r="K5751">
        <v>4.2858453346538102E-2</v>
      </c>
      <c r="L5751">
        <v>728.71747785333196</v>
      </c>
      <c r="M5751">
        <v>15.183439703416401</v>
      </c>
      <c r="N5751">
        <v>48.137413051517399</v>
      </c>
      <c r="O5751">
        <v>47.184796869174498</v>
      </c>
      <c r="P5751">
        <v>-7.8677819853158401E-2</v>
      </c>
      <c r="Q5751">
        <v>2.2082104177097699E-2</v>
      </c>
      <c r="R5751">
        <v>0.99723809704009003</v>
      </c>
      <c r="S5751" t="s">
        <v>12319</v>
      </c>
      <c r="T5751" t="s">
        <v>13134</v>
      </c>
      <c r="U5751" t="s">
        <v>13134</v>
      </c>
      <c r="V5751" t="s">
        <v>13134</v>
      </c>
      <c r="W5751" t="s">
        <v>18819</v>
      </c>
      <c r="X5751">
        <v>5</v>
      </c>
      <c r="Y5751" t="s">
        <v>25181</v>
      </c>
      <c r="Z5751" t="s">
        <v>31719</v>
      </c>
      <c r="AA5751">
        <v>0.40156726863557157</v>
      </c>
      <c r="AB5751" t="str">
        <f>HYPERLINK("Melting_Curves/meltCurve_Q9HCN8_SDF2L1.pdf", "Melting_Curves/meltCurve_Q9HCN8_SDF2L1.pdf")</f>
        <v>Melting_Curves/meltCurve_Q9HCN8_SDF2L1.pdf</v>
      </c>
    </row>
    <row r="5752" spans="1:28" x14ac:dyDescent="0.25">
      <c r="A5752" t="s">
        <v>5756</v>
      </c>
      <c r="B5752">
        <v>0.99472303558308395</v>
      </c>
      <c r="C5752">
        <v>1.04593216026779</v>
      </c>
      <c r="D5752">
        <v>0.94796074065742097</v>
      </c>
      <c r="E5752">
        <v>0.86862794936531196</v>
      </c>
      <c r="F5752">
        <v>0.56556694936343399</v>
      </c>
      <c r="G5752">
        <v>0.45510890381010899</v>
      </c>
      <c r="H5752">
        <v>0.311893182155904</v>
      </c>
      <c r="I5752">
        <v>0.12125681055710801</v>
      </c>
      <c r="J5752">
        <v>8.6613548292821002E-2</v>
      </c>
      <c r="K5752">
        <v>9.75936177168365E-2</v>
      </c>
      <c r="L5752">
        <v>673.48262530345596</v>
      </c>
      <c r="M5752">
        <v>12.875739393509701</v>
      </c>
      <c r="N5752">
        <v>52.514734332584197</v>
      </c>
      <c r="O5752">
        <v>51.092803918456198</v>
      </c>
      <c r="P5752">
        <v>-6.1443786788595897E-2</v>
      </c>
      <c r="Q5752">
        <v>2.49073207154938E-2</v>
      </c>
      <c r="R5752">
        <v>0.98784206966620303</v>
      </c>
      <c r="S5752" t="s">
        <v>12320</v>
      </c>
      <c r="T5752" t="s">
        <v>13134</v>
      </c>
      <c r="U5752" t="s">
        <v>13134</v>
      </c>
      <c r="V5752" t="s">
        <v>13134</v>
      </c>
      <c r="W5752" t="s">
        <v>18820</v>
      </c>
      <c r="X5752">
        <v>8</v>
      </c>
      <c r="Y5752" t="s">
        <v>25182</v>
      </c>
      <c r="Z5752" t="s">
        <v>31720</v>
      </c>
      <c r="AA5752">
        <v>0.54363205883800714</v>
      </c>
      <c r="AB5752" t="str">
        <f>HYPERLINK("Melting_Curves/meltCurve_Q9HCP0_2_CSNK1G1.pdf", "Melting_Curves/meltCurve_Q9HCP0_2_CSNK1G1.pdf")</f>
        <v>Melting_Curves/meltCurve_Q9HCP0_2_CSNK1G1.pdf</v>
      </c>
    </row>
    <row r="5753" spans="1:28" x14ac:dyDescent="0.25">
      <c r="A5753" t="s">
        <v>5757</v>
      </c>
      <c r="B5753">
        <v>0.99472303558308395</v>
      </c>
      <c r="C5753">
        <v>1.0144439512048899</v>
      </c>
      <c r="D5753">
        <v>0.95367149053158196</v>
      </c>
      <c r="E5753">
        <v>0.82430146117165504</v>
      </c>
      <c r="F5753">
        <v>0.684748117172846</v>
      </c>
      <c r="G5753">
        <v>0.44780233591187601</v>
      </c>
      <c r="H5753">
        <v>0.20221455374230801</v>
      </c>
      <c r="I5753">
        <v>0.109180195358854</v>
      </c>
      <c r="J5753">
        <v>7.6928642936318903E-2</v>
      </c>
      <c r="K5753">
        <v>6.6603523059300507E-2</v>
      </c>
      <c r="L5753">
        <v>751.39979588891697</v>
      </c>
      <c r="M5753">
        <v>14.289193383125999</v>
      </c>
      <c r="N5753">
        <v>52.606705445539703</v>
      </c>
      <c r="O5753">
        <v>51.587430605665503</v>
      </c>
      <c r="P5753">
        <v>-6.90540365418955E-2</v>
      </c>
      <c r="Q5753">
        <v>2.9149722711218498E-3</v>
      </c>
      <c r="R5753">
        <v>0.99662777230552302</v>
      </c>
      <c r="S5753" t="s">
        <v>12321</v>
      </c>
      <c r="T5753" t="s">
        <v>13134</v>
      </c>
      <c r="U5753" t="s">
        <v>13134</v>
      </c>
      <c r="V5753" t="s">
        <v>13134</v>
      </c>
      <c r="W5753" t="s">
        <v>18821</v>
      </c>
      <c r="X5753">
        <v>10</v>
      </c>
      <c r="Y5753" t="s">
        <v>25183</v>
      </c>
      <c r="Z5753" t="s">
        <v>31721</v>
      </c>
      <c r="AA5753">
        <v>0.5401907514789398</v>
      </c>
      <c r="AB5753" t="str">
        <f>HYPERLINK("Melting_Curves/meltCurve_Q9HCU5_PREB.pdf", "Melting_Curves/meltCurve_Q9HCU5_PREB.pdf")</f>
        <v>Melting_Curves/meltCurve_Q9HCU5_PREB.pdf</v>
      </c>
    </row>
    <row r="5754" spans="1:28" x14ac:dyDescent="0.25">
      <c r="A5754" t="s">
        <v>5758</v>
      </c>
      <c r="B5754">
        <v>0.99472303558308395</v>
      </c>
      <c r="C5754">
        <v>1.1144910932066501</v>
      </c>
      <c r="D5754">
        <v>0.64162289146859597</v>
      </c>
      <c r="E5754">
        <v>0.76200407667120995</v>
      </c>
      <c r="F5754">
        <v>0.68941190086121795</v>
      </c>
      <c r="G5754">
        <v>0.41579624025022599</v>
      </c>
      <c r="H5754">
        <v>0.28688607317025699</v>
      </c>
      <c r="I5754">
        <v>0.146084527257554</v>
      </c>
      <c r="J5754">
        <v>0.12801200421117101</v>
      </c>
      <c r="K5754">
        <v>0.10752200615676</v>
      </c>
      <c r="L5754">
        <v>497.11093470148199</v>
      </c>
      <c r="M5754">
        <v>9.5606737070063197</v>
      </c>
      <c r="N5754">
        <v>51.9953875272058</v>
      </c>
      <c r="O5754">
        <v>49.873191674101399</v>
      </c>
      <c r="P5754">
        <v>-4.7952581270811499E-2</v>
      </c>
      <c r="Q5754">
        <v>0</v>
      </c>
      <c r="R5754">
        <v>0.91809482900642703</v>
      </c>
      <c r="S5754" t="s">
        <v>12322</v>
      </c>
      <c r="T5754" t="s">
        <v>13134</v>
      </c>
      <c r="U5754" t="s">
        <v>13134</v>
      </c>
      <c r="V5754" t="s">
        <v>13134</v>
      </c>
      <c r="W5754" t="s">
        <v>18822</v>
      </c>
      <c r="X5754">
        <v>2</v>
      </c>
      <c r="Y5754" t="s">
        <v>25184</v>
      </c>
      <c r="Z5754" t="s">
        <v>31722</v>
      </c>
      <c r="AA5754">
        <v>0.527068211319209</v>
      </c>
      <c r="AB5754" t="str">
        <f>HYPERLINK("Melting_Curves/meltCurve_Q9HCU8_POLD4.pdf", "Melting_Curves/meltCurve_Q9HCU8_POLD4.pdf")</f>
        <v>Melting_Curves/meltCurve_Q9HCU8_POLD4.pdf</v>
      </c>
    </row>
    <row r="5755" spans="1:28" x14ac:dyDescent="0.25">
      <c r="A5755" t="s">
        <v>5759</v>
      </c>
      <c r="B5755">
        <v>0.99472303558308395</v>
      </c>
      <c r="C5755">
        <v>0.96605570826368004</v>
      </c>
      <c r="D5755">
        <v>1.0287173758263599</v>
      </c>
      <c r="E5755">
        <v>0.92566589360399698</v>
      </c>
      <c r="F5755">
        <v>0.61388870084179303</v>
      </c>
      <c r="G5755">
        <v>0.39646182631363602</v>
      </c>
      <c r="H5755">
        <v>0.16961570121443101</v>
      </c>
      <c r="I5755">
        <v>9.2742234946332006E-2</v>
      </c>
      <c r="J5755">
        <v>0.109156069033776</v>
      </c>
      <c r="K5755">
        <v>8.8245392512284304E-2</v>
      </c>
      <c r="L5755">
        <v>1025.0440371524801</v>
      </c>
      <c r="M5755">
        <v>19.892254681351901</v>
      </c>
      <c r="N5755">
        <v>51.960535664706903</v>
      </c>
      <c r="O5755">
        <v>51.017533549845801</v>
      </c>
      <c r="P5755">
        <v>-9.0071434377269097E-2</v>
      </c>
      <c r="Q5755">
        <v>7.6008526299268603E-2</v>
      </c>
      <c r="R5755">
        <v>0.99452568162427701</v>
      </c>
      <c r="S5755" t="s">
        <v>12323</v>
      </c>
      <c r="T5755" t="s">
        <v>13134</v>
      </c>
      <c r="U5755" t="s">
        <v>13134</v>
      </c>
      <c r="V5755" t="s">
        <v>13134</v>
      </c>
      <c r="W5755" t="s">
        <v>18823</v>
      </c>
      <c r="X5755">
        <v>14</v>
      </c>
      <c r="Y5755" t="s">
        <v>25185</v>
      </c>
      <c r="Z5755" t="s">
        <v>31723</v>
      </c>
      <c r="AA5755">
        <v>0.53565152471432931</v>
      </c>
      <c r="AB5755" t="str">
        <f>HYPERLINK("Melting_Curves/meltCurve_Q9HD15_SRA1.pdf", "Melting_Curves/meltCurve_Q9HD15_SRA1.pdf")</f>
        <v>Melting_Curves/meltCurve_Q9HD15_SRA1.pdf</v>
      </c>
    </row>
    <row r="5756" spans="1:28" x14ac:dyDescent="0.25">
      <c r="A5756" t="s">
        <v>5760</v>
      </c>
      <c r="B5756">
        <v>0.99472303558308395</v>
      </c>
      <c r="C5756">
        <v>0.98728418336995005</v>
      </c>
      <c r="D5756">
        <v>0.83528335122010899</v>
      </c>
      <c r="E5756">
        <v>0.70417540654432098</v>
      </c>
      <c r="F5756">
        <v>0.54605542178882305</v>
      </c>
      <c r="G5756">
        <v>0.228066855162638</v>
      </c>
      <c r="H5756">
        <v>7.9897618068064294E-2</v>
      </c>
      <c r="I5756">
        <v>5.4425938255410103E-2</v>
      </c>
      <c r="J5756">
        <v>5.4214709396380199E-2</v>
      </c>
      <c r="K5756">
        <v>4.4742068076850702E-2</v>
      </c>
      <c r="L5756">
        <v>698.08111650900696</v>
      </c>
      <c r="M5756">
        <v>14.039692893322901</v>
      </c>
      <c r="N5756">
        <v>49.721980125615502</v>
      </c>
      <c r="O5756">
        <v>48.745810264949199</v>
      </c>
      <c r="P5756">
        <v>-7.2014037456973407E-2</v>
      </c>
      <c r="Q5756">
        <v>0</v>
      </c>
      <c r="R5756">
        <v>0.98956327144342304</v>
      </c>
      <c r="S5756" t="s">
        <v>12324</v>
      </c>
      <c r="T5756" t="s">
        <v>13134</v>
      </c>
      <c r="U5756" t="s">
        <v>13134</v>
      </c>
      <c r="V5756" t="s">
        <v>13134</v>
      </c>
      <c r="W5756" t="s">
        <v>18824</v>
      </c>
      <c r="X5756">
        <v>20</v>
      </c>
      <c r="Y5756" t="s">
        <v>25186</v>
      </c>
      <c r="Z5756" t="s">
        <v>31724</v>
      </c>
      <c r="AA5756">
        <v>0.44726366935155631</v>
      </c>
      <c r="AB5756" t="str">
        <f>HYPERLINK("Melting_Curves/meltCurve_Q9HD20_2_ATP13A1.pdf", "Melting_Curves/meltCurve_Q9HD20_2_ATP13A1.pdf")</f>
        <v>Melting_Curves/meltCurve_Q9HD20_2_ATP13A1.pdf</v>
      </c>
    </row>
    <row r="5757" spans="1:28" x14ac:dyDescent="0.25">
      <c r="A5757" t="s">
        <v>5761</v>
      </c>
      <c r="B5757">
        <v>0.99472303558308395</v>
      </c>
      <c r="C5757">
        <v>0.98225628612068605</v>
      </c>
      <c r="D5757">
        <v>0.75506021358916198</v>
      </c>
      <c r="E5757">
        <v>0.63342071765013397</v>
      </c>
      <c r="F5757">
        <v>0.49215420690994799</v>
      </c>
      <c r="G5757">
        <v>0.165568082160166</v>
      </c>
      <c r="H5757">
        <v>0.105208727753936</v>
      </c>
      <c r="I5757">
        <v>3.5537107448423498E-2</v>
      </c>
      <c r="J5757">
        <v>1.7737929815332499E-2</v>
      </c>
      <c r="K5757">
        <v>2.0660275254521899E-2</v>
      </c>
      <c r="L5757">
        <v>632.03974028902098</v>
      </c>
      <c r="M5757">
        <v>13.0152523662072</v>
      </c>
      <c r="N5757">
        <v>48.561466423971801</v>
      </c>
      <c r="O5757">
        <v>47.457951812209203</v>
      </c>
      <c r="P5757">
        <v>-6.8574078664209795E-2</v>
      </c>
      <c r="Q5757">
        <v>0</v>
      </c>
      <c r="R5757">
        <v>0.98380173318333597</v>
      </c>
      <c r="S5757" t="s">
        <v>12325</v>
      </c>
      <c r="T5757" t="s">
        <v>13134</v>
      </c>
      <c r="U5757" t="s">
        <v>13134</v>
      </c>
      <c r="V5757" t="s">
        <v>13134</v>
      </c>
      <c r="W5757" t="s">
        <v>18825</v>
      </c>
      <c r="X5757">
        <v>9</v>
      </c>
      <c r="Y5757" t="s">
        <v>25187</v>
      </c>
      <c r="Z5757" t="s">
        <v>31725</v>
      </c>
      <c r="AA5757">
        <v>0.41247129846335812</v>
      </c>
      <c r="AB5757" t="str">
        <f>HYPERLINK("Melting_Curves/meltCurve_Q9HD23_MRS2.pdf", "Melting_Curves/meltCurve_Q9HD23_MRS2.pdf")</f>
        <v>Melting_Curves/meltCurve_Q9HD23_MRS2.pdf</v>
      </c>
    </row>
    <row r="5758" spans="1:28" x14ac:dyDescent="0.25">
      <c r="A5758" t="s">
        <v>5762</v>
      </c>
      <c r="B5758">
        <v>0.99472303558308395</v>
      </c>
      <c r="C5758">
        <v>1.0042476856971101</v>
      </c>
      <c r="D5758">
        <v>0.94270914382335202</v>
      </c>
      <c r="E5758">
        <v>0.68041808130091697</v>
      </c>
      <c r="F5758">
        <v>0.157884191665604</v>
      </c>
      <c r="G5758">
        <v>8.2789981668792506E-2</v>
      </c>
      <c r="H5758">
        <v>5.2982711712617703E-2</v>
      </c>
      <c r="I5758">
        <v>4.0924721720210298E-2</v>
      </c>
      <c r="J5758">
        <v>7.4158872905993406E-2</v>
      </c>
      <c r="K5758">
        <v>3.8495902228115497E-2</v>
      </c>
      <c r="L5758">
        <v>1681.66123188234</v>
      </c>
      <c r="M5758">
        <v>35.4525251591201</v>
      </c>
      <c r="N5758">
        <v>47.583841077534601</v>
      </c>
      <c r="O5758">
        <v>47.284026872449203</v>
      </c>
      <c r="P5758">
        <v>-0.17755715901882699</v>
      </c>
      <c r="Q5758">
        <v>5.2751642996789597E-2</v>
      </c>
      <c r="R5758">
        <v>0.99857795666604798</v>
      </c>
      <c r="S5758" t="s">
        <v>12326</v>
      </c>
      <c r="T5758" t="s">
        <v>13134</v>
      </c>
      <c r="U5758" t="s">
        <v>13134</v>
      </c>
      <c r="V5758" t="s">
        <v>13134</v>
      </c>
      <c r="W5758" t="s">
        <v>18826</v>
      </c>
      <c r="X5758">
        <v>10</v>
      </c>
      <c r="Y5758" t="s">
        <v>25188</v>
      </c>
      <c r="Z5758" t="s">
        <v>31726</v>
      </c>
      <c r="AA5758">
        <v>0.38617279921306591</v>
      </c>
      <c r="AB5758" t="str">
        <f>HYPERLINK("Melting_Curves/meltCurve_Q9HD26_GOPC.pdf", "Melting_Curves/meltCurve_Q9HD26_GOPC.pdf")</f>
        <v>Melting_Curves/meltCurve_Q9HD26_GOPC.pdf</v>
      </c>
    </row>
    <row r="5759" spans="1:28" x14ac:dyDescent="0.25">
      <c r="A5759" t="s">
        <v>5763</v>
      </c>
      <c r="B5759">
        <v>0.99472303558308395</v>
      </c>
      <c r="C5759">
        <v>1.03003303084794</v>
      </c>
      <c r="D5759">
        <v>0.89441694508620695</v>
      </c>
      <c r="E5759">
        <v>0.67920865642275596</v>
      </c>
      <c r="F5759">
        <v>0.40398017350485899</v>
      </c>
      <c r="G5759">
        <v>0.34517719494757299</v>
      </c>
      <c r="H5759">
        <v>0.28763745019057702</v>
      </c>
      <c r="I5759">
        <v>0.28777889474663199</v>
      </c>
      <c r="J5759">
        <v>0.48287208135760701</v>
      </c>
      <c r="K5759">
        <v>0.35746946364224103</v>
      </c>
      <c r="L5759">
        <v>1272.81334911762</v>
      </c>
      <c r="M5759">
        <v>27.416031234183102</v>
      </c>
      <c r="N5759">
        <v>48.522150712483203</v>
      </c>
      <c r="O5759">
        <v>46.180983252065801</v>
      </c>
      <c r="P5759">
        <v>-9.6910701226853593E-2</v>
      </c>
      <c r="Q5759">
        <v>0.34704046291879498</v>
      </c>
      <c r="R5759">
        <v>0.96235847494175397</v>
      </c>
      <c r="S5759" t="s">
        <v>12327</v>
      </c>
      <c r="T5759" t="s">
        <v>13134</v>
      </c>
      <c r="U5759" t="s">
        <v>13134</v>
      </c>
      <c r="V5759" t="s">
        <v>13134</v>
      </c>
      <c r="W5759" t="s">
        <v>18827</v>
      </c>
      <c r="X5759">
        <v>1</v>
      </c>
      <c r="Y5759" t="s">
        <v>25189</v>
      </c>
      <c r="Z5759" t="s">
        <v>31727</v>
      </c>
      <c r="AA5759">
        <v>0.55670688764799559</v>
      </c>
      <c r="AB5759" t="str">
        <f>HYPERLINK("Melting_Curves/meltCurve_Q9HD40_3_SEPSECS.pdf", "Melting_Curves/meltCurve_Q9HD40_3_SEPSECS.pdf")</f>
        <v>Melting_Curves/meltCurve_Q9HD40_3_SEPSECS.pdf</v>
      </c>
    </row>
    <row r="5760" spans="1:28" x14ac:dyDescent="0.25">
      <c r="A5760" t="s">
        <v>5764</v>
      </c>
      <c r="B5760">
        <v>0.99472303558308395</v>
      </c>
      <c r="C5760">
        <v>0.84592861307487399</v>
      </c>
      <c r="D5760">
        <v>1.16563016756839</v>
      </c>
      <c r="E5760">
        <v>0.92796370545319795</v>
      </c>
      <c r="F5760">
        <v>0.58861097226267101</v>
      </c>
      <c r="G5760">
        <v>0.58350376720983899</v>
      </c>
      <c r="H5760">
        <v>0.21103993464264501</v>
      </c>
      <c r="I5760">
        <v>0.235073019303773</v>
      </c>
      <c r="J5760">
        <v>0.209729801786076</v>
      </c>
      <c r="K5760">
        <v>0.16277378815702401</v>
      </c>
      <c r="L5760">
        <v>908.57327433343698</v>
      </c>
      <c r="M5760">
        <v>17.495554944793898</v>
      </c>
      <c r="N5760">
        <v>53.1080492674065</v>
      </c>
      <c r="O5760">
        <v>51.267447288651901</v>
      </c>
      <c r="P5760">
        <v>-7.1614235737603296E-2</v>
      </c>
      <c r="Q5760">
        <v>0.16063790046371201</v>
      </c>
      <c r="R5760">
        <v>0.92507319130294696</v>
      </c>
      <c r="S5760" t="s">
        <v>12328</v>
      </c>
      <c r="T5760" t="s">
        <v>13134</v>
      </c>
      <c r="U5760" t="s">
        <v>13134</v>
      </c>
      <c r="V5760" t="s">
        <v>13134</v>
      </c>
      <c r="W5760" t="s">
        <v>13174</v>
      </c>
      <c r="X5760">
        <v>8</v>
      </c>
      <c r="Y5760" t="s">
        <v>19665</v>
      </c>
      <c r="Z5760" t="s">
        <v>31728</v>
      </c>
      <c r="AA5760">
        <v>0.59164750723696391</v>
      </c>
      <c r="AB5760" t="str">
        <f>HYPERLINK("Melting_Curves/meltCurve_Q9HD42_CHMP1A.pdf", "Melting_Curves/meltCurve_Q9HD42_CHMP1A.pdf")</f>
        <v>Melting_Curves/meltCurve_Q9HD42_CHMP1A.pdf</v>
      </c>
    </row>
    <row r="5761" spans="1:28" x14ac:dyDescent="0.25">
      <c r="A5761" t="s">
        <v>5765</v>
      </c>
      <c r="B5761">
        <v>0.99472303558308395</v>
      </c>
      <c r="C5761">
        <v>0.79628865743270305</v>
      </c>
      <c r="D5761">
        <v>0.69101195356864997</v>
      </c>
      <c r="E5761">
        <v>0.60236760286343305</v>
      </c>
      <c r="F5761">
        <v>0.485878786362825</v>
      </c>
      <c r="G5761">
        <v>0.108737636894277</v>
      </c>
      <c r="H5761">
        <v>6.6021033498035495E-2</v>
      </c>
      <c r="I5761">
        <v>4.6755038199597997E-2</v>
      </c>
      <c r="J5761">
        <v>5.7365852542166397E-2</v>
      </c>
      <c r="K5761">
        <v>4.4206284020632702E-2</v>
      </c>
      <c r="L5761">
        <v>515.33126980503596</v>
      </c>
      <c r="M5761">
        <v>10.8828331332322</v>
      </c>
      <c r="N5761">
        <v>47.352675823936501</v>
      </c>
      <c r="O5761">
        <v>45.8379786173032</v>
      </c>
      <c r="P5761">
        <v>-5.9375769505464297E-2</v>
      </c>
      <c r="Q5761">
        <v>0</v>
      </c>
      <c r="R5761">
        <v>0.95790616331290501</v>
      </c>
      <c r="S5761" t="s">
        <v>12329</v>
      </c>
      <c r="T5761" t="s">
        <v>13134</v>
      </c>
      <c r="U5761" t="s">
        <v>13134</v>
      </c>
      <c r="V5761" t="s">
        <v>13134</v>
      </c>
      <c r="W5761" t="s">
        <v>18828</v>
      </c>
      <c r="X5761">
        <v>5</v>
      </c>
      <c r="Y5761" t="s">
        <v>25190</v>
      </c>
      <c r="Z5761" t="s">
        <v>31729</v>
      </c>
      <c r="AA5761">
        <v>0.38248474143486438</v>
      </c>
      <c r="AB5761" t="str">
        <f>HYPERLINK("Melting_Curves/meltCurve_Q9HD45_TM9SF3.pdf", "Melting_Curves/meltCurve_Q9HD45_TM9SF3.pdf")</f>
        <v>Melting_Curves/meltCurve_Q9HD45_TM9SF3.pdf</v>
      </c>
    </row>
    <row r="5762" spans="1:28" x14ac:dyDescent="0.25">
      <c r="A5762" t="s">
        <v>5766</v>
      </c>
      <c r="B5762">
        <v>0.99472303558308395</v>
      </c>
      <c r="C5762">
        <v>1.0126110866537901</v>
      </c>
      <c r="D5762">
        <v>0.97862139578063001</v>
      </c>
      <c r="E5762">
        <v>0.90793886798283696</v>
      </c>
      <c r="F5762">
        <v>0.71867189509625495</v>
      </c>
      <c r="G5762">
        <v>0.57837758760852898</v>
      </c>
      <c r="H5762">
        <v>0.30574810733086699</v>
      </c>
      <c r="I5762">
        <v>0.101894607420758</v>
      </c>
      <c r="J5762">
        <v>0.131384671457005</v>
      </c>
      <c r="K5762">
        <v>0.113608505438425</v>
      </c>
      <c r="L5762">
        <v>813.23463335154702</v>
      </c>
      <c r="M5762">
        <v>15.1057886990972</v>
      </c>
      <c r="N5762">
        <v>54.099571724048602</v>
      </c>
      <c r="O5762">
        <v>52.918928078777398</v>
      </c>
      <c r="P5762">
        <v>-6.8837622835001597E-2</v>
      </c>
      <c r="Q5762">
        <v>3.5481276025442501E-2</v>
      </c>
      <c r="R5762">
        <v>0.99124221712747396</v>
      </c>
      <c r="S5762" t="s">
        <v>12330</v>
      </c>
      <c r="T5762" t="s">
        <v>13134</v>
      </c>
      <c r="U5762" t="s">
        <v>13134</v>
      </c>
      <c r="V5762" t="s">
        <v>13134</v>
      </c>
      <c r="W5762" t="s">
        <v>18829</v>
      </c>
      <c r="X5762">
        <v>4</v>
      </c>
      <c r="Y5762" t="s">
        <v>25191</v>
      </c>
      <c r="Z5762" t="s">
        <v>31730</v>
      </c>
      <c r="AA5762">
        <v>0.59259289035051455</v>
      </c>
      <c r="AB5762" t="str">
        <f>HYPERLINK("Melting_Curves/meltCurve_Q9HD47_2_RANGRF.pdf", "Melting_Curves/meltCurve_Q9HD47_2_RANGRF.pdf")</f>
        <v>Melting_Curves/meltCurve_Q9HD47_2_RANGRF.pdf</v>
      </c>
    </row>
    <row r="5763" spans="1:28" x14ac:dyDescent="0.25">
      <c r="A5763" t="s">
        <v>5767</v>
      </c>
      <c r="B5763">
        <v>0.99472303558308395</v>
      </c>
      <c r="C5763">
        <v>0.98679204533985798</v>
      </c>
      <c r="D5763">
        <v>0.64828780600928704</v>
      </c>
      <c r="E5763">
        <v>0.284641835760716</v>
      </c>
      <c r="F5763">
        <v>0.13924103037039301</v>
      </c>
      <c r="G5763">
        <v>7.2091169930240798E-2</v>
      </c>
      <c r="H5763">
        <v>4.8357058705110402E-2</v>
      </c>
      <c r="I5763">
        <v>4.2807390391082598E-2</v>
      </c>
      <c r="J5763">
        <v>4.1697453531802403E-2</v>
      </c>
      <c r="K5763">
        <v>4.5986477371321201E-2</v>
      </c>
      <c r="L5763">
        <v>1014.05549055535</v>
      </c>
      <c r="M5763">
        <v>22.910010259645201</v>
      </c>
      <c r="N5763">
        <v>44.469448858590901</v>
      </c>
      <c r="O5763">
        <v>43.929460760236999</v>
      </c>
      <c r="P5763">
        <v>-0.12379031091855799</v>
      </c>
      <c r="Q5763">
        <v>5.0557044650548798E-2</v>
      </c>
      <c r="R5763">
        <v>0.99602147427523702</v>
      </c>
      <c r="S5763" t="s">
        <v>12331</v>
      </c>
      <c r="T5763" t="s">
        <v>13134</v>
      </c>
      <c r="U5763" t="s">
        <v>13134</v>
      </c>
      <c r="V5763" t="s">
        <v>13134</v>
      </c>
      <c r="W5763" t="s">
        <v>18830</v>
      </c>
      <c r="X5763">
        <v>1</v>
      </c>
      <c r="Y5763" t="s">
        <v>25192</v>
      </c>
      <c r="Z5763" t="s">
        <v>31731</v>
      </c>
      <c r="AA5763">
        <v>0.28980339267057997</v>
      </c>
      <c r="AB5763" t="str">
        <f>HYPERLINK("Melting_Curves/meltCurve_Q9HD64_XAGE1A.pdf", "Melting_Curves/meltCurve_Q9HD64_XAGE1A.pdf")</f>
        <v>Melting_Curves/meltCurve_Q9HD64_XAGE1A.pdf</v>
      </c>
    </row>
    <row r="5764" spans="1:28" x14ac:dyDescent="0.25">
      <c r="A5764" t="s">
        <v>5768</v>
      </c>
      <c r="B5764">
        <v>0.99472303558308395</v>
      </c>
      <c r="C5764">
        <v>0.93633928068890104</v>
      </c>
      <c r="D5764">
        <v>0.90561609944095001</v>
      </c>
      <c r="E5764">
        <v>0.74250166848713794</v>
      </c>
      <c r="F5764">
        <v>0.68737960517353902</v>
      </c>
      <c r="G5764">
        <v>0.47513476460130799</v>
      </c>
      <c r="H5764">
        <v>0.349804261171416</v>
      </c>
      <c r="I5764">
        <v>0.26429719983086403</v>
      </c>
      <c r="J5764">
        <v>0.30146422519583599</v>
      </c>
      <c r="K5764">
        <v>0.21126431323670899</v>
      </c>
      <c r="L5764">
        <v>514.15857649348402</v>
      </c>
      <c r="M5764">
        <v>9.9692401591600106</v>
      </c>
      <c r="N5764">
        <v>53.402246864252703</v>
      </c>
      <c r="O5764">
        <v>49.628066300849</v>
      </c>
      <c r="P5764">
        <v>-4.2981899384810597E-2</v>
      </c>
      <c r="Q5764">
        <v>0.14454492518213699</v>
      </c>
      <c r="R5764">
        <v>0.98834587352091996</v>
      </c>
      <c r="S5764" t="s">
        <v>12332</v>
      </c>
      <c r="T5764" t="s">
        <v>13134</v>
      </c>
      <c r="U5764" t="s">
        <v>13134</v>
      </c>
      <c r="V5764" t="s">
        <v>13134</v>
      </c>
      <c r="W5764" t="s">
        <v>18831</v>
      </c>
      <c r="X5764">
        <v>2</v>
      </c>
      <c r="Y5764" t="s">
        <v>25193</v>
      </c>
      <c r="Z5764" t="s">
        <v>31732</v>
      </c>
      <c r="AA5764">
        <v>0.5844236715579475</v>
      </c>
      <c r="AB5764" t="str">
        <f>HYPERLINK("Melting_Curves/meltCurve_Q9HDC5_JPH1.pdf", "Melting_Curves/meltCurve_Q9HDC5_JPH1.pdf")</f>
        <v>Melting_Curves/meltCurve_Q9HDC5_JPH1.pdf</v>
      </c>
    </row>
    <row r="5765" spans="1:28" x14ac:dyDescent="0.25">
      <c r="A5765" t="s">
        <v>5769</v>
      </c>
      <c r="B5765">
        <v>0.99472303558308395</v>
      </c>
      <c r="C5765">
        <v>0.99722956992507605</v>
      </c>
      <c r="D5765">
        <v>0.99225975802226596</v>
      </c>
      <c r="E5765">
        <v>0.90357956402109896</v>
      </c>
      <c r="F5765">
        <v>0.71968116100317803</v>
      </c>
      <c r="G5765">
        <v>0.58327803378820198</v>
      </c>
      <c r="H5765">
        <v>0.394484363165996</v>
      </c>
      <c r="I5765">
        <v>0.226406904590325</v>
      </c>
      <c r="J5765">
        <v>0.13822216774016899</v>
      </c>
      <c r="K5765">
        <v>0.132837383405075</v>
      </c>
      <c r="L5765">
        <v>662.11166352823</v>
      </c>
      <c r="M5765">
        <v>12.072925438476</v>
      </c>
      <c r="N5765">
        <v>54.973628468649203</v>
      </c>
      <c r="O5765">
        <v>53.403007279081898</v>
      </c>
      <c r="P5765">
        <v>-5.5730081840328599E-2</v>
      </c>
      <c r="Q5765">
        <v>1.41727552193641E-2</v>
      </c>
      <c r="R5765">
        <v>0.99671028476392198</v>
      </c>
      <c r="S5765" t="s">
        <v>12333</v>
      </c>
      <c r="T5765" t="s">
        <v>13134</v>
      </c>
      <c r="U5765" t="s">
        <v>13134</v>
      </c>
      <c r="V5765" t="s">
        <v>13134</v>
      </c>
      <c r="W5765" t="s">
        <v>18832</v>
      </c>
      <c r="X5765">
        <v>11</v>
      </c>
      <c r="Y5765" t="s">
        <v>25194</v>
      </c>
      <c r="Z5765" t="s">
        <v>31733</v>
      </c>
      <c r="AA5765">
        <v>0.61512564106268419</v>
      </c>
      <c r="AB5765" t="str">
        <f>HYPERLINK("Melting_Curves/meltCurve_Q9HDC9_APMAP.pdf", "Melting_Curves/meltCurve_Q9HDC9_APMAP.pdf")</f>
        <v>Melting_Curves/meltCurve_Q9HDC9_APMAP.pdf</v>
      </c>
    </row>
    <row r="5766" spans="1:28" x14ac:dyDescent="0.25">
      <c r="A5766" t="s">
        <v>5770</v>
      </c>
      <c r="B5766">
        <v>0.99472303558308395</v>
      </c>
      <c r="C5766">
        <v>1.15044651319233</v>
      </c>
      <c r="D5766">
        <v>0.98177495095437795</v>
      </c>
      <c r="E5766">
        <v>0.84307370554719097</v>
      </c>
      <c r="F5766">
        <v>0.80163171914034503</v>
      </c>
      <c r="G5766">
        <v>0.31696473969004102</v>
      </c>
      <c r="H5766">
        <v>9.3093095931886596E-2</v>
      </c>
      <c r="I5766">
        <v>4.6237132268022701E-2</v>
      </c>
      <c r="J5766">
        <v>3.4227618352844498E-2</v>
      </c>
      <c r="K5766">
        <v>6.5075681935451199E-2</v>
      </c>
      <c r="L5766">
        <v>1442.2223321720601</v>
      </c>
      <c r="M5766">
        <v>27.6282620489186</v>
      </c>
      <c r="N5766">
        <v>52.337231737812601</v>
      </c>
      <c r="O5766">
        <v>51.9297956825054</v>
      </c>
      <c r="P5766">
        <v>-0.12839313704448099</v>
      </c>
      <c r="Q5766">
        <v>3.4703035538318501E-2</v>
      </c>
      <c r="R5766">
        <v>0.97841271971320498</v>
      </c>
      <c r="S5766" t="s">
        <v>12334</v>
      </c>
      <c r="T5766" t="s">
        <v>13134</v>
      </c>
      <c r="U5766" t="s">
        <v>13134</v>
      </c>
      <c r="V5766" t="s">
        <v>13134</v>
      </c>
      <c r="W5766" t="s">
        <v>18833</v>
      </c>
      <c r="X5766">
        <v>5</v>
      </c>
      <c r="Y5766" t="s">
        <v>25195</v>
      </c>
      <c r="Z5766" t="s">
        <v>31734</v>
      </c>
      <c r="AA5766">
        <v>0.5309464950632361</v>
      </c>
      <c r="AB5766" t="str">
        <f>HYPERLINK("Melting_Curves/meltCurve_Q9NNW5_WDR6.pdf", "Melting_Curves/meltCurve_Q9NNW5_WDR6.pdf")</f>
        <v>Melting_Curves/meltCurve_Q9NNW5_WDR6.pdf</v>
      </c>
    </row>
    <row r="5767" spans="1:28" x14ac:dyDescent="0.25">
      <c r="A5767" t="s">
        <v>5771</v>
      </c>
      <c r="B5767">
        <v>0.99472303558308395</v>
      </c>
      <c r="C5767">
        <v>0.75511875713601595</v>
      </c>
      <c r="D5767">
        <v>0.55868659724132697</v>
      </c>
      <c r="E5767">
        <v>0.222567381762838</v>
      </c>
      <c r="F5767">
        <v>8.2960328141287704E-2</v>
      </c>
      <c r="G5767">
        <v>5.3428296815928797E-2</v>
      </c>
      <c r="H5767">
        <v>4.1929223032513299E-2</v>
      </c>
      <c r="I5767">
        <v>3.31938976175504E-2</v>
      </c>
      <c r="J5767">
        <v>3.7363545201854698E-2</v>
      </c>
      <c r="K5767">
        <v>3.4973670529485801E-2</v>
      </c>
      <c r="L5767">
        <v>758.33066582029903</v>
      </c>
      <c r="M5767">
        <v>17.597799263715999</v>
      </c>
      <c r="N5767">
        <v>43.229196394652597</v>
      </c>
      <c r="O5767">
        <v>42.547450709213301</v>
      </c>
      <c r="P5767">
        <v>-0.100605240576878</v>
      </c>
      <c r="Q5767">
        <v>2.7090707820155598E-2</v>
      </c>
      <c r="R5767">
        <v>0.99408119023026598</v>
      </c>
      <c r="S5767" t="s">
        <v>12335</v>
      </c>
      <c r="T5767" t="s">
        <v>13134</v>
      </c>
      <c r="U5767" t="s">
        <v>13134</v>
      </c>
      <c r="V5767" t="s">
        <v>13134</v>
      </c>
      <c r="W5767" t="s">
        <v>18834</v>
      </c>
      <c r="X5767">
        <v>4</v>
      </c>
      <c r="Y5767" t="s">
        <v>25196</v>
      </c>
      <c r="Z5767" t="s">
        <v>31735</v>
      </c>
      <c r="AA5767">
        <v>0.2426804121449383</v>
      </c>
      <c r="AB5767" t="str">
        <f>HYPERLINK("Melting_Curves/meltCurve_Q9NP31_3_SH2D2A.pdf", "Melting_Curves/meltCurve_Q9NP31_3_SH2D2A.pdf")</f>
        <v>Melting_Curves/meltCurve_Q9NP31_3_SH2D2A.pdf</v>
      </c>
    </row>
    <row r="5768" spans="1:28" x14ac:dyDescent="0.25">
      <c r="A5768" t="s">
        <v>5772</v>
      </c>
      <c r="B5768">
        <v>0.99472303558308395</v>
      </c>
      <c r="C5768">
        <v>0.96113152206915498</v>
      </c>
      <c r="D5768">
        <v>0.78605250772786195</v>
      </c>
      <c r="E5768">
        <v>0.71253980981877696</v>
      </c>
      <c r="F5768">
        <v>0.67429443801662903</v>
      </c>
      <c r="G5768">
        <v>0.18433310901601599</v>
      </c>
      <c r="H5768">
        <v>6.6898090251685902E-2</v>
      </c>
      <c r="I5768">
        <v>4.7967934842357E-2</v>
      </c>
      <c r="J5768">
        <v>5.37293188560641E-2</v>
      </c>
      <c r="K5768">
        <v>4.3735441988209299E-2</v>
      </c>
      <c r="L5768">
        <v>725.17398228407296</v>
      </c>
      <c r="M5768">
        <v>14.457804888503301</v>
      </c>
      <c r="N5768">
        <v>50.157965155035001</v>
      </c>
      <c r="O5768">
        <v>49.227657199128998</v>
      </c>
      <c r="P5768">
        <v>-7.3431749491097001E-2</v>
      </c>
      <c r="Q5768">
        <v>0</v>
      </c>
      <c r="R5768">
        <v>0.95675920090865196</v>
      </c>
      <c r="S5768" t="s">
        <v>12336</v>
      </c>
      <c r="T5768" t="s">
        <v>13134</v>
      </c>
      <c r="U5768" t="s">
        <v>13134</v>
      </c>
      <c r="V5768" t="s">
        <v>13134</v>
      </c>
      <c r="W5768" t="s">
        <v>18835</v>
      </c>
      <c r="X5768">
        <v>5</v>
      </c>
      <c r="Y5768" t="s">
        <v>25197</v>
      </c>
      <c r="Z5768" t="s">
        <v>31736</v>
      </c>
      <c r="AA5768">
        <v>0.46049437282413719</v>
      </c>
      <c r="AB5768" t="str">
        <f>HYPERLINK("Melting_Curves/meltCurve_Q9NP58_4_ABCB6.pdf", "Melting_Curves/meltCurve_Q9NP58_4_ABCB6.pdf")</f>
        <v>Melting_Curves/meltCurve_Q9NP58_4_ABCB6.pdf</v>
      </c>
    </row>
    <row r="5769" spans="1:28" x14ac:dyDescent="0.25">
      <c r="A5769" t="s">
        <v>5773</v>
      </c>
      <c r="B5769">
        <v>0.99472303558308395</v>
      </c>
      <c r="C5769">
        <v>0.98701280997267804</v>
      </c>
      <c r="D5769">
        <v>0.917096469470284</v>
      </c>
      <c r="E5769">
        <v>0.828859258172844</v>
      </c>
      <c r="F5769">
        <v>0.60080601864394201</v>
      </c>
      <c r="G5769">
        <v>0.49314734363864099</v>
      </c>
      <c r="H5769">
        <v>0.42442260447895802</v>
      </c>
      <c r="I5769">
        <v>0.42828937950858098</v>
      </c>
      <c r="J5769">
        <v>0.57700932740784805</v>
      </c>
      <c r="K5769">
        <v>0.43734466690510398</v>
      </c>
      <c r="L5769">
        <v>1076.0097528996801</v>
      </c>
      <c r="M5769">
        <v>22.4925687714031</v>
      </c>
      <c r="N5769">
        <v>53.972416924707296</v>
      </c>
      <c r="O5769">
        <v>47.465125597874803</v>
      </c>
      <c r="P5769">
        <v>-6.3831933431936896E-2</v>
      </c>
      <c r="Q5769">
        <v>0.46120351784250102</v>
      </c>
      <c r="R5769">
        <v>0.96110414244728704</v>
      </c>
      <c r="S5769" t="s">
        <v>12337</v>
      </c>
      <c r="T5769" t="s">
        <v>13134</v>
      </c>
      <c r="U5769" t="s">
        <v>13134</v>
      </c>
      <c r="V5769" t="s">
        <v>13134</v>
      </c>
      <c r="W5769" t="s">
        <v>18836</v>
      </c>
      <c r="X5769">
        <v>3</v>
      </c>
      <c r="Y5769" t="s">
        <v>25198</v>
      </c>
      <c r="Z5769" t="s">
        <v>31737</v>
      </c>
      <c r="AA5769">
        <v>0.66150145344121247</v>
      </c>
      <c r="AB5769" t="str">
        <f>HYPERLINK("Melting_Curves/meltCurve_Q9NP59_SLC40A1.pdf", "Melting_Curves/meltCurve_Q9NP59_SLC40A1.pdf")</f>
        <v>Melting_Curves/meltCurve_Q9NP59_SLC40A1.pdf</v>
      </c>
    </row>
    <row r="5770" spans="1:28" x14ac:dyDescent="0.25">
      <c r="A5770" t="s">
        <v>5774</v>
      </c>
      <c r="B5770">
        <v>0.99472303558308395</v>
      </c>
      <c r="C5770">
        <v>1.04354341874178</v>
      </c>
      <c r="D5770">
        <v>0.76639867041077003</v>
      </c>
      <c r="E5770">
        <v>0.59635279281142395</v>
      </c>
      <c r="F5770">
        <v>0.40028139283424702</v>
      </c>
      <c r="G5770">
        <v>0.266333518088258</v>
      </c>
      <c r="H5770">
        <v>0.19699460580936701</v>
      </c>
      <c r="I5770">
        <v>0.149538211867699</v>
      </c>
      <c r="J5770">
        <v>0.170313540783223</v>
      </c>
      <c r="K5770">
        <v>0.173845798334678</v>
      </c>
      <c r="L5770">
        <v>711.17678782788698</v>
      </c>
      <c r="M5770">
        <v>15.165277160217199</v>
      </c>
      <c r="N5770">
        <v>48.0466473856074</v>
      </c>
      <c r="O5770">
        <v>46.1023368822433</v>
      </c>
      <c r="P5770">
        <v>-6.9713121607404394E-2</v>
      </c>
      <c r="Q5770">
        <v>0.15237242986927199</v>
      </c>
      <c r="R5770">
        <v>0.98630333597932796</v>
      </c>
      <c r="S5770" t="s">
        <v>12338</v>
      </c>
      <c r="T5770" t="s">
        <v>13134</v>
      </c>
      <c r="U5770" t="s">
        <v>13134</v>
      </c>
      <c r="V5770" t="s">
        <v>13134</v>
      </c>
      <c r="W5770" t="s">
        <v>18837</v>
      </c>
      <c r="X5770">
        <v>9</v>
      </c>
      <c r="Y5770" t="s">
        <v>25199</v>
      </c>
      <c r="Z5770" t="s">
        <v>31738</v>
      </c>
      <c r="AA5770">
        <v>0.45070234583749941</v>
      </c>
      <c r="AB5770" t="str">
        <f>HYPERLINK("Melting_Curves/meltCurve_Q9NP66_HMG20A.pdf", "Melting_Curves/meltCurve_Q9NP66_HMG20A.pdf")</f>
        <v>Melting_Curves/meltCurve_Q9NP66_HMG20A.pdf</v>
      </c>
    </row>
    <row r="5771" spans="1:28" x14ac:dyDescent="0.25">
      <c r="A5771" t="s">
        <v>5775</v>
      </c>
      <c r="B5771">
        <v>0.99472303558308395</v>
      </c>
      <c r="C5771">
        <v>0.88951073016230198</v>
      </c>
      <c r="D5771">
        <v>1.0190810037413101</v>
      </c>
      <c r="E5771">
        <v>0.91656219135843697</v>
      </c>
      <c r="F5771">
        <v>0.72840374222580795</v>
      </c>
      <c r="G5771">
        <v>0.60315613895466902</v>
      </c>
      <c r="H5771">
        <v>0.40823985873722701</v>
      </c>
      <c r="I5771">
        <v>0.431630377823015</v>
      </c>
      <c r="J5771">
        <v>0.38486746880050399</v>
      </c>
      <c r="K5771">
        <v>0.25379468334778299</v>
      </c>
      <c r="L5771">
        <v>709.99122322741198</v>
      </c>
      <c r="M5771">
        <v>13.484631069895901</v>
      </c>
      <c r="N5771">
        <v>56.0292670925758</v>
      </c>
      <c r="O5771">
        <v>51.534397654808799</v>
      </c>
      <c r="P5771">
        <v>-4.7224119525634899E-2</v>
      </c>
      <c r="Q5771">
        <v>0.278202315218322</v>
      </c>
      <c r="R5771">
        <v>0.96428713059296201</v>
      </c>
      <c r="S5771" t="s">
        <v>12339</v>
      </c>
      <c r="T5771" t="s">
        <v>13134</v>
      </c>
      <c r="U5771" t="s">
        <v>13134</v>
      </c>
      <c r="V5771" t="s">
        <v>13134</v>
      </c>
      <c r="W5771" t="s">
        <v>18838</v>
      </c>
      <c r="X5771">
        <v>16</v>
      </c>
      <c r="Y5771" t="s">
        <v>25200</v>
      </c>
      <c r="Z5771" t="s">
        <v>31739</v>
      </c>
      <c r="AA5771">
        <v>0.66940684467655187</v>
      </c>
      <c r="AB5771" t="str">
        <f>HYPERLINK("Melting_Curves/meltCurve_Q9NP72_RAB18.pdf", "Melting_Curves/meltCurve_Q9NP72_RAB18.pdf")</f>
        <v>Melting_Curves/meltCurve_Q9NP72_RAB18.pdf</v>
      </c>
    </row>
    <row r="5772" spans="1:28" x14ac:dyDescent="0.25">
      <c r="A5772" t="s">
        <v>5776</v>
      </c>
      <c r="B5772">
        <v>0.99472303558308395</v>
      </c>
      <c r="C5772">
        <v>0.93534988306614897</v>
      </c>
      <c r="D5772">
        <v>1.0750612733548699</v>
      </c>
      <c r="E5772">
        <v>0.88774675517580504</v>
      </c>
      <c r="F5772">
        <v>0.49890184034094498</v>
      </c>
      <c r="G5772">
        <v>0.28196019102320402</v>
      </c>
      <c r="H5772">
        <v>0.11356952198602401</v>
      </c>
      <c r="I5772">
        <v>7.0725608415198593E-2</v>
      </c>
      <c r="J5772">
        <v>7.2962979150574495E-2</v>
      </c>
      <c r="K5772">
        <v>6.1411483833511797E-2</v>
      </c>
      <c r="L5772">
        <v>1167.6285234485999</v>
      </c>
      <c r="M5772">
        <v>23.2301083990696</v>
      </c>
      <c r="N5772">
        <v>50.577780885747799</v>
      </c>
      <c r="O5772">
        <v>49.895548143740498</v>
      </c>
      <c r="P5772">
        <v>-0.108575181974576</v>
      </c>
      <c r="Q5772">
        <v>6.7189719709664197E-2</v>
      </c>
      <c r="R5772">
        <v>0.989724082270526</v>
      </c>
      <c r="S5772" t="s">
        <v>12340</v>
      </c>
      <c r="T5772" t="s">
        <v>13134</v>
      </c>
      <c r="U5772" t="s">
        <v>13134</v>
      </c>
      <c r="V5772" t="s">
        <v>13134</v>
      </c>
      <c r="W5772" t="s">
        <v>18839</v>
      </c>
      <c r="X5772">
        <v>5</v>
      </c>
      <c r="Y5772" t="s">
        <v>25201</v>
      </c>
      <c r="Z5772" t="s">
        <v>31740</v>
      </c>
      <c r="AA5772">
        <v>0.48898826100635739</v>
      </c>
      <c r="AB5772" t="str">
        <f>HYPERLINK("Melting_Curves/meltCurve_Q9NP73_2_ALG13.pdf", "Melting_Curves/meltCurve_Q9NP73_2_ALG13.pdf")</f>
        <v>Melting_Curves/meltCurve_Q9NP73_2_ALG13.pdf</v>
      </c>
    </row>
    <row r="5773" spans="1:28" x14ac:dyDescent="0.25">
      <c r="A5773" t="s">
        <v>5777</v>
      </c>
      <c r="B5773">
        <v>0.99472303558308395</v>
      </c>
      <c r="C5773">
        <v>1.0696967958571799</v>
      </c>
      <c r="D5773">
        <v>0.97443526690809301</v>
      </c>
      <c r="E5773">
        <v>0.74749185142873398</v>
      </c>
      <c r="F5773">
        <v>0.42213338389708599</v>
      </c>
      <c r="G5773">
        <v>0.29879184146313598</v>
      </c>
      <c r="H5773">
        <v>0.17286646796015101</v>
      </c>
      <c r="I5773">
        <v>0.23279619665701401</v>
      </c>
      <c r="J5773">
        <v>0.380301054155469</v>
      </c>
      <c r="K5773">
        <v>0.30898770631000499</v>
      </c>
      <c r="L5773">
        <v>1420.80083312395</v>
      </c>
      <c r="M5773">
        <v>29.809530972750899</v>
      </c>
      <c r="N5773">
        <v>48.974541480431498</v>
      </c>
      <c r="O5773">
        <v>47.449682470082202</v>
      </c>
      <c r="P5773">
        <v>-0.11386774868558699</v>
      </c>
      <c r="Q5773">
        <v>0.27500336361448402</v>
      </c>
      <c r="R5773">
        <v>0.97174845667957799</v>
      </c>
      <c r="S5773" t="s">
        <v>12341</v>
      </c>
      <c r="T5773" t="s">
        <v>13134</v>
      </c>
      <c r="U5773" t="s">
        <v>13134</v>
      </c>
      <c r="V5773" t="s">
        <v>13134</v>
      </c>
      <c r="W5773" t="s">
        <v>18840</v>
      </c>
      <c r="X5773">
        <v>2</v>
      </c>
      <c r="Y5773" t="s">
        <v>25202</v>
      </c>
      <c r="Z5773" t="s">
        <v>31741</v>
      </c>
      <c r="AA5773">
        <v>0.53700433844171302</v>
      </c>
      <c r="AB5773" t="str">
        <f>HYPERLINK("Melting_Curves/meltCurve_Q9NP74_3_PALMD.pdf", "Melting_Curves/meltCurve_Q9NP74_3_PALMD.pdf")</f>
        <v>Melting_Curves/meltCurve_Q9NP74_3_PALMD.pdf</v>
      </c>
    </row>
    <row r="5774" spans="1:28" x14ac:dyDescent="0.25">
      <c r="A5774" t="s">
        <v>5778</v>
      </c>
      <c r="B5774">
        <v>0.99472303558308395</v>
      </c>
      <c r="C5774">
        <v>0.926105846420473</v>
      </c>
      <c r="D5774">
        <v>1.03309264126214</v>
      </c>
      <c r="E5774">
        <v>0.73185349101376895</v>
      </c>
      <c r="F5774">
        <v>0.111205381103749</v>
      </c>
      <c r="G5774">
        <v>6.5792384066748102E-2</v>
      </c>
      <c r="H5774">
        <v>3.5951400380484701E-2</v>
      </c>
      <c r="I5774">
        <v>2.83029577468298E-2</v>
      </c>
      <c r="J5774">
        <v>2.9504505063698699E-2</v>
      </c>
      <c r="K5774">
        <v>2.6638703143469399E-2</v>
      </c>
      <c r="L5774">
        <v>2248.9732866757199</v>
      </c>
      <c r="M5774">
        <v>47.296734888306197</v>
      </c>
      <c r="N5774">
        <v>47.626700955227797</v>
      </c>
      <c r="O5774">
        <v>47.465529796963999</v>
      </c>
      <c r="P5774">
        <v>-0.24000910292434699</v>
      </c>
      <c r="Q5774">
        <v>3.6538725618301598E-2</v>
      </c>
      <c r="R5774">
        <v>0.99580810873046699</v>
      </c>
      <c r="S5774" t="s">
        <v>12342</v>
      </c>
      <c r="T5774" t="s">
        <v>13134</v>
      </c>
      <c r="U5774" t="s">
        <v>13134</v>
      </c>
      <c r="V5774" t="s">
        <v>13134</v>
      </c>
      <c r="W5774" t="s">
        <v>18841</v>
      </c>
      <c r="X5774">
        <v>8</v>
      </c>
      <c r="Y5774" t="s">
        <v>25203</v>
      </c>
      <c r="Z5774" t="s">
        <v>31742</v>
      </c>
      <c r="AA5774">
        <v>0.37762501722630698</v>
      </c>
      <c r="AB5774" t="str">
        <f>HYPERLINK("Melting_Curves/meltCurve_Q9NP77_SSU72.pdf", "Melting_Curves/meltCurve_Q9NP77_SSU72.pdf")</f>
        <v>Melting_Curves/meltCurve_Q9NP77_SSU72.pdf</v>
      </c>
    </row>
    <row r="5775" spans="1:28" x14ac:dyDescent="0.25">
      <c r="A5775" t="s">
        <v>5779</v>
      </c>
      <c r="B5775">
        <v>0.99472303558308395</v>
      </c>
      <c r="C5775">
        <v>0.91865559417627496</v>
      </c>
      <c r="D5775">
        <v>1.0374726793748299</v>
      </c>
      <c r="E5775">
        <v>0.85922260241035697</v>
      </c>
      <c r="F5775">
        <v>0.39663215722849299</v>
      </c>
      <c r="G5775">
        <v>0.12730494480813501</v>
      </c>
      <c r="H5775">
        <v>7.0615826392936606E-2</v>
      </c>
      <c r="I5775">
        <v>5.3106377980556299E-2</v>
      </c>
      <c r="J5775">
        <v>4.9688965291927699E-2</v>
      </c>
      <c r="K5775">
        <v>4.8794110514365899E-2</v>
      </c>
      <c r="L5775">
        <v>1512.56867866932</v>
      </c>
      <c r="M5775">
        <v>30.682524486668498</v>
      </c>
      <c r="N5775">
        <v>49.477329841055102</v>
      </c>
      <c r="O5775">
        <v>49.089413583055098</v>
      </c>
      <c r="P5775">
        <v>-0.14801076228969701</v>
      </c>
      <c r="Q5775">
        <v>5.2787480032690501E-2</v>
      </c>
      <c r="R5775">
        <v>0.99489879136817705</v>
      </c>
      <c r="S5775" t="s">
        <v>12343</v>
      </c>
      <c r="T5775" t="s">
        <v>13134</v>
      </c>
      <c r="U5775" t="s">
        <v>13134</v>
      </c>
      <c r="V5775" t="s">
        <v>13134</v>
      </c>
      <c r="W5775" t="s">
        <v>18842</v>
      </c>
      <c r="X5775">
        <v>8</v>
      </c>
      <c r="Y5775" t="s">
        <v>25204</v>
      </c>
      <c r="Z5775" t="s">
        <v>31743</v>
      </c>
      <c r="AA5775">
        <v>0.44655438059879571</v>
      </c>
      <c r="AB5775" t="str">
        <f>HYPERLINK("Melting_Curves/meltCurve_Q9NP79_VTA1.pdf", "Melting_Curves/meltCurve_Q9NP79_VTA1.pdf")</f>
        <v>Melting_Curves/meltCurve_Q9NP79_VTA1.pdf</v>
      </c>
    </row>
    <row r="5776" spans="1:28" x14ac:dyDescent="0.25">
      <c r="A5776" t="s">
        <v>5780</v>
      </c>
      <c r="B5776">
        <v>0.99472303558308395</v>
      </c>
      <c r="C5776">
        <v>1.2477676022102699</v>
      </c>
      <c r="D5776">
        <v>0.96542877728365795</v>
      </c>
      <c r="E5776">
        <v>0.92825455896300302</v>
      </c>
      <c r="F5776">
        <v>0.675624007708296</v>
      </c>
      <c r="G5776">
        <v>0.36422738521012399</v>
      </c>
      <c r="H5776">
        <v>0.12401107916531701</v>
      </c>
      <c r="I5776">
        <v>7.9557020867552702E-2</v>
      </c>
      <c r="J5776">
        <v>2.0131142242721001E-2</v>
      </c>
      <c r="K5776">
        <v>3.0392722011308899E-2</v>
      </c>
      <c r="L5776">
        <v>1085.8869289775801</v>
      </c>
      <c r="M5776">
        <v>20.858206362512998</v>
      </c>
      <c r="N5776">
        <v>52.1444585719805</v>
      </c>
      <c r="O5776">
        <v>51.588997357813</v>
      </c>
      <c r="P5776">
        <v>-9.9410697334404094E-2</v>
      </c>
      <c r="Q5776">
        <v>1.6529999412036599E-2</v>
      </c>
      <c r="R5776">
        <v>0.96799240828559097</v>
      </c>
      <c r="S5776" t="s">
        <v>12344</v>
      </c>
      <c r="T5776" t="s">
        <v>13134</v>
      </c>
      <c r="U5776" t="s">
        <v>13134</v>
      </c>
      <c r="V5776" t="s">
        <v>13134</v>
      </c>
      <c r="W5776" t="s">
        <v>18843</v>
      </c>
      <c r="X5776">
        <v>5</v>
      </c>
      <c r="Y5776" t="s">
        <v>25205</v>
      </c>
      <c r="Z5776" t="s">
        <v>31744</v>
      </c>
      <c r="AA5776">
        <v>0.52211481237386137</v>
      </c>
      <c r="AB5776" t="str">
        <f>HYPERLINK("Melting_Curves/meltCurve_Q9NP80_3_PNPLA8.pdf", "Melting_Curves/meltCurve_Q9NP80_3_PNPLA8.pdf")</f>
        <v>Melting_Curves/meltCurve_Q9NP80_3_PNPLA8.pdf</v>
      </c>
    </row>
    <row r="5777" spans="1:28" x14ac:dyDescent="0.25">
      <c r="A5777" t="s">
        <v>5781</v>
      </c>
      <c r="B5777">
        <v>0.99472303558308395</v>
      </c>
      <c r="C5777">
        <v>1.03934938863368</v>
      </c>
      <c r="D5777">
        <v>0.88654142714913797</v>
      </c>
      <c r="E5777">
        <v>0.48526290579472903</v>
      </c>
      <c r="F5777">
        <v>0.21839863654088401</v>
      </c>
      <c r="G5777">
        <v>7.7757540104937906E-2</v>
      </c>
      <c r="H5777">
        <v>6.3657558569003E-2</v>
      </c>
      <c r="I5777">
        <v>4.71751579275837E-2</v>
      </c>
      <c r="J5777">
        <v>7.6475067826337201E-2</v>
      </c>
      <c r="K5777">
        <v>8.3997959432986199E-2</v>
      </c>
      <c r="L5777">
        <v>1162.07991584038</v>
      </c>
      <c r="M5777">
        <v>25.0698410224668</v>
      </c>
      <c r="N5777">
        <v>46.618054248709001</v>
      </c>
      <c r="O5777">
        <v>46.061785074863103</v>
      </c>
      <c r="P5777">
        <v>-0.127052518631383</v>
      </c>
      <c r="Q5777">
        <v>6.6258574055622493E-2</v>
      </c>
      <c r="R5777">
        <v>0.99642930457537504</v>
      </c>
      <c r="S5777" t="s">
        <v>12345</v>
      </c>
      <c r="T5777" t="s">
        <v>13134</v>
      </c>
      <c r="U5777" t="s">
        <v>13134</v>
      </c>
      <c r="V5777" t="s">
        <v>13134</v>
      </c>
      <c r="W5777" t="s">
        <v>18844</v>
      </c>
      <c r="X5777">
        <v>3</v>
      </c>
      <c r="Y5777" t="s">
        <v>25206</v>
      </c>
      <c r="Z5777" t="s">
        <v>31745</v>
      </c>
      <c r="AA5777">
        <v>0.36511746031526382</v>
      </c>
      <c r="AB5777" t="str">
        <f>HYPERLINK("Melting_Curves/meltCurve_Q9NP92_MRPS30.pdf", "Melting_Curves/meltCurve_Q9NP92_MRPS30.pdf")</f>
        <v>Melting_Curves/meltCurve_Q9NP92_MRPS30.pdf</v>
      </c>
    </row>
    <row r="5778" spans="1:28" x14ac:dyDescent="0.25">
      <c r="A5778" t="s">
        <v>5782</v>
      </c>
      <c r="B5778">
        <v>0.99472303558308395</v>
      </c>
      <c r="C5778">
        <v>1.0057675930385599</v>
      </c>
      <c r="D5778">
        <v>0.77428462817658295</v>
      </c>
      <c r="E5778">
        <v>0.67304645950831798</v>
      </c>
      <c r="F5778">
        <v>0.615507042984339</v>
      </c>
      <c r="G5778">
        <v>0.260604428597908</v>
      </c>
      <c r="H5778">
        <v>0.136336348230989</v>
      </c>
      <c r="I5778">
        <v>0.10168006352273801</v>
      </c>
      <c r="J5778">
        <v>0.118917305834564</v>
      </c>
      <c r="K5778">
        <v>0.103377890606631</v>
      </c>
      <c r="L5778">
        <v>580.83578648889795</v>
      </c>
      <c r="M5778">
        <v>11.661963236337</v>
      </c>
      <c r="N5778">
        <v>50.010495441939199</v>
      </c>
      <c r="O5778">
        <v>48.409118309039997</v>
      </c>
      <c r="P5778">
        <v>-5.8839502600547197E-2</v>
      </c>
      <c r="Q5778">
        <v>2.3285655264628901E-2</v>
      </c>
      <c r="R5778">
        <v>0.97063473468027095</v>
      </c>
      <c r="S5778" t="s">
        <v>12346</v>
      </c>
      <c r="T5778" t="s">
        <v>13134</v>
      </c>
      <c r="U5778" t="s">
        <v>13134</v>
      </c>
      <c r="V5778" t="s">
        <v>13134</v>
      </c>
      <c r="W5778" t="s">
        <v>18845</v>
      </c>
      <c r="X5778">
        <v>6</v>
      </c>
      <c r="Y5778" t="s">
        <v>25207</v>
      </c>
      <c r="Z5778" t="s">
        <v>31746</v>
      </c>
      <c r="AA5778">
        <v>0.46884713411787138</v>
      </c>
      <c r="AB5778" t="str">
        <f>HYPERLINK("Melting_Curves/meltCurve_Q9NPA0_EMC7.pdf", "Melting_Curves/meltCurve_Q9NPA0_EMC7.pdf")</f>
        <v>Melting_Curves/meltCurve_Q9NPA0_EMC7.pdf</v>
      </c>
    </row>
    <row r="5779" spans="1:28" x14ac:dyDescent="0.25">
      <c r="A5779" t="s">
        <v>5783</v>
      </c>
      <c r="B5779">
        <v>0.99472303558308395</v>
      </c>
      <c r="C5779">
        <v>1.07985489775633</v>
      </c>
      <c r="D5779">
        <v>0.82962060872167498</v>
      </c>
      <c r="E5779">
        <v>0.53094082046536295</v>
      </c>
      <c r="F5779">
        <v>0.34017564838623399</v>
      </c>
      <c r="G5779">
        <v>0.15740786287726699</v>
      </c>
      <c r="H5779">
        <v>7.9227557144743097E-2</v>
      </c>
      <c r="I5779">
        <v>5.9345355916946403E-2</v>
      </c>
      <c r="J5779">
        <v>7.85103122085581E-2</v>
      </c>
      <c r="K5779">
        <v>5.4639849835787999E-2</v>
      </c>
      <c r="L5779">
        <v>826.95979534845401</v>
      </c>
      <c r="M5779">
        <v>17.559572028082201</v>
      </c>
      <c r="N5779">
        <v>47.417354199188502</v>
      </c>
      <c r="O5779">
        <v>46.496483951674001</v>
      </c>
      <c r="P5779">
        <v>-8.9099123228297106E-2</v>
      </c>
      <c r="Q5779">
        <v>5.6339265774763198E-2</v>
      </c>
      <c r="R5779">
        <v>0.98756849096204602</v>
      </c>
      <c r="S5779" t="s">
        <v>12347</v>
      </c>
      <c r="T5779" t="s">
        <v>13134</v>
      </c>
      <c r="U5779" t="s">
        <v>13134</v>
      </c>
      <c r="V5779" t="s">
        <v>13134</v>
      </c>
      <c r="W5779" t="s">
        <v>18846</v>
      </c>
      <c r="X5779">
        <v>5</v>
      </c>
      <c r="Y5779" t="s">
        <v>25208</v>
      </c>
      <c r="Z5779" t="s">
        <v>31747</v>
      </c>
      <c r="AA5779">
        <v>0.38973629092557399</v>
      </c>
      <c r="AB5779" t="str">
        <f>HYPERLINK("Melting_Curves/meltCurve_Q9NPA3_MID1IP1.pdf", "Melting_Curves/meltCurve_Q9NPA3_MID1IP1.pdf")</f>
        <v>Melting_Curves/meltCurve_Q9NPA3_MID1IP1.pdf</v>
      </c>
    </row>
    <row r="5780" spans="1:28" x14ac:dyDescent="0.25">
      <c r="A5780" t="s">
        <v>5784</v>
      </c>
      <c r="B5780">
        <v>0.99472303558308395</v>
      </c>
      <c r="C5780">
        <v>1.0303972397305301</v>
      </c>
      <c r="D5780">
        <v>1.0433448439578501</v>
      </c>
      <c r="E5780">
        <v>0.91971664440783596</v>
      </c>
      <c r="F5780">
        <v>0.70358340050762103</v>
      </c>
      <c r="G5780">
        <v>0.56410083649297005</v>
      </c>
      <c r="H5780">
        <v>0.46703004144197202</v>
      </c>
      <c r="I5780">
        <v>0.467667535586476</v>
      </c>
      <c r="J5780">
        <v>0.68032105495747996</v>
      </c>
      <c r="K5780">
        <v>0.50673570220915798</v>
      </c>
      <c r="L5780">
        <v>1597.6276227199701</v>
      </c>
      <c r="M5780">
        <v>32.444903289530899</v>
      </c>
      <c r="O5780">
        <v>49.055317613071203</v>
      </c>
      <c r="P5780">
        <v>-7.7517496701681995E-2</v>
      </c>
      <c r="Q5780">
        <v>0.53118956705773801</v>
      </c>
      <c r="R5780">
        <v>0.93126556909969205</v>
      </c>
      <c r="S5780" t="s">
        <v>12348</v>
      </c>
      <c r="T5780" t="s">
        <v>13134</v>
      </c>
      <c r="U5780" t="s">
        <v>13134</v>
      </c>
      <c r="V5780" t="s">
        <v>13134</v>
      </c>
      <c r="W5780" t="s">
        <v>18847</v>
      </c>
      <c r="X5780">
        <v>5</v>
      </c>
      <c r="Y5780" t="s">
        <v>25209</v>
      </c>
      <c r="Z5780" t="s">
        <v>31748</v>
      </c>
      <c r="AA5780">
        <v>0.72491260545929426</v>
      </c>
      <c r="AB5780" t="str">
        <f>HYPERLINK("Melting_Curves/meltCurve_Q9NPA8_2_ENY2.pdf", "Melting_Curves/meltCurve_Q9NPA8_2_ENY2.pdf")</f>
        <v>Melting_Curves/meltCurve_Q9NPA8_2_ENY2.pdf</v>
      </c>
    </row>
    <row r="5781" spans="1:28" x14ac:dyDescent="0.25">
      <c r="A5781" t="s">
        <v>5785</v>
      </c>
      <c r="B5781">
        <v>0.99472303558308395</v>
      </c>
      <c r="C5781">
        <v>0.96890437186714795</v>
      </c>
      <c r="D5781">
        <v>1.0260745497980399</v>
      </c>
      <c r="E5781">
        <v>0.78465053835086795</v>
      </c>
      <c r="F5781">
        <v>0.26298856106641599</v>
      </c>
      <c r="G5781">
        <v>0.102970327731964</v>
      </c>
      <c r="H5781">
        <v>8.08694195059972E-2</v>
      </c>
      <c r="I5781">
        <v>4.9812114541072601E-2</v>
      </c>
      <c r="J5781">
        <v>5.99103644779806E-2</v>
      </c>
      <c r="K5781">
        <v>3.8303282586853699E-2</v>
      </c>
      <c r="L5781">
        <v>1631.67276812318</v>
      </c>
      <c r="M5781">
        <v>33.7741120428743</v>
      </c>
      <c r="N5781">
        <v>48.491369631329199</v>
      </c>
      <c r="O5781">
        <v>48.142917472064198</v>
      </c>
      <c r="P5781">
        <v>-0.16505124960674</v>
      </c>
      <c r="Q5781">
        <v>5.8922247412408799E-2</v>
      </c>
      <c r="R5781">
        <v>0.99794707324904597</v>
      </c>
      <c r="S5781" t="s">
        <v>12349</v>
      </c>
      <c r="T5781" t="s">
        <v>13134</v>
      </c>
      <c r="U5781" t="s">
        <v>13134</v>
      </c>
      <c r="V5781" t="s">
        <v>13134</v>
      </c>
      <c r="W5781" t="s">
        <v>18848</v>
      </c>
      <c r="X5781">
        <v>5</v>
      </c>
      <c r="Y5781" t="s">
        <v>25210</v>
      </c>
      <c r="Z5781" t="s">
        <v>31749</v>
      </c>
      <c r="AA5781">
        <v>0.41816921937309232</v>
      </c>
      <c r="AB5781" t="str">
        <f>HYPERLINK("Melting_Curves/meltCurve_Q9NPB8_GPCPD1.pdf", "Melting_Curves/meltCurve_Q9NPB8_GPCPD1.pdf")</f>
        <v>Melting_Curves/meltCurve_Q9NPB8_GPCPD1.pdf</v>
      </c>
    </row>
    <row r="5782" spans="1:28" x14ac:dyDescent="0.25">
      <c r="A5782" t="s">
        <v>5786</v>
      </c>
      <c r="B5782">
        <v>0.99472303558308395</v>
      </c>
      <c r="C5782">
        <v>1.01844450356116</v>
      </c>
      <c r="D5782">
        <v>1.02251618319277</v>
      </c>
      <c r="E5782">
        <v>1.06138880101489</v>
      </c>
      <c r="F5782">
        <v>1.11848171335249</v>
      </c>
      <c r="G5782">
        <v>0.85686733255456604</v>
      </c>
      <c r="H5782">
        <v>0.52981841639432603</v>
      </c>
      <c r="I5782">
        <v>0.50288273793690397</v>
      </c>
      <c r="J5782">
        <v>0.39807726628226597</v>
      </c>
      <c r="K5782">
        <v>0.19089749338755299</v>
      </c>
      <c r="L5782">
        <v>1304.72984971556</v>
      </c>
      <c r="M5782">
        <v>22.825068188389999</v>
      </c>
      <c r="N5782">
        <v>59.175893221518201</v>
      </c>
      <c r="O5782">
        <v>56.728782851403501</v>
      </c>
      <c r="P5782">
        <v>-7.3426370306832897E-2</v>
      </c>
      <c r="Q5782">
        <v>0.27004650754460802</v>
      </c>
      <c r="R5782">
        <v>0.94030631650919305</v>
      </c>
      <c r="S5782" t="s">
        <v>12350</v>
      </c>
      <c r="T5782" t="s">
        <v>13134</v>
      </c>
      <c r="U5782" t="s">
        <v>13134</v>
      </c>
      <c r="V5782" t="s">
        <v>13134</v>
      </c>
      <c r="W5782" t="s">
        <v>18849</v>
      </c>
      <c r="X5782">
        <v>10</v>
      </c>
      <c r="Y5782" t="s">
        <v>25211</v>
      </c>
      <c r="Z5782" t="s">
        <v>31750</v>
      </c>
      <c r="AA5782">
        <v>0.76641866806091441</v>
      </c>
      <c r="AB5782" t="str">
        <f>HYPERLINK("Melting_Curves/meltCurve_Q9NPD3_EXOSC4.pdf", "Melting_Curves/meltCurve_Q9NPD3_EXOSC4.pdf")</f>
        <v>Melting_Curves/meltCurve_Q9NPD3_EXOSC4.pdf</v>
      </c>
    </row>
    <row r="5783" spans="1:28" x14ac:dyDescent="0.25">
      <c r="A5783" t="s">
        <v>5787</v>
      </c>
      <c r="B5783">
        <v>0.99472303558308395</v>
      </c>
      <c r="C5783">
        <v>1.0439181898351799</v>
      </c>
      <c r="D5783">
        <v>0.97325123353112597</v>
      </c>
      <c r="E5783">
        <v>0.81539061537903601</v>
      </c>
      <c r="F5783">
        <v>0.26356565956575001</v>
      </c>
      <c r="G5783">
        <v>0.114661509041125</v>
      </c>
      <c r="H5783">
        <v>6.8170014473489193E-2</v>
      </c>
      <c r="I5783">
        <v>5.22999890879896E-2</v>
      </c>
      <c r="J5783">
        <v>6.6643142316159698E-2</v>
      </c>
      <c r="K5783">
        <v>4.2111701119466903E-2</v>
      </c>
      <c r="L5783">
        <v>1691.4435438975499</v>
      </c>
      <c r="M5783">
        <v>34.929030460215401</v>
      </c>
      <c r="N5783">
        <v>48.605899393451502</v>
      </c>
      <c r="O5783">
        <v>48.267252318846701</v>
      </c>
      <c r="P5783">
        <v>-0.16989697833283901</v>
      </c>
      <c r="Q5783">
        <v>6.0903780638790997E-2</v>
      </c>
      <c r="R5783">
        <v>0.99806968319386002</v>
      </c>
      <c r="S5783" t="s">
        <v>12351</v>
      </c>
      <c r="T5783" t="s">
        <v>13134</v>
      </c>
      <c r="U5783" t="s">
        <v>13134</v>
      </c>
      <c r="V5783" t="s">
        <v>13134</v>
      </c>
      <c r="W5783" t="s">
        <v>18850</v>
      </c>
      <c r="X5783">
        <v>10</v>
      </c>
      <c r="Y5783" t="s">
        <v>25212</v>
      </c>
      <c r="Z5783" t="s">
        <v>31751</v>
      </c>
      <c r="AA5783">
        <v>0.42267759074915162</v>
      </c>
      <c r="AB5783" t="str">
        <f>HYPERLINK("Melting_Curves/meltCurve_Q9NPD8_UBE2T.pdf", "Melting_Curves/meltCurve_Q9NPD8_UBE2T.pdf")</f>
        <v>Melting_Curves/meltCurve_Q9NPD8_UBE2T.pdf</v>
      </c>
    </row>
    <row r="5784" spans="1:28" x14ac:dyDescent="0.25">
      <c r="A5784" t="s">
        <v>5788</v>
      </c>
      <c r="B5784">
        <v>0.99472303558308395</v>
      </c>
      <c r="C5784">
        <v>0.84588739369301102</v>
      </c>
      <c r="D5784">
        <v>0.85020512869576403</v>
      </c>
      <c r="E5784">
        <v>0.68564310561094499</v>
      </c>
      <c r="F5784">
        <v>0.71064865337975103</v>
      </c>
      <c r="G5784">
        <v>0.389198628451002</v>
      </c>
      <c r="H5784">
        <v>0.23144888329872301</v>
      </c>
      <c r="I5784">
        <v>0.159275782909198</v>
      </c>
      <c r="J5784">
        <v>0.17416129389229701</v>
      </c>
      <c r="K5784">
        <v>0.15263475464849699</v>
      </c>
      <c r="L5784">
        <v>458.31139603377</v>
      </c>
      <c r="M5784">
        <v>8.8573686295623908</v>
      </c>
      <c r="N5784">
        <v>51.743516003859703</v>
      </c>
      <c r="O5784">
        <v>49.3096339598032</v>
      </c>
      <c r="P5784">
        <v>-4.49415306385424E-2</v>
      </c>
      <c r="Q5784">
        <v>0</v>
      </c>
      <c r="R5784">
        <v>0.96066676331965295</v>
      </c>
      <c r="S5784" t="s">
        <v>12352</v>
      </c>
      <c r="T5784" t="s">
        <v>13134</v>
      </c>
      <c r="U5784" t="s">
        <v>13134</v>
      </c>
      <c r="V5784" t="s">
        <v>13134</v>
      </c>
      <c r="W5784" t="s">
        <v>18851</v>
      </c>
      <c r="X5784">
        <v>4</v>
      </c>
      <c r="Y5784" t="s">
        <v>25213</v>
      </c>
      <c r="Z5784" t="s">
        <v>31752</v>
      </c>
      <c r="AA5784">
        <v>0.52073338449261486</v>
      </c>
      <c r="AB5784" t="str">
        <f>HYPERLINK("Melting_Curves/meltCurve_Q9NPE2_NGRN.pdf", "Melting_Curves/meltCurve_Q9NPE2_NGRN.pdf")</f>
        <v>Melting_Curves/meltCurve_Q9NPE2_NGRN.pdf</v>
      </c>
    </row>
    <row r="5785" spans="1:28" x14ac:dyDescent="0.25">
      <c r="A5785" t="s">
        <v>5789</v>
      </c>
      <c r="B5785">
        <v>0.99472303558308395</v>
      </c>
      <c r="C5785">
        <v>1.01117207850613</v>
      </c>
      <c r="D5785">
        <v>0.89962098526148904</v>
      </c>
      <c r="E5785">
        <v>0.68626562690024495</v>
      </c>
      <c r="F5785">
        <v>0.438249020014012</v>
      </c>
      <c r="G5785">
        <v>0.300992461812287</v>
      </c>
      <c r="H5785">
        <v>0.225449708698019</v>
      </c>
      <c r="I5785">
        <v>0.27452030736604099</v>
      </c>
      <c r="J5785">
        <v>0.34366502509040597</v>
      </c>
      <c r="K5785">
        <v>0.21483732310699699</v>
      </c>
      <c r="L5785">
        <v>993.89568380954904</v>
      </c>
      <c r="M5785">
        <v>21.029127654392699</v>
      </c>
      <c r="N5785">
        <v>48.948680910104002</v>
      </c>
      <c r="O5785">
        <v>46.841644182384002</v>
      </c>
      <c r="P5785">
        <v>-8.3318670858240698E-2</v>
      </c>
      <c r="Q5785">
        <v>0.25766213723380299</v>
      </c>
      <c r="R5785">
        <v>0.98671704081983402</v>
      </c>
      <c r="S5785" t="s">
        <v>12353</v>
      </c>
      <c r="T5785" t="s">
        <v>13134</v>
      </c>
      <c r="U5785" t="s">
        <v>13134</v>
      </c>
      <c r="V5785" t="s">
        <v>13134</v>
      </c>
      <c r="W5785" t="s">
        <v>18852</v>
      </c>
      <c r="X5785">
        <v>2</v>
      </c>
      <c r="Y5785" t="s">
        <v>25214</v>
      </c>
      <c r="Z5785" t="s">
        <v>31753</v>
      </c>
      <c r="AA5785">
        <v>0.52043142059594316</v>
      </c>
      <c r="AB5785" t="str">
        <f>HYPERLINK("Melting_Curves/meltCurve_Q9NPE3_NOP10.pdf", "Melting_Curves/meltCurve_Q9NPE3_NOP10.pdf")</f>
        <v>Melting_Curves/meltCurve_Q9NPE3_NOP10.pdf</v>
      </c>
    </row>
    <row r="5786" spans="1:28" x14ac:dyDescent="0.25">
      <c r="A5786" t="s">
        <v>5790</v>
      </c>
      <c r="B5786">
        <v>0.99472303558308395</v>
      </c>
      <c r="C5786">
        <v>0.97671835979114996</v>
      </c>
      <c r="D5786">
        <v>1.0086260706527601</v>
      </c>
      <c r="E5786">
        <v>0.96831358560280301</v>
      </c>
      <c r="F5786">
        <v>0.79175564718807001</v>
      </c>
      <c r="G5786">
        <v>0.64729766743026396</v>
      </c>
      <c r="H5786">
        <v>0.50329691876286897</v>
      </c>
      <c r="I5786">
        <v>0.63052593318040395</v>
      </c>
      <c r="J5786">
        <v>0.74837455191366697</v>
      </c>
      <c r="K5786">
        <v>0.71260099090705198</v>
      </c>
      <c r="L5786">
        <v>2341.44477317784</v>
      </c>
      <c r="M5786">
        <v>47.064024270137097</v>
      </c>
      <c r="O5786">
        <v>49.660631737986002</v>
      </c>
      <c r="P5786">
        <v>-8.3669014795262897E-2</v>
      </c>
      <c r="Q5786">
        <v>0.64685964196772705</v>
      </c>
      <c r="R5786">
        <v>0.87382581750903299</v>
      </c>
      <c r="S5786" t="s">
        <v>12354</v>
      </c>
      <c r="T5786" t="s">
        <v>13134</v>
      </c>
      <c r="U5786" t="s">
        <v>13134</v>
      </c>
      <c r="V5786" t="s">
        <v>13134</v>
      </c>
      <c r="W5786" t="s">
        <v>18853</v>
      </c>
      <c r="X5786">
        <v>7</v>
      </c>
      <c r="Y5786" t="s">
        <v>25215</v>
      </c>
      <c r="Z5786" t="s">
        <v>31754</v>
      </c>
      <c r="AA5786">
        <v>0.79782186443210068</v>
      </c>
      <c r="AB5786" t="str">
        <f>HYPERLINK("Melting_Curves/meltCurve_Q9NPF0_CD320.pdf", "Melting_Curves/meltCurve_Q9NPF0_CD320.pdf")</f>
        <v>Melting_Curves/meltCurve_Q9NPF0_CD320.pdf</v>
      </c>
    </row>
    <row r="5787" spans="1:28" x14ac:dyDescent="0.25">
      <c r="A5787" t="s">
        <v>5791</v>
      </c>
      <c r="B5787">
        <v>0.99472303558308395</v>
      </c>
      <c r="C5787">
        <v>0.96286042898730195</v>
      </c>
      <c r="D5787">
        <v>0.91607661689841202</v>
      </c>
      <c r="E5787">
        <v>0.845111803371144</v>
      </c>
      <c r="F5787">
        <v>0.74496679959297496</v>
      </c>
      <c r="G5787">
        <v>0.54396727169377501</v>
      </c>
      <c r="H5787">
        <v>0.37752358126435998</v>
      </c>
      <c r="I5787">
        <v>0.22526136366959101</v>
      </c>
      <c r="J5787">
        <v>0.12441855684106699</v>
      </c>
      <c r="K5787">
        <v>0.105957110120129</v>
      </c>
      <c r="L5787">
        <v>611.49875261709894</v>
      </c>
      <c r="M5787">
        <v>11.224301708167401</v>
      </c>
      <c r="N5787">
        <v>54.479886273024597</v>
      </c>
      <c r="O5787">
        <v>52.836457476280799</v>
      </c>
      <c r="P5787">
        <v>-5.31252740794163E-2</v>
      </c>
      <c r="Q5787">
        <v>0</v>
      </c>
      <c r="R5787">
        <v>0.99620184192049399</v>
      </c>
      <c r="S5787" t="s">
        <v>12355</v>
      </c>
      <c r="T5787" t="s">
        <v>13134</v>
      </c>
      <c r="U5787" t="s">
        <v>13134</v>
      </c>
      <c r="V5787" t="s">
        <v>13134</v>
      </c>
      <c r="W5787" t="s">
        <v>18854</v>
      </c>
      <c r="X5787">
        <v>13</v>
      </c>
      <c r="Y5787" t="s">
        <v>25216</v>
      </c>
      <c r="Z5787" t="s">
        <v>31755</v>
      </c>
      <c r="AA5787">
        <v>0.59867476579271861</v>
      </c>
      <c r="AB5787" t="str">
        <f>HYPERLINK("Melting_Curves/meltCurve_Q9NPF4_OSGEP.pdf", "Melting_Curves/meltCurve_Q9NPF4_OSGEP.pdf")</f>
        <v>Melting_Curves/meltCurve_Q9NPF4_OSGEP.pdf</v>
      </c>
    </row>
    <row r="5788" spans="1:28" x14ac:dyDescent="0.25">
      <c r="A5788" t="s">
        <v>5792</v>
      </c>
      <c r="B5788">
        <v>0.99472303558308395</v>
      </c>
      <c r="C5788">
        <v>0.84719086624891504</v>
      </c>
      <c r="D5788">
        <v>0.66060652703584</v>
      </c>
      <c r="E5788">
        <v>0.43996938889051801</v>
      </c>
      <c r="F5788">
        <v>0.309232754397534</v>
      </c>
      <c r="G5788">
        <v>0.15318527006656901</v>
      </c>
      <c r="H5788">
        <v>0.116941437698692</v>
      </c>
      <c r="I5788">
        <v>9.4784649640859794E-2</v>
      </c>
      <c r="J5788">
        <v>0.135357723199071</v>
      </c>
      <c r="K5788">
        <v>9.1847681610572399E-2</v>
      </c>
      <c r="L5788">
        <v>594.765707533154</v>
      </c>
      <c r="M5788">
        <v>13.2155974510266</v>
      </c>
      <c r="N5788">
        <v>45.6393389712252</v>
      </c>
      <c r="O5788">
        <v>44.011813313411899</v>
      </c>
      <c r="P5788">
        <v>-6.8779935156147498E-2</v>
      </c>
      <c r="Q5788">
        <v>8.3922914642616794E-2</v>
      </c>
      <c r="R5788">
        <v>0.99383899304757894</v>
      </c>
      <c r="S5788" t="s">
        <v>12356</v>
      </c>
      <c r="T5788" t="s">
        <v>13134</v>
      </c>
      <c r="U5788" t="s">
        <v>13134</v>
      </c>
      <c r="V5788" t="s">
        <v>13134</v>
      </c>
      <c r="W5788" t="s">
        <v>18855</v>
      </c>
      <c r="X5788">
        <v>7</v>
      </c>
      <c r="Y5788" t="s">
        <v>25217</v>
      </c>
      <c r="Z5788" t="s">
        <v>31756</v>
      </c>
      <c r="AA5788">
        <v>0.35622793063314989</v>
      </c>
      <c r="AB5788" t="str">
        <f>HYPERLINK("Melting_Curves/meltCurve_Q9NPF5_DMAP1.pdf", "Melting_Curves/meltCurve_Q9NPF5_DMAP1.pdf")</f>
        <v>Melting_Curves/meltCurve_Q9NPF5_DMAP1.pdf</v>
      </c>
    </row>
    <row r="5789" spans="1:28" x14ac:dyDescent="0.25">
      <c r="A5789" t="s">
        <v>5793</v>
      </c>
      <c r="B5789">
        <v>0.99472303558308395</v>
      </c>
      <c r="C5789">
        <v>0.98971405104677401</v>
      </c>
      <c r="D5789">
        <v>0.87520349440063805</v>
      </c>
      <c r="E5789">
        <v>0.79058808678793002</v>
      </c>
      <c r="F5789">
        <v>0.91823657979066697</v>
      </c>
      <c r="G5789">
        <v>0.642002724391593</v>
      </c>
      <c r="H5789">
        <v>0.39072756565577499</v>
      </c>
      <c r="I5789">
        <v>0.47456016185470801</v>
      </c>
      <c r="J5789">
        <v>0.54742571897842096</v>
      </c>
      <c r="K5789">
        <v>0.58595870612938405</v>
      </c>
      <c r="L5789">
        <v>715.04114444219897</v>
      </c>
      <c r="M5789">
        <v>14.148251016239801</v>
      </c>
      <c r="N5789">
        <v>65.251738239400396</v>
      </c>
      <c r="O5789">
        <v>49.5616836492853</v>
      </c>
      <c r="P5789">
        <v>-3.7157240261949602E-2</v>
      </c>
      <c r="Q5789">
        <v>0.47941517137314899</v>
      </c>
      <c r="R5789">
        <v>0.80914691486741397</v>
      </c>
      <c r="S5789" t="s">
        <v>12357</v>
      </c>
      <c r="T5789" t="s">
        <v>13134</v>
      </c>
      <c r="U5789" t="s">
        <v>13134</v>
      </c>
      <c r="V5789" t="s">
        <v>13134</v>
      </c>
      <c r="W5789" t="s">
        <v>18856</v>
      </c>
      <c r="X5789">
        <v>20</v>
      </c>
      <c r="Y5789" t="s">
        <v>25218</v>
      </c>
      <c r="Z5789" t="s">
        <v>31757</v>
      </c>
      <c r="AA5789">
        <v>0.72590393752293692</v>
      </c>
      <c r="AB5789" t="str">
        <f>HYPERLINK("Melting_Curves/meltCurve_Q9NPH2_ISYNA1.pdf", "Melting_Curves/meltCurve_Q9NPH2_ISYNA1.pdf")</f>
        <v>Melting_Curves/meltCurve_Q9NPH2_ISYNA1.pdf</v>
      </c>
    </row>
    <row r="5790" spans="1:28" x14ac:dyDescent="0.25">
      <c r="A5790" t="s">
        <v>5794</v>
      </c>
      <c r="B5790">
        <v>0.99472303558308395</v>
      </c>
      <c r="C5790">
        <v>1.00830092874803</v>
      </c>
      <c r="D5790">
        <v>0.773604646002372</v>
      </c>
      <c r="E5790">
        <v>0.48356198328398398</v>
      </c>
      <c r="F5790">
        <v>0.26352093859442</v>
      </c>
      <c r="G5790">
        <v>0.19467662243245401</v>
      </c>
      <c r="H5790">
        <v>0.112978286635736</v>
      </c>
      <c r="I5790">
        <v>7.8243431601352997E-2</v>
      </c>
      <c r="J5790">
        <v>7.6871393374344094E-2</v>
      </c>
      <c r="K5790">
        <v>8.0547205080471695E-2</v>
      </c>
      <c r="L5790">
        <v>803.15562878168498</v>
      </c>
      <c r="M5790">
        <v>17.4280248788824</v>
      </c>
      <c r="N5790">
        <v>46.567074103685698</v>
      </c>
      <c r="O5790">
        <v>45.4902411050438</v>
      </c>
      <c r="P5790">
        <v>-8.7865474194591703E-2</v>
      </c>
      <c r="Q5790">
        <v>8.2673422732669394E-2</v>
      </c>
      <c r="R5790">
        <v>0.99441597305569396</v>
      </c>
      <c r="S5790" t="s">
        <v>12358</v>
      </c>
      <c r="T5790" t="s">
        <v>13134</v>
      </c>
      <c r="U5790" t="s">
        <v>13134</v>
      </c>
      <c r="V5790" t="s">
        <v>13134</v>
      </c>
      <c r="W5790" t="s">
        <v>18857</v>
      </c>
      <c r="X5790">
        <v>3</v>
      </c>
      <c r="Y5790" t="s">
        <v>25219</v>
      </c>
      <c r="Z5790" t="s">
        <v>31758</v>
      </c>
      <c r="AA5790">
        <v>0.37623800731605889</v>
      </c>
      <c r="AB5790" t="str">
        <f>HYPERLINK("Melting_Curves/meltCurve_Q9NPI1_BRD7.pdf", "Melting_Curves/meltCurve_Q9NPI1_BRD7.pdf")</f>
        <v>Melting_Curves/meltCurve_Q9NPI1_BRD7.pdf</v>
      </c>
    </row>
    <row r="5791" spans="1:28" x14ac:dyDescent="0.25">
      <c r="A5791" t="s">
        <v>5795</v>
      </c>
      <c r="B5791">
        <v>0.99472303558308395</v>
      </c>
      <c r="C5791">
        <v>0.96489664869989999</v>
      </c>
      <c r="D5791">
        <v>0.98795037160135701</v>
      </c>
      <c r="E5791">
        <v>0.91519565486496401</v>
      </c>
      <c r="F5791">
        <v>0.79124659254579499</v>
      </c>
      <c r="G5791">
        <v>0.66725849131054804</v>
      </c>
      <c r="H5791">
        <v>0.57543683636940002</v>
      </c>
      <c r="I5791">
        <v>0.649726789224923</v>
      </c>
      <c r="J5791">
        <v>0.83554802143267104</v>
      </c>
      <c r="K5791">
        <v>0.58223585783655796</v>
      </c>
      <c r="L5791">
        <v>1351.38762534343</v>
      </c>
      <c r="M5791">
        <v>27.6540698873998</v>
      </c>
      <c r="O5791">
        <v>48.614191090516698</v>
      </c>
      <c r="P5791">
        <v>-4.8585161622716103E-2</v>
      </c>
      <c r="Q5791">
        <v>0.65836391701226804</v>
      </c>
      <c r="R5791">
        <v>0.81359130523793799</v>
      </c>
      <c r="S5791" t="s">
        <v>12359</v>
      </c>
      <c r="T5791" t="s">
        <v>13134</v>
      </c>
      <c r="U5791" t="s">
        <v>13134</v>
      </c>
      <c r="V5791" t="s">
        <v>13134</v>
      </c>
      <c r="W5791" t="s">
        <v>18858</v>
      </c>
      <c r="X5791">
        <v>6</v>
      </c>
      <c r="Y5791" t="s">
        <v>25220</v>
      </c>
      <c r="Z5791" t="s">
        <v>31759</v>
      </c>
      <c r="AA5791">
        <v>0.79592738144145325</v>
      </c>
      <c r="AB5791" t="str">
        <f>HYPERLINK("Melting_Curves/meltCurve_Q9NPJ3_ACOT13.pdf", "Melting_Curves/meltCurve_Q9NPJ3_ACOT13.pdf")</f>
        <v>Melting_Curves/meltCurve_Q9NPJ3_ACOT13.pdf</v>
      </c>
    </row>
    <row r="5792" spans="1:28" x14ac:dyDescent="0.25">
      <c r="A5792" t="s">
        <v>5796</v>
      </c>
      <c r="B5792">
        <v>0.99472303558308395</v>
      </c>
      <c r="C5792">
        <v>0.97615844610719904</v>
      </c>
      <c r="D5792">
        <v>0.85202266111348002</v>
      </c>
      <c r="E5792">
        <v>0.69355229397666296</v>
      </c>
      <c r="F5792">
        <v>0.71191966059845602</v>
      </c>
      <c r="G5792">
        <v>0.41825029928882002</v>
      </c>
      <c r="H5792">
        <v>0.36784911654547903</v>
      </c>
      <c r="I5792">
        <v>0.16430643107360399</v>
      </c>
      <c r="J5792">
        <v>0.19841303996637499</v>
      </c>
      <c r="K5792">
        <v>0.14355393358394899</v>
      </c>
      <c r="L5792">
        <v>463.71375353086898</v>
      </c>
      <c r="M5792">
        <v>8.7827937678543204</v>
      </c>
      <c r="N5792">
        <v>52.797978155477303</v>
      </c>
      <c r="O5792">
        <v>50.275435569629899</v>
      </c>
      <c r="P5792">
        <v>-4.3708170236168097E-2</v>
      </c>
      <c r="Q5792">
        <v>0</v>
      </c>
      <c r="R5792">
        <v>0.97452738731873101</v>
      </c>
      <c r="S5792" t="s">
        <v>12360</v>
      </c>
      <c r="T5792" t="s">
        <v>13134</v>
      </c>
      <c r="U5792" t="s">
        <v>13134</v>
      </c>
      <c r="V5792" t="s">
        <v>13134</v>
      </c>
      <c r="W5792" t="s">
        <v>18859</v>
      </c>
      <c r="X5792">
        <v>7</v>
      </c>
      <c r="Y5792" t="s">
        <v>25221</v>
      </c>
      <c r="Z5792" t="s">
        <v>31760</v>
      </c>
      <c r="AA5792">
        <v>0.55015229660191423</v>
      </c>
      <c r="AB5792" t="str">
        <f>HYPERLINK("Melting_Curves/meltCurve_Q9NPJ6_MED4.pdf", "Melting_Curves/meltCurve_Q9NPJ6_MED4.pdf")</f>
        <v>Melting_Curves/meltCurve_Q9NPJ6_MED4.pdf</v>
      </c>
    </row>
    <row r="5793" spans="1:28" x14ac:dyDescent="0.25">
      <c r="A5793" t="s">
        <v>5797</v>
      </c>
      <c r="B5793">
        <v>0.99472303558308395</v>
      </c>
      <c r="C5793">
        <v>0.93211274864162197</v>
      </c>
      <c r="D5793">
        <v>0.98267766413851998</v>
      </c>
      <c r="E5793">
        <v>0.78312813468113596</v>
      </c>
      <c r="F5793">
        <v>0.50516702944073599</v>
      </c>
      <c r="G5793">
        <v>0.47572556040953901</v>
      </c>
      <c r="H5793">
        <v>0.37364270513294601</v>
      </c>
      <c r="I5793">
        <v>0.45371497701253999</v>
      </c>
      <c r="J5793">
        <v>0.603020130294321</v>
      </c>
      <c r="K5793">
        <v>0.43152743914851499</v>
      </c>
      <c r="L5793">
        <v>1857.7252824228599</v>
      </c>
      <c r="M5793">
        <v>39.497573113154601</v>
      </c>
      <c r="N5793">
        <v>50.485044244677901</v>
      </c>
      <c r="O5793">
        <v>46.9138158495862</v>
      </c>
      <c r="P5793">
        <v>-0.112312369797548</v>
      </c>
      <c r="Q5793">
        <v>0.46639844311335599</v>
      </c>
      <c r="R5793">
        <v>0.93855741137872095</v>
      </c>
      <c r="S5793" t="s">
        <v>12361</v>
      </c>
      <c r="T5793" t="s">
        <v>13134</v>
      </c>
      <c r="U5793" t="s">
        <v>13134</v>
      </c>
      <c r="V5793" t="s">
        <v>13134</v>
      </c>
      <c r="W5793" t="s">
        <v>18860</v>
      </c>
      <c r="X5793">
        <v>9</v>
      </c>
      <c r="Y5793" t="s">
        <v>25222</v>
      </c>
      <c r="Z5793" t="s">
        <v>31761</v>
      </c>
      <c r="AA5793">
        <v>0.64664882785758115</v>
      </c>
      <c r="AB5793" t="str">
        <f>HYPERLINK("Melting_Curves/meltCurve_Q9NPL8_TIMMDC1.pdf", "Melting_Curves/meltCurve_Q9NPL8_TIMMDC1.pdf")</f>
        <v>Melting_Curves/meltCurve_Q9NPL8_TIMMDC1.pdf</v>
      </c>
    </row>
    <row r="5794" spans="1:28" x14ac:dyDescent="0.25">
      <c r="A5794" t="s">
        <v>5798</v>
      </c>
      <c r="B5794">
        <v>0.99472303558308395</v>
      </c>
      <c r="C5794">
        <v>0.954068448394913</v>
      </c>
      <c r="D5794">
        <v>0.88943486579100794</v>
      </c>
      <c r="E5794">
        <v>0.47538166851053598</v>
      </c>
      <c r="F5794">
        <v>0.206897012066634</v>
      </c>
      <c r="G5794">
        <v>0.111241721120383</v>
      </c>
      <c r="H5794">
        <v>6.3760010765298802E-2</v>
      </c>
      <c r="I5794">
        <v>3.7677476880463801E-2</v>
      </c>
      <c r="J5794">
        <v>4.5579349775422801E-2</v>
      </c>
      <c r="K5794">
        <v>3.9768106783996997E-2</v>
      </c>
      <c r="L5794">
        <v>1034.70312340125</v>
      </c>
      <c r="M5794">
        <v>22.310222994515499</v>
      </c>
      <c r="N5794">
        <v>46.585778570690699</v>
      </c>
      <c r="O5794">
        <v>46.010175150990001</v>
      </c>
      <c r="P5794">
        <v>-0.115485395795372</v>
      </c>
      <c r="Q5794">
        <v>4.7361689990047098E-2</v>
      </c>
      <c r="R5794">
        <v>0.99814794561003695</v>
      </c>
      <c r="S5794" t="s">
        <v>12362</v>
      </c>
      <c r="T5794" t="s">
        <v>13134</v>
      </c>
      <c r="U5794" t="s">
        <v>13134</v>
      </c>
      <c r="V5794" t="s">
        <v>13134</v>
      </c>
      <c r="W5794" t="s">
        <v>18861</v>
      </c>
      <c r="X5794">
        <v>15</v>
      </c>
      <c r="Y5794" t="s">
        <v>20599</v>
      </c>
      <c r="Z5794" t="s">
        <v>31762</v>
      </c>
      <c r="AA5794">
        <v>0.35514961395454359</v>
      </c>
      <c r="AB5794" t="str">
        <f>HYPERLINK("Melting_Curves/meltCurve_Q9NPQ8_4_RIC8A.pdf", "Melting_Curves/meltCurve_Q9NPQ8_4_RIC8A.pdf")</f>
        <v>Melting_Curves/meltCurve_Q9NPQ8_4_RIC8A.pdf</v>
      </c>
    </row>
    <row r="5795" spans="1:28" x14ac:dyDescent="0.25">
      <c r="A5795" t="s">
        <v>5799</v>
      </c>
      <c r="B5795">
        <v>0.99472303558308395</v>
      </c>
      <c r="C5795">
        <v>0.94790134920966995</v>
      </c>
      <c r="D5795">
        <v>0.99606417484597998</v>
      </c>
      <c r="E5795">
        <v>0.79515612120926604</v>
      </c>
      <c r="F5795">
        <v>0.50129436596729304</v>
      </c>
      <c r="G5795">
        <v>0.161255345480638</v>
      </c>
      <c r="H5795">
        <v>7.9078037885460098E-2</v>
      </c>
      <c r="I5795">
        <v>4.6083324997638599E-2</v>
      </c>
      <c r="J5795">
        <v>7.3036163004905105E-2</v>
      </c>
      <c r="K5795">
        <v>7.6104281088833603E-2</v>
      </c>
      <c r="L5795">
        <v>1136.9561541216499</v>
      </c>
      <c r="M5795">
        <v>22.895916882932902</v>
      </c>
      <c r="N5795">
        <v>49.889769457225299</v>
      </c>
      <c r="O5795">
        <v>49.283455595421103</v>
      </c>
      <c r="P5795">
        <v>-0.110276132960096</v>
      </c>
      <c r="Q5795">
        <v>5.0541012344851102E-2</v>
      </c>
      <c r="R5795">
        <v>0.99556907354697399</v>
      </c>
      <c r="S5795" t="s">
        <v>12363</v>
      </c>
      <c r="T5795" t="s">
        <v>13134</v>
      </c>
      <c r="U5795" t="s">
        <v>13134</v>
      </c>
      <c r="V5795" t="s">
        <v>13134</v>
      </c>
      <c r="W5795" t="s">
        <v>18862</v>
      </c>
      <c r="X5795">
        <v>2</v>
      </c>
      <c r="Y5795" t="s">
        <v>25223</v>
      </c>
      <c r="Z5795" t="s">
        <v>31763</v>
      </c>
      <c r="AA5795">
        <v>0.46090957958864798</v>
      </c>
      <c r="AB5795" t="str">
        <f>HYPERLINK("Melting_Curves/meltCurve_Q9NPR9_GPR108.pdf", "Melting_Curves/meltCurve_Q9NPR9_GPR108.pdf")</f>
        <v>Melting_Curves/meltCurve_Q9NPR9_GPR108.pdf</v>
      </c>
    </row>
    <row r="5796" spans="1:28" x14ac:dyDescent="0.25">
      <c r="A5796" t="s">
        <v>5800</v>
      </c>
      <c r="B5796">
        <v>0.99472303558308395</v>
      </c>
      <c r="C5796">
        <v>1.2843720930243601</v>
      </c>
      <c r="D5796">
        <v>1.24810273391855</v>
      </c>
      <c r="E5796">
        <v>0.76894570520043803</v>
      </c>
      <c r="F5796">
        <v>0.74022758939031097</v>
      </c>
      <c r="G5796">
        <v>0.52127810949728004</v>
      </c>
      <c r="H5796">
        <v>0.22568875094563901</v>
      </c>
      <c r="I5796">
        <v>0</v>
      </c>
      <c r="J5796">
        <v>0</v>
      </c>
      <c r="K5796">
        <v>0</v>
      </c>
      <c r="L5796">
        <v>1002.5984420671</v>
      </c>
      <c r="M5796">
        <v>18.809810831517598</v>
      </c>
      <c r="N5796">
        <v>53.301888563640802</v>
      </c>
      <c r="O5796">
        <v>52.710395908327101</v>
      </c>
      <c r="P5796">
        <v>-8.9216703203682302E-2</v>
      </c>
      <c r="Q5796">
        <v>0</v>
      </c>
      <c r="R5796">
        <v>0.91716242172423101</v>
      </c>
      <c r="S5796" t="s">
        <v>12364</v>
      </c>
      <c r="T5796" t="s">
        <v>13134</v>
      </c>
      <c r="U5796" t="s">
        <v>13134</v>
      </c>
      <c r="V5796" t="s">
        <v>13134</v>
      </c>
      <c r="W5796" t="s">
        <v>18863</v>
      </c>
      <c r="X5796">
        <v>2</v>
      </c>
      <c r="Y5796" t="s">
        <v>25224</v>
      </c>
      <c r="Z5796" t="s">
        <v>31764</v>
      </c>
      <c r="AA5796">
        <v>0.55694052136409355</v>
      </c>
      <c r="AB5796" t="str">
        <f>HYPERLINK("Melting_Curves/meltCurve_Q9NQ11_3_ATP13A2.pdf", "Melting_Curves/meltCurve_Q9NQ11_3_ATP13A2.pdf")</f>
        <v>Melting_Curves/meltCurve_Q9NQ11_3_ATP13A2.pdf</v>
      </c>
    </row>
    <row r="5797" spans="1:28" x14ac:dyDescent="0.25">
      <c r="A5797" t="s">
        <v>5801</v>
      </c>
      <c r="B5797">
        <v>0.99472303558308395</v>
      </c>
      <c r="C5797">
        <v>1.0145863984566199</v>
      </c>
      <c r="D5797">
        <v>0.95619365212928098</v>
      </c>
      <c r="E5797">
        <v>0.85378276046426504</v>
      </c>
      <c r="F5797">
        <v>0.65354632485759601</v>
      </c>
      <c r="G5797">
        <v>0.33390430790756398</v>
      </c>
      <c r="H5797">
        <v>0.12949961390656001</v>
      </c>
      <c r="I5797">
        <v>8.1037202823703899E-2</v>
      </c>
      <c r="J5797">
        <v>8.0494546945667794E-2</v>
      </c>
      <c r="K5797">
        <v>7.7316191358066305E-2</v>
      </c>
      <c r="L5797">
        <v>989.83732692529395</v>
      </c>
      <c r="M5797">
        <v>19.270998777957502</v>
      </c>
      <c r="N5797">
        <v>51.640465318812304</v>
      </c>
      <c r="O5797">
        <v>50.820584366789703</v>
      </c>
      <c r="P5797">
        <v>-9.0157637081639194E-2</v>
      </c>
      <c r="Q5797">
        <v>4.89976924832057E-2</v>
      </c>
      <c r="R5797">
        <v>0.99753715945369803</v>
      </c>
      <c r="S5797" t="s">
        <v>12365</v>
      </c>
      <c r="T5797" t="s">
        <v>13134</v>
      </c>
      <c r="U5797" t="s">
        <v>13134</v>
      </c>
      <c r="V5797" t="s">
        <v>13134</v>
      </c>
      <c r="W5797" t="s">
        <v>18864</v>
      </c>
      <c r="X5797">
        <v>27</v>
      </c>
      <c r="Y5797" t="s">
        <v>25225</v>
      </c>
      <c r="Z5797" t="s">
        <v>31765</v>
      </c>
      <c r="AA5797">
        <v>0.51750693712874929</v>
      </c>
      <c r="AB5797" t="str">
        <f>HYPERLINK("Melting_Curves/meltCurve_Q9NQ29_LUC7L.pdf", "Melting_Curves/meltCurve_Q9NQ29_LUC7L.pdf")</f>
        <v>Melting_Curves/meltCurve_Q9NQ29_LUC7L.pdf</v>
      </c>
    </row>
    <row r="5798" spans="1:28" x14ac:dyDescent="0.25">
      <c r="A5798" t="s">
        <v>5802</v>
      </c>
      <c r="B5798">
        <v>0.99472303558308395</v>
      </c>
      <c r="C5798">
        <v>0.92165971639213595</v>
      </c>
      <c r="D5798">
        <v>0.57940998993185899</v>
      </c>
      <c r="E5798">
        <v>0.32381808566778097</v>
      </c>
      <c r="F5798">
        <v>0.209644588562304</v>
      </c>
      <c r="G5798">
        <v>0.11464794356863101</v>
      </c>
      <c r="H5798">
        <v>5.8529422269965901E-2</v>
      </c>
      <c r="I5798">
        <v>4.1189457695058197E-2</v>
      </c>
      <c r="J5798">
        <v>4.69100147493191E-2</v>
      </c>
      <c r="K5798">
        <v>4.1051578556653201E-2</v>
      </c>
      <c r="L5798">
        <v>744.54786680244695</v>
      </c>
      <c r="M5798">
        <v>16.8581762085972</v>
      </c>
      <c r="N5798">
        <v>44.443513472969897</v>
      </c>
      <c r="O5798">
        <v>43.557971053151803</v>
      </c>
      <c r="P5798">
        <v>-9.1919201918360199E-2</v>
      </c>
      <c r="Q5798">
        <v>5.0061364241963301E-2</v>
      </c>
      <c r="R5798">
        <v>0.99171046823242603</v>
      </c>
      <c r="S5798" t="s">
        <v>12366</v>
      </c>
      <c r="T5798" t="s">
        <v>13134</v>
      </c>
      <c r="U5798" t="s">
        <v>13134</v>
      </c>
      <c r="V5798" t="s">
        <v>13134</v>
      </c>
      <c r="W5798" t="s">
        <v>18865</v>
      </c>
      <c r="X5798">
        <v>5</v>
      </c>
      <c r="Y5798" t="s">
        <v>25226</v>
      </c>
      <c r="Z5798" t="s">
        <v>31766</v>
      </c>
      <c r="AA5798">
        <v>0.2952607540879616</v>
      </c>
      <c r="AB5798" t="str">
        <f>HYPERLINK("Melting_Curves/meltCurve_Q9NQ75_CASS4.pdf", "Melting_Curves/meltCurve_Q9NQ75_CASS4.pdf")</f>
        <v>Melting_Curves/meltCurve_Q9NQ75_CASS4.pdf</v>
      </c>
    </row>
    <row r="5799" spans="1:28" x14ac:dyDescent="0.25">
      <c r="A5799" t="s">
        <v>5803</v>
      </c>
      <c r="B5799">
        <v>0.99472303558308395</v>
      </c>
      <c r="C5799">
        <v>1.10535251231841</v>
      </c>
      <c r="D5799">
        <v>0.90643601057035805</v>
      </c>
      <c r="E5799">
        <v>0.88870763489268001</v>
      </c>
      <c r="F5799">
        <v>0.48858300462425303</v>
      </c>
      <c r="G5799">
        <v>0.15855757782633401</v>
      </c>
      <c r="H5799">
        <v>9.2141309845595806E-2</v>
      </c>
      <c r="I5799">
        <v>5.6053798182292398E-2</v>
      </c>
      <c r="J5799">
        <v>5.77677377281888E-2</v>
      </c>
      <c r="K5799">
        <v>2.2572860499541301E-2</v>
      </c>
      <c r="L5799">
        <v>1310.4107589114601</v>
      </c>
      <c r="M5799">
        <v>26.2427192139622</v>
      </c>
      <c r="N5799">
        <v>50.110395916294401</v>
      </c>
      <c r="O5799">
        <v>49.647021731049897</v>
      </c>
      <c r="P5799">
        <v>-0.126325833491125</v>
      </c>
      <c r="Q5799">
        <v>4.4057892136881903E-2</v>
      </c>
      <c r="R5799">
        <v>0.989533801361697</v>
      </c>
      <c r="S5799" t="s">
        <v>12367</v>
      </c>
      <c r="T5799" t="s">
        <v>13134</v>
      </c>
      <c r="U5799" t="s">
        <v>13134</v>
      </c>
      <c r="V5799" t="s">
        <v>13134</v>
      </c>
      <c r="W5799" t="s">
        <v>18866</v>
      </c>
      <c r="X5799">
        <v>1</v>
      </c>
      <c r="Y5799" t="s">
        <v>25227</v>
      </c>
      <c r="Z5799" t="s">
        <v>31767</v>
      </c>
      <c r="AA5799">
        <v>0.46381591778472397</v>
      </c>
      <c r="AB5799" t="str">
        <f>HYPERLINK("Melting_Curves/meltCurve_Q9NQ88_TIGAR.pdf", "Melting_Curves/meltCurve_Q9NQ88_TIGAR.pdf")</f>
        <v>Melting_Curves/meltCurve_Q9NQ88_TIGAR.pdf</v>
      </c>
    </row>
    <row r="5800" spans="1:28" x14ac:dyDescent="0.25">
      <c r="A5800" t="s">
        <v>5804</v>
      </c>
      <c r="B5800">
        <v>0.99472303558308395</v>
      </c>
      <c r="C5800">
        <v>1.05543545568599</v>
      </c>
      <c r="D5800">
        <v>0.91933007265700395</v>
      </c>
      <c r="E5800">
        <v>0.93219656695610897</v>
      </c>
      <c r="F5800">
        <v>0.77702300495625498</v>
      </c>
      <c r="G5800">
        <v>0.62358097860147399</v>
      </c>
      <c r="H5800">
        <v>0.48874762409392197</v>
      </c>
      <c r="I5800">
        <v>0.390507190763974</v>
      </c>
      <c r="J5800">
        <v>0.30863592805416201</v>
      </c>
      <c r="K5800">
        <v>0.29447492677495002</v>
      </c>
      <c r="L5800">
        <v>661.798477571484</v>
      </c>
      <c r="M5800">
        <v>12.2074208463311</v>
      </c>
      <c r="N5800">
        <v>56.929180401158298</v>
      </c>
      <c r="O5800">
        <v>52.8195491156822</v>
      </c>
      <c r="P5800">
        <v>-4.5034728129130702E-2</v>
      </c>
      <c r="Q5800">
        <v>0.22074364294660301</v>
      </c>
      <c r="R5800">
        <v>0.98991988250336305</v>
      </c>
      <c r="S5800" t="s">
        <v>12368</v>
      </c>
      <c r="T5800" t="s">
        <v>13134</v>
      </c>
      <c r="U5800" t="s">
        <v>13134</v>
      </c>
      <c r="V5800" t="s">
        <v>13134</v>
      </c>
      <c r="W5800" t="s">
        <v>18867</v>
      </c>
      <c r="X5800">
        <v>10</v>
      </c>
      <c r="Y5800" t="s">
        <v>25228</v>
      </c>
      <c r="Z5800" t="s">
        <v>31768</v>
      </c>
      <c r="AA5800">
        <v>0.68120955671553352</v>
      </c>
      <c r="AB5800" t="str">
        <f>HYPERLINK("Melting_Curves/meltCurve_Q9NQC3_RTN4.pdf", "Melting_Curves/meltCurve_Q9NQC3_RTN4.pdf")</f>
        <v>Melting_Curves/meltCurve_Q9NQC3_RTN4.pdf</v>
      </c>
    </row>
    <row r="5801" spans="1:28" x14ac:dyDescent="0.25">
      <c r="A5801" t="s">
        <v>5805</v>
      </c>
      <c r="B5801">
        <v>0.99472303558308395</v>
      </c>
      <c r="C5801">
        <v>0.94174055851554594</v>
      </c>
      <c r="D5801">
        <v>1.0179928858833001</v>
      </c>
      <c r="E5801">
        <v>0.90746983822840699</v>
      </c>
      <c r="F5801">
        <v>0.74008265694461495</v>
      </c>
      <c r="G5801">
        <v>0.49467288890799799</v>
      </c>
      <c r="H5801">
        <v>0.2297511585773</v>
      </c>
      <c r="I5801">
        <v>8.4217130643717594E-2</v>
      </c>
      <c r="J5801">
        <v>8.47839836995226E-2</v>
      </c>
      <c r="K5801">
        <v>7.6827460724729998E-2</v>
      </c>
      <c r="L5801">
        <v>945.16914125785695</v>
      </c>
      <c r="M5801">
        <v>17.767936227205201</v>
      </c>
      <c r="N5801">
        <v>53.387696969747097</v>
      </c>
      <c r="O5801">
        <v>52.535109690319501</v>
      </c>
      <c r="P5801">
        <v>-8.1933600268955006E-2</v>
      </c>
      <c r="Q5801">
        <v>3.1025973556681598E-2</v>
      </c>
      <c r="R5801">
        <v>0.99504207653824395</v>
      </c>
      <c r="S5801" t="s">
        <v>12369</v>
      </c>
      <c r="T5801" t="s">
        <v>13134</v>
      </c>
      <c r="U5801" t="s">
        <v>13134</v>
      </c>
      <c r="V5801" t="s">
        <v>13134</v>
      </c>
      <c r="W5801" t="s">
        <v>18868</v>
      </c>
      <c r="X5801">
        <v>4</v>
      </c>
      <c r="Y5801" t="s">
        <v>25229</v>
      </c>
      <c r="Z5801" t="s">
        <v>31769</v>
      </c>
      <c r="AA5801">
        <v>0.56829720759048308</v>
      </c>
      <c r="AB5801" t="str">
        <f>HYPERLINK("Melting_Curves/meltCurve_Q9NQE9_HINT3.pdf", "Melting_Curves/meltCurve_Q9NQE9_HINT3.pdf")</f>
        <v>Melting_Curves/meltCurve_Q9NQE9_HINT3.pdf</v>
      </c>
    </row>
    <row r="5802" spans="1:28" x14ac:dyDescent="0.25">
      <c r="A5802" t="s">
        <v>5806</v>
      </c>
      <c r="B5802">
        <v>0.99472303558308395</v>
      </c>
      <c r="C5802">
        <v>0.97108273412616197</v>
      </c>
      <c r="D5802">
        <v>0.98902880662877402</v>
      </c>
      <c r="E5802">
        <v>0.85866046480517999</v>
      </c>
      <c r="F5802">
        <v>0.44371906183593002</v>
      </c>
      <c r="G5802">
        <v>0.11828182766305501</v>
      </c>
      <c r="H5802">
        <v>7.3605152160694007E-2</v>
      </c>
      <c r="I5802">
        <v>4.9370793186399399E-2</v>
      </c>
      <c r="J5802">
        <v>5.7089003868894199E-2</v>
      </c>
      <c r="K5802">
        <v>5.1729808735347098E-2</v>
      </c>
      <c r="L5802">
        <v>1432.4182128038999</v>
      </c>
      <c r="M5802">
        <v>28.9210389789888</v>
      </c>
      <c r="N5802">
        <v>49.7064232525873</v>
      </c>
      <c r="O5802">
        <v>49.293600402495301</v>
      </c>
      <c r="P5802">
        <v>-0.139469440580929</v>
      </c>
      <c r="Q5802">
        <v>4.9149092956453498E-2</v>
      </c>
      <c r="R5802">
        <v>0.999193560135195</v>
      </c>
      <c r="S5802" t="s">
        <v>12370</v>
      </c>
      <c r="T5802" t="s">
        <v>13134</v>
      </c>
      <c r="U5802" t="s">
        <v>13134</v>
      </c>
      <c r="V5802" t="s">
        <v>13134</v>
      </c>
      <c r="W5802" t="s">
        <v>18869</v>
      </c>
      <c r="X5802">
        <v>14</v>
      </c>
      <c r="Y5802" t="s">
        <v>25230</v>
      </c>
      <c r="Z5802" t="s">
        <v>31770</v>
      </c>
      <c r="AA5802">
        <v>0.45246673341345639</v>
      </c>
      <c r="AB5802" t="str">
        <f>HYPERLINK("Melting_Curves/meltCurve_Q9NQG5_RPRD1B.pdf", "Melting_Curves/meltCurve_Q9NQG5_RPRD1B.pdf")</f>
        <v>Melting_Curves/meltCurve_Q9NQG5_RPRD1B.pdf</v>
      </c>
    </row>
    <row r="5803" spans="1:28" x14ac:dyDescent="0.25">
      <c r="A5803" t="s">
        <v>5807</v>
      </c>
      <c r="B5803">
        <v>0.99472303558308395</v>
      </c>
      <c r="C5803">
        <v>1.1579808043843001</v>
      </c>
      <c r="D5803">
        <v>0.99641803522040995</v>
      </c>
      <c r="E5803">
        <v>0.77719508516189195</v>
      </c>
      <c r="F5803">
        <v>0.568633542366907</v>
      </c>
      <c r="G5803">
        <v>0.16726498417905999</v>
      </c>
      <c r="H5803">
        <v>7.0219612838501894E-2</v>
      </c>
      <c r="I5803">
        <v>2.39273510343323E-2</v>
      </c>
      <c r="J5803">
        <v>6.1931059752255498E-2</v>
      </c>
      <c r="K5803">
        <v>5.9966844519030497E-2</v>
      </c>
      <c r="L5803">
        <v>1111.40371365807</v>
      </c>
      <c r="M5803">
        <v>22.167105172744598</v>
      </c>
      <c r="N5803">
        <v>50.278973712178697</v>
      </c>
      <c r="O5803">
        <v>49.734861590856902</v>
      </c>
      <c r="P5803">
        <v>-0.10806042655701199</v>
      </c>
      <c r="Q5803">
        <v>3.02294671790867E-2</v>
      </c>
      <c r="R5803">
        <v>0.979774312069984</v>
      </c>
      <c r="S5803" t="s">
        <v>12371</v>
      </c>
      <c r="T5803" t="s">
        <v>13134</v>
      </c>
      <c r="U5803" t="s">
        <v>13134</v>
      </c>
      <c r="V5803" t="s">
        <v>13134</v>
      </c>
      <c r="W5803" t="s">
        <v>18870</v>
      </c>
      <c r="X5803">
        <v>1</v>
      </c>
      <c r="Y5803" t="s">
        <v>25231</v>
      </c>
      <c r="Z5803" t="s">
        <v>31771</v>
      </c>
      <c r="AA5803">
        <v>0.46553530869836712</v>
      </c>
      <c r="AB5803" t="str">
        <f>HYPERLINK("Melting_Curves/meltCurve_Q9NQG7_3_HPS4.pdf", "Melting_Curves/meltCurve_Q9NQG7_3_HPS4.pdf")</f>
        <v>Melting_Curves/meltCurve_Q9NQG7_3_HPS4.pdf</v>
      </c>
    </row>
    <row r="5804" spans="1:28" x14ac:dyDescent="0.25">
      <c r="A5804" t="s">
        <v>5808</v>
      </c>
      <c r="B5804">
        <v>0.99472303558308395</v>
      </c>
      <c r="C5804">
        <v>1.1211890746678199</v>
      </c>
      <c r="D5804">
        <v>0.954864463742924</v>
      </c>
      <c r="E5804">
        <v>1.0208163793518099</v>
      </c>
      <c r="F5804">
        <v>0.87066019272753303</v>
      </c>
      <c r="G5804">
        <v>0.730579507129964</v>
      </c>
      <c r="H5804">
        <v>0.43199467917547602</v>
      </c>
      <c r="I5804">
        <v>0.15044354806200899</v>
      </c>
      <c r="J5804">
        <v>9.7225083770258805E-2</v>
      </c>
      <c r="K5804">
        <v>9.9900066598726106E-2</v>
      </c>
      <c r="L5804">
        <v>1156.7684109836</v>
      </c>
      <c r="M5804">
        <v>20.6262993939878</v>
      </c>
      <c r="N5804">
        <v>56.301882970971597</v>
      </c>
      <c r="O5804">
        <v>55.563041308273199</v>
      </c>
      <c r="P5804">
        <v>-8.9220505114385798E-2</v>
      </c>
      <c r="Q5804">
        <v>3.8660344558020802E-2</v>
      </c>
      <c r="R5804">
        <v>0.98442632939612695</v>
      </c>
      <c r="S5804" t="s">
        <v>12372</v>
      </c>
      <c r="T5804" t="s">
        <v>13134</v>
      </c>
      <c r="U5804" t="s">
        <v>13134</v>
      </c>
      <c r="V5804" t="s">
        <v>13134</v>
      </c>
      <c r="W5804" t="s">
        <v>18871</v>
      </c>
      <c r="X5804">
        <v>6</v>
      </c>
      <c r="Y5804" t="s">
        <v>25232</v>
      </c>
      <c r="Z5804" t="s">
        <v>31772</v>
      </c>
      <c r="AA5804">
        <v>0.65967793390854068</v>
      </c>
      <c r="AB5804" t="str">
        <f>HYPERLINK("Melting_Curves/meltCurve_Q9NQH7_2_XPNPEP3.pdf", "Melting_Curves/meltCurve_Q9NQH7_2_XPNPEP3.pdf")</f>
        <v>Melting_Curves/meltCurve_Q9NQH7_2_XPNPEP3.pdf</v>
      </c>
    </row>
    <row r="5805" spans="1:28" x14ac:dyDescent="0.25">
      <c r="A5805" t="s">
        <v>5809</v>
      </c>
      <c r="B5805">
        <v>0.99472303558308395</v>
      </c>
      <c r="C5805">
        <v>1.0126307635419001</v>
      </c>
      <c r="D5805">
        <v>0.89118850029723196</v>
      </c>
      <c r="E5805">
        <v>0.89289200422604098</v>
      </c>
      <c r="F5805">
        <v>0.88703046333678104</v>
      </c>
      <c r="G5805">
        <v>0.54052677318988096</v>
      </c>
      <c r="H5805">
        <v>0.45964005532853802</v>
      </c>
      <c r="I5805">
        <v>0.40619550327079601</v>
      </c>
      <c r="J5805">
        <v>0.47932456755342601</v>
      </c>
      <c r="K5805">
        <v>0.38822193776464398</v>
      </c>
      <c r="L5805">
        <v>1732.7283600575499</v>
      </c>
      <c r="M5805">
        <v>33.385686387085002</v>
      </c>
      <c r="N5805">
        <v>54.999779187745901</v>
      </c>
      <c r="O5805">
        <v>51.715187957320303</v>
      </c>
      <c r="P5805">
        <v>-9.2992454275230896E-2</v>
      </c>
      <c r="Q5805">
        <v>0.423812748390756</v>
      </c>
      <c r="R5805">
        <v>0.95588556630250698</v>
      </c>
      <c r="S5805" t="s">
        <v>12373</v>
      </c>
      <c r="T5805" t="s">
        <v>13134</v>
      </c>
      <c r="U5805" t="s">
        <v>13134</v>
      </c>
      <c r="V5805" t="s">
        <v>13134</v>
      </c>
      <c r="W5805" t="s">
        <v>18872</v>
      </c>
      <c r="X5805">
        <v>9</v>
      </c>
      <c r="Y5805" t="s">
        <v>25233</v>
      </c>
      <c r="Z5805" t="s">
        <v>31773</v>
      </c>
      <c r="AA5805">
        <v>0.71294275152242503</v>
      </c>
      <c r="AB5805" t="str">
        <f>HYPERLINK("Melting_Curves/meltCurve_Q9NQP4_PFDN4.pdf", "Melting_Curves/meltCurve_Q9NQP4_PFDN4.pdf")</f>
        <v>Melting_Curves/meltCurve_Q9NQP4_PFDN4.pdf</v>
      </c>
    </row>
    <row r="5806" spans="1:28" x14ac:dyDescent="0.25">
      <c r="A5806" t="s">
        <v>5810</v>
      </c>
      <c r="B5806">
        <v>0.99472303558308395</v>
      </c>
      <c r="C5806">
        <v>0.95543036994062802</v>
      </c>
      <c r="D5806">
        <v>1.00604101259263</v>
      </c>
      <c r="E5806">
        <v>0.93524546077776505</v>
      </c>
      <c r="F5806">
        <v>0.73456704004080997</v>
      </c>
      <c r="G5806">
        <v>0.551459669553376</v>
      </c>
      <c r="H5806">
        <v>0.25489592611937301</v>
      </c>
      <c r="I5806">
        <v>9.8457199321730596E-2</v>
      </c>
      <c r="J5806">
        <v>0.108234449078601</v>
      </c>
      <c r="K5806">
        <v>9.3434414564886395E-2</v>
      </c>
      <c r="L5806">
        <v>931.77190602130099</v>
      </c>
      <c r="M5806">
        <v>17.3977426126322</v>
      </c>
      <c r="N5806">
        <v>53.829689410461299</v>
      </c>
      <c r="O5806">
        <v>52.864493487496702</v>
      </c>
      <c r="P5806">
        <v>-7.8809917687126904E-2</v>
      </c>
      <c r="Q5806">
        <v>4.2171981565386499E-2</v>
      </c>
      <c r="R5806">
        <v>0.99371002949965204</v>
      </c>
      <c r="S5806" t="s">
        <v>12374</v>
      </c>
      <c r="T5806" t="s">
        <v>13134</v>
      </c>
      <c r="U5806" t="s">
        <v>13134</v>
      </c>
      <c r="V5806" t="s">
        <v>13134</v>
      </c>
      <c r="W5806" t="s">
        <v>18873</v>
      </c>
      <c r="X5806">
        <v>17</v>
      </c>
      <c r="Y5806" t="s">
        <v>25234</v>
      </c>
      <c r="Z5806" t="s">
        <v>31774</v>
      </c>
      <c r="AA5806">
        <v>0.58485975120323375</v>
      </c>
      <c r="AB5806" t="str">
        <f>HYPERLINK("Melting_Curves/meltCurve_Q9NQR4_NIT2.pdf", "Melting_Curves/meltCurve_Q9NQR4_NIT2.pdf")</f>
        <v>Melting_Curves/meltCurve_Q9NQR4_NIT2.pdf</v>
      </c>
    </row>
    <row r="5807" spans="1:28" x14ac:dyDescent="0.25">
      <c r="A5807" t="s">
        <v>5811</v>
      </c>
      <c r="B5807">
        <v>0.99472303558308395</v>
      </c>
      <c r="C5807">
        <v>1.0723569391785699</v>
      </c>
      <c r="D5807">
        <v>0.74141758327401197</v>
      </c>
      <c r="E5807">
        <v>0.61004455595652296</v>
      </c>
      <c r="F5807">
        <v>0.43308626787884602</v>
      </c>
      <c r="G5807">
        <v>0.24822858965012101</v>
      </c>
      <c r="H5807">
        <v>0.17945704554085401</v>
      </c>
      <c r="I5807">
        <v>0.13978072848788101</v>
      </c>
      <c r="J5807">
        <v>0.185601021449908</v>
      </c>
      <c r="K5807">
        <v>0.15346007575788001</v>
      </c>
      <c r="L5807">
        <v>689.48087296391304</v>
      </c>
      <c r="M5807">
        <v>14.613767672008199</v>
      </c>
      <c r="N5807">
        <v>48.246422917121301</v>
      </c>
      <c r="O5807">
        <v>46.323195492451099</v>
      </c>
      <c r="P5807">
        <v>-6.7992764515698897E-2</v>
      </c>
      <c r="Q5807">
        <v>0.137994126776712</v>
      </c>
      <c r="R5807">
        <v>0.97507734705440596</v>
      </c>
      <c r="S5807" t="s">
        <v>12375</v>
      </c>
      <c r="T5807" t="s">
        <v>13134</v>
      </c>
      <c r="U5807" t="s">
        <v>13134</v>
      </c>
      <c r="V5807" t="s">
        <v>13134</v>
      </c>
      <c r="W5807" t="s">
        <v>18874</v>
      </c>
      <c r="X5807">
        <v>4</v>
      </c>
      <c r="Y5807" t="s">
        <v>25235</v>
      </c>
      <c r="Z5807" t="s">
        <v>31775</v>
      </c>
      <c r="AA5807">
        <v>0.45074518519833362</v>
      </c>
      <c r="AB5807" t="str">
        <f>HYPERLINK("Melting_Curves/meltCurve_Q9NQS1_AVEN.pdf", "Melting_Curves/meltCurve_Q9NQS1_AVEN.pdf")</f>
        <v>Melting_Curves/meltCurve_Q9NQS1_AVEN.pdf</v>
      </c>
    </row>
    <row r="5808" spans="1:28" x14ac:dyDescent="0.25">
      <c r="A5808" t="s">
        <v>5812</v>
      </c>
      <c r="B5808">
        <v>0.99472303558308395</v>
      </c>
      <c r="C5808">
        <v>1.0177195722850201</v>
      </c>
      <c r="D5808">
        <v>1.0863934166129301</v>
      </c>
      <c r="E5808">
        <v>1.2261456456839399</v>
      </c>
      <c r="F5808">
        <v>1.4726691918766801</v>
      </c>
      <c r="G5808">
        <v>0.99676023691412496</v>
      </c>
      <c r="H5808">
        <v>0.62924420599229702</v>
      </c>
      <c r="I5808">
        <v>0.24124102392972199</v>
      </c>
      <c r="J5808">
        <v>0.51228370152932601</v>
      </c>
      <c r="K5808">
        <v>0.23223343038595601</v>
      </c>
      <c r="L5808">
        <v>14337.970670729301</v>
      </c>
      <c r="M5808">
        <v>250</v>
      </c>
      <c r="N5808">
        <v>57.598525295829802</v>
      </c>
      <c r="O5808">
        <v>57.348206489276102</v>
      </c>
      <c r="P5808">
        <v>-0.73172942299821397</v>
      </c>
      <c r="Q5808">
        <v>0.32858600908652502</v>
      </c>
      <c r="R5808">
        <v>0.78786220792144501</v>
      </c>
      <c r="S5808" t="s">
        <v>12376</v>
      </c>
      <c r="T5808" t="s">
        <v>13134</v>
      </c>
      <c r="U5808" t="s">
        <v>13134</v>
      </c>
      <c r="V5808" t="s">
        <v>13134</v>
      </c>
      <c r="W5808" t="s">
        <v>18875</v>
      </c>
      <c r="X5808">
        <v>7</v>
      </c>
      <c r="Y5808" t="s">
        <v>25236</v>
      </c>
      <c r="Z5808" t="s">
        <v>31776</v>
      </c>
      <c r="AA5808">
        <v>0.78413821384495075</v>
      </c>
      <c r="AB5808" t="str">
        <f>HYPERLINK("Melting_Curves/meltCurve_Q9NQT4_EXOSC5.pdf", "Melting_Curves/meltCurve_Q9NQT4_EXOSC5.pdf")</f>
        <v>Melting_Curves/meltCurve_Q9NQT4_EXOSC5.pdf</v>
      </c>
    </row>
    <row r="5809" spans="1:28" x14ac:dyDescent="0.25">
      <c r="A5809" t="s">
        <v>5813</v>
      </c>
      <c r="B5809">
        <v>0.99472303558308395</v>
      </c>
      <c r="C5809">
        <v>0.88941774300003096</v>
      </c>
      <c r="D5809">
        <v>1.18612391033287</v>
      </c>
      <c r="E5809">
        <v>1.00357534650521</v>
      </c>
      <c r="F5809">
        <v>0.66687833061431601</v>
      </c>
      <c r="G5809">
        <v>0.22862990341084299</v>
      </c>
      <c r="H5809">
        <v>0.11394988637214799</v>
      </c>
      <c r="I5809">
        <v>7.0803667673538101E-2</v>
      </c>
      <c r="J5809">
        <v>0.101940888550572</v>
      </c>
      <c r="K5809">
        <v>9.9496765548642702E-2</v>
      </c>
      <c r="L5809">
        <v>1855.5240907641501</v>
      </c>
      <c r="M5809">
        <v>36.363043836703604</v>
      </c>
      <c r="N5809">
        <v>51.321990568990003</v>
      </c>
      <c r="O5809">
        <v>50.874157056198001</v>
      </c>
      <c r="P5809">
        <v>-0.161877235601631</v>
      </c>
      <c r="Q5809">
        <v>9.4097570380344706E-2</v>
      </c>
      <c r="R5809">
        <v>0.97349344338140698</v>
      </c>
      <c r="S5809" t="s">
        <v>12377</v>
      </c>
      <c r="T5809" t="s">
        <v>13134</v>
      </c>
      <c r="U5809" t="s">
        <v>13134</v>
      </c>
      <c r="V5809" t="s">
        <v>13134</v>
      </c>
      <c r="W5809" t="s">
        <v>18876</v>
      </c>
      <c r="X5809">
        <v>2</v>
      </c>
      <c r="Y5809" t="s">
        <v>25237</v>
      </c>
      <c r="Z5809" t="s">
        <v>31777</v>
      </c>
      <c r="AA5809">
        <v>0.52155106677996366</v>
      </c>
      <c r="AB5809" t="str">
        <f>HYPERLINK("Melting_Curves/meltCurve_Q9NQT5_EXOSC3.pdf", "Melting_Curves/meltCurve_Q9NQT5_EXOSC3.pdf")</f>
        <v>Melting_Curves/meltCurve_Q9NQT5_EXOSC3.pdf</v>
      </c>
    </row>
    <row r="5810" spans="1:28" x14ac:dyDescent="0.25">
      <c r="A5810" t="s">
        <v>5814</v>
      </c>
      <c r="B5810">
        <v>0.99472303558308395</v>
      </c>
      <c r="C5810">
        <v>0.95867256180945104</v>
      </c>
      <c r="D5810">
        <v>0.84318017996679295</v>
      </c>
      <c r="E5810">
        <v>0.64298594531463704</v>
      </c>
      <c r="F5810">
        <v>0.34606638233068598</v>
      </c>
      <c r="G5810">
        <v>0.16504904811934701</v>
      </c>
      <c r="H5810">
        <v>0.11650169779677801</v>
      </c>
      <c r="I5810">
        <v>7.0877075907056594E-2</v>
      </c>
      <c r="J5810">
        <v>9.8162555885375299E-2</v>
      </c>
      <c r="K5810">
        <v>7.4308429646341906E-2</v>
      </c>
      <c r="L5810">
        <v>794.32820788171398</v>
      </c>
      <c r="M5810">
        <v>16.6611379558808</v>
      </c>
      <c r="N5810">
        <v>48.062270990618998</v>
      </c>
      <c r="O5810">
        <v>47.004581379512501</v>
      </c>
      <c r="P5810">
        <v>-8.3060548933503703E-2</v>
      </c>
      <c r="Q5810">
        <v>6.2737479098540799E-2</v>
      </c>
      <c r="R5810">
        <v>0.99825644140459702</v>
      </c>
      <c r="S5810" t="s">
        <v>12378</v>
      </c>
      <c r="T5810" t="s">
        <v>13134</v>
      </c>
      <c r="U5810" t="s">
        <v>13134</v>
      </c>
      <c r="V5810" t="s">
        <v>13134</v>
      </c>
      <c r="W5810" t="s">
        <v>18877</v>
      </c>
      <c r="X5810">
        <v>10</v>
      </c>
      <c r="Y5810" t="s">
        <v>25238</v>
      </c>
      <c r="Z5810" t="s">
        <v>31778</v>
      </c>
      <c r="AA5810">
        <v>0.4135416717033234</v>
      </c>
      <c r="AB5810" t="str">
        <f>HYPERLINK("Melting_Curves/meltCurve_Q9NQT8_KIF13B.pdf", "Melting_Curves/meltCurve_Q9NQT8_KIF13B.pdf")</f>
        <v>Melting_Curves/meltCurve_Q9NQT8_KIF13B.pdf</v>
      </c>
    </row>
    <row r="5811" spans="1:28" x14ac:dyDescent="0.25">
      <c r="A5811" t="s">
        <v>5815</v>
      </c>
      <c r="B5811">
        <v>0.99472303558308395</v>
      </c>
      <c r="C5811">
        <v>0.95784911251246296</v>
      </c>
      <c r="D5811">
        <v>0.83868058756422503</v>
      </c>
      <c r="E5811">
        <v>0.51534440934641401</v>
      </c>
      <c r="F5811">
        <v>0.52428786363701196</v>
      </c>
      <c r="G5811">
        <v>0.247909443218434</v>
      </c>
      <c r="H5811">
        <v>0.12958369727442701</v>
      </c>
      <c r="I5811">
        <v>6.9860131717036297E-2</v>
      </c>
      <c r="J5811">
        <v>6.3598448012033806E-2</v>
      </c>
      <c r="K5811">
        <v>8.0114745656295797E-2</v>
      </c>
      <c r="L5811">
        <v>554.60123256532302</v>
      </c>
      <c r="M5811">
        <v>11.4034083469995</v>
      </c>
      <c r="N5811">
        <v>48.703497938528599</v>
      </c>
      <c r="O5811">
        <v>47.211115165513398</v>
      </c>
      <c r="P5811">
        <v>-5.9920264100870299E-2</v>
      </c>
      <c r="Q5811">
        <v>7.9907521151689892E-3</v>
      </c>
      <c r="R5811">
        <v>0.97823444156514405</v>
      </c>
      <c r="S5811" t="s">
        <v>12379</v>
      </c>
      <c r="T5811" t="s">
        <v>13134</v>
      </c>
      <c r="U5811" t="s">
        <v>13134</v>
      </c>
      <c r="V5811" t="s">
        <v>13134</v>
      </c>
      <c r="W5811" t="s">
        <v>18878</v>
      </c>
      <c r="X5811">
        <v>30</v>
      </c>
      <c r="Y5811" t="s">
        <v>25239</v>
      </c>
      <c r="Z5811" t="s">
        <v>31779</v>
      </c>
      <c r="AA5811">
        <v>0.42492353485394901</v>
      </c>
      <c r="AB5811" t="str">
        <f>HYPERLINK("Melting_Curves/meltCurve_Q9NQW6_ANLN.pdf", "Melting_Curves/meltCurve_Q9NQW6_ANLN.pdf")</f>
        <v>Melting_Curves/meltCurve_Q9NQW6_ANLN.pdf</v>
      </c>
    </row>
    <row r="5812" spans="1:28" x14ac:dyDescent="0.25">
      <c r="A5812" t="s">
        <v>5816</v>
      </c>
      <c r="B5812">
        <v>0.99472303558308395</v>
      </c>
      <c r="C5812">
        <v>0.86561587881610902</v>
      </c>
      <c r="D5812">
        <v>0.93224755642062296</v>
      </c>
      <c r="E5812">
        <v>0.75611238980870699</v>
      </c>
      <c r="F5812">
        <v>0.48776157437603601</v>
      </c>
      <c r="G5812">
        <v>0.19257729324884401</v>
      </c>
      <c r="H5812">
        <v>9.6966528639800903E-2</v>
      </c>
      <c r="I5812">
        <v>6.1764178966121998E-2</v>
      </c>
      <c r="J5812">
        <v>6.3826976541137198E-2</v>
      </c>
      <c r="K5812">
        <v>6.1595490949125899E-2</v>
      </c>
      <c r="L5812">
        <v>858.280155072507</v>
      </c>
      <c r="M5812">
        <v>17.34556339909</v>
      </c>
      <c r="N5812">
        <v>49.674954959691199</v>
      </c>
      <c r="O5812">
        <v>48.837618762111397</v>
      </c>
      <c r="P5812">
        <v>-8.5893541597620499E-2</v>
      </c>
      <c r="Q5812">
        <v>3.2698687848432599E-2</v>
      </c>
      <c r="R5812">
        <v>0.98805318329966596</v>
      </c>
      <c r="S5812" t="s">
        <v>12380</v>
      </c>
      <c r="T5812" t="s">
        <v>13134</v>
      </c>
      <c r="U5812" t="s">
        <v>13134</v>
      </c>
      <c r="V5812" t="s">
        <v>13134</v>
      </c>
      <c r="W5812" t="s">
        <v>18879</v>
      </c>
      <c r="X5812">
        <v>25</v>
      </c>
      <c r="Y5812" t="s">
        <v>25240</v>
      </c>
      <c r="Z5812" t="s">
        <v>31780</v>
      </c>
      <c r="AA5812">
        <v>0.45144241635679749</v>
      </c>
      <c r="AB5812" t="str">
        <f>HYPERLINK("Melting_Curves/meltCurve_Q9NQW7_3_XPNPEP1.pdf", "Melting_Curves/meltCurve_Q9NQW7_3_XPNPEP1.pdf")</f>
        <v>Melting_Curves/meltCurve_Q9NQW7_3_XPNPEP1.pdf</v>
      </c>
    </row>
    <row r="5813" spans="1:28" x14ac:dyDescent="0.25">
      <c r="A5813" t="s">
        <v>5817</v>
      </c>
      <c r="B5813">
        <v>0.99472303558308395</v>
      </c>
      <c r="C5813">
        <v>0.97063892668204099</v>
      </c>
      <c r="D5813">
        <v>0.91640509403704395</v>
      </c>
      <c r="E5813">
        <v>0.70974770911523899</v>
      </c>
      <c r="F5813">
        <v>0.48270255228700898</v>
      </c>
      <c r="G5813">
        <v>0.28818624903958201</v>
      </c>
      <c r="H5813">
        <v>0.196736595554625</v>
      </c>
      <c r="I5813">
        <v>0.15680702870273999</v>
      </c>
      <c r="J5813">
        <v>0.22855942424503201</v>
      </c>
      <c r="K5813">
        <v>0.124267087985484</v>
      </c>
      <c r="L5813">
        <v>797.49829021508697</v>
      </c>
      <c r="M5813">
        <v>16.397612926996999</v>
      </c>
      <c r="N5813">
        <v>49.694275706877903</v>
      </c>
      <c r="O5813">
        <v>47.928949599358603</v>
      </c>
      <c r="P5813">
        <v>-7.29213235645296E-2</v>
      </c>
      <c r="Q5813">
        <v>0.147487245530635</v>
      </c>
      <c r="R5813">
        <v>0.99445213850827996</v>
      </c>
      <c r="S5813" t="s">
        <v>12381</v>
      </c>
      <c r="T5813" t="s">
        <v>13134</v>
      </c>
      <c r="U5813" t="s">
        <v>13134</v>
      </c>
      <c r="V5813" t="s">
        <v>13134</v>
      </c>
      <c r="W5813" t="s">
        <v>18880</v>
      </c>
      <c r="X5813">
        <v>2</v>
      </c>
      <c r="Y5813" t="s">
        <v>25241</v>
      </c>
      <c r="Z5813" t="s">
        <v>31781</v>
      </c>
      <c r="AA5813">
        <v>0.49409102754646261</v>
      </c>
      <c r="AB5813" t="str">
        <f>HYPERLINK("Melting_Curves/meltCurve_Q9NQY0_BIN3.pdf", "Melting_Curves/meltCurve_Q9NQY0_BIN3.pdf")</f>
        <v>Melting_Curves/meltCurve_Q9NQY0_BIN3.pdf</v>
      </c>
    </row>
    <row r="5814" spans="1:28" x14ac:dyDescent="0.25">
      <c r="A5814" t="s">
        <v>5818</v>
      </c>
      <c r="B5814">
        <v>0.99472303558308395</v>
      </c>
      <c r="C5814">
        <v>0.85935424859693499</v>
      </c>
      <c r="D5814">
        <v>0.78695484262909599</v>
      </c>
      <c r="E5814">
        <v>0.79108096048451304</v>
      </c>
      <c r="F5814">
        <v>0.61909669473342199</v>
      </c>
      <c r="G5814">
        <v>0.151786473760814</v>
      </c>
      <c r="H5814">
        <v>9.4313887862492299E-2</v>
      </c>
      <c r="I5814">
        <v>6.6941280865945904E-2</v>
      </c>
      <c r="J5814">
        <v>5.1187586207279E-2</v>
      </c>
      <c r="K5814">
        <v>8.8462725084264296E-2</v>
      </c>
      <c r="L5814">
        <v>741.04386112310999</v>
      </c>
      <c r="M5814">
        <v>14.7976345765814</v>
      </c>
      <c r="N5814">
        <v>50.116045630340501</v>
      </c>
      <c r="O5814">
        <v>49.190643204990003</v>
      </c>
      <c r="P5814">
        <v>-7.4799425614113402E-2</v>
      </c>
      <c r="Q5814">
        <v>5.5059554562111503E-3</v>
      </c>
      <c r="R5814">
        <v>0.95061176252638002</v>
      </c>
      <c r="S5814" t="s">
        <v>12382</v>
      </c>
      <c r="T5814" t="s">
        <v>13134</v>
      </c>
      <c r="U5814" t="s">
        <v>13134</v>
      </c>
      <c r="V5814" t="s">
        <v>13134</v>
      </c>
      <c r="W5814" t="s">
        <v>18881</v>
      </c>
      <c r="X5814">
        <v>1</v>
      </c>
      <c r="Y5814" t="s">
        <v>25242</v>
      </c>
      <c r="Z5814" t="s">
        <v>31782</v>
      </c>
      <c r="AA5814">
        <v>0.46019707130125692</v>
      </c>
      <c r="AB5814" t="str">
        <f>HYPERLINK("Melting_Curves/meltCurve_Q9NQZ2_UTP3.pdf", "Melting_Curves/meltCurve_Q9NQZ2_UTP3.pdf")</f>
        <v>Melting_Curves/meltCurve_Q9NQZ2_UTP3.pdf</v>
      </c>
    </row>
    <row r="5815" spans="1:28" x14ac:dyDescent="0.25">
      <c r="A5815" t="s">
        <v>5819</v>
      </c>
      <c r="B5815">
        <v>0.99472303558308395</v>
      </c>
      <c r="C5815">
        <v>0.985422421749647</v>
      </c>
      <c r="D5815">
        <v>0.87594425831192002</v>
      </c>
      <c r="E5815">
        <v>0.69667785804366</v>
      </c>
      <c r="F5815">
        <v>0.38204558266830202</v>
      </c>
      <c r="G5815">
        <v>0.18937389845049299</v>
      </c>
      <c r="H5815">
        <v>8.1901221203172406E-2</v>
      </c>
      <c r="I5815">
        <v>6.4638713130808004E-2</v>
      </c>
      <c r="J5815">
        <v>7.3425036189072798E-2</v>
      </c>
      <c r="K5815">
        <v>6.1445715971967102E-2</v>
      </c>
      <c r="L5815">
        <v>842.89886201924696</v>
      </c>
      <c r="M5815">
        <v>17.397624653599301</v>
      </c>
      <c r="N5815">
        <v>48.712349985036298</v>
      </c>
      <c r="O5815">
        <v>47.822557415263198</v>
      </c>
      <c r="P5815">
        <v>-8.6872768713921605E-2</v>
      </c>
      <c r="Q5815">
        <v>4.4871080760881699E-2</v>
      </c>
      <c r="R5815">
        <v>0.99863928619826503</v>
      </c>
      <c r="S5815" t="s">
        <v>12383</v>
      </c>
      <c r="T5815" t="s">
        <v>13134</v>
      </c>
      <c r="U5815" t="s">
        <v>13134</v>
      </c>
      <c r="V5815" t="s">
        <v>13134</v>
      </c>
      <c r="W5815" t="s">
        <v>18882</v>
      </c>
      <c r="X5815">
        <v>6</v>
      </c>
      <c r="Y5815" t="s">
        <v>25243</v>
      </c>
      <c r="Z5815" t="s">
        <v>31783</v>
      </c>
      <c r="AA5815">
        <v>0.42556701799752189</v>
      </c>
      <c r="AB5815" t="str">
        <f>HYPERLINK("Melting_Curves/meltCurve_Q9NQZ5_STARD7.pdf", "Melting_Curves/meltCurve_Q9NQZ5_STARD7.pdf")</f>
        <v>Melting_Curves/meltCurve_Q9NQZ5_STARD7.pdf</v>
      </c>
    </row>
    <row r="5816" spans="1:28" x14ac:dyDescent="0.25">
      <c r="A5816" t="s">
        <v>5820</v>
      </c>
      <c r="B5816">
        <v>0.99472303558308395</v>
      </c>
      <c r="C5816">
        <v>0.96892139285704604</v>
      </c>
      <c r="D5816">
        <v>0.71728437541023604</v>
      </c>
      <c r="E5816">
        <v>0.580149329932519</v>
      </c>
      <c r="F5816">
        <v>0.34672899287337899</v>
      </c>
      <c r="G5816">
        <v>9.8347100926494999E-2</v>
      </c>
      <c r="H5816">
        <v>6.9448376273889903E-2</v>
      </c>
      <c r="I5816">
        <v>4.74290489030098E-2</v>
      </c>
      <c r="J5816">
        <v>5.9267262537289603E-2</v>
      </c>
      <c r="K5816">
        <v>6.0019507593298799E-2</v>
      </c>
      <c r="L5816">
        <v>664.02949166073302</v>
      </c>
      <c r="M5816">
        <v>14.115090230738501</v>
      </c>
      <c r="N5816">
        <v>47.168217223830098</v>
      </c>
      <c r="O5816">
        <v>46.129888909268999</v>
      </c>
      <c r="P5816">
        <v>-7.5109774709967103E-2</v>
      </c>
      <c r="Q5816">
        <v>1.82531075816737E-2</v>
      </c>
      <c r="R5816">
        <v>0.987887375570912</v>
      </c>
      <c r="S5816" t="s">
        <v>12384</v>
      </c>
      <c r="T5816" t="s">
        <v>13134</v>
      </c>
      <c r="U5816" t="s">
        <v>13134</v>
      </c>
      <c r="V5816" t="s">
        <v>13134</v>
      </c>
      <c r="W5816" t="s">
        <v>18883</v>
      </c>
      <c r="X5816">
        <v>18</v>
      </c>
      <c r="Y5816" t="s">
        <v>25244</v>
      </c>
      <c r="Z5816" t="s">
        <v>31784</v>
      </c>
      <c r="AA5816">
        <v>0.37151669110077951</v>
      </c>
      <c r="AB5816" t="str">
        <f>HYPERLINK("Melting_Curves/meltCurve_Q9NR09_BIRC6.pdf", "Melting_Curves/meltCurve_Q9NR09_BIRC6.pdf")</f>
        <v>Melting_Curves/meltCurve_Q9NR09_BIRC6.pdf</v>
      </c>
    </row>
    <row r="5817" spans="1:28" x14ac:dyDescent="0.25">
      <c r="A5817" t="s">
        <v>5821</v>
      </c>
      <c r="B5817">
        <v>0.99472303558308395</v>
      </c>
      <c r="C5817">
        <v>0.91440753393234797</v>
      </c>
      <c r="D5817">
        <v>0.97107181840310397</v>
      </c>
      <c r="E5817">
        <v>0.74900878023763295</v>
      </c>
      <c r="F5817">
        <v>0.32937600229574399</v>
      </c>
      <c r="G5817">
        <v>0.148002918971463</v>
      </c>
      <c r="H5817">
        <v>6.3852707091541602E-2</v>
      </c>
      <c r="I5817">
        <v>5.6152220697696598E-2</v>
      </c>
      <c r="J5817">
        <v>4.9670394546664803E-2</v>
      </c>
      <c r="K5817">
        <v>4.2411619984238098E-2</v>
      </c>
      <c r="L5817">
        <v>1164.4439118168</v>
      </c>
      <c r="M5817">
        <v>23.996729170937801</v>
      </c>
      <c r="N5817">
        <v>48.725652693715197</v>
      </c>
      <c r="O5817">
        <v>48.191894115000302</v>
      </c>
      <c r="P5817">
        <v>-0.118633772094625</v>
      </c>
      <c r="Q5817">
        <v>4.7020938959036397E-2</v>
      </c>
      <c r="R5817">
        <v>0.99548258614927199</v>
      </c>
      <c r="S5817" t="s">
        <v>12385</v>
      </c>
      <c r="T5817" t="s">
        <v>13134</v>
      </c>
      <c r="U5817" t="s">
        <v>13134</v>
      </c>
      <c r="V5817" t="s">
        <v>13134</v>
      </c>
      <c r="W5817" t="s">
        <v>18884</v>
      </c>
      <c r="X5817">
        <v>18</v>
      </c>
      <c r="Y5817" t="s">
        <v>25245</v>
      </c>
      <c r="Z5817" t="s">
        <v>31785</v>
      </c>
      <c r="AA5817">
        <v>0.42199091111370668</v>
      </c>
      <c r="AB5817" t="str">
        <f>HYPERLINK("Melting_Curves/meltCurve_Q9NR12_PDLIM7.pdf", "Melting_Curves/meltCurve_Q9NR12_PDLIM7.pdf")</f>
        <v>Melting_Curves/meltCurve_Q9NR12_PDLIM7.pdf</v>
      </c>
    </row>
    <row r="5818" spans="1:28" x14ac:dyDescent="0.25">
      <c r="A5818" t="s">
        <v>5822</v>
      </c>
      <c r="B5818">
        <v>0.99472303558308395</v>
      </c>
      <c r="C5818">
        <v>0.91812632543387196</v>
      </c>
      <c r="D5818">
        <v>1.0094801861760201</v>
      </c>
      <c r="E5818">
        <v>0.87485737783833295</v>
      </c>
      <c r="F5818">
        <v>0.61203631274856896</v>
      </c>
      <c r="G5818">
        <v>0.174471441301771</v>
      </c>
      <c r="H5818">
        <v>7.3402081089734394E-2</v>
      </c>
      <c r="I5818">
        <v>5.2033250885595898E-2</v>
      </c>
      <c r="J5818">
        <v>5.3787881127941001E-2</v>
      </c>
      <c r="K5818">
        <v>4.7362985174183303E-2</v>
      </c>
      <c r="L5818">
        <v>1396.3463089757499</v>
      </c>
      <c r="M5818">
        <v>27.556258422952201</v>
      </c>
      <c r="N5818">
        <v>50.829985001828703</v>
      </c>
      <c r="O5818">
        <v>50.407962600564602</v>
      </c>
      <c r="P5818">
        <v>-0.131077665822775</v>
      </c>
      <c r="Q5818">
        <v>4.0900677276733799E-2</v>
      </c>
      <c r="R5818">
        <v>0.99372595844302603</v>
      </c>
      <c r="S5818" t="s">
        <v>12386</v>
      </c>
      <c r="T5818" t="s">
        <v>13134</v>
      </c>
      <c r="U5818" t="s">
        <v>13134</v>
      </c>
      <c r="V5818" t="s">
        <v>13134</v>
      </c>
      <c r="W5818" t="s">
        <v>18885</v>
      </c>
      <c r="X5818">
        <v>16</v>
      </c>
      <c r="Y5818" t="s">
        <v>25246</v>
      </c>
      <c r="Z5818" t="s">
        <v>31786</v>
      </c>
      <c r="AA5818">
        <v>0.48502683481340042</v>
      </c>
      <c r="AB5818" t="str">
        <f>HYPERLINK("Melting_Curves/meltCurve_Q9NR19_ACSS2.pdf", "Melting_Curves/meltCurve_Q9NR19_ACSS2.pdf")</f>
        <v>Melting_Curves/meltCurve_Q9NR19_ACSS2.pdf</v>
      </c>
    </row>
    <row r="5819" spans="1:28" x14ac:dyDescent="0.25">
      <c r="A5819" t="s">
        <v>5823</v>
      </c>
      <c r="B5819">
        <v>0.99472303558308395</v>
      </c>
      <c r="C5819">
        <v>0.92756706514939702</v>
      </c>
      <c r="D5819">
        <v>0.97226576615018001</v>
      </c>
      <c r="E5819">
        <v>0.90700873172183905</v>
      </c>
      <c r="F5819">
        <v>0.76155847979744895</v>
      </c>
      <c r="G5819">
        <v>0.79576238491380602</v>
      </c>
      <c r="H5819">
        <v>0.83823740739846697</v>
      </c>
      <c r="I5819">
        <v>0.893053417703499</v>
      </c>
      <c r="J5819">
        <v>1.21252222467472</v>
      </c>
      <c r="K5819">
        <v>0.803589823615251</v>
      </c>
      <c r="L5819">
        <v>838.62705586519405</v>
      </c>
      <c r="M5819">
        <v>20.396611737463701</v>
      </c>
      <c r="O5819">
        <v>40.726880876796002</v>
      </c>
      <c r="P5819">
        <v>-1.3840276076803999E-2</v>
      </c>
      <c r="Q5819">
        <v>0.88946115614943599</v>
      </c>
      <c r="R5819">
        <v>6.8171769201626306E-2</v>
      </c>
      <c r="S5819" t="s">
        <v>12387</v>
      </c>
      <c r="T5819" t="s">
        <v>13134</v>
      </c>
      <c r="U5819" t="s">
        <v>13134</v>
      </c>
      <c r="V5819" t="s">
        <v>13134</v>
      </c>
      <c r="W5819" t="s">
        <v>18886</v>
      </c>
      <c r="X5819">
        <v>11</v>
      </c>
      <c r="Y5819" t="s">
        <v>25247</v>
      </c>
      <c r="Z5819" t="s">
        <v>31787</v>
      </c>
      <c r="AA5819">
        <v>0.90640385160787773</v>
      </c>
      <c r="AB5819" t="str">
        <f>HYPERLINK("Melting_Curves/meltCurve_Q9NR28_2_DIABLO.pdf", "Melting_Curves/meltCurve_Q9NR28_2_DIABLO.pdf")</f>
        <v>Melting_Curves/meltCurve_Q9NR28_2_DIABLO.pdf</v>
      </c>
    </row>
    <row r="5820" spans="1:28" x14ac:dyDescent="0.25">
      <c r="A5820" t="s">
        <v>5824</v>
      </c>
      <c r="B5820">
        <v>0.99472303558308395</v>
      </c>
      <c r="C5820">
        <v>0.95676169451214199</v>
      </c>
      <c r="D5820">
        <v>0.81844739957844903</v>
      </c>
      <c r="E5820">
        <v>0.64410442460412398</v>
      </c>
      <c r="F5820">
        <v>0.33804069382204799</v>
      </c>
      <c r="G5820">
        <v>0.18517172957382699</v>
      </c>
      <c r="H5820">
        <v>0.14014789275523401</v>
      </c>
      <c r="I5820">
        <v>0.12921954004891201</v>
      </c>
      <c r="J5820">
        <v>0.18057303367918001</v>
      </c>
      <c r="K5820">
        <v>0.135088228763728</v>
      </c>
      <c r="L5820">
        <v>826.30285207845202</v>
      </c>
      <c r="M5820">
        <v>17.552357874178998</v>
      </c>
      <c r="N5820">
        <v>47.865965174668901</v>
      </c>
      <c r="O5820">
        <v>46.478159966476099</v>
      </c>
      <c r="P5820">
        <v>-8.2550312478424606E-2</v>
      </c>
      <c r="Q5820">
        <v>0.12568401122255801</v>
      </c>
      <c r="R5820">
        <v>0.993832272937624</v>
      </c>
      <c r="S5820" t="s">
        <v>12388</v>
      </c>
      <c r="T5820" t="s">
        <v>13134</v>
      </c>
      <c r="U5820" t="s">
        <v>13134</v>
      </c>
      <c r="V5820" t="s">
        <v>13134</v>
      </c>
      <c r="W5820" t="s">
        <v>18887</v>
      </c>
      <c r="X5820">
        <v>22</v>
      </c>
      <c r="Y5820" t="s">
        <v>25248</v>
      </c>
      <c r="Z5820" t="s">
        <v>31788</v>
      </c>
      <c r="AA5820">
        <v>0.43406798351579517</v>
      </c>
      <c r="AB5820" t="str">
        <f>HYPERLINK("Melting_Curves/meltCurve_Q9NR30_DDX21.pdf", "Melting_Curves/meltCurve_Q9NR30_DDX21.pdf")</f>
        <v>Melting_Curves/meltCurve_Q9NR30_DDX21.pdf</v>
      </c>
    </row>
    <row r="5821" spans="1:28" x14ac:dyDescent="0.25">
      <c r="A5821" t="s">
        <v>5825</v>
      </c>
      <c r="B5821">
        <v>0.99472303558308395</v>
      </c>
      <c r="C5821">
        <v>1.0515886945633801</v>
      </c>
      <c r="D5821">
        <v>1.0851650261174699</v>
      </c>
      <c r="E5821">
        <v>0.99416512571450499</v>
      </c>
      <c r="F5821">
        <v>0.59223004892342401</v>
      </c>
      <c r="G5821">
        <v>0.42222408773472703</v>
      </c>
      <c r="H5821">
        <v>0.116262404689721</v>
      </c>
      <c r="I5821">
        <v>5.6882170294401298E-2</v>
      </c>
      <c r="J5821">
        <v>4.7389018109656497E-2</v>
      </c>
      <c r="K5821">
        <v>4.6955791462072599E-2</v>
      </c>
      <c r="L5821">
        <v>1090.31431071836</v>
      </c>
      <c r="M5821">
        <v>20.9903175660322</v>
      </c>
      <c r="N5821">
        <v>52.092620295157197</v>
      </c>
      <c r="O5821">
        <v>51.479112821349403</v>
      </c>
      <c r="P5821">
        <v>-9.8969887698834996E-2</v>
      </c>
      <c r="Q5821">
        <v>2.9124735152714999E-2</v>
      </c>
      <c r="R5821">
        <v>0.98239487803485603</v>
      </c>
      <c r="S5821" t="s">
        <v>12389</v>
      </c>
      <c r="T5821" t="s">
        <v>13134</v>
      </c>
      <c r="U5821" t="s">
        <v>13134</v>
      </c>
      <c r="V5821" t="s">
        <v>13134</v>
      </c>
      <c r="W5821" t="s">
        <v>18888</v>
      </c>
      <c r="X5821">
        <v>12</v>
      </c>
      <c r="Y5821" t="s">
        <v>25249</v>
      </c>
      <c r="Z5821" t="s">
        <v>31789</v>
      </c>
      <c r="AA5821">
        <v>0.52435651879594147</v>
      </c>
      <c r="AB5821" t="str">
        <f>HYPERLINK("Melting_Curves/meltCurve_Q9NR31_SAR1A.pdf", "Melting_Curves/meltCurve_Q9NR31_SAR1A.pdf")</f>
        <v>Melting_Curves/meltCurve_Q9NR31_SAR1A.pdf</v>
      </c>
    </row>
    <row r="5822" spans="1:28" x14ac:dyDescent="0.25">
      <c r="A5822" t="s">
        <v>5826</v>
      </c>
      <c r="B5822">
        <v>0.99472303558308395</v>
      </c>
      <c r="C5822">
        <v>0.84384489487230996</v>
      </c>
      <c r="D5822">
        <v>0.94603390762954498</v>
      </c>
      <c r="E5822">
        <v>0.79424694051362998</v>
      </c>
      <c r="F5822">
        <v>0.415213431433821</v>
      </c>
      <c r="G5822">
        <v>0.249069957880937</v>
      </c>
      <c r="H5822">
        <v>0.18397610226606401</v>
      </c>
      <c r="I5822">
        <v>0.12116306222656401</v>
      </c>
      <c r="J5822">
        <v>0.13115650113719299</v>
      </c>
      <c r="K5822">
        <v>0.11168560137943299</v>
      </c>
      <c r="L5822">
        <v>965.14874701124597</v>
      </c>
      <c r="M5822">
        <v>19.7410428045469</v>
      </c>
      <c r="N5822">
        <v>49.558567038233697</v>
      </c>
      <c r="O5822">
        <v>48.397067694775401</v>
      </c>
      <c r="P5822">
        <v>-9.0063749730710893E-2</v>
      </c>
      <c r="Q5822">
        <v>0.116830443284293</v>
      </c>
      <c r="R5822">
        <v>0.980282442274793</v>
      </c>
      <c r="S5822" t="s">
        <v>12390</v>
      </c>
      <c r="T5822" t="s">
        <v>13134</v>
      </c>
      <c r="U5822" t="s">
        <v>13134</v>
      </c>
      <c r="V5822" t="s">
        <v>13134</v>
      </c>
      <c r="W5822" t="s">
        <v>18889</v>
      </c>
      <c r="X5822">
        <v>5</v>
      </c>
      <c r="Y5822" t="s">
        <v>25250</v>
      </c>
      <c r="Z5822" t="s">
        <v>31790</v>
      </c>
      <c r="AA5822">
        <v>0.47878721175574113</v>
      </c>
      <c r="AB5822" t="str">
        <f>HYPERLINK("Melting_Curves/meltCurve_Q9NR33_POLE4.pdf", "Melting_Curves/meltCurve_Q9NR33_POLE4.pdf")</f>
        <v>Melting_Curves/meltCurve_Q9NR33_POLE4.pdf</v>
      </c>
    </row>
    <row r="5823" spans="1:28" x14ac:dyDescent="0.25">
      <c r="A5823" t="s">
        <v>5827</v>
      </c>
      <c r="B5823">
        <v>0.99472303558308395</v>
      </c>
      <c r="C5823">
        <v>0.98787520802538997</v>
      </c>
      <c r="D5823">
        <v>1.01177263497085</v>
      </c>
      <c r="E5823">
        <v>0.96332753734166998</v>
      </c>
      <c r="F5823">
        <v>0.76903963191636604</v>
      </c>
      <c r="G5823">
        <v>0.46495156170758201</v>
      </c>
      <c r="H5823">
        <v>9.0453770191396901E-2</v>
      </c>
      <c r="I5823">
        <v>6.3636645685083801E-2</v>
      </c>
      <c r="J5823">
        <v>5.3573306102963E-2</v>
      </c>
      <c r="K5823">
        <v>5.4925079456747898E-2</v>
      </c>
      <c r="L5823">
        <v>1318.2813430333899</v>
      </c>
      <c r="M5823">
        <v>24.913308974180801</v>
      </c>
      <c r="N5823">
        <v>53.0456128974905</v>
      </c>
      <c r="O5823">
        <v>52.577345916310598</v>
      </c>
      <c r="P5823">
        <v>-0.11493094464704801</v>
      </c>
      <c r="Q5823">
        <v>2.98066540497503E-2</v>
      </c>
      <c r="R5823">
        <v>0.99554996785439198</v>
      </c>
      <c r="S5823" t="s">
        <v>12391</v>
      </c>
      <c r="T5823" t="s">
        <v>13134</v>
      </c>
      <c r="U5823" t="s">
        <v>13134</v>
      </c>
      <c r="V5823" t="s">
        <v>13134</v>
      </c>
      <c r="W5823" t="s">
        <v>18890</v>
      </c>
      <c r="X5823">
        <v>22</v>
      </c>
      <c r="Y5823" t="s">
        <v>25251</v>
      </c>
      <c r="Z5823" t="s">
        <v>31791</v>
      </c>
      <c r="AA5823">
        <v>0.55311564783323763</v>
      </c>
      <c r="AB5823" t="str">
        <f>HYPERLINK("Melting_Curves/meltCurve_Q9NR45_NANS.pdf", "Melting_Curves/meltCurve_Q9NR45_NANS.pdf")</f>
        <v>Melting_Curves/meltCurve_Q9NR45_NANS.pdf</v>
      </c>
    </row>
    <row r="5824" spans="1:28" x14ac:dyDescent="0.25">
      <c r="A5824" t="s">
        <v>5828</v>
      </c>
      <c r="B5824">
        <v>0.99472303558308395</v>
      </c>
      <c r="C5824">
        <v>0.90381855410935996</v>
      </c>
      <c r="D5824">
        <v>0.82720791282500705</v>
      </c>
      <c r="E5824">
        <v>0.54971844470339304</v>
      </c>
      <c r="F5824">
        <v>0.31821378005318302</v>
      </c>
      <c r="G5824">
        <v>0.114776748175516</v>
      </c>
      <c r="H5824">
        <v>6.6278288315732695E-2</v>
      </c>
      <c r="I5824">
        <v>5.0723024293505503E-2</v>
      </c>
      <c r="J5824">
        <v>5.2573088059749702E-2</v>
      </c>
      <c r="K5824">
        <v>4.6038384224738799E-2</v>
      </c>
      <c r="L5824">
        <v>726.69534668885899</v>
      </c>
      <c r="M5824">
        <v>15.4334117530951</v>
      </c>
      <c r="N5824">
        <v>47.231445954503201</v>
      </c>
      <c r="O5824">
        <v>46.316567142569902</v>
      </c>
      <c r="P5824">
        <v>-8.1376131894065701E-2</v>
      </c>
      <c r="Q5824">
        <v>2.3230220844132499E-2</v>
      </c>
      <c r="R5824">
        <v>0.99715938322978104</v>
      </c>
      <c r="S5824" t="s">
        <v>12392</v>
      </c>
      <c r="T5824" t="s">
        <v>13134</v>
      </c>
      <c r="U5824" t="s">
        <v>13134</v>
      </c>
      <c r="V5824" t="s">
        <v>13134</v>
      </c>
      <c r="W5824" t="s">
        <v>18891</v>
      </c>
      <c r="X5824">
        <v>24</v>
      </c>
      <c r="Y5824" t="s">
        <v>25252</v>
      </c>
      <c r="Z5824" t="s">
        <v>31792</v>
      </c>
      <c r="AA5824">
        <v>0.3724698854711328</v>
      </c>
      <c r="AB5824" t="str">
        <f>HYPERLINK("Melting_Curves/meltCurve_Q9NR50_EIF2B3.pdf", "Melting_Curves/meltCurve_Q9NR50_EIF2B3.pdf")</f>
        <v>Melting_Curves/meltCurve_Q9NR50_EIF2B3.pdf</v>
      </c>
    </row>
    <row r="5825" spans="1:28" x14ac:dyDescent="0.25">
      <c r="A5825" t="s">
        <v>5829</v>
      </c>
      <c r="B5825">
        <v>0.99472303558308395</v>
      </c>
      <c r="C5825">
        <v>0.93930847512151705</v>
      </c>
      <c r="D5825">
        <v>0.89367921930365701</v>
      </c>
      <c r="E5825">
        <v>0.65641542696886701</v>
      </c>
      <c r="F5825">
        <v>0.35708478037944202</v>
      </c>
      <c r="G5825">
        <v>0.16136375717961501</v>
      </c>
      <c r="H5825">
        <v>9.7256042741913906E-2</v>
      </c>
      <c r="I5825">
        <v>7.4453169842624206E-2</v>
      </c>
      <c r="J5825">
        <v>8.4049930674367501E-2</v>
      </c>
      <c r="K5825">
        <v>5.7552240142900002E-2</v>
      </c>
      <c r="L5825">
        <v>852.08344411549297</v>
      </c>
      <c r="M5825">
        <v>17.754576802843498</v>
      </c>
      <c r="N5825">
        <v>48.308188310892298</v>
      </c>
      <c r="O5825">
        <v>47.395909594311</v>
      </c>
      <c r="P5825">
        <v>-8.8522794543842598E-2</v>
      </c>
      <c r="Q5825">
        <v>5.4801516079766799E-2</v>
      </c>
      <c r="R5825">
        <v>0.99862707385968197</v>
      </c>
      <c r="S5825" t="s">
        <v>12393</v>
      </c>
      <c r="T5825" t="s">
        <v>13134</v>
      </c>
      <c r="U5825" t="s">
        <v>13134</v>
      </c>
      <c r="V5825" t="s">
        <v>13134</v>
      </c>
      <c r="W5825" t="s">
        <v>18892</v>
      </c>
      <c r="X5825">
        <v>5</v>
      </c>
      <c r="Y5825" t="s">
        <v>25253</v>
      </c>
      <c r="Z5825" t="s">
        <v>31793</v>
      </c>
      <c r="AA5825">
        <v>0.4166238898097856</v>
      </c>
      <c r="AB5825" t="str">
        <f>HYPERLINK("Melting_Curves/meltCurve_Q9NRD5_PICK1.pdf", "Melting_Curves/meltCurve_Q9NRD5_PICK1.pdf")</f>
        <v>Melting_Curves/meltCurve_Q9NRD5_PICK1.pdf</v>
      </c>
    </row>
    <row r="5826" spans="1:28" x14ac:dyDescent="0.25">
      <c r="A5826" t="s">
        <v>5830</v>
      </c>
      <c r="B5826">
        <v>0.99472303558308395</v>
      </c>
      <c r="C5826">
        <v>1.0311206414924601</v>
      </c>
      <c r="D5826">
        <v>0.83207097347331005</v>
      </c>
      <c r="E5826">
        <v>0.65557739782270097</v>
      </c>
      <c r="F5826">
        <v>0.36200925667722</v>
      </c>
      <c r="G5826">
        <v>0.22253767513700501</v>
      </c>
      <c r="H5826">
        <v>0.163145479460897</v>
      </c>
      <c r="I5826">
        <v>7.1018079522519706E-2</v>
      </c>
      <c r="J5826">
        <v>7.6885532179420193E-2</v>
      </c>
      <c r="K5826">
        <v>6.0888944388356001E-2</v>
      </c>
      <c r="L5826">
        <v>738.87478059491605</v>
      </c>
      <c r="M5826">
        <v>15.3638063110724</v>
      </c>
      <c r="N5826">
        <v>48.477043573965403</v>
      </c>
      <c r="O5826">
        <v>47.299249768344097</v>
      </c>
      <c r="P5826">
        <v>-7.6546930445096195E-2</v>
      </c>
      <c r="Q5826">
        <v>5.7452543813679501E-2</v>
      </c>
      <c r="R5826">
        <v>0.99388514870715094</v>
      </c>
      <c r="S5826" t="s">
        <v>12394</v>
      </c>
      <c r="T5826" t="s">
        <v>13134</v>
      </c>
      <c r="U5826" t="s">
        <v>13134</v>
      </c>
      <c r="V5826" t="s">
        <v>13134</v>
      </c>
      <c r="W5826" t="s">
        <v>18893</v>
      </c>
      <c r="X5826">
        <v>2</v>
      </c>
      <c r="Y5826" t="s">
        <v>25254</v>
      </c>
      <c r="Z5826" t="s">
        <v>31794</v>
      </c>
      <c r="AA5826">
        <v>0.42583879922577039</v>
      </c>
      <c r="AB5826" t="str">
        <f>HYPERLINK("Melting_Curves/meltCurve_Q9NRF2_3_SH2B1.pdf", "Melting_Curves/meltCurve_Q9NRF2_3_SH2B1.pdf")</f>
        <v>Melting_Curves/meltCurve_Q9NRF2_3_SH2B1.pdf</v>
      </c>
    </row>
    <row r="5827" spans="1:28" x14ac:dyDescent="0.25">
      <c r="A5827" t="s">
        <v>5831</v>
      </c>
      <c r="B5827">
        <v>0.99472303558308395</v>
      </c>
      <c r="C5827">
        <v>0.98059606583581904</v>
      </c>
      <c r="D5827">
        <v>0.96730674381840798</v>
      </c>
      <c r="E5827">
        <v>0.86306589375132003</v>
      </c>
      <c r="F5827">
        <v>0.77132653350671398</v>
      </c>
      <c r="G5827">
        <v>0.61570477061737605</v>
      </c>
      <c r="H5827">
        <v>0.391832607552901</v>
      </c>
      <c r="I5827">
        <v>0.395324345236654</v>
      </c>
      <c r="J5827">
        <v>0.395303429180482</v>
      </c>
      <c r="K5827">
        <v>0.14620707303695299</v>
      </c>
      <c r="L5827">
        <v>529.88453184673006</v>
      </c>
      <c r="M5827">
        <v>9.55282317150753</v>
      </c>
      <c r="N5827">
        <v>56.6015879961774</v>
      </c>
      <c r="O5827">
        <v>53.201453073406398</v>
      </c>
      <c r="P5827">
        <v>-4.1008033054373401E-2</v>
      </c>
      <c r="Q5827">
        <v>8.7003220373472703E-2</v>
      </c>
      <c r="R5827">
        <v>0.96594458607571398</v>
      </c>
      <c r="S5827" t="s">
        <v>12395</v>
      </c>
      <c r="T5827" t="s">
        <v>13134</v>
      </c>
      <c r="U5827" t="s">
        <v>13134</v>
      </c>
      <c r="V5827" t="s">
        <v>13134</v>
      </c>
      <c r="W5827" t="s">
        <v>18894</v>
      </c>
      <c r="X5827">
        <v>19</v>
      </c>
      <c r="Y5827" t="s">
        <v>25255</v>
      </c>
      <c r="Z5827" t="s">
        <v>31795</v>
      </c>
      <c r="AA5827">
        <v>0.65668029153521146</v>
      </c>
      <c r="AB5827" t="str">
        <f>HYPERLINK("Melting_Curves/meltCurve_Q9NRF8_CTPS2.pdf", "Melting_Curves/meltCurve_Q9NRF8_CTPS2.pdf")</f>
        <v>Melting_Curves/meltCurve_Q9NRF8_CTPS2.pdf</v>
      </c>
    </row>
    <row r="5828" spans="1:28" x14ac:dyDescent="0.25">
      <c r="A5828" t="s">
        <v>5832</v>
      </c>
      <c r="B5828">
        <v>0.99472303558308395</v>
      </c>
      <c r="C5828">
        <v>1.04180538431012</v>
      </c>
      <c r="D5828">
        <v>0.96579122673012896</v>
      </c>
      <c r="E5828">
        <v>0.86398225511682303</v>
      </c>
      <c r="F5828">
        <v>0.63749385880222198</v>
      </c>
      <c r="G5828">
        <v>0.43633894394289102</v>
      </c>
      <c r="H5828">
        <v>0.27928587214924999</v>
      </c>
      <c r="I5828">
        <v>0.20256041701177599</v>
      </c>
      <c r="J5828">
        <v>0.206312076234481</v>
      </c>
      <c r="K5828">
        <v>0.16554681706684099</v>
      </c>
      <c r="L5828">
        <v>843.35199223574102</v>
      </c>
      <c r="M5828">
        <v>16.4593729069761</v>
      </c>
      <c r="N5828">
        <v>52.451452041739003</v>
      </c>
      <c r="O5828">
        <v>50.499973407119199</v>
      </c>
      <c r="P5828">
        <v>-6.8588790145808196E-2</v>
      </c>
      <c r="Q5828">
        <v>0.15829380762724601</v>
      </c>
      <c r="R5828">
        <v>0.99711825062223203</v>
      </c>
      <c r="S5828" t="s">
        <v>12396</v>
      </c>
      <c r="T5828" t="s">
        <v>13134</v>
      </c>
      <c r="U5828" t="s">
        <v>13134</v>
      </c>
      <c r="V5828" t="s">
        <v>13134</v>
      </c>
      <c r="W5828" t="s">
        <v>18895</v>
      </c>
      <c r="X5828">
        <v>6</v>
      </c>
      <c r="Y5828" t="s">
        <v>25256</v>
      </c>
      <c r="Z5828" t="s">
        <v>31796</v>
      </c>
      <c r="AA5828">
        <v>0.57258304220691292</v>
      </c>
      <c r="AB5828" t="str">
        <f>HYPERLINK("Melting_Curves/meltCurve_Q9NRF9_POLE3.pdf", "Melting_Curves/meltCurve_Q9NRF9_POLE3.pdf")</f>
        <v>Melting_Curves/meltCurve_Q9NRF9_POLE3.pdf</v>
      </c>
    </row>
    <row r="5829" spans="1:28" x14ac:dyDescent="0.25">
      <c r="A5829" t="s">
        <v>5833</v>
      </c>
      <c r="B5829">
        <v>0.99472303558308395</v>
      </c>
      <c r="C5829">
        <v>0.928038275000719</v>
      </c>
      <c r="D5829">
        <v>0.98918513159075105</v>
      </c>
      <c r="E5829">
        <v>0.926658123871553</v>
      </c>
      <c r="F5829">
        <v>0.78543314809018105</v>
      </c>
      <c r="G5829">
        <v>0.375302910252379</v>
      </c>
      <c r="H5829">
        <v>0.12760229271411899</v>
      </c>
      <c r="I5829">
        <v>7.9450921776005504E-2</v>
      </c>
      <c r="J5829">
        <v>8.2227347302891093E-2</v>
      </c>
      <c r="K5829">
        <v>8.8675905146890693E-2</v>
      </c>
      <c r="L5829">
        <v>1420.61292423291</v>
      </c>
      <c r="M5829">
        <v>27.150177294171499</v>
      </c>
      <c r="N5829">
        <v>52.615797571898597</v>
      </c>
      <c r="O5829">
        <v>52.042849555448598</v>
      </c>
      <c r="P5829">
        <v>-0.121315513153713</v>
      </c>
      <c r="Q5829">
        <v>6.9833562866428403E-2</v>
      </c>
      <c r="R5829">
        <v>0.995061998279269</v>
      </c>
      <c r="S5829" t="s">
        <v>12397</v>
      </c>
      <c r="T5829" t="s">
        <v>13134</v>
      </c>
      <c r="U5829" t="s">
        <v>13134</v>
      </c>
      <c r="V5829" t="s">
        <v>13134</v>
      </c>
      <c r="W5829" t="s">
        <v>18896</v>
      </c>
      <c r="X5829">
        <v>3</v>
      </c>
      <c r="Y5829" t="s">
        <v>25257</v>
      </c>
      <c r="Z5829" t="s">
        <v>31797</v>
      </c>
      <c r="AA5829">
        <v>0.55206944098286981</v>
      </c>
      <c r="AB5829" t="str">
        <f>HYPERLINK("Melting_Curves/meltCurve_Q9NRG0_CHRAC1.pdf", "Melting_Curves/meltCurve_Q9NRG0_CHRAC1.pdf")</f>
        <v>Melting_Curves/meltCurve_Q9NRG0_CHRAC1.pdf</v>
      </c>
    </row>
    <row r="5830" spans="1:28" x14ac:dyDescent="0.25">
      <c r="A5830" t="s">
        <v>5834</v>
      </c>
      <c r="B5830">
        <v>0.99472303558308395</v>
      </c>
      <c r="C5830">
        <v>1.02394485134697</v>
      </c>
      <c r="D5830">
        <v>1.106954509291</v>
      </c>
      <c r="E5830">
        <v>1.01797262965783</v>
      </c>
      <c r="F5830">
        <v>0.82570044245513496</v>
      </c>
      <c r="G5830">
        <v>0.66991000223031605</v>
      </c>
      <c r="H5830">
        <v>0.54811819346339397</v>
      </c>
      <c r="I5830">
        <v>0.64169187813820805</v>
      </c>
      <c r="J5830">
        <v>0.95148029188472405</v>
      </c>
      <c r="K5830">
        <v>0.68368223610726198</v>
      </c>
      <c r="L5830">
        <v>12533.998018235599</v>
      </c>
      <c r="M5830">
        <v>250</v>
      </c>
      <c r="O5830">
        <v>50.1327849345003</v>
      </c>
      <c r="P5830">
        <v>-0.37528272353772502</v>
      </c>
      <c r="Q5830">
        <v>0.69897651865064803</v>
      </c>
      <c r="R5830">
        <v>0.70571859668262604</v>
      </c>
      <c r="S5830" t="s">
        <v>12398</v>
      </c>
      <c r="T5830" t="s">
        <v>13134</v>
      </c>
      <c r="U5830" t="s">
        <v>13134</v>
      </c>
      <c r="V5830" t="s">
        <v>13134</v>
      </c>
      <c r="W5830" t="s">
        <v>18897</v>
      </c>
      <c r="X5830">
        <v>8</v>
      </c>
      <c r="Y5830" t="s">
        <v>25258</v>
      </c>
      <c r="Z5830" t="s">
        <v>31798</v>
      </c>
      <c r="AA5830">
        <v>0.83081107389616837</v>
      </c>
      <c r="AB5830" t="str">
        <f>HYPERLINK("Melting_Curves/meltCurve_Q9NRG1_PRTFDC1.pdf", "Melting_Curves/meltCurve_Q9NRG1_PRTFDC1.pdf")</f>
        <v>Melting_Curves/meltCurve_Q9NRG1_PRTFDC1.pdf</v>
      </c>
    </row>
    <row r="5831" spans="1:28" x14ac:dyDescent="0.25">
      <c r="A5831" t="s">
        <v>5835</v>
      </c>
      <c r="B5831">
        <v>0.99472303558308395</v>
      </c>
      <c r="C5831">
        <v>0.94470378887485895</v>
      </c>
      <c r="D5831">
        <v>0.92331922306010195</v>
      </c>
      <c r="E5831">
        <v>0.62483965961156096</v>
      </c>
      <c r="F5831">
        <v>0.19472907596969199</v>
      </c>
      <c r="G5831">
        <v>0.109523370205415</v>
      </c>
      <c r="H5831">
        <v>8.1550520003277005E-2</v>
      </c>
      <c r="I5831">
        <v>4.23294672358542E-2</v>
      </c>
      <c r="J5831">
        <v>5.1641043603681602E-2</v>
      </c>
      <c r="K5831">
        <v>4.9945038196232E-2</v>
      </c>
      <c r="L5831">
        <v>1246.8051483439499</v>
      </c>
      <c r="M5831">
        <v>26.4009099478465</v>
      </c>
      <c r="N5831">
        <v>47.432251781081298</v>
      </c>
      <c r="O5831">
        <v>46.9573912756642</v>
      </c>
      <c r="P5831">
        <v>-0.13293152860273699</v>
      </c>
      <c r="Q5831">
        <v>5.4267568289066703E-2</v>
      </c>
      <c r="R5831">
        <v>0.99736611024237698</v>
      </c>
      <c r="S5831" t="s">
        <v>12399</v>
      </c>
      <c r="T5831" t="s">
        <v>13134</v>
      </c>
      <c r="U5831" t="s">
        <v>13134</v>
      </c>
      <c r="V5831" t="s">
        <v>13134</v>
      </c>
      <c r="W5831" t="s">
        <v>18898</v>
      </c>
      <c r="X5831">
        <v>8</v>
      </c>
      <c r="Y5831" t="s">
        <v>25259</v>
      </c>
      <c r="Z5831" t="s">
        <v>31799</v>
      </c>
      <c r="AA5831">
        <v>0.38377347795447231</v>
      </c>
      <c r="AB5831" t="str">
        <f>HYPERLINK("Melting_Curves/meltCurve_Q9NRG4_SMYD2.pdf", "Melting_Curves/meltCurve_Q9NRG4_SMYD2.pdf")</f>
        <v>Melting_Curves/meltCurve_Q9NRG4_SMYD2.pdf</v>
      </c>
    </row>
    <row r="5832" spans="1:28" x14ac:dyDescent="0.25">
      <c r="A5832" t="s">
        <v>5836</v>
      </c>
      <c r="B5832">
        <v>0.99472303558308395</v>
      </c>
      <c r="C5832">
        <v>1.1626661863055701</v>
      </c>
      <c r="D5832">
        <v>1.00576836563557</v>
      </c>
      <c r="E5832">
        <v>0.90699081025437001</v>
      </c>
      <c r="F5832">
        <v>0.58864236300124195</v>
      </c>
      <c r="G5832">
        <v>0.53096068674111896</v>
      </c>
      <c r="H5832">
        <v>0.31752583274302099</v>
      </c>
      <c r="I5832">
        <v>0.21403650912528499</v>
      </c>
      <c r="J5832">
        <v>0.18138288874960501</v>
      </c>
      <c r="K5832">
        <v>0.169283551311184</v>
      </c>
      <c r="L5832">
        <v>799.76550119478998</v>
      </c>
      <c r="M5832">
        <v>15.390521335002401</v>
      </c>
      <c r="N5832">
        <v>53.161301274275502</v>
      </c>
      <c r="O5832">
        <v>51.111200935769503</v>
      </c>
      <c r="P5832">
        <v>-6.4265857865185003E-2</v>
      </c>
      <c r="Q5832">
        <v>0.146382338455955</v>
      </c>
      <c r="R5832">
        <v>0.96532397048283303</v>
      </c>
      <c r="S5832" t="s">
        <v>12400</v>
      </c>
      <c r="T5832" t="s">
        <v>13134</v>
      </c>
      <c r="U5832" t="s">
        <v>13134</v>
      </c>
      <c r="V5832" t="s">
        <v>13134</v>
      </c>
      <c r="W5832" t="s">
        <v>18899</v>
      </c>
      <c r="X5832">
        <v>6</v>
      </c>
      <c r="Y5832" t="s">
        <v>25260</v>
      </c>
      <c r="Z5832" t="s">
        <v>31800</v>
      </c>
      <c r="AA5832">
        <v>0.58806999848067676</v>
      </c>
      <c r="AB5832" t="str">
        <f>HYPERLINK("Melting_Curves/meltCurve_Q9NRH1_YAE1D1.pdf", "Melting_Curves/meltCurve_Q9NRH1_YAE1D1.pdf")</f>
        <v>Melting_Curves/meltCurve_Q9NRH1_YAE1D1.pdf</v>
      </c>
    </row>
    <row r="5833" spans="1:28" x14ac:dyDescent="0.25">
      <c r="A5833" t="s">
        <v>5837</v>
      </c>
      <c r="B5833">
        <v>0.99472303558308395</v>
      </c>
      <c r="C5833">
        <v>0.97618837020011695</v>
      </c>
      <c r="D5833">
        <v>0.96109270803732205</v>
      </c>
      <c r="E5833">
        <v>0.87317631860381595</v>
      </c>
      <c r="F5833">
        <v>0.72544273397959602</v>
      </c>
      <c r="G5833">
        <v>0.54232390422146104</v>
      </c>
      <c r="H5833">
        <v>0.39529185343904</v>
      </c>
      <c r="I5833">
        <v>0.28875028577145201</v>
      </c>
      <c r="J5833">
        <v>0.204095034049873</v>
      </c>
      <c r="K5833">
        <v>0.13035944741518299</v>
      </c>
      <c r="L5833">
        <v>574.56364523673403</v>
      </c>
      <c r="M5833">
        <v>10.4883552266976</v>
      </c>
      <c r="N5833">
        <v>55.002774889822199</v>
      </c>
      <c r="O5833">
        <v>52.902028592271002</v>
      </c>
      <c r="P5833">
        <v>-4.85589128264928E-2</v>
      </c>
      <c r="Q5833">
        <v>2.0694924151172099E-2</v>
      </c>
      <c r="R5833">
        <v>0.99890619672248704</v>
      </c>
      <c r="S5833" t="s">
        <v>12401</v>
      </c>
      <c r="T5833" t="s">
        <v>13134</v>
      </c>
      <c r="U5833" t="s">
        <v>13134</v>
      </c>
      <c r="V5833" t="s">
        <v>13134</v>
      </c>
      <c r="W5833" t="s">
        <v>18900</v>
      </c>
      <c r="X5833">
        <v>17</v>
      </c>
      <c r="Y5833" t="s">
        <v>25261</v>
      </c>
      <c r="Z5833" t="s">
        <v>31801</v>
      </c>
      <c r="AA5833">
        <v>0.61488221285605793</v>
      </c>
      <c r="AB5833" t="str">
        <f>HYPERLINK("Melting_Curves/meltCurve_Q9NRK6_ABCB10.pdf", "Melting_Curves/meltCurve_Q9NRK6_ABCB10.pdf")</f>
        <v>Melting_Curves/meltCurve_Q9NRK6_ABCB10.pdf</v>
      </c>
    </row>
    <row r="5834" spans="1:28" x14ac:dyDescent="0.25">
      <c r="A5834" t="s">
        <v>5838</v>
      </c>
      <c r="B5834">
        <v>0.99472303558308395</v>
      </c>
      <c r="C5834">
        <v>0.78952789437121695</v>
      </c>
      <c r="D5834">
        <v>0.42782799769365998</v>
      </c>
      <c r="E5834">
        <v>0.267550473766894</v>
      </c>
      <c r="F5834">
        <v>0.18535079967124801</v>
      </c>
      <c r="G5834">
        <v>0.11267938695702499</v>
      </c>
      <c r="H5834">
        <v>0.122676580645546</v>
      </c>
      <c r="I5834">
        <v>0.12492984684042401</v>
      </c>
      <c r="J5834">
        <v>0.152670879312719</v>
      </c>
      <c r="K5834">
        <v>0.114921756452229</v>
      </c>
      <c r="L5834">
        <v>903.64726003923704</v>
      </c>
      <c r="M5834">
        <v>21.527405034842001</v>
      </c>
      <c r="N5834">
        <v>42.588629814587598</v>
      </c>
      <c r="O5834">
        <v>41.619414812983798</v>
      </c>
      <c r="P5834">
        <v>-0.112109809313175</v>
      </c>
      <c r="Q5834">
        <v>0.13304348239028799</v>
      </c>
      <c r="R5834">
        <v>0.99235971024821701</v>
      </c>
      <c r="S5834" t="s">
        <v>12402</v>
      </c>
      <c r="T5834" t="s">
        <v>13134</v>
      </c>
      <c r="U5834" t="s">
        <v>13134</v>
      </c>
      <c r="V5834" t="s">
        <v>13134</v>
      </c>
      <c r="W5834" t="s">
        <v>18901</v>
      </c>
      <c r="X5834">
        <v>13</v>
      </c>
      <c r="Y5834" t="s">
        <v>25262</v>
      </c>
      <c r="Z5834" t="s">
        <v>31802</v>
      </c>
      <c r="AA5834">
        <v>0.28787352555072532</v>
      </c>
      <c r="AB5834" t="str">
        <f>HYPERLINK("Melting_Curves/meltCurve_Q9NRL2_2_BAZ1A.pdf", "Melting_Curves/meltCurve_Q9NRL2_2_BAZ1A.pdf")</f>
        <v>Melting_Curves/meltCurve_Q9NRL2_2_BAZ1A.pdf</v>
      </c>
    </row>
    <row r="5835" spans="1:28" x14ac:dyDescent="0.25">
      <c r="A5835" t="s">
        <v>5839</v>
      </c>
      <c r="B5835">
        <v>0.99472303558308395</v>
      </c>
      <c r="C5835">
        <v>0.94413341308772003</v>
      </c>
      <c r="D5835">
        <v>0.72246587587336897</v>
      </c>
      <c r="E5835">
        <v>0.61588559977305102</v>
      </c>
      <c r="F5835">
        <v>0.47490631151893697</v>
      </c>
      <c r="G5835">
        <v>0.114303785294103</v>
      </c>
      <c r="H5835">
        <v>6.7475950504867793E-2</v>
      </c>
      <c r="I5835">
        <v>3.9133217846275999E-2</v>
      </c>
      <c r="J5835">
        <v>4.8565522556319997E-2</v>
      </c>
      <c r="K5835">
        <v>3.7670928183570297E-2</v>
      </c>
      <c r="L5835">
        <v>611.91010803019799</v>
      </c>
      <c r="M5835">
        <v>12.7527912507921</v>
      </c>
      <c r="N5835">
        <v>47.982437913928202</v>
      </c>
      <c r="O5835">
        <v>46.848518286591002</v>
      </c>
      <c r="P5835">
        <v>-6.8066298617836501E-2</v>
      </c>
      <c r="Q5835">
        <v>0</v>
      </c>
      <c r="R5835">
        <v>0.976811573545181</v>
      </c>
      <c r="S5835" t="s">
        <v>12403</v>
      </c>
      <c r="T5835" t="s">
        <v>13134</v>
      </c>
      <c r="U5835" t="s">
        <v>13134</v>
      </c>
      <c r="V5835" t="s">
        <v>13134</v>
      </c>
      <c r="W5835" t="s">
        <v>18902</v>
      </c>
      <c r="X5835">
        <v>11</v>
      </c>
      <c r="Y5835" t="s">
        <v>25263</v>
      </c>
      <c r="Z5835" t="s">
        <v>31803</v>
      </c>
      <c r="AA5835">
        <v>0.39468754742118578</v>
      </c>
      <c r="AB5835" t="str">
        <f>HYPERLINK("Melting_Curves/meltCurve_Q9NRL3_STRN4.pdf", "Melting_Curves/meltCurve_Q9NRL3_STRN4.pdf")</f>
        <v>Melting_Curves/meltCurve_Q9NRL3_STRN4.pdf</v>
      </c>
    </row>
    <row r="5836" spans="1:28" x14ac:dyDescent="0.25">
      <c r="A5836" t="s">
        <v>5840</v>
      </c>
      <c r="B5836">
        <v>0.99472303558308395</v>
      </c>
      <c r="C5836">
        <v>0.71976325224454596</v>
      </c>
      <c r="D5836">
        <v>1.30447283718458</v>
      </c>
      <c r="E5836">
        <v>0.93533725600488804</v>
      </c>
      <c r="F5836">
        <v>0.48721580153788902</v>
      </c>
      <c r="G5836">
        <v>0.33928869726929001</v>
      </c>
      <c r="H5836">
        <v>0.115188213753735</v>
      </c>
      <c r="I5836">
        <v>7.0701265402889499E-2</v>
      </c>
      <c r="J5836">
        <v>7.8188289106595699E-2</v>
      </c>
      <c r="K5836">
        <v>6.5363828107991406E-2</v>
      </c>
      <c r="L5836">
        <v>1266.33939230137</v>
      </c>
      <c r="M5836">
        <v>25.091203835608599</v>
      </c>
      <c r="N5836">
        <v>50.8221973679982</v>
      </c>
      <c r="O5836">
        <v>50.152167814929399</v>
      </c>
      <c r="P5836">
        <v>-0.11508155385390199</v>
      </c>
      <c r="Q5836">
        <v>7.9914884767342306E-2</v>
      </c>
      <c r="R5836">
        <v>0.89386409566681302</v>
      </c>
      <c r="S5836" t="s">
        <v>12404</v>
      </c>
      <c r="T5836" t="s">
        <v>13134</v>
      </c>
      <c r="U5836" t="s">
        <v>13134</v>
      </c>
      <c r="V5836" t="s">
        <v>13134</v>
      </c>
      <c r="W5836" t="s">
        <v>18903</v>
      </c>
      <c r="X5836">
        <v>11</v>
      </c>
      <c r="Y5836" t="s">
        <v>25264</v>
      </c>
      <c r="Z5836" t="s">
        <v>31804</v>
      </c>
      <c r="AA5836">
        <v>0.50104470430784953</v>
      </c>
      <c r="AB5836" t="str">
        <f>HYPERLINK("Melting_Curves/meltCurve_Q9NRN7_AASDHPPT.pdf", "Melting_Curves/meltCurve_Q9NRN7_AASDHPPT.pdf")</f>
        <v>Melting_Curves/meltCurve_Q9NRN7_AASDHPPT.pdf</v>
      </c>
    </row>
    <row r="5837" spans="1:28" x14ac:dyDescent="0.25">
      <c r="A5837" t="s">
        <v>5841</v>
      </c>
      <c r="B5837">
        <v>0.99472303558308395</v>
      </c>
      <c r="C5837">
        <v>0.981081497528286</v>
      </c>
      <c r="D5837">
        <v>1.01359816526963</v>
      </c>
      <c r="E5837">
        <v>0.96167582538961804</v>
      </c>
      <c r="F5837">
        <v>0.75156505944046403</v>
      </c>
      <c r="G5837">
        <v>0.67682437105917803</v>
      </c>
      <c r="H5837">
        <v>0.60519135868214702</v>
      </c>
      <c r="I5837">
        <v>0.72648558080457404</v>
      </c>
      <c r="J5837">
        <v>0.94187863513570202</v>
      </c>
      <c r="K5837">
        <v>0.64729342232701004</v>
      </c>
      <c r="L5837">
        <v>2658.0575687085902</v>
      </c>
      <c r="M5837">
        <v>55.148138436015898</v>
      </c>
      <c r="O5837">
        <v>48.135248352760897</v>
      </c>
      <c r="P5837">
        <v>-8.0201406929414507E-2</v>
      </c>
      <c r="Q5837">
        <v>0.71998965340241206</v>
      </c>
      <c r="R5837">
        <v>0.70439577804723497</v>
      </c>
      <c r="S5837" t="s">
        <v>12405</v>
      </c>
      <c r="T5837" t="s">
        <v>13134</v>
      </c>
      <c r="U5837" t="s">
        <v>13134</v>
      </c>
      <c r="V5837" t="s">
        <v>13134</v>
      </c>
      <c r="W5837" t="s">
        <v>18904</v>
      </c>
      <c r="X5837">
        <v>10</v>
      </c>
      <c r="Y5837" t="s">
        <v>25265</v>
      </c>
      <c r="Z5837" t="s">
        <v>31805</v>
      </c>
      <c r="AA5837">
        <v>0.82500171793966859</v>
      </c>
      <c r="AB5837" t="str">
        <f>HYPERLINK("Melting_Curves/meltCurve_Q9NRN9_METTL5.pdf", "Melting_Curves/meltCurve_Q9NRN9_METTL5.pdf")</f>
        <v>Melting_Curves/meltCurve_Q9NRN9_METTL5.pdf</v>
      </c>
    </row>
    <row r="5838" spans="1:28" x14ac:dyDescent="0.25">
      <c r="A5838" t="s">
        <v>5842</v>
      </c>
      <c r="B5838">
        <v>0.99472303558308395</v>
      </c>
      <c r="C5838">
        <v>0.95081031504156099</v>
      </c>
      <c r="D5838">
        <v>0.86917155475462005</v>
      </c>
      <c r="E5838">
        <v>0.78177881712897002</v>
      </c>
      <c r="F5838">
        <v>0.57518076685561603</v>
      </c>
      <c r="G5838">
        <v>0.39134306776842598</v>
      </c>
      <c r="H5838">
        <v>0.27865816795689002</v>
      </c>
      <c r="I5838">
        <v>0.23369309075469</v>
      </c>
      <c r="J5838">
        <v>0.27183923682597699</v>
      </c>
      <c r="K5838">
        <v>0.35141881722009499</v>
      </c>
      <c r="L5838">
        <v>758.97676775300295</v>
      </c>
      <c r="M5838">
        <v>15.553154889754399</v>
      </c>
      <c r="N5838">
        <v>51.166518772483798</v>
      </c>
      <c r="O5838">
        <v>48.013515799897903</v>
      </c>
      <c r="P5838">
        <v>-6.0212268535745697E-2</v>
      </c>
      <c r="Q5838">
        <v>0.25654957462330502</v>
      </c>
      <c r="R5838">
        <v>0.98013238886271004</v>
      </c>
      <c r="S5838" t="s">
        <v>12406</v>
      </c>
      <c r="T5838" t="s">
        <v>13134</v>
      </c>
      <c r="U5838" t="s">
        <v>13134</v>
      </c>
      <c r="V5838" t="s">
        <v>13134</v>
      </c>
      <c r="W5838" t="s">
        <v>18905</v>
      </c>
      <c r="X5838">
        <v>8</v>
      </c>
      <c r="Y5838" t="s">
        <v>25266</v>
      </c>
      <c r="Z5838" t="s">
        <v>31806</v>
      </c>
      <c r="AA5838">
        <v>0.5641094917740439</v>
      </c>
      <c r="AB5838" t="str">
        <f>HYPERLINK("Melting_Curves/meltCurve_Q9NRP2_CMC2.pdf", "Melting_Curves/meltCurve_Q9NRP2_CMC2.pdf")</f>
        <v>Melting_Curves/meltCurve_Q9NRP2_CMC2.pdf</v>
      </c>
    </row>
    <row r="5839" spans="1:28" x14ac:dyDescent="0.25">
      <c r="A5839" t="s">
        <v>5843</v>
      </c>
      <c r="B5839">
        <v>0.99472303558308395</v>
      </c>
      <c r="C5839">
        <v>0.94341049346166195</v>
      </c>
      <c r="D5839">
        <v>0.89402020513157898</v>
      </c>
      <c r="E5839">
        <v>0.77484928367473105</v>
      </c>
      <c r="F5839">
        <v>0.50551928535914703</v>
      </c>
      <c r="G5839">
        <v>0.272159216526697</v>
      </c>
      <c r="H5839">
        <v>0.108860790877645</v>
      </c>
      <c r="I5839">
        <v>5.9247868008004398E-2</v>
      </c>
      <c r="J5839">
        <v>6.2113702528688697E-2</v>
      </c>
      <c r="K5839">
        <v>5.41956574416501E-2</v>
      </c>
      <c r="L5839">
        <v>760.10115859541395</v>
      </c>
      <c r="M5839">
        <v>15.186851710182401</v>
      </c>
      <c r="N5839">
        <v>50.147297311074098</v>
      </c>
      <c r="O5839">
        <v>49.206237565566397</v>
      </c>
      <c r="P5839">
        <v>-7.6045905177893905E-2</v>
      </c>
      <c r="Q5839">
        <v>1.4523566410251199E-2</v>
      </c>
      <c r="R5839">
        <v>0.99706399406119794</v>
      </c>
      <c r="S5839" t="s">
        <v>12407</v>
      </c>
      <c r="T5839" t="s">
        <v>13134</v>
      </c>
      <c r="U5839" t="s">
        <v>13134</v>
      </c>
      <c r="V5839" t="s">
        <v>13134</v>
      </c>
      <c r="W5839" t="s">
        <v>18906</v>
      </c>
      <c r="X5839">
        <v>4</v>
      </c>
      <c r="Y5839" t="s">
        <v>25267</v>
      </c>
      <c r="Z5839" t="s">
        <v>31807</v>
      </c>
      <c r="AA5839">
        <v>0.46340464550523403</v>
      </c>
      <c r="AB5839" t="str">
        <f>HYPERLINK("Melting_Curves/meltCurve_Q9NRP4_ACN9.pdf", "Melting_Curves/meltCurve_Q9NRP4_ACN9.pdf")</f>
        <v>Melting_Curves/meltCurve_Q9NRP4_ACN9.pdf</v>
      </c>
    </row>
    <row r="5840" spans="1:28" x14ac:dyDescent="0.25">
      <c r="A5840" t="s">
        <v>5844</v>
      </c>
      <c r="B5840">
        <v>0.99472303558308395</v>
      </c>
      <c r="C5840">
        <v>0.97533950584733997</v>
      </c>
      <c r="D5840">
        <v>0.924138476450448</v>
      </c>
      <c r="E5840">
        <v>0.85114506685984204</v>
      </c>
      <c r="F5840">
        <v>0.67962378985974803</v>
      </c>
      <c r="G5840">
        <v>0.56397312968469804</v>
      </c>
      <c r="H5840">
        <v>0.446718383133339</v>
      </c>
      <c r="I5840">
        <v>0.47603417776761497</v>
      </c>
      <c r="J5840">
        <v>0.58546616237627103</v>
      </c>
      <c r="K5840">
        <v>0.45238429699129801</v>
      </c>
      <c r="L5840">
        <v>879.29488342241098</v>
      </c>
      <c r="M5840">
        <v>18.074702919320501</v>
      </c>
      <c r="N5840">
        <v>59.2715926993815</v>
      </c>
      <c r="O5840">
        <v>48.064059085672099</v>
      </c>
      <c r="P5840">
        <v>-4.8850717837163798E-2</v>
      </c>
      <c r="Q5840">
        <v>0.48041196759454402</v>
      </c>
      <c r="R5840">
        <v>0.96224949249176295</v>
      </c>
      <c r="S5840" t="s">
        <v>12408</v>
      </c>
      <c r="T5840" t="s">
        <v>13134</v>
      </c>
      <c r="U5840" t="s">
        <v>13134</v>
      </c>
      <c r="V5840" t="s">
        <v>13134</v>
      </c>
      <c r="W5840" t="s">
        <v>18907</v>
      </c>
      <c r="X5840">
        <v>14</v>
      </c>
      <c r="Y5840" t="s">
        <v>25268</v>
      </c>
      <c r="Z5840" t="s">
        <v>31808</v>
      </c>
      <c r="AA5840">
        <v>0.69036590106158613</v>
      </c>
      <c r="AB5840" t="str">
        <f>HYPERLINK("Melting_Curves/meltCurve_Q9NRR5_UBQLN4.pdf", "Melting_Curves/meltCurve_Q9NRR5_UBQLN4.pdf")</f>
        <v>Melting_Curves/meltCurve_Q9NRR5_UBQLN4.pdf</v>
      </c>
    </row>
    <row r="5841" spans="1:28" x14ac:dyDescent="0.25">
      <c r="A5841" t="s">
        <v>5845</v>
      </c>
      <c r="B5841">
        <v>0.99472303558308395</v>
      </c>
      <c r="C5841">
        <v>1.0577667740091301</v>
      </c>
      <c r="D5841">
        <v>1.0321261056628801</v>
      </c>
      <c r="E5841">
        <v>0.90327484037378902</v>
      </c>
      <c r="F5841">
        <v>0.50674170298680798</v>
      </c>
      <c r="G5841">
        <v>0.47363929175298602</v>
      </c>
      <c r="H5841">
        <v>0.34860950110301903</v>
      </c>
      <c r="I5841">
        <v>0.51541483695311596</v>
      </c>
      <c r="J5841">
        <v>0.55616448769101201</v>
      </c>
      <c r="K5841">
        <v>0.31744391558420398</v>
      </c>
      <c r="L5841">
        <v>2325.5947122795801</v>
      </c>
      <c r="M5841">
        <v>48.329200918148103</v>
      </c>
      <c r="N5841">
        <v>50.351863754183697</v>
      </c>
      <c r="O5841">
        <v>48.037707730498603</v>
      </c>
      <c r="P5841">
        <v>-0.14052025892044101</v>
      </c>
      <c r="Q5841">
        <v>0.44130980787935498</v>
      </c>
      <c r="R5841">
        <v>0.93772550651747</v>
      </c>
      <c r="S5841" t="s">
        <v>12409</v>
      </c>
      <c r="T5841" t="s">
        <v>13134</v>
      </c>
      <c r="U5841" t="s">
        <v>13134</v>
      </c>
      <c r="V5841" t="s">
        <v>13134</v>
      </c>
      <c r="W5841" t="s">
        <v>18908</v>
      </c>
      <c r="X5841">
        <v>1</v>
      </c>
      <c r="Y5841" t="s">
        <v>25269</v>
      </c>
      <c r="Z5841" t="s">
        <v>31809</v>
      </c>
      <c r="AA5841">
        <v>0.64966490244800212</v>
      </c>
      <c r="AB5841" t="str">
        <f>HYPERLINK("Melting_Curves/meltCurve_Q9NRR8_CDC42SE1.pdf", "Melting_Curves/meltCurve_Q9NRR8_CDC42SE1.pdf")</f>
        <v>Melting_Curves/meltCurve_Q9NRR8_CDC42SE1.pdf</v>
      </c>
    </row>
    <row r="5842" spans="1:28" x14ac:dyDescent="0.25">
      <c r="A5842" t="s">
        <v>5846</v>
      </c>
      <c r="B5842">
        <v>0.99472303558308395</v>
      </c>
      <c r="C5842">
        <v>0.87047251007252002</v>
      </c>
      <c r="D5842">
        <v>1.07763413434192</v>
      </c>
      <c r="E5842">
        <v>0.38857611316180202</v>
      </c>
      <c r="F5842">
        <v>0.15499176625369801</v>
      </c>
      <c r="G5842">
        <v>9.3946201275620006E-2</v>
      </c>
      <c r="H5842">
        <v>4.7430835362109999E-2</v>
      </c>
      <c r="I5842">
        <v>4.1111302142515099E-2</v>
      </c>
      <c r="J5842">
        <v>3.8153584608235203E-2</v>
      </c>
      <c r="K5842">
        <v>2.48513982258423E-2</v>
      </c>
      <c r="L5842">
        <v>5087.6963775153399</v>
      </c>
      <c r="M5842">
        <v>109.81893456117599</v>
      </c>
      <c r="N5842">
        <v>46.388523050883002</v>
      </c>
      <c r="O5842">
        <v>46.312707759571303</v>
      </c>
      <c r="P5842">
        <v>-0.55327302599302497</v>
      </c>
      <c r="Q5842">
        <v>6.6697948921026096E-2</v>
      </c>
      <c r="R5842">
        <v>0.97950486658014602</v>
      </c>
      <c r="S5842" t="s">
        <v>12410</v>
      </c>
      <c r="T5842" t="s">
        <v>13134</v>
      </c>
      <c r="U5842" t="s">
        <v>13134</v>
      </c>
      <c r="V5842" t="s">
        <v>13134</v>
      </c>
      <c r="W5842" t="s">
        <v>18909</v>
      </c>
      <c r="X5842">
        <v>7</v>
      </c>
      <c r="Y5842" t="s">
        <v>25270</v>
      </c>
      <c r="Z5842" t="s">
        <v>31810</v>
      </c>
      <c r="AA5842">
        <v>0.35728763125863688</v>
      </c>
      <c r="AB5842" t="str">
        <f>HYPERLINK("Melting_Curves/meltCurve_Q9NRS6_2_SNX15.pdf", "Melting_Curves/meltCurve_Q9NRS6_2_SNX15.pdf")</f>
        <v>Melting_Curves/meltCurve_Q9NRS6_2_SNX15.pdf</v>
      </c>
    </row>
    <row r="5843" spans="1:28" x14ac:dyDescent="0.25">
      <c r="A5843" t="s">
        <v>5847</v>
      </c>
      <c r="B5843">
        <v>0.99472303558308395</v>
      </c>
      <c r="C5843">
        <v>1.09800849375228</v>
      </c>
      <c r="D5843">
        <v>1.06793642100834</v>
      </c>
      <c r="E5843">
        <v>0.98018931006575105</v>
      </c>
      <c r="F5843">
        <v>0.55570906885842997</v>
      </c>
      <c r="G5843">
        <v>0.36145872771827597</v>
      </c>
      <c r="H5843">
        <v>0.106634399582814</v>
      </c>
      <c r="I5843">
        <v>5.5357615232671201E-2</v>
      </c>
      <c r="J5843">
        <v>4.7352554297049897E-2</v>
      </c>
      <c r="K5843">
        <v>3.00144361094066E-2</v>
      </c>
      <c r="L5843">
        <v>1132.2412629171899</v>
      </c>
      <c r="M5843">
        <v>22.040911725730499</v>
      </c>
      <c r="N5843">
        <v>51.531824366811797</v>
      </c>
      <c r="O5843">
        <v>50.952726388603601</v>
      </c>
      <c r="P5843">
        <v>-0.10452989381740101</v>
      </c>
      <c r="Q5843">
        <v>3.34401514234293E-2</v>
      </c>
      <c r="R5843">
        <v>0.98288068496969005</v>
      </c>
      <c r="S5843" t="s">
        <v>12411</v>
      </c>
      <c r="T5843" t="s">
        <v>13134</v>
      </c>
      <c r="U5843" t="s">
        <v>13134</v>
      </c>
      <c r="V5843" t="s">
        <v>13134</v>
      </c>
      <c r="W5843" t="s">
        <v>18910</v>
      </c>
      <c r="X5843">
        <v>3</v>
      </c>
      <c r="Y5843" t="s">
        <v>25271</v>
      </c>
      <c r="Z5843" t="s">
        <v>31811</v>
      </c>
      <c r="AA5843">
        <v>0.50712508544334256</v>
      </c>
      <c r="AB5843" t="str">
        <f>HYPERLINK("Melting_Curves/meltCurve_Q9NRV9_HEBP1.pdf", "Melting_Curves/meltCurve_Q9NRV9_HEBP1.pdf")</f>
        <v>Melting_Curves/meltCurve_Q9NRV9_HEBP1.pdf</v>
      </c>
    </row>
    <row r="5844" spans="1:28" x14ac:dyDescent="0.25">
      <c r="A5844" t="s">
        <v>5848</v>
      </c>
      <c r="B5844">
        <v>0.99472303558308395</v>
      </c>
      <c r="C5844">
        <v>1.0146771001786401</v>
      </c>
      <c r="D5844">
        <v>0.93385808553525196</v>
      </c>
      <c r="E5844">
        <v>0.83067901399560096</v>
      </c>
      <c r="F5844">
        <v>0.64153112262876399</v>
      </c>
      <c r="G5844">
        <v>0.44894812025963399</v>
      </c>
      <c r="H5844">
        <v>0.40976265058439199</v>
      </c>
      <c r="I5844">
        <v>0.42316234035393602</v>
      </c>
      <c r="J5844">
        <v>0.51074574455364896</v>
      </c>
      <c r="K5844">
        <v>0.416010869433872</v>
      </c>
      <c r="L5844">
        <v>1076.4473061563599</v>
      </c>
      <c r="M5844">
        <v>22.207128962992801</v>
      </c>
      <c r="N5844">
        <v>53.161993795139701</v>
      </c>
      <c r="O5844">
        <v>48.085122291723003</v>
      </c>
      <c r="P5844">
        <v>-6.5872330676222099E-2</v>
      </c>
      <c r="Q5844">
        <v>0.42947856760768799</v>
      </c>
      <c r="R5844">
        <v>0.97975979728429896</v>
      </c>
      <c r="S5844" t="s">
        <v>12412</v>
      </c>
      <c r="T5844" t="s">
        <v>13134</v>
      </c>
      <c r="U5844" t="s">
        <v>13134</v>
      </c>
      <c r="V5844" t="s">
        <v>13134</v>
      </c>
      <c r="W5844" t="s">
        <v>18911</v>
      </c>
      <c r="X5844">
        <v>14</v>
      </c>
      <c r="Y5844" t="s">
        <v>25272</v>
      </c>
      <c r="Z5844" t="s">
        <v>31812</v>
      </c>
      <c r="AA5844">
        <v>0.65382615866461324</v>
      </c>
      <c r="AB5844" t="str">
        <f>HYPERLINK("Melting_Curves/meltCurve_Q9NRW1_RAB6B.pdf", "Melting_Curves/meltCurve_Q9NRW1_RAB6B.pdf")</f>
        <v>Melting_Curves/meltCurve_Q9NRW1_RAB6B.pdf</v>
      </c>
    </row>
    <row r="5845" spans="1:28" x14ac:dyDescent="0.25">
      <c r="A5845" t="s">
        <v>5849</v>
      </c>
      <c r="B5845">
        <v>0.99472303558308395</v>
      </c>
      <c r="C5845">
        <v>0.83238490055612302</v>
      </c>
      <c r="D5845">
        <v>0.68967152378983398</v>
      </c>
      <c r="E5845">
        <v>0.45518760091182697</v>
      </c>
      <c r="F5845">
        <v>0.350689804673321</v>
      </c>
      <c r="G5845">
        <v>0.167794392962135</v>
      </c>
      <c r="H5845">
        <v>7.7772960443174E-2</v>
      </c>
      <c r="I5845">
        <v>5.2426495177612199E-2</v>
      </c>
      <c r="J5845">
        <v>5.7455016118557599E-2</v>
      </c>
      <c r="K5845">
        <v>4.4178759464771199E-2</v>
      </c>
      <c r="L5845">
        <v>511.54569114804599</v>
      </c>
      <c r="M5845">
        <v>11.0620524204109</v>
      </c>
      <c r="N5845">
        <v>46.259187426893298</v>
      </c>
      <c r="O5845">
        <v>44.809197029880998</v>
      </c>
      <c r="P5845">
        <v>-6.1620876481291997E-2</v>
      </c>
      <c r="Q5845">
        <v>1.8956675066472001E-3</v>
      </c>
      <c r="R5845">
        <v>0.99274625006803496</v>
      </c>
      <c r="S5845" t="s">
        <v>12413</v>
      </c>
      <c r="T5845" t="s">
        <v>13134</v>
      </c>
      <c r="U5845" t="s">
        <v>13134</v>
      </c>
      <c r="V5845" t="s">
        <v>13134</v>
      </c>
      <c r="W5845" t="s">
        <v>18912</v>
      </c>
      <c r="X5845">
        <v>2</v>
      </c>
      <c r="Y5845" t="s">
        <v>25273</v>
      </c>
      <c r="Z5845" t="s">
        <v>31813</v>
      </c>
      <c r="AA5845">
        <v>0.34828277454811818</v>
      </c>
      <c r="AB5845" t="str">
        <f>HYPERLINK("Melting_Curves/meltCurve_Q9NRW3_APOBEC3C.pdf", "Melting_Curves/meltCurve_Q9NRW3_APOBEC3C.pdf")</f>
        <v>Melting_Curves/meltCurve_Q9NRW3_APOBEC3C.pdf</v>
      </c>
    </row>
    <row r="5846" spans="1:28" x14ac:dyDescent="0.25">
      <c r="A5846" t="s">
        <v>5850</v>
      </c>
      <c r="B5846">
        <v>0.99472303558308395</v>
      </c>
      <c r="C5846">
        <v>1.07093873893338</v>
      </c>
      <c r="D5846">
        <v>0.83967851600842602</v>
      </c>
      <c r="E5846">
        <v>0.64933758112818996</v>
      </c>
      <c r="F5846">
        <v>0.41963326857841299</v>
      </c>
      <c r="G5846">
        <v>0.17134537771098199</v>
      </c>
      <c r="H5846">
        <v>0.12110571411287099</v>
      </c>
      <c r="I5846">
        <v>7.2761803893078403E-2</v>
      </c>
      <c r="J5846">
        <v>8.7796736562618702E-2</v>
      </c>
      <c r="K5846">
        <v>0.11370021971951599</v>
      </c>
      <c r="L5846">
        <v>818.52068996067806</v>
      </c>
      <c r="M5846">
        <v>17.020948494992702</v>
      </c>
      <c r="N5846">
        <v>48.535910638930197</v>
      </c>
      <c r="O5846">
        <v>47.439947868837201</v>
      </c>
      <c r="P5846">
        <v>-8.3196864540675694E-2</v>
      </c>
      <c r="Q5846">
        <v>7.25282630199902E-2</v>
      </c>
      <c r="R5846">
        <v>0.98825821327113805</v>
      </c>
      <c r="S5846" t="s">
        <v>12414</v>
      </c>
      <c r="T5846" t="s">
        <v>13134</v>
      </c>
      <c r="U5846" t="s">
        <v>13134</v>
      </c>
      <c r="V5846" t="s">
        <v>13134</v>
      </c>
      <c r="W5846" t="s">
        <v>18913</v>
      </c>
      <c r="X5846">
        <v>3</v>
      </c>
      <c r="Y5846" t="s">
        <v>25274</v>
      </c>
      <c r="Z5846" t="s">
        <v>31814</v>
      </c>
      <c r="AA5846">
        <v>0.43174132270900878</v>
      </c>
      <c r="AB5846" t="str">
        <f>HYPERLINK("Melting_Curves/meltCurve_Q9NRW4_DUSP22.pdf", "Melting_Curves/meltCurve_Q9NRW4_DUSP22.pdf")</f>
        <v>Melting_Curves/meltCurve_Q9NRW4_DUSP22.pdf</v>
      </c>
    </row>
    <row r="5847" spans="1:28" x14ac:dyDescent="0.25">
      <c r="A5847" t="s">
        <v>5851</v>
      </c>
      <c r="B5847">
        <v>0.99472303558308395</v>
      </c>
      <c r="C5847">
        <v>0.97160376667751902</v>
      </c>
      <c r="D5847">
        <v>0.91546032564590596</v>
      </c>
      <c r="E5847">
        <v>0.70355603645962805</v>
      </c>
      <c r="F5847">
        <v>0.217433088463481</v>
      </c>
      <c r="G5847">
        <v>0.11728554421135599</v>
      </c>
      <c r="H5847">
        <v>7.0916929434267306E-2</v>
      </c>
      <c r="I5847">
        <v>5.1447133717265801E-2</v>
      </c>
      <c r="J5847">
        <v>5.7354677801645E-2</v>
      </c>
      <c r="K5847">
        <v>4.6362143937656398E-2</v>
      </c>
      <c r="L5847">
        <v>1341.4614173492801</v>
      </c>
      <c r="M5847">
        <v>28.114971515952</v>
      </c>
      <c r="N5847">
        <v>47.914536513717103</v>
      </c>
      <c r="O5847">
        <v>47.473986843453602</v>
      </c>
      <c r="P5847">
        <v>-0.13981579131107599</v>
      </c>
      <c r="Q5847">
        <v>5.5655159410138502E-2</v>
      </c>
      <c r="R5847">
        <v>0.99725624681786695</v>
      </c>
      <c r="S5847" t="s">
        <v>12415</v>
      </c>
      <c r="T5847" t="s">
        <v>13134</v>
      </c>
      <c r="U5847" t="s">
        <v>13134</v>
      </c>
      <c r="V5847" t="s">
        <v>13134</v>
      </c>
      <c r="W5847" t="s">
        <v>18914</v>
      </c>
      <c r="X5847">
        <v>13</v>
      </c>
      <c r="Y5847" t="s">
        <v>25275</v>
      </c>
      <c r="Z5847" t="s">
        <v>31815</v>
      </c>
      <c r="AA5847">
        <v>0.39923174838697889</v>
      </c>
      <c r="AB5847" t="str">
        <f>HYPERLINK("Melting_Curves/meltCurve_Q9NRW7_VPS45.pdf", "Melting_Curves/meltCurve_Q9NRW7_VPS45.pdf")</f>
        <v>Melting_Curves/meltCurve_Q9NRW7_VPS45.pdf</v>
      </c>
    </row>
    <row r="5848" spans="1:28" x14ac:dyDescent="0.25">
      <c r="A5848" t="s">
        <v>5852</v>
      </c>
      <c r="B5848">
        <v>0.99472303558308395</v>
      </c>
      <c r="C5848">
        <v>0.75157348966651305</v>
      </c>
      <c r="D5848">
        <v>1.0356654009439099</v>
      </c>
      <c r="E5848">
        <v>0.56510873875408796</v>
      </c>
      <c r="F5848">
        <v>0.19270443134564599</v>
      </c>
      <c r="G5848">
        <v>0.117810860411328</v>
      </c>
      <c r="H5848">
        <v>7.5885641001742193E-2</v>
      </c>
      <c r="I5848">
        <v>5.4662603067311001E-2</v>
      </c>
      <c r="J5848">
        <v>6.3090264861957304E-2</v>
      </c>
      <c r="K5848">
        <v>5.77537661859173E-2</v>
      </c>
      <c r="L5848">
        <v>1499.65632865563</v>
      </c>
      <c r="M5848">
        <v>31.959591356536698</v>
      </c>
      <c r="N5848">
        <v>47.1526647560963</v>
      </c>
      <c r="O5848">
        <v>46.740934702343402</v>
      </c>
      <c r="P5848">
        <v>-0.15864614008576</v>
      </c>
      <c r="Q5848">
        <v>7.1923923344834301E-2</v>
      </c>
      <c r="R5848">
        <v>0.95327707918674198</v>
      </c>
      <c r="S5848" t="s">
        <v>12416</v>
      </c>
      <c r="T5848" t="s">
        <v>13134</v>
      </c>
      <c r="U5848" t="s">
        <v>13134</v>
      </c>
      <c r="V5848" t="s">
        <v>13134</v>
      </c>
      <c r="W5848" t="s">
        <v>18915</v>
      </c>
      <c r="X5848">
        <v>8</v>
      </c>
      <c r="Y5848" t="s">
        <v>25276</v>
      </c>
      <c r="Z5848" t="s">
        <v>31816</v>
      </c>
      <c r="AA5848">
        <v>0.38365527437797908</v>
      </c>
      <c r="AB5848" t="str">
        <f>HYPERLINK("Melting_Curves/meltCurve_Q9NRX1_PNO1.pdf", "Melting_Curves/meltCurve_Q9NRX1_PNO1.pdf")</f>
        <v>Melting_Curves/meltCurve_Q9NRX1_PNO1.pdf</v>
      </c>
    </row>
    <row r="5849" spans="1:28" x14ac:dyDescent="0.25">
      <c r="A5849" t="s">
        <v>5853</v>
      </c>
      <c r="B5849">
        <v>0.99472303558308395</v>
      </c>
      <c r="C5849">
        <v>1.0324308667270301</v>
      </c>
      <c r="D5849">
        <v>0.98026667494467101</v>
      </c>
      <c r="E5849">
        <v>0.94115736444051701</v>
      </c>
      <c r="F5849">
        <v>0.73324171382798797</v>
      </c>
      <c r="G5849">
        <v>0.57165235716697205</v>
      </c>
      <c r="H5849">
        <v>0.31846023005533303</v>
      </c>
      <c r="I5849">
        <v>0.16242244840595799</v>
      </c>
      <c r="J5849">
        <v>0.21698239696465199</v>
      </c>
      <c r="K5849">
        <v>0.16969240356955601</v>
      </c>
      <c r="L5849">
        <v>913.08207115078199</v>
      </c>
      <c r="M5849">
        <v>17.166511337129499</v>
      </c>
      <c r="N5849">
        <v>54.189971690797599</v>
      </c>
      <c r="O5849">
        <v>52.483647893968197</v>
      </c>
      <c r="P5849">
        <v>-7.0671773214425901E-2</v>
      </c>
      <c r="Q5849">
        <v>0.13578400627155199</v>
      </c>
      <c r="R5849">
        <v>0.99177561952577198</v>
      </c>
      <c r="S5849" t="s">
        <v>12417</v>
      </c>
      <c r="T5849" t="s">
        <v>13134</v>
      </c>
      <c r="U5849" t="s">
        <v>13134</v>
      </c>
      <c r="V5849" t="s">
        <v>13134</v>
      </c>
      <c r="W5849" t="s">
        <v>18916</v>
      </c>
      <c r="X5849">
        <v>7</v>
      </c>
      <c r="Y5849" t="s">
        <v>25277</v>
      </c>
      <c r="Z5849" t="s">
        <v>31817</v>
      </c>
      <c r="AA5849">
        <v>0.61534774145829896</v>
      </c>
      <c r="AB5849" t="str">
        <f>HYPERLINK("Melting_Curves/meltCurve_Q9NRX4_PHPT1.pdf", "Melting_Curves/meltCurve_Q9NRX4_PHPT1.pdf")</f>
        <v>Melting_Curves/meltCurve_Q9NRX4_PHPT1.pdf</v>
      </c>
    </row>
    <row r="5850" spans="1:28" x14ac:dyDescent="0.25">
      <c r="A5850" t="s">
        <v>5854</v>
      </c>
      <c r="B5850">
        <v>0.99472303558308395</v>
      </c>
      <c r="C5850">
        <v>0.94286707846224405</v>
      </c>
      <c r="D5850">
        <v>0.90179547811758798</v>
      </c>
      <c r="E5850">
        <v>0.80364110058728</v>
      </c>
      <c r="F5850">
        <v>0.66834770192997595</v>
      </c>
      <c r="G5850">
        <v>0.42056299688658799</v>
      </c>
      <c r="H5850">
        <v>0.30763954587501902</v>
      </c>
      <c r="I5850">
        <v>0.19681899248764101</v>
      </c>
      <c r="J5850">
        <v>0.25200209150025799</v>
      </c>
      <c r="K5850">
        <v>0.233069924723104</v>
      </c>
      <c r="L5850">
        <v>685.02942331875204</v>
      </c>
      <c r="M5850">
        <v>13.490827273029501</v>
      </c>
      <c r="N5850">
        <v>52.453864402696198</v>
      </c>
      <c r="O5850">
        <v>49.700676100579201</v>
      </c>
      <c r="P5850">
        <v>-5.5984839528885402E-2</v>
      </c>
      <c r="Q5850">
        <v>0.175125766511008</v>
      </c>
      <c r="R5850">
        <v>0.98928141139139902</v>
      </c>
      <c r="S5850" t="s">
        <v>12418</v>
      </c>
      <c r="T5850" t="s">
        <v>13134</v>
      </c>
      <c r="U5850" t="s">
        <v>13134</v>
      </c>
      <c r="V5850" t="s">
        <v>13134</v>
      </c>
      <c r="W5850" t="s">
        <v>18917</v>
      </c>
      <c r="X5850">
        <v>3</v>
      </c>
      <c r="Y5850" t="s">
        <v>25278</v>
      </c>
      <c r="Z5850" t="s">
        <v>31818</v>
      </c>
      <c r="AA5850">
        <v>0.57312451802026609</v>
      </c>
      <c r="AB5850" t="str">
        <f>HYPERLINK("Melting_Curves/meltCurve_Q9NRX5_SERINC1.pdf", "Melting_Curves/meltCurve_Q9NRX5_SERINC1.pdf")</f>
        <v>Melting_Curves/meltCurve_Q9NRX5_SERINC1.pdf</v>
      </c>
    </row>
    <row r="5851" spans="1:28" x14ac:dyDescent="0.25">
      <c r="A5851" t="s">
        <v>5855</v>
      </c>
      <c r="B5851">
        <v>0.99472303558308395</v>
      </c>
      <c r="C5851">
        <v>1.1241763567571299</v>
      </c>
      <c r="D5851">
        <v>0.79407760576734798</v>
      </c>
      <c r="E5851">
        <v>0.55981245703367399</v>
      </c>
      <c r="F5851">
        <v>0.26048194686020998</v>
      </c>
      <c r="G5851">
        <v>0.19884042447501199</v>
      </c>
      <c r="H5851">
        <v>0.211259979751241</v>
      </c>
      <c r="I5851">
        <v>0.53817422759251499</v>
      </c>
      <c r="J5851">
        <v>0.82185928862898305</v>
      </c>
      <c r="K5851">
        <v>0.498040864828246</v>
      </c>
      <c r="L5851">
        <v>1648.9707011805699</v>
      </c>
      <c r="M5851">
        <v>37.492068544666402</v>
      </c>
      <c r="N5851">
        <v>46.408368106179097</v>
      </c>
      <c r="O5851">
        <v>43.857301024024302</v>
      </c>
      <c r="P5851">
        <v>-0.121905607934648</v>
      </c>
      <c r="Q5851">
        <v>0.42959295440809198</v>
      </c>
      <c r="R5851">
        <v>0.66002654987110398</v>
      </c>
      <c r="S5851" t="s">
        <v>12419</v>
      </c>
      <c r="T5851" t="s">
        <v>13134</v>
      </c>
      <c r="U5851" t="s">
        <v>13134</v>
      </c>
      <c r="V5851" t="s">
        <v>13134</v>
      </c>
      <c r="W5851" t="s">
        <v>18918</v>
      </c>
      <c r="X5851">
        <v>2</v>
      </c>
      <c r="Y5851" t="s">
        <v>25279</v>
      </c>
      <c r="Z5851" t="s">
        <v>31819</v>
      </c>
      <c r="AA5851">
        <v>0.56433245822169009</v>
      </c>
      <c r="AB5851" t="str">
        <f>HYPERLINK("Melting_Curves/meltCurve_Q9NRY2_INIP.pdf", "Melting_Curves/meltCurve_Q9NRY2_INIP.pdf")</f>
        <v>Melting_Curves/meltCurve_Q9NRY2_INIP.pdf</v>
      </c>
    </row>
    <row r="5852" spans="1:28" x14ac:dyDescent="0.25">
      <c r="A5852" t="s">
        <v>5856</v>
      </c>
      <c r="B5852">
        <v>0.99472303558308395</v>
      </c>
      <c r="C5852">
        <v>1.0038534673597199</v>
      </c>
      <c r="D5852">
        <v>0.73384027984275801</v>
      </c>
      <c r="E5852">
        <v>0.29383100811398</v>
      </c>
      <c r="F5852">
        <v>0.14452089303628499</v>
      </c>
      <c r="G5852">
        <v>8.7813311784416703E-2</v>
      </c>
      <c r="H5852">
        <v>5.5238447489459601E-2</v>
      </c>
      <c r="I5852">
        <v>4.8302128050943402E-2</v>
      </c>
      <c r="J5852">
        <v>5.5019929291212098E-2</v>
      </c>
      <c r="K5852">
        <v>4.6784782455426499E-2</v>
      </c>
      <c r="L5852">
        <v>1141.9366096204601</v>
      </c>
      <c r="M5852">
        <v>25.565092684798</v>
      </c>
      <c r="N5852">
        <v>44.891494694554297</v>
      </c>
      <c r="O5852">
        <v>44.397164732225399</v>
      </c>
      <c r="P5852">
        <v>-0.1353492283803</v>
      </c>
      <c r="Q5852">
        <v>5.9803754120503497E-2</v>
      </c>
      <c r="R5852">
        <v>0.99725733857793897</v>
      </c>
      <c r="S5852" t="s">
        <v>12420</v>
      </c>
      <c r="T5852" t="s">
        <v>13134</v>
      </c>
      <c r="U5852" t="s">
        <v>13134</v>
      </c>
      <c r="V5852" t="s">
        <v>13134</v>
      </c>
      <c r="W5852" t="s">
        <v>18919</v>
      </c>
      <c r="X5852">
        <v>11</v>
      </c>
      <c r="Y5852" t="s">
        <v>25280</v>
      </c>
      <c r="Z5852" t="s">
        <v>31820</v>
      </c>
      <c r="AA5852">
        <v>0.3074634240190442</v>
      </c>
      <c r="AB5852" t="str">
        <f>HYPERLINK("Melting_Curves/meltCurve_Q9NRY4_ARHGAP35.pdf", "Melting_Curves/meltCurve_Q9NRY4_ARHGAP35.pdf")</f>
        <v>Melting_Curves/meltCurve_Q9NRY4_ARHGAP35.pdf</v>
      </c>
    </row>
    <row r="5853" spans="1:28" x14ac:dyDescent="0.25">
      <c r="A5853" t="s">
        <v>5857</v>
      </c>
      <c r="B5853">
        <v>0.99472303558308395</v>
      </c>
      <c r="C5853">
        <v>0.99027645773369299</v>
      </c>
      <c r="D5853">
        <v>1.0192739128221699</v>
      </c>
      <c r="E5853">
        <v>0.83144436433462798</v>
      </c>
      <c r="F5853">
        <v>0.33034170916551803</v>
      </c>
      <c r="G5853">
        <v>0.119267855046413</v>
      </c>
      <c r="H5853">
        <v>7.7867605291518094E-2</v>
      </c>
      <c r="I5853">
        <v>5.3364796202550101E-2</v>
      </c>
      <c r="J5853">
        <v>7.6583714495011807E-2</v>
      </c>
      <c r="K5853">
        <v>6.0931595310968402E-2</v>
      </c>
      <c r="L5853">
        <v>1594.8393225032301</v>
      </c>
      <c r="M5853">
        <v>32.692446906660798</v>
      </c>
      <c r="N5853">
        <v>48.998779766484901</v>
      </c>
      <c r="O5853">
        <v>48.601671165839299</v>
      </c>
      <c r="P5853">
        <v>-0.15689663234859499</v>
      </c>
      <c r="Q5853">
        <v>6.7013457234323906E-2</v>
      </c>
      <c r="R5853">
        <v>0.99913859403277905</v>
      </c>
      <c r="S5853" t="s">
        <v>12421</v>
      </c>
      <c r="T5853" t="s">
        <v>13134</v>
      </c>
      <c r="U5853" t="s">
        <v>13134</v>
      </c>
      <c r="V5853" t="s">
        <v>13134</v>
      </c>
      <c r="W5853" t="s">
        <v>18920</v>
      </c>
      <c r="X5853">
        <v>17</v>
      </c>
      <c r="Y5853" t="s">
        <v>25281</v>
      </c>
      <c r="Z5853" t="s">
        <v>31821</v>
      </c>
      <c r="AA5853">
        <v>0.43818263937661311</v>
      </c>
      <c r="AB5853" t="str">
        <f>HYPERLINK("Melting_Curves/meltCurve_Q9NRY5_FAM114A2.pdf", "Melting_Curves/meltCurve_Q9NRY5_FAM114A2.pdf")</f>
        <v>Melting_Curves/meltCurve_Q9NRY5_FAM114A2.pdf</v>
      </c>
    </row>
    <row r="5854" spans="1:28" x14ac:dyDescent="0.25">
      <c r="A5854" t="s">
        <v>5858</v>
      </c>
      <c r="B5854">
        <v>0.99472303558308395</v>
      </c>
      <c r="C5854">
        <v>0.86904312633783398</v>
      </c>
      <c r="D5854">
        <v>0.84749418211468996</v>
      </c>
      <c r="E5854">
        <v>0.67598889040059396</v>
      </c>
      <c r="F5854">
        <v>0.456275798952607</v>
      </c>
      <c r="G5854">
        <v>0.13818984081907701</v>
      </c>
      <c r="H5854">
        <v>7.4854063092725395E-2</v>
      </c>
      <c r="I5854">
        <v>5.19182487543439E-2</v>
      </c>
      <c r="J5854">
        <v>7.6432482156319495E-2</v>
      </c>
      <c r="K5854">
        <v>7.2066310791103594E-2</v>
      </c>
      <c r="L5854">
        <v>704.63386471957097</v>
      </c>
      <c r="M5854">
        <v>14.5123566467421</v>
      </c>
      <c r="N5854">
        <v>48.675137144809902</v>
      </c>
      <c r="O5854">
        <v>47.660039583650601</v>
      </c>
      <c r="P5854">
        <v>-7.4783435233427606E-2</v>
      </c>
      <c r="Q5854">
        <v>1.7727202003605499E-2</v>
      </c>
      <c r="R5854">
        <v>0.98372520307369904</v>
      </c>
      <c r="S5854" t="s">
        <v>12422</v>
      </c>
      <c r="T5854" t="s">
        <v>13134</v>
      </c>
      <c r="U5854" t="s">
        <v>13134</v>
      </c>
      <c r="V5854" t="s">
        <v>13134</v>
      </c>
      <c r="W5854" t="s">
        <v>18921</v>
      </c>
      <c r="X5854">
        <v>4</v>
      </c>
      <c r="Y5854" t="s">
        <v>25282</v>
      </c>
      <c r="Z5854" t="s">
        <v>31822</v>
      </c>
      <c r="AA5854">
        <v>0.41856185417272213</v>
      </c>
      <c r="AB5854" t="str">
        <f>HYPERLINK("Melting_Curves/meltCurve_Q9NRZ7_2_AGPAT3.pdf", "Melting_Curves/meltCurve_Q9NRZ7_2_AGPAT3.pdf")</f>
        <v>Melting_Curves/meltCurve_Q9NRZ7_2_AGPAT3.pdf</v>
      </c>
    </row>
    <row r="5855" spans="1:28" x14ac:dyDescent="0.25">
      <c r="A5855" t="s">
        <v>5859</v>
      </c>
      <c r="B5855">
        <v>0.99472303558308395</v>
      </c>
      <c r="C5855">
        <v>0.88690955394896798</v>
      </c>
      <c r="D5855">
        <v>0.81032908164732298</v>
      </c>
      <c r="E5855">
        <v>0.356484115453437</v>
      </c>
      <c r="F5855">
        <v>0.16264339885526899</v>
      </c>
      <c r="G5855">
        <v>9.5260121524599894E-2</v>
      </c>
      <c r="H5855">
        <v>6.9001489028025803E-2</v>
      </c>
      <c r="I5855">
        <v>4.9943422551543298E-2</v>
      </c>
      <c r="J5855">
        <v>6.0317771024612499E-2</v>
      </c>
      <c r="K5855">
        <v>5.06852273260869E-2</v>
      </c>
      <c r="L5855">
        <v>988.33847479571295</v>
      </c>
      <c r="M5855">
        <v>21.853741837667101</v>
      </c>
      <c r="N5855">
        <v>45.473239621284499</v>
      </c>
      <c r="O5855">
        <v>44.851562309860597</v>
      </c>
      <c r="P5855">
        <v>-0.114968317240664</v>
      </c>
      <c r="Q5855">
        <v>5.6200035268216902E-2</v>
      </c>
      <c r="R5855">
        <v>0.99499863412775402</v>
      </c>
      <c r="S5855" t="s">
        <v>12423</v>
      </c>
      <c r="T5855" t="s">
        <v>13134</v>
      </c>
      <c r="U5855" t="s">
        <v>13134</v>
      </c>
      <c r="V5855" t="s">
        <v>13134</v>
      </c>
      <c r="W5855" t="s">
        <v>18922</v>
      </c>
      <c r="X5855">
        <v>9</v>
      </c>
      <c r="Y5855" t="s">
        <v>25283</v>
      </c>
      <c r="Z5855" t="s">
        <v>31823</v>
      </c>
      <c r="AA5855">
        <v>0.3252447180761307</v>
      </c>
      <c r="AB5855" t="str">
        <f>HYPERLINK("Melting_Curves/meltCurve_Q9NRZ9_4_HELLS.pdf", "Melting_Curves/meltCurve_Q9NRZ9_4_HELLS.pdf")</f>
        <v>Melting_Curves/meltCurve_Q9NRZ9_4_HELLS.pdf</v>
      </c>
    </row>
    <row r="5856" spans="1:28" x14ac:dyDescent="0.25">
      <c r="A5856" t="s">
        <v>5860</v>
      </c>
      <c r="B5856">
        <v>0.99472303558308395</v>
      </c>
      <c r="C5856">
        <v>0.84885641456202199</v>
      </c>
      <c r="D5856">
        <v>1.0461400714970299</v>
      </c>
      <c r="E5856">
        <v>0.88490539490703801</v>
      </c>
      <c r="F5856">
        <v>0.403750912766762</v>
      </c>
      <c r="G5856">
        <v>0.47779134093695702</v>
      </c>
      <c r="H5856">
        <v>0.230035194202871</v>
      </c>
      <c r="I5856">
        <v>0.55054664603738301</v>
      </c>
      <c r="J5856">
        <v>0.72952086140821704</v>
      </c>
      <c r="K5856">
        <v>0.407052207350793</v>
      </c>
      <c r="L5856">
        <v>11710.152062416801</v>
      </c>
      <c r="M5856">
        <v>250</v>
      </c>
      <c r="N5856">
        <v>47.352307969930202</v>
      </c>
      <c r="O5856">
        <v>46.837626217160498</v>
      </c>
      <c r="P5856">
        <v>-0.71196852723473603</v>
      </c>
      <c r="Q5856">
        <v>0.46644952367044901</v>
      </c>
      <c r="R5856">
        <v>0.76854766543302799</v>
      </c>
      <c r="S5856" t="s">
        <v>12424</v>
      </c>
      <c r="T5856" t="s">
        <v>13134</v>
      </c>
      <c r="U5856" t="s">
        <v>13134</v>
      </c>
      <c r="V5856" t="s">
        <v>13134</v>
      </c>
      <c r="W5856" t="s">
        <v>18923</v>
      </c>
      <c r="X5856">
        <v>3</v>
      </c>
      <c r="Y5856" t="s">
        <v>25284</v>
      </c>
      <c r="Z5856" t="s">
        <v>31824</v>
      </c>
      <c r="AA5856">
        <v>0.64150875790719142</v>
      </c>
      <c r="AB5856" t="str">
        <f>HYPERLINK("Melting_Curves/meltCurve_Q9NS18_GLRX2.pdf", "Melting_Curves/meltCurve_Q9NS18_GLRX2.pdf")</f>
        <v>Melting_Curves/meltCurve_Q9NS18_GLRX2.pdf</v>
      </c>
    </row>
    <row r="5857" spans="1:28" x14ac:dyDescent="0.25">
      <c r="A5857" t="s">
        <v>5861</v>
      </c>
      <c r="B5857">
        <v>0.99472303558308395</v>
      </c>
      <c r="C5857">
        <v>0.94936623977692702</v>
      </c>
      <c r="D5857">
        <v>0.78221318165732701</v>
      </c>
      <c r="E5857">
        <v>0.442786527493846</v>
      </c>
      <c r="F5857">
        <v>0.201688935528161</v>
      </c>
      <c r="G5857">
        <v>9.0213368421843201E-2</v>
      </c>
      <c r="H5857">
        <v>6.5576617830232498E-2</v>
      </c>
      <c r="I5857">
        <v>3.7991036153235298E-2</v>
      </c>
      <c r="J5857">
        <v>4.6877415544943297E-2</v>
      </c>
      <c r="K5857">
        <v>5.6721681758092897E-2</v>
      </c>
      <c r="L5857">
        <v>869.71240527789303</v>
      </c>
      <c r="M5857">
        <v>18.988455645078101</v>
      </c>
      <c r="N5857">
        <v>46.018275459633799</v>
      </c>
      <c r="O5857">
        <v>45.3032543193127</v>
      </c>
      <c r="P5857">
        <v>-0.100319559666831</v>
      </c>
      <c r="Q5857">
        <v>4.2656211664987703E-2</v>
      </c>
      <c r="R5857">
        <v>0.99968629904602901</v>
      </c>
      <c r="S5857" t="s">
        <v>12425</v>
      </c>
      <c r="T5857" t="s">
        <v>13134</v>
      </c>
      <c r="U5857" t="s">
        <v>13134</v>
      </c>
      <c r="V5857" t="s">
        <v>13134</v>
      </c>
      <c r="W5857" t="s">
        <v>18924</v>
      </c>
      <c r="X5857">
        <v>2</v>
      </c>
      <c r="Y5857" t="s">
        <v>25285</v>
      </c>
      <c r="Z5857" t="s">
        <v>31825</v>
      </c>
      <c r="AA5857">
        <v>0.33746210625965167</v>
      </c>
      <c r="AB5857" t="str">
        <f>HYPERLINK("Melting_Curves/meltCurve_Q9NS23_4_RASSF1.pdf", "Melting_Curves/meltCurve_Q9NS23_4_RASSF1.pdf")</f>
        <v>Melting_Curves/meltCurve_Q9NS23_4_RASSF1.pdf</v>
      </c>
    </row>
    <row r="5858" spans="1:28" x14ac:dyDescent="0.25">
      <c r="A5858" t="s">
        <v>5862</v>
      </c>
      <c r="B5858">
        <v>0.99472303558308395</v>
      </c>
      <c r="C5858">
        <v>0.99485551388597504</v>
      </c>
      <c r="D5858">
        <v>0.89135192415466902</v>
      </c>
      <c r="E5858">
        <v>0.80546461482382903</v>
      </c>
      <c r="F5858">
        <v>0.71735122823949804</v>
      </c>
      <c r="G5858">
        <v>0.51284429120692399</v>
      </c>
      <c r="H5858">
        <v>0.40344500038807302</v>
      </c>
      <c r="I5858">
        <v>0.416189654307698</v>
      </c>
      <c r="J5858">
        <v>0.39474620027597901</v>
      </c>
      <c r="K5858">
        <v>0.37650352016532501</v>
      </c>
      <c r="L5858">
        <v>650.39314751502104</v>
      </c>
      <c r="M5858">
        <v>13.011862609582201</v>
      </c>
      <c r="N5858">
        <v>54.965465639500501</v>
      </c>
      <c r="O5858">
        <v>48.848206434898302</v>
      </c>
      <c r="P5858">
        <v>-4.35448825036008E-2</v>
      </c>
      <c r="Q5858">
        <v>0.34622272716767599</v>
      </c>
      <c r="R5858">
        <v>0.98729545721449297</v>
      </c>
      <c r="S5858" t="s">
        <v>12426</v>
      </c>
      <c r="T5858" t="s">
        <v>13134</v>
      </c>
      <c r="U5858" t="s">
        <v>13134</v>
      </c>
      <c r="V5858" t="s">
        <v>13134</v>
      </c>
      <c r="W5858" t="s">
        <v>18925</v>
      </c>
      <c r="X5858">
        <v>4</v>
      </c>
      <c r="Y5858" t="s">
        <v>25286</v>
      </c>
      <c r="Z5858" t="s">
        <v>31826</v>
      </c>
      <c r="AA5858">
        <v>0.64578420511256995</v>
      </c>
      <c r="AB5858" t="str">
        <f>HYPERLINK("Melting_Curves/meltCurve_Q9NS69_TOMM22.pdf", "Melting_Curves/meltCurve_Q9NS69_TOMM22.pdf")</f>
        <v>Melting_Curves/meltCurve_Q9NS69_TOMM22.pdf</v>
      </c>
    </row>
    <row r="5859" spans="1:28" x14ac:dyDescent="0.25">
      <c r="A5859" t="s">
        <v>5863</v>
      </c>
      <c r="B5859">
        <v>0.99472303558308395</v>
      </c>
      <c r="C5859">
        <v>0.81822262521657696</v>
      </c>
      <c r="D5859">
        <v>1.0228450728176599</v>
      </c>
      <c r="E5859">
        <v>0.85957498416685196</v>
      </c>
      <c r="F5859">
        <v>0.60896799553405201</v>
      </c>
      <c r="G5859">
        <v>0.565857614753282</v>
      </c>
      <c r="H5859">
        <v>0.55194384038648003</v>
      </c>
      <c r="I5859">
        <v>0.42420204156140501</v>
      </c>
      <c r="J5859">
        <v>0.28781844467251799</v>
      </c>
      <c r="K5859">
        <v>0.12163139693898301</v>
      </c>
      <c r="L5859">
        <v>425.93162173266899</v>
      </c>
      <c r="M5859">
        <v>7.5665505425888204</v>
      </c>
      <c r="N5859">
        <v>56.291375401920497</v>
      </c>
      <c r="O5859">
        <v>52.762738781367702</v>
      </c>
      <c r="P5859">
        <v>-3.5901658469430199E-2</v>
      </c>
      <c r="Q5859">
        <v>0</v>
      </c>
      <c r="R5859">
        <v>0.91504388325997799</v>
      </c>
      <c r="S5859" t="s">
        <v>12427</v>
      </c>
      <c r="T5859" t="s">
        <v>13134</v>
      </c>
      <c r="U5859" t="s">
        <v>13134</v>
      </c>
      <c r="V5859" t="s">
        <v>13134</v>
      </c>
      <c r="W5859" t="s">
        <v>18926</v>
      </c>
      <c r="X5859">
        <v>11</v>
      </c>
      <c r="Y5859" t="s">
        <v>25287</v>
      </c>
      <c r="Z5859" t="s">
        <v>31827</v>
      </c>
      <c r="AA5859">
        <v>0.63607802140710534</v>
      </c>
      <c r="AB5859" t="str">
        <f>HYPERLINK("Melting_Curves/meltCurve_Q9NS86_LANCL2.pdf", "Melting_Curves/meltCurve_Q9NS86_LANCL2.pdf")</f>
        <v>Melting_Curves/meltCurve_Q9NS86_LANCL2.pdf</v>
      </c>
    </row>
    <row r="5860" spans="1:28" x14ac:dyDescent="0.25">
      <c r="A5860" t="s">
        <v>5864</v>
      </c>
      <c r="B5860">
        <v>0.99472303558308395</v>
      </c>
      <c r="C5860">
        <v>0.98924670173040796</v>
      </c>
      <c r="D5860">
        <v>0.65502298148109095</v>
      </c>
      <c r="E5860">
        <v>0.209244049592933</v>
      </c>
      <c r="F5860">
        <v>0.123854355255251</v>
      </c>
      <c r="G5860">
        <v>7.2403019794804596E-2</v>
      </c>
      <c r="H5860">
        <v>5.1353340971255997E-2</v>
      </c>
      <c r="I5860">
        <v>3.7887986148622703E-2</v>
      </c>
      <c r="J5860">
        <v>4.9860047432451003E-2</v>
      </c>
      <c r="K5860">
        <v>4.4349479268175E-2</v>
      </c>
      <c r="L5860">
        <v>1254.3488712394001</v>
      </c>
      <c r="M5860">
        <v>28.5601727416499</v>
      </c>
      <c r="N5860">
        <v>44.107056035762703</v>
      </c>
      <c r="O5860">
        <v>43.705881544739299</v>
      </c>
      <c r="P5860">
        <v>-0.15402623255801501</v>
      </c>
      <c r="Q5860">
        <v>5.7176723078904403E-2</v>
      </c>
      <c r="R5860">
        <v>0.99707923583428604</v>
      </c>
      <c r="S5860" t="s">
        <v>12428</v>
      </c>
      <c r="T5860" t="s">
        <v>13134</v>
      </c>
      <c r="U5860" t="s">
        <v>13134</v>
      </c>
      <c r="V5860" t="s">
        <v>13134</v>
      </c>
      <c r="W5860" t="s">
        <v>18927</v>
      </c>
      <c r="X5860">
        <v>31</v>
      </c>
      <c r="Y5860" t="s">
        <v>25288</v>
      </c>
      <c r="Z5860" t="s">
        <v>31828</v>
      </c>
      <c r="AA5860">
        <v>0.28045276710724459</v>
      </c>
      <c r="AB5860" t="str">
        <f>HYPERLINK("Melting_Curves/meltCurve_Q9NS87_KIF15.pdf", "Melting_Curves/meltCurve_Q9NS87_KIF15.pdf")</f>
        <v>Melting_Curves/meltCurve_Q9NS87_KIF15.pdf</v>
      </c>
    </row>
    <row r="5861" spans="1:28" x14ac:dyDescent="0.25">
      <c r="A5861" t="s">
        <v>5865</v>
      </c>
      <c r="B5861">
        <v>0.99472303558308395</v>
      </c>
      <c r="C5861">
        <v>0.92340381037201502</v>
      </c>
      <c r="D5861">
        <v>0.75692558833284695</v>
      </c>
      <c r="E5861">
        <v>0.38576824417832101</v>
      </c>
      <c r="F5861">
        <v>0.14811754270849301</v>
      </c>
      <c r="G5861">
        <v>7.6334551320100599E-2</v>
      </c>
      <c r="H5861">
        <v>4.79669983535412E-2</v>
      </c>
      <c r="I5861">
        <v>4.5998854276919202E-2</v>
      </c>
      <c r="J5861">
        <v>5.3506776705783902E-2</v>
      </c>
      <c r="K5861">
        <v>4.5561867038028399E-2</v>
      </c>
      <c r="L5861">
        <v>917.02607355453097</v>
      </c>
      <c r="M5861">
        <v>20.274099347203901</v>
      </c>
      <c r="N5861">
        <v>45.425799548131899</v>
      </c>
      <c r="O5861">
        <v>44.798273123056397</v>
      </c>
      <c r="P5861">
        <v>-0.108443350940436</v>
      </c>
      <c r="Q5861">
        <v>4.1551000623886898E-2</v>
      </c>
      <c r="R5861">
        <v>0.99961435228274298</v>
      </c>
      <c r="S5861" t="s">
        <v>12429</v>
      </c>
      <c r="T5861" t="s">
        <v>13134</v>
      </c>
      <c r="U5861" t="s">
        <v>13134</v>
      </c>
      <c r="V5861" t="s">
        <v>13134</v>
      </c>
      <c r="W5861" t="s">
        <v>18928</v>
      </c>
      <c r="X5861">
        <v>14</v>
      </c>
      <c r="Y5861" t="s">
        <v>25289</v>
      </c>
      <c r="Z5861" t="s">
        <v>31829</v>
      </c>
      <c r="AA5861">
        <v>0.3167468243450427</v>
      </c>
      <c r="AB5861" t="str">
        <f>HYPERLINK("Melting_Curves/meltCurve_Q9NS91_RAD18.pdf", "Melting_Curves/meltCurve_Q9NS91_RAD18.pdf")</f>
        <v>Melting_Curves/meltCurve_Q9NS91_RAD18.pdf</v>
      </c>
    </row>
    <row r="5862" spans="1:28" x14ac:dyDescent="0.25">
      <c r="A5862" t="s">
        <v>5866</v>
      </c>
      <c r="B5862">
        <v>0.99472303558308395</v>
      </c>
      <c r="C5862">
        <v>1.0293368752282801</v>
      </c>
      <c r="D5862">
        <v>0.91844239218986501</v>
      </c>
      <c r="E5862">
        <v>0.84350148610387099</v>
      </c>
      <c r="F5862">
        <v>0.69182742858177104</v>
      </c>
      <c r="G5862">
        <v>0.45604983891289402</v>
      </c>
      <c r="H5862">
        <v>0.34296542621436299</v>
      </c>
      <c r="I5862">
        <v>0.274745280834927</v>
      </c>
      <c r="J5862">
        <v>0.22029452272720801</v>
      </c>
      <c r="K5862">
        <v>0.22953904179779999</v>
      </c>
      <c r="L5862">
        <v>729.17426338431096</v>
      </c>
      <c r="M5862">
        <v>14.161879838981299</v>
      </c>
      <c r="N5862">
        <v>53.264317329431798</v>
      </c>
      <c r="O5862">
        <v>50.4944998847226</v>
      </c>
      <c r="P5862">
        <v>-5.6929512143960997E-2</v>
      </c>
      <c r="Q5862">
        <v>0.18816890669689801</v>
      </c>
      <c r="R5862">
        <v>0.99551193982004305</v>
      </c>
      <c r="S5862" t="s">
        <v>12430</v>
      </c>
      <c r="T5862" t="s">
        <v>13134</v>
      </c>
      <c r="U5862" t="s">
        <v>13134</v>
      </c>
      <c r="V5862" t="s">
        <v>13134</v>
      </c>
      <c r="W5862" t="s">
        <v>18929</v>
      </c>
      <c r="X5862">
        <v>2</v>
      </c>
      <c r="Y5862" t="s">
        <v>25290</v>
      </c>
      <c r="Z5862" t="s">
        <v>31830</v>
      </c>
      <c r="AA5862">
        <v>0.59735169966345203</v>
      </c>
      <c r="AB5862" t="str">
        <f>HYPERLINK("Melting_Curves/meltCurve_Q9NS93_TM7SF3.pdf", "Melting_Curves/meltCurve_Q9NS93_TM7SF3.pdf")</f>
        <v>Melting_Curves/meltCurve_Q9NS93_TM7SF3.pdf</v>
      </c>
    </row>
    <row r="5863" spans="1:28" x14ac:dyDescent="0.25">
      <c r="A5863" t="s">
        <v>5867</v>
      </c>
      <c r="B5863">
        <v>0.99472303558308395</v>
      </c>
      <c r="C5863">
        <v>1.0362068375348299</v>
      </c>
      <c r="D5863">
        <v>0.91756277513078699</v>
      </c>
      <c r="E5863">
        <v>0.79880603554153795</v>
      </c>
      <c r="F5863">
        <v>0.59727065949953095</v>
      </c>
      <c r="G5863">
        <v>0.39161070710219298</v>
      </c>
      <c r="H5863">
        <v>0.25070483695180401</v>
      </c>
      <c r="I5863">
        <v>0.20505382189197499</v>
      </c>
      <c r="J5863">
        <v>0.25649289116032198</v>
      </c>
      <c r="K5863">
        <v>0.189906432072938</v>
      </c>
      <c r="L5863">
        <v>804.651449274583</v>
      </c>
      <c r="M5863">
        <v>16.089114810246599</v>
      </c>
      <c r="N5863">
        <v>51.5051425487245</v>
      </c>
      <c r="O5863">
        <v>49.258687054269899</v>
      </c>
      <c r="P5863">
        <v>-6.6443551903156206E-2</v>
      </c>
      <c r="Q5863">
        <v>0.18636394282090599</v>
      </c>
      <c r="R5863">
        <v>0.99329754447338703</v>
      </c>
      <c r="S5863" t="s">
        <v>12431</v>
      </c>
      <c r="T5863" t="s">
        <v>13134</v>
      </c>
      <c r="U5863" t="s">
        <v>13134</v>
      </c>
      <c r="V5863" t="s">
        <v>13134</v>
      </c>
      <c r="W5863" t="s">
        <v>18930</v>
      </c>
      <c r="X5863">
        <v>3</v>
      </c>
      <c r="Y5863" t="s">
        <v>25291</v>
      </c>
      <c r="Z5863" t="s">
        <v>31831</v>
      </c>
      <c r="AA5863">
        <v>0.55458832779817668</v>
      </c>
      <c r="AB5863" t="str">
        <f>HYPERLINK("Melting_Curves/meltCurve_Q9NSA3_CTNNBIP1.pdf", "Melting_Curves/meltCurve_Q9NSA3_CTNNBIP1.pdf")</f>
        <v>Melting_Curves/meltCurve_Q9NSA3_CTNNBIP1.pdf</v>
      </c>
    </row>
    <row r="5864" spans="1:28" x14ac:dyDescent="0.25">
      <c r="A5864" t="s">
        <v>5868</v>
      </c>
      <c r="B5864">
        <v>0.99472303558308395</v>
      </c>
      <c r="C5864">
        <v>0.83184842603282705</v>
      </c>
      <c r="D5864">
        <v>0.86871311626750802</v>
      </c>
      <c r="E5864">
        <v>0.73398026818683804</v>
      </c>
      <c r="F5864">
        <v>0.35473316523641502</v>
      </c>
      <c r="G5864">
        <v>0.168156309859053</v>
      </c>
      <c r="H5864">
        <v>7.3163218913131503E-2</v>
      </c>
      <c r="I5864">
        <v>4.4161099212738399E-2</v>
      </c>
      <c r="J5864">
        <v>4.3323826978146601E-2</v>
      </c>
      <c r="K5864">
        <v>3.84999442938928E-2</v>
      </c>
      <c r="L5864">
        <v>771.66363477266498</v>
      </c>
      <c r="M5864">
        <v>15.8830740306721</v>
      </c>
      <c r="N5864">
        <v>48.641030060755902</v>
      </c>
      <c r="O5864">
        <v>47.833436916445002</v>
      </c>
      <c r="P5864">
        <v>-8.2253556728463906E-2</v>
      </c>
      <c r="Q5864">
        <v>9.2213315289844701E-3</v>
      </c>
      <c r="R5864">
        <v>0.98188878214227604</v>
      </c>
      <c r="S5864" t="s">
        <v>12432</v>
      </c>
      <c r="T5864" t="s">
        <v>13134</v>
      </c>
      <c r="U5864" t="s">
        <v>13134</v>
      </c>
      <c r="V5864" t="s">
        <v>13134</v>
      </c>
      <c r="W5864" t="s">
        <v>18931</v>
      </c>
      <c r="X5864">
        <v>26</v>
      </c>
      <c r="Y5864" t="s">
        <v>25292</v>
      </c>
      <c r="Z5864" t="s">
        <v>31832</v>
      </c>
      <c r="AA5864">
        <v>0.41139430713671499</v>
      </c>
      <c r="AB5864" t="str">
        <f>HYPERLINK("Melting_Curves/meltCurve_Q9NSD9_FARSB.pdf", "Melting_Curves/meltCurve_Q9NSD9_FARSB.pdf")</f>
        <v>Melting_Curves/meltCurve_Q9NSD9_FARSB.pdf</v>
      </c>
    </row>
    <row r="5865" spans="1:28" x14ac:dyDescent="0.25">
      <c r="A5865" t="s">
        <v>5869</v>
      </c>
      <c r="B5865">
        <v>0.99472303558308395</v>
      </c>
      <c r="C5865">
        <v>0.97927153767486597</v>
      </c>
      <c r="D5865">
        <v>0.94975000544266397</v>
      </c>
      <c r="E5865">
        <v>0.87716637039246403</v>
      </c>
      <c r="F5865">
        <v>0.735912730667732</v>
      </c>
      <c r="G5865">
        <v>0.57500060600612402</v>
      </c>
      <c r="H5865">
        <v>0.35317061944418698</v>
      </c>
      <c r="I5865">
        <v>0.14982564841802101</v>
      </c>
      <c r="J5865">
        <v>7.3071466707012298E-2</v>
      </c>
      <c r="K5865">
        <v>7.9029414805587894E-2</v>
      </c>
      <c r="L5865">
        <v>738.48590378251197</v>
      </c>
      <c r="M5865">
        <v>13.5852447129136</v>
      </c>
      <c r="N5865">
        <v>54.359411251458098</v>
      </c>
      <c r="O5865">
        <v>53.222124954145997</v>
      </c>
      <c r="P5865">
        <v>-6.3823392933425996E-2</v>
      </c>
      <c r="Q5865">
        <v>0</v>
      </c>
      <c r="R5865">
        <v>0.99467369067853595</v>
      </c>
      <c r="S5865" t="s">
        <v>12433</v>
      </c>
      <c r="T5865" t="s">
        <v>13134</v>
      </c>
      <c r="U5865" t="s">
        <v>13134</v>
      </c>
      <c r="V5865" t="s">
        <v>13134</v>
      </c>
      <c r="W5865" t="s">
        <v>18932</v>
      </c>
      <c r="X5865">
        <v>31</v>
      </c>
      <c r="Y5865" t="s">
        <v>25293</v>
      </c>
      <c r="Z5865" t="s">
        <v>31833</v>
      </c>
      <c r="AA5865">
        <v>0.59491536143425838</v>
      </c>
      <c r="AB5865" t="str">
        <f>HYPERLINK("Melting_Curves/meltCurve_Q9NSE4_IARS2.pdf", "Melting_Curves/meltCurve_Q9NSE4_IARS2.pdf")</f>
        <v>Melting_Curves/meltCurve_Q9NSE4_IARS2.pdf</v>
      </c>
    </row>
    <row r="5866" spans="1:28" x14ac:dyDescent="0.25">
      <c r="A5866" t="s">
        <v>5870</v>
      </c>
      <c r="B5866">
        <v>0.99472303558308395</v>
      </c>
      <c r="C5866">
        <v>0.94219733958952201</v>
      </c>
      <c r="D5866">
        <v>0.61814768236148598</v>
      </c>
      <c r="E5866">
        <v>0.31387337205016302</v>
      </c>
      <c r="F5866">
        <v>0.15108829144307301</v>
      </c>
      <c r="G5866">
        <v>8.8190388262371106E-2</v>
      </c>
      <c r="H5866">
        <v>5.1290170263187197E-2</v>
      </c>
      <c r="I5866">
        <v>5.7033112797892999E-2</v>
      </c>
      <c r="J5866">
        <v>6.7424030543762906E-2</v>
      </c>
      <c r="K5866">
        <v>5.0982869690473401E-2</v>
      </c>
      <c r="L5866">
        <v>886.66093891932996</v>
      </c>
      <c r="M5866">
        <v>20.085844617370299</v>
      </c>
      <c r="N5866">
        <v>44.417527073323498</v>
      </c>
      <c r="O5866">
        <v>43.712999321419296</v>
      </c>
      <c r="P5866">
        <v>-0.108184491931493</v>
      </c>
      <c r="Q5866">
        <v>5.8258714129528398E-2</v>
      </c>
      <c r="R5866">
        <v>0.99695086691732604</v>
      </c>
      <c r="S5866" t="s">
        <v>12434</v>
      </c>
      <c r="T5866" t="s">
        <v>13134</v>
      </c>
      <c r="U5866" t="s">
        <v>13134</v>
      </c>
      <c r="V5866" t="s">
        <v>13134</v>
      </c>
      <c r="W5866" t="s">
        <v>18933</v>
      </c>
      <c r="X5866">
        <v>3</v>
      </c>
      <c r="Y5866" t="s">
        <v>25294</v>
      </c>
      <c r="Z5866" t="s">
        <v>31834</v>
      </c>
      <c r="AA5866">
        <v>0.29494414681772918</v>
      </c>
      <c r="AB5866" t="str">
        <f>HYPERLINK("Melting_Curves/meltCurve_Q9NSG2_3_C1orf112.pdf", "Melting_Curves/meltCurve_Q9NSG2_3_C1orf112.pdf")</f>
        <v>Melting_Curves/meltCurve_Q9NSG2_3_C1orf112.pdf</v>
      </c>
    </row>
    <row r="5867" spans="1:28" x14ac:dyDescent="0.25">
      <c r="A5867" t="s">
        <v>5871</v>
      </c>
      <c r="B5867">
        <v>0.99472303558308395</v>
      </c>
      <c r="C5867">
        <v>0.82468415864317401</v>
      </c>
      <c r="D5867">
        <v>0.95302315917000902</v>
      </c>
      <c r="E5867">
        <v>0.61042128086839698</v>
      </c>
      <c r="F5867">
        <v>0.18082411858104799</v>
      </c>
      <c r="G5867">
        <v>9.9412708564939001E-2</v>
      </c>
      <c r="H5867">
        <v>3.8860999610562802E-2</v>
      </c>
      <c r="I5867">
        <v>2.4449453729026301E-2</v>
      </c>
      <c r="J5867">
        <v>1.4361403222931999E-2</v>
      </c>
      <c r="K5867">
        <v>2.6607265338121001E-2</v>
      </c>
      <c r="L5867">
        <v>1197.11351082743</v>
      </c>
      <c r="M5867">
        <v>25.323210193331001</v>
      </c>
      <c r="N5867">
        <v>47.370425798994802</v>
      </c>
      <c r="O5867">
        <v>46.981531238994698</v>
      </c>
      <c r="P5867">
        <v>-0.131346081481026</v>
      </c>
      <c r="Q5867">
        <v>2.5279929437427E-2</v>
      </c>
      <c r="R5867">
        <v>0.98081758569503796</v>
      </c>
      <c r="S5867" t="s">
        <v>12435</v>
      </c>
      <c r="T5867" t="s">
        <v>13134</v>
      </c>
      <c r="U5867" t="s">
        <v>13134</v>
      </c>
      <c r="V5867" t="s">
        <v>13134</v>
      </c>
      <c r="W5867" t="s">
        <v>18934</v>
      </c>
      <c r="X5867">
        <v>4</v>
      </c>
      <c r="Y5867" t="s">
        <v>25295</v>
      </c>
      <c r="Z5867" t="s">
        <v>31835</v>
      </c>
      <c r="AA5867">
        <v>0.36707828560985939</v>
      </c>
      <c r="AB5867" t="str">
        <f>HYPERLINK("Melting_Curves/meltCurve_Q9NSI2_2_FAM207A.pdf", "Melting_Curves/meltCurve_Q9NSI2_2_FAM207A.pdf")</f>
        <v>Melting_Curves/meltCurve_Q9NSI2_2_FAM207A.pdf</v>
      </c>
    </row>
    <row r="5868" spans="1:28" x14ac:dyDescent="0.25">
      <c r="A5868" t="s">
        <v>5872</v>
      </c>
      <c r="B5868">
        <v>0.99472303558308395</v>
      </c>
      <c r="C5868">
        <v>0.93897133225965401</v>
      </c>
      <c r="D5868">
        <v>1.02028566324967</v>
      </c>
      <c r="E5868">
        <v>0.79236404302126995</v>
      </c>
      <c r="F5868">
        <v>0.34371604708991599</v>
      </c>
      <c r="G5868">
        <v>0.16935126616513099</v>
      </c>
      <c r="H5868">
        <v>9.6600410596251393E-2</v>
      </c>
      <c r="I5868">
        <v>6.6396550146426106E-2</v>
      </c>
      <c r="J5868">
        <v>8.6392179154176005E-2</v>
      </c>
      <c r="K5868">
        <v>6.8028986035728004E-2</v>
      </c>
      <c r="L5868">
        <v>1360.9280714720201</v>
      </c>
      <c r="M5868">
        <v>27.9616130253936</v>
      </c>
      <c r="N5868">
        <v>48.976589563622397</v>
      </c>
      <c r="O5868">
        <v>48.424401302441296</v>
      </c>
      <c r="P5868">
        <v>-0.13281317302110601</v>
      </c>
      <c r="Q5868">
        <v>7.9975465358705505E-2</v>
      </c>
      <c r="R5868">
        <v>0.99578062373488097</v>
      </c>
      <c r="S5868" t="s">
        <v>12436</v>
      </c>
      <c r="T5868" t="s">
        <v>13134</v>
      </c>
      <c r="U5868" t="s">
        <v>13134</v>
      </c>
      <c r="V5868" t="s">
        <v>13134</v>
      </c>
      <c r="W5868" t="s">
        <v>18935</v>
      </c>
      <c r="X5868">
        <v>23</v>
      </c>
      <c r="Y5868" t="s">
        <v>25296</v>
      </c>
      <c r="Z5868" t="s">
        <v>31836</v>
      </c>
      <c r="AA5868">
        <v>0.44425186150624552</v>
      </c>
      <c r="AB5868" t="str">
        <f>HYPERLINK("Melting_Curves/meltCurve_Q9NSI8_SAMSN1.pdf", "Melting_Curves/meltCurve_Q9NSI8_SAMSN1.pdf")</f>
        <v>Melting_Curves/meltCurve_Q9NSI8_SAMSN1.pdf</v>
      </c>
    </row>
    <row r="5869" spans="1:28" x14ac:dyDescent="0.25">
      <c r="A5869" t="s">
        <v>5873</v>
      </c>
      <c r="B5869">
        <v>0.99472303558308395</v>
      </c>
      <c r="C5869">
        <v>0.89196390595799802</v>
      </c>
      <c r="D5869">
        <v>0.76138173937111298</v>
      </c>
      <c r="E5869">
        <v>0.56978523100272604</v>
      </c>
      <c r="F5869">
        <v>0.13194493098228199</v>
      </c>
      <c r="G5869">
        <v>6.5663307052608796E-2</v>
      </c>
      <c r="H5869">
        <v>4.6423229131145098E-2</v>
      </c>
      <c r="I5869">
        <v>3.8851447161233801E-2</v>
      </c>
      <c r="J5869">
        <v>5.1312494434726998E-2</v>
      </c>
      <c r="K5869">
        <v>4.7151150791637203E-2</v>
      </c>
      <c r="L5869">
        <v>845.039468754219</v>
      </c>
      <c r="M5869">
        <v>18.271421668976402</v>
      </c>
      <c r="N5869">
        <v>46.361565435767503</v>
      </c>
      <c r="O5869">
        <v>45.7059025217387</v>
      </c>
      <c r="P5869">
        <v>-9.7780936908273205E-2</v>
      </c>
      <c r="Q5869">
        <v>2.1650284201207098E-2</v>
      </c>
      <c r="R5869">
        <v>0.98497584606780297</v>
      </c>
      <c r="S5869" t="s">
        <v>12437</v>
      </c>
      <c r="T5869" t="s">
        <v>13134</v>
      </c>
      <c r="U5869" t="s">
        <v>13134</v>
      </c>
      <c r="V5869" t="s">
        <v>13134</v>
      </c>
      <c r="W5869" t="s">
        <v>18936</v>
      </c>
      <c r="X5869">
        <v>9</v>
      </c>
      <c r="Y5869" t="s">
        <v>25297</v>
      </c>
      <c r="Z5869" t="s">
        <v>31837</v>
      </c>
      <c r="AA5869">
        <v>0.3386021425229353</v>
      </c>
      <c r="AB5869" t="str">
        <f>HYPERLINK("Melting_Curves/meltCurve_Q9NSK0_KLC4.pdf", "Melting_Curves/meltCurve_Q9NSK0_KLC4.pdf")</f>
        <v>Melting_Curves/meltCurve_Q9NSK0_KLC4.pdf</v>
      </c>
    </row>
    <row r="5870" spans="1:28" x14ac:dyDescent="0.25">
      <c r="A5870" t="s">
        <v>5874</v>
      </c>
      <c r="B5870">
        <v>0.99472303558308395</v>
      </c>
      <c r="C5870">
        <v>0.937090206448003</v>
      </c>
      <c r="D5870">
        <v>0.88017277361469604</v>
      </c>
      <c r="E5870">
        <v>0.671192117850127</v>
      </c>
      <c r="F5870">
        <v>0.64817757118958697</v>
      </c>
      <c r="G5870">
        <v>0.34152937455152299</v>
      </c>
      <c r="H5870">
        <v>0.11551226116928701</v>
      </c>
      <c r="I5870">
        <v>6.9789100045077698E-2</v>
      </c>
      <c r="J5870">
        <v>7.5397605520426597E-2</v>
      </c>
      <c r="K5870">
        <v>5.1061041462213998E-2</v>
      </c>
      <c r="L5870">
        <v>633.20745950652804</v>
      </c>
      <c r="M5870">
        <v>12.487872781048599</v>
      </c>
      <c r="N5870">
        <v>50.705792041325303</v>
      </c>
      <c r="O5870">
        <v>49.458188280819499</v>
      </c>
      <c r="P5870">
        <v>-6.3136408994135196E-2</v>
      </c>
      <c r="Q5870">
        <v>0</v>
      </c>
      <c r="R5870">
        <v>0.97913309462165998</v>
      </c>
      <c r="S5870" t="s">
        <v>12438</v>
      </c>
      <c r="T5870" t="s">
        <v>13134</v>
      </c>
      <c r="U5870" t="s">
        <v>13134</v>
      </c>
      <c r="V5870" t="s">
        <v>13134</v>
      </c>
      <c r="W5870" t="s">
        <v>18937</v>
      </c>
      <c r="X5870">
        <v>13</v>
      </c>
      <c r="Y5870" t="s">
        <v>25298</v>
      </c>
      <c r="Z5870" t="s">
        <v>31838</v>
      </c>
      <c r="AA5870">
        <v>0.48238139192038798</v>
      </c>
      <c r="AB5870" t="str">
        <f>HYPERLINK("Melting_Curves/meltCurve_Q9NSY1_BMP2K.pdf", "Melting_Curves/meltCurve_Q9NSY1_BMP2K.pdf")</f>
        <v>Melting_Curves/meltCurve_Q9NSY1_BMP2K.pdf</v>
      </c>
    </row>
    <row r="5871" spans="1:28" x14ac:dyDescent="0.25">
      <c r="A5871" t="s">
        <v>5875</v>
      </c>
      <c r="B5871">
        <v>0.99472303558308395</v>
      </c>
      <c r="C5871">
        <v>0.97331110521308895</v>
      </c>
      <c r="D5871">
        <v>1.0168098967311401</v>
      </c>
      <c r="E5871">
        <v>0.929631298059725</v>
      </c>
      <c r="F5871">
        <v>0.68924637929905896</v>
      </c>
      <c r="G5871">
        <v>0.41446695240884002</v>
      </c>
      <c r="H5871">
        <v>0.175772562170735</v>
      </c>
      <c r="I5871">
        <v>6.6708086479185705E-2</v>
      </c>
      <c r="J5871">
        <v>6.15995079790424E-2</v>
      </c>
      <c r="K5871">
        <v>6.1611835237722901E-2</v>
      </c>
      <c r="L5871">
        <v>1027.1392570170899</v>
      </c>
      <c r="M5871">
        <v>19.6138305347982</v>
      </c>
      <c r="N5871">
        <v>52.552254102574302</v>
      </c>
      <c r="O5871">
        <v>51.832859325193603</v>
      </c>
      <c r="P5871">
        <v>-9.14629082036469E-2</v>
      </c>
      <c r="Q5871">
        <v>3.3209306609776001E-2</v>
      </c>
      <c r="R5871">
        <v>0.99798606294711301</v>
      </c>
      <c r="S5871" t="s">
        <v>12439</v>
      </c>
      <c r="T5871" t="s">
        <v>13134</v>
      </c>
      <c r="U5871" t="s">
        <v>13134</v>
      </c>
      <c r="V5871" t="s">
        <v>13134</v>
      </c>
      <c r="W5871" t="s">
        <v>18938</v>
      </c>
      <c r="X5871">
        <v>10</v>
      </c>
      <c r="Y5871" t="s">
        <v>25299</v>
      </c>
      <c r="Z5871" t="s">
        <v>31839</v>
      </c>
      <c r="AA5871">
        <v>0.54122786092935316</v>
      </c>
      <c r="AB5871" t="str">
        <f>HYPERLINK("Melting_Curves/meltCurve_Q9NT62_ATG3.pdf", "Melting_Curves/meltCurve_Q9NT62_ATG3.pdf")</f>
        <v>Melting_Curves/meltCurve_Q9NT62_ATG3.pdf</v>
      </c>
    </row>
    <row r="5872" spans="1:28" x14ac:dyDescent="0.25">
      <c r="A5872" t="s">
        <v>5876</v>
      </c>
      <c r="B5872">
        <v>0.99472303558308395</v>
      </c>
      <c r="C5872">
        <v>1.21511342806444</v>
      </c>
      <c r="D5872">
        <v>0.94171727364674596</v>
      </c>
      <c r="E5872">
        <v>0.81417631558902104</v>
      </c>
      <c r="F5872">
        <v>0.46437101514594498</v>
      </c>
      <c r="G5872">
        <v>0.13793457881235399</v>
      </c>
      <c r="H5872">
        <v>2.72229046914804E-2</v>
      </c>
      <c r="I5872">
        <v>0</v>
      </c>
      <c r="J5872">
        <v>0</v>
      </c>
      <c r="K5872">
        <v>1.59042701833647E-2</v>
      </c>
      <c r="L5872">
        <v>1173.2830910428299</v>
      </c>
      <c r="M5872">
        <v>23.5827433385147</v>
      </c>
      <c r="N5872">
        <v>49.751764363296402</v>
      </c>
      <c r="O5872">
        <v>49.3981780572365</v>
      </c>
      <c r="P5872">
        <v>-0.11935232845947</v>
      </c>
      <c r="Q5872">
        <v>0</v>
      </c>
      <c r="R5872">
        <v>0.97649539966963095</v>
      </c>
      <c r="S5872" t="s">
        <v>12440</v>
      </c>
      <c r="T5872" t="s">
        <v>13134</v>
      </c>
      <c r="U5872" t="s">
        <v>13134</v>
      </c>
      <c r="V5872" t="s">
        <v>13134</v>
      </c>
      <c r="W5872" t="s">
        <v>18939</v>
      </c>
      <c r="X5872">
        <v>3</v>
      </c>
      <c r="Y5872" t="s">
        <v>25300</v>
      </c>
      <c r="Z5872" t="s">
        <v>31840</v>
      </c>
      <c r="AA5872">
        <v>0.43480353972122221</v>
      </c>
      <c r="AB5872" t="str">
        <f>HYPERLINK("Melting_Curves/meltCurve_Q9NTG7_SIRT3.pdf", "Melting_Curves/meltCurve_Q9NTG7_SIRT3.pdf")</f>
        <v>Melting_Curves/meltCurve_Q9NTG7_SIRT3.pdf</v>
      </c>
    </row>
    <row r="5873" spans="1:28" x14ac:dyDescent="0.25">
      <c r="A5873" t="s">
        <v>5877</v>
      </c>
      <c r="B5873">
        <v>0.99472303558308395</v>
      </c>
      <c r="C5873">
        <v>1.01072052116211</v>
      </c>
      <c r="D5873">
        <v>0.75930847396837298</v>
      </c>
      <c r="E5873">
        <v>0.49183119257661301</v>
      </c>
      <c r="F5873">
        <v>0.15506182811716901</v>
      </c>
      <c r="G5873">
        <v>8.1016767394701497E-2</v>
      </c>
      <c r="H5873">
        <v>4.5248000154930697E-2</v>
      </c>
      <c r="I5873">
        <v>3.59219633260911E-2</v>
      </c>
      <c r="J5873">
        <v>4.1380909810446898E-2</v>
      </c>
      <c r="K5873">
        <v>3.0421873752289399E-2</v>
      </c>
      <c r="L5873">
        <v>918.70052552403797</v>
      </c>
      <c r="M5873">
        <v>19.961241966621198</v>
      </c>
      <c r="N5873">
        <v>46.158975547952402</v>
      </c>
      <c r="O5873">
        <v>45.569778442064099</v>
      </c>
      <c r="P5873">
        <v>-0.10641304726911301</v>
      </c>
      <c r="Q5873">
        <v>2.83051452033308E-2</v>
      </c>
      <c r="R5873">
        <v>0.99503446499942905</v>
      </c>
      <c r="S5873" t="s">
        <v>12441</v>
      </c>
      <c r="T5873" t="s">
        <v>13134</v>
      </c>
      <c r="U5873" t="s">
        <v>13134</v>
      </c>
      <c r="V5873" t="s">
        <v>13134</v>
      </c>
      <c r="W5873" t="s">
        <v>18940</v>
      </c>
      <c r="X5873">
        <v>22</v>
      </c>
      <c r="Y5873" t="s">
        <v>25301</v>
      </c>
      <c r="Z5873" t="s">
        <v>31841</v>
      </c>
      <c r="AA5873">
        <v>0.3333511351847942</v>
      </c>
      <c r="AB5873" t="str">
        <f>HYPERLINK("Melting_Curves/meltCurve_Q9NTI5_2_PDS5B.pdf", "Melting_Curves/meltCurve_Q9NTI5_2_PDS5B.pdf")</f>
        <v>Melting_Curves/meltCurve_Q9NTI5_2_PDS5B.pdf</v>
      </c>
    </row>
    <row r="5874" spans="1:28" x14ac:dyDescent="0.25">
      <c r="A5874" t="s">
        <v>5878</v>
      </c>
      <c r="B5874">
        <v>0.99472303558308395</v>
      </c>
      <c r="C5874">
        <v>0.91508366549971998</v>
      </c>
      <c r="D5874">
        <v>0.74669923276678296</v>
      </c>
      <c r="E5874">
        <v>0.57193481240393096</v>
      </c>
      <c r="F5874">
        <v>0.21078463687815599</v>
      </c>
      <c r="G5874">
        <v>9.0771860762784803E-2</v>
      </c>
      <c r="H5874">
        <v>5.7876824251627899E-2</v>
      </c>
      <c r="I5874">
        <v>4.28891281580406E-2</v>
      </c>
      <c r="J5874">
        <v>5.1268563504742098E-2</v>
      </c>
      <c r="K5874">
        <v>4.1450851853422503E-2</v>
      </c>
      <c r="L5874">
        <v>746.80619143160504</v>
      </c>
      <c r="M5874">
        <v>16.0643351136249</v>
      </c>
      <c r="N5874">
        <v>46.607249709919799</v>
      </c>
      <c r="O5874">
        <v>45.785961849030997</v>
      </c>
      <c r="P5874">
        <v>-8.5961518907878301E-2</v>
      </c>
      <c r="Q5874">
        <v>2.0058547290390999E-2</v>
      </c>
      <c r="R5874">
        <v>0.99246813177148796</v>
      </c>
      <c r="S5874" t="s">
        <v>12442</v>
      </c>
      <c r="T5874" t="s">
        <v>13134</v>
      </c>
      <c r="U5874" t="s">
        <v>13134</v>
      </c>
      <c r="V5874" t="s">
        <v>13134</v>
      </c>
      <c r="W5874" t="s">
        <v>18941</v>
      </c>
      <c r="X5874">
        <v>49</v>
      </c>
      <c r="Y5874" t="s">
        <v>25302</v>
      </c>
      <c r="Z5874" t="s">
        <v>31842</v>
      </c>
      <c r="AA5874">
        <v>0.34963451581493638</v>
      </c>
      <c r="AB5874" t="str">
        <f>HYPERLINK("Melting_Curves/meltCurve_Q9NTJ3_SMC4.pdf", "Melting_Curves/meltCurve_Q9NTJ3_SMC4.pdf")</f>
        <v>Melting_Curves/meltCurve_Q9NTJ3_SMC4.pdf</v>
      </c>
    </row>
    <row r="5875" spans="1:28" x14ac:dyDescent="0.25">
      <c r="A5875" t="s">
        <v>5879</v>
      </c>
      <c r="B5875">
        <v>0.99472303558308395</v>
      </c>
      <c r="C5875">
        <v>0.82691670821611096</v>
      </c>
      <c r="D5875">
        <v>0.76809293878616103</v>
      </c>
      <c r="E5875">
        <v>0.59384121975169601</v>
      </c>
      <c r="F5875">
        <v>0.66682420208577597</v>
      </c>
      <c r="G5875">
        <v>0.38688860828649302</v>
      </c>
      <c r="H5875">
        <v>0.149785626228054</v>
      </c>
      <c r="I5875">
        <v>3.8645955552692499E-2</v>
      </c>
      <c r="J5875">
        <v>3.2992885915640299E-2</v>
      </c>
      <c r="K5875">
        <v>0</v>
      </c>
      <c r="L5875">
        <v>507.30330885463599</v>
      </c>
      <c r="M5875">
        <v>10.186408697248</v>
      </c>
      <c r="N5875">
        <v>49.801974516192203</v>
      </c>
      <c r="O5875">
        <v>47.997027208927001</v>
      </c>
      <c r="P5875">
        <v>-5.3081543606473498E-2</v>
      </c>
      <c r="Q5875">
        <v>0</v>
      </c>
      <c r="R5875">
        <v>0.93568058918908903</v>
      </c>
      <c r="S5875" t="s">
        <v>12443</v>
      </c>
      <c r="T5875" t="s">
        <v>13134</v>
      </c>
      <c r="U5875" t="s">
        <v>13134</v>
      </c>
      <c r="V5875" t="s">
        <v>13134</v>
      </c>
      <c r="W5875" t="s">
        <v>18942</v>
      </c>
      <c r="X5875">
        <v>2</v>
      </c>
      <c r="Y5875" t="s">
        <v>25303</v>
      </c>
      <c r="Z5875" t="s">
        <v>31843</v>
      </c>
      <c r="AA5875">
        <v>0.46069057692359289</v>
      </c>
      <c r="AB5875" t="str">
        <f>HYPERLINK("Melting_Curves/meltCurve_Q9NTJ4_3_MAN2C1.pdf", "Melting_Curves/meltCurve_Q9NTJ4_3_MAN2C1.pdf")</f>
        <v>Melting_Curves/meltCurve_Q9NTJ4_3_MAN2C1.pdf</v>
      </c>
    </row>
    <row r="5876" spans="1:28" x14ac:dyDescent="0.25">
      <c r="A5876" t="s">
        <v>5880</v>
      </c>
      <c r="B5876">
        <v>0.99472303558308395</v>
      </c>
      <c r="C5876">
        <v>0.98065632479389497</v>
      </c>
      <c r="D5876">
        <v>0.95699204084704903</v>
      </c>
      <c r="E5876">
        <v>0.83484676737177299</v>
      </c>
      <c r="F5876">
        <v>0.28407820034141601</v>
      </c>
      <c r="G5876">
        <v>8.6503069878690594E-2</v>
      </c>
      <c r="H5876">
        <v>5.2324435561217103E-2</v>
      </c>
      <c r="I5876">
        <v>3.2297174581668302E-2</v>
      </c>
      <c r="J5876">
        <v>4.2067480543213402E-2</v>
      </c>
      <c r="K5876">
        <v>3.9909844683966002E-2</v>
      </c>
      <c r="L5876">
        <v>1666.8026092403099</v>
      </c>
      <c r="M5876">
        <v>34.253589595932702</v>
      </c>
      <c r="N5876">
        <v>48.784325817118201</v>
      </c>
      <c r="O5876">
        <v>48.4957140499804</v>
      </c>
      <c r="P5876">
        <v>-0.169239042114672</v>
      </c>
      <c r="Q5876">
        <v>4.1579380093891602E-2</v>
      </c>
      <c r="R5876">
        <v>0.99901911299975898</v>
      </c>
      <c r="S5876" t="s">
        <v>12444</v>
      </c>
      <c r="T5876" t="s">
        <v>13134</v>
      </c>
      <c r="U5876" t="s">
        <v>13134</v>
      </c>
      <c r="V5876" t="s">
        <v>13134</v>
      </c>
      <c r="W5876" t="s">
        <v>18943</v>
      </c>
      <c r="X5876">
        <v>22</v>
      </c>
      <c r="Y5876" t="s">
        <v>25304</v>
      </c>
      <c r="Z5876" t="s">
        <v>31844</v>
      </c>
      <c r="AA5876">
        <v>0.41851117056818438</v>
      </c>
      <c r="AB5876" t="str">
        <f>HYPERLINK("Melting_Curves/meltCurve_Q9NTJ5_SACM1L.pdf", "Melting_Curves/meltCurve_Q9NTJ5_SACM1L.pdf")</f>
        <v>Melting_Curves/meltCurve_Q9NTJ5_SACM1L.pdf</v>
      </c>
    </row>
    <row r="5877" spans="1:28" x14ac:dyDescent="0.25">
      <c r="A5877" t="s">
        <v>5881</v>
      </c>
      <c r="B5877">
        <v>0.99472303558308395</v>
      </c>
      <c r="C5877">
        <v>1.03804066658963</v>
      </c>
      <c r="D5877">
        <v>0.90491700508414197</v>
      </c>
      <c r="E5877">
        <v>0.88128568614533898</v>
      </c>
      <c r="F5877">
        <v>0.83111970048532102</v>
      </c>
      <c r="G5877">
        <v>0.52256178189722902</v>
      </c>
      <c r="H5877">
        <v>0.214982351818198</v>
      </c>
      <c r="I5877">
        <v>9.0043298001582006E-2</v>
      </c>
      <c r="J5877">
        <v>0.10221861058928899</v>
      </c>
      <c r="K5877">
        <v>8.5682399452819802E-2</v>
      </c>
      <c r="L5877">
        <v>1104.0208827808599</v>
      </c>
      <c r="M5877">
        <v>20.625188202889301</v>
      </c>
      <c r="N5877">
        <v>53.813146216772701</v>
      </c>
      <c r="O5877">
        <v>53.032225621060597</v>
      </c>
      <c r="P5877">
        <v>-9.2195736056012598E-2</v>
      </c>
      <c r="Q5877">
        <v>5.1799358796782699E-2</v>
      </c>
      <c r="R5877">
        <v>0.98738739115219498</v>
      </c>
      <c r="S5877" t="s">
        <v>12445</v>
      </c>
      <c r="T5877" t="s">
        <v>13134</v>
      </c>
      <c r="U5877" t="s">
        <v>13134</v>
      </c>
      <c r="V5877" t="s">
        <v>13134</v>
      </c>
      <c r="W5877" t="s">
        <v>18944</v>
      </c>
      <c r="X5877">
        <v>5</v>
      </c>
      <c r="Y5877" t="s">
        <v>25305</v>
      </c>
      <c r="Z5877" t="s">
        <v>31845</v>
      </c>
      <c r="AA5877">
        <v>0.58541511046830963</v>
      </c>
      <c r="AB5877" t="str">
        <f>HYPERLINK("Melting_Curves/meltCurve_Q9NTM9_CUTC.pdf", "Melting_Curves/meltCurve_Q9NTM9_CUTC.pdf")</f>
        <v>Melting_Curves/meltCurve_Q9NTM9_CUTC.pdf</v>
      </c>
    </row>
    <row r="5878" spans="1:28" x14ac:dyDescent="0.25">
      <c r="A5878" t="s">
        <v>5882</v>
      </c>
      <c r="B5878">
        <v>0.99472303558308395</v>
      </c>
      <c r="C5878">
        <v>0.96070560152492501</v>
      </c>
      <c r="D5878">
        <v>0.96987905518614204</v>
      </c>
      <c r="E5878">
        <v>0.91571238318877801</v>
      </c>
      <c r="F5878">
        <v>0.83720727831188402</v>
      </c>
      <c r="G5878">
        <v>0.64813630988499404</v>
      </c>
      <c r="H5878">
        <v>0.57145789168918804</v>
      </c>
      <c r="I5878">
        <v>0.55960262200794897</v>
      </c>
      <c r="J5878">
        <v>0.71405295973813498</v>
      </c>
      <c r="K5878">
        <v>0.55363792385802402</v>
      </c>
      <c r="L5878">
        <v>1227.99739497885</v>
      </c>
      <c r="M5878">
        <v>24.382889713665399</v>
      </c>
      <c r="O5878">
        <v>50.0279621531134</v>
      </c>
      <c r="P5878">
        <v>-4.9631168610666597E-2</v>
      </c>
      <c r="Q5878">
        <v>0.592679869294929</v>
      </c>
      <c r="R5878">
        <v>0.92172312023078895</v>
      </c>
      <c r="S5878" t="s">
        <v>12446</v>
      </c>
      <c r="T5878" t="s">
        <v>13134</v>
      </c>
      <c r="U5878" t="s">
        <v>13134</v>
      </c>
      <c r="V5878" t="s">
        <v>13134</v>
      </c>
      <c r="W5878" t="s">
        <v>18945</v>
      </c>
      <c r="X5878">
        <v>11</v>
      </c>
      <c r="Y5878" t="s">
        <v>25306</v>
      </c>
      <c r="Z5878" t="s">
        <v>31846</v>
      </c>
      <c r="AA5878">
        <v>0.77786220218949398</v>
      </c>
      <c r="AB5878" t="str">
        <f>HYPERLINK("Melting_Curves/meltCurve_Q9NTX5_2_ECHDC1.pdf", "Melting_Curves/meltCurve_Q9NTX5_2_ECHDC1.pdf")</f>
        <v>Melting_Curves/meltCurve_Q9NTX5_2_ECHDC1.pdf</v>
      </c>
    </row>
    <row r="5879" spans="1:28" x14ac:dyDescent="0.25">
      <c r="A5879" t="s">
        <v>5883</v>
      </c>
      <c r="B5879">
        <v>0.99472303558308395</v>
      </c>
      <c r="C5879">
        <v>0.99916998705312898</v>
      </c>
      <c r="D5879">
        <v>0.95105077531398396</v>
      </c>
      <c r="E5879">
        <v>0.80089261103712495</v>
      </c>
      <c r="F5879">
        <v>0.51999656225068303</v>
      </c>
      <c r="G5879">
        <v>0.26320039810259099</v>
      </c>
      <c r="H5879">
        <v>0.143050356244869</v>
      </c>
      <c r="I5879">
        <v>0.10581619815573901</v>
      </c>
      <c r="J5879">
        <v>0.117098782010157</v>
      </c>
      <c r="K5879">
        <v>8.8925133841130904E-2</v>
      </c>
      <c r="L5879">
        <v>946.97769003514998</v>
      </c>
      <c r="M5879">
        <v>19.004193563606801</v>
      </c>
      <c r="N5879">
        <v>50.324530221575401</v>
      </c>
      <c r="O5879">
        <v>49.2880212518224</v>
      </c>
      <c r="P5879">
        <v>-8.8185774975951703E-2</v>
      </c>
      <c r="Q5879">
        <v>8.5185255200416199E-2</v>
      </c>
      <c r="R5879">
        <v>0.99946677210474499</v>
      </c>
      <c r="S5879" t="s">
        <v>12447</v>
      </c>
      <c r="T5879" t="s">
        <v>13134</v>
      </c>
      <c r="U5879" t="s">
        <v>13134</v>
      </c>
      <c r="V5879" t="s">
        <v>13134</v>
      </c>
      <c r="W5879" t="s">
        <v>18946</v>
      </c>
      <c r="X5879">
        <v>5</v>
      </c>
      <c r="Y5879" t="s">
        <v>25307</v>
      </c>
      <c r="Z5879" t="s">
        <v>31847</v>
      </c>
      <c r="AA5879">
        <v>0.48959166031953272</v>
      </c>
      <c r="AB5879" t="str">
        <f>HYPERLINK("Melting_Curves/meltCurve_Q9NTX7_2_RNF146.pdf", "Melting_Curves/meltCurve_Q9NTX7_2_RNF146.pdf")</f>
        <v>Melting_Curves/meltCurve_Q9NTX7_2_RNF146.pdf</v>
      </c>
    </row>
    <row r="5880" spans="1:28" x14ac:dyDescent="0.25">
      <c r="A5880" t="s">
        <v>5884</v>
      </c>
      <c r="B5880">
        <v>0.99472303558308395</v>
      </c>
      <c r="C5880">
        <v>0.99334257928154901</v>
      </c>
      <c r="D5880">
        <v>0.93928362566082302</v>
      </c>
      <c r="E5880">
        <v>0.69834348818428804</v>
      </c>
      <c r="F5880">
        <v>0.20817668459522201</v>
      </c>
      <c r="G5880">
        <v>0.101770697900662</v>
      </c>
      <c r="H5880">
        <v>6.5699802578790698E-2</v>
      </c>
      <c r="I5880">
        <v>4.6355959204805799E-2</v>
      </c>
      <c r="J5880">
        <v>5.1085435898571903E-2</v>
      </c>
      <c r="K5880">
        <v>4.4305481725970201E-2</v>
      </c>
      <c r="L5880">
        <v>1439.2786884995701</v>
      </c>
      <c r="M5880">
        <v>30.180940336804799</v>
      </c>
      <c r="N5880">
        <v>47.863470750417498</v>
      </c>
      <c r="O5880">
        <v>47.480436648658198</v>
      </c>
      <c r="P5880">
        <v>-0.15060624357089999</v>
      </c>
      <c r="Q5880">
        <v>5.2275417459892698E-2</v>
      </c>
      <c r="R5880">
        <v>0.99899295643791297</v>
      </c>
      <c r="S5880" t="s">
        <v>12448</v>
      </c>
      <c r="T5880" t="s">
        <v>13134</v>
      </c>
      <c r="U5880" t="s">
        <v>13134</v>
      </c>
      <c r="V5880" t="s">
        <v>13134</v>
      </c>
      <c r="W5880" t="s">
        <v>18947</v>
      </c>
      <c r="X5880">
        <v>21</v>
      </c>
      <c r="Y5880" t="s">
        <v>25308</v>
      </c>
      <c r="Z5880" t="s">
        <v>31848</v>
      </c>
      <c r="AA5880">
        <v>0.39544167840777611</v>
      </c>
      <c r="AB5880" t="str">
        <f>HYPERLINK("Melting_Curves/meltCurve_Q9NTZ6_RBM12.pdf", "Melting_Curves/meltCurve_Q9NTZ6_RBM12.pdf")</f>
        <v>Melting_Curves/meltCurve_Q9NTZ6_RBM12.pdf</v>
      </c>
    </row>
    <row r="5881" spans="1:28" x14ac:dyDescent="0.25">
      <c r="A5881" t="s">
        <v>5885</v>
      </c>
      <c r="B5881">
        <v>0.99472303558308395</v>
      </c>
      <c r="C5881">
        <v>1.00038479612672</v>
      </c>
      <c r="D5881">
        <v>0.87635015537913896</v>
      </c>
      <c r="E5881">
        <v>0.74326640756186602</v>
      </c>
      <c r="F5881">
        <v>0.50203290348702301</v>
      </c>
      <c r="G5881">
        <v>0.226038086166202</v>
      </c>
      <c r="H5881">
        <v>0.114856695025816</v>
      </c>
      <c r="I5881">
        <v>6.6764395416067795E-2</v>
      </c>
      <c r="J5881">
        <v>8.5315677227501593E-2</v>
      </c>
      <c r="K5881">
        <v>4.8962348012129599E-2</v>
      </c>
      <c r="L5881">
        <v>779.70946077678002</v>
      </c>
      <c r="M5881">
        <v>15.7205851319484</v>
      </c>
      <c r="N5881">
        <v>49.794304582864498</v>
      </c>
      <c r="O5881">
        <v>48.816236566210101</v>
      </c>
      <c r="P5881">
        <v>-7.8096596831336199E-2</v>
      </c>
      <c r="Q5881">
        <v>3.0045935833483702E-2</v>
      </c>
      <c r="R5881">
        <v>0.99641596152590295</v>
      </c>
      <c r="S5881" t="s">
        <v>12449</v>
      </c>
      <c r="T5881" t="s">
        <v>13134</v>
      </c>
      <c r="U5881" t="s">
        <v>13134</v>
      </c>
      <c r="V5881" t="s">
        <v>13134</v>
      </c>
      <c r="W5881" t="s">
        <v>18948</v>
      </c>
      <c r="X5881">
        <v>8</v>
      </c>
      <c r="Y5881" t="s">
        <v>25309</v>
      </c>
      <c r="Z5881" t="s">
        <v>31849</v>
      </c>
      <c r="AA5881">
        <v>0.45647373837936622</v>
      </c>
      <c r="AB5881" t="str">
        <f>HYPERLINK("Melting_Curves/meltCurve_Q9NU19_TBC1D22B.pdf", "Melting_Curves/meltCurve_Q9NU19_TBC1D22B.pdf")</f>
        <v>Melting_Curves/meltCurve_Q9NU19_TBC1D22B.pdf</v>
      </c>
    </row>
    <row r="5882" spans="1:28" x14ac:dyDescent="0.25">
      <c r="A5882" t="s">
        <v>5886</v>
      </c>
      <c r="B5882">
        <v>0.99472303558308395</v>
      </c>
      <c r="C5882">
        <v>0.91504485895423804</v>
      </c>
      <c r="D5882">
        <v>0.75920300909419702</v>
      </c>
      <c r="E5882">
        <v>0.46696835005528498</v>
      </c>
      <c r="F5882">
        <v>0.20929251506896299</v>
      </c>
      <c r="G5882">
        <v>0.101659502799894</v>
      </c>
      <c r="H5882">
        <v>6.03892814669433E-2</v>
      </c>
      <c r="I5882">
        <v>4.3480155476598101E-2</v>
      </c>
      <c r="J5882">
        <v>4.4731456937530903E-2</v>
      </c>
      <c r="K5882">
        <v>4.2360639739254698E-2</v>
      </c>
      <c r="L5882">
        <v>768.23722598161203</v>
      </c>
      <c r="M5882">
        <v>16.738651690061801</v>
      </c>
      <c r="N5882">
        <v>46.071776688279698</v>
      </c>
      <c r="O5882">
        <v>45.255946283112998</v>
      </c>
      <c r="P5882">
        <v>-8.9612257131706494E-2</v>
      </c>
      <c r="Q5882">
        <v>3.0932366558863299E-2</v>
      </c>
      <c r="R5882">
        <v>0.99952466098744297</v>
      </c>
      <c r="S5882" t="s">
        <v>12450</v>
      </c>
      <c r="T5882" t="s">
        <v>13134</v>
      </c>
      <c r="U5882" t="s">
        <v>13134</v>
      </c>
      <c r="V5882" t="s">
        <v>13134</v>
      </c>
      <c r="W5882" t="s">
        <v>18949</v>
      </c>
      <c r="X5882">
        <v>51</v>
      </c>
      <c r="Y5882" t="s">
        <v>25310</v>
      </c>
      <c r="Z5882" t="s">
        <v>31850</v>
      </c>
      <c r="AA5882">
        <v>0.33640901259692452</v>
      </c>
      <c r="AB5882" t="str">
        <f>HYPERLINK("Melting_Curves/meltCurve_Q9NU22_MDN1.pdf", "Melting_Curves/meltCurve_Q9NU22_MDN1.pdf")</f>
        <v>Melting_Curves/meltCurve_Q9NU22_MDN1.pdf</v>
      </c>
    </row>
    <row r="5883" spans="1:28" x14ac:dyDescent="0.25">
      <c r="A5883" t="s">
        <v>5887</v>
      </c>
      <c r="B5883">
        <v>0.99472303558308395</v>
      </c>
      <c r="C5883">
        <v>1.0962744938270701</v>
      </c>
      <c r="D5883">
        <v>1.0757782753271099</v>
      </c>
      <c r="E5883">
        <v>0.99576390876920295</v>
      </c>
      <c r="F5883">
        <v>0.92333914618968904</v>
      </c>
      <c r="G5883">
        <v>0.66615445464800305</v>
      </c>
      <c r="H5883">
        <v>0.26927316693432002</v>
      </c>
      <c r="I5883">
        <v>0.12735783651228899</v>
      </c>
      <c r="J5883">
        <v>0.13665109404982101</v>
      </c>
      <c r="K5883">
        <v>0.11558957007173901</v>
      </c>
      <c r="L5883">
        <v>1685.12734998627</v>
      </c>
      <c r="M5883">
        <v>30.859322159815601</v>
      </c>
      <c r="N5883">
        <v>55.055532265398199</v>
      </c>
      <c r="O5883">
        <v>54.378978149972703</v>
      </c>
      <c r="P5883">
        <v>-0.126096249551608</v>
      </c>
      <c r="Q5883">
        <v>0.111199523790922</v>
      </c>
      <c r="R5883">
        <v>0.99023953176623003</v>
      </c>
      <c r="S5883" t="s">
        <v>12451</v>
      </c>
      <c r="T5883" t="s">
        <v>13134</v>
      </c>
      <c r="U5883" t="s">
        <v>13134</v>
      </c>
      <c r="V5883" t="s">
        <v>13134</v>
      </c>
      <c r="W5883" t="s">
        <v>18950</v>
      </c>
      <c r="X5883">
        <v>3</v>
      </c>
      <c r="Y5883" t="s">
        <v>25311</v>
      </c>
      <c r="Z5883" t="s">
        <v>31851</v>
      </c>
      <c r="AA5883">
        <v>0.63821684086126496</v>
      </c>
      <c r="AB5883" t="str">
        <f>HYPERLINK("Melting_Curves/meltCurve_Q9NU23_LYRM2.pdf", "Melting_Curves/meltCurve_Q9NU23_LYRM2.pdf")</f>
        <v>Melting_Curves/meltCurve_Q9NU23_LYRM2.pdf</v>
      </c>
    </row>
    <row r="5884" spans="1:28" x14ac:dyDescent="0.25">
      <c r="A5884" t="s">
        <v>5888</v>
      </c>
      <c r="B5884">
        <v>0.99472303558308395</v>
      </c>
      <c r="C5884">
        <v>0.86378299947998705</v>
      </c>
      <c r="D5884">
        <v>0.73878945184622702</v>
      </c>
      <c r="E5884">
        <v>0.67584868623915795</v>
      </c>
      <c r="F5884">
        <v>0.855210417817172</v>
      </c>
      <c r="G5884">
        <v>0.25212590948035801</v>
      </c>
      <c r="H5884">
        <v>0.18307644588507199</v>
      </c>
      <c r="I5884">
        <v>7.8730609602292598E-2</v>
      </c>
      <c r="J5884">
        <v>0.144935277626798</v>
      </c>
      <c r="K5884">
        <v>0.118168322660905</v>
      </c>
      <c r="L5884">
        <v>515.61409114627804</v>
      </c>
      <c r="M5884">
        <v>10.085439498685901</v>
      </c>
      <c r="N5884">
        <v>51.124602776191097</v>
      </c>
      <c r="O5884">
        <v>49.236683294877103</v>
      </c>
      <c r="P5884">
        <v>-5.1233080571173102E-2</v>
      </c>
      <c r="Q5884">
        <v>0</v>
      </c>
      <c r="R5884">
        <v>0.87396308090193198</v>
      </c>
      <c r="S5884" t="s">
        <v>12452</v>
      </c>
      <c r="T5884" t="s">
        <v>13134</v>
      </c>
      <c r="U5884" t="s">
        <v>13134</v>
      </c>
      <c r="V5884" t="s">
        <v>13134</v>
      </c>
      <c r="W5884" t="s">
        <v>18951</v>
      </c>
      <c r="X5884">
        <v>1</v>
      </c>
      <c r="Y5884" t="s">
        <v>25312</v>
      </c>
      <c r="Z5884" t="s">
        <v>31852</v>
      </c>
      <c r="AA5884">
        <v>0.50066241452591764</v>
      </c>
      <c r="AB5884" t="str">
        <f>HYPERLINK("Melting_Curves/meltCurve_Q9NUD5_ZCCHC3.pdf", "Melting_Curves/meltCurve_Q9NUD5_ZCCHC3.pdf")</f>
        <v>Melting_Curves/meltCurve_Q9NUD5_ZCCHC3.pdf</v>
      </c>
    </row>
    <row r="5885" spans="1:28" x14ac:dyDescent="0.25">
      <c r="A5885" t="s">
        <v>5889</v>
      </c>
      <c r="B5885">
        <v>0.99472303558308395</v>
      </c>
      <c r="C5885">
        <v>0.97123264337819304</v>
      </c>
      <c r="D5885">
        <v>0.90335799628908497</v>
      </c>
      <c r="E5885">
        <v>0.80173426617249999</v>
      </c>
      <c r="F5885">
        <v>0.673736330321276</v>
      </c>
      <c r="G5885">
        <v>0.48754190379488599</v>
      </c>
      <c r="H5885">
        <v>0.34104450303826001</v>
      </c>
      <c r="I5885">
        <v>0.23212505903071201</v>
      </c>
      <c r="J5885">
        <v>0.16070142877937599</v>
      </c>
      <c r="K5885">
        <v>0.16550961503102299</v>
      </c>
      <c r="L5885">
        <v>540.86558001876097</v>
      </c>
      <c r="M5885">
        <v>10.195327192875</v>
      </c>
      <c r="N5885">
        <v>53.483280016813602</v>
      </c>
      <c r="O5885">
        <v>51.130823326736298</v>
      </c>
      <c r="P5885">
        <v>-4.78964210896052E-2</v>
      </c>
      <c r="Q5885">
        <v>3.9607955504294801E-2</v>
      </c>
      <c r="R5885">
        <v>0.99827032092040802</v>
      </c>
      <c r="S5885" t="s">
        <v>12453</v>
      </c>
      <c r="T5885" t="s">
        <v>13134</v>
      </c>
      <c r="U5885" t="s">
        <v>13134</v>
      </c>
      <c r="V5885" t="s">
        <v>13134</v>
      </c>
      <c r="W5885" t="s">
        <v>18952</v>
      </c>
      <c r="X5885">
        <v>3</v>
      </c>
      <c r="Y5885" t="s">
        <v>25313</v>
      </c>
      <c r="Z5885" t="s">
        <v>31853</v>
      </c>
      <c r="AA5885">
        <v>0.57465870078995462</v>
      </c>
      <c r="AB5885" t="str">
        <f>HYPERLINK("Melting_Curves/meltCurve_Q9NUE0_ZDHHC18.pdf", "Melting_Curves/meltCurve_Q9NUE0_ZDHHC18.pdf")</f>
        <v>Melting_Curves/meltCurve_Q9NUE0_ZDHHC18.pdf</v>
      </c>
    </row>
    <row r="5886" spans="1:28" x14ac:dyDescent="0.25">
      <c r="A5886" t="s">
        <v>5890</v>
      </c>
      <c r="B5886">
        <v>0.99472303558308395</v>
      </c>
      <c r="C5886">
        <v>1.0320436959583801</v>
      </c>
      <c r="D5886">
        <v>0.73764037332462495</v>
      </c>
      <c r="E5886">
        <v>0.71376550006753403</v>
      </c>
      <c r="F5886">
        <v>0.52390732117483796</v>
      </c>
      <c r="G5886">
        <v>0.36322074245975</v>
      </c>
      <c r="H5886">
        <v>0.219511908277885</v>
      </c>
      <c r="I5886">
        <v>0.15300025210965901</v>
      </c>
      <c r="J5886">
        <v>0.17600600234521699</v>
      </c>
      <c r="K5886">
        <v>0.11196717752471499</v>
      </c>
      <c r="L5886">
        <v>523.97179746855795</v>
      </c>
      <c r="M5886">
        <v>10.5388496276267</v>
      </c>
      <c r="N5886">
        <v>50.328988793729103</v>
      </c>
      <c r="O5886">
        <v>48.028117588195599</v>
      </c>
      <c r="P5886">
        <v>-5.1584779158083897E-2</v>
      </c>
      <c r="Q5886">
        <v>6.0036042280072303E-2</v>
      </c>
      <c r="R5886">
        <v>0.976802406641749</v>
      </c>
      <c r="S5886" t="s">
        <v>12454</v>
      </c>
      <c r="T5886" t="s">
        <v>13134</v>
      </c>
      <c r="U5886" t="s">
        <v>13134</v>
      </c>
      <c r="V5886" t="s">
        <v>13134</v>
      </c>
      <c r="W5886" t="s">
        <v>18953</v>
      </c>
      <c r="X5886">
        <v>3</v>
      </c>
      <c r="Y5886" t="s">
        <v>25314</v>
      </c>
      <c r="Z5886" t="s">
        <v>31854</v>
      </c>
      <c r="AA5886">
        <v>0.48956747437914871</v>
      </c>
      <c r="AB5886" t="str">
        <f>HYPERLINK("Melting_Curves/meltCurve_Q9NUG6_PDRG1.pdf", "Melting_Curves/meltCurve_Q9NUG6_PDRG1.pdf")</f>
        <v>Melting_Curves/meltCurve_Q9NUG6_PDRG1.pdf</v>
      </c>
    </row>
    <row r="5887" spans="1:28" x14ac:dyDescent="0.25">
      <c r="A5887" t="s">
        <v>5891</v>
      </c>
      <c r="B5887">
        <v>0.99472303558308395</v>
      </c>
      <c r="C5887">
        <v>0.86686413989634403</v>
      </c>
      <c r="D5887">
        <v>0.85870751441207804</v>
      </c>
      <c r="E5887">
        <v>0.75033596543121905</v>
      </c>
      <c r="F5887">
        <v>0.77400219584694496</v>
      </c>
      <c r="G5887">
        <v>0.89640058915998699</v>
      </c>
      <c r="H5887">
        <v>0.87331860726565502</v>
      </c>
      <c r="I5887">
        <v>0.92722159490099199</v>
      </c>
      <c r="J5887">
        <v>0.87731259421848695</v>
      </c>
      <c r="K5887">
        <v>0.38078492587363899</v>
      </c>
      <c r="L5887">
        <v>154.026309514285</v>
      </c>
      <c r="M5887">
        <v>1.4286016959877501</v>
      </c>
      <c r="O5887">
        <v>50.980962986598897</v>
      </c>
      <c r="P5887">
        <v>-8.3231925796134597E-3</v>
      </c>
      <c r="Q5887">
        <v>0</v>
      </c>
      <c r="R5887">
        <v>0.21834267733687199</v>
      </c>
      <c r="S5887" t="s">
        <v>12455</v>
      </c>
      <c r="T5887" t="s">
        <v>13134</v>
      </c>
      <c r="U5887" t="s">
        <v>13134</v>
      </c>
      <c r="V5887" t="s">
        <v>13134</v>
      </c>
      <c r="W5887" t="s">
        <v>18954</v>
      </c>
      <c r="X5887">
        <v>3</v>
      </c>
      <c r="Y5887" t="s">
        <v>25315</v>
      </c>
      <c r="Z5887" t="s">
        <v>31855</v>
      </c>
      <c r="AA5887">
        <v>0.82259412273494026</v>
      </c>
      <c r="AB5887" t="str">
        <f>HYPERLINK("Melting_Curves/meltCurve_Q9NUJ1_ABHD10.pdf", "Melting_Curves/meltCurve_Q9NUJ1_ABHD10.pdf")</f>
        <v>Melting_Curves/meltCurve_Q9NUJ1_ABHD10.pdf</v>
      </c>
    </row>
    <row r="5888" spans="1:28" x14ac:dyDescent="0.25">
      <c r="A5888" t="s">
        <v>5892</v>
      </c>
      <c r="B5888">
        <v>0.99472303558308395</v>
      </c>
      <c r="C5888">
        <v>0.905655513926649</v>
      </c>
      <c r="D5888">
        <v>0.81217019036760396</v>
      </c>
      <c r="E5888">
        <v>0.77692482444559496</v>
      </c>
      <c r="F5888">
        <v>0.66183317523254404</v>
      </c>
      <c r="G5888">
        <v>0.50834708241156101</v>
      </c>
      <c r="H5888">
        <v>0.46852713974997701</v>
      </c>
      <c r="I5888">
        <v>0.47989485461675202</v>
      </c>
      <c r="J5888">
        <v>0.67847175192068299</v>
      </c>
      <c r="K5888">
        <v>0.62372217631113003</v>
      </c>
      <c r="L5888">
        <v>642.07024409063001</v>
      </c>
      <c r="M5888">
        <v>14.316988975344699</v>
      </c>
      <c r="O5888">
        <v>43.999022181240598</v>
      </c>
      <c r="P5888">
        <v>-3.67058923118588E-2</v>
      </c>
      <c r="Q5888">
        <v>0.548836045058401</v>
      </c>
      <c r="R5888">
        <v>0.83167182463709899</v>
      </c>
      <c r="S5888" t="s">
        <v>12456</v>
      </c>
      <c r="T5888" t="s">
        <v>13134</v>
      </c>
      <c r="U5888" t="s">
        <v>13134</v>
      </c>
      <c r="V5888" t="s">
        <v>13134</v>
      </c>
      <c r="W5888" t="s">
        <v>18955</v>
      </c>
      <c r="X5888">
        <v>7</v>
      </c>
      <c r="Y5888" t="s">
        <v>25316</v>
      </c>
      <c r="Z5888" t="s">
        <v>31856</v>
      </c>
      <c r="AA5888">
        <v>0.67868324051235407</v>
      </c>
      <c r="AB5888" t="str">
        <f>HYPERLINK("Melting_Curves/meltCurve_Q9NUM4_TMEM106B.pdf", "Melting_Curves/meltCurve_Q9NUM4_TMEM106B.pdf")</f>
        <v>Melting_Curves/meltCurve_Q9NUM4_TMEM106B.pdf</v>
      </c>
    </row>
    <row r="5889" spans="1:28" x14ac:dyDescent="0.25">
      <c r="A5889" t="s">
        <v>5893</v>
      </c>
      <c r="B5889">
        <v>0.99472303558308395</v>
      </c>
      <c r="C5889">
        <v>1.2682785385734601</v>
      </c>
      <c r="D5889">
        <v>0.88819460931602701</v>
      </c>
      <c r="E5889">
        <v>1.01042017368697</v>
      </c>
      <c r="F5889">
        <v>0.79237955037899999</v>
      </c>
      <c r="G5889">
        <v>0.65198781793567795</v>
      </c>
      <c r="H5889">
        <v>0.52238441288911697</v>
      </c>
      <c r="I5889">
        <v>0.57794666344134105</v>
      </c>
      <c r="J5889">
        <v>0.66357859351751702</v>
      </c>
      <c r="K5889">
        <v>0.72222909885029496</v>
      </c>
      <c r="L5889">
        <v>2952.3008041435301</v>
      </c>
      <c r="M5889">
        <v>59.014191062133698</v>
      </c>
      <c r="O5889">
        <v>49.969614836504199</v>
      </c>
      <c r="P5889">
        <v>-0.110363978165518</v>
      </c>
      <c r="Q5889">
        <v>0.62620223787270901</v>
      </c>
      <c r="R5889">
        <v>0.77380336197102995</v>
      </c>
      <c r="S5889" t="s">
        <v>12457</v>
      </c>
      <c r="T5889" t="s">
        <v>13134</v>
      </c>
      <c r="U5889" t="s">
        <v>13134</v>
      </c>
      <c r="V5889" t="s">
        <v>13134</v>
      </c>
      <c r="W5889" t="s">
        <v>18956</v>
      </c>
      <c r="X5889">
        <v>3</v>
      </c>
      <c r="Y5889" t="s">
        <v>25317</v>
      </c>
      <c r="Z5889" t="s">
        <v>31857</v>
      </c>
      <c r="AA5889">
        <v>0.7891084105411682</v>
      </c>
      <c r="AB5889" t="str">
        <f>HYPERLINK("Melting_Curves/meltCurve_Q9NUN5_3_LMBRD1.pdf", "Melting_Curves/meltCurve_Q9NUN5_3_LMBRD1.pdf")</f>
        <v>Melting_Curves/meltCurve_Q9NUN5_3_LMBRD1.pdf</v>
      </c>
    </row>
    <row r="5890" spans="1:28" x14ac:dyDescent="0.25">
      <c r="A5890" t="s">
        <v>5894</v>
      </c>
      <c r="B5890">
        <v>0.99472303558308395</v>
      </c>
      <c r="C5890">
        <v>0.98877482506007597</v>
      </c>
      <c r="D5890">
        <v>0.99017901725256996</v>
      </c>
      <c r="E5890">
        <v>0.89119642309323999</v>
      </c>
      <c r="F5890">
        <v>0.69802414080563402</v>
      </c>
      <c r="G5890">
        <v>0.50794909444372804</v>
      </c>
      <c r="H5890">
        <v>0.245922740070529</v>
      </c>
      <c r="I5890">
        <v>0.110282817172303</v>
      </c>
      <c r="J5890">
        <v>7.2303806607959306E-2</v>
      </c>
      <c r="K5890">
        <v>8.4495273772319496E-2</v>
      </c>
      <c r="L5890">
        <v>815.31635101725999</v>
      </c>
      <c r="M5890">
        <v>15.3132754690984</v>
      </c>
      <c r="N5890">
        <v>53.342688694028702</v>
      </c>
      <c r="O5890">
        <v>52.359244089494602</v>
      </c>
      <c r="P5890">
        <v>-7.2086090950362905E-2</v>
      </c>
      <c r="Q5890">
        <v>1.41828440721905E-2</v>
      </c>
      <c r="R5890">
        <v>0.99701796352204697</v>
      </c>
      <c r="S5890" t="s">
        <v>12458</v>
      </c>
      <c r="T5890" t="s">
        <v>13134</v>
      </c>
      <c r="U5890" t="s">
        <v>13134</v>
      </c>
      <c r="V5890" t="s">
        <v>13134</v>
      </c>
      <c r="W5890" t="s">
        <v>18957</v>
      </c>
      <c r="X5890">
        <v>6</v>
      </c>
      <c r="Y5890" t="s">
        <v>25318</v>
      </c>
      <c r="Z5890" t="s">
        <v>31858</v>
      </c>
      <c r="AA5890">
        <v>0.56482790720668441</v>
      </c>
      <c r="AB5890" t="str">
        <f>HYPERLINK("Melting_Curves/meltCurve_Q9NUP1_BLOC1S4.pdf", "Melting_Curves/meltCurve_Q9NUP1_BLOC1S4.pdf")</f>
        <v>Melting_Curves/meltCurve_Q9NUP1_BLOC1S4.pdf</v>
      </c>
    </row>
    <row r="5891" spans="1:28" x14ac:dyDescent="0.25">
      <c r="A5891" t="s">
        <v>5895</v>
      </c>
      <c r="B5891">
        <v>0.99472303558308395</v>
      </c>
      <c r="C5891">
        <v>1.03296553160185</v>
      </c>
      <c r="D5891">
        <v>0.96930320017971106</v>
      </c>
      <c r="E5891">
        <v>0.76139019454256796</v>
      </c>
      <c r="F5891">
        <v>0.29708080576427898</v>
      </c>
      <c r="G5891">
        <v>9.4286752992692596E-2</v>
      </c>
      <c r="H5891">
        <v>6.1752185929923001E-2</v>
      </c>
      <c r="I5891">
        <v>4.2732396377902097E-2</v>
      </c>
      <c r="J5891">
        <v>5.3435475843156499E-2</v>
      </c>
      <c r="K5891">
        <v>4.3599031958770899E-2</v>
      </c>
      <c r="L5891">
        <v>1386.4836863038599</v>
      </c>
      <c r="M5891">
        <v>28.654661665472801</v>
      </c>
      <c r="N5891">
        <v>48.550803684867098</v>
      </c>
      <c r="O5891">
        <v>48.152153192077698</v>
      </c>
      <c r="P5891">
        <v>-0.141877717387041</v>
      </c>
      <c r="Q5891">
        <v>4.6345163786564801E-2</v>
      </c>
      <c r="R5891">
        <v>0.99921627983110395</v>
      </c>
      <c r="S5891" t="s">
        <v>12459</v>
      </c>
      <c r="T5891" t="s">
        <v>13134</v>
      </c>
      <c r="U5891" t="s">
        <v>13134</v>
      </c>
      <c r="V5891" t="s">
        <v>13134</v>
      </c>
      <c r="W5891" t="s">
        <v>18958</v>
      </c>
      <c r="X5891">
        <v>5</v>
      </c>
      <c r="Y5891" t="s">
        <v>25319</v>
      </c>
      <c r="Z5891" t="s">
        <v>31859</v>
      </c>
      <c r="AA5891">
        <v>0.41452327001136019</v>
      </c>
      <c r="AB5891" t="str">
        <f>HYPERLINK("Melting_Curves/meltCurve_Q9NUP7_TRMT13.pdf", "Melting_Curves/meltCurve_Q9NUP7_TRMT13.pdf")</f>
        <v>Melting_Curves/meltCurve_Q9NUP7_TRMT13.pdf</v>
      </c>
    </row>
    <row r="5892" spans="1:28" x14ac:dyDescent="0.25">
      <c r="A5892" t="s">
        <v>5896</v>
      </c>
      <c r="B5892">
        <v>0.99472303558308395</v>
      </c>
      <c r="C5892">
        <v>0.95464217176467803</v>
      </c>
      <c r="D5892">
        <v>0.950360939169968</v>
      </c>
      <c r="E5892">
        <v>0.79785021870154504</v>
      </c>
      <c r="F5892">
        <v>0.49333157292976498</v>
      </c>
      <c r="G5892">
        <v>0.257642813178383</v>
      </c>
      <c r="H5892">
        <v>0.16014746962102899</v>
      </c>
      <c r="I5892">
        <v>0.10799343450058101</v>
      </c>
      <c r="J5892">
        <v>0.14608421278770001</v>
      </c>
      <c r="K5892">
        <v>8.6492444401897697E-2</v>
      </c>
      <c r="L5892">
        <v>947.00317454523702</v>
      </c>
      <c r="M5892">
        <v>19.1171925423853</v>
      </c>
      <c r="N5892">
        <v>50.114782798100002</v>
      </c>
      <c r="O5892">
        <v>49.004241932944502</v>
      </c>
      <c r="P5892">
        <v>-8.78817986743098E-2</v>
      </c>
      <c r="Q5892">
        <v>9.8944417195499804E-2</v>
      </c>
      <c r="R5892">
        <v>0.99762669414443494</v>
      </c>
      <c r="S5892" t="s">
        <v>12460</v>
      </c>
      <c r="T5892" t="s">
        <v>13134</v>
      </c>
      <c r="U5892" t="s">
        <v>13134</v>
      </c>
      <c r="V5892" t="s">
        <v>13134</v>
      </c>
      <c r="W5892" t="s">
        <v>18959</v>
      </c>
      <c r="X5892">
        <v>8</v>
      </c>
      <c r="Y5892" t="s">
        <v>25320</v>
      </c>
      <c r="Z5892" t="s">
        <v>31860</v>
      </c>
      <c r="AA5892">
        <v>0.48834804318257707</v>
      </c>
      <c r="AB5892" t="str">
        <f>HYPERLINK("Melting_Curves/meltCurve_Q9NUP9_LIN7C.pdf", "Melting_Curves/meltCurve_Q9NUP9_LIN7C.pdf")</f>
        <v>Melting_Curves/meltCurve_Q9NUP9_LIN7C.pdf</v>
      </c>
    </row>
    <row r="5893" spans="1:28" x14ac:dyDescent="0.25">
      <c r="A5893" t="s">
        <v>5897</v>
      </c>
      <c r="B5893">
        <v>0.99472303558308395</v>
      </c>
      <c r="C5893">
        <v>0.85670848919236298</v>
      </c>
      <c r="D5893">
        <v>0.74107663613229902</v>
      </c>
      <c r="E5893">
        <v>0.58920158782103504</v>
      </c>
      <c r="F5893">
        <v>0.385866683362389</v>
      </c>
      <c r="G5893">
        <v>0.123392737091292</v>
      </c>
      <c r="H5893">
        <v>5.0829109255647299E-2</v>
      </c>
      <c r="I5893">
        <v>3.59536549871355E-2</v>
      </c>
      <c r="J5893">
        <v>4.09476052392777E-2</v>
      </c>
      <c r="K5893">
        <v>3.3679179503485701E-2</v>
      </c>
      <c r="L5893">
        <v>594.73985690572999</v>
      </c>
      <c r="M5893">
        <v>12.572651919502499</v>
      </c>
      <c r="N5893">
        <v>47.304248421061601</v>
      </c>
      <c r="O5893">
        <v>46.155391760859999</v>
      </c>
      <c r="P5893">
        <v>-6.8113319408594206E-2</v>
      </c>
      <c r="Q5893">
        <v>0</v>
      </c>
      <c r="R5893">
        <v>0.98751772686792205</v>
      </c>
      <c r="S5893" t="s">
        <v>12461</v>
      </c>
      <c r="T5893" t="s">
        <v>13134</v>
      </c>
      <c r="U5893" t="s">
        <v>13134</v>
      </c>
      <c r="V5893" t="s">
        <v>13134</v>
      </c>
      <c r="W5893" t="s">
        <v>18960</v>
      </c>
      <c r="X5893">
        <v>12</v>
      </c>
      <c r="Y5893" t="s">
        <v>25321</v>
      </c>
      <c r="Z5893" t="s">
        <v>31861</v>
      </c>
      <c r="AA5893">
        <v>0.37356497211319267</v>
      </c>
      <c r="AB5893" t="str">
        <f>HYPERLINK("Melting_Curves/meltCurve_Q9NUQ2_AGPAT5.pdf", "Melting_Curves/meltCurve_Q9NUQ2_AGPAT5.pdf")</f>
        <v>Melting_Curves/meltCurve_Q9NUQ2_AGPAT5.pdf</v>
      </c>
    </row>
    <row r="5894" spans="1:28" x14ac:dyDescent="0.25">
      <c r="A5894" t="s">
        <v>5898</v>
      </c>
      <c r="B5894">
        <v>0.99472303558308395</v>
      </c>
      <c r="C5894">
        <v>0.97563911143788595</v>
      </c>
      <c r="D5894">
        <v>1.0673206601462999</v>
      </c>
      <c r="E5894">
        <v>0.96361285245721195</v>
      </c>
      <c r="F5894">
        <v>0.68693574764814103</v>
      </c>
      <c r="G5894">
        <v>0.39032015775504098</v>
      </c>
      <c r="H5894">
        <v>7.1654529539193004E-2</v>
      </c>
      <c r="I5894">
        <v>6.2324754236361399E-2</v>
      </c>
      <c r="J5894">
        <v>5.9266609953464999E-2</v>
      </c>
      <c r="K5894">
        <v>5.4517045831488198E-2</v>
      </c>
      <c r="L5894">
        <v>1257.78998833279</v>
      </c>
      <c r="M5894">
        <v>24.150466535185998</v>
      </c>
      <c r="N5894">
        <v>52.242007462219597</v>
      </c>
      <c r="O5894">
        <v>51.7282412621623</v>
      </c>
      <c r="P5894">
        <v>-0.112543829152774</v>
      </c>
      <c r="Q5894">
        <v>3.5777709758832203E-2</v>
      </c>
      <c r="R5894">
        <v>0.99250226826659704</v>
      </c>
      <c r="S5894" t="s">
        <v>12462</v>
      </c>
      <c r="T5894" t="s">
        <v>13134</v>
      </c>
      <c r="U5894" t="s">
        <v>13134</v>
      </c>
      <c r="V5894" t="s">
        <v>13134</v>
      </c>
      <c r="W5894" t="s">
        <v>18961</v>
      </c>
      <c r="X5894">
        <v>31</v>
      </c>
      <c r="Y5894" t="s">
        <v>25322</v>
      </c>
      <c r="Z5894" t="s">
        <v>31862</v>
      </c>
      <c r="AA5894">
        <v>0.52958902906654803</v>
      </c>
      <c r="AB5894" t="str">
        <f>HYPERLINK("Melting_Curves/meltCurve_Q9NUQ3_TXLNG.pdf", "Melting_Curves/meltCurve_Q9NUQ3_TXLNG.pdf")</f>
        <v>Melting_Curves/meltCurve_Q9NUQ3_TXLNG.pdf</v>
      </c>
    </row>
    <row r="5895" spans="1:28" x14ac:dyDescent="0.25">
      <c r="A5895" t="s">
        <v>5899</v>
      </c>
      <c r="B5895">
        <v>0.99472303558308395</v>
      </c>
      <c r="C5895">
        <v>0.99894527707466896</v>
      </c>
      <c r="D5895">
        <v>0.83412739247867995</v>
      </c>
      <c r="E5895">
        <v>0.77584754473447104</v>
      </c>
      <c r="F5895">
        <v>0.34936076736697003</v>
      </c>
      <c r="G5895">
        <v>0.16071679174765299</v>
      </c>
      <c r="H5895">
        <v>0.14050516370147401</v>
      </c>
      <c r="I5895">
        <v>0.109087146880342</v>
      </c>
      <c r="J5895">
        <v>0.16497778236329699</v>
      </c>
      <c r="K5895">
        <v>0.14998502641317901</v>
      </c>
      <c r="L5895">
        <v>1144.6041012690901</v>
      </c>
      <c r="M5895">
        <v>23.7911733919175</v>
      </c>
      <c r="N5895">
        <v>48.710319686211598</v>
      </c>
      <c r="O5895">
        <v>47.774411568692699</v>
      </c>
      <c r="P5895">
        <v>-0.108690282972407</v>
      </c>
      <c r="Q5895">
        <v>0.126982225965106</v>
      </c>
      <c r="R5895">
        <v>0.98492398664946001</v>
      </c>
      <c r="S5895" t="s">
        <v>12463</v>
      </c>
      <c r="T5895" t="s">
        <v>13134</v>
      </c>
      <c r="U5895" t="s">
        <v>13134</v>
      </c>
      <c r="V5895" t="s">
        <v>13134</v>
      </c>
      <c r="W5895" t="s">
        <v>18962</v>
      </c>
      <c r="X5895">
        <v>8</v>
      </c>
      <c r="Y5895" t="s">
        <v>25323</v>
      </c>
      <c r="Z5895" t="s">
        <v>31863</v>
      </c>
      <c r="AA5895">
        <v>0.45851766269007621</v>
      </c>
      <c r="AB5895" t="str">
        <f>HYPERLINK("Melting_Curves/meltCurve_Q9NUQ7_UFSP2.pdf", "Melting_Curves/meltCurve_Q9NUQ7_UFSP2.pdf")</f>
        <v>Melting_Curves/meltCurve_Q9NUQ7_UFSP2.pdf</v>
      </c>
    </row>
    <row r="5896" spans="1:28" x14ac:dyDescent="0.25">
      <c r="A5896" t="s">
        <v>5900</v>
      </c>
      <c r="B5896">
        <v>0.99472303558308395</v>
      </c>
      <c r="C5896">
        <v>0.920983633093715</v>
      </c>
      <c r="D5896">
        <v>0.689441038858567</v>
      </c>
      <c r="E5896">
        <v>0.22365668463334501</v>
      </c>
      <c r="F5896">
        <v>0.136099581055213</v>
      </c>
      <c r="G5896">
        <v>6.7784743814463796E-2</v>
      </c>
      <c r="H5896">
        <v>4.4712824430497698E-2</v>
      </c>
      <c r="I5896">
        <v>3.5435961067517903E-2</v>
      </c>
      <c r="J5896">
        <v>3.7400190214640999E-2</v>
      </c>
      <c r="K5896">
        <v>3.1836139227523999E-2</v>
      </c>
      <c r="L5896">
        <v>1078.24204402335</v>
      </c>
      <c r="M5896">
        <v>24.418829110427499</v>
      </c>
      <c r="N5896">
        <v>44.325977492992301</v>
      </c>
      <c r="O5896">
        <v>43.863219446762898</v>
      </c>
      <c r="P5896">
        <v>-0.13296357797407099</v>
      </c>
      <c r="Q5896">
        <v>4.4650984371887401E-2</v>
      </c>
      <c r="R5896">
        <v>0.99737297649227696</v>
      </c>
      <c r="S5896" t="s">
        <v>12464</v>
      </c>
      <c r="T5896" t="s">
        <v>13134</v>
      </c>
      <c r="U5896" t="s">
        <v>13134</v>
      </c>
      <c r="V5896" t="s">
        <v>13134</v>
      </c>
      <c r="W5896" t="s">
        <v>18963</v>
      </c>
      <c r="X5896">
        <v>21</v>
      </c>
      <c r="Y5896" t="s">
        <v>25324</v>
      </c>
      <c r="Z5896" t="s">
        <v>31864</v>
      </c>
      <c r="AA5896">
        <v>0.28078589249316438</v>
      </c>
      <c r="AB5896" t="str">
        <f>HYPERLINK("Melting_Curves/meltCurve_Q9NUQ8_ABCF3.pdf", "Melting_Curves/meltCurve_Q9NUQ8_ABCF3.pdf")</f>
        <v>Melting_Curves/meltCurve_Q9NUQ8_ABCF3.pdf</v>
      </c>
    </row>
    <row r="5897" spans="1:28" x14ac:dyDescent="0.25">
      <c r="A5897" t="s">
        <v>5901</v>
      </c>
      <c r="B5897">
        <v>0.99472303558308395</v>
      </c>
      <c r="C5897">
        <v>1.0236784817460101</v>
      </c>
      <c r="D5897">
        <v>0.98644222279144</v>
      </c>
      <c r="E5897">
        <v>0.94072034600081</v>
      </c>
      <c r="F5897">
        <v>0.77108636397910602</v>
      </c>
      <c r="G5897">
        <v>0.42243330735895501</v>
      </c>
      <c r="H5897">
        <v>0.120525328312254</v>
      </c>
      <c r="I5897">
        <v>7.0102463765396097E-2</v>
      </c>
      <c r="J5897">
        <v>9.1379437390275403E-2</v>
      </c>
      <c r="K5897">
        <v>5.2594409750255297E-2</v>
      </c>
      <c r="L5897">
        <v>1296.1407705608899</v>
      </c>
      <c r="M5897">
        <v>24.6354461693114</v>
      </c>
      <c r="N5897">
        <v>52.834463743867801</v>
      </c>
      <c r="O5897">
        <v>52.269819453260801</v>
      </c>
      <c r="P5897">
        <v>-0.112045177085526</v>
      </c>
      <c r="Q5897">
        <v>4.9093751382403399E-2</v>
      </c>
      <c r="R5897">
        <v>0.99755437362910804</v>
      </c>
      <c r="S5897" t="s">
        <v>12465</v>
      </c>
      <c r="T5897" t="s">
        <v>13134</v>
      </c>
      <c r="U5897" t="s">
        <v>13134</v>
      </c>
      <c r="V5897" t="s">
        <v>13134</v>
      </c>
      <c r="W5897" t="s">
        <v>18964</v>
      </c>
      <c r="X5897">
        <v>14</v>
      </c>
      <c r="Y5897" t="s">
        <v>25325</v>
      </c>
      <c r="Z5897" t="s">
        <v>31865</v>
      </c>
      <c r="AA5897">
        <v>0.55260985071942492</v>
      </c>
      <c r="AB5897" t="str">
        <f>HYPERLINK("Melting_Curves/meltCurve_Q9NUQ9_FAM49B.pdf", "Melting_Curves/meltCurve_Q9NUQ9_FAM49B.pdf")</f>
        <v>Melting_Curves/meltCurve_Q9NUQ9_FAM49B.pdf</v>
      </c>
    </row>
    <row r="5898" spans="1:28" x14ac:dyDescent="0.25">
      <c r="A5898" t="s">
        <v>5902</v>
      </c>
      <c r="B5898">
        <v>0.99472303558308395</v>
      </c>
      <c r="C5898">
        <v>1.0180671495351099</v>
      </c>
      <c r="D5898">
        <v>0.91018095344720196</v>
      </c>
      <c r="E5898">
        <v>0.631245919151045</v>
      </c>
      <c r="F5898">
        <v>0.49837172301626698</v>
      </c>
      <c r="G5898">
        <v>0.329544790277771</v>
      </c>
      <c r="H5898">
        <v>3.9392763598264303E-2</v>
      </c>
      <c r="I5898">
        <v>5.2310268165297401E-2</v>
      </c>
      <c r="J5898">
        <v>6.0550825564399197E-2</v>
      </c>
      <c r="K5898">
        <v>0.124642258886388</v>
      </c>
      <c r="L5898">
        <v>704.417029930387</v>
      </c>
      <c r="M5898">
        <v>14.288222808778</v>
      </c>
      <c r="N5898">
        <v>49.521849890761303</v>
      </c>
      <c r="O5898">
        <v>48.364984993337899</v>
      </c>
      <c r="P5898">
        <v>-7.1580659665682306E-2</v>
      </c>
      <c r="Q5898">
        <v>3.0929271894369399E-2</v>
      </c>
      <c r="R5898">
        <v>0.97715983986511001</v>
      </c>
      <c r="S5898" t="s">
        <v>12466</v>
      </c>
      <c r="T5898" t="s">
        <v>13134</v>
      </c>
      <c r="U5898" t="s">
        <v>13134</v>
      </c>
      <c r="V5898" t="s">
        <v>13134</v>
      </c>
      <c r="W5898" t="s">
        <v>18965</v>
      </c>
      <c r="X5898">
        <v>2</v>
      </c>
      <c r="Y5898" t="s">
        <v>25326</v>
      </c>
      <c r="Z5898" t="s">
        <v>31866</v>
      </c>
      <c r="AA5898">
        <v>0.45051958608243747</v>
      </c>
      <c r="AB5898" t="str">
        <f>HYPERLINK("Melting_Curves/meltCurve_Q9NUS5_AP5S1.pdf", "Melting_Curves/meltCurve_Q9NUS5_AP5S1.pdf")</f>
        <v>Melting_Curves/meltCurve_Q9NUS5_AP5S1.pdf</v>
      </c>
    </row>
    <row r="5899" spans="1:28" x14ac:dyDescent="0.25">
      <c r="A5899" t="s">
        <v>5903</v>
      </c>
      <c r="B5899">
        <v>0.99472303558308395</v>
      </c>
      <c r="C5899">
        <v>0.87808461953531203</v>
      </c>
      <c r="D5899">
        <v>1.00797486847652</v>
      </c>
      <c r="E5899">
        <v>0.82844413910489001</v>
      </c>
      <c r="F5899">
        <v>0.37452989085337501</v>
      </c>
      <c r="G5899">
        <v>0.118639460831455</v>
      </c>
      <c r="H5899">
        <v>6.4757332548555299E-2</v>
      </c>
      <c r="I5899">
        <v>5.0744181048897101E-2</v>
      </c>
      <c r="J5899">
        <v>5.8913948355412298E-2</v>
      </c>
      <c r="K5899">
        <v>4.5708990765827497E-2</v>
      </c>
      <c r="L5899">
        <v>1421.3313477342299</v>
      </c>
      <c r="M5899">
        <v>28.9728496210782</v>
      </c>
      <c r="N5899">
        <v>49.237780394588597</v>
      </c>
      <c r="O5899">
        <v>48.825427433259698</v>
      </c>
      <c r="P5899">
        <v>-0.14087892997192999</v>
      </c>
      <c r="Q5899">
        <v>5.0362992693362398E-2</v>
      </c>
      <c r="R5899">
        <v>0.99088711951252895</v>
      </c>
      <c r="S5899" t="s">
        <v>12467</v>
      </c>
      <c r="T5899" t="s">
        <v>13134</v>
      </c>
      <c r="U5899" t="s">
        <v>13134</v>
      </c>
      <c r="V5899" t="s">
        <v>13134</v>
      </c>
      <c r="W5899" t="s">
        <v>18966</v>
      </c>
      <c r="X5899">
        <v>30</v>
      </c>
      <c r="Y5899" t="s">
        <v>25327</v>
      </c>
      <c r="Z5899" t="s">
        <v>31867</v>
      </c>
      <c r="AA5899">
        <v>0.43817847028858931</v>
      </c>
      <c r="AB5899" t="str">
        <f>HYPERLINK("Melting_Curves/meltCurve_Q9NUU7_DDX19A.pdf", "Melting_Curves/meltCurve_Q9NUU7_DDX19A.pdf")</f>
        <v>Melting_Curves/meltCurve_Q9NUU7_DDX19A.pdf</v>
      </c>
    </row>
    <row r="5900" spans="1:28" x14ac:dyDescent="0.25">
      <c r="A5900" t="s">
        <v>5904</v>
      </c>
      <c r="B5900">
        <v>0.99472303558308395</v>
      </c>
      <c r="C5900">
        <v>1.04322737764308</v>
      </c>
      <c r="D5900">
        <v>0.96243237948527705</v>
      </c>
      <c r="E5900">
        <v>0.67267153119984702</v>
      </c>
      <c r="F5900">
        <v>0.23836695995028701</v>
      </c>
      <c r="G5900">
        <v>0.129521119985058</v>
      </c>
      <c r="H5900">
        <v>8.0280404792097998E-2</v>
      </c>
      <c r="I5900">
        <v>4.5490295104377902E-2</v>
      </c>
      <c r="J5900">
        <v>8.2221643142904699E-2</v>
      </c>
      <c r="K5900">
        <v>8.2277596022694202E-2</v>
      </c>
      <c r="L5900">
        <v>1374.33061422476</v>
      </c>
      <c r="M5900">
        <v>28.882766713404301</v>
      </c>
      <c r="N5900">
        <v>47.851923266794302</v>
      </c>
      <c r="O5900">
        <v>47.356739812446101</v>
      </c>
      <c r="P5900">
        <v>-0.141055620937627</v>
      </c>
      <c r="Q5900">
        <v>7.4897441171964493E-2</v>
      </c>
      <c r="R5900">
        <v>0.99771526670245003</v>
      </c>
      <c r="S5900" t="s">
        <v>12468</v>
      </c>
      <c r="T5900" t="s">
        <v>13134</v>
      </c>
      <c r="U5900" t="s">
        <v>13134</v>
      </c>
      <c r="V5900" t="s">
        <v>13134</v>
      </c>
      <c r="W5900" t="s">
        <v>18967</v>
      </c>
      <c r="X5900">
        <v>6</v>
      </c>
      <c r="Y5900" t="s">
        <v>25328</v>
      </c>
      <c r="Z5900" t="s">
        <v>31868</v>
      </c>
      <c r="AA5900">
        <v>0.40711264580245948</v>
      </c>
      <c r="AB5900" t="str">
        <f>HYPERLINK("Melting_Curves/meltCurve_Q9NUW8_TDP1.pdf", "Melting_Curves/meltCurve_Q9NUW8_TDP1.pdf")</f>
        <v>Melting_Curves/meltCurve_Q9NUW8_TDP1.pdf</v>
      </c>
    </row>
    <row r="5901" spans="1:28" x14ac:dyDescent="0.25">
      <c r="A5901" t="s">
        <v>5905</v>
      </c>
      <c r="B5901">
        <v>0.99472303558308395</v>
      </c>
      <c r="C5901">
        <v>1.052562470787</v>
      </c>
      <c r="D5901">
        <v>0.97103409164329302</v>
      </c>
      <c r="E5901">
        <v>0.75615324936270401</v>
      </c>
      <c r="F5901">
        <v>0.35618672480498398</v>
      </c>
      <c r="G5901">
        <v>0.17006607910166699</v>
      </c>
      <c r="H5901">
        <v>0.108516140622438</v>
      </c>
      <c r="I5901">
        <v>7.8891420751507804E-2</v>
      </c>
      <c r="J5901">
        <v>9.7203028692445098E-2</v>
      </c>
      <c r="K5901">
        <v>5.9997230347589497E-2</v>
      </c>
      <c r="L5901">
        <v>1201.4347711668599</v>
      </c>
      <c r="M5901">
        <v>24.751613899956901</v>
      </c>
      <c r="N5901">
        <v>48.889069670227798</v>
      </c>
      <c r="O5901">
        <v>48.2261465253765</v>
      </c>
      <c r="P5901">
        <v>-0.117909787258464</v>
      </c>
      <c r="Q5901">
        <v>8.1069321001991101E-2</v>
      </c>
      <c r="R5901">
        <v>0.99734722984630897</v>
      </c>
      <c r="S5901" t="s">
        <v>12469</v>
      </c>
      <c r="T5901" t="s">
        <v>13134</v>
      </c>
      <c r="U5901" t="s">
        <v>13134</v>
      </c>
      <c r="V5901" t="s">
        <v>13134</v>
      </c>
      <c r="W5901" t="s">
        <v>18968</v>
      </c>
      <c r="X5901">
        <v>5</v>
      </c>
      <c r="Y5901" t="s">
        <v>25329</v>
      </c>
      <c r="Z5901" t="s">
        <v>31869</v>
      </c>
      <c r="AA5901">
        <v>0.44258784216420988</v>
      </c>
      <c r="AB5901" t="str">
        <f>HYPERLINK("Melting_Curves/meltCurve_Q9NUY8_TBC1D23.pdf", "Melting_Curves/meltCurve_Q9NUY8_TBC1D23.pdf")</f>
        <v>Melting_Curves/meltCurve_Q9NUY8_TBC1D23.pdf</v>
      </c>
    </row>
    <row r="5902" spans="1:28" x14ac:dyDescent="0.25">
      <c r="A5902" t="s">
        <v>5906</v>
      </c>
      <c r="B5902">
        <v>0.99472303558308395</v>
      </c>
      <c r="C5902">
        <v>1.01021734340763</v>
      </c>
      <c r="D5902">
        <v>1.0727634089518101</v>
      </c>
      <c r="E5902">
        <v>1.2397414280022101</v>
      </c>
      <c r="F5902">
        <v>0.89618864997880798</v>
      </c>
      <c r="G5902">
        <v>0.49016414767201899</v>
      </c>
      <c r="H5902">
        <v>0.23846012185696799</v>
      </c>
      <c r="I5902">
        <v>0.111428262229173</v>
      </c>
      <c r="J5902">
        <v>8.3466402984345101E-2</v>
      </c>
      <c r="K5902">
        <v>8.1857812441167493E-2</v>
      </c>
      <c r="L5902">
        <v>1718.2856735115699</v>
      </c>
      <c r="M5902">
        <v>32.0914679648941</v>
      </c>
      <c r="N5902">
        <v>53.899030693654502</v>
      </c>
      <c r="O5902">
        <v>53.336755540406102</v>
      </c>
      <c r="P5902">
        <v>-0.136067067082184</v>
      </c>
      <c r="Q5902">
        <v>9.5418203900886997E-2</v>
      </c>
      <c r="R5902">
        <v>0.96415449288954902</v>
      </c>
      <c r="S5902" t="s">
        <v>12470</v>
      </c>
      <c r="T5902" t="s">
        <v>13134</v>
      </c>
      <c r="U5902" t="s">
        <v>13134</v>
      </c>
      <c r="V5902" t="s">
        <v>13134</v>
      </c>
      <c r="W5902" t="s">
        <v>18969</v>
      </c>
      <c r="X5902">
        <v>8</v>
      </c>
      <c r="Y5902" t="s">
        <v>25330</v>
      </c>
      <c r="Z5902" t="s">
        <v>31870</v>
      </c>
      <c r="AA5902">
        <v>0.59933897889494503</v>
      </c>
      <c r="AB5902" t="str">
        <f>HYPERLINK("Melting_Curves/meltCurve_Q9NV06_DCAF13.pdf", "Melting_Curves/meltCurve_Q9NV06_DCAF13.pdf")</f>
        <v>Melting_Curves/meltCurve_Q9NV06_DCAF13.pdf</v>
      </c>
    </row>
    <row r="5903" spans="1:28" x14ac:dyDescent="0.25">
      <c r="A5903" t="s">
        <v>5907</v>
      </c>
      <c r="B5903">
        <v>0.99472303558308395</v>
      </c>
      <c r="C5903">
        <v>0.93879948400615498</v>
      </c>
      <c r="D5903">
        <v>0.81477439093600901</v>
      </c>
      <c r="E5903">
        <v>0.68716970149612999</v>
      </c>
      <c r="F5903">
        <v>0.39588617307311502</v>
      </c>
      <c r="G5903">
        <v>0.211102820392402</v>
      </c>
      <c r="H5903">
        <v>0.148174166943497</v>
      </c>
      <c r="I5903">
        <v>8.1639414545032707E-2</v>
      </c>
      <c r="J5903">
        <v>4.9568362691505698E-2</v>
      </c>
      <c r="K5903">
        <v>5.08508207765241E-2</v>
      </c>
      <c r="L5903">
        <v>639.57169957851204</v>
      </c>
      <c r="M5903">
        <v>13.1580416716331</v>
      </c>
      <c r="N5903">
        <v>48.739201928216701</v>
      </c>
      <c r="O5903">
        <v>47.5253276993299</v>
      </c>
      <c r="P5903">
        <v>-6.8013174105317403E-2</v>
      </c>
      <c r="Q5903">
        <v>1.7542655911752698E-2</v>
      </c>
      <c r="R5903">
        <v>0.99682312812889196</v>
      </c>
      <c r="S5903" t="s">
        <v>12471</v>
      </c>
      <c r="T5903" t="s">
        <v>13134</v>
      </c>
      <c r="U5903" t="s">
        <v>13134</v>
      </c>
      <c r="V5903" t="s">
        <v>13134</v>
      </c>
      <c r="W5903" t="s">
        <v>18970</v>
      </c>
      <c r="X5903">
        <v>1</v>
      </c>
      <c r="Y5903" t="s">
        <v>25331</v>
      </c>
      <c r="Z5903" t="s">
        <v>31871</v>
      </c>
      <c r="AA5903">
        <v>0.42379241871739243</v>
      </c>
      <c r="AB5903" t="str">
        <f>HYPERLINK("Melting_Curves/meltCurve_Q9NV31_IMP3.pdf", "Melting_Curves/meltCurve_Q9NV31_IMP3.pdf")</f>
        <v>Melting_Curves/meltCurve_Q9NV31_IMP3.pdf</v>
      </c>
    </row>
    <row r="5904" spans="1:28" x14ac:dyDescent="0.25">
      <c r="A5904" t="s">
        <v>5908</v>
      </c>
      <c r="B5904">
        <v>0.99472303558308395</v>
      </c>
      <c r="C5904">
        <v>0.94053761906793598</v>
      </c>
      <c r="D5904">
        <v>0.91009553539853305</v>
      </c>
      <c r="E5904">
        <v>0.78009492013366599</v>
      </c>
      <c r="F5904">
        <v>0.62346131525798798</v>
      </c>
      <c r="G5904">
        <v>0.370911386047511</v>
      </c>
      <c r="H5904">
        <v>0.207123464985771</v>
      </c>
      <c r="I5904">
        <v>0.10631524253733</v>
      </c>
      <c r="J5904">
        <v>8.4842277387169499E-2</v>
      </c>
      <c r="K5904">
        <v>6.9103023907661196E-2</v>
      </c>
      <c r="L5904">
        <v>644.48821730256304</v>
      </c>
      <c r="M5904">
        <v>12.4866444776334</v>
      </c>
      <c r="N5904">
        <v>51.614204110474198</v>
      </c>
      <c r="O5904">
        <v>50.344022896694298</v>
      </c>
      <c r="P5904">
        <v>-6.2019403013118E-2</v>
      </c>
      <c r="Q5904">
        <v>0</v>
      </c>
      <c r="R5904">
        <v>0.997094341217173</v>
      </c>
      <c r="S5904" t="s">
        <v>12472</v>
      </c>
      <c r="T5904" t="s">
        <v>13134</v>
      </c>
      <c r="U5904" t="s">
        <v>13134</v>
      </c>
      <c r="V5904" t="s">
        <v>13134</v>
      </c>
      <c r="W5904" t="s">
        <v>18971</v>
      </c>
      <c r="X5904">
        <v>4</v>
      </c>
      <c r="Y5904" t="s">
        <v>25332</v>
      </c>
      <c r="Z5904" t="s">
        <v>31872</v>
      </c>
      <c r="AA5904">
        <v>0.51094962725414783</v>
      </c>
      <c r="AB5904" t="str">
        <f>HYPERLINK("Melting_Curves/meltCurve_Q9NV35_NUDT15.pdf", "Melting_Curves/meltCurve_Q9NV35_NUDT15.pdf")</f>
        <v>Melting_Curves/meltCurve_Q9NV35_NUDT15.pdf</v>
      </c>
    </row>
    <row r="5905" spans="1:28" x14ac:dyDescent="0.25">
      <c r="A5905" t="s">
        <v>5909</v>
      </c>
      <c r="B5905">
        <v>0.99472303558308395</v>
      </c>
      <c r="C5905">
        <v>0.92033861685961704</v>
      </c>
      <c r="D5905">
        <v>0.85908239974671996</v>
      </c>
      <c r="E5905">
        <v>0.58642874928050903</v>
      </c>
      <c r="F5905">
        <v>0.41484736587640397</v>
      </c>
      <c r="G5905">
        <v>0.20096986515602999</v>
      </c>
      <c r="H5905">
        <v>0.107489965977646</v>
      </c>
      <c r="I5905">
        <v>6.2202905006433599E-2</v>
      </c>
      <c r="J5905">
        <v>6.6894705531416604E-2</v>
      </c>
      <c r="K5905">
        <v>6.8164366044758395E-2</v>
      </c>
      <c r="L5905">
        <v>655.05099128414395</v>
      </c>
      <c r="M5905">
        <v>13.630217221148399</v>
      </c>
      <c r="N5905">
        <v>48.267729715145201</v>
      </c>
      <c r="O5905">
        <v>47.059665579824497</v>
      </c>
      <c r="P5905">
        <v>-7.0344686970374798E-2</v>
      </c>
      <c r="Q5905">
        <v>2.8654895405580201E-2</v>
      </c>
      <c r="R5905">
        <v>0.99651745457145902</v>
      </c>
      <c r="S5905" t="s">
        <v>12473</v>
      </c>
      <c r="T5905" t="s">
        <v>13134</v>
      </c>
      <c r="U5905" t="s">
        <v>13134</v>
      </c>
      <c r="V5905" t="s">
        <v>13134</v>
      </c>
      <c r="W5905" t="s">
        <v>18972</v>
      </c>
      <c r="X5905">
        <v>3</v>
      </c>
      <c r="Y5905" t="s">
        <v>25333</v>
      </c>
      <c r="Z5905" t="s">
        <v>31873</v>
      </c>
      <c r="AA5905">
        <v>0.41169592535612493</v>
      </c>
      <c r="AB5905" t="str">
        <f>HYPERLINK("Melting_Curves/meltCurve_Q9NV56_MRGBP.pdf", "Melting_Curves/meltCurve_Q9NV56_MRGBP.pdf")</f>
        <v>Melting_Curves/meltCurve_Q9NV56_MRGBP.pdf</v>
      </c>
    </row>
    <row r="5906" spans="1:28" x14ac:dyDescent="0.25">
      <c r="A5906" t="s">
        <v>5910</v>
      </c>
      <c r="B5906">
        <v>0.99472303558308395</v>
      </c>
      <c r="C5906">
        <v>0.93515166440015696</v>
      </c>
      <c r="D5906">
        <v>0.87059966920512799</v>
      </c>
      <c r="E5906">
        <v>0.69022005030905398</v>
      </c>
      <c r="F5906">
        <v>0.37207894460878399</v>
      </c>
      <c r="G5906">
        <v>0.14225068281533501</v>
      </c>
      <c r="H5906">
        <v>7.5578325409303801E-2</v>
      </c>
      <c r="I5906">
        <v>5.4681902339607499E-2</v>
      </c>
      <c r="J5906">
        <v>7.095196365183E-2</v>
      </c>
      <c r="K5906">
        <v>5.9927775537206199E-2</v>
      </c>
      <c r="L5906">
        <v>853.33199409289398</v>
      </c>
      <c r="M5906">
        <v>17.6810243236812</v>
      </c>
      <c r="N5906">
        <v>48.478428737305698</v>
      </c>
      <c r="O5906">
        <v>47.657914828994699</v>
      </c>
      <c r="P5906">
        <v>-8.9243732116188704E-2</v>
      </c>
      <c r="Q5906">
        <v>3.7850984153664502E-2</v>
      </c>
      <c r="R5906">
        <v>0.99637894125215198</v>
      </c>
      <c r="S5906" t="s">
        <v>12474</v>
      </c>
      <c r="T5906" t="s">
        <v>13134</v>
      </c>
      <c r="U5906" t="s">
        <v>13134</v>
      </c>
      <c r="V5906" t="s">
        <v>13134</v>
      </c>
      <c r="W5906" t="s">
        <v>18973</v>
      </c>
      <c r="X5906">
        <v>11</v>
      </c>
      <c r="Y5906" t="s">
        <v>25334</v>
      </c>
      <c r="Z5906" t="s">
        <v>31874</v>
      </c>
      <c r="AA5906">
        <v>0.41492339718630661</v>
      </c>
      <c r="AB5906" t="str">
        <f>HYPERLINK("Melting_Curves/meltCurve_Q9NV66_TYW1.pdf", "Melting_Curves/meltCurve_Q9NV66_TYW1.pdf")</f>
        <v>Melting_Curves/meltCurve_Q9NV66_TYW1.pdf</v>
      </c>
    </row>
    <row r="5907" spans="1:28" x14ac:dyDescent="0.25">
      <c r="A5907" t="s">
        <v>5911</v>
      </c>
      <c r="B5907">
        <v>0.99472303558308395</v>
      </c>
      <c r="C5907">
        <v>0.91425492491827098</v>
      </c>
      <c r="D5907">
        <v>0.75656071575156403</v>
      </c>
      <c r="E5907">
        <v>0.47808631709654098</v>
      </c>
      <c r="F5907">
        <v>0.219872543080878</v>
      </c>
      <c r="G5907">
        <v>0.122936313547663</v>
      </c>
      <c r="H5907">
        <v>9.0976539592556693E-2</v>
      </c>
      <c r="I5907">
        <v>5.66628022908474E-2</v>
      </c>
      <c r="J5907">
        <v>0.12314050212073099</v>
      </c>
      <c r="K5907">
        <v>4.6398032783359897E-2</v>
      </c>
      <c r="L5907">
        <v>775.97342931541698</v>
      </c>
      <c r="M5907">
        <v>16.962977610140499</v>
      </c>
      <c r="N5907">
        <v>46.112259991605903</v>
      </c>
      <c r="O5907">
        <v>45.123550122393802</v>
      </c>
      <c r="P5907">
        <v>-8.8049724775863106E-2</v>
      </c>
      <c r="Q5907">
        <v>6.3167123090615507E-2</v>
      </c>
      <c r="R5907">
        <v>0.99639170351346196</v>
      </c>
      <c r="S5907" t="s">
        <v>12475</v>
      </c>
      <c r="T5907" t="s">
        <v>13134</v>
      </c>
      <c r="U5907" t="s">
        <v>13134</v>
      </c>
      <c r="V5907" t="s">
        <v>13134</v>
      </c>
      <c r="W5907" t="s">
        <v>18974</v>
      </c>
      <c r="X5907">
        <v>13</v>
      </c>
      <c r="Y5907" t="s">
        <v>25335</v>
      </c>
      <c r="Z5907" t="s">
        <v>31875</v>
      </c>
      <c r="AA5907">
        <v>0.35335769841342007</v>
      </c>
      <c r="AB5907" t="str">
        <f>HYPERLINK("Melting_Curves/meltCurve_Q9NV70_2_EXOC1.pdf", "Melting_Curves/meltCurve_Q9NV70_2_EXOC1.pdf")</f>
        <v>Melting_Curves/meltCurve_Q9NV70_2_EXOC1.pdf</v>
      </c>
    </row>
    <row r="5908" spans="1:28" x14ac:dyDescent="0.25">
      <c r="A5908" t="s">
        <v>5912</v>
      </c>
      <c r="B5908">
        <v>0.99472303558308395</v>
      </c>
      <c r="C5908">
        <v>0.98730194460202403</v>
      </c>
      <c r="D5908">
        <v>0.92756203869434795</v>
      </c>
      <c r="E5908">
        <v>0.78407050250659205</v>
      </c>
      <c r="F5908">
        <v>0.63010529976778495</v>
      </c>
      <c r="G5908">
        <v>0.41356132269128398</v>
      </c>
      <c r="H5908">
        <v>0.250822824900368</v>
      </c>
      <c r="I5908">
        <v>0.240473558659967</v>
      </c>
      <c r="J5908">
        <v>0.27766598994057301</v>
      </c>
      <c r="K5908">
        <v>0.22192616923149</v>
      </c>
      <c r="L5908">
        <v>769.39749420570797</v>
      </c>
      <c r="M5908">
        <v>15.3753172537412</v>
      </c>
      <c r="N5908">
        <v>51.837755815582398</v>
      </c>
      <c r="O5908">
        <v>49.217491789815398</v>
      </c>
      <c r="P5908">
        <v>-6.1973183576013099E-2</v>
      </c>
      <c r="Q5908">
        <v>0.20655036263354501</v>
      </c>
      <c r="R5908">
        <v>0.99277391197651998</v>
      </c>
      <c r="S5908" t="s">
        <v>12476</v>
      </c>
      <c r="T5908" t="s">
        <v>13134</v>
      </c>
      <c r="U5908" t="s">
        <v>13134</v>
      </c>
      <c r="V5908" t="s">
        <v>13134</v>
      </c>
      <c r="W5908" t="s">
        <v>18975</v>
      </c>
      <c r="X5908">
        <v>7</v>
      </c>
      <c r="Y5908" t="s">
        <v>25336</v>
      </c>
      <c r="Z5908" t="s">
        <v>31876</v>
      </c>
      <c r="AA5908">
        <v>0.56744292384041195</v>
      </c>
      <c r="AB5908" t="str">
        <f>HYPERLINK("Melting_Curves/meltCurve_Q9NV96_2_TMEM30A.pdf", "Melting_Curves/meltCurve_Q9NV96_2_TMEM30A.pdf")</f>
        <v>Melting_Curves/meltCurve_Q9NV96_2_TMEM30A.pdf</v>
      </c>
    </row>
    <row r="5909" spans="1:28" x14ac:dyDescent="0.25">
      <c r="A5909" t="s">
        <v>5913</v>
      </c>
      <c r="B5909">
        <v>0.99472303558308395</v>
      </c>
      <c r="C5909">
        <v>0.88976607365236204</v>
      </c>
      <c r="D5909">
        <v>1.0324397384892401</v>
      </c>
      <c r="E5909">
        <v>0.92986187989281499</v>
      </c>
      <c r="F5909">
        <v>0.55959721611837598</v>
      </c>
      <c r="G5909">
        <v>0.43863187088308098</v>
      </c>
      <c r="H5909">
        <v>0.25252489518772397</v>
      </c>
      <c r="I5909">
        <v>0.14828815480768401</v>
      </c>
      <c r="J5909">
        <v>0.107901857553479</v>
      </c>
      <c r="K5909">
        <v>0.12741271462589501</v>
      </c>
      <c r="L5909">
        <v>873.81516963671595</v>
      </c>
      <c r="M5909">
        <v>16.9823293497221</v>
      </c>
      <c r="N5909">
        <v>52.1487883765896</v>
      </c>
      <c r="O5909">
        <v>50.7567921124989</v>
      </c>
      <c r="P5909">
        <v>-7.5185604276573795E-2</v>
      </c>
      <c r="Q5909">
        <v>0.101196727198931</v>
      </c>
      <c r="R5909">
        <v>0.97809019943325104</v>
      </c>
      <c r="S5909" t="s">
        <v>12477</v>
      </c>
      <c r="T5909" t="s">
        <v>13134</v>
      </c>
      <c r="U5909" t="s">
        <v>13134</v>
      </c>
      <c r="V5909" t="s">
        <v>13134</v>
      </c>
      <c r="W5909" t="s">
        <v>18976</v>
      </c>
      <c r="X5909">
        <v>3</v>
      </c>
      <c r="Y5909" t="s">
        <v>25337</v>
      </c>
      <c r="Z5909" t="s">
        <v>31877</v>
      </c>
      <c r="AA5909">
        <v>0.54927121904849707</v>
      </c>
      <c r="AB5909" t="str">
        <f>HYPERLINK("Melting_Curves/meltCurve_Q9NVA1_2_UQCC.pdf", "Melting_Curves/meltCurve_Q9NVA1_2_UQCC.pdf")</f>
        <v>Melting_Curves/meltCurve_Q9NVA1_2_UQCC.pdf</v>
      </c>
    </row>
    <row r="5910" spans="1:28" x14ac:dyDescent="0.25">
      <c r="A5910" t="s">
        <v>5914</v>
      </c>
      <c r="B5910">
        <v>0.99472303558308395</v>
      </c>
      <c r="C5910">
        <v>0.95228595779527403</v>
      </c>
      <c r="D5910">
        <v>0.73265015590553595</v>
      </c>
      <c r="E5910">
        <v>0.51272459352738498</v>
      </c>
      <c r="F5910">
        <v>0.393090621845745</v>
      </c>
      <c r="G5910">
        <v>0.18271221324561099</v>
      </c>
      <c r="H5910">
        <v>0.137875462865651</v>
      </c>
      <c r="I5910">
        <v>0.109033140160136</v>
      </c>
      <c r="J5910">
        <v>9.8202470440456602E-2</v>
      </c>
      <c r="K5910">
        <v>7.5233099140932097E-2</v>
      </c>
      <c r="L5910">
        <v>600.48721271798604</v>
      </c>
      <c r="M5910">
        <v>12.8541810517854</v>
      </c>
      <c r="N5910">
        <v>47.213794496551003</v>
      </c>
      <c r="O5910">
        <v>45.628014227597298</v>
      </c>
      <c r="P5910">
        <v>-6.5972466670514707E-2</v>
      </c>
      <c r="Q5910">
        <v>6.3452692610011505E-2</v>
      </c>
      <c r="R5910">
        <v>0.99248413219087395</v>
      </c>
      <c r="S5910" t="s">
        <v>12478</v>
      </c>
      <c r="T5910" t="s">
        <v>13134</v>
      </c>
      <c r="U5910" t="s">
        <v>13134</v>
      </c>
      <c r="V5910" t="s">
        <v>13134</v>
      </c>
      <c r="W5910" t="s">
        <v>18977</v>
      </c>
      <c r="X5910">
        <v>5</v>
      </c>
      <c r="Y5910" t="s">
        <v>25338</v>
      </c>
      <c r="Z5910" t="s">
        <v>31878</v>
      </c>
      <c r="AA5910">
        <v>0.39458535017138019</v>
      </c>
      <c r="AB5910" t="str">
        <f>HYPERLINK("Melting_Curves/meltCurve_Q9NVC6_MED17.pdf", "Melting_Curves/meltCurve_Q9NVC6_MED17.pdf")</f>
        <v>Melting_Curves/meltCurve_Q9NVC6_MED17.pdf</v>
      </c>
    </row>
    <row r="5911" spans="1:28" x14ac:dyDescent="0.25">
      <c r="A5911" t="s">
        <v>5915</v>
      </c>
      <c r="B5911">
        <v>0.99472303558308395</v>
      </c>
      <c r="C5911">
        <v>0.98199899137611601</v>
      </c>
      <c r="D5911">
        <v>0.90647112177325095</v>
      </c>
      <c r="E5911">
        <v>0.83233480280529804</v>
      </c>
      <c r="F5911">
        <v>0.66065159777780402</v>
      </c>
      <c r="G5911">
        <v>0.27268345025491603</v>
      </c>
      <c r="H5911">
        <v>9.2627234274448203E-2</v>
      </c>
      <c r="I5911">
        <v>8.0635997159513195E-2</v>
      </c>
      <c r="J5911">
        <v>9.0671539139183202E-2</v>
      </c>
      <c r="K5911">
        <v>7.6710251985313394E-2</v>
      </c>
      <c r="L5911">
        <v>1037.3641341786499</v>
      </c>
      <c r="M5911">
        <v>20.342595138945601</v>
      </c>
      <c r="N5911">
        <v>51.263360385145603</v>
      </c>
      <c r="O5911">
        <v>50.5095590504271</v>
      </c>
      <c r="P5911">
        <v>-9.5598450967910101E-2</v>
      </c>
      <c r="Q5911">
        <v>5.0565802923786103E-2</v>
      </c>
      <c r="R5911">
        <v>0.99022418373383303</v>
      </c>
      <c r="S5911" t="s">
        <v>12479</v>
      </c>
      <c r="T5911" t="s">
        <v>13134</v>
      </c>
      <c r="U5911" t="s">
        <v>13134</v>
      </c>
      <c r="V5911" t="s">
        <v>13134</v>
      </c>
      <c r="W5911" t="s">
        <v>18978</v>
      </c>
      <c r="X5911">
        <v>20</v>
      </c>
      <c r="Y5911" t="s">
        <v>25339</v>
      </c>
      <c r="Z5911" t="s">
        <v>31879</v>
      </c>
      <c r="AA5911">
        <v>0.5055492903125739</v>
      </c>
      <c r="AB5911" t="str">
        <f>HYPERLINK("Melting_Curves/meltCurve_Q9NVE7_PANK4.pdf", "Melting_Curves/meltCurve_Q9NVE7_PANK4.pdf")</f>
        <v>Melting_Curves/meltCurve_Q9NVE7_PANK4.pdf</v>
      </c>
    </row>
    <row r="5912" spans="1:28" x14ac:dyDescent="0.25">
      <c r="A5912" t="s">
        <v>5916</v>
      </c>
      <c r="B5912">
        <v>0.99472303558308395</v>
      </c>
      <c r="C5912">
        <v>1.0121630920312601</v>
      </c>
      <c r="D5912">
        <v>0.80230533910714696</v>
      </c>
      <c r="E5912">
        <v>0.74467306350510698</v>
      </c>
      <c r="F5912">
        <v>0.36557087965961699</v>
      </c>
      <c r="G5912">
        <v>4.5938980199603303E-2</v>
      </c>
      <c r="H5912">
        <v>0.12839378829088299</v>
      </c>
      <c r="I5912">
        <v>0.17786323879324201</v>
      </c>
      <c r="J5912">
        <v>0</v>
      </c>
      <c r="K5912">
        <v>0</v>
      </c>
      <c r="L5912">
        <v>925.46859720252496</v>
      </c>
      <c r="M5912">
        <v>19.157720143190801</v>
      </c>
      <c r="N5912">
        <v>48.506613008394197</v>
      </c>
      <c r="O5912">
        <v>47.790740968849299</v>
      </c>
      <c r="P5912">
        <v>-9.6437604141629302E-2</v>
      </c>
      <c r="Q5912">
        <v>3.7746233356541398E-2</v>
      </c>
      <c r="R5912">
        <v>0.96707859014712605</v>
      </c>
      <c r="S5912" t="s">
        <v>12480</v>
      </c>
      <c r="T5912" t="s">
        <v>13134</v>
      </c>
      <c r="U5912" t="s">
        <v>13134</v>
      </c>
      <c r="V5912" t="s">
        <v>13134</v>
      </c>
      <c r="W5912" t="s">
        <v>18979</v>
      </c>
      <c r="X5912">
        <v>3</v>
      </c>
      <c r="Y5912" t="s">
        <v>25340</v>
      </c>
      <c r="Z5912" t="s">
        <v>31880</v>
      </c>
      <c r="AA5912">
        <v>0.41415655183376282</v>
      </c>
      <c r="AB5912" t="str">
        <f>HYPERLINK("Melting_Curves/meltCurve_Q9NVF7_FBXO28.pdf", "Melting_Curves/meltCurve_Q9NVF7_FBXO28.pdf")</f>
        <v>Melting_Curves/meltCurve_Q9NVF7_FBXO28.pdf</v>
      </c>
    </row>
    <row r="5913" spans="1:28" x14ac:dyDescent="0.25">
      <c r="A5913" t="s">
        <v>5917</v>
      </c>
      <c r="B5913">
        <v>0.99472303558308395</v>
      </c>
      <c r="C5913">
        <v>0.904752761264494</v>
      </c>
      <c r="D5913">
        <v>0.99785080275807903</v>
      </c>
      <c r="E5913">
        <v>0.88987017525078305</v>
      </c>
      <c r="F5913">
        <v>0.66371195442212505</v>
      </c>
      <c r="G5913">
        <v>0.46590378819511602</v>
      </c>
      <c r="H5913">
        <v>0.17992222335363101</v>
      </c>
      <c r="I5913">
        <v>0.134591602800987</v>
      </c>
      <c r="J5913">
        <v>0.11062229745017201</v>
      </c>
      <c r="K5913">
        <v>0.108476237677278</v>
      </c>
      <c r="L5913">
        <v>891.92583155881698</v>
      </c>
      <c r="M5913">
        <v>17.102445883081799</v>
      </c>
      <c r="N5913">
        <v>52.609463134653097</v>
      </c>
      <c r="O5913">
        <v>51.454584136502199</v>
      </c>
      <c r="P5913">
        <v>-7.73577137426609E-2</v>
      </c>
      <c r="Q5913">
        <v>6.9099561102345997E-2</v>
      </c>
      <c r="R5913">
        <v>0.98925545154582994</v>
      </c>
      <c r="S5913" t="s">
        <v>12481</v>
      </c>
      <c r="T5913" t="s">
        <v>13134</v>
      </c>
      <c r="U5913" t="s">
        <v>13134</v>
      </c>
      <c r="V5913" t="s">
        <v>13134</v>
      </c>
      <c r="W5913" t="s">
        <v>18980</v>
      </c>
      <c r="X5913">
        <v>14</v>
      </c>
      <c r="Y5913" t="s">
        <v>25341</v>
      </c>
      <c r="Z5913" t="s">
        <v>31881</v>
      </c>
      <c r="AA5913">
        <v>0.55428657132462766</v>
      </c>
      <c r="AB5913" t="str">
        <f>HYPERLINK("Melting_Curves/meltCurve_Q9NVG8_TBC1D13.pdf", "Melting_Curves/meltCurve_Q9NVG8_TBC1D13.pdf")</f>
        <v>Melting_Curves/meltCurve_Q9NVG8_TBC1D13.pdf</v>
      </c>
    </row>
    <row r="5914" spans="1:28" x14ac:dyDescent="0.25">
      <c r="A5914" t="s">
        <v>5918</v>
      </c>
      <c r="B5914">
        <v>0.99472303558308395</v>
      </c>
      <c r="C5914">
        <v>1.01764758179768</v>
      </c>
      <c r="D5914">
        <v>0.84153134229523596</v>
      </c>
      <c r="E5914">
        <v>0.63793114802194095</v>
      </c>
      <c r="F5914">
        <v>0.303649645679062</v>
      </c>
      <c r="G5914">
        <v>0.157138280657493</v>
      </c>
      <c r="H5914">
        <v>0.105212217761464</v>
      </c>
      <c r="I5914">
        <v>9.6630520200483502E-2</v>
      </c>
      <c r="J5914">
        <v>0.13536060616971399</v>
      </c>
      <c r="K5914">
        <v>9.9195738417558105E-2</v>
      </c>
      <c r="L5914">
        <v>941.62796407887902</v>
      </c>
      <c r="M5914">
        <v>19.927269542324002</v>
      </c>
      <c r="N5914">
        <v>47.764314959937103</v>
      </c>
      <c r="O5914">
        <v>46.785086892310801</v>
      </c>
      <c r="P5914">
        <v>-9.6262644162937505E-2</v>
      </c>
      <c r="Q5914">
        <v>9.6011122615704506E-2</v>
      </c>
      <c r="R5914">
        <v>0.995357522104518</v>
      </c>
      <c r="S5914" t="s">
        <v>12482</v>
      </c>
      <c r="T5914" t="s">
        <v>13134</v>
      </c>
      <c r="U5914" t="s">
        <v>13134</v>
      </c>
      <c r="V5914" t="s">
        <v>13134</v>
      </c>
      <c r="W5914" t="s">
        <v>18981</v>
      </c>
      <c r="X5914">
        <v>6</v>
      </c>
      <c r="Y5914" t="s">
        <v>25342</v>
      </c>
      <c r="Z5914" t="s">
        <v>31882</v>
      </c>
      <c r="AA5914">
        <v>0.41690015776288553</v>
      </c>
      <c r="AB5914" t="str">
        <f>HYPERLINK("Melting_Curves/meltCurve_Q9NVH0_2_EXD2.pdf", "Melting_Curves/meltCurve_Q9NVH0_2_EXD2.pdf")</f>
        <v>Melting_Curves/meltCurve_Q9NVH0_2_EXD2.pdf</v>
      </c>
    </row>
    <row r="5915" spans="1:28" x14ac:dyDescent="0.25">
      <c r="A5915" t="s">
        <v>5919</v>
      </c>
      <c r="B5915">
        <v>0.99472303558308395</v>
      </c>
      <c r="C5915">
        <v>0.92791042352521602</v>
      </c>
      <c r="D5915">
        <v>0.76535111343590301</v>
      </c>
      <c r="E5915">
        <v>0.67264405394305704</v>
      </c>
      <c r="F5915">
        <v>0.52220632515982601</v>
      </c>
      <c r="G5915">
        <v>0.22396700554455801</v>
      </c>
      <c r="H5915">
        <v>0.101487561212956</v>
      </c>
      <c r="I5915">
        <v>5.7568944743000297E-2</v>
      </c>
      <c r="J5915">
        <v>9.1352152099124104E-2</v>
      </c>
      <c r="K5915">
        <v>5.0692275576238399E-2</v>
      </c>
      <c r="L5915">
        <v>578.07374734137397</v>
      </c>
      <c r="M5915">
        <v>11.7728205068062</v>
      </c>
      <c r="N5915">
        <v>49.102394017449498</v>
      </c>
      <c r="O5915">
        <v>47.749893507298303</v>
      </c>
      <c r="P5915">
        <v>-6.1653941414751001E-2</v>
      </c>
      <c r="Q5915">
        <v>0</v>
      </c>
      <c r="R5915">
        <v>0.98410337999881503</v>
      </c>
      <c r="S5915" t="s">
        <v>12483</v>
      </c>
      <c r="T5915" t="s">
        <v>13134</v>
      </c>
      <c r="U5915" t="s">
        <v>13134</v>
      </c>
      <c r="V5915" t="s">
        <v>13134</v>
      </c>
      <c r="W5915" t="s">
        <v>18982</v>
      </c>
      <c r="X5915">
        <v>26</v>
      </c>
      <c r="Y5915" t="s">
        <v>25343</v>
      </c>
      <c r="Z5915" t="s">
        <v>31883</v>
      </c>
      <c r="AA5915">
        <v>0.43370640417419842</v>
      </c>
      <c r="AB5915" t="str">
        <f>HYPERLINK("Melting_Curves/meltCurve_Q9NVH1_3_DNAJC11.pdf", "Melting_Curves/meltCurve_Q9NVH1_3_DNAJC11.pdf")</f>
        <v>Melting_Curves/meltCurve_Q9NVH1_3_DNAJC11.pdf</v>
      </c>
    </row>
    <row r="5916" spans="1:28" x14ac:dyDescent="0.25">
      <c r="A5916" t="s">
        <v>5920</v>
      </c>
      <c r="B5916">
        <v>0.99472303558308395</v>
      </c>
      <c r="C5916">
        <v>0.912263761234684</v>
      </c>
      <c r="D5916">
        <v>0.79199763574670801</v>
      </c>
      <c r="E5916">
        <v>0.57794903682262999</v>
      </c>
      <c r="F5916">
        <v>0.363592467000241</v>
      </c>
      <c r="G5916">
        <v>0.13718151959771499</v>
      </c>
      <c r="H5916">
        <v>9.1989772438425696E-2</v>
      </c>
      <c r="I5916">
        <v>5.2322136604818797E-2</v>
      </c>
      <c r="J5916">
        <v>6.8606091434220307E-2</v>
      </c>
      <c r="K5916">
        <v>5.31868213080934E-2</v>
      </c>
      <c r="L5916">
        <v>652.157427313938</v>
      </c>
      <c r="M5916">
        <v>13.762667696730899</v>
      </c>
      <c r="N5916">
        <v>47.537232438598402</v>
      </c>
      <c r="O5916">
        <v>46.419110967028701</v>
      </c>
      <c r="P5916">
        <v>-7.2544099460599198E-2</v>
      </c>
      <c r="Q5916">
        <v>2.1423037631389402E-2</v>
      </c>
      <c r="R5916">
        <v>0.99637625494840498</v>
      </c>
      <c r="S5916" t="s">
        <v>12484</v>
      </c>
      <c r="T5916" t="s">
        <v>13134</v>
      </c>
      <c r="U5916" t="s">
        <v>13134</v>
      </c>
      <c r="V5916" t="s">
        <v>13134</v>
      </c>
      <c r="W5916" t="s">
        <v>18983</v>
      </c>
      <c r="X5916">
        <v>7</v>
      </c>
      <c r="Y5916" t="s">
        <v>25344</v>
      </c>
      <c r="Z5916" t="s">
        <v>31884</v>
      </c>
      <c r="AA5916">
        <v>0.38552087958816578</v>
      </c>
      <c r="AB5916" t="str">
        <f>HYPERLINK("Melting_Curves/meltCurve_Q9NVH2_4_INTS7.pdf", "Melting_Curves/meltCurve_Q9NVH2_4_INTS7.pdf")</f>
        <v>Melting_Curves/meltCurve_Q9NVH2_4_INTS7.pdf</v>
      </c>
    </row>
    <row r="5917" spans="1:28" x14ac:dyDescent="0.25">
      <c r="A5917" t="s">
        <v>5921</v>
      </c>
      <c r="B5917">
        <v>0.99472303558308395</v>
      </c>
      <c r="C5917">
        <v>0.99882702089974695</v>
      </c>
      <c r="D5917">
        <v>0.77734397423084001</v>
      </c>
      <c r="E5917">
        <v>0.69045994557813695</v>
      </c>
      <c r="F5917">
        <v>0.49930280075497202</v>
      </c>
      <c r="G5917">
        <v>0.38223677151313801</v>
      </c>
      <c r="H5917">
        <v>0.20745689574562701</v>
      </c>
      <c r="I5917">
        <v>0.226759709376508</v>
      </c>
      <c r="J5917">
        <v>0.158320467141641</v>
      </c>
      <c r="K5917">
        <v>8.6947881838481095E-2</v>
      </c>
      <c r="L5917">
        <v>503.68246966508002</v>
      </c>
      <c r="M5917">
        <v>10.1258314316817</v>
      </c>
      <c r="N5917">
        <v>50.326343228032499</v>
      </c>
      <c r="O5917">
        <v>47.919208262596101</v>
      </c>
      <c r="P5917">
        <v>-4.9922313623331299E-2</v>
      </c>
      <c r="Q5917">
        <v>5.5434050481383598E-2</v>
      </c>
      <c r="R5917">
        <v>0.98564641274634202</v>
      </c>
      <c r="S5917" t="s">
        <v>12485</v>
      </c>
      <c r="T5917" t="s">
        <v>13134</v>
      </c>
      <c r="U5917" t="s">
        <v>13134</v>
      </c>
      <c r="V5917" t="s">
        <v>13134</v>
      </c>
      <c r="W5917" t="s">
        <v>18984</v>
      </c>
      <c r="X5917">
        <v>1</v>
      </c>
      <c r="Y5917" t="s">
        <v>25345</v>
      </c>
      <c r="Z5917" t="s">
        <v>31885</v>
      </c>
      <c r="AA5917">
        <v>0.48907707857834298</v>
      </c>
      <c r="AB5917" t="str">
        <f>HYPERLINK("Melting_Curves/meltCurve_Q9NVH6_4_TMLHE.pdf", "Melting_Curves/meltCurve_Q9NVH6_4_TMLHE.pdf")</f>
        <v>Melting_Curves/meltCurve_Q9NVH6_4_TMLHE.pdf</v>
      </c>
    </row>
    <row r="5918" spans="1:28" x14ac:dyDescent="0.25">
      <c r="A5918" t="s">
        <v>5922</v>
      </c>
      <c r="B5918">
        <v>0.99472303558308395</v>
      </c>
      <c r="C5918">
        <v>0.92367504777064502</v>
      </c>
      <c r="D5918">
        <v>0.81771402386129999</v>
      </c>
      <c r="E5918">
        <v>0.39296638632786601</v>
      </c>
      <c r="F5918">
        <v>0.15587375510725099</v>
      </c>
      <c r="G5918">
        <v>8.9170749567236196E-2</v>
      </c>
      <c r="H5918">
        <v>7.0505830121182306E-2</v>
      </c>
      <c r="I5918">
        <v>3.3064266712743103E-2</v>
      </c>
      <c r="J5918">
        <v>5.4615854734481099E-2</v>
      </c>
      <c r="K5918">
        <v>3.2938913748177902E-2</v>
      </c>
      <c r="L5918">
        <v>1002.86056961268</v>
      </c>
      <c r="M5918">
        <v>22.024132487343199</v>
      </c>
      <c r="N5918">
        <v>45.7341055145368</v>
      </c>
      <c r="O5918">
        <v>45.164211076610499</v>
      </c>
      <c r="P5918">
        <v>-0.116330797355231</v>
      </c>
      <c r="Q5918">
        <v>4.5797312222842002E-2</v>
      </c>
      <c r="R5918">
        <v>0.99806032822915702</v>
      </c>
      <c r="S5918" t="s">
        <v>12486</v>
      </c>
      <c r="T5918" t="s">
        <v>13134</v>
      </c>
      <c r="U5918" t="s">
        <v>13134</v>
      </c>
      <c r="V5918" t="s">
        <v>13134</v>
      </c>
      <c r="W5918" t="s">
        <v>18985</v>
      </c>
      <c r="X5918">
        <v>18</v>
      </c>
      <c r="Y5918" t="s">
        <v>25346</v>
      </c>
      <c r="Z5918" t="s">
        <v>31886</v>
      </c>
      <c r="AA5918">
        <v>0.32748684148971302</v>
      </c>
      <c r="AB5918" t="str">
        <f>HYPERLINK("Melting_Curves/meltCurve_Q9NVI1_FANCI.pdf", "Melting_Curves/meltCurve_Q9NVI1_FANCI.pdf")</f>
        <v>Melting_Curves/meltCurve_Q9NVI1_FANCI.pdf</v>
      </c>
    </row>
    <row r="5919" spans="1:28" x14ac:dyDescent="0.25">
      <c r="A5919" t="s">
        <v>5923</v>
      </c>
      <c r="B5919">
        <v>0.99472303558308395</v>
      </c>
      <c r="C5919">
        <v>0.76152322575995202</v>
      </c>
      <c r="D5919">
        <v>0.68219544717751601</v>
      </c>
      <c r="E5919">
        <v>0.50853166240973502</v>
      </c>
      <c r="F5919">
        <v>0.18671586172691601</v>
      </c>
      <c r="G5919">
        <v>7.0509677281018507E-2</v>
      </c>
      <c r="H5919">
        <v>4.5330362167126603E-2</v>
      </c>
      <c r="I5919">
        <v>3.83416596851704E-2</v>
      </c>
      <c r="J5919">
        <v>4.5659909188764801E-2</v>
      </c>
      <c r="K5919">
        <v>3.5964627668801999E-2</v>
      </c>
      <c r="L5919">
        <v>581.52004959841395</v>
      </c>
      <c r="M5919">
        <v>12.793602864188999</v>
      </c>
      <c r="N5919">
        <v>45.453974169709497</v>
      </c>
      <c r="O5919">
        <v>44.386367645287301</v>
      </c>
      <c r="P5919">
        <v>-7.2071724561320993E-2</v>
      </c>
      <c r="Q5919">
        <v>0</v>
      </c>
      <c r="R5919">
        <v>0.97992183126962795</v>
      </c>
      <c r="S5919" t="s">
        <v>12487</v>
      </c>
      <c r="T5919" t="s">
        <v>13134</v>
      </c>
      <c r="U5919" t="s">
        <v>13134</v>
      </c>
      <c r="V5919" t="s">
        <v>13134</v>
      </c>
      <c r="W5919" t="s">
        <v>18986</v>
      </c>
      <c r="X5919">
        <v>40</v>
      </c>
      <c r="Y5919" t="s">
        <v>25347</v>
      </c>
      <c r="Z5919" t="s">
        <v>31887</v>
      </c>
      <c r="AA5919">
        <v>0.31343616773031202</v>
      </c>
      <c r="AB5919" t="str">
        <f>HYPERLINK("Melting_Curves/meltCurve_Q9NVI7_2_ATAD3A.pdf", "Melting_Curves/meltCurve_Q9NVI7_2_ATAD3A.pdf")</f>
        <v>Melting_Curves/meltCurve_Q9NVI7_2_ATAD3A.pdf</v>
      </c>
    </row>
    <row r="5920" spans="1:28" x14ac:dyDescent="0.25">
      <c r="A5920" t="s">
        <v>5924</v>
      </c>
      <c r="B5920">
        <v>0.99472303558308395</v>
      </c>
      <c r="C5920">
        <v>0.96255215587669896</v>
      </c>
      <c r="D5920">
        <v>0.99456415107040397</v>
      </c>
      <c r="E5920">
        <v>0.94875916171154195</v>
      </c>
      <c r="F5920">
        <v>0.66553418414807797</v>
      </c>
      <c r="G5920">
        <v>0.57286444036139905</v>
      </c>
      <c r="H5920">
        <v>0.49121300994184403</v>
      </c>
      <c r="I5920">
        <v>0.62825708283970105</v>
      </c>
      <c r="J5920">
        <v>0.79096617798806801</v>
      </c>
      <c r="K5920">
        <v>0.58559322148901205</v>
      </c>
      <c r="L5920">
        <v>2527.3940040216598</v>
      </c>
      <c r="M5920">
        <v>52.316893724158497</v>
      </c>
      <c r="O5920">
        <v>48.238915455466397</v>
      </c>
      <c r="P5920">
        <v>-0.104624264026475</v>
      </c>
      <c r="Q5920">
        <v>0.61412420150227598</v>
      </c>
      <c r="R5920">
        <v>0.85565034826170805</v>
      </c>
      <c r="S5920" t="s">
        <v>12488</v>
      </c>
      <c r="T5920" t="s">
        <v>13134</v>
      </c>
      <c r="U5920" t="s">
        <v>13134</v>
      </c>
      <c r="V5920" t="s">
        <v>13134</v>
      </c>
      <c r="W5920" t="s">
        <v>18987</v>
      </c>
      <c r="X5920">
        <v>9</v>
      </c>
      <c r="Y5920" t="s">
        <v>25348</v>
      </c>
      <c r="Z5920" t="s">
        <v>31888</v>
      </c>
      <c r="AA5920">
        <v>0.76034142598695498</v>
      </c>
      <c r="AB5920" t="str">
        <f>HYPERLINK("Melting_Curves/meltCurve_Q9NVJ2_ARL8B.pdf", "Melting_Curves/meltCurve_Q9NVJ2_ARL8B.pdf")</f>
        <v>Melting_Curves/meltCurve_Q9NVJ2_ARL8B.pdf</v>
      </c>
    </row>
    <row r="5921" spans="1:28" x14ac:dyDescent="0.25">
      <c r="A5921" t="s">
        <v>5925</v>
      </c>
      <c r="B5921">
        <v>0.99472303558308395</v>
      </c>
      <c r="C5921">
        <v>0.89710732799177695</v>
      </c>
      <c r="D5921">
        <v>0.76479334038021995</v>
      </c>
      <c r="E5921">
        <v>0.53823916214166301</v>
      </c>
      <c r="F5921">
        <v>0.306001969199233</v>
      </c>
      <c r="G5921">
        <v>0.17847798302835299</v>
      </c>
      <c r="H5921">
        <v>0.114039367117961</v>
      </c>
      <c r="I5921">
        <v>0.106663991824526</v>
      </c>
      <c r="J5921">
        <v>0.12998908875378801</v>
      </c>
      <c r="K5921">
        <v>0.100033585169821</v>
      </c>
      <c r="L5921">
        <v>674.92877521955097</v>
      </c>
      <c r="M5921">
        <v>14.5919154275983</v>
      </c>
      <c r="N5921">
        <v>46.862208650771201</v>
      </c>
      <c r="O5921">
        <v>45.4109472616951</v>
      </c>
      <c r="P5921">
        <v>-7.3406893036809404E-2</v>
      </c>
      <c r="Q5921">
        <v>8.6315549688481E-2</v>
      </c>
      <c r="R5921">
        <v>0.99758094655312501</v>
      </c>
      <c r="S5921" t="s">
        <v>12489</v>
      </c>
      <c r="T5921" t="s">
        <v>13134</v>
      </c>
      <c r="U5921" t="s">
        <v>13134</v>
      </c>
      <c r="V5921" t="s">
        <v>13134</v>
      </c>
      <c r="W5921" t="s">
        <v>18988</v>
      </c>
      <c r="X5921">
        <v>6</v>
      </c>
      <c r="Y5921" t="s">
        <v>25349</v>
      </c>
      <c r="Z5921" t="s">
        <v>31889</v>
      </c>
      <c r="AA5921">
        <v>0.39017974131881661</v>
      </c>
      <c r="AB5921" t="str">
        <f>HYPERLINK("Melting_Curves/meltCurve_Q9NVK5_FGFR1OP2.pdf", "Melting_Curves/meltCurve_Q9NVK5_FGFR1OP2.pdf")</f>
        <v>Melting_Curves/meltCurve_Q9NVK5_FGFR1OP2.pdf</v>
      </c>
    </row>
    <row r="5922" spans="1:28" x14ac:dyDescent="0.25">
      <c r="A5922" t="s">
        <v>5926</v>
      </c>
      <c r="B5922">
        <v>0.99472303558308395</v>
      </c>
      <c r="C5922">
        <v>0.86747646927520905</v>
      </c>
      <c r="D5922">
        <v>0.87820888418388099</v>
      </c>
      <c r="E5922">
        <v>0.77395851227262802</v>
      </c>
      <c r="F5922">
        <v>0.68526153777648602</v>
      </c>
      <c r="G5922">
        <v>0.62812919826561997</v>
      </c>
      <c r="H5922">
        <v>0.45933570026041398</v>
      </c>
      <c r="I5922">
        <v>0.512214029798021</v>
      </c>
      <c r="J5922">
        <v>0.65724025489211602</v>
      </c>
      <c r="K5922">
        <v>0.59261230020947897</v>
      </c>
      <c r="L5922">
        <v>547.70802640709906</v>
      </c>
      <c r="M5922">
        <v>11.941423135711901</v>
      </c>
      <c r="O5922">
        <v>44.636721694303397</v>
      </c>
      <c r="P5922">
        <v>-3.0384215539986201E-2</v>
      </c>
      <c r="Q5922">
        <v>0.54581002957105795</v>
      </c>
      <c r="R5922">
        <v>0.86474474248148103</v>
      </c>
      <c r="S5922" t="s">
        <v>12490</v>
      </c>
      <c r="T5922" t="s">
        <v>13134</v>
      </c>
      <c r="U5922" t="s">
        <v>13134</v>
      </c>
      <c r="V5922" t="s">
        <v>13134</v>
      </c>
      <c r="W5922" t="s">
        <v>18989</v>
      </c>
      <c r="X5922">
        <v>2</v>
      </c>
      <c r="Y5922" t="s">
        <v>25350</v>
      </c>
      <c r="Z5922" t="s">
        <v>31890</v>
      </c>
      <c r="AA5922">
        <v>0.69594880419275085</v>
      </c>
      <c r="AB5922" t="str">
        <f>HYPERLINK("Melting_Curves/meltCurve_Q9NVM1_EVA1B.pdf", "Melting_Curves/meltCurve_Q9NVM1_EVA1B.pdf")</f>
        <v>Melting_Curves/meltCurve_Q9NVM1_EVA1B.pdf</v>
      </c>
    </row>
    <row r="5923" spans="1:28" x14ac:dyDescent="0.25">
      <c r="A5923" t="s">
        <v>5927</v>
      </c>
      <c r="B5923">
        <v>0.99472303558308395</v>
      </c>
      <c r="C5923">
        <v>0.95761883979436702</v>
      </c>
      <c r="D5923">
        <v>0.91452829564840299</v>
      </c>
      <c r="E5923">
        <v>0.61900355098667903</v>
      </c>
      <c r="F5923">
        <v>0.263277451441574</v>
      </c>
      <c r="G5923">
        <v>0.14985383093746699</v>
      </c>
      <c r="H5923">
        <v>8.9268824525856494E-2</v>
      </c>
      <c r="I5923">
        <v>7.52348059742807E-2</v>
      </c>
      <c r="J5923">
        <v>0.10481564145252301</v>
      </c>
      <c r="K5923">
        <v>8.7971403335787596E-2</v>
      </c>
      <c r="L5923">
        <v>1082.84389637805</v>
      </c>
      <c r="M5923">
        <v>22.925226361146901</v>
      </c>
      <c r="N5923">
        <v>47.620647884367798</v>
      </c>
      <c r="O5923">
        <v>46.878726453439</v>
      </c>
      <c r="P5923">
        <v>-0.111871481302765</v>
      </c>
      <c r="Q5923">
        <v>8.4974108829537098E-2</v>
      </c>
      <c r="R5923">
        <v>0.99875246624596303</v>
      </c>
      <c r="S5923" t="s">
        <v>12491</v>
      </c>
      <c r="T5923" t="s">
        <v>13134</v>
      </c>
      <c r="U5923" t="s">
        <v>13134</v>
      </c>
      <c r="V5923" t="s">
        <v>13134</v>
      </c>
      <c r="W5923" t="s">
        <v>18990</v>
      </c>
      <c r="X5923">
        <v>13</v>
      </c>
      <c r="Y5923" t="s">
        <v>25351</v>
      </c>
      <c r="Z5923" t="s">
        <v>31891</v>
      </c>
      <c r="AA5923">
        <v>0.40627779686548898</v>
      </c>
      <c r="AB5923" t="str">
        <f>HYPERLINK("Melting_Curves/meltCurve_Q9NVM4_3_PRMT7.pdf", "Melting_Curves/meltCurve_Q9NVM4_3_PRMT7.pdf")</f>
        <v>Melting_Curves/meltCurve_Q9NVM4_3_PRMT7.pdf</v>
      </c>
    </row>
    <row r="5924" spans="1:28" x14ac:dyDescent="0.25">
      <c r="A5924" t="s">
        <v>5928</v>
      </c>
      <c r="B5924">
        <v>0.99472303558308395</v>
      </c>
      <c r="C5924">
        <v>0.96182696999281703</v>
      </c>
      <c r="D5924">
        <v>1.01873403850704</v>
      </c>
      <c r="E5924">
        <v>0.86068894883021396</v>
      </c>
      <c r="F5924">
        <v>0.52218038509456699</v>
      </c>
      <c r="G5924">
        <v>0.23156759740292901</v>
      </c>
      <c r="H5924">
        <v>8.9314711858933707E-2</v>
      </c>
      <c r="I5924">
        <v>5.9058260797157897E-2</v>
      </c>
      <c r="J5924">
        <v>6.9582162752512305E-2</v>
      </c>
      <c r="K5924">
        <v>6.5948228231257899E-2</v>
      </c>
      <c r="L5924">
        <v>1178.70845061158</v>
      </c>
      <c r="M5924">
        <v>23.486521415470399</v>
      </c>
      <c r="N5924">
        <v>50.4418872869499</v>
      </c>
      <c r="O5924">
        <v>49.827005547872503</v>
      </c>
      <c r="P5924">
        <v>-0.111238667270681</v>
      </c>
      <c r="Q5924">
        <v>5.6038294193409E-2</v>
      </c>
      <c r="R5924">
        <v>0.99797458613378998</v>
      </c>
      <c r="S5924" t="s">
        <v>12492</v>
      </c>
      <c r="T5924" t="s">
        <v>13134</v>
      </c>
      <c r="U5924" t="s">
        <v>13134</v>
      </c>
      <c r="V5924" t="s">
        <v>13134</v>
      </c>
      <c r="W5924" t="s">
        <v>18991</v>
      </c>
      <c r="X5924">
        <v>6</v>
      </c>
      <c r="Y5924" t="s">
        <v>25352</v>
      </c>
      <c r="Z5924" t="s">
        <v>31892</v>
      </c>
      <c r="AA5924">
        <v>0.48026063171527211</v>
      </c>
      <c r="AB5924" t="str">
        <f>HYPERLINK("Melting_Curves/meltCurve_Q9NVM6_DNAJC17.pdf", "Melting_Curves/meltCurve_Q9NVM6_DNAJC17.pdf")</f>
        <v>Melting_Curves/meltCurve_Q9NVM6_DNAJC17.pdf</v>
      </c>
    </row>
    <row r="5925" spans="1:28" x14ac:dyDescent="0.25">
      <c r="A5925" t="s">
        <v>5929</v>
      </c>
      <c r="B5925">
        <v>0.99472303558308395</v>
      </c>
      <c r="C5925">
        <v>0.95437021432894598</v>
      </c>
      <c r="D5925">
        <v>0.89336847035753597</v>
      </c>
      <c r="E5925">
        <v>0.73672742886977605</v>
      </c>
      <c r="F5925">
        <v>0.30553871593838899</v>
      </c>
      <c r="G5925">
        <v>0.14178633042936001</v>
      </c>
      <c r="H5925">
        <v>9.0850156456125097E-2</v>
      </c>
      <c r="I5925">
        <v>6.7506617298204896E-2</v>
      </c>
      <c r="J5925">
        <v>7.8962063960917497E-2</v>
      </c>
      <c r="K5925">
        <v>6.0644635993383801E-2</v>
      </c>
      <c r="L5925">
        <v>1103.80233581071</v>
      </c>
      <c r="M5925">
        <v>22.924118822482502</v>
      </c>
      <c r="N5925">
        <v>48.4389959052316</v>
      </c>
      <c r="O5925">
        <v>47.788345424503397</v>
      </c>
      <c r="P5925">
        <v>-0.11226860444791199</v>
      </c>
      <c r="Q5925">
        <v>6.3862975249238493E-2</v>
      </c>
      <c r="R5925">
        <v>0.99614122386958204</v>
      </c>
      <c r="S5925" t="s">
        <v>12493</v>
      </c>
      <c r="T5925" t="s">
        <v>13134</v>
      </c>
      <c r="U5925" t="s">
        <v>13134</v>
      </c>
      <c r="V5925" t="s">
        <v>13134</v>
      </c>
      <c r="W5925" t="s">
        <v>18992</v>
      </c>
      <c r="X5925">
        <v>25</v>
      </c>
      <c r="Y5925" t="s">
        <v>25353</v>
      </c>
      <c r="Z5925" t="s">
        <v>31893</v>
      </c>
      <c r="AA5925">
        <v>0.42127752301364241</v>
      </c>
      <c r="AB5925" t="str">
        <f>HYPERLINK("Melting_Curves/meltCurve_Q9NVM9_ASUN.pdf", "Melting_Curves/meltCurve_Q9NVM9_ASUN.pdf")</f>
        <v>Melting_Curves/meltCurve_Q9NVM9_ASUN.pdf</v>
      </c>
    </row>
    <row r="5926" spans="1:28" x14ac:dyDescent="0.25">
      <c r="A5926" t="s">
        <v>5930</v>
      </c>
      <c r="B5926">
        <v>0.99472303558308395</v>
      </c>
      <c r="C5926">
        <v>0.89638871375976303</v>
      </c>
      <c r="D5926">
        <v>0.81771879301818495</v>
      </c>
      <c r="E5926">
        <v>0.37748635489833499</v>
      </c>
      <c r="F5926">
        <v>0.14271198945392</v>
      </c>
      <c r="G5926">
        <v>7.9081799858224097E-2</v>
      </c>
      <c r="H5926">
        <v>5.3230317924018701E-2</v>
      </c>
      <c r="I5926">
        <v>3.7644268064343102E-2</v>
      </c>
      <c r="J5926">
        <v>3.5890341621257399E-2</v>
      </c>
      <c r="K5926">
        <v>4.1438287036679698E-2</v>
      </c>
      <c r="L5926">
        <v>1001.56786282419</v>
      </c>
      <c r="M5926">
        <v>22.043055262718099</v>
      </c>
      <c r="N5926">
        <v>45.6053855512084</v>
      </c>
      <c r="O5926">
        <v>45.0678956741815</v>
      </c>
      <c r="P5926">
        <v>-0.117497687253681</v>
      </c>
      <c r="Q5926">
        <v>3.9106667539593E-2</v>
      </c>
      <c r="R5926">
        <v>0.99648866627495702</v>
      </c>
      <c r="S5926" t="s">
        <v>12494</v>
      </c>
      <c r="T5926" t="s">
        <v>13134</v>
      </c>
      <c r="U5926" t="s">
        <v>13134</v>
      </c>
      <c r="V5926" t="s">
        <v>13134</v>
      </c>
      <c r="W5926" t="s">
        <v>18993</v>
      </c>
      <c r="X5926">
        <v>10</v>
      </c>
      <c r="Y5926" t="s">
        <v>25354</v>
      </c>
      <c r="Z5926" t="s">
        <v>31894</v>
      </c>
      <c r="AA5926">
        <v>0.31962053897345161</v>
      </c>
      <c r="AB5926" t="str">
        <f>HYPERLINK("Melting_Curves/meltCurve_Q9NVN8_GNL3L.pdf", "Melting_Curves/meltCurve_Q9NVN8_GNL3L.pdf")</f>
        <v>Melting_Curves/meltCurve_Q9NVN8_GNL3L.pdf</v>
      </c>
    </row>
    <row r="5927" spans="1:28" x14ac:dyDescent="0.25">
      <c r="A5927" t="s">
        <v>5931</v>
      </c>
      <c r="B5927">
        <v>0.99472303558308395</v>
      </c>
      <c r="C5927">
        <v>0.68549976350188602</v>
      </c>
      <c r="D5927">
        <v>0.68579291637339101</v>
      </c>
      <c r="E5927">
        <v>0.62436331937911704</v>
      </c>
      <c r="F5927">
        <v>0.40547442613351098</v>
      </c>
      <c r="G5927">
        <v>0.133122389106862</v>
      </c>
      <c r="H5927">
        <v>9.0545031493150102E-2</v>
      </c>
      <c r="I5927">
        <v>6.25056320308785E-2</v>
      </c>
      <c r="J5927">
        <v>6.1734479421749103E-2</v>
      </c>
      <c r="K5927">
        <v>4.8609226534440102E-2</v>
      </c>
      <c r="L5927">
        <v>457.708857982631</v>
      </c>
      <c r="M5927">
        <v>9.7844400554661206</v>
      </c>
      <c r="N5927">
        <v>46.779261055339902</v>
      </c>
      <c r="O5927">
        <v>44.950782358585897</v>
      </c>
      <c r="P5927">
        <v>-5.4446284490001301E-2</v>
      </c>
      <c r="Q5927">
        <v>0</v>
      </c>
      <c r="R5927">
        <v>0.94656124948429099</v>
      </c>
      <c r="S5927" t="s">
        <v>12495</v>
      </c>
      <c r="T5927" t="s">
        <v>13134</v>
      </c>
      <c r="U5927" t="s">
        <v>13134</v>
      </c>
      <c r="V5927" t="s">
        <v>13134</v>
      </c>
      <c r="W5927" t="s">
        <v>18994</v>
      </c>
      <c r="X5927">
        <v>3</v>
      </c>
      <c r="Y5927" t="s">
        <v>25355</v>
      </c>
      <c r="Z5927" t="s">
        <v>31895</v>
      </c>
      <c r="AA5927">
        <v>0.37116757376908083</v>
      </c>
      <c r="AB5927" t="str">
        <f>HYPERLINK("Melting_Curves/meltCurve_Q9NVP1_DDX18.pdf", "Melting_Curves/meltCurve_Q9NVP1_DDX18.pdf")</f>
        <v>Melting_Curves/meltCurve_Q9NVP1_DDX18.pdf</v>
      </c>
    </row>
    <row r="5928" spans="1:28" x14ac:dyDescent="0.25">
      <c r="A5928" t="s">
        <v>5932</v>
      </c>
      <c r="B5928">
        <v>0.99472303558308395</v>
      </c>
      <c r="C5928">
        <v>1.08148602294788</v>
      </c>
      <c r="D5928">
        <v>0.895051612264959</v>
      </c>
      <c r="E5928">
        <v>0.82211633159604802</v>
      </c>
      <c r="F5928">
        <v>0.42720405758719898</v>
      </c>
      <c r="G5928">
        <v>0.16944832627025899</v>
      </c>
      <c r="H5928">
        <v>0.107288068317626</v>
      </c>
      <c r="I5928">
        <v>3.3835124966482603E-2</v>
      </c>
      <c r="J5928">
        <v>4.9381416208054897E-2</v>
      </c>
      <c r="K5928">
        <v>5.4993693617977499E-2</v>
      </c>
      <c r="L5928">
        <v>1095.7000147121601</v>
      </c>
      <c r="M5928">
        <v>22.194676539422499</v>
      </c>
      <c r="N5928">
        <v>49.5715275078636</v>
      </c>
      <c r="O5928">
        <v>48.972165845207599</v>
      </c>
      <c r="P5928">
        <v>-0.108363716141832</v>
      </c>
      <c r="Q5928">
        <v>4.3610048961523797E-2</v>
      </c>
      <c r="R5928">
        <v>0.99168574765963702</v>
      </c>
      <c r="S5928" t="s">
        <v>12496</v>
      </c>
      <c r="T5928" t="s">
        <v>13134</v>
      </c>
      <c r="U5928" t="s">
        <v>13134</v>
      </c>
      <c r="V5928" t="s">
        <v>13134</v>
      </c>
      <c r="W5928" t="s">
        <v>18995</v>
      </c>
      <c r="X5928">
        <v>3</v>
      </c>
      <c r="Y5928" t="s">
        <v>25356</v>
      </c>
      <c r="Z5928" t="s">
        <v>31896</v>
      </c>
      <c r="AA5928">
        <v>0.44830041950071109</v>
      </c>
      <c r="AB5928" t="str">
        <f>HYPERLINK("Melting_Curves/meltCurve_Q9NVP2_ASF1B.pdf", "Melting_Curves/meltCurve_Q9NVP2_ASF1B.pdf")</f>
        <v>Melting_Curves/meltCurve_Q9NVP2_ASF1B.pdf</v>
      </c>
    </row>
    <row r="5929" spans="1:28" x14ac:dyDescent="0.25">
      <c r="A5929" t="s">
        <v>5933</v>
      </c>
      <c r="B5929">
        <v>0.99472303558308395</v>
      </c>
      <c r="C5929">
        <v>0.90409109200765603</v>
      </c>
      <c r="D5929">
        <v>0.78159967809851405</v>
      </c>
      <c r="E5929">
        <v>0.61946744789303299</v>
      </c>
      <c r="F5929">
        <v>0.38617694172363798</v>
      </c>
      <c r="G5929">
        <v>0.14257323890606699</v>
      </c>
      <c r="H5929">
        <v>7.1642678909053903E-2</v>
      </c>
      <c r="I5929">
        <v>4.6522502702156E-2</v>
      </c>
      <c r="J5929">
        <v>5.3860781068599498E-2</v>
      </c>
      <c r="K5929">
        <v>5.1346601672532403E-2</v>
      </c>
      <c r="L5929">
        <v>630.40891295561198</v>
      </c>
      <c r="M5929">
        <v>13.1750252861102</v>
      </c>
      <c r="N5929">
        <v>47.854773603530802</v>
      </c>
      <c r="O5929">
        <v>46.786715606465897</v>
      </c>
      <c r="P5929">
        <v>-7.0353113153958396E-2</v>
      </c>
      <c r="Q5929">
        <v>8.2493800762505998E-4</v>
      </c>
      <c r="R5929">
        <v>0.993483777246151</v>
      </c>
      <c r="S5929" t="s">
        <v>12497</v>
      </c>
      <c r="T5929" t="s">
        <v>13134</v>
      </c>
      <c r="U5929" t="s">
        <v>13134</v>
      </c>
      <c r="V5929" t="s">
        <v>13134</v>
      </c>
      <c r="W5929" t="s">
        <v>18996</v>
      </c>
      <c r="X5929">
        <v>3</v>
      </c>
      <c r="Y5929" t="s">
        <v>25357</v>
      </c>
      <c r="Z5929" t="s">
        <v>31897</v>
      </c>
      <c r="AA5929">
        <v>0.38946781232872518</v>
      </c>
      <c r="AB5929" t="str">
        <f>HYPERLINK("Melting_Curves/meltCurve_Q9NVR0_KLHL11.pdf", "Melting_Curves/meltCurve_Q9NVR0_KLHL11.pdf")</f>
        <v>Melting_Curves/meltCurve_Q9NVR0_KLHL11.pdf</v>
      </c>
    </row>
    <row r="5930" spans="1:28" x14ac:dyDescent="0.25">
      <c r="A5930" t="s">
        <v>5934</v>
      </c>
      <c r="B5930">
        <v>0.99472303558308395</v>
      </c>
      <c r="C5930">
        <v>1.0017045075627</v>
      </c>
      <c r="D5930">
        <v>0.83791983457809605</v>
      </c>
      <c r="E5930">
        <v>0.64636127700809798</v>
      </c>
      <c r="F5930">
        <v>0.33714822325812799</v>
      </c>
      <c r="G5930">
        <v>0.12451175319078001</v>
      </c>
      <c r="H5930">
        <v>7.0126531876832807E-2</v>
      </c>
      <c r="I5930">
        <v>6.6339586219644003E-2</v>
      </c>
      <c r="J5930">
        <v>7.8134507497413894E-2</v>
      </c>
      <c r="K5930">
        <v>6.8391157030229105E-2</v>
      </c>
      <c r="L5930">
        <v>868.87540625419194</v>
      </c>
      <c r="M5930">
        <v>18.215611925458401</v>
      </c>
      <c r="N5930">
        <v>47.971401561288801</v>
      </c>
      <c r="O5930">
        <v>47.135758464246898</v>
      </c>
      <c r="P5930">
        <v>-9.1878286862389399E-2</v>
      </c>
      <c r="Q5930">
        <v>4.9046744368985797E-2</v>
      </c>
      <c r="R5930">
        <v>0.996092178831676</v>
      </c>
      <c r="S5930" t="s">
        <v>12498</v>
      </c>
      <c r="T5930" t="s">
        <v>13134</v>
      </c>
      <c r="U5930" t="s">
        <v>13134</v>
      </c>
      <c r="V5930" t="s">
        <v>13134</v>
      </c>
      <c r="W5930" t="s">
        <v>18997</v>
      </c>
      <c r="X5930">
        <v>6</v>
      </c>
      <c r="Y5930" t="s">
        <v>25358</v>
      </c>
      <c r="Z5930" t="s">
        <v>31898</v>
      </c>
      <c r="AA5930">
        <v>0.40309040080218878</v>
      </c>
      <c r="AB5930" t="str">
        <f>HYPERLINK("Melting_Curves/meltCurve_Q9NVR2_INTS10.pdf", "Melting_Curves/meltCurve_Q9NVR2_INTS10.pdf")</f>
        <v>Melting_Curves/meltCurve_Q9NVR2_INTS10.pdf</v>
      </c>
    </row>
    <row r="5931" spans="1:28" x14ac:dyDescent="0.25">
      <c r="A5931" t="s">
        <v>5935</v>
      </c>
      <c r="B5931">
        <v>0.99472303558308395</v>
      </c>
      <c r="C5931">
        <v>0.88603348877821997</v>
      </c>
      <c r="D5931">
        <v>0.81715347939029703</v>
      </c>
      <c r="E5931">
        <v>0.64592178798729505</v>
      </c>
      <c r="F5931">
        <v>0.37937078216329001</v>
      </c>
      <c r="G5931">
        <v>0.14670732977322501</v>
      </c>
      <c r="H5931">
        <v>6.5502824986134897E-2</v>
      </c>
      <c r="I5931">
        <v>2.2254598954041499E-2</v>
      </c>
      <c r="J5931">
        <v>4.2541794850963099E-2</v>
      </c>
      <c r="K5931">
        <v>3.7658880735093499E-2</v>
      </c>
      <c r="L5931">
        <v>680.55564001046696</v>
      </c>
      <c r="M5931">
        <v>14.1542481801138</v>
      </c>
      <c r="N5931">
        <v>48.0813698458998</v>
      </c>
      <c r="O5931">
        <v>47.152178797742401</v>
      </c>
      <c r="P5931">
        <v>-7.5055119567070505E-2</v>
      </c>
      <c r="Q5931">
        <v>0</v>
      </c>
      <c r="R5931">
        <v>0.99323241159129005</v>
      </c>
      <c r="S5931" t="s">
        <v>12499</v>
      </c>
      <c r="T5931" t="s">
        <v>13134</v>
      </c>
      <c r="U5931" t="s">
        <v>13134</v>
      </c>
      <c r="V5931" t="s">
        <v>13134</v>
      </c>
      <c r="W5931" t="s">
        <v>18998</v>
      </c>
      <c r="X5931">
        <v>2</v>
      </c>
      <c r="Y5931" t="s">
        <v>25359</v>
      </c>
      <c r="Z5931" t="s">
        <v>31899</v>
      </c>
      <c r="AA5931">
        <v>0.39356924700531842</v>
      </c>
      <c r="AB5931" t="str">
        <f>HYPERLINK("Melting_Curves/meltCurve_Q9NVR5_DNAAF2.pdf", "Melting_Curves/meltCurve_Q9NVR5_DNAAF2.pdf")</f>
        <v>Melting_Curves/meltCurve_Q9NVR5_DNAAF2.pdf</v>
      </c>
    </row>
    <row r="5932" spans="1:28" x14ac:dyDescent="0.25">
      <c r="A5932" t="s">
        <v>5936</v>
      </c>
      <c r="B5932">
        <v>0.99472303558308395</v>
      </c>
      <c r="C5932">
        <v>0.98809219305401497</v>
      </c>
      <c r="D5932">
        <v>0.67463204521500997</v>
      </c>
      <c r="E5932">
        <v>0.377833821876702</v>
      </c>
      <c r="F5932">
        <v>0.115024307447014</v>
      </c>
      <c r="G5932">
        <v>6.4131436431538305E-2</v>
      </c>
      <c r="H5932">
        <v>4.1963101360055897E-2</v>
      </c>
      <c r="I5932">
        <v>2.51240035693805E-2</v>
      </c>
      <c r="J5932">
        <v>2.4765730646359299E-2</v>
      </c>
      <c r="K5932">
        <v>2.7642185591414899E-2</v>
      </c>
      <c r="L5932">
        <v>901.56643803494603</v>
      </c>
      <c r="M5932">
        <v>20.052996985218599</v>
      </c>
      <c r="N5932">
        <v>45.073683423511</v>
      </c>
      <c r="O5932">
        <v>44.519230246348897</v>
      </c>
      <c r="P5932">
        <v>-0.109815574429821</v>
      </c>
      <c r="Q5932">
        <v>2.48342724867117E-2</v>
      </c>
      <c r="R5932">
        <v>0.99524923441361501</v>
      </c>
      <c r="S5932" t="s">
        <v>12500</v>
      </c>
      <c r="T5932" t="s">
        <v>13134</v>
      </c>
      <c r="U5932" t="s">
        <v>13134</v>
      </c>
      <c r="V5932" t="s">
        <v>13134</v>
      </c>
      <c r="W5932" t="s">
        <v>18999</v>
      </c>
      <c r="X5932">
        <v>11</v>
      </c>
      <c r="Y5932" t="s">
        <v>25360</v>
      </c>
      <c r="Z5932" t="s">
        <v>31900</v>
      </c>
      <c r="AA5932">
        <v>0.29630017835623351</v>
      </c>
      <c r="AB5932" t="str">
        <f>HYPERLINK("Melting_Curves/meltCurve_Q9NVU0_5_POLR3E.pdf", "Melting_Curves/meltCurve_Q9NVU0_5_POLR3E.pdf")</f>
        <v>Melting_Curves/meltCurve_Q9NVU0_5_POLR3E.pdf</v>
      </c>
    </row>
    <row r="5933" spans="1:28" x14ac:dyDescent="0.25">
      <c r="A5933" t="s">
        <v>5937</v>
      </c>
      <c r="B5933">
        <v>0.99472303558308395</v>
      </c>
      <c r="C5933">
        <v>1.0616490128678899</v>
      </c>
      <c r="D5933">
        <v>0.86013538144986601</v>
      </c>
      <c r="E5933">
        <v>0.93908455084227205</v>
      </c>
      <c r="F5933">
        <v>0.71667222413601095</v>
      </c>
      <c r="G5933">
        <v>0.52992712966123001</v>
      </c>
      <c r="H5933">
        <v>0.48000332922260502</v>
      </c>
      <c r="I5933">
        <v>0.54451148140533101</v>
      </c>
      <c r="J5933">
        <v>0.51027479034461898</v>
      </c>
      <c r="K5933">
        <v>0.62931837156605197</v>
      </c>
      <c r="L5933">
        <v>1635.39088429094</v>
      </c>
      <c r="M5933">
        <v>33.1602589873753</v>
      </c>
      <c r="O5933">
        <v>49.139474513940499</v>
      </c>
      <c r="P5933">
        <v>-7.8548515286825396E-2</v>
      </c>
      <c r="Q5933">
        <v>0.53440462178469095</v>
      </c>
      <c r="R5933">
        <v>0.91554415641659703</v>
      </c>
      <c r="S5933" t="s">
        <v>12501</v>
      </c>
      <c r="T5933" t="s">
        <v>13134</v>
      </c>
      <c r="U5933" t="s">
        <v>13134</v>
      </c>
      <c r="V5933" t="s">
        <v>13134</v>
      </c>
      <c r="W5933" t="s">
        <v>19000</v>
      </c>
      <c r="X5933">
        <v>1</v>
      </c>
      <c r="Y5933" t="s">
        <v>25361</v>
      </c>
      <c r="Z5933" t="s">
        <v>31901</v>
      </c>
      <c r="AA5933">
        <v>0.72788737076275722</v>
      </c>
      <c r="AB5933" t="str">
        <f>HYPERLINK("Melting_Curves/meltCurve_Q9NVV0_TMEM38B.pdf", "Melting_Curves/meltCurve_Q9NVV0_TMEM38B.pdf")</f>
        <v>Melting_Curves/meltCurve_Q9NVV0_TMEM38B.pdf</v>
      </c>
    </row>
    <row r="5934" spans="1:28" x14ac:dyDescent="0.25">
      <c r="A5934" t="s">
        <v>5938</v>
      </c>
      <c r="B5934">
        <v>0.99472303558308395</v>
      </c>
      <c r="C5934">
        <v>0.93054575141242302</v>
      </c>
      <c r="D5934">
        <v>0.908119406576954</v>
      </c>
      <c r="E5934">
        <v>0.76995991890433002</v>
      </c>
      <c r="F5934">
        <v>0.47384672002356598</v>
      </c>
      <c r="G5934">
        <v>0.10642250042970899</v>
      </c>
      <c r="H5934">
        <v>6.6457499030569606E-2</v>
      </c>
      <c r="I5934">
        <v>4.3884228664663398E-2</v>
      </c>
      <c r="J5934">
        <v>5.8859124976132403E-2</v>
      </c>
      <c r="K5934">
        <v>7.2169941519269795E-2</v>
      </c>
      <c r="L5934">
        <v>1048.6107407863201</v>
      </c>
      <c r="M5934">
        <v>21.291540354392801</v>
      </c>
      <c r="N5934">
        <v>49.420258442366901</v>
      </c>
      <c r="O5934">
        <v>48.821832582504797</v>
      </c>
      <c r="P5934">
        <v>-0.105176516491156</v>
      </c>
      <c r="Q5934">
        <v>3.5338971109333699E-2</v>
      </c>
      <c r="R5934">
        <v>0.99028231419482904</v>
      </c>
      <c r="S5934" t="s">
        <v>12502</v>
      </c>
      <c r="T5934" t="s">
        <v>13134</v>
      </c>
      <c r="U5934" t="s">
        <v>13134</v>
      </c>
      <c r="V5934" t="s">
        <v>13134</v>
      </c>
      <c r="W5934" t="s">
        <v>19001</v>
      </c>
      <c r="X5934">
        <v>12</v>
      </c>
      <c r="Y5934" t="s">
        <v>25362</v>
      </c>
      <c r="Z5934" t="s">
        <v>31902</v>
      </c>
      <c r="AA5934">
        <v>0.44058397069032518</v>
      </c>
      <c r="AB5934" t="str">
        <f>HYPERLINK("Melting_Curves/meltCurve_Q9NVV4_MTPAP.pdf", "Melting_Curves/meltCurve_Q9NVV4_MTPAP.pdf")</f>
        <v>Melting_Curves/meltCurve_Q9NVV4_MTPAP.pdf</v>
      </c>
    </row>
    <row r="5935" spans="1:28" x14ac:dyDescent="0.25">
      <c r="A5935" t="s">
        <v>5939</v>
      </c>
      <c r="B5935">
        <v>0.99472303558308395</v>
      </c>
      <c r="C5935">
        <v>0.82486320727086804</v>
      </c>
      <c r="D5935">
        <v>0.68303566090572299</v>
      </c>
      <c r="E5935">
        <v>0.37813848431475</v>
      </c>
      <c r="F5935">
        <v>0.306540818820141</v>
      </c>
      <c r="G5935">
        <v>0.17312742981745399</v>
      </c>
      <c r="H5935">
        <v>0.100576829299846</v>
      </c>
      <c r="I5935">
        <v>6.1813004500206298E-2</v>
      </c>
      <c r="J5935">
        <v>8.9530552850253603E-2</v>
      </c>
      <c r="K5935">
        <v>7.9778199920186199E-2</v>
      </c>
      <c r="L5935">
        <v>582.43841712719404</v>
      </c>
      <c r="M5935">
        <v>12.9492751802273</v>
      </c>
      <c r="N5935">
        <v>45.434607810800102</v>
      </c>
      <c r="O5935">
        <v>43.946315939236896</v>
      </c>
      <c r="P5935">
        <v>-6.9187291023465797E-2</v>
      </c>
      <c r="Q5935">
        <v>6.0957092663607597E-2</v>
      </c>
      <c r="R5935">
        <v>0.99104235706801203</v>
      </c>
      <c r="S5935" t="s">
        <v>12503</v>
      </c>
      <c r="T5935" t="s">
        <v>13134</v>
      </c>
      <c r="U5935" t="s">
        <v>13134</v>
      </c>
      <c r="V5935" t="s">
        <v>13134</v>
      </c>
      <c r="W5935" t="s">
        <v>19002</v>
      </c>
      <c r="X5935">
        <v>1</v>
      </c>
      <c r="Y5935" t="s">
        <v>25363</v>
      </c>
      <c r="Z5935" t="s">
        <v>31903</v>
      </c>
      <c r="AA5935">
        <v>0.34041841993786098</v>
      </c>
      <c r="AB5935" t="str">
        <f>HYPERLINK("Melting_Curves/meltCurve_Q9NVW2_RLIM.pdf", "Melting_Curves/meltCurve_Q9NVW2_RLIM.pdf")</f>
        <v>Melting_Curves/meltCurve_Q9NVW2_RLIM.pdf</v>
      </c>
    </row>
    <row r="5936" spans="1:28" x14ac:dyDescent="0.25">
      <c r="A5936" t="s">
        <v>5940</v>
      </c>
      <c r="B5936">
        <v>0.99472303558308395</v>
      </c>
      <c r="C5936">
        <v>0.91104829421164402</v>
      </c>
      <c r="D5936">
        <v>0.72431229756272097</v>
      </c>
      <c r="E5936">
        <v>0.45120844817054501</v>
      </c>
      <c r="F5936">
        <v>0.260761165036002</v>
      </c>
      <c r="G5936">
        <v>0.13417320887947301</v>
      </c>
      <c r="H5936">
        <v>0.12000112808239401</v>
      </c>
      <c r="I5936">
        <v>7.4113273665217402E-2</v>
      </c>
      <c r="J5936">
        <v>0.131725864718335</v>
      </c>
      <c r="K5936">
        <v>7.3055457562109502E-2</v>
      </c>
      <c r="L5936">
        <v>725.23922246849395</v>
      </c>
      <c r="M5936">
        <v>15.971500068653899</v>
      </c>
      <c r="N5936">
        <v>45.929352897647099</v>
      </c>
      <c r="O5936">
        <v>44.714361332716599</v>
      </c>
      <c r="P5936">
        <v>-8.1904925414278601E-2</v>
      </c>
      <c r="Q5936">
        <v>8.28570461804463E-2</v>
      </c>
      <c r="R5936">
        <v>0.99706991508144904</v>
      </c>
      <c r="S5936" t="s">
        <v>12504</v>
      </c>
      <c r="T5936" t="s">
        <v>13134</v>
      </c>
      <c r="U5936" t="s">
        <v>13134</v>
      </c>
      <c r="V5936" t="s">
        <v>13134</v>
      </c>
      <c r="W5936" t="s">
        <v>19003</v>
      </c>
      <c r="X5936">
        <v>2</v>
      </c>
      <c r="Y5936" t="s">
        <v>25364</v>
      </c>
      <c r="Z5936" t="s">
        <v>31904</v>
      </c>
      <c r="AA5936">
        <v>0.35892195439470481</v>
      </c>
      <c r="AB5936" t="str">
        <f>HYPERLINK("Melting_Curves/meltCurve_Q9NVX0_3_HAUS2.pdf", "Melting_Curves/meltCurve_Q9NVX0_3_HAUS2.pdf")</f>
        <v>Melting_Curves/meltCurve_Q9NVX0_3_HAUS2.pdf</v>
      </c>
    </row>
    <row r="5937" spans="1:28" x14ac:dyDescent="0.25">
      <c r="A5937" t="s">
        <v>5941</v>
      </c>
      <c r="B5937">
        <v>0.99472303558308395</v>
      </c>
      <c r="C5937">
        <v>1.04245380214141</v>
      </c>
      <c r="D5937">
        <v>0.90413550257446496</v>
      </c>
      <c r="E5937">
        <v>0.78026881443524598</v>
      </c>
      <c r="F5937">
        <v>0.71700524782500197</v>
      </c>
      <c r="G5937">
        <v>0.43846204739098299</v>
      </c>
      <c r="H5937">
        <v>0.278121745882005</v>
      </c>
      <c r="I5937">
        <v>0.24762563701129001</v>
      </c>
      <c r="J5937">
        <v>0.24487213069576999</v>
      </c>
      <c r="K5937">
        <v>0.175434815162504</v>
      </c>
      <c r="L5937">
        <v>682.91371038634804</v>
      </c>
      <c r="M5937">
        <v>13.2739923238414</v>
      </c>
      <c r="N5937">
        <v>52.868607223544998</v>
      </c>
      <c r="O5937">
        <v>50.321907443159198</v>
      </c>
      <c r="P5937">
        <v>-5.6059717833895802E-2</v>
      </c>
      <c r="Q5937">
        <v>0.150045462928908</v>
      </c>
      <c r="R5937">
        <v>0.98435968175894095</v>
      </c>
      <c r="S5937" t="s">
        <v>12505</v>
      </c>
      <c r="T5937" t="s">
        <v>13134</v>
      </c>
      <c r="U5937" t="s">
        <v>13134</v>
      </c>
      <c r="V5937" t="s">
        <v>13134</v>
      </c>
      <c r="W5937" t="s">
        <v>19004</v>
      </c>
      <c r="X5937">
        <v>12</v>
      </c>
      <c r="Y5937" t="s">
        <v>25365</v>
      </c>
      <c r="Z5937" t="s">
        <v>31905</v>
      </c>
      <c r="AA5937">
        <v>0.57865973415407879</v>
      </c>
      <c r="AB5937" t="str">
        <f>HYPERLINK("Melting_Curves/meltCurve_Q9NVX2_NLE1.pdf", "Melting_Curves/meltCurve_Q9NVX2_NLE1.pdf")</f>
        <v>Melting_Curves/meltCurve_Q9NVX2_NLE1.pdf</v>
      </c>
    </row>
    <row r="5938" spans="1:28" x14ac:dyDescent="0.25">
      <c r="A5938" t="s">
        <v>5942</v>
      </c>
      <c r="B5938">
        <v>0.99472303558308395</v>
      </c>
      <c r="C5938">
        <v>1.0504269038776299</v>
      </c>
      <c r="D5938">
        <v>0.90765538197189899</v>
      </c>
      <c r="E5938">
        <v>0.76433784798874704</v>
      </c>
      <c r="F5938">
        <v>0.70679132212749896</v>
      </c>
      <c r="G5938">
        <v>0.47924331349427901</v>
      </c>
      <c r="H5938">
        <v>0.239061504453221</v>
      </c>
      <c r="I5938">
        <v>0.115112685688643</v>
      </c>
      <c r="J5938">
        <v>0.12614124408097299</v>
      </c>
      <c r="K5938">
        <v>0.14598389648561599</v>
      </c>
      <c r="L5938">
        <v>667.372243491365</v>
      </c>
      <c r="M5938">
        <v>12.7333989578588</v>
      </c>
      <c r="N5938">
        <v>52.738484422866001</v>
      </c>
      <c r="O5938">
        <v>51.168939578114198</v>
      </c>
      <c r="P5938">
        <v>-5.9860306424316001E-2</v>
      </c>
      <c r="Q5938">
        <v>3.7993870003118602E-2</v>
      </c>
      <c r="R5938">
        <v>0.98159929394972301</v>
      </c>
      <c r="S5938" t="s">
        <v>12506</v>
      </c>
      <c r="T5938" t="s">
        <v>13134</v>
      </c>
      <c r="U5938" t="s">
        <v>13134</v>
      </c>
      <c r="V5938" t="s">
        <v>13134</v>
      </c>
      <c r="W5938" t="s">
        <v>19005</v>
      </c>
      <c r="X5938">
        <v>4</v>
      </c>
      <c r="Y5938" t="s">
        <v>25366</v>
      </c>
      <c r="Z5938" t="s">
        <v>31906</v>
      </c>
      <c r="AA5938">
        <v>0.55309111185046589</v>
      </c>
      <c r="AB5938" t="str">
        <f>HYPERLINK("Melting_Curves/meltCurve_Q9NVX7_KBTBD4.pdf", "Melting_Curves/meltCurve_Q9NVX7_KBTBD4.pdf")</f>
        <v>Melting_Curves/meltCurve_Q9NVX7_KBTBD4.pdf</v>
      </c>
    </row>
    <row r="5939" spans="1:28" x14ac:dyDescent="0.25">
      <c r="A5939" t="s">
        <v>5943</v>
      </c>
      <c r="B5939">
        <v>0.99472303558308395</v>
      </c>
      <c r="C5939">
        <v>0.98004215010781204</v>
      </c>
      <c r="D5939">
        <v>0.88871581197731397</v>
      </c>
      <c r="E5939">
        <v>0.80460497020448796</v>
      </c>
      <c r="F5939">
        <v>0.59611060776786196</v>
      </c>
      <c r="G5939">
        <v>0.27893240267385699</v>
      </c>
      <c r="H5939">
        <v>0.10558608789632699</v>
      </c>
      <c r="I5939">
        <v>6.2572711972338199E-2</v>
      </c>
      <c r="J5939">
        <v>7.59625353376496E-2</v>
      </c>
      <c r="K5939">
        <v>7.0477024985768397E-2</v>
      </c>
      <c r="L5939">
        <v>848.89134342433999</v>
      </c>
      <c r="M5939">
        <v>16.764071926284199</v>
      </c>
      <c r="N5939">
        <v>50.810264569704202</v>
      </c>
      <c r="O5939">
        <v>49.9334469342825</v>
      </c>
      <c r="P5939">
        <v>-8.16127789924804E-2</v>
      </c>
      <c r="Q5939">
        <v>2.7696467096787299E-2</v>
      </c>
      <c r="R5939">
        <v>0.99339311597634194</v>
      </c>
      <c r="S5939" t="s">
        <v>12507</v>
      </c>
      <c r="T5939" t="s">
        <v>13134</v>
      </c>
      <c r="U5939" t="s">
        <v>13134</v>
      </c>
      <c r="V5939" t="s">
        <v>13134</v>
      </c>
      <c r="W5939" t="s">
        <v>19006</v>
      </c>
      <c r="X5939">
        <v>9</v>
      </c>
      <c r="Y5939" t="s">
        <v>25367</v>
      </c>
      <c r="Z5939" t="s">
        <v>31907</v>
      </c>
      <c r="AA5939">
        <v>0.48663344260398927</v>
      </c>
      <c r="AB5939" t="str">
        <f>HYPERLINK("Melting_Curves/meltCurve_Q9NVZ3_NECAP2.pdf", "Melting_Curves/meltCurve_Q9NVZ3_NECAP2.pdf")</f>
        <v>Melting_Curves/meltCurve_Q9NVZ3_NECAP2.pdf</v>
      </c>
    </row>
    <row r="5940" spans="1:28" x14ac:dyDescent="0.25">
      <c r="A5940" t="s">
        <v>5944</v>
      </c>
      <c r="B5940">
        <v>0.99472303558308395</v>
      </c>
      <c r="C5940">
        <v>0.97286009074355795</v>
      </c>
      <c r="D5940">
        <v>0.67260445733139296</v>
      </c>
      <c r="E5940">
        <v>0.45559689605339698</v>
      </c>
      <c r="F5940">
        <v>0.15636989972600299</v>
      </c>
      <c r="G5940">
        <v>8.8729599803475695E-2</v>
      </c>
      <c r="H5940">
        <v>5.8014714205273002E-2</v>
      </c>
      <c r="I5940">
        <v>5.4674138379686203E-2</v>
      </c>
      <c r="J5940">
        <v>7.0680206904741694E-2</v>
      </c>
      <c r="K5940">
        <v>5.2689780656061697E-2</v>
      </c>
      <c r="L5940">
        <v>814.49026497566001</v>
      </c>
      <c r="M5940">
        <v>17.9951645965665</v>
      </c>
      <c r="N5940">
        <v>45.507986436029299</v>
      </c>
      <c r="O5940">
        <v>44.713776253315899</v>
      </c>
      <c r="P5940">
        <v>-9.5948099735114006E-2</v>
      </c>
      <c r="Q5940">
        <v>4.6412736407274002E-2</v>
      </c>
      <c r="R5940">
        <v>0.99221287359524801</v>
      </c>
      <c r="S5940" t="s">
        <v>12508</v>
      </c>
      <c r="T5940" t="s">
        <v>13134</v>
      </c>
      <c r="U5940" t="s">
        <v>13134</v>
      </c>
      <c r="V5940" t="s">
        <v>13134</v>
      </c>
      <c r="W5940" t="s">
        <v>19007</v>
      </c>
      <c r="X5940">
        <v>9</v>
      </c>
      <c r="Y5940" t="s">
        <v>25368</v>
      </c>
      <c r="Z5940" t="s">
        <v>31908</v>
      </c>
      <c r="AA5940">
        <v>0.32458261084312118</v>
      </c>
      <c r="AB5940" t="str">
        <f>HYPERLINK("Melting_Curves/meltCurve_Q9NW08_2_POLR3B.pdf", "Melting_Curves/meltCurve_Q9NW08_2_POLR3B.pdf")</f>
        <v>Melting_Curves/meltCurve_Q9NW08_2_POLR3B.pdf</v>
      </c>
    </row>
    <row r="5941" spans="1:28" x14ac:dyDescent="0.25">
      <c r="A5941" t="s">
        <v>5945</v>
      </c>
      <c r="B5941">
        <v>0.99472303558308395</v>
      </c>
      <c r="C5941">
        <v>1.0614760106633601</v>
      </c>
      <c r="D5941">
        <v>0.78939039780273901</v>
      </c>
      <c r="E5941">
        <v>0.73205689659029005</v>
      </c>
      <c r="F5941">
        <v>0.890188351660959</v>
      </c>
      <c r="G5941">
        <v>0.38559826539202802</v>
      </c>
      <c r="H5941">
        <v>0.36185682058510099</v>
      </c>
      <c r="I5941">
        <v>0.16044544388401499</v>
      </c>
      <c r="J5941">
        <v>0.21666979917742901</v>
      </c>
      <c r="K5941">
        <v>0.22117989695586401</v>
      </c>
      <c r="L5941">
        <v>594.06345811407198</v>
      </c>
      <c r="M5941">
        <v>11.291864808844</v>
      </c>
      <c r="N5941">
        <v>53.579594722590798</v>
      </c>
      <c r="O5941">
        <v>51.040846318910098</v>
      </c>
      <c r="P5941">
        <v>-5.0211737617866702E-2</v>
      </c>
      <c r="Q5941">
        <v>9.2419813777925797E-2</v>
      </c>
      <c r="R5941">
        <v>0.89907192223379395</v>
      </c>
      <c r="S5941" t="s">
        <v>12509</v>
      </c>
      <c r="T5941" t="s">
        <v>13134</v>
      </c>
      <c r="U5941" t="s">
        <v>13134</v>
      </c>
      <c r="V5941" t="s">
        <v>13134</v>
      </c>
      <c r="W5941" t="s">
        <v>19008</v>
      </c>
      <c r="X5941">
        <v>2</v>
      </c>
      <c r="Y5941" t="s">
        <v>25369</v>
      </c>
      <c r="Z5941" t="s">
        <v>31909</v>
      </c>
      <c r="AA5941">
        <v>0.58550352468691147</v>
      </c>
      <c r="AB5941" t="str">
        <f>HYPERLINK("Melting_Curves/meltCurve_Q9NW13_RBM28.pdf", "Melting_Curves/meltCurve_Q9NW13_RBM28.pdf")</f>
        <v>Melting_Curves/meltCurve_Q9NW13_RBM28.pdf</v>
      </c>
    </row>
    <row r="5942" spans="1:28" x14ac:dyDescent="0.25">
      <c r="A5942" t="s">
        <v>5946</v>
      </c>
      <c r="B5942">
        <v>0.99472303558308395</v>
      </c>
      <c r="C5942">
        <v>0.99574235777866404</v>
      </c>
      <c r="D5942">
        <v>0.81814810712331398</v>
      </c>
      <c r="E5942">
        <v>0.71873705041853198</v>
      </c>
      <c r="F5942">
        <v>0.62018793696378005</v>
      </c>
      <c r="G5942">
        <v>0.156720547446035</v>
      </c>
      <c r="H5942">
        <v>0.105259945288479</v>
      </c>
      <c r="I5942">
        <v>9.0484270477604198E-2</v>
      </c>
      <c r="J5942">
        <v>8.4254116370053297E-2</v>
      </c>
      <c r="K5942">
        <v>9.5494906433032906E-2</v>
      </c>
      <c r="L5942">
        <v>752.38170009083501</v>
      </c>
      <c r="M5942">
        <v>15.1391637431561</v>
      </c>
      <c r="N5942">
        <v>49.935824846052498</v>
      </c>
      <c r="O5942">
        <v>48.854772763278099</v>
      </c>
      <c r="P5942">
        <v>-7.4779971808974596E-2</v>
      </c>
      <c r="Q5942">
        <v>3.4820529420530599E-2</v>
      </c>
      <c r="R5942">
        <v>0.96783462213086202</v>
      </c>
      <c r="S5942" t="s">
        <v>12510</v>
      </c>
      <c r="T5942" t="s">
        <v>13134</v>
      </c>
      <c r="U5942" t="s">
        <v>13134</v>
      </c>
      <c r="V5942" t="s">
        <v>13134</v>
      </c>
      <c r="W5942" t="s">
        <v>19009</v>
      </c>
      <c r="X5942">
        <v>8</v>
      </c>
      <c r="Y5942" t="s">
        <v>25370</v>
      </c>
      <c r="Z5942" t="s">
        <v>31910</v>
      </c>
      <c r="AA5942">
        <v>0.46342761756026091</v>
      </c>
      <c r="AB5942" t="str">
        <f>HYPERLINK("Melting_Curves/meltCurve_Q9NW15_ANO10.pdf", "Melting_Curves/meltCurve_Q9NW15_ANO10.pdf")</f>
        <v>Melting_Curves/meltCurve_Q9NW15_ANO10.pdf</v>
      </c>
    </row>
    <row r="5943" spans="1:28" x14ac:dyDescent="0.25">
      <c r="A5943" t="s">
        <v>5947</v>
      </c>
      <c r="B5943">
        <v>0.99472303558308395</v>
      </c>
      <c r="C5943">
        <v>0.96492431727625905</v>
      </c>
      <c r="D5943">
        <v>1.0640288173486001</v>
      </c>
      <c r="E5943">
        <v>0.93181662259442699</v>
      </c>
      <c r="F5943">
        <v>0.49261625695193101</v>
      </c>
      <c r="G5943">
        <v>0.174346802228625</v>
      </c>
      <c r="H5943">
        <v>7.8505923760821994E-2</v>
      </c>
      <c r="I5943">
        <v>3.95814935697422E-2</v>
      </c>
      <c r="J5943">
        <v>3.8493315707013302E-2</v>
      </c>
      <c r="K5943">
        <v>3.8385491538284501E-2</v>
      </c>
      <c r="L5943">
        <v>1538.5319327904499</v>
      </c>
      <c r="M5943">
        <v>30.701623385824501</v>
      </c>
      <c r="N5943">
        <v>50.271283777593602</v>
      </c>
      <c r="O5943">
        <v>49.901241336546903</v>
      </c>
      <c r="P5943">
        <v>-0.14670079203994901</v>
      </c>
      <c r="Q5943">
        <v>4.6238510510148802E-2</v>
      </c>
      <c r="R5943">
        <v>0.99586831839197298</v>
      </c>
      <c r="S5943" t="s">
        <v>12511</v>
      </c>
      <c r="T5943" t="s">
        <v>13134</v>
      </c>
      <c r="U5943" t="s">
        <v>13134</v>
      </c>
      <c r="V5943" t="s">
        <v>13134</v>
      </c>
      <c r="W5943" t="s">
        <v>19010</v>
      </c>
      <c r="X5943">
        <v>13</v>
      </c>
      <c r="Y5943" t="s">
        <v>25371</v>
      </c>
      <c r="Z5943" t="s">
        <v>31911</v>
      </c>
      <c r="AA5943">
        <v>0.46870945893129717</v>
      </c>
      <c r="AB5943" t="str">
        <f>HYPERLINK("Melting_Curves/meltCurve_Q9NW64_RBM22.pdf", "Melting_Curves/meltCurve_Q9NW64_RBM22.pdf")</f>
        <v>Melting_Curves/meltCurve_Q9NW64_RBM22.pdf</v>
      </c>
    </row>
    <row r="5944" spans="1:28" x14ac:dyDescent="0.25">
      <c r="A5944" t="s">
        <v>5948</v>
      </c>
      <c r="B5944">
        <v>0.99472303558308395</v>
      </c>
      <c r="C5944">
        <v>0.97938145736881899</v>
      </c>
      <c r="D5944">
        <v>0.990316753711173</v>
      </c>
      <c r="E5944">
        <v>0.88011027912241302</v>
      </c>
      <c r="F5944">
        <v>0.65601946892290897</v>
      </c>
      <c r="G5944">
        <v>0.49272325951013701</v>
      </c>
      <c r="H5944">
        <v>0.19459329957598301</v>
      </c>
      <c r="I5944">
        <v>6.4068720775568896E-2</v>
      </c>
      <c r="J5944">
        <v>7.0773417645956904E-2</v>
      </c>
      <c r="K5944">
        <v>6.2900548969613501E-2</v>
      </c>
      <c r="L5944">
        <v>821.19739586965704</v>
      </c>
      <c r="M5944">
        <v>15.553225542666301</v>
      </c>
      <c r="N5944">
        <v>52.799177069318603</v>
      </c>
      <c r="O5944">
        <v>51.949427857813603</v>
      </c>
      <c r="P5944">
        <v>-7.4854476361400801E-2</v>
      </c>
      <c r="Q5944">
        <v>0</v>
      </c>
      <c r="R5944">
        <v>0.99359288366500798</v>
      </c>
      <c r="S5944" t="s">
        <v>12512</v>
      </c>
      <c r="T5944" t="s">
        <v>13134</v>
      </c>
      <c r="U5944" t="s">
        <v>13134</v>
      </c>
      <c r="V5944" t="s">
        <v>13134</v>
      </c>
      <c r="W5944" t="s">
        <v>19011</v>
      </c>
      <c r="X5944">
        <v>22</v>
      </c>
      <c r="Y5944" t="s">
        <v>25372</v>
      </c>
      <c r="Z5944" t="s">
        <v>31912</v>
      </c>
      <c r="AA5944">
        <v>0.54410528432745286</v>
      </c>
      <c r="AB5944" t="str">
        <f>HYPERLINK("Melting_Curves/meltCurve_Q9NW82_WDR70.pdf", "Melting_Curves/meltCurve_Q9NW82_WDR70.pdf")</f>
        <v>Melting_Curves/meltCurve_Q9NW82_WDR70.pdf</v>
      </c>
    </row>
    <row r="5945" spans="1:28" x14ac:dyDescent="0.25">
      <c r="A5945" t="s">
        <v>5949</v>
      </c>
      <c r="B5945">
        <v>0.99472303558308395</v>
      </c>
      <c r="C5945">
        <v>0.93263299112328002</v>
      </c>
      <c r="D5945">
        <v>0.98370926049580298</v>
      </c>
      <c r="E5945">
        <v>0.75477788729024098</v>
      </c>
      <c r="F5945">
        <v>0.53654397233301399</v>
      </c>
      <c r="G5945">
        <v>0.44308716858126002</v>
      </c>
      <c r="H5945">
        <v>0.29958373475240102</v>
      </c>
      <c r="I5945">
        <v>0.274240811363342</v>
      </c>
      <c r="J5945">
        <v>0.56359461754617002</v>
      </c>
      <c r="K5945">
        <v>0.59686206154670196</v>
      </c>
      <c r="L5945">
        <v>1391.0512563242601</v>
      </c>
      <c r="M5945">
        <v>29.521133970674899</v>
      </c>
      <c r="N5945">
        <v>50.624873911162403</v>
      </c>
      <c r="O5945">
        <v>46.905875836149299</v>
      </c>
      <c r="P5945">
        <v>-8.8865507674567495E-2</v>
      </c>
      <c r="Q5945">
        <v>0.43521320617388698</v>
      </c>
      <c r="R5945">
        <v>0.85702187707631605</v>
      </c>
      <c r="S5945" t="s">
        <v>12513</v>
      </c>
      <c r="T5945" t="s">
        <v>13134</v>
      </c>
      <c r="U5945" t="s">
        <v>13134</v>
      </c>
      <c r="V5945" t="s">
        <v>13134</v>
      </c>
      <c r="W5945" t="s">
        <v>19012</v>
      </c>
      <c r="X5945">
        <v>14</v>
      </c>
      <c r="Y5945" t="s">
        <v>25373</v>
      </c>
      <c r="Z5945" t="s">
        <v>31913</v>
      </c>
      <c r="AA5945">
        <v>0.6291432198114032</v>
      </c>
      <c r="AB5945" t="str">
        <f>HYPERLINK("Melting_Curves/meltCurve_Q9NWB6_ARGLU1.pdf", "Melting_Curves/meltCurve_Q9NWB6_ARGLU1.pdf")</f>
        <v>Melting_Curves/meltCurve_Q9NWB6_ARGLU1.pdf</v>
      </c>
    </row>
    <row r="5946" spans="1:28" x14ac:dyDescent="0.25">
      <c r="A5946" t="s">
        <v>5950</v>
      </c>
      <c r="B5946">
        <v>0.99472303558308395</v>
      </c>
      <c r="C5946">
        <v>1.1174151842603699</v>
      </c>
      <c r="D5946">
        <v>0.88716904691007203</v>
      </c>
      <c r="E5946">
        <v>0.77311356887126303</v>
      </c>
      <c r="F5946">
        <v>0.62628663301771903</v>
      </c>
      <c r="G5946">
        <v>0.37422065446508102</v>
      </c>
      <c r="H5946">
        <v>0.26319756446154702</v>
      </c>
      <c r="I5946">
        <v>0.26605332917643898</v>
      </c>
      <c r="J5946">
        <v>0.23966347808069399</v>
      </c>
      <c r="K5946">
        <v>0.33362248920075099</v>
      </c>
      <c r="L5946">
        <v>868.49213809283299</v>
      </c>
      <c r="M5946">
        <v>17.612994880301599</v>
      </c>
      <c r="N5946">
        <v>51.367959273954099</v>
      </c>
      <c r="O5946">
        <v>48.687241661278101</v>
      </c>
      <c r="P5946">
        <v>-6.7550768403187703E-2</v>
      </c>
      <c r="Q5946">
        <v>0.25312299762101398</v>
      </c>
      <c r="R5946">
        <v>0.96709556891932102</v>
      </c>
      <c r="S5946" t="s">
        <v>12514</v>
      </c>
      <c r="T5946" t="s">
        <v>13134</v>
      </c>
      <c r="U5946" t="s">
        <v>13134</v>
      </c>
      <c r="V5946" t="s">
        <v>13134</v>
      </c>
      <c r="W5946" t="s">
        <v>19013</v>
      </c>
      <c r="X5946">
        <v>2</v>
      </c>
      <c r="Y5946" t="s">
        <v>25374</v>
      </c>
      <c r="Z5946" t="s">
        <v>31914</v>
      </c>
      <c r="AA5946">
        <v>0.5718796351809331</v>
      </c>
      <c r="AB5946" t="str">
        <f>HYPERLINK("Melting_Curves/meltCurve_Q9NWD8_TMEM248.pdf", "Melting_Curves/meltCurve_Q9NWD8_TMEM248.pdf")</f>
        <v>Melting_Curves/meltCurve_Q9NWD8_TMEM248.pdf</v>
      </c>
    </row>
    <row r="5947" spans="1:28" x14ac:dyDescent="0.25">
      <c r="A5947" t="s">
        <v>5951</v>
      </c>
      <c r="B5947">
        <v>0.99472303558308395</v>
      </c>
      <c r="C5947">
        <v>0.94348246723495799</v>
      </c>
      <c r="D5947">
        <v>0.955406993689913</v>
      </c>
      <c r="E5947">
        <v>0.69861283643956995</v>
      </c>
      <c r="F5947">
        <v>0.60025011213604795</v>
      </c>
      <c r="G5947">
        <v>0.34201838754580699</v>
      </c>
      <c r="H5947">
        <v>0.34586808257608398</v>
      </c>
      <c r="I5947">
        <v>0.250498197556069</v>
      </c>
      <c r="J5947">
        <v>0.242952926029079</v>
      </c>
      <c r="K5947">
        <v>0.21936074204727701</v>
      </c>
      <c r="L5947">
        <v>679.60266307873997</v>
      </c>
      <c r="M5947">
        <v>13.8126093111829</v>
      </c>
      <c r="N5947">
        <v>51.200022239205303</v>
      </c>
      <c r="O5947">
        <v>48.2047333057561</v>
      </c>
      <c r="P5947">
        <v>-5.6716369977066597E-2</v>
      </c>
      <c r="Q5947">
        <v>0.20837097454390199</v>
      </c>
      <c r="R5947">
        <v>0.98592935380355295</v>
      </c>
      <c r="S5947" t="s">
        <v>12515</v>
      </c>
      <c r="T5947" t="s">
        <v>13134</v>
      </c>
      <c r="U5947" t="s">
        <v>13134</v>
      </c>
      <c r="V5947" t="s">
        <v>13134</v>
      </c>
      <c r="W5947" t="s">
        <v>19014</v>
      </c>
      <c r="X5947">
        <v>2</v>
      </c>
      <c r="Y5947" t="s">
        <v>25375</v>
      </c>
      <c r="Z5947" t="s">
        <v>31915</v>
      </c>
      <c r="AA5947">
        <v>0.54951427891693572</v>
      </c>
      <c r="AB5947" t="str">
        <f>HYPERLINK("Melting_Curves/meltCurve_Q9NWD9_BEX4.pdf", "Melting_Curves/meltCurve_Q9NWD9_BEX4.pdf")</f>
        <v>Melting_Curves/meltCurve_Q9NWD9_BEX4.pdf</v>
      </c>
    </row>
    <row r="5948" spans="1:28" x14ac:dyDescent="0.25">
      <c r="A5948" t="s">
        <v>5952</v>
      </c>
      <c r="B5948">
        <v>0.99472303558308395</v>
      </c>
      <c r="C5948">
        <v>1.0159394981141101</v>
      </c>
      <c r="D5948">
        <v>0.93239513486958303</v>
      </c>
      <c r="E5948">
        <v>0.932464589920044</v>
      </c>
      <c r="F5948">
        <v>0.73032407679337896</v>
      </c>
      <c r="G5948">
        <v>0.64678907182138001</v>
      </c>
      <c r="H5948">
        <v>0.55049946774399505</v>
      </c>
      <c r="I5948">
        <v>0.55287783798085399</v>
      </c>
      <c r="J5948">
        <v>0.61836342585225201</v>
      </c>
      <c r="K5948">
        <v>0.62755157102964398</v>
      </c>
      <c r="L5948">
        <v>1269.9937515756401</v>
      </c>
      <c r="M5948">
        <v>25.8677096247831</v>
      </c>
      <c r="O5948">
        <v>48.805124233247</v>
      </c>
      <c r="P5948">
        <v>-5.45823472080504E-2</v>
      </c>
      <c r="Q5948">
        <v>0.58807844129386799</v>
      </c>
      <c r="R5948">
        <v>0.96762248236166204</v>
      </c>
      <c r="S5948" t="s">
        <v>12516</v>
      </c>
      <c r="T5948" t="s">
        <v>13134</v>
      </c>
      <c r="U5948" t="s">
        <v>13134</v>
      </c>
      <c r="V5948" t="s">
        <v>13134</v>
      </c>
      <c r="W5948" t="s">
        <v>19015</v>
      </c>
      <c r="X5948">
        <v>2</v>
      </c>
      <c r="Y5948" t="s">
        <v>25376</v>
      </c>
      <c r="Z5948" t="s">
        <v>31916</v>
      </c>
      <c r="AA5948">
        <v>0.75749619639106947</v>
      </c>
      <c r="AB5948" t="str">
        <f>HYPERLINK("Melting_Curves/meltCurve_Q9NWH2_TMEM242.pdf", "Melting_Curves/meltCurve_Q9NWH2_TMEM242.pdf")</f>
        <v>Melting_Curves/meltCurve_Q9NWH2_TMEM242.pdf</v>
      </c>
    </row>
    <row r="5949" spans="1:28" x14ac:dyDescent="0.25">
      <c r="A5949" t="s">
        <v>5953</v>
      </c>
      <c r="B5949">
        <v>0.99472303558308395</v>
      </c>
      <c r="C5949">
        <v>0.96148631650706695</v>
      </c>
      <c r="D5949">
        <v>0.83174383980698297</v>
      </c>
      <c r="E5949">
        <v>0.73146933830249405</v>
      </c>
      <c r="F5949">
        <v>0.87447831980827795</v>
      </c>
      <c r="G5949">
        <v>0.35507533722567403</v>
      </c>
      <c r="H5949">
        <v>0.243886517572205</v>
      </c>
      <c r="I5949">
        <v>0.20788063218612901</v>
      </c>
      <c r="J5949">
        <v>0.25868020090174498</v>
      </c>
      <c r="K5949">
        <v>0.173027350492863</v>
      </c>
      <c r="L5949">
        <v>647.72857610432197</v>
      </c>
      <c r="M5949">
        <v>12.511291221652399</v>
      </c>
      <c r="N5949">
        <v>52.886876849139497</v>
      </c>
      <c r="O5949">
        <v>50.502300736140803</v>
      </c>
      <c r="P5949">
        <v>-5.4763798213052002E-2</v>
      </c>
      <c r="Q5949">
        <v>0.115957075213919</v>
      </c>
      <c r="R5949">
        <v>0.91130619583855099</v>
      </c>
      <c r="S5949" t="s">
        <v>12517</v>
      </c>
      <c r="T5949" t="s">
        <v>13134</v>
      </c>
      <c r="U5949" t="s">
        <v>13134</v>
      </c>
      <c r="V5949" t="s">
        <v>13134</v>
      </c>
      <c r="W5949" t="s">
        <v>19016</v>
      </c>
      <c r="X5949">
        <v>8</v>
      </c>
      <c r="Y5949" t="s">
        <v>25377</v>
      </c>
      <c r="Z5949" t="s">
        <v>31917</v>
      </c>
      <c r="AA5949">
        <v>0.57197021683047677</v>
      </c>
      <c r="AB5949" t="str">
        <f>HYPERLINK("Melting_Curves/meltCurve_Q9NWH9_SLTM.pdf", "Melting_Curves/meltCurve_Q9NWH9_SLTM.pdf")</f>
        <v>Melting_Curves/meltCurve_Q9NWH9_SLTM.pdf</v>
      </c>
    </row>
    <row r="5950" spans="1:28" x14ac:dyDescent="0.25">
      <c r="A5950" t="s">
        <v>5954</v>
      </c>
      <c r="B5950">
        <v>0.99472303558308395</v>
      </c>
      <c r="C5950">
        <v>0.833283325341029</v>
      </c>
      <c r="D5950">
        <v>0.76595660594927595</v>
      </c>
      <c r="E5950">
        <v>0.57410218072645103</v>
      </c>
      <c r="F5950">
        <v>0.45208884946950301</v>
      </c>
      <c r="G5950">
        <v>0.21652760074169999</v>
      </c>
      <c r="H5950">
        <v>0.17854730375430899</v>
      </c>
      <c r="I5950">
        <v>0.121847398188889</v>
      </c>
      <c r="J5950">
        <v>0.141744014960202</v>
      </c>
      <c r="K5950">
        <v>0.13545247194658799</v>
      </c>
      <c r="L5950">
        <v>507.55404260430402</v>
      </c>
      <c r="M5950">
        <v>10.737286443705999</v>
      </c>
      <c r="N5950">
        <v>47.9571460158229</v>
      </c>
      <c r="O5950">
        <v>45.719118355027703</v>
      </c>
      <c r="P5950">
        <v>-5.4548663384734603E-2</v>
      </c>
      <c r="Q5950">
        <v>7.1276111357491706E-2</v>
      </c>
      <c r="R5950">
        <v>0.98730607947802596</v>
      </c>
      <c r="S5950" t="s">
        <v>12518</v>
      </c>
      <c r="T5950" t="s">
        <v>13134</v>
      </c>
      <c r="U5950" t="s">
        <v>13134</v>
      </c>
      <c r="V5950" t="s">
        <v>13134</v>
      </c>
      <c r="W5950" t="s">
        <v>19017</v>
      </c>
      <c r="X5950">
        <v>4</v>
      </c>
      <c r="Y5950" t="s">
        <v>25378</v>
      </c>
      <c r="Z5950" t="s">
        <v>31918</v>
      </c>
      <c r="AA5950">
        <v>0.42480673773554961</v>
      </c>
      <c r="AB5950" t="str">
        <f>HYPERLINK("Melting_Curves/meltCurve_Q9NWK9_ZNHIT6.pdf", "Melting_Curves/meltCurve_Q9NWK9_ZNHIT6.pdf")</f>
        <v>Melting_Curves/meltCurve_Q9NWK9_ZNHIT6.pdf</v>
      </c>
    </row>
    <row r="5951" spans="1:28" x14ac:dyDescent="0.25">
      <c r="A5951" t="s">
        <v>5955</v>
      </c>
      <c r="B5951">
        <v>0.99472303558308395</v>
      </c>
      <c r="C5951">
        <v>1.0628276791909199</v>
      </c>
      <c r="D5951">
        <v>0.99479357300029403</v>
      </c>
      <c r="E5951">
        <v>0.88763859198178396</v>
      </c>
      <c r="F5951">
        <v>0.55248907321128404</v>
      </c>
      <c r="G5951">
        <v>0.26755983923576299</v>
      </c>
      <c r="H5951">
        <v>0.19948548237724201</v>
      </c>
      <c r="I5951">
        <v>0.17597725071582099</v>
      </c>
      <c r="J5951">
        <v>0.17410198212202399</v>
      </c>
      <c r="K5951">
        <v>0.13009108078159801</v>
      </c>
      <c r="L5951">
        <v>1304.25588067683</v>
      </c>
      <c r="M5951">
        <v>26.109077499733701</v>
      </c>
      <c r="N5951">
        <v>50.698392644582</v>
      </c>
      <c r="O5951">
        <v>49.663832299329897</v>
      </c>
      <c r="P5951">
        <v>-0.110507613901267</v>
      </c>
      <c r="Q5951">
        <v>0.15919371875492599</v>
      </c>
      <c r="R5951">
        <v>0.99615734801943601</v>
      </c>
      <c r="S5951" t="s">
        <v>12519</v>
      </c>
      <c r="T5951" t="s">
        <v>13134</v>
      </c>
      <c r="U5951" t="s">
        <v>13134</v>
      </c>
      <c r="V5951" t="s">
        <v>13134</v>
      </c>
      <c r="W5951" t="s">
        <v>19018</v>
      </c>
      <c r="X5951">
        <v>2</v>
      </c>
      <c r="Y5951" t="s">
        <v>25379</v>
      </c>
      <c r="Z5951" t="s">
        <v>31919</v>
      </c>
      <c r="AA5951">
        <v>0.5290195989684997</v>
      </c>
      <c r="AB5951" t="str">
        <f>HYPERLINK("Melting_Curves/meltCurve_Q9NWM8_FKBP14.pdf", "Melting_Curves/meltCurve_Q9NWM8_FKBP14.pdf")</f>
        <v>Melting_Curves/meltCurve_Q9NWM8_FKBP14.pdf</v>
      </c>
    </row>
    <row r="5952" spans="1:28" x14ac:dyDescent="0.25">
      <c r="A5952" t="s">
        <v>5956</v>
      </c>
      <c r="B5952">
        <v>0.99472303558308395</v>
      </c>
      <c r="C5952">
        <v>0.80446900598525795</v>
      </c>
      <c r="D5952">
        <v>0.91077324082530298</v>
      </c>
      <c r="E5952">
        <v>0.53386589676531604</v>
      </c>
      <c r="F5952">
        <v>0.25703595424763198</v>
      </c>
      <c r="G5952">
        <v>0.158215943110217</v>
      </c>
      <c r="H5952">
        <v>0.13154634513628199</v>
      </c>
      <c r="I5952">
        <v>0.106857627499973</v>
      </c>
      <c r="J5952">
        <v>0.142351704751529</v>
      </c>
      <c r="K5952">
        <v>9.8153324668001807E-2</v>
      </c>
      <c r="L5952">
        <v>903.60789000117904</v>
      </c>
      <c r="M5952">
        <v>19.465177246366402</v>
      </c>
      <c r="N5952">
        <v>47.001324565554299</v>
      </c>
      <c r="O5952">
        <v>45.940136909849102</v>
      </c>
      <c r="P5952">
        <v>-9.4628621566029594E-2</v>
      </c>
      <c r="Q5952">
        <v>0.106693039935865</v>
      </c>
      <c r="R5952">
        <v>0.97337312324674197</v>
      </c>
      <c r="S5952" t="s">
        <v>12520</v>
      </c>
      <c r="T5952" t="s">
        <v>13134</v>
      </c>
      <c r="U5952" t="s">
        <v>13134</v>
      </c>
      <c r="V5952" t="s">
        <v>13134</v>
      </c>
      <c r="W5952" t="s">
        <v>19019</v>
      </c>
      <c r="X5952">
        <v>3</v>
      </c>
      <c r="Y5952" t="s">
        <v>25380</v>
      </c>
      <c r="Z5952" t="s">
        <v>31920</v>
      </c>
      <c r="AA5952">
        <v>0.39957214953697179</v>
      </c>
      <c r="AB5952" t="str">
        <f>HYPERLINK("Melting_Curves/meltCurve_Q9NWQ9_C14orf119.pdf", "Melting_Curves/meltCurve_Q9NWQ9_C14orf119.pdf")</f>
        <v>Melting_Curves/meltCurve_Q9NWQ9_C14orf119.pdf</v>
      </c>
    </row>
    <row r="5953" spans="1:28" x14ac:dyDescent="0.25">
      <c r="A5953" t="s">
        <v>5957</v>
      </c>
      <c r="B5953">
        <v>0.99472303558308395</v>
      </c>
      <c r="C5953">
        <v>0.90114026047067697</v>
      </c>
      <c r="D5953">
        <v>0.80102071916418804</v>
      </c>
      <c r="E5953">
        <v>0.67083877263678604</v>
      </c>
      <c r="F5953">
        <v>0.386473481238366</v>
      </c>
      <c r="G5953">
        <v>0.13646163976797601</v>
      </c>
      <c r="H5953">
        <v>7.8529013998540398E-2</v>
      </c>
      <c r="I5953">
        <v>4.9381338467403897E-2</v>
      </c>
      <c r="J5953">
        <v>5.1193287637112103E-2</v>
      </c>
      <c r="K5953">
        <v>4.6499890694543002E-2</v>
      </c>
      <c r="L5953">
        <v>675.73626094013798</v>
      </c>
      <c r="M5953">
        <v>14.021900163667899</v>
      </c>
      <c r="N5953">
        <v>48.213793699581501</v>
      </c>
      <c r="O5953">
        <v>47.243054314777702</v>
      </c>
      <c r="P5953">
        <v>-7.3970705072221005E-2</v>
      </c>
      <c r="Q5953">
        <v>3.2327595264268899E-3</v>
      </c>
      <c r="R5953">
        <v>0.99150792286531997</v>
      </c>
      <c r="S5953" t="s">
        <v>12521</v>
      </c>
      <c r="T5953" t="s">
        <v>13134</v>
      </c>
      <c r="U5953" t="s">
        <v>13134</v>
      </c>
      <c r="V5953" t="s">
        <v>13134</v>
      </c>
      <c r="W5953" t="s">
        <v>19020</v>
      </c>
      <c r="X5953">
        <v>9</v>
      </c>
      <c r="Y5953" t="s">
        <v>25381</v>
      </c>
      <c r="Z5953" t="s">
        <v>31921</v>
      </c>
      <c r="AA5953">
        <v>0.39947595420506737</v>
      </c>
      <c r="AB5953" t="str">
        <f>HYPERLINK("Melting_Curves/meltCurve_Q9NWS0_PIH1D1.pdf", "Melting_Curves/meltCurve_Q9NWS0_PIH1D1.pdf")</f>
        <v>Melting_Curves/meltCurve_Q9NWS0_PIH1D1.pdf</v>
      </c>
    </row>
    <row r="5954" spans="1:28" x14ac:dyDescent="0.25">
      <c r="A5954" t="s">
        <v>5958</v>
      </c>
      <c r="B5954">
        <v>0.99472303558308395</v>
      </c>
      <c r="C5954">
        <v>1.0515808812901899</v>
      </c>
      <c r="D5954">
        <v>0.96634810722476805</v>
      </c>
      <c r="E5954">
        <v>0.68401365006064896</v>
      </c>
      <c r="F5954">
        <v>0.137746832923133</v>
      </c>
      <c r="G5954">
        <v>9.7028823042849502E-2</v>
      </c>
      <c r="H5954">
        <v>5.9647451777052697E-2</v>
      </c>
      <c r="I5954">
        <v>4.6954590342619097E-2</v>
      </c>
      <c r="J5954">
        <v>6.7539923922709993E-2</v>
      </c>
      <c r="K5954">
        <v>3.2934335352625597E-2</v>
      </c>
      <c r="L5954">
        <v>1903.1674184845399</v>
      </c>
      <c r="M5954">
        <v>40.172409302840798</v>
      </c>
      <c r="N5954">
        <v>47.519759833382501</v>
      </c>
      <c r="O5954">
        <v>47.258071221908999</v>
      </c>
      <c r="P5954">
        <v>-0.20027517261980199</v>
      </c>
      <c r="Q5954">
        <v>5.7602507434338299E-2</v>
      </c>
      <c r="R5954">
        <v>0.99726510846091698</v>
      </c>
      <c r="S5954" t="s">
        <v>12522</v>
      </c>
      <c r="T5954" t="s">
        <v>13134</v>
      </c>
      <c r="U5954" t="s">
        <v>13134</v>
      </c>
      <c r="V5954" t="s">
        <v>13134</v>
      </c>
      <c r="W5954" t="s">
        <v>19021</v>
      </c>
      <c r="X5954">
        <v>7</v>
      </c>
      <c r="Y5954" t="s">
        <v>25382</v>
      </c>
      <c r="Z5954" t="s">
        <v>31922</v>
      </c>
      <c r="AA5954">
        <v>0.38657454382346762</v>
      </c>
      <c r="AB5954" t="str">
        <f>HYPERLINK("Melting_Curves/meltCurve_Q9NWS6_FAM118A.pdf", "Melting_Curves/meltCurve_Q9NWS6_FAM118A.pdf")</f>
        <v>Melting_Curves/meltCurve_Q9NWS6_FAM118A.pdf</v>
      </c>
    </row>
    <row r="5955" spans="1:28" x14ac:dyDescent="0.25">
      <c r="A5955" t="s">
        <v>5959</v>
      </c>
      <c r="B5955">
        <v>0.99472303558308395</v>
      </c>
      <c r="C5955">
        <v>0.83732276589064003</v>
      </c>
      <c r="D5955">
        <v>0.78750763257994205</v>
      </c>
      <c r="E5955">
        <v>0.65365165117018198</v>
      </c>
      <c r="F5955">
        <v>0.57790033353688797</v>
      </c>
      <c r="G5955">
        <v>0.117417169138146</v>
      </c>
      <c r="H5955">
        <v>7.4794958373744502E-2</v>
      </c>
      <c r="I5955">
        <v>5.04100457724099E-2</v>
      </c>
      <c r="J5955">
        <v>5.0369547799634401E-2</v>
      </c>
      <c r="K5955">
        <v>4.3299866509248199E-2</v>
      </c>
      <c r="L5955">
        <v>612.39815811763697</v>
      </c>
      <c r="M5955">
        <v>12.551565106210999</v>
      </c>
      <c r="N5955">
        <v>48.790581351527699</v>
      </c>
      <c r="O5955">
        <v>47.601776655104899</v>
      </c>
      <c r="P5955">
        <v>-6.5932973755151794E-2</v>
      </c>
      <c r="Q5955">
        <v>0</v>
      </c>
      <c r="R5955">
        <v>0.95527187772472399</v>
      </c>
      <c r="S5955" t="s">
        <v>12523</v>
      </c>
      <c r="T5955" t="s">
        <v>13134</v>
      </c>
      <c r="U5955" t="s">
        <v>13134</v>
      </c>
      <c r="V5955" t="s">
        <v>13134</v>
      </c>
      <c r="W5955" t="s">
        <v>19022</v>
      </c>
      <c r="X5955">
        <v>6</v>
      </c>
      <c r="Y5955" t="s">
        <v>25383</v>
      </c>
      <c r="Z5955" t="s">
        <v>31923</v>
      </c>
      <c r="AA5955">
        <v>0.4212731240677387</v>
      </c>
      <c r="AB5955" t="str">
        <f>HYPERLINK("Melting_Curves/meltCurve_Q9NWS8_RMND1.pdf", "Melting_Curves/meltCurve_Q9NWS8_RMND1.pdf")</f>
        <v>Melting_Curves/meltCurve_Q9NWS8_RMND1.pdf</v>
      </c>
    </row>
    <row r="5956" spans="1:28" x14ac:dyDescent="0.25">
      <c r="A5956" t="s">
        <v>5960</v>
      </c>
      <c r="B5956">
        <v>0.99472303558308395</v>
      </c>
      <c r="C5956">
        <v>0.87443431458690501</v>
      </c>
      <c r="D5956">
        <v>0.817691664671088</v>
      </c>
      <c r="E5956">
        <v>0.69043487450041996</v>
      </c>
      <c r="F5956">
        <v>0.59004469026061002</v>
      </c>
      <c r="G5956">
        <v>0.23617539852432701</v>
      </c>
      <c r="H5956">
        <v>0.28540036965521298</v>
      </c>
      <c r="I5956">
        <v>0.59576051798029195</v>
      </c>
      <c r="J5956">
        <v>0.24440506584729399</v>
      </c>
      <c r="K5956">
        <v>7.6276710322047594E-2</v>
      </c>
      <c r="L5956">
        <v>459.470610848121</v>
      </c>
      <c r="M5956">
        <v>9.4509549768384193</v>
      </c>
      <c r="N5956">
        <v>50.952448759699898</v>
      </c>
      <c r="O5956">
        <v>46.588854559364897</v>
      </c>
      <c r="P5956">
        <v>-4.1823091747665402E-2</v>
      </c>
      <c r="Q5956">
        <v>0.175822911653785</v>
      </c>
      <c r="R5956">
        <v>0.81496876859798795</v>
      </c>
      <c r="S5956" t="s">
        <v>12524</v>
      </c>
      <c r="T5956" t="s">
        <v>13134</v>
      </c>
      <c r="U5956" t="s">
        <v>13134</v>
      </c>
      <c r="V5956" t="s">
        <v>13134</v>
      </c>
      <c r="W5956" t="s">
        <v>19023</v>
      </c>
      <c r="X5956">
        <v>2</v>
      </c>
      <c r="Y5956" t="s">
        <v>25384</v>
      </c>
      <c r="Z5956" t="s">
        <v>31924</v>
      </c>
      <c r="AA5956">
        <v>0.5286373605366339</v>
      </c>
      <c r="AB5956" t="str">
        <f>HYPERLINK("Melting_Curves/meltCurve_Q9NWT1_PAK1IP1.pdf", "Melting_Curves/meltCurve_Q9NWT1_PAK1IP1.pdf")</f>
        <v>Melting_Curves/meltCurve_Q9NWT1_PAK1IP1.pdf</v>
      </c>
    </row>
    <row r="5957" spans="1:28" x14ac:dyDescent="0.25">
      <c r="A5957" t="s">
        <v>5961</v>
      </c>
      <c r="B5957">
        <v>0.99472303558308395</v>
      </c>
      <c r="C5957">
        <v>1.04100689275174</v>
      </c>
      <c r="D5957">
        <v>0.83678440868609005</v>
      </c>
      <c r="E5957">
        <v>0.80441151605908101</v>
      </c>
      <c r="F5957">
        <v>0.56915382136992898</v>
      </c>
      <c r="G5957">
        <v>0.34285316442059</v>
      </c>
      <c r="H5957">
        <v>0.12318612693755</v>
      </c>
      <c r="I5957">
        <v>0.15319867394567399</v>
      </c>
      <c r="J5957">
        <v>9.9933323863187498E-2</v>
      </c>
      <c r="K5957">
        <v>9.3345843388919506E-2</v>
      </c>
      <c r="L5957">
        <v>735.25709625551701</v>
      </c>
      <c r="M5957">
        <v>14.560493884940101</v>
      </c>
      <c r="N5957">
        <v>50.9020621226937</v>
      </c>
      <c r="O5957">
        <v>49.572895949017898</v>
      </c>
      <c r="P5957">
        <v>-6.9417911857302103E-2</v>
      </c>
      <c r="Q5957">
        <v>5.4741853528066098E-2</v>
      </c>
      <c r="R5957">
        <v>0.98561544598018402</v>
      </c>
      <c r="S5957" t="s">
        <v>12525</v>
      </c>
      <c r="T5957" t="s">
        <v>13134</v>
      </c>
      <c r="U5957" t="s">
        <v>13134</v>
      </c>
      <c r="V5957" t="s">
        <v>13134</v>
      </c>
      <c r="W5957" t="s">
        <v>19024</v>
      </c>
      <c r="X5957">
        <v>3</v>
      </c>
      <c r="Y5957" t="s">
        <v>25385</v>
      </c>
      <c r="Z5957" t="s">
        <v>31925</v>
      </c>
      <c r="AA5957">
        <v>0.500226100838425</v>
      </c>
      <c r="AB5957" t="str">
        <f>HYPERLINK("Melting_Curves/meltCurve_Q9NWT6_HIF1AN.pdf", "Melting_Curves/meltCurve_Q9NWT6_HIF1AN.pdf")</f>
        <v>Melting_Curves/meltCurve_Q9NWT6_HIF1AN.pdf</v>
      </c>
    </row>
    <row r="5958" spans="1:28" x14ac:dyDescent="0.25">
      <c r="A5958" t="s">
        <v>5962</v>
      </c>
      <c r="B5958">
        <v>0.99472303558308395</v>
      </c>
      <c r="C5958">
        <v>1.0744767739443399</v>
      </c>
      <c r="D5958">
        <v>1.0278904427301401</v>
      </c>
      <c r="E5958">
        <v>0.84155740555202796</v>
      </c>
      <c r="F5958">
        <v>0.58125801945918898</v>
      </c>
      <c r="G5958">
        <v>0.31579486507733601</v>
      </c>
      <c r="H5958">
        <v>0.16079487634040401</v>
      </c>
      <c r="I5958">
        <v>0.140308715314298</v>
      </c>
      <c r="J5958">
        <v>9.9888813569588605E-2</v>
      </c>
      <c r="K5958">
        <v>0.117578815916161</v>
      </c>
      <c r="L5958">
        <v>1042.662234094</v>
      </c>
      <c r="M5958">
        <v>20.637855514978799</v>
      </c>
      <c r="N5958">
        <v>51.0994508308939</v>
      </c>
      <c r="O5958">
        <v>50.0546548855013</v>
      </c>
      <c r="P5958">
        <v>-9.2355571930134495E-2</v>
      </c>
      <c r="Q5958">
        <v>0.104036112655279</v>
      </c>
      <c r="R5958">
        <v>0.99345302745394704</v>
      </c>
      <c r="S5958" t="s">
        <v>12526</v>
      </c>
      <c r="T5958" t="s">
        <v>13134</v>
      </c>
      <c r="U5958" t="s">
        <v>13134</v>
      </c>
      <c r="V5958" t="s">
        <v>13134</v>
      </c>
      <c r="W5958" t="s">
        <v>19025</v>
      </c>
      <c r="X5958">
        <v>1</v>
      </c>
      <c r="Y5958" t="s">
        <v>25386</v>
      </c>
      <c r="Z5958" t="s">
        <v>31926</v>
      </c>
      <c r="AA5958">
        <v>0.51902491492446701</v>
      </c>
      <c r="AB5958" t="str">
        <f>HYPERLINK("Melting_Curves/meltCurve_Q9NWT8_AURKAIP1.pdf", "Melting_Curves/meltCurve_Q9NWT8_AURKAIP1.pdf")</f>
        <v>Melting_Curves/meltCurve_Q9NWT8_AURKAIP1.pdf</v>
      </c>
    </row>
    <row r="5959" spans="1:28" x14ac:dyDescent="0.25">
      <c r="A5959" t="s">
        <v>5963</v>
      </c>
      <c r="B5959">
        <v>0.99472303558308395</v>
      </c>
      <c r="C5959">
        <v>0.95586727364249502</v>
      </c>
      <c r="D5959">
        <v>0.98167994011206405</v>
      </c>
      <c r="E5959">
        <v>0.83384789026689399</v>
      </c>
      <c r="F5959">
        <v>0.64472419016453297</v>
      </c>
      <c r="G5959">
        <v>0.56841687151945297</v>
      </c>
      <c r="H5959">
        <v>0.50079943683781902</v>
      </c>
      <c r="I5959">
        <v>0.47452613874476002</v>
      </c>
      <c r="J5959">
        <v>0.621416789707257</v>
      </c>
      <c r="K5959">
        <v>0.49130222550910901</v>
      </c>
      <c r="L5959">
        <v>1127.0659794782</v>
      </c>
      <c r="M5959">
        <v>23.5241043006905</v>
      </c>
      <c r="O5959">
        <v>47.568912344354999</v>
      </c>
      <c r="P5959">
        <v>-5.9144975910486501E-2</v>
      </c>
      <c r="Q5959">
        <v>0.52161170921506705</v>
      </c>
      <c r="R5959">
        <v>0.96082829461660202</v>
      </c>
      <c r="S5959" t="s">
        <v>12527</v>
      </c>
      <c r="T5959" t="s">
        <v>13134</v>
      </c>
      <c r="U5959" t="s">
        <v>13134</v>
      </c>
      <c r="V5959" t="s">
        <v>13134</v>
      </c>
      <c r="W5959" t="s">
        <v>19026</v>
      </c>
      <c r="X5959">
        <v>11</v>
      </c>
      <c r="Y5959" t="s">
        <v>25387</v>
      </c>
      <c r="Z5959" t="s">
        <v>31927</v>
      </c>
      <c r="AA5959">
        <v>0.70019412405736026</v>
      </c>
      <c r="AB5959" t="str">
        <f>HYPERLINK("Melting_Curves/meltCurve_Q9NWU1_OXSM.pdf", "Melting_Curves/meltCurve_Q9NWU1_OXSM.pdf")</f>
        <v>Melting_Curves/meltCurve_Q9NWU1_OXSM.pdf</v>
      </c>
    </row>
    <row r="5960" spans="1:28" x14ac:dyDescent="0.25">
      <c r="A5960" t="s">
        <v>5964</v>
      </c>
      <c r="B5960">
        <v>0.99472303558308395</v>
      </c>
      <c r="C5960">
        <v>1.08252895017138</v>
      </c>
      <c r="D5960">
        <v>0.76620518467546395</v>
      </c>
      <c r="E5960">
        <v>0.68517355107573896</v>
      </c>
      <c r="F5960">
        <v>0.63492763607024105</v>
      </c>
      <c r="G5960">
        <v>0.28191949651250198</v>
      </c>
      <c r="H5960">
        <v>0.20417550680895999</v>
      </c>
      <c r="I5960">
        <v>0.151921972587928</v>
      </c>
      <c r="J5960">
        <v>0.20026445252370001</v>
      </c>
      <c r="K5960">
        <v>0.141103565073051</v>
      </c>
      <c r="L5960">
        <v>611.64885588624202</v>
      </c>
      <c r="M5960">
        <v>12.3498348423929</v>
      </c>
      <c r="N5960">
        <v>50.432873650977498</v>
      </c>
      <c r="O5960">
        <v>48.282025727113002</v>
      </c>
      <c r="P5960">
        <v>-5.75970817917274E-2</v>
      </c>
      <c r="Q5960">
        <v>9.9484314421941097E-2</v>
      </c>
      <c r="R5960">
        <v>0.95475680218579895</v>
      </c>
      <c r="S5960" t="s">
        <v>12528</v>
      </c>
      <c r="T5960" t="s">
        <v>13134</v>
      </c>
      <c r="U5960" t="s">
        <v>13134</v>
      </c>
      <c r="V5960" t="s">
        <v>13134</v>
      </c>
      <c r="W5960" t="s">
        <v>19027</v>
      </c>
      <c r="X5960">
        <v>8</v>
      </c>
      <c r="Y5960" t="s">
        <v>25388</v>
      </c>
      <c r="Z5960" t="s">
        <v>31928</v>
      </c>
      <c r="AA5960">
        <v>0.50054616891978798</v>
      </c>
      <c r="AB5960" t="str">
        <f>HYPERLINK("Melting_Curves/meltCurve_Q9NWU2_GID8.pdf", "Melting_Curves/meltCurve_Q9NWU2_GID8.pdf")</f>
        <v>Melting_Curves/meltCurve_Q9NWU2_GID8.pdf</v>
      </c>
    </row>
    <row r="5961" spans="1:28" x14ac:dyDescent="0.25">
      <c r="A5961" t="s">
        <v>5965</v>
      </c>
      <c r="B5961">
        <v>0.99472303558308395</v>
      </c>
      <c r="C5961">
        <v>1.0172579671976101</v>
      </c>
      <c r="D5961">
        <v>1.0250528235636001</v>
      </c>
      <c r="E5961">
        <v>1.0052188758556599</v>
      </c>
      <c r="F5961">
        <v>0.72407587852066602</v>
      </c>
      <c r="G5961">
        <v>0.35782213281672998</v>
      </c>
      <c r="H5961">
        <v>9.6281348197068295E-2</v>
      </c>
      <c r="I5961">
        <v>5.8020756807797703E-2</v>
      </c>
      <c r="J5961">
        <v>6.0079509436883401E-2</v>
      </c>
      <c r="K5961">
        <v>5.2387332745098401E-2</v>
      </c>
      <c r="L5961">
        <v>1408.31200310393</v>
      </c>
      <c r="M5961">
        <v>27.0129270946139</v>
      </c>
      <c r="N5961">
        <v>52.3166158075189</v>
      </c>
      <c r="O5961">
        <v>51.851538470281099</v>
      </c>
      <c r="P5961">
        <v>-0.12440593388202301</v>
      </c>
      <c r="Q5961">
        <v>4.4816537976534697E-2</v>
      </c>
      <c r="R5961">
        <v>0.99737490100343495</v>
      </c>
      <c r="S5961" t="s">
        <v>12529</v>
      </c>
      <c r="T5961" t="s">
        <v>13134</v>
      </c>
      <c r="U5961" t="s">
        <v>13134</v>
      </c>
      <c r="V5961" t="s">
        <v>13134</v>
      </c>
      <c r="W5961" t="s">
        <v>19028</v>
      </c>
      <c r="X5961">
        <v>8</v>
      </c>
      <c r="Y5961" t="s">
        <v>25389</v>
      </c>
      <c r="Z5961" t="s">
        <v>31929</v>
      </c>
      <c r="AA5961">
        <v>0.53404976203381671</v>
      </c>
      <c r="AB5961" t="str">
        <f>HYPERLINK("Melting_Curves/meltCurve_Q9NWV4_C1orf123.pdf", "Melting_Curves/meltCurve_Q9NWV4_C1orf123.pdf")</f>
        <v>Melting_Curves/meltCurve_Q9NWV4_C1orf123.pdf</v>
      </c>
    </row>
    <row r="5962" spans="1:28" x14ac:dyDescent="0.25">
      <c r="A5962" t="s">
        <v>5966</v>
      </c>
      <c r="B5962">
        <v>0.99472303558308395</v>
      </c>
      <c r="C5962">
        <v>0.96506678696385895</v>
      </c>
      <c r="D5962">
        <v>0.87163853328519503</v>
      </c>
      <c r="E5962">
        <v>0.81001377020766996</v>
      </c>
      <c r="F5962">
        <v>0.73724179561526304</v>
      </c>
      <c r="G5962">
        <v>0.44604917231813701</v>
      </c>
      <c r="H5962">
        <v>0.29166364380502602</v>
      </c>
      <c r="I5962">
        <v>0.129977888185385</v>
      </c>
      <c r="J5962">
        <v>0.103256744204479</v>
      </c>
      <c r="K5962">
        <v>0.110352625433249</v>
      </c>
      <c r="L5962">
        <v>630.41845210322003</v>
      </c>
      <c r="M5962">
        <v>11.8795060118865</v>
      </c>
      <c r="N5962">
        <v>53.067733275131403</v>
      </c>
      <c r="O5962">
        <v>51.630975948132601</v>
      </c>
      <c r="P5962">
        <v>-5.7535635027088403E-2</v>
      </c>
      <c r="Q5962">
        <v>0</v>
      </c>
      <c r="R5962">
        <v>0.98782721609258695</v>
      </c>
      <c r="S5962" t="s">
        <v>12530</v>
      </c>
      <c r="T5962" t="s">
        <v>13134</v>
      </c>
      <c r="U5962" t="s">
        <v>13134</v>
      </c>
      <c r="V5962" t="s">
        <v>13134</v>
      </c>
      <c r="W5962" t="s">
        <v>19029</v>
      </c>
      <c r="X5962">
        <v>11</v>
      </c>
      <c r="Y5962" t="s">
        <v>25390</v>
      </c>
      <c r="Z5962" t="s">
        <v>31930</v>
      </c>
      <c r="AA5962">
        <v>0.55657531994673226</v>
      </c>
      <c r="AB5962" t="str">
        <f>HYPERLINK("Melting_Curves/meltCurve_Q9NWX6_THG1L.pdf", "Melting_Curves/meltCurve_Q9NWX6_THG1L.pdf")</f>
        <v>Melting_Curves/meltCurve_Q9NWX6_THG1L.pdf</v>
      </c>
    </row>
    <row r="5963" spans="1:28" x14ac:dyDescent="0.25">
      <c r="A5963" t="s">
        <v>5967</v>
      </c>
      <c r="B5963">
        <v>0.99472303558308395</v>
      </c>
      <c r="C5963">
        <v>0.942048619441052</v>
      </c>
      <c r="D5963">
        <v>0.76266854607970502</v>
      </c>
      <c r="E5963">
        <v>0.29990398534385698</v>
      </c>
      <c r="F5963">
        <v>0.14800442320197199</v>
      </c>
      <c r="G5963">
        <v>9.5675179158353593E-2</v>
      </c>
      <c r="H5963">
        <v>6.1985210132224203E-2</v>
      </c>
      <c r="I5963">
        <v>5.1548165420362099E-2</v>
      </c>
      <c r="J5963">
        <v>4.9928424970780899E-2</v>
      </c>
      <c r="K5963">
        <v>4.52576358274853E-2</v>
      </c>
      <c r="L5963">
        <v>1086.6340726979599</v>
      </c>
      <c r="M5963">
        <v>24.266458292405002</v>
      </c>
      <c r="N5963">
        <v>45.010501569306697</v>
      </c>
      <c r="O5963">
        <v>44.478487913132703</v>
      </c>
      <c r="P5963">
        <v>-0.12840292304250001</v>
      </c>
      <c r="Q5963">
        <v>5.86049274164386E-2</v>
      </c>
      <c r="R5963">
        <v>0.99836594915677501</v>
      </c>
      <c r="S5963" t="s">
        <v>12531</v>
      </c>
      <c r="T5963" t="s">
        <v>13134</v>
      </c>
      <c r="U5963" t="s">
        <v>13134</v>
      </c>
      <c r="V5963" t="s">
        <v>13134</v>
      </c>
      <c r="W5963" t="s">
        <v>19030</v>
      </c>
      <c r="X5963">
        <v>8</v>
      </c>
      <c r="Y5963" t="s">
        <v>25391</v>
      </c>
      <c r="Z5963" t="s">
        <v>31931</v>
      </c>
      <c r="AA5963">
        <v>0.31093947595328331</v>
      </c>
      <c r="AB5963" t="str">
        <f>HYPERLINK("Melting_Curves/meltCurve_Q9NWY4_C4orf27.pdf", "Melting_Curves/meltCurve_Q9NWY4_C4orf27.pdf")</f>
        <v>Melting_Curves/meltCurve_Q9NWY4_C4orf27.pdf</v>
      </c>
    </row>
    <row r="5964" spans="1:28" x14ac:dyDescent="0.25">
      <c r="A5964" t="s">
        <v>5968</v>
      </c>
      <c r="B5964">
        <v>0.99472303558308395</v>
      </c>
      <c r="C5964">
        <v>1.0358703563779901</v>
      </c>
      <c r="D5964">
        <v>1.0645541568249499</v>
      </c>
      <c r="E5964">
        <v>0.61367031062278099</v>
      </c>
      <c r="F5964">
        <v>0.11688618290293799</v>
      </c>
      <c r="G5964">
        <v>6.4181681865641702E-2</v>
      </c>
      <c r="H5964">
        <v>3.60683491944453E-2</v>
      </c>
      <c r="I5964">
        <v>3.3513423377815502E-2</v>
      </c>
      <c r="J5964">
        <v>4.77713999592966E-2</v>
      </c>
      <c r="K5964">
        <v>3.6879051848411497E-2</v>
      </c>
      <c r="L5964">
        <v>2191.1501321851001</v>
      </c>
      <c r="M5964">
        <v>46.599292040817602</v>
      </c>
      <c r="N5964">
        <v>47.120718260813</v>
      </c>
      <c r="O5964">
        <v>46.934760136097701</v>
      </c>
      <c r="P5964">
        <v>-0.2365719970504</v>
      </c>
      <c r="Q5964">
        <v>4.6900902349531502E-2</v>
      </c>
      <c r="R5964">
        <v>0.995714464574463</v>
      </c>
      <c r="S5964" t="s">
        <v>12532</v>
      </c>
      <c r="T5964" t="s">
        <v>13134</v>
      </c>
      <c r="U5964" t="s">
        <v>13134</v>
      </c>
      <c r="V5964" t="s">
        <v>13134</v>
      </c>
      <c r="W5964" t="s">
        <v>19031</v>
      </c>
      <c r="X5964">
        <v>8</v>
      </c>
      <c r="Y5964" t="s">
        <v>25392</v>
      </c>
      <c r="Z5964" t="s">
        <v>31932</v>
      </c>
      <c r="AA5964">
        <v>0.36754890509150512</v>
      </c>
      <c r="AB5964" t="str">
        <f>HYPERLINK("Melting_Curves/meltCurve_Q9NWZ3_IRAK4.pdf", "Melting_Curves/meltCurve_Q9NWZ3_IRAK4.pdf")</f>
        <v>Melting_Curves/meltCurve_Q9NWZ3_IRAK4.pdf</v>
      </c>
    </row>
    <row r="5965" spans="1:28" x14ac:dyDescent="0.25">
      <c r="A5965" t="s">
        <v>5969</v>
      </c>
      <c r="B5965">
        <v>0.99472303558308395</v>
      </c>
      <c r="C5965">
        <v>0.74459885864421205</v>
      </c>
      <c r="D5965">
        <v>0.98532555730251303</v>
      </c>
      <c r="E5965">
        <v>0.76853221663938298</v>
      </c>
      <c r="F5965">
        <v>0.44087513982452398</v>
      </c>
      <c r="G5965">
        <v>0.110104497143189</v>
      </c>
      <c r="H5965">
        <v>6.8791885939243694E-2</v>
      </c>
      <c r="I5965">
        <v>5.7191461330741697E-2</v>
      </c>
      <c r="J5965">
        <v>4.7918537778907297E-2</v>
      </c>
      <c r="K5965">
        <v>4.0180015008690402E-2</v>
      </c>
      <c r="L5965">
        <v>1075.9866530796101</v>
      </c>
      <c r="M5965">
        <v>21.881500293749401</v>
      </c>
      <c r="N5965">
        <v>49.319178288845997</v>
      </c>
      <c r="O5965">
        <v>48.768173945737303</v>
      </c>
      <c r="P5965">
        <v>-0.108659769033294</v>
      </c>
      <c r="Q5965">
        <v>3.1324617536157201E-2</v>
      </c>
      <c r="R5965">
        <v>0.95583551023094404</v>
      </c>
      <c r="S5965" t="s">
        <v>12533</v>
      </c>
      <c r="T5965" t="s">
        <v>13134</v>
      </c>
      <c r="U5965" t="s">
        <v>13134</v>
      </c>
      <c r="V5965" t="s">
        <v>13134</v>
      </c>
      <c r="W5965" t="s">
        <v>19032</v>
      </c>
      <c r="X5965">
        <v>4</v>
      </c>
      <c r="Y5965" t="s">
        <v>25393</v>
      </c>
      <c r="Z5965" t="s">
        <v>31933</v>
      </c>
      <c r="AA5965">
        <v>0.43520808922974841</v>
      </c>
      <c r="AB5965" t="str">
        <f>HYPERLINK("Melting_Curves/meltCurve_Q9NX01_TXNL4B.pdf", "Melting_Curves/meltCurve_Q9NX01_TXNL4B.pdf")</f>
        <v>Melting_Curves/meltCurve_Q9NX01_TXNL4B.pdf</v>
      </c>
    </row>
    <row r="5966" spans="1:28" x14ac:dyDescent="0.25">
      <c r="A5966" t="s">
        <v>5970</v>
      </c>
      <c r="B5966">
        <v>0.99472303558308395</v>
      </c>
      <c r="C5966">
        <v>0.91285561070611398</v>
      </c>
      <c r="D5966">
        <v>0.84806441772061203</v>
      </c>
      <c r="E5966">
        <v>0.438067927230401</v>
      </c>
      <c r="F5966">
        <v>0.184200660219347</v>
      </c>
      <c r="G5966">
        <v>8.6243838303363393E-2</v>
      </c>
      <c r="H5966">
        <v>5.2001900491294002E-2</v>
      </c>
      <c r="I5966">
        <v>3.6287865797782599E-2</v>
      </c>
      <c r="J5966">
        <v>3.8249010575430897E-2</v>
      </c>
      <c r="K5966">
        <v>3.8074139003505002E-2</v>
      </c>
      <c r="L5966">
        <v>961.96494091864804</v>
      </c>
      <c r="M5966">
        <v>20.914932383852999</v>
      </c>
      <c r="N5966">
        <v>46.160864692036803</v>
      </c>
      <c r="O5966">
        <v>45.579888532631898</v>
      </c>
      <c r="P5966">
        <v>-0.11054626286704899</v>
      </c>
      <c r="Q5966">
        <v>3.6372920118681498E-2</v>
      </c>
      <c r="R5966">
        <v>0.99750605485841104</v>
      </c>
      <c r="S5966" t="s">
        <v>12534</v>
      </c>
      <c r="T5966" t="s">
        <v>13134</v>
      </c>
      <c r="U5966" t="s">
        <v>13134</v>
      </c>
      <c r="V5966" t="s">
        <v>13134</v>
      </c>
      <c r="W5966" t="s">
        <v>19033</v>
      </c>
      <c r="X5966">
        <v>24</v>
      </c>
      <c r="Y5966" t="s">
        <v>25394</v>
      </c>
      <c r="Z5966" t="s">
        <v>31934</v>
      </c>
      <c r="AA5966">
        <v>0.336776470430449</v>
      </c>
      <c r="AB5966" t="str">
        <f>HYPERLINK("Melting_Curves/meltCurve_Q9NX02_5_NLRP2.pdf", "Melting_Curves/meltCurve_Q9NX02_5_NLRP2.pdf")</f>
        <v>Melting_Curves/meltCurve_Q9NX02_5_NLRP2.pdf</v>
      </c>
    </row>
    <row r="5967" spans="1:28" x14ac:dyDescent="0.25">
      <c r="A5967" t="s">
        <v>5971</v>
      </c>
      <c r="B5967">
        <v>0.99472303558308395</v>
      </c>
      <c r="C5967">
        <v>0.92804105489286104</v>
      </c>
      <c r="D5967">
        <v>0.82215158692630597</v>
      </c>
      <c r="E5967">
        <v>0.75071575451566996</v>
      </c>
      <c r="F5967">
        <v>1.09472608697185</v>
      </c>
      <c r="G5967">
        <v>0.56488225328680797</v>
      </c>
      <c r="H5967">
        <v>0.40852338911234998</v>
      </c>
      <c r="I5967">
        <v>0.25256247414705901</v>
      </c>
      <c r="J5967">
        <v>0.41908489155041101</v>
      </c>
      <c r="K5967">
        <v>0.244760744438658</v>
      </c>
      <c r="L5967">
        <v>9459.5593658290109</v>
      </c>
      <c r="M5967">
        <v>176.449989403318</v>
      </c>
      <c r="N5967">
        <v>53.942449167341103</v>
      </c>
      <c r="O5967">
        <v>53.603526669846303</v>
      </c>
      <c r="P5967">
        <v>-0.55035716598822604</v>
      </c>
      <c r="Q5967">
        <v>0.33123049552342299</v>
      </c>
      <c r="R5967">
        <v>0.84530997842158395</v>
      </c>
      <c r="S5967" t="s">
        <v>12535</v>
      </c>
      <c r="T5967" t="s">
        <v>13134</v>
      </c>
      <c r="U5967" t="s">
        <v>13134</v>
      </c>
      <c r="V5967" t="s">
        <v>13134</v>
      </c>
      <c r="W5967" t="s">
        <v>19034</v>
      </c>
      <c r="X5967">
        <v>2</v>
      </c>
      <c r="Y5967" t="s">
        <v>25395</v>
      </c>
      <c r="Z5967" t="s">
        <v>31935</v>
      </c>
      <c r="AA5967">
        <v>0.70164174558491044</v>
      </c>
      <c r="AB5967" t="str">
        <f>HYPERLINK("Melting_Curves/meltCurve_Q9NX04_C1orf109.pdf", "Melting_Curves/meltCurve_Q9NX04_C1orf109.pdf")</f>
        <v>Melting_Curves/meltCurve_Q9NX04_C1orf109.pdf</v>
      </c>
    </row>
    <row r="5968" spans="1:28" x14ac:dyDescent="0.25">
      <c r="A5968" t="s">
        <v>5972</v>
      </c>
      <c r="B5968">
        <v>0.99472303558308395</v>
      </c>
      <c r="C5968">
        <v>0.87241133193632903</v>
      </c>
      <c r="D5968">
        <v>0.71510531947035305</v>
      </c>
      <c r="E5968">
        <v>0.228726975210992</v>
      </c>
      <c r="F5968">
        <v>0.114759057335663</v>
      </c>
      <c r="G5968">
        <v>9.1570474116146106E-2</v>
      </c>
      <c r="H5968">
        <v>5.9077919051503898E-2</v>
      </c>
      <c r="I5968">
        <v>4.10707534563498E-2</v>
      </c>
      <c r="J5968">
        <v>5.7075244095371597E-2</v>
      </c>
      <c r="K5968">
        <v>3.4373872014135103E-2</v>
      </c>
      <c r="L5968">
        <v>1057.5882766302</v>
      </c>
      <c r="M5968">
        <v>23.942069134839699</v>
      </c>
      <c r="N5968">
        <v>44.374899755267002</v>
      </c>
      <c r="O5968">
        <v>43.868076080438797</v>
      </c>
      <c r="P5968">
        <v>-0.129397895789267</v>
      </c>
      <c r="Q5968">
        <v>5.1652741494104801E-2</v>
      </c>
      <c r="R5968">
        <v>0.99412050406626196</v>
      </c>
      <c r="S5968" t="s">
        <v>12536</v>
      </c>
      <c r="T5968" t="s">
        <v>13134</v>
      </c>
      <c r="U5968" t="s">
        <v>13134</v>
      </c>
      <c r="V5968" t="s">
        <v>13134</v>
      </c>
      <c r="W5968" t="s">
        <v>19035</v>
      </c>
      <c r="X5968">
        <v>4</v>
      </c>
      <c r="Y5968" t="s">
        <v>25396</v>
      </c>
      <c r="Z5968" t="s">
        <v>31936</v>
      </c>
      <c r="AA5968">
        <v>0.28693852212910892</v>
      </c>
      <c r="AB5968" t="str">
        <f>HYPERLINK("Melting_Curves/meltCurve_Q9NX07_2_TRNAU1AP.pdf", "Melting_Curves/meltCurve_Q9NX07_2_TRNAU1AP.pdf")</f>
        <v>Melting_Curves/meltCurve_Q9NX07_2_TRNAU1AP.pdf</v>
      </c>
    </row>
    <row r="5969" spans="1:28" x14ac:dyDescent="0.25">
      <c r="A5969" t="s">
        <v>5973</v>
      </c>
      <c r="B5969">
        <v>0.99472303558308395</v>
      </c>
      <c r="C5969">
        <v>0.96029076952882197</v>
      </c>
      <c r="D5969">
        <v>0.76571658704440604</v>
      </c>
      <c r="E5969">
        <v>0.47700447153303699</v>
      </c>
      <c r="F5969">
        <v>0.24212520380571501</v>
      </c>
      <c r="G5969">
        <v>0.13285796497003799</v>
      </c>
      <c r="H5969">
        <v>8.5176925071036302E-2</v>
      </c>
      <c r="I5969">
        <v>7.7995994788553999E-2</v>
      </c>
      <c r="J5969">
        <v>7.5775914534204805E-2</v>
      </c>
      <c r="K5969">
        <v>6.7914945229391593E-2</v>
      </c>
      <c r="L5969">
        <v>803.14486752408698</v>
      </c>
      <c r="M5969">
        <v>17.488252891238599</v>
      </c>
      <c r="N5969">
        <v>46.295145979269599</v>
      </c>
      <c r="O5969">
        <v>45.336970122262002</v>
      </c>
      <c r="P5969">
        <v>-9.0145146775025595E-2</v>
      </c>
      <c r="Q5969">
        <v>6.5274199904174102E-2</v>
      </c>
      <c r="R5969">
        <v>0.99928316360732905</v>
      </c>
      <c r="S5969" t="s">
        <v>12537</v>
      </c>
      <c r="T5969" t="s">
        <v>13134</v>
      </c>
      <c r="U5969" t="s">
        <v>13134</v>
      </c>
      <c r="V5969" t="s">
        <v>13134</v>
      </c>
      <c r="W5969" t="s">
        <v>19036</v>
      </c>
      <c r="X5969">
        <v>2</v>
      </c>
      <c r="Y5969" t="s">
        <v>25397</v>
      </c>
      <c r="Z5969" t="s">
        <v>31937</v>
      </c>
      <c r="AA5969">
        <v>0.35936390941086949</v>
      </c>
      <c r="AB5969" t="str">
        <f>HYPERLINK("Melting_Curves/meltCurve_Q9NX08_COMMD8.pdf", "Melting_Curves/meltCurve_Q9NX08_COMMD8.pdf")</f>
        <v>Melting_Curves/meltCurve_Q9NX08_COMMD8.pdf</v>
      </c>
    </row>
    <row r="5970" spans="1:28" x14ac:dyDescent="0.25">
      <c r="A5970" t="s">
        <v>5974</v>
      </c>
      <c r="B5970">
        <v>0.99472303558308395</v>
      </c>
      <c r="C5970">
        <v>0.80605651036941695</v>
      </c>
      <c r="D5970">
        <v>0.66623845220737699</v>
      </c>
      <c r="E5970">
        <v>0.39989672252107</v>
      </c>
      <c r="F5970">
        <v>0.32897696230274798</v>
      </c>
      <c r="G5970">
        <v>0.21764579346047799</v>
      </c>
      <c r="H5970">
        <v>0.15491702461217799</v>
      </c>
      <c r="I5970">
        <v>9.6360967799116806E-2</v>
      </c>
      <c r="J5970">
        <v>0.151630047817507</v>
      </c>
      <c r="K5970">
        <v>0.13742718244987101</v>
      </c>
      <c r="L5970">
        <v>569.76867244677896</v>
      </c>
      <c r="M5970">
        <v>12.7998458084381</v>
      </c>
      <c r="N5970">
        <v>45.456779795181198</v>
      </c>
      <c r="O5970">
        <v>43.469179447469003</v>
      </c>
      <c r="P5970">
        <v>-6.5042621468560699E-2</v>
      </c>
      <c r="Q5970">
        <v>0.11660853464103101</v>
      </c>
      <c r="R5970">
        <v>0.98875972275170199</v>
      </c>
      <c r="S5970" t="s">
        <v>12538</v>
      </c>
      <c r="T5970" t="s">
        <v>13134</v>
      </c>
      <c r="U5970" t="s">
        <v>13134</v>
      </c>
      <c r="V5970" t="s">
        <v>13134</v>
      </c>
      <c r="W5970" t="s">
        <v>19037</v>
      </c>
      <c r="X5970">
        <v>3</v>
      </c>
      <c r="Y5970" t="s">
        <v>25398</v>
      </c>
      <c r="Z5970" t="s">
        <v>31938</v>
      </c>
      <c r="AA5970">
        <v>0.36715097302528898</v>
      </c>
      <c r="AB5970" t="str">
        <f>HYPERLINK("Melting_Curves/meltCurve_Q9NX09_DDIT4.pdf", "Melting_Curves/meltCurve_Q9NX09_DDIT4.pdf")</f>
        <v>Melting_Curves/meltCurve_Q9NX09_DDIT4.pdf</v>
      </c>
    </row>
    <row r="5971" spans="1:28" x14ac:dyDescent="0.25">
      <c r="A5971" t="s">
        <v>5975</v>
      </c>
      <c r="B5971">
        <v>0.99472303558308395</v>
      </c>
      <c r="C5971">
        <v>1.0088781280586401</v>
      </c>
      <c r="D5971">
        <v>0.95694302005818499</v>
      </c>
      <c r="E5971">
        <v>0.81927834044506198</v>
      </c>
      <c r="F5971">
        <v>0.62340855555241503</v>
      </c>
      <c r="G5971">
        <v>0.478620591695749</v>
      </c>
      <c r="H5971">
        <v>0.460277118436345</v>
      </c>
      <c r="I5971">
        <v>0.58384591886244996</v>
      </c>
      <c r="J5971">
        <v>0.88199823250289899</v>
      </c>
      <c r="K5971">
        <v>0.68488171890106697</v>
      </c>
      <c r="L5971">
        <v>2245.2358719792201</v>
      </c>
      <c r="M5971">
        <v>48.111330509807203</v>
      </c>
      <c r="O5971">
        <v>46.5870939893829</v>
      </c>
      <c r="P5971">
        <v>-9.8898415687501795E-2</v>
      </c>
      <c r="Q5971">
        <v>0.61693970076147198</v>
      </c>
      <c r="R5971">
        <v>0.69463043914074296</v>
      </c>
      <c r="S5971" t="s">
        <v>12539</v>
      </c>
      <c r="T5971" t="s">
        <v>13134</v>
      </c>
      <c r="U5971" t="s">
        <v>13134</v>
      </c>
      <c r="V5971" t="s">
        <v>13134</v>
      </c>
      <c r="W5971" t="s">
        <v>19038</v>
      </c>
      <c r="X5971">
        <v>4</v>
      </c>
      <c r="Y5971" t="s">
        <v>25399</v>
      </c>
      <c r="Z5971" t="s">
        <v>31939</v>
      </c>
      <c r="AA5971">
        <v>0.74123303949655506</v>
      </c>
      <c r="AB5971" t="str">
        <f>HYPERLINK("Melting_Curves/meltCurve_Q9NX14_NDUFB11.pdf", "Melting_Curves/meltCurve_Q9NX14_NDUFB11.pdf")</f>
        <v>Melting_Curves/meltCurve_Q9NX14_NDUFB11.pdf</v>
      </c>
    </row>
    <row r="5972" spans="1:28" x14ac:dyDescent="0.25">
      <c r="A5972" t="s">
        <v>5976</v>
      </c>
      <c r="B5972">
        <v>0.99472303558308395</v>
      </c>
      <c r="C5972">
        <v>0.84834382205849701</v>
      </c>
      <c r="D5972">
        <v>0.64064213941111003</v>
      </c>
      <c r="E5972">
        <v>0.37398867014764697</v>
      </c>
      <c r="F5972">
        <v>0.233249981146745</v>
      </c>
      <c r="G5972">
        <v>9.5680498727216706E-2</v>
      </c>
      <c r="H5972">
        <v>5.3763427026312302E-2</v>
      </c>
      <c r="I5972">
        <v>3.4019469857911697E-2</v>
      </c>
      <c r="J5972">
        <v>2.7895637726598501E-2</v>
      </c>
      <c r="K5972">
        <v>3.6771393631227403E-2</v>
      </c>
      <c r="L5972">
        <v>626.86600210721804</v>
      </c>
      <c r="M5972">
        <v>13.9717542266292</v>
      </c>
      <c r="N5972">
        <v>44.981590266376003</v>
      </c>
      <c r="O5972">
        <v>43.9775234363754</v>
      </c>
      <c r="P5972">
        <v>-7.8043350615449703E-2</v>
      </c>
      <c r="Q5972">
        <v>1.7533372778884001E-2</v>
      </c>
      <c r="R5972">
        <v>0.99703785915248799</v>
      </c>
      <c r="S5972" t="s">
        <v>12540</v>
      </c>
      <c r="T5972" t="s">
        <v>13134</v>
      </c>
      <c r="U5972" t="s">
        <v>13134</v>
      </c>
      <c r="V5972" t="s">
        <v>13134</v>
      </c>
      <c r="W5972" t="s">
        <v>19039</v>
      </c>
      <c r="X5972">
        <v>5</v>
      </c>
      <c r="Y5972" t="s">
        <v>25400</v>
      </c>
      <c r="Z5972" t="s">
        <v>31940</v>
      </c>
      <c r="AA5972">
        <v>0.30218669862467551</v>
      </c>
      <c r="AB5972" t="str">
        <f>HYPERLINK("Melting_Curves/meltCurve_Q9NX20_MRPL16.pdf", "Melting_Curves/meltCurve_Q9NX20_MRPL16.pdf")</f>
        <v>Melting_Curves/meltCurve_Q9NX20_MRPL16.pdf</v>
      </c>
    </row>
    <row r="5973" spans="1:28" x14ac:dyDescent="0.25">
      <c r="A5973" t="s">
        <v>5977</v>
      </c>
      <c r="B5973">
        <v>0.99472303558308395</v>
      </c>
      <c r="C5973">
        <v>0.991840387247369</v>
      </c>
      <c r="D5973">
        <v>0.833006593925809</v>
      </c>
      <c r="E5973">
        <v>0.65776969155308596</v>
      </c>
      <c r="F5973">
        <v>0.65363548293095497</v>
      </c>
      <c r="G5973">
        <v>0.328225280702103</v>
      </c>
      <c r="H5973">
        <v>0.27982694609539999</v>
      </c>
      <c r="I5973">
        <v>0.31076777776970899</v>
      </c>
      <c r="J5973">
        <v>0.45830870036299898</v>
      </c>
      <c r="K5973">
        <v>0.36688090486386998</v>
      </c>
      <c r="L5973">
        <v>715.814686950799</v>
      </c>
      <c r="M5973">
        <v>15.2198120020856</v>
      </c>
      <c r="N5973">
        <v>50.721803471895299</v>
      </c>
      <c r="O5973">
        <v>46.242250885654897</v>
      </c>
      <c r="P5973">
        <v>-5.4742684728575797E-2</v>
      </c>
      <c r="Q5973">
        <v>0.33476618223869098</v>
      </c>
      <c r="R5973">
        <v>0.92254570177407302</v>
      </c>
      <c r="S5973" t="s">
        <v>12541</v>
      </c>
      <c r="T5973" t="s">
        <v>13134</v>
      </c>
      <c r="U5973" t="s">
        <v>13134</v>
      </c>
      <c r="V5973" t="s">
        <v>13134</v>
      </c>
      <c r="W5973" t="s">
        <v>19040</v>
      </c>
      <c r="X5973">
        <v>7</v>
      </c>
      <c r="Y5973" t="s">
        <v>25401</v>
      </c>
      <c r="Z5973" t="s">
        <v>31941</v>
      </c>
      <c r="AA5973">
        <v>0.5717951169268668</v>
      </c>
      <c r="AB5973" t="str">
        <f>HYPERLINK("Melting_Curves/meltCurve_Q9NX24_NHP2.pdf", "Melting_Curves/meltCurve_Q9NX24_NHP2.pdf")</f>
        <v>Melting_Curves/meltCurve_Q9NX24_NHP2.pdf</v>
      </c>
    </row>
    <row r="5974" spans="1:28" x14ac:dyDescent="0.25">
      <c r="A5974" t="s">
        <v>5978</v>
      </c>
      <c r="B5974">
        <v>0.99472303558308395</v>
      </c>
      <c r="C5974">
        <v>0.88888586266165204</v>
      </c>
      <c r="D5974">
        <v>0.87650941293423301</v>
      </c>
      <c r="E5974">
        <v>0.61804732472804003</v>
      </c>
      <c r="F5974">
        <v>0.240217646706644</v>
      </c>
      <c r="G5974">
        <v>0.13291854649683499</v>
      </c>
      <c r="H5974">
        <v>9.4110885770690794E-2</v>
      </c>
      <c r="I5974">
        <v>6.4119220684124206E-2</v>
      </c>
      <c r="J5974">
        <v>7.5751234976747503E-2</v>
      </c>
      <c r="K5974">
        <v>4.6588338714666597E-2</v>
      </c>
      <c r="L5974">
        <v>924.45078967666302</v>
      </c>
      <c r="M5974">
        <v>19.597752214959598</v>
      </c>
      <c r="N5974">
        <v>47.451588618765399</v>
      </c>
      <c r="O5974">
        <v>46.688351247015298</v>
      </c>
      <c r="P5974">
        <v>-9.9206511660449803E-2</v>
      </c>
      <c r="Q5974">
        <v>5.4661969679454601E-2</v>
      </c>
      <c r="R5974">
        <v>0.99267489333207803</v>
      </c>
      <c r="S5974" t="s">
        <v>12542</v>
      </c>
      <c r="T5974" t="s">
        <v>13134</v>
      </c>
      <c r="U5974" t="s">
        <v>13134</v>
      </c>
      <c r="V5974" t="s">
        <v>13134</v>
      </c>
      <c r="W5974" t="s">
        <v>19041</v>
      </c>
      <c r="X5974">
        <v>6</v>
      </c>
      <c r="Y5974" t="s">
        <v>25402</v>
      </c>
      <c r="Z5974" t="s">
        <v>31942</v>
      </c>
      <c r="AA5974">
        <v>0.38805283229658188</v>
      </c>
      <c r="AB5974" t="str">
        <f>HYPERLINK("Melting_Curves/meltCurve_Q9NX38_FAM206A.pdf", "Melting_Curves/meltCurve_Q9NX38_FAM206A.pdf")</f>
        <v>Melting_Curves/meltCurve_Q9NX38_FAM206A.pdf</v>
      </c>
    </row>
    <row r="5975" spans="1:28" x14ac:dyDescent="0.25">
      <c r="A5975" t="s">
        <v>5979</v>
      </c>
      <c r="B5975">
        <v>0.99472303558308395</v>
      </c>
      <c r="C5975">
        <v>0.90555413950972596</v>
      </c>
      <c r="D5975">
        <v>0.82568971715802297</v>
      </c>
      <c r="E5975">
        <v>0.71533788662355502</v>
      </c>
      <c r="F5975">
        <v>0.57473150625858904</v>
      </c>
      <c r="G5975">
        <v>0.35785139179549003</v>
      </c>
      <c r="H5975">
        <v>0.29923673553582802</v>
      </c>
      <c r="I5975">
        <v>0.31937089161058901</v>
      </c>
      <c r="J5975">
        <v>0.34960909252817501</v>
      </c>
      <c r="K5975">
        <v>0.49967682090049098</v>
      </c>
      <c r="L5975">
        <v>696.96487243117599</v>
      </c>
      <c r="M5975">
        <v>14.929339520861699</v>
      </c>
      <c r="N5975">
        <v>50.708079724517198</v>
      </c>
      <c r="O5975">
        <v>45.870650295821399</v>
      </c>
      <c r="P5975">
        <v>-5.3131367203038397E-2</v>
      </c>
      <c r="Q5975">
        <v>0.34707906842712799</v>
      </c>
      <c r="R5975">
        <v>0.928836926143637</v>
      </c>
      <c r="S5975" t="s">
        <v>12543</v>
      </c>
      <c r="T5975" t="s">
        <v>13134</v>
      </c>
      <c r="U5975" t="s">
        <v>13134</v>
      </c>
      <c r="V5975" t="s">
        <v>13134</v>
      </c>
      <c r="W5975" t="s">
        <v>19042</v>
      </c>
      <c r="X5975">
        <v>10</v>
      </c>
      <c r="Y5975" t="s">
        <v>25403</v>
      </c>
      <c r="Z5975" t="s">
        <v>31943</v>
      </c>
      <c r="AA5975">
        <v>0.57277968075743546</v>
      </c>
      <c r="AB5975" t="str">
        <f>HYPERLINK("Melting_Curves/meltCurve_Q9NX40_OCIAD1.pdf", "Melting_Curves/meltCurve_Q9NX40_OCIAD1.pdf")</f>
        <v>Melting_Curves/meltCurve_Q9NX40_OCIAD1.pdf</v>
      </c>
    </row>
    <row r="5976" spans="1:28" x14ac:dyDescent="0.25">
      <c r="A5976" t="s">
        <v>5980</v>
      </c>
      <c r="B5976">
        <v>0.99472303558308395</v>
      </c>
      <c r="C5976">
        <v>0.97527890097515002</v>
      </c>
      <c r="D5976">
        <v>1.01937050517573</v>
      </c>
      <c r="E5976">
        <v>0.85859498114853905</v>
      </c>
      <c r="F5976">
        <v>0.66228966686525603</v>
      </c>
      <c r="G5976">
        <v>0.51546378526688397</v>
      </c>
      <c r="H5976">
        <v>0.31921667736391701</v>
      </c>
      <c r="I5976">
        <v>0.14728933660284399</v>
      </c>
      <c r="J5976">
        <v>9.9242767149707103E-2</v>
      </c>
      <c r="K5976">
        <v>9.3619790164122502E-2</v>
      </c>
      <c r="L5976">
        <v>679.920619413027</v>
      </c>
      <c r="M5976">
        <v>12.6957464830649</v>
      </c>
      <c r="N5976">
        <v>53.570232299214801</v>
      </c>
      <c r="O5976">
        <v>52.278399160761197</v>
      </c>
      <c r="P5976">
        <v>-6.0614473068842899E-2</v>
      </c>
      <c r="Q5976">
        <v>1.8027239208493E-3</v>
      </c>
      <c r="R5976">
        <v>0.99388606942780999</v>
      </c>
      <c r="S5976" t="s">
        <v>12544</v>
      </c>
      <c r="T5976" t="s">
        <v>13134</v>
      </c>
      <c r="U5976" t="s">
        <v>13134</v>
      </c>
      <c r="V5976" t="s">
        <v>13134</v>
      </c>
      <c r="W5976" t="s">
        <v>19043</v>
      </c>
      <c r="X5976">
        <v>13</v>
      </c>
      <c r="Y5976" t="s">
        <v>25404</v>
      </c>
      <c r="Z5976" t="s">
        <v>31944</v>
      </c>
      <c r="AA5976">
        <v>0.5715553360159078</v>
      </c>
      <c r="AB5976" t="str">
        <f>HYPERLINK("Melting_Curves/meltCurve_Q9NX46_ADPRHL2.pdf", "Melting_Curves/meltCurve_Q9NX46_ADPRHL2.pdf")</f>
        <v>Melting_Curves/meltCurve_Q9NX46_ADPRHL2.pdf</v>
      </c>
    </row>
    <row r="5977" spans="1:28" x14ac:dyDescent="0.25">
      <c r="A5977" t="s">
        <v>5981</v>
      </c>
      <c r="B5977">
        <v>0.99472303558308395</v>
      </c>
      <c r="C5977">
        <v>0.94399928336445305</v>
      </c>
      <c r="D5977">
        <v>0.89163260152078705</v>
      </c>
      <c r="E5977">
        <v>0.81223967397341101</v>
      </c>
      <c r="F5977">
        <v>0.72048446095202801</v>
      </c>
      <c r="G5977">
        <v>0.52901923324337496</v>
      </c>
      <c r="H5977">
        <v>0.37091712318584402</v>
      </c>
      <c r="I5977">
        <v>0.383088245434893</v>
      </c>
      <c r="J5977">
        <v>0.28859651117090701</v>
      </c>
      <c r="K5977">
        <v>0.25300614969250201</v>
      </c>
      <c r="L5977">
        <v>502.15261207580397</v>
      </c>
      <c r="M5977">
        <v>9.5270405603153403</v>
      </c>
      <c r="N5977">
        <v>54.925514902949097</v>
      </c>
      <c r="O5977">
        <v>50.542674740490099</v>
      </c>
      <c r="P5977">
        <v>-3.9623970134053103E-2</v>
      </c>
      <c r="Q5977">
        <v>0.15964260328392399</v>
      </c>
      <c r="R5977">
        <v>0.98992036034000297</v>
      </c>
      <c r="S5977" t="s">
        <v>12545</v>
      </c>
      <c r="T5977" t="s">
        <v>13134</v>
      </c>
      <c r="U5977" t="s">
        <v>13134</v>
      </c>
      <c r="V5977" t="s">
        <v>13134</v>
      </c>
      <c r="W5977" t="s">
        <v>19044</v>
      </c>
      <c r="X5977">
        <v>6</v>
      </c>
      <c r="Y5977" t="s">
        <v>25405</v>
      </c>
      <c r="Z5977" t="s">
        <v>31945</v>
      </c>
      <c r="AA5977">
        <v>0.61976279285344138</v>
      </c>
      <c r="AB5977" t="str">
        <f>HYPERLINK("Melting_Curves/meltCurve_Q9NX47_MARCH5.pdf", "Melting_Curves/meltCurve_Q9NX47_MARCH5.pdf")</f>
        <v>Melting_Curves/meltCurve_Q9NX47_MARCH5.pdf</v>
      </c>
    </row>
    <row r="5978" spans="1:28" x14ac:dyDescent="0.25">
      <c r="A5978" t="s">
        <v>5982</v>
      </c>
      <c r="B5978">
        <v>0.99472303558308395</v>
      </c>
      <c r="C5978">
        <v>1.0821804432241799</v>
      </c>
      <c r="D5978">
        <v>0.87614918771969097</v>
      </c>
      <c r="E5978">
        <v>0.85764299564550905</v>
      </c>
      <c r="F5978">
        <v>0.82867744247577801</v>
      </c>
      <c r="G5978">
        <v>0.52336593866515502</v>
      </c>
      <c r="H5978">
        <v>0.42994656878160198</v>
      </c>
      <c r="I5978">
        <v>0.393511122278217</v>
      </c>
      <c r="J5978">
        <v>0.50267128270525396</v>
      </c>
      <c r="K5978">
        <v>0.44751271462897402</v>
      </c>
      <c r="L5978">
        <v>1026.4152118705499</v>
      </c>
      <c r="M5978">
        <v>20.2189414552446</v>
      </c>
      <c r="N5978">
        <v>55.942200933278698</v>
      </c>
      <c r="O5978">
        <v>50.276267609229599</v>
      </c>
      <c r="P5978">
        <v>-5.8010155056670003E-2</v>
      </c>
      <c r="Q5978">
        <v>0.42302753101061102</v>
      </c>
      <c r="R5978">
        <v>0.93189898747467403</v>
      </c>
      <c r="S5978" t="s">
        <v>12546</v>
      </c>
      <c r="T5978" t="s">
        <v>13134</v>
      </c>
      <c r="U5978" t="s">
        <v>13134</v>
      </c>
      <c r="V5978" t="s">
        <v>13134</v>
      </c>
      <c r="W5978" t="s">
        <v>14407</v>
      </c>
      <c r="X5978">
        <v>10</v>
      </c>
      <c r="Y5978" t="s">
        <v>20894</v>
      </c>
      <c r="Z5978" t="s">
        <v>31946</v>
      </c>
      <c r="AA5978">
        <v>0.69519321551522817</v>
      </c>
      <c r="AB5978" t="str">
        <f>HYPERLINK("Melting_Curves/meltCurve_Q9NX55_HYPK.pdf", "Melting_Curves/meltCurve_Q9NX55_HYPK.pdf")</f>
        <v>Melting_Curves/meltCurve_Q9NX55_HYPK.pdf</v>
      </c>
    </row>
    <row r="5979" spans="1:28" x14ac:dyDescent="0.25">
      <c r="A5979" t="s">
        <v>5983</v>
      </c>
      <c r="B5979">
        <v>0.99472303558308395</v>
      </c>
      <c r="C5979">
        <v>0.91887518937484403</v>
      </c>
      <c r="D5979">
        <v>0.868229266888774</v>
      </c>
      <c r="E5979">
        <v>0.66155352607408902</v>
      </c>
      <c r="F5979">
        <v>0.49561547632248698</v>
      </c>
      <c r="G5979">
        <v>0.25315465640232898</v>
      </c>
      <c r="H5979">
        <v>0.13380080575147399</v>
      </c>
      <c r="I5979">
        <v>0.112409298993535</v>
      </c>
      <c r="J5979">
        <v>0.12853877968204899</v>
      </c>
      <c r="K5979">
        <v>9.0392366417419698E-2</v>
      </c>
      <c r="L5979">
        <v>642.98648439234205</v>
      </c>
      <c r="M5979">
        <v>13.153708990369999</v>
      </c>
      <c r="N5979">
        <v>49.334269462185603</v>
      </c>
      <c r="O5979">
        <v>47.7941206981438</v>
      </c>
      <c r="P5979">
        <v>-6.4911183482964999E-2</v>
      </c>
      <c r="Q5979">
        <v>5.6737688938319403E-2</v>
      </c>
      <c r="R5979">
        <v>0.994270559284686</v>
      </c>
      <c r="S5979" t="s">
        <v>12547</v>
      </c>
      <c r="T5979" t="s">
        <v>13134</v>
      </c>
      <c r="U5979" t="s">
        <v>13134</v>
      </c>
      <c r="V5979" t="s">
        <v>13134</v>
      </c>
      <c r="W5979" t="s">
        <v>19045</v>
      </c>
      <c r="X5979">
        <v>8</v>
      </c>
      <c r="Y5979" t="s">
        <v>25406</v>
      </c>
      <c r="Z5979" t="s">
        <v>31947</v>
      </c>
      <c r="AA5979">
        <v>0.45517810619910493</v>
      </c>
      <c r="AB5979" t="str">
        <f>HYPERLINK("Melting_Curves/meltCurve_Q9NX58_LYAR.pdf", "Melting_Curves/meltCurve_Q9NX58_LYAR.pdf")</f>
        <v>Melting_Curves/meltCurve_Q9NX58_LYAR.pdf</v>
      </c>
    </row>
    <row r="5980" spans="1:28" x14ac:dyDescent="0.25">
      <c r="A5980" t="s">
        <v>5984</v>
      </c>
      <c r="B5980">
        <v>0.99472303558308395</v>
      </c>
      <c r="C5980">
        <v>0.96093527797351996</v>
      </c>
      <c r="D5980">
        <v>0.95803757961477798</v>
      </c>
      <c r="E5980">
        <v>0.85095557666404997</v>
      </c>
      <c r="F5980">
        <v>0.62732578110127601</v>
      </c>
      <c r="G5980">
        <v>0.54023765015966596</v>
      </c>
      <c r="H5980">
        <v>0.420081656148028</v>
      </c>
      <c r="I5980">
        <v>0.42997484538146002</v>
      </c>
      <c r="J5980">
        <v>0.37635565501471802</v>
      </c>
      <c r="K5980">
        <v>0.23868429275682401</v>
      </c>
      <c r="L5980">
        <v>597.08607958879804</v>
      </c>
      <c r="M5980">
        <v>11.6670924030464</v>
      </c>
      <c r="N5980">
        <v>54.8649115452207</v>
      </c>
      <c r="O5980">
        <v>49.742807622995002</v>
      </c>
      <c r="P5980">
        <v>-4.2712791245905997E-2</v>
      </c>
      <c r="Q5980">
        <v>0.27176948194377498</v>
      </c>
      <c r="R5980">
        <v>0.977693672515212</v>
      </c>
      <c r="S5980" t="s">
        <v>12548</v>
      </c>
      <c r="T5980" t="s">
        <v>13134</v>
      </c>
      <c r="U5980" t="s">
        <v>13134</v>
      </c>
      <c r="V5980" t="s">
        <v>13134</v>
      </c>
      <c r="W5980" t="s">
        <v>19046</v>
      </c>
      <c r="X5980">
        <v>7</v>
      </c>
      <c r="Y5980" t="s">
        <v>25407</v>
      </c>
      <c r="Z5980" t="s">
        <v>31948</v>
      </c>
      <c r="AA5980">
        <v>0.63508841191574339</v>
      </c>
      <c r="AB5980" t="str">
        <f>HYPERLINK("Melting_Curves/meltCurve_Q9NX62_IMPAD1.pdf", "Melting_Curves/meltCurve_Q9NX62_IMPAD1.pdf")</f>
        <v>Melting_Curves/meltCurve_Q9NX62_IMPAD1.pdf</v>
      </c>
    </row>
    <row r="5981" spans="1:28" x14ac:dyDescent="0.25">
      <c r="A5981" t="s">
        <v>5985</v>
      </c>
      <c r="B5981">
        <v>0.99472303558308395</v>
      </c>
      <c r="C5981">
        <v>0.92139192181961305</v>
      </c>
      <c r="D5981">
        <v>0.82242635528354302</v>
      </c>
      <c r="E5981">
        <v>0.626700773349951</v>
      </c>
      <c r="F5981">
        <v>0.36500718567266999</v>
      </c>
      <c r="G5981">
        <v>0.246623323252321</v>
      </c>
      <c r="H5981">
        <v>0.18723570305120399</v>
      </c>
      <c r="I5981">
        <v>0.13689226850323299</v>
      </c>
      <c r="J5981">
        <v>0.163499649617181</v>
      </c>
      <c r="K5981">
        <v>0.12652346062234199</v>
      </c>
      <c r="L5981">
        <v>684.65090402797398</v>
      </c>
      <c r="M5981">
        <v>14.4982863793595</v>
      </c>
      <c r="N5981">
        <v>48.140938915260399</v>
      </c>
      <c r="O5981">
        <v>46.351771413170702</v>
      </c>
      <c r="P5981">
        <v>-6.8760603567772305E-2</v>
      </c>
      <c r="Q5981">
        <v>0.120776938496516</v>
      </c>
      <c r="R5981">
        <v>0.99784412193404304</v>
      </c>
      <c r="S5981" t="s">
        <v>12549</v>
      </c>
      <c r="T5981" t="s">
        <v>13134</v>
      </c>
      <c r="U5981" t="s">
        <v>13134</v>
      </c>
      <c r="V5981" t="s">
        <v>13134</v>
      </c>
      <c r="W5981" t="s">
        <v>19047</v>
      </c>
      <c r="X5981">
        <v>4</v>
      </c>
      <c r="Y5981" t="s">
        <v>25408</v>
      </c>
      <c r="Z5981" t="s">
        <v>31949</v>
      </c>
      <c r="AA5981">
        <v>0.44129016301767893</v>
      </c>
      <c r="AB5981" t="str">
        <f>HYPERLINK("Melting_Curves/meltCurve_Q9NX70_MED29.pdf", "Melting_Curves/meltCurve_Q9NX70_MED29.pdf")</f>
        <v>Melting_Curves/meltCurve_Q9NX70_MED29.pdf</v>
      </c>
    </row>
    <row r="5982" spans="1:28" x14ac:dyDescent="0.25">
      <c r="A5982" t="s">
        <v>5986</v>
      </c>
      <c r="B5982">
        <v>0.99472303558308395</v>
      </c>
      <c r="C5982">
        <v>1.03720473601145</v>
      </c>
      <c r="D5982">
        <v>0.99061096742243904</v>
      </c>
      <c r="E5982">
        <v>0.81298715129693899</v>
      </c>
      <c r="F5982">
        <v>0.44597022535061898</v>
      </c>
      <c r="G5982">
        <v>0.16573014741425299</v>
      </c>
      <c r="H5982">
        <v>9.2308201174555099E-2</v>
      </c>
      <c r="I5982">
        <v>7.2191791589487797E-2</v>
      </c>
      <c r="J5982">
        <v>6.3763310405494794E-2</v>
      </c>
      <c r="K5982">
        <v>4.1757862959628897E-2</v>
      </c>
      <c r="L5982">
        <v>1191.3467522532401</v>
      </c>
      <c r="M5982">
        <v>24.103031646491701</v>
      </c>
      <c r="N5982">
        <v>49.666553622010703</v>
      </c>
      <c r="O5982">
        <v>49.090795270486502</v>
      </c>
      <c r="P5982">
        <v>-0.11602023622025</v>
      </c>
      <c r="Q5982">
        <v>5.48181310078465E-2</v>
      </c>
      <c r="R5982">
        <v>0.99863103528864505</v>
      </c>
      <c r="S5982" t="s">
        <v>12550</v>
      </c>
      <c r="T5982" t="s">
        <v>13134</v>
      </c>
      <c r="U5982" t="s">
        <v>13134</v>
      </c>
      <c r="V5982" t="s">
        <v>13134</v>
      </c>
      <c r="W5982" t="s">
        <v>19048</v>
      </c>
      <c r="X5982">
        <v>10</v>
      </c>
      <c r="Y5982" t="s">
        <v>25409</v>
      </c>
      <c r="Z5982" t="s">
        <v>31950</v>
      </c>
      <c r="AA5982">
        <v>0.45516088214916112</v>
      </c>
      <c r="AB5982" t="str">
        <f>HYPERLINK("Melting_Curves/meltCurve_Q9NX74_DUS2L.pdf", "Melting_Curves/meltCurve_Q9NX74_DUS2L.pdf")</f>
        <v>Melting_Curves/meltCurve_Q9NX74_DUS2L.pdf</v>
      </c>
    </row>
    <row r="5983" spans="1:28" x14ac:dyDescent="0.25">
      <c r="A5983" t="s">
        <v>5987</v>
      </c>
      <c r="B5983">
        <v>0.99472303558308395</v>
      </c>
      <c r="C5983">
        <v>1.0255216496745101</v>
      </c>
      <c r="D5983">
        <v>0.86512399628774495</v>
      </c>
      <c r="E5983">
        <v>0.62812069969934703</v>
      </c>
      <c r="F5983">
        <v>0.45473104061900999</v>
      </c>
      <c r="G5983">
        <v>0.33961555295394602</v>
      </c>
      <c r="H5983">
        <v>0.221399671825181</v>
      </c>
      <c r="I5983">
        <v>0.22086897690257401</v>
      </c>
      <c r="J5983">
        <v>0.192780518402736</v>
      </c>
      <c r="K5983">
        <v>0.213625873886089</v>
      </c>
      <c r="L5983">
        <v>743.05435106074594</v>
      </c>
      <c r="M5983">
        <v>15.6311590765328</v>
      </c>
      <c r="N5983">
        <v>49.086966944065097</v>
      </c>
      <c r="O5983">
        <v>46.7791062958811</v>
      </c>
      <c r="P5983">
        <v>-6.7269579954751399E-2</v>
      </c>
      <c r="Q5983">
        <v>0.19480315824153799</v>
      </c>
      <c r="R5983">
        <v>0.99276901958743302</v>
      </c>
      <c r="S5983" t="s">
        <v>12551</v>
      </c>
      <c r="T5983" t="s">
        <v>13134</v>
      </c>
      <c r="U5983" t="s">
        <v>13134</v>
      </c>
      <c r="V5983" t="s">
        <v>13134</v>
      </c>
      <c r="W5983" t="s">
        <v>19049</v>
      </c>
      <c r="X5983">
        <v>1</v>
      </c>
      <c r="Y5983" t="s">
        <v>25410</v>
      </c>
      <c r="Z5983" t="s">
        <v>31951</v>
      </c>
      <c r="AA5983">
        <v>0.49427580173559832</v>
      </c>
      <c r="AB5983" t="str">
        <f>HYPERLINK("Melting_Curves/meltCurve_Q9NX94_WBP1L.pdf", "Melting_Curves/meltCurve_Q9NX94_WBP1L.pdf")</f>
        <v>Melting_Curves/meltCurve_Q9NX94_WBP1L.pdf</v>
      </c>
    </row>
    <row r="5984" spans="1:28" x14ac:dyDescent="0.25">
      <c r="A5984" t="s">
        <v>5988</v>
      </c>
      <c r="B5984">
        <v>0.99472303558308395</v>
      </c>
      <c r="C5984">
        <v>1.05616752104184</v>
      </c>
      <c r="D5984">
        <v>0.97872799743768701</v>
      </c>
      <c r="E5984">
        <v>0.92887502610344896</v>
      </c>
      <c r="F5984">
        <v>0.48900601636701702</v>
      </c>
      <c r="G5984">
        <v>0.26997476435734302</v>
      </c>
      <c r="H5984">
        <v>6.1344350467667702E-2</v>
      </c>
      <c r="I5984">
        <v>1.9525580942126999E-2</v>
      </c>
      <c r="J5984">
        <v>1.6482408921211701E-2</v>
      </c>
      <c r="K5984">
        <v>1.33588125175383E-2</v>
      </c>
      <c r="L5984">
        <v>1145.77100031859</v>
      </c>
      <c r="M5984">
        <v>22.6556260328395</v>
      </c>
      <c r="N5984">
        <v>50.621565692977398</v>
      </c>
      <c r="O5984">
        <v>50.184278414843597</v>
      </c>
      <c r="P5984">
        <v>-0.111660352672471</v>
      </c>
      <c r="Q5984">
        <v>1.0668222222241E-2</v>
      </c>
      <c r="R5984">
        <v>0.993059067309218</v>
      </c>
      <c r="S5984" t="s">
        <v>12552</v>
      </c>
      <c r="T5984" t="s">
        <v>13134</v>
      </c>
      <c r="U5984" t="s">
        <v>13134</v>
      </c>
      <c r="V5984" t="s">
        <v>13134</v>
      </c>
      <c r="W5984" t="s">
        <v>19050</v>
      </c>
      <c r="X5984">
        <v>6</v>
      </c>
      <c r="Y5984" t="s">
        <v>25411</v>
      </c>
      <c r="Z5984" t="s">
        <v>31952</v>
      </c>
      <c r="AA5984">
        <v>0.4687219097010849</v>
      </c>
      <c r="AB5984" t="str">
        <f>HYPERLINK("Melting_Curves/meltCurve_Q9NXA8_4_SIRT5.pdf", "Melting_Curves/meltCurve_Q9NXA8_4_SIRT5.pdf")</f>
        <v>Melting_Curves/meltCurve_Q9NXA8_4_SIRT5.pdf</v>
      </c>
    </row>
    <row r="5985" spans="1:28" x14ac:dyDescent="0.25">
      <c r="A5985" t="s">
        <v>5989</v>
      </c>
      <c r="B5985">
        <v>0.99472303558308395</v>
      </c>
      <c r="C5985">
        <v>0.886752983323987</v>
      </c>
      <c r="D5985">
        <v>0.78459385972090701</v>
      </c>
      <c r="E5985">
        <v>0.62803930987742296</v>
      </c>
      <c r="F5985">
        <v>0.55774733881668104</v>
      </c>
      <c r="G5985">
        <v>0.36080560798238398</v>
      </c>
      <c r="H5985">
        <v>0.23392827674248301</v>
      </c>
      <c r="I5985">
        <v>9.2734962251233802E-2</v>
      </c>
      <c r="J5985">
        <v>8.96701919366754E-2</v>
      </c>
      <c r="K5985">
        <v>7.8033758079818605E-2</v>
      </c>
      <c r="L5985">
        <v>467.10829158399798</v>
      </c>
      <c r="M5985">
        <v>9.3577756300673194</v>
      </c>
      <c r="N5985">
        <v>49.916591816014503</v>
      </c>
      <c r="O5985">
        <v>47.796130404332203</v>
      </c>
      <c r="P5985">
        <v>-4.8976964381641397E-2</v>
      </c>
      <c r="Q5985">
        <v>0</v>
      </c>
      <c r="R5985">
        <v>0.98729171126707505</v>
      </c>
      <c r="S5985" t="s">
        <v>12553</v>
      </c>
      <c r="T5985" t="s">
        <v>13134</v>
      </c>
      <c r="U5985" t="s">
        <v>13134</v>
      </c>
      <c r="V5985" t="s">
        <v>13134</v>
      </c>
      <c r="W5985" t="s">
        <v>19051</v>
      </c>
      <c r="X5985">
        <v>12</v>
      </c>
      <c r="Y5985" t="s">
        <v>25412</v>
      </c>
      <c r="Z5985" t="s">
        <v>31953</v>
      </c>
      <c r="AA5985">
        <v>0.46692442610445117</v>
      </c>
      <c r="AB5985" t="str">
        <f>HYPERLINK("Melting_Curves/meltCurve_Q9NXC5_MIOS.pdf", "Melting_Curves/meltCurve_Q9NXC5_MIOS.pdf")</f>
        <v>Melting_Curves/meltCurve_Q9NXC5_MIOS.pdf</v>
      </c>
    </row>
    <row r="5986" spans="1:28" x14ac:dyDescent="0.25">
      <c r="A5986" t="s">
        <v>5990</v>
      </c>
      <c r="B5986">
        <v>0.99472303558308395</v>
      </c>
      <c r="C5986">
        <v>0.99869990241935103</v>
      </c>
      <c r="D5986">
        <v>0.965158542834894</v>
      </c>
      <c r="E5986">
        <v>0.67847096463713097</v>
      </c>
      <c r="F5986">
        <v>0.44379050275933601</v>
      </c>
      <c r="G5986">
        <v>0.38735654413030901</v>
      </c>
      <c r="H5986">
        <v>0.24579910826500601</v>
      </c>
      <c r="I5986">
        <v>0.26641206586319799</v>
      </c>
      <c r="J5986">
        <v>0.38304832577610398</v>
      </c>
      <c r="K5986">
        <v>0.26209701757162401</v>
      </c>
      <c r="L5986">
        <v>1095.0402431746099</v>
      </c>
      <c r="M5986">
        <v>23.200231218394499</v>
      </c>
      <c r="N5986">
        <v>49.109022752251597</v>
      </c>
      <c r="O5986">
        <v>46.853059966310397</v>
      </c>
      <c r="P5986">
        <v>-8.7010664218447706E-2</v>
      </c>
      <c r="Q5986">
        <v>0.29713765511675699</v>
      </c>
      <c r="R5986">
        <v>0.98044262493310197</v>
      </c>
      <c r="S5986" t="s">
        <v>12554</v>
      </c>
      <c r="T5986" t="s">
        <v>13134</v>
      </c>
      <c r="U5986" t="s">
        <v>13134</v>
      </c>
      <c r="V5986" t="s">
        <v>13134</v>
      </c>
      <c r="W5986" t="s">
        <v>19052</v>
      </c>
      <c r="X5986">
        <v>7</v>
      </c>
      <c r="Y5986" t="s">
        <v>25413</v>
      </c>
      <c r="Z5986" t="s">
        <v>31954</v>
      </c>
      <c r="AA5986">
        <v>0.54297322672664428</v>
      </c>
      <c r="AB5986" t="str">
        <f>HYPERLINK("Melting_Curves/meltCurve_Q9NXE8_CWC25.pdf", "Melting_Curves/meltCurve_Q9NXE8_CWC25.pdf")</f>
        <v>Melting_Curves/meltCurve_Q9NXE8_CWC25.pdf</v>
      </c>
    </row>
    <row r="5987" spans="1:28" x14ac:dyDescent="0.25">
      <c r="A5987" t="s">
        <v>5991</v>
      </c>
      <c r="B5987">
        <v>0.99472303558308395</v>
      </c>
      <c r="C5987">
        <v>0.83374460167669995</v>
      </c>
      <c r="D5987">
        <v>0.80053234336192103</v>
      </c>
      <c r="E5987">
        <v>0.86570319042320498</v>
      </c>
      <c r="F5987">
        <v>0.69669670980128695</v>
      </c>
      <c r="G5987">
        <v>0.28017622450415303</v>
      </c>
      <c r="H5987">
        <v>0.126152968942988</v>
      </c>
      <c r="I5987">
        <v>5.1810621942417999E-2</v>
      </c>
      <c r="J5987">
        <v>7.6349926532553902E-2</v>
      </c>
      <c r="K5987">
        <v>3.9124252517630402E-2</v>
      </c>
      <c r="L5987">
        <v>861.11956823089895</v>
      </c>
      <c r="M5987">
        <v>16.710660480660501</v>
      </c>
      <c r="N5987">
        <v>51.549597857621201</v>
      </c>
      <c r="O5987">
        <v>50.810155684968201</v>
      </c>
      <c r="P5987">
        <v>-8.1981383529002694E-2</v>
      </c>
      <c r="Q5987">
        <v>2.9810028837904301E-3</v>
      </c>
      <c r="R5987">
        <v>0.95298028798359702</v>
      </c>
      <c r="S5987" t="s">
        <v>12555</v>
      </c>
      <c r="T5987" t="s">
        <v>13134</v>
      </c>
      <c r="U5987" t="s">
        <v>13134</v>
      </c>
      <c r="V5987" t="s">
        <v>13134</v>
      </c>
      <c r="W5987" t="s">
        <v>19053</v>
      </c>
      <c r="X5987">
        <v>4</v>
      </c>
      <c r="Y5987" t="s">
        <v>25414</v>
      </c>
      <c r="Z5987" t="s">
        <v>31955</v>
      </c>
      <c r="AA5987">
        <v>0.50290675687673358</v>
      </c>
      <c r="AB5987" t="str">
        <f>HYPERLINK("Melting_Curves/meltCurve_Q9NXF1_2_TEX10.pdf", "Melting_Curves/meltCurve_Q9NXF1_2_TEX10.pdf")</f>
        <v>Melting_Curves/meltCurve_Q9NXF1_2_TEX10.pdf</v>
      </c>
    </row>
    <row r="5988" spans="1:28" x14ac:dyDescent="0.25">
      <c r="A5988" t="s">
        <v>5992</v>
      </c>
      <c r="B5988">
        <v>0.99472303558308395</v>
      </c>
      <c r="C5988">
        <v>0.88532448437761102</v>
      </c>
      <c r="D5988">
        <v>0.89159698654818798</v>
      </c>
      <c r="E5988">
        <v>0.75829221769629096</v>
      </c>
      <c r="F5988">
        <v>0.368173262954125</v>
      </c>
      <c r="G5988">
        <v>0.14998473701621201</v>
      </c>
      <c r="H5988">
        <v>8.1012333540475406E-2</v>
      </c>
      <c r="I5988">
        <v>4.98044981015109E-2</v>
      </c>
      <c r="J5988">
        <v>3.7483700766989397E-2</v>
      </c>
      <c r="K5988">
        <v>4.03849433164696E-2</v>
      </c>
      <c r="L5988">
        <v>928.19036783522404</v>
      </c>
      <c r="M5988">
        <v>19.039126113260998</v>
      </c>
      <c r="N5988">
        <v>48.890827528716002</v>
      </c>
      <c r="O5988">
        <v>48.223453171673903</v>
      </c>
      <c r="P5988">
        <v>-9.6104333730738303E-2</v>
      </c>
      <c r="Q5988">
        <v>2.63629600152155E-2</v>
      </c>
      <c r="R5988">
        <v>0.99064788554877303</v>
      </c>
      <c r="S5988" t="s">
        <v>12556</v>
      </c>
      <c r="T5988" t="s">
        <v>13134</v>
      </c>
      <c r="U5988" t="s">
        <v>13134</v>
      </c>
      <c r="V5988" t="s">
        <v>13134</v>
      </c>
      <c r="W5988" t="s">
        <v>19054</v>
      </c>
      <c r="X5988">
        <v>5</v>
      </c>
      <c r="Y5988" t="s">
        <v>25415</v>
      </c>
      <c r="Z5988" t="s">
        <v>31956</v>
      </c>
      <c r="AA5988">
        <v>0.42178636317553031</v>
      </c>
      <c r="AB5988" t="str">
        <f>HYPERLINK("Melting_Curves/meltCurve_Q9NXF7_DCAF16.pdf", "Melting_Curves/meltCurve_Q9NXF7_DCAF16.pdf")</f>
        <v>Melting_Curves/meltCurve_Q9NXF7_DCAF16.pdf</v>
      </c>
    </row>
    <row r="5989" spans="1:28" x14ac:dyDescent="0.25">
      <c r="A5989" t="s">
        <v>5993</v>
      </c>
      <c r="B5989">
        <v>0.99472303558308395</v>
      </c>
      <c r="C5989">
        <v>0.91290543503203303</v>
      </c>
      <c r="D5989">
        <v>0.85093085609942298</v>
      </c>
      <c r="E5989">
        <v>0.85167125810171795</v>
      </c>
      <c r="F5989">
        <v>0.57730095858837305</v>
      </c>
      <c r="G5989">
        <v>0.37730781714548101</v>
      </c>
      <c r="H5989">
        <v>0.24109669140456499</v>
      </c>
      <c r="I5989">
        <v>0.13779782384819</v>
      </c>
      <c r="J5989">
        <v>0.115034896805129</v>
      </c>
      <c r="K5989">
        <v>0.10454561096412</v>
      </c>
      <c r="L5989">
        <v>616.27581139765903</v>
      </c>
      <c r="M5989">
        <v>11.9917295125592</v>
      </c>
      <c r="N5989">
        <v>51.655813255922297</v>
      </c>
      <c r="O5989">
        <v>50.025153074635</v>
      </c>
      <c r="P5989">
        <v>-5.8160795486767503E-2</v>
      </c>
      <c r="Q5989">
        <v>2.9731608252325899E-2</v>
      </c>
      <c r="R5989">
        <v>0.98878911865219898</v>
      </c>
      <c r="S5989" t="s">
        <v>12557</v>
      </c>
      <c r="T5989" t="s">
        <v>13134</v>
      </c>
      <c r="U5989" t="s">
        <v>13134</v>
      </c>
      <c r="V5989" t="s">
        <v>13134</v>
      </c>
      <c r="W5989" t="s">
        <v>19055</v>
      </c>
      <c r="X5989">
        <v>1</v>
      </c>
      <c r="Y5989" t="s">
        <v>25416</v>
      </c>
      <c r="Z5989" t="s">
        <v>31957</v>
      </c>
      <c r="AA5989">
        <v>0.51964338055179116</v>
      </c>
      <c r="AB5989" t="str">
        <f>HYPERLINK("Melting_Curves/meltCurve_Q9NXF8_ZDHHC7.pdf", "Melting_Curves/meltCurve_Q9NXF8_ZDHHC7.pdf")</f>
        <v>Melting_Curves/meltCurve_Q9NXF8_ZDHHC7.pdf</v>
      </c>
    </row>
    <row r="5990" spans="1:28" x14ac:dyDescent="0.25">
      <c r="A5990" t="s">
        <v>5994</v>
      </c>
      <c r="B5990">
        <v>0.99472303558308395</v>
      </c>
      <c r="C5990">
        <v>0.95552031157124195</v>
      </c>
      <c r="D5990">
        <v>0.76994921613038703</v>
      </c>
      <c r="E5990">
        <v>0.57132217153381504</v>
      </c>
      <c r="F5990">
        <v>0.39630320456474599</v>
      </c>
      <c r="G5990">
        <v>0.194852818310011</v>
      </c>
      <c r="H5990">
        <v>0.14604874462759801</v>
      </c>
      <c r="I5990">
        <v>0.12915942381335299</v>
      </c>
      <c r="J5990">
        <v>0.154068759706114</v>
      </c>
      <c r="K5990">
        <v>0.117402785217914</v>
      </c>
      <c r="L5990">
        <v>662.28384780844794</v>
      </c>
      <c r="M5990">
        <v>14.132292295869201</v>
      </c>
      <c r="N5990">
        <v>47.649735935505497</v>
      </c>
      <c r="O5990">
        <v>45.954760945570897</v>
      </c>
      <c r="P5990">
        <v>-6.8891773479509699E-2</v>
      </c>
      <c r="Q5990">
        <v>0.104037440980638</v>
      </c>
      <c r="R5990">
        <v>0.99452482846883805</v>
      </c>
      <c r="S5990" t="s">
        <v>12558</v>
      </c>
      <c r="T5990" t="s">
        <v>13134</v>
      </c>
      <c r="U5990" t="s">
        <v>13134</v>
      </c>
      <c r="V5990" t="s">
        <v>13134</v>
      </c>
      <c r="W5990" t="s">
        <v>19056</v>
      </c>
      <c r="X5990">
        <v>5</v>
      </c>
      <c r="Y5990" t="s">
        <v>25417</v>
      </c>
      <c r="Z5990" t="s">
        <v>31958</v>
      </c>
      <c r="AA5990">
        <v>0.42110374266644413</v>
      </c>
      <c r="AB5990" t="str">
        <f>HYPERLINK("Melting_Curves/meltCurve_Q9NXH8_TOR4A.pdf", "Melting_Curves/meltCurve_Q9NXH8_TOR4A.pdf")</f>
        <v>Melting_Curves/meltCurve_Q9NXH8_TOR4A.pdf</v>
      </c>
    </row>
    <row r="5991" spans="1:28" x14ac:dyDescent="0.25">
      <c r="A5991" t="s">
        <v>5995</v>
      </c>
      <c r="B5991">
        <v>0.99472303558308395</v>
      </c>
      <c r="C5991">
        <v>1.01678171931379</v>
      </c>
      <c r="D5991">
        <v>0.86264825180633198</v>
      </c>
      <c r="E5991">
        <v>0.815066761698237</v>
      </c>
      <c r="F5991">
        <v>0.85992380692135695</v>
      </c>
      <c r="G5991">
        <v>0.60920399963286398</v>
      </c>
      <c r="H5991">
        <v>0.48681101632004298</v>
      </c>
      <c r="I5991">
        <v>0.24935148294432699</v>
      </c>
      <c r="J5991">
        <v>8.0658508950094701E-2</v>
      </c>
      <c r="K5991">
        <v>0.13314410399551199</v>
      </c>
      <c r="L5991">
        <v>680.24405499196905</v>
      </c>
      <c r="M5991">
        <v>12.1748984210359</v>
      </c>
      <c r="N5991">
        <v>55.872667878840304</v>
      </c>
      <c r="O5991">
        <v>54.429402598343103</v>
      </c>
      <c r="P5991">
        <v>-5.5933341009006897E-2</v>
      </c>
      <c r="Q5991">
        <v>0</v>
      </c>
      <c r="R5991">
        <v>0.96366481370144497</v>
      </c>
      <c r="S5991" t="s">
        <v>12559</v>
      </c>
      <c r="T5991" t="s">
        <v>13134</v>
      </c>
      <c r="U5991" t="s">
        <v>13134</v>
      </c>
      <c r="V5991" t="s">
        <v>13134</v>
      </c>
      <c r="W5991" t="s">
        <v>19057</v>
      </c>
      <c r="X5991">
        <v>27</v>
      </c>
      <c r="Y5991" t="s">
        <v>25418</v>
      </c>
      <c r="Z5991" t="s">
        <v>31959</v>
      </c>
      <c r="AA5991">
        <v>0.63966366278241205</v>
      </c>
      <c r="AB5991" t="str">
        <f>HYPERLINK("Melting_Curves/meltCurve_Q9NXH9_TRMT1.pdf", "Melting_Curves/meltCurve_Q9NXH9_TRMT1.pdf")</f>
        <v>Melting_Curves/meltCurve_Q9NXH9_TRMT1.pdf</v>
      </c>
    </row>
    <row r="5992" spans="1:28" x14ac:dyDescent="0.25">
      <c r="A5992" t="s">
        <v>5996</v>
      </c>
      <c r="B5992">
        <v>0.99472303558308395</v>
      </c>
      <c r="C5992">
        <v>0.94733206850928897</v>
      </c>
      <c r="D5992">
        <v>0.98505288065304797</v>
      </c>
      <c r="E5992">
        <v>0.74591286147199398</v>
      </c>
      <c r="F5992">
        <v>0.40879488102032602</v>
      </c>
      <c r="G5992">
        <v>0.22034934644148399</v>
      </c>
      <c r="H5992">
        <v>0.123903134287129</v>
      </c>
      <c r="I5992">
        <v>6.6127606008077905E-2</v>
      </c>
      <c r="J5992">
        <v>4.3476761440216199E-2</v>
      </c>
      <c r="K5992">
        <v>5.0371552933916999E-2</v>
      </c>
      <c r="L5992">
        <v>935.12290849001704</v>
      </c>
      <c r="M5992">
        <v>19.035047748296002</v>
      </c>
      <c r="N5992">
        <v>49.387651220782601</v>
      </c>
      <c r="O5992">
        <v>48.593831641853498</v>
      </c>
      <c r="P5992">
        <v>-9.3242413927079701E-2</v>
      </c>
      <c r="Q5992">
        <v>4.7898332217062002E-2</v>
      </c>
      <c r="R5992">
        <v>0.99673454784728599</v>
      </c>
      <c r="S5992" t="s">
        <v>12560</v>
      </c>
      <c r="T5992" t="s">
        <v>13134</v>
      </c>
      <c r="U5992" t="s">
        <v>13134</v>
      </c>
      <c r="V5992" t="s">
        <v>13134</v>
      </c>
      <c r="W5992" t="s">
        <v>19058</v>
      </c>
      <c r="X5992">
        <v>3</v>
      </c>
      <c r="Y5992" t="s">
        <v>25419</v>
      </c>
      <c r="Z5992" t="s">
        <v>31960</v>
      </c>
      <c r="AA5992">
        <v>0.44646087444960941</v>
      </c>
      <c r="AB5992" t="str">
        <f>HYPERLINK("Melting_Curves/meltCurve_Q9NXK8_2_FBXL12.pdf", "Melting_Curves/meltCurve_Q9NXK8_2_FBXL12.pdf")</f>
        <v>Melting_Curves/meltCurve_Q9NXK8_2_FBXL12.pdf</v>
      </c>
    </row>
    <row r="5993" spans="1:28" x14ac:dyDescent="0.25">
      <c r="A5993" t="s">
        <v>5997</v>
      </c>
      <c r="B5993">
        <v>0.99472303558308395</v>
      </c>
      <c r="C5993">
        <v>0.77739218754371497</v>
      </c>
      <c r="D5993">
        <v>0.87320107804995595</v>
      </c>
      <c r="E5993">
        <v>0.398750463530125</v>
      </c>
      <c r="F5993">
        <v>0.15923731395119101</v>
      </c>
      <c r="G5993">
        <v>7.6591300480549698E-2</v>
      </c>
      <c r="H5993">
        <v>5.2591399597282401E-2</v>
      </c>
      <c r="I5993">
        <v>2.8096551084098399E-2</v>
      </c>
      <c r="J5993">
        <v>3.0975916482368401E-2</v>
      </c>
      <c r="K5993">
        <v>3.7055602578897902E-2</v>
      </c>
      <c r="L5993">
        <v>885.69794743583998</v>
      </c>
      <c r="M5993">
        <v>19.373105908259198</v>
      </c>
      <c r="N5993">
        <v>45.842848201735798</v>
      </c>
      <c r="O5993">
        <v>45.239170262940597</v>
      </c>
      <c r="P5993">
        <v>-0.10431032052787501</v>
      </c>
      <c r="Q5993">
        <v>2.5714135837004701E-2</v>
      </c>
      <c r="R5993">
        <v>0.97224232379535602</v>
      </c>
      <c r="S5993" t="s">
        <v>12561</v>
      </c>
      <c r="T5993" t="s">
        <v>13134</v>
      </c>
      <c r="U5993" t="s">
        <v>13134</v>
      </c>
      <c r="V5993" t="s">
        <v>13134</v>
      </c>
      <c r="W5993" t="s">
        <v>19059</v>
      </c>
      <c r="X5993">
        <v>7</v>
      </c>
      <c r="Y5993" t="s">
        <v>25420</v>
      </c>
      <c r="Z5993" t="s">
        <v>31961</v>
      </c>
      <c r="AA5993">
        <v>0.32244103183258532</v>
      </c>
      <c r="AB5993" t="str">
        <f>HYPERLINK("Melting_Curves/meltCurve_Q9NXN4_2_GDAP2.pdf", "Melting_Curves/meltCurve_Q9NXN4_2_GDAP2.pdf")</f>
        <v>Melting_Curves/meltCurve_Q9NXN4_2_GDAP2.pdf</v>
      </c>
    </row>
    <row r="5994" spans="1:28" x14ac:dyDescent="0.25">
      <c r="A5994" t="s">
        <v>5998</v>
      </c>
      <c r="B5994">
        <v>0.99472303558308395</v>
      </c>
      <c r="C5994">
        <v>1.04043142885699</v>
      </c>
      <c r="D5994">
        <v>0.93588405608058101</v>
      </c>
      <c r="E5994">
        <v>0.86533105703235302</v>
      </c>
      <c r="F5994">
        <v>0.70956744667921001</v>
      </c>
      <c r="G5994">
        <v>0.412891501820845</v>
      </c>
      <c r="H5994">
        <v>0.296044119662907</v>
      </c>
      <c r="I5994">
        <v>0.25651201882789498</v>
      </c>
      <c r="J5994">
        <v>0.39458956458456101</v>
      </c>
      <c r="K5994">
        <v>0.37775591780754703</v>
      </c>
      <c r="L5994">
        <v>1235.4659304832701</v>
      </c>
      <c r="M5994">
        <v>24.593937190509699</v>
      </c>
      <c r="N5994">
        <v>52.424348964775099</v>
      </c>
      <c r="O5994">
        <v>49.905984489066903</v>
      </c>
      <c r="P5994">
        <v>-8.3653339030313995E-2</v>
      </c>
      <c r="Q5994">
        <v>0.32101278555187701</v>
      </c>
      <c r="R5994">
        <v>0.97048592824714197</v>
      </c>
      <c r="S5994" t="s">
        <v>12562</v>
      </c>
      <c r="T5994" t="s">
        <v>13134</v>
      </c>
      <c r="U5994" t="s">
        <v>13134</v>
      </c>
      <c r="V5994" t="s">
        <v>13134</v>
      </c>
      <c r="W5994" t="s">
        <v>19060</v>
      </c>
      <c r="X5994">
        <v>15</v>
      </c>
      <c r="Y5994" t="s">
        <v>25421</v>
      </c>
      <c r="Z5994" t="s">
        <v>31962</v>
      </c>
      <c r="AA5994">
        <v>0.62668903318372859</v>
      </c>
      <c r="AB5994" t="str">
        <f>HYPERLINK("Melting_Curves/meltCurve_Q9NXR1_2_NDE1.pdf", "Melting_Curves/meltCurve_Q9NXR1_2_NDE1.pdf")</f>
        <v>Melting_Curves/meltCurve_Q9NXR1_2_NDE1.pdf</v>
      </c>
    </row>
    <row r="5995" spans="1:28" x14ac:dyDescent="0.25">
      <c r="A5995" t="s">
        <v>5999</v>
      </c>
      <c r="B5995">
        <v>0.99472303558308395</v>
      </c>
      <c r="C5995">
        <v>0.99780373900567798</v>
      </c>
      <c r="D5995">
        <v>0.82994278737147698</v>
      </c>
      <c r="E5995">
        <v>0.70333223551308299</v>
      </c>
      <c r="F5995">
        <v>0.63975851239195203</v>
      </c>
      <c r="G5995">
        <v>0.45071005631371502</v>
      </c>
      <c r="H5995">
        <v>0.29550416161895099</v>
      </c>
      <c r="I5995">
        <v>0.219096830378809</v>
      </c>
      <c r="J5995">
        <v>0.17058290516716099</v>
      </c>
      <c r="K5995">
        <v>9.9808157474560594E-2</v>
      </c>
      <c r="L5995">
        <v>468.45936713676201</v>
      </c>
      <c r="M5995">
        <v>8.9564233573287595</v>
      </c>
      <c r="N5995">
        <v>52.304290263169698</v>
      </c>
      <c r="O5995">
        <v>49.894110553616301</v>
      </c>
      <c r="P5995">
        <v>-4.4910370966384699E-2</v>
      </c>
      <c r="Q5995">
        <v>0</v>
      </c>
      <c r="R5995">
        <v>0.98958733527572995</v>
      </c>
      <c r="S5995" t="s">
        <v>12563</v>
      </c>
      <c r="T5995" t="s">
        <v>13134</v>
      </c>
      <c r="U5995" t="s">
        <v>13134</v>
      </c>
      <c r="V5995" t="s">
        <v>13134</v>
      </c>
      <c r="W5995" t="s">
        <v>19061</v>
      </c>
      <c r="X5995">
        <v>10</v>
      </c>
      <c r="Y5995" t="s">
        <v>25422</v>
      </c>
      <c r="Z5995" t="s">
        <v>31963</v>
      </c>
      <c r="AA5995">
        <v>0.53639382857460849</v>
      </c>
      <c r="AB5995" t="str">
        <f>HYPERLINK("Melting_Curves/meltCurve_Q9NXR7_BRE.pdf", "Melting_Curves/meltCurve_Q9NXR7_BRE.pdf")</f>
        <v>Melting_Curves/meltCurve_Q9NXR7_BRE.pdf</v>
      </c>
    </row>
    <row r="5996" spans="1:28" x14ac:dyDescent="0.25">
      <c r="A5996" t="s">
        <v>6000</v>
      </c>
      <c r="B5996">
        <v>0.99472303558308395</v>
      </c>
      <c r="C5996">
        <v>0.88963261284129103</v>
      </c>
      <c r="D5996">
        <v>0.92795540501266605</v>
      </c>
      <c r="E5996">
        <v>0.56814358471511495</v>
      </c>
      <c r="F5996">
        <v>0.36224791888811497</v>
      </c>
      <c r="G5996">
        <v>0.14425523313376001</v>
      </c>
      <c r="H5996">
        <v>7.2722908837063102E-2</v>
      </c>
      <c r="I5996">
        <v>4.9540674528035601E-2</v>
      </c>
      <c r="J5996">
        <v>7.8461295110554399E-2</v>
      </c>
      <c r="K5996">
        <v>5.30075129356853E-2</v>
      </c>
      <c r="L5996">
        <v>808.16504963323405</v>
      </c>
      <c r="M5996">
        <v>16.968702880352399</v>
      </c>
      <c r="N5996">
        <v>47.867912649961802</v>
      </c>
      <c r="O5996">
        <v>46.980097340100798</v>
      </c>
      <c r="P5996">
        <v>-8.6604325846074706E-2</v>
      </c>
      <c r="Q5996">
        <v>4.0957642951944997E-2</v>
      </c>
      <c r="R5996">
        <v>0.99006973191889003</v>
      </c>
      <c r="S5996" t="s">
        <v>12564</v>
      </c>
      <c r="T5996" t="s">
        <v>13134</v>
      </c>
      <c r="U5996" t="s">
        <v>13134</v>
      </c>
      <c r="V5996" t="s">
        <v>13134</v>
      </c>
      <c r="W5996" t="s">
        <v>19062</v>
      </c>
      <c r="X5996">
        <v>5</v>
      </c>
      <c r="Y5996" t="s">
        <v>25423</v>
      </c>
      <c r="Z5996" t="s">
        <v>31964</v>
      </c>
      <c r="AA5996">
        <v>0.39778916964214373</v>
      </c>
      <c r="AB5996" t="str">
        <f>HYPERLINK("Melting_Curves/meltCurve_Q9NXS2_QPCTL.pdf", "Melting_Curves/meltCurve_Q9NXS2_QPCTL.pdf")</f>
        <v>Melting_Curves/meltCurve_Q9NXS2_QPCTL.pdf</v>
      </c>
    </row>
    <row r="5997" spans="1:28" x14ac:dyDescent="0.25">
      <c r="A5997" t="s">
        <v>6001</v>
      </c>
      <c r="B5997">
        <v>0.99472303558308395</v>
      </c>
      <c r="C5997">
        <v>0.970902403585583</v>
      </c>
      <c r="D5997">
        <v>0.98325276248334403</v>
      </c>
      <c r="E5997">
        <v>0.91254727052868101</v>
      </c>
      <c r="F5997">
        <v>0.700982316427603</v>
      </c>
      <c r="G5997">
        <v>0.49554349919914398</v>
      </c>
      <c r="H5997">
        <v>0.17039252423752399</v>
      </c>
      <c r="I5997">
        <v>8.9795720177168803E-2</v>
      </c>
      <c r="J5997">
        <v>5.2608001935339398E-2</v>
      </c>
      <c r="K5997">
        <v>7.2557271882633403E-2</v>
      </c>
      <c r="L5997">
        <v>935.03507324633995</v>
      </c>
      <c r="M5997">
        <v>17.664500545406199</v>
      </c>
      <c r="N5997">
        <v>53.0360067577382</v>
      </c>
      <c r="O5997">
        <v>52.268585256905702</v>
      </c>
      <c r="P5997">
        <v>-8.3068651987897604E-2</v>
      </c>
      <c r="Q5997">
        <v>1.68640307083801E-2</v>
      </c>
      <c r="R5997">
        <v>0.99485681532299297</v>
      </c>
      <c r="S5997" t="s">
        <v>12565</v>
      </c>
      <c r="T5997" t="s">
        <v>13134</v>
      </c>
      <c r="U5997" t="s">
        <v>13134</v>
      </c>
      <c r="V5997" t="s">
        <v>13134</v>
      </c>
      <c r="W5997" t="s">
        <v>19063</v>
      </c>
      <c r="X5997">
        <v>5</v>
      </c>
      <c r="Y5997" t="s">
        <v>25424</v>
      </c>
      <c r="Z5997" t="s">
        <v>31965</v>
      </c>
      <c r="AA5997">
        <v>0.55369689344253448</v>
      </c>
      <c r="AB5997" t="str">
        <f>HYPERLINK("Melting_Curves/meltCurve_Q9NXU5_ARL15.pdf", "Melting_Curves/meltCurve_Q9NXU5_ARL15.pdf")</f>
        <v>Melting_Curves/meltCurve_Q9NXU5_ARL15.pdf</v>
      </c>
    </row>
    <row r="5998" spans="1:28" x14ac:dyDescent="0.25">
      <c r="A5998" t="s">
        <v>6002</v>
      </c>
      <c r="B5998">
        <v>0.99472303558308395</v>
      </c>
      <c r="C5998">
        <v>0.97213711969904404</v>
      </c>
      <c r="D5998">
        <v>0.87201029798384</v>
      </c>
      <c r="E5998">
        <v>0.85942262404143299</v>
      </c>
      <c r="F5998">
        <v>0.85541107206724099</v>
      </c>
      <c r="G5998">
        <v>0.525542605034378</v>
      </c>
      <c r="H5998">
        <v>0.43247920766291698</v>
      </c>
      <c r="I5998">
        <v>0.49225084839001798</v>
      </c>
      <c r="J5998">
        <v>0.611273912128246</v>
      </c>
      <c r="K5998">
        <v>0.41726051004256898</v>
      </c>
      <c r="S5998" t="s">
        <v>12566</v>
      </c>
      <c r="T5998" t="s">
        <v>13134</v>
      </c>
      <c r="U5998" t="s">
        <v>13135</v>
      </c>
      <c r="V5998" t="s">
        <v>13134</v>
      </c>
      <c r="W5998" t="s">
        <v>19064</v>
      </c>
      <c r="X5998">
        <v>2</v>
      </c>
      <c r="Y5998" t="s">
        <v>25425</v>
      </c>
      <c r="Z5998" t="s">
        <v>31966</v>
      </c>
      <c r="AB5998" t="str">
        <f>HYPERLINK("Melting_Curves/meltCurve_Q9NXV2_KCTD5.pdf", "Melting_Curves/meltCurve_Q9NXV2_KCTD5.pdf")</f>
        <v>Melting_Curves/meltCurve_Q9NXV2_KCTD5.pdf</v>
      </c>
    </row>
    <row r="5999" spans="1:28" x14ac:dyDescent="0.25">
      <c r="A5999" t="s">
        <v>6003</v>
      </c>
      <c r="B5999">
        <v>0.99472303558308395</v>
      </c>
      <c r="C5999">
        <v>0.93532056523031104</v>
      </c>
      <c r="D5999">
        <v>0.81088872588622996</v>
      </c>
      <c r="E5999">
        <v>0.56318101268716303</v>
      </c>
      <c r="F5999">
        <v>0.39899269492980399</v>
      </c>
      <c r="G5999">
        <v>0.17038329211422901</v>
      </c>
      <c r="H5999">
        <v>6.7179235374193902E-2</v>
      </c>
      <c r="I5999">
        <v>4.2875647637454897E-2</v>
      </c>
      <c r="J5999">
        <v>5.7770701784610801E-2</v>
      </c>
      <c r="K5999">
        <v>4.8237574096484402E-2</v>
      </c>
      <c r="L5999">
        <v>640.62307490910905</v>
      </c>
      <c r="M5999">
        <v>13.412253844241</v>
      </c>
      <c r="N5999">
        <v>47.818410040189697</v>
      </c>
      <c r="O5999">
        <v>46.739686980299602</v>
      </c>
      <c r="P5999">
        <v>-7.1206966398723606E-2</v>
      </c>
      <c r="Q5999">
        <v>7.5729911349426103E-3</v>
      </c>
      <c r="R5999">
        <v>0.99566669251681295</v>
      </c>
      <c r="S5999" t="s">
        <v>12567</v>
      </c>
      <c r="T5999" t="s">
        <v>13134</v>
      </c>
      <c r="U5999" t="s">
        <v>13134</v>
      </c>
      <c r="V5999" t="s">
        <v>13134</v>
      </c>
      <c r="W5999" t="s">
        <v>19065</v>
      </c>
      <c r="X5999">
        <v>14</v>
      </c>
      <c r="Y5999" t="s">
        <v>25426</v>
      </c>
      <c r="Z5999" t="s">
        <v>31967</v>
      </c>
      <c r="AA5999">
        <v>0.39010728923639992</v>
      </c>
      <c r="AB5999" t="str">
        <f>HYPERLINK("Melting_Curves/meltCurve_Q9NXV6_CDKN2AIP.pdf", "Melting_Curves/meltCurve_Q9NXV6_CDKN2AIP.pdf")</f>
        <v>Melting_Curves/meltCurve_Q9NXV6_CDKN2AIP.pdf</v>
      </c>
    </row>
    <row r="6000" spans="1:28" x14ac:dyDescent="0.25">
      <c r="A6000" t="s">
        <v>6004</v>
      </c>
      <c r="B6000">
        <v>0.99472303558308395</v>
      </c>
      <c r="C6000">
        <v>0.96004739467981803</v>
      </c>
      <c r="D6000">
        <v>1.09656466137974</v>
      </c>
      <c r="E6000">
        <v>0.70643668937720405</v>
      </c>
      <c r="F6000">
        <v>0.170165500263778</v>
      </c>
      <c r="G6000">
        <v>0.11443201223835101</v>
      </c>
      <c r="H6000">
        <v>6.7652767572728201E-2</v>
      </c>
      <c r="I6000">
        <v>5.9719492364292803E-2</v>
      </c>
      <c r="J6000">
        <v>5.2789649179831401E-2</v>
      </c>
      <c r="K6000">
        <v>4.0906156839690698E-2</v>
      </c>
      <c r="L6000">
        <v>1973.5895779479399</v>
      </c>
      <c r="M6000">
        <v>41.512477133003202</v>
      </c>
      <c r="N6000">
        <v>47.706750333558297</v>
      </c>
      <c r="O6000">
        <v>47.432155894364797</v>
      </c>
      <c r="P6000">
        <v>-0.20419524457924301</v>
      </c>
      <c r="Q6000">
        <v>6.6747757664841798E-2</v>
      </c>
      <c r="R6000">
        <v>0.99131871263509796</v>
      </c>
      <c r="S6000" t="s">
        <v>12568</v>
      </c>
      <c r="T6000" t="s">
        <v>13134</v>
      </c>
      <c r="U6000" t="s">
        <v>13134</v>
      </c>
      <c r="V6000" t="s">
        <v>13134</v>
      </c>
      <c r="W6000" t="s">
        <v>19066</v>
      </c>
      <c r="X6000">
        <v>8</v>
      </c>
      <c r="Y6000" t="s">
        <v>25427</v>
      </c>
      <c r="Z6000" t="s">
        <v>31968</v>
      </c>
      <c r="AA6000">
        <v>0.39754133948175169</v>
      </c>
      <c r="AB6000" t="str">
        <f>HYPERLINK("Melting_Curves/meltCurve_Q9NXW9_ALKBH4.pdf", "Melting_Curves/meltCurve_Q9NXW9_ALKBH4.pdf")</f>
        <v>Melting_Curves/meltCurve_Q9NXW9_ALKBH4.pdf</v>
      </c>
    </row>
    <row r="6001" spans="1:28" x14ac:dyDescent="0.25">
      <c r="A6001" t="s">
        <v>6005</v>
      </c>
      <c r="B6001">
        <v>0.99472303558308395</v>
      </c>
      <c r="C6001">
        <v>0.85289678602360297</v>
      </c>
      <c r="D6001">
        <v>0.68515295583837998</v>
      </c>
      <c r="E6001">
        <v>0.62157694975676403</v>
      </c>
      <c r="F6001">
        <v>0.48979742278896898</v>
      </c>
      <c r="G6001">
        <v>6.0592141936039297E-2</v>
      </c>
      <c r="H6001">
        <v>4.2489257220881302E-2</v>
      </c>
      <c r="I6001">
        <v>3.2547822615464801E-2</v>
      </c>
      <c r="J6001">
        <v>3.6067512086338301E-2</v>
      </c>
      <c r="K6001">
        <v>3.4305667663538701E-2</v>
      </c>
      <c r="L6001">
        <v>579.49868647771598</v>
      </c>
      <c r="M6001">
        <v>12.202809772203199</v>
      </c>
      <c r="N6001">
        <v>47.488954752517998</v>
      </c>
      <c r="O6001">
        <v>46.267625363560398</v>
      </c>
      <c r="P6001">
        <v>-6.5950908744086906E-2</v>
      </c>
      <c r="Q6001">
        <v>0</v>
      </c>
      <c r="R6001">
        <v>0.95351449368288499</v>
      </c>
      <c r="S6001" t="s">
        <v>12569</v>
      </c>
      <c r="T6001" t="s">
        <v>13134</v>
      </c>
      <c r="U6001" t="s">
        <v>13134</v>
      </c>
      <c r="V6001" t="s">
        <v>13134</v>
      </c>
      <c r="W6001" t="s">
        <v>19067</v>
      </c>
      <c r="X6001">
        <v>3</v>
      </c>
      <c r="Y6001" t="s">
        <v>25428</v>
      </c>
      <c r="Z6001" t="s">
        <v>31969</v>
      </c>
      <c r="AA6001">
        <v>0.38091285632040411</v>
      </c>
      <c r="AB6001" t="str">
        <f>HYPERLINK("Melting_Curves/meltCurve_Q9NXX6_NSMCE4A.pdf", "Melting_Curves/meltCurve_Q9NXX6_NSMCE4A.pdf")</f>
        <v>Melting_Curves/meltCurve_Q9NXX6_NSMCE4A.pdf</v>
      </c>
    </row>
    <row r="6002" spans="1:28" x14ac:dyDescent="0.25">
      <c r="A6002" t="s">
        <v>6006</v>
      </c>
      <c r="B6002">
        <v>0.99472303558308395</v>
      </c>
      <c r="C6002">
        <v>1.0173765283930301</v>
      </c>
      <c r="D6002">
        <v>0.91169375819366905</v>
      </c>
      <c r="E6002">
        <v>0.816604127708354</v>
      </c>
      <c r="F6002">
        <v>0.47087251566727101</v>
      </c>
      <c r="G6002">
        <v>0.218609278119067</v>
      </c>
      <c r="H6002">
        <v>9.11634758633703E-2</v>
      </c>
      <c r="I6002">
        <v>5.3428898730295299E-2</v>
      </c>
      <c r="J6002">
        <v>6.0742301399321602E-2</v>
      </c>
      <c r="K6002">
        <v>4.4464790031757503E-2</v>
      </c>
      <c r="L6002">
        <v>978.74662078470601</v>
      </c>
      <c r="M6002">
        <v>19.673974829162901</v>
      </c>
      <c r="N6002">
        <v>49.939703105407297</v>
      </c>
      <c r="O6002">
        <v>49.2428785837661</v>
      </c>
      <c r="P6002">
        <v>-9.6258580566288707E-2</v>
      </c>
      <c r="Q6002">
        <v>3.6313955519983197E-2</v>
      </c>
      <c r="R6002">
        <v>0.99784844497112501</v>
      </c>
      <c r="S6002" t="s">
        <v>12570</v>
      </c>
      <c r="T6002" t="s">
        <v>13134</v>
      </c>
      <c r="U6002" t="s">
        <v>13134</v>
      </c>
      <c r="V6002" t="s">
        <v>13134</v>
      </c>
      <c r="W6002" t="s">
        <v>19068</v>
      </c>
      <c r="X6002">
        <v>14</v>
      </c>
      <c r="Y6002" t="s">
        <v>25429</v>
      </c>
      <c r="Z6002" t="s">
        <v>31970</v>
      </c>
      <c r="AA6002">
        <v>0.45889630951307969</v>
      </c>
      <c r="AB6002" t="str">
        <f>HYPERLINK("Melting_Curves/meltCurve_Q9NY27_PPP4R2.pdf", "Melting_Curves/meltCurve_Q9NY27_PPP4R2.pdf")</f>
        <v>Melting_Curves/meltCurve_Q9NY27_PPP4R2.pdf</v>
      </c>
    </row>
    <row r="6003" spans="1:28" x14ac:dyDescent="0.25">
      <c r="A6003" t="s">
        <v>6007</v>
      </c>
      <c r="B6003">
        <v>0.99472303558308395</v>
      </c>
      <c r="C6003">
        <v>0.98469109801793897</v>
      </c>
      <c r="D6003">
        <v>0.80817817434820904</v>
      </c>
      <c r="E6003">
        <v>0.71381657972888801</v>
      </c>
      <c r="F6003">
        <v>0.61247122945832999</v>
      </c>
      <c r="G6003">
        <v>0.30000693522705102</v>
      </c>
      <c r="H6003">
        <v>0.18230298113628399</v>
      </c>
      <c r="I6003">
        <v>0.162068962926909</v>
      </c>
      <c r="J6003">
        <v>0.13694226305132901</v>
      </c>
      <c r="K6003">
        <v>0.17075279293798301</v>
      </c>
      <c r="L6003">
        <v>611.43632354696501</v>
      </c>
      <c r="M6003">
        <v>12.294080397607701</v>
      </c>
      <c r="N6003">
        <v>50.504869978148299</v>
      </c>
      <c r="O6003">
        <v>48.473258333974201</v>
      </c>
      <c r="P6003">
        <v>-5.7996329436416902E-2</v>
      </c>
      <c r="Q6003">
        <v>8.5525994564418201E-2</v>
      </c>
      <c r="R6003">
        <v>0.97982017096704999</v>
      </c>
      <c r="S6003" t="s">
        <v>12571</v>
      </c>
      <c r="T6003" t="s">
        <v>13134</v>
      </c>
      <c r="U6003" t="s">
        <v>13134</v>
      </c>
      <c r="V6003" t="s">
        <v>13134</v>
      </c>
      <c r="W6003" t="s">
        <v>19069</v>
      </c>
      <c r="X6003">
        <v>2</v>
      </c>
      <c r="Y6003" t="s">
        <v>25430</v>
      </c>
      <c r="Z6003" t="s">
        <v>31971</v>
      </c>
      <c r="AA6003">
        <v>0.49896942376230879</v>
      </c>
      <c r="AB6003" t="str">
        <f>HYPERLINK("Melting_Curves/meltCurve_Q9NY97_2_B3GNT2.pdf", "Melting_Curves/meltCurve_Q9NY97_2_B3GNT2.pdf")</f>
        <v>Melting_Curves/meltCurve_Q9NY97_2_B3GNT2.pdf</v>
      </c>
    </row>
    <row r="6004" spans="1:28" x14ac:dyDescent="0.25">
      <c r="A6004" t="s">
        <v>6008</v>
      </c>
      <c r="B6004">
        <v>0.99472303558308395</v>
      </c>
      <c r="C6004">
        <v>0.87153364339962602</v>
      </c>
      <c r="D6004">
        <v>1.0697507497413099</v>
      </c>
      <c r="E6004">
        <v>0.89985286105252504</v>
      </c>
      <c r="F6004">
        <v>0.72180886328149696</v>
      </c>
      <c r="G6004">
        <v>0.45292242287920798</v>
      </c>
      <c r="H6004">
        <v>9.24376039896673E-2</v>
      </c>
      <c r="I6004">
        <v>4.6746876754834799E-2</v>
      </c>
      <c r="J6004">
        <v>3.4430035654724703E-2</v>
      </c>
      <c r="K6004">
        <v>5.2536707511175298E-2</v>
      </c>
      <c r="L6004">
        <v>1111.1564507236301</v>
      </c>
      <c r="M6004">
        <v>21.0958956911727</v>
      </c>
      <c r="N6004">
        <v>52.708638375481598</v>
      </c>
      <c r="O6004">
        <v>52.205261539330699</v>
      </c>
      <c r="P6004">
        <v>-0.100284969995908</v>
      </c>
      <c r="Q6004">
        <v>7.3398887120689404E-3</v>
      </c>
      <c r="R6004">
        <v>0.98058605274663402</v>
      </c>
      <c r="S6004" t="s">
        <v>12572</v>
      </c>
      <c r="T6004" t="s">
        <v>13134</v>
      </c>
      <c r="U6004" t="s">
        <v>13134</v>
      </c>
      <c r="V6004" t="s">
        <v>13134</v>
      </c>
      <c r="W6004" t="s">
        <v>19070</v>
      </c>
      <c r="X6004">
        <v>5</v>
      </c>
      <c r="Y6004" t="s">
        <v>25431</v>
      </c>
      <c r="Z6004" t="s">
        <v>31972</v>
      </c>
      <c r="AA6004">
        <v>0.53753639620005533</v>
      </c>
      <c r="AB6004" t="str">
        <f>HYPERLINK("Melting_Curves/meltCurve_Q9NYA1_2_SPHK1.pdf", "Melting_Curves/meltCurve_Q9NYA1_2_SPHK1.pdf")</f>
        <v>Melting_Curves/meltCurve_Q9NYA1_2_SPHK1.pdf</v>
      </c>
    </row>
    <row r="6005" spans="1:28" x14ac:dyDescent="0.25">
      <c r="A6005" t="s">
        <v>6009</v>
      </c>
      <c r="B6005">
        <v>0.99472303558308395</v>
      </c>
      <c r="C6005">
        <v>0.95521538589063504</v>
      </c>
      <c r="D6005">
        <v>0.89494048834913797</v>
      </c>
      <c r="E6005">
        <v>0.71199122325272801</v>
      </c>
      <c r="F6005">
        <v>0.39291773771243999</v>
      </c>
      <c r="G6005">
        <v>0.19287243609038099</v>
      </c>
      <c r="H6005">
        <v>0.111602208581707</v>
      </c>
      <c r="I6005">
        <v>6.7214542490243001E-2</v>
      </c>
      <c r="J6005">
        <v>8.0818646564697103E-2</v>
      </c>
      <c r="K6005">
        <v>7.57098307832553E-2</v>
      </c>
      <c r="L6005">
        <v>858.82356511077103</v>
      </c>
      <c r="M6005">
        <v>17.691706859732701</v>
      </c>
      <c r="N6005">
        <v>48.880909288334998</v>
      </c>
      <c r="O6005">
        <v>47.936371703497102</v>
      </c>
      <c r="P6005">
        <v>-8.6973023811792297E-2</v>
      </c>
      <c r="Q6005">
        <v>5.7422536533281499E-2</v>
      </c>
      <c r="R6005">
        <v>0.99878046710644997</v>
      </c>
      <c r="S6005" t="s">
        <v>12573</v>
      </c>
      <c r="T6005" t="s">
        <v>13134</v>
      </c>
      <c r="U6005" t="s">
        <v>13134</v>
      </c>
      <c r="V6005" t="s">
        <v>13134</v>
      </c>
      <c r="W6005" t="s">
        <v>19071</v>
      </c>
      <c r="X6005">
        <v>16</v>
      </c>
      <c r="Y6005" t="s">
        <v>25432</v>
      </c>
      <c r="Z6005" t="s">
        <v>31973</v>
      </c>
      <c r="AA6005">
        <v>0.43561674230635511</v>
      </c>
      <c r="AB6005" t="str">
        <f>HYPERLINK("Melting_Curves/meltCurve_Q9NYB0_TERF2IP.pdf", "Melting_Curves/meltCurve_Q9NYB0_TERF2IP.pdf")</f>
        <v>Melting_Curves/meltCurve_Q9NYB0_TERF2IP.pdf</v>
      </c>
    </row>
    <row r="6006" spans="1:28" x14ac:dyDescent="0.25">
      <c r="A6006" t="s">
        <v>6010</v>
      </c>
      <c r="B6006">
        <v>0.99472303558308395</v>
      </c>
      <c r="C6006">
        <v>0.671616614737087</v>
      </c>
      <c r="D6006">
        <v>0.33768577926886001</v>
      </c>
      <c r="E6006">
        <v>0.19155944291909499</v>
      </c>
      <c r="F6006">
        <v>0.139078628684007</v>
      </c>
      <c r="G6006">
        <v>7.0760354988073093E-2</v>
      </c>
      <c r="H6006">
        <v>6.03367506691454E-2</v>
      </c>
      <c r="I6006">
        <v>5.14338595567118E-2</v>
      </c>
      <c r="J6006">
        <v>4.17993843210131E-2</v>
      </c>
      <c r="K6006">
        <v>2.0585124400028201E-2</v>
      </c>
      <c r="L6006">
        <v>834.23651294092201</v>
      </c>
      <c r="M6006">
        <v>20.159140740078598</v>
      </c>
      <c r="N6006">
        <v>41.648088573138097</v>
      </c>
      <c r="O6006">
        <v>40.981765100473098</v>
      </c>
      <c r="P6006">
        <v>-0.115563489224578</v>
      </c>
      <c r="Q6006">
        <v>6.0307463614424697E-2</v>
      </c>
      <c r="R6006">
        <v>0.986151519870611</v>
      </c>
      <c r="S6006" t="s">
        <v>12574</v>
      </c>
      <c r="T6006" t="s">
        <v>13134</v>
      </c>
      <c r="U6006" t="s">
        <v>13134</v>
      </c>
      <c r="V6006" t="s">
        <v>13134</v>
      </c>
      <c r="W6006" t="s">
        <v>19072</v>
      </c>
      <c r="X6006">
        <v>4</v>
      </c>
      <c r="Y6006" t="s">
        <v>25433</v>
      </c>
      <c r="Z6006" t="s">
        <v>31974</v>
      </c>
      <c r="AA6006">
        <v>0.21252597716102889</v>
      </c>
      <c r="AB6006" t="str">
        <f>HYPERLINK("Melting_Curves/meltCurve_Q9NYH9_UTP6.pdf", "Melting_Curves/meltCurve_Q9NYH9_UTP6.pdf")</f>
        <v>Melting_Curves/meltCurve_Q9NYH9_UTP6.pdf</v>
      </c>
    </row>
    <row r="6007" spans="1:28" x14ac:dyDescent="0.25">
      <c r="A6007" t="s">
        <v>6011</v>
      </c>
      <c r="B6007">
        <v>0.99472303558308395</v>
      </c>
      <c r="C6007">
        <v>1.0700049589127101</v>
      </c>
      <c r="D6007">
        <v>0.90670064209860102</v>
      </c>
      <c r="E6007">
        <v>0.871412880160364</v>
      </c>
      <c r="F6007">
        <v>0.68249663614633105</v>
      </c>
      <c r="G6007">
        <v>0.53779070426436004</v>
      </c>
      <c r="H6007">
        <v>0.46758310240277901</v>
      </c>
      <c r="I6007">
        <v>0.52614874463860095</v>
      </c>
      <c r="J6007">
        <v>0.767270850969478</v>
      </c>
      <c r="K6007">
        <v>0.53138804564258002</v>
      </c>
      <c r="L6007">
        <v>1305.8949234684201</v>
      </c>
      <c r="M6007">
        <v>27.2671503244697</v>
      </c>
      <c r="O6007">
        <v>47.637234643828599</v>
      </c>
      <c r="P6007">
        <v>-6.2303855364803602E-2</v>
      </c>
      <c r="Q6007">
        <v>0.56461090150728899</v>
      </c>
      <c r="R6007">
        <v>0.84192152607204196</v>
      </c>
      <c r="S6007" t="s">
        <v>12575</v>
      </c>
      <c r="T6007" t="s">
        <v>13134</v>
      </c>
      <c r="U6007" t="s">
        <v>13134</v>
      </c>
      <c r="V6007" t="s">
        <v>13134</v>
      </c>
      <c r="W6007" t="s">
        <v>19073</v>
      </c>
      <c r="X6007">
        <v>7</v>
      </c>
      <c r="Y6007" t="s">
        <v>25434</v>
      </c>
      <c r="Z6007" t="s">
        <v>31975</v>
      </c>
      <c r="AA6007">
        <v>0.72581151286363688</v>
      </c>
      <c r="AB6007" t="str">
        <f>HYPERLINK("Melting_Curves/meltCurve_Q9NYJ1_COA4.pdf", "Melting_Curves/meltCurve_Q9NYJ1_COA4.pdf")</f>
        <v>Melting_Curves/meltCurve_Q9NYJ1_COA4.pdf</v>
      </c>
    </row>
    <row r="6008" spans="1:28" x14ac:dyDescent="0.25">
      <c r="A6008" t="s">
        <v>6012</v>
      </c>
      <c r="B6008">
        <v>0.99472303558308395</v>
      </c>
      <c r="C6008">
        <v>1.02373807548004</v>
      </c>
      <c r="D6008">
        <v>0.89401388395359305</v>
      </c>
      <c r="E6008">
        <v>0.67275405106341601</v>
      </c>
      <c r="F6008">
        <v>0.38066068531054997</v>
      </c>
      <c r="G6008">
        <v>0.24721654259984199</v>
      </c>
      <c r="H6008">
        <v>0.20199676212106499</v>
      </c>
      <c r="I6008">
        <v>0.20246335904694501</v>
      </c>
      <c r="J6008">
        <v>0.24075144175646801</v>
      </c>
      <c r="K6008">
        <v>0.222592926513176</v>
      </c>
      <c r="L6008">
        <v>1054.0878167785299</v>
      </c>
      <c r="M6008">
        <v>22.319085986040299</v>
      </c>
      <c r="N6008">
        <v>48.408759002812602</v>
      </c>
      <c r="O6008">
        <v>46.853854007895201</v>
      </c>
      <c r="P6008">
        <v>-9.4095119940884597E-2</v>
      </c>
      <c r="Q6008">
        <v>0.209891278650471</v>
      </c>
      <c r="R6008">
        <v>0.996442134645391</v>
      </c>
      <c r="S6008" t="s">
        <v>12576</v>
      </c>
      <c r="T6008" t="s">
        <v>13134</v>
      </c>
      <c r="U6008" t="s">
        <v>13134</v>
      </c>
      <c r="V6008" t="s">
        <v>13134</v>
      </c>
      <c r="W6008" t="s">
        <v>19074</v>
      </c>
      <c r="X6008">
        <v>5</v>
      </c>
      <c r="Y6008" t="s">
        <v>25435</v>
      </c>
      <c r="Z6008" t="s">
        <v>31976</v>
      </c>
      <c r="AA6008">
        <v>0.4876144225306509</v>
      </c>
      <c r="AB6008" t="str">
        <f>HYPERLINK("Melting_Curves/meltCurve_Q9NYJ8_TAB2.pdf", "Melting_Curves/meltCurve_Q9NYJ8_TAB2.pdf")</f>
        <v>Melting_Curves/meltCurve_Q9NYJ8_TAB2.pdf</v>
      </c>
    </row>
    <row r="6009" spans="1:28" x14ac:dyDescent="0.25">
      <c r="A6009" t="s">
        <v>6013</v>
      </c>
      <c r="B6009">
        <v>0.99472303558308395</v>
      </c>
      <c r="C6009">
        <v>0.96784160234703898</v>
      </c>
      <c r="D6009">
        <v>1.06368539033701</v>
      </c>
      <c r="E6009">
        <v>1.19990608723283</v>
      </c>
      <c r="F6009">
        <v>0.76752061195882204</v>
      </c>
      <c r="G6009">
        <v>0.17288296623435501</v>
      </c>
      <c r="H6009">
        <v>0.10281478596588001</v>
      </c>
      <c r="I6009">
        <v>6.2294161777344301E-2</v>
      </c>
      <c r="J6009">
        <v>7.7592921021714306E-2</v>
      </c>
      <c r="K6009">
        <v>6.4641462746251599E-2</v>
      </c>
      <c r="L6009">
        <v>2634.0362465405301</v>
      </c>
      <c r="M6009">
        <v>51.309608935861597</v>
      </c>
      <c r="N6009">
        <v>51.507501733606098</v>
      </c>
      <c r="O6009">
        <v>51.258332536534098</v>
      </c>
      <c r="P6009">
        <v>-0.230612570078505</v>
      </c>
      <c r="Q6009">
        <v>7.8472529055781698E-2</v>
      </c>
      <c r="R6009">
        <v>0.97746029236086096</v>
      </c>
      <c r="S6009" t="s">
        <v>12577</v>
      </c>
      <c r="T6009" t="s">
        <v>13134</v>
      </c>
      <c r="U6009" t="s">
        <v>13134</v>
      </c>
      <c r="V6009" t="s">
        <v>13134</v>
      </c>
      <c r="W6009" t="s">
        <v>19075</v>
      </c>
      <c r="X6009">
        <v>11</v>
      </c>
      <c r="Y6009" t="s">
        <v>25436</v>
      </c>
      <c r="Z6009" t="s">
        <v>31977</v>
      </c>
      <c r="AA6009">
        <v>0.52082417267660885</v>
      </c>
      <c r="AB6009" t="str">
        <f>HYPERLINK("Melting_Curves/meltCurve_Q9NYK5_MRPL39.pdf", "Melting_Curves/meltCurve_Q9NYK5_MRPL39.pdf")</f>
        <v>Melting_Curves/meltCurve_Q9NYK5_MRPL39.pdf</v>
      </c>
    </row>
    <row r="6010" spans="1:28" x14ac:dyDescent="0.25">
      <c r="A6010" t="s">
        <v>6014</v>
      </c>
      <c r="B6010">
        <v>0.99472303558308395</v>
      </c>
      <c r="C6010">
        <v>0.92501917293483304</v>
      </c>
      <c r="D6010">
        <v>0.89693525429376597</v>
      </c>
      <c r="E6010">
        <v>0.72621251813910404</v>
      </c>
      <c r="F6010">
        <v>0.48354739817597298</v>
      </c>
      <c r="G6010">
        <v>0.23016230017971601</v>
      </c>
      <c r="H6010">
        <v>6.9288774878601994E-2</v>
      </c>
      <c r="I6010">
        <v>3.5827529468732598E-2</v>
      </c>
      <c r="J6010">
        <v>3.2913060997062697E-2</v>
      </c>
      <c r="K6010">
        <v>3.3095378192682302E-2</v>
      </c>
      <c r="L6010">
        <v>763.779890759247</v>
      </c>
      <c r="M6010">
        <v>15.4019929445004</v>
      </c>
      <c r="N6010">
        <v>49.589687850971004</v>
      </c>
      <c r="O6010">
        <v>48.776268551697399</v>
      </c>
      <c r="P6010">
        <v>-7.8949233521550893E-2</v>
      </c>
      <c r="Q6010">
        <v>0</v>
      </c>
      <c r="R6010">
        <v>0.99600372719861097</v>
      </c>
      <c r="S6010" t="s">
        <v>12578</v>
      </c>
      <c r="T6010" t="s">
        <v>13134</v>
      </c>
      <c r="U6010" t="s">
        <v>13134</v>
      </c>
      <c r="V6010" t="s">
        <v>13134</v>
      </c>
      <c r="W6010" t="s">
        <v>19076</v>
      </c>
      <c r="X6010">
        <v>6</v>
      </c>
      <c r="Y6010" t="s">
        <v>25437</v>
      </c>
      <c r="Z6010" t="s">
        <v>31978</v>
      </c>
      <c r="AA6010">
        <v>0.43999470722745032</v>
      </c>
      <c r="AB6010" t="str">
        <f>HYPERLINK("Melting_Curves/meltCurve_Q9NYL2_MLTK.pdf", "Melting_Curves/meltCurve_Q9NYL2_MLTK.pdf")</f>
        <v>Melting_Curves/meltCurve_Q9NYL2_MLTK.pdf</v>
      </c>
    </row>
    <row r="6011" spans="1:28" x14ac:dyDescent="0.25">
      <c r="A6011" t="s">
        <v>6015</v>
      </c>
      <c r="B6011">
        <v>0.99472303558308395</v>
      </c>
      <c r="C6011">
        <v>1.01844853370467</v>
      </c>
      <c r="D6011">
        <v>1.0268722257629599</v>
      </c>
      <c r="E6011">
        <v>0.85426135290850003</v>
      </c>
      <c r="F6011">
        <v>0.69123952321112903</v>
      </c>
      <c r="G6011">
        <v>0.31544524426128701</v>
      </c>
      <c r="H6011">
        <v>9.5478018318132699E-2</v>
      </c>
      <c r="I6011">
        <v>5.7520469840468498E-2</v>
      </c>
      <c r="J6011">
        <v>3.5647410002674497E-2</v>
      </c>
      <c r="K6011">
        <v>5.2377790004419E-2</v>
      </c>
      <c r="L6011">
        <v>1120.55049979455</v>
      </c>
      <c r="M6011">
        <v>21.685910580600002</v>
      </c>
      <c r="N6011">
        <v>51.786869528071698</v>
      </c>
      <c r="O6011">
        <v>51.2384551003125</v>
      </c>
      <c r="P6011">
        <v>-0.10332287451019299</v>
      </c>
      <c r="Q6011">
        <v>2.3517311901414401E-2</v>
      </c>
      <c r="R6011">
        <v>0.99550894721688998</v>
      </c>
      <c r="S6011" t="s">
        <v>12579</v>
      </c>
      <c r="T6011" t="s">
        <v>13134</v>
      </c>
      <c r="U6011" t="s">
        <v>13134</v>
      </c>
      <c r="V6011" t="s">
        <v>13134</v>
      </c>
      <c r="W6011" t="s">
        <v>19077</v>
      </c>
      <c r="X6011">
        <v>6</v>
      </c>
      <c r="Y6011" t="s">
        <v>25437</v>
      </c>
      <c r="Z6011" t="s">
        <v>31979</v>
      </c>
      <c r="AA6011">
        <v>0.51217573800312832</v>
      </c>
      <c r="AB6011" t="str">
        <f>HYPERLINK("Melting_Curves/meltCurve_Q9NYL2_2_MLTK.pdf", "Melting_Curves/meltCurve_Q9NYL2_2_MLTK.pdf")</f>
        <v>Melting_Curves/meltCurve_Q9NYL2_2_MLTK.pdf</v>
      </c>
    </row>
    <row r="6012" spans="1:28" x14ac:dyDescent="0.25">
      <c r="A6012" t="s">
        <v>6016</v>
      </c>
      <c r="B6012">
        <v>0.99472303558308395</v>
      </c>
      <c r="C6012">
        <v>0.829743524470268</v>
      </c>
      <c r="D6012">
        <v>0.69779853167408001</v>
      </c>
      <c r="E6012">
        <v>0.388083632195523</v>
      </c>
      <c r="F6012">
        <v>0.15695770113658999</v>
      </c>
      <c r="G6012">
        <v>7.7221504176437902E-2</v>
      </c>
      <c r="H6012">
        <v>4.90720933733413E-2</v>
      </c>
      <c r="I6012">
        <v>3.4635616911629502E-2</v>
      </c>
      <c r="J6012">
        <v>4.63177595755523E-2</v>
      </c>
      <c r="K6012">
        <v>4.8717839883156297E-2</v>
      </c>
      <c r="L6012">
        <v>714.51303363627403</v>
      </c>
      <c r="M6012">
        <v>15.922913494673701</v>
      </c>
      <c r="N6012">
        <v>45.023619819370097</v>
      </c>
      <c r="O6012">
        <v>44.183368119877201</v>
      </c>
      <c r="P6012">
        <v>-8.7769824629785706E-2</v>
      </c>
      <c r="Q6012">
        <v>2.58924787439841E-2</v>
      </c>
      <c r="R6012">
        <v>0.99573354064208697</v>
      </c>
      <c r="S6012" t="s">
        <v>12580</v>
      </c>
      <c r="T6012" t="s">
        <v>13134</v>
      </c>
      <c r="U6012" t="s">
        <v>13134</v>
      </c>
      <c r="V6012" t="s">
        <v>13134</v>
      </c>
      <c r="W6012" t="s">
        <v>19078</v>
      </c>
      <c r="X6012">
        <v>9</v>
      </c>
      <c r="Y6012" t="s">
        <v>25438</v>
      </c>
      <c r="Z6012" t="s">
        <v>31980</v>
      </c>
      <c r="AA6012">
        <v>0.30216958063932292</v>
      </c>
      <c r="AB6012" t="str">
        <f>HYPERLINK("Melting_Curves/meltCurve_Q9NYL9_TMOD3.pdf", "Melting_Curves/meltCurve_Q9NYL9_TMOD3.pdf")</f>
        <v>Melting_Curves/meltCurve_Q9NYL9_TMOD3.pdf</v>
      </c>
    </row>
    <row r="6013" spans="1:28" x14ac:dyDescent="0.25">
      <c r="A6013" t="s">
        <v>6017</v>
      </c>
      <c r="B6013">
        <v>0.99472303558308395</v>
      </c>
      <c r="C6013">
        <v>0.97454133387258302</v>
      </c>
      <c r="D6013">
        <v>0.95343306598046196</v>
      </c>
      <c r="E6013">
        <v>0.85543913449980402</v>
      </c>
      <c r="F6013">
        <v>0.62379588846173095</v>
      </c>
      <c r="G6013">
        <v>0.26797110937829699</v>
      </c>
      <c r="H6013">
        <v>8.2463874065243595E-2</v>
      </c>
      <c r="I6013">
        <v>5.6046578644006403E-2</v>
      </c>
      <c r="J6013">
        <v>5.5165712099288701E-2</v>
      </c>
      <c r="K6013">
        <v>5.4940789593399597E-2</v>
      </c>
      <c r="L6013">
        <v>1077.77687966383</v>
      </c>
      <c r="M6013">
        <v>21.135339163432501</v>
      </c>
      <c r="N6013">
        <v>51.1484839085308</v>
      </c>
      <c r="O6013">
        <v>50.544144976348299</v>
      </c>
      <c r="P6013">
        <v>-0.101310159336666</v>
      </c>
      <c r="Q6013">
        <v>3.0912014956587301E-2</v>
      </c>
      <c r="R6013">
        <v>0.99729224259529403</v>
      </c>
      <c r="S6013" t="s">
        <v>12581</v>
      </c>
      <c r="T6013" t="s">
        <v>13134</v>
      </c>
      <c r="U6013" t="s">
        <v>13134</v>
      </c>
      <c r="V6013" t="s">
        <v>13134</v>
      </c>
      <c r="W6013" t="s">
        <v>19079</v>
      </c>
      <c r="X6013">
        <v>10</v>
      </c>
      <c r="Y6013" t="s">
        <v>25439</v>
      </c>
      <c r="Z6013" t="s">
        <v>31981</v>
      </c>
      <c r="AA6013">
        <v>0.49451676568775449</v>
      </c>
      <c r="AB6013" t="str">
        <f>HYPERLINK("Melting_Curves/meltCurve_Q9NYP9_MIS18A.pdf", "Melting_Curves/meltCurve_Q9NYP9_MIS18A.pdf")</f>
        <v>Melting_Curves/meltCurve_Q9NYP9_MIS18A.pdf</v>
      </c>
    </row>
    <row r="6014" spans="1:28" x14ac:dyDescent="0.25">
      <c r="A6014" t="s">
        <v>6018</v>
      </c>
      <c r="B6014">
        <v>0.99472303558308395</v>
      </c>
      <c r="C6014">
        <v>0.95375460253496003</v>
      </c>
      <c r="D6014">
        <v>0.84079010653956998</v>
      </c>
      <c r="E6014">
        <v>0.762494339012454</v>
      </c>
      <c r="F6014">
        <v>0.69925676495184297</v>
      </c>
      <c r="G6014">
        <v>0.189470485972626</v>
      </c>
      <c r="H6014">
        <v>7.6979083180948399E-2</v>
      </c>
      <c r="I6014">
        <v>4.4125199349194101E-2</v>
      </c>
      <c r="J6014">
        <v>4.7687992425469498E-2</v>
      </c>
      <c r="K6014">
        <v>4.9338952808627899E-2</v>
      </c>
      <c r="L6014">
        <v>882.03836605935305</v>
      </c>
      <c r="M6014">
        <v>17.3534289341662</v>
      </c>
      <c r="N6014">
        <v>50.827901507854499</v>
      </c>
      <c r="O6014">
        <v>50.167339358131002</v>
      </c>
      <c r="P6014">
        <v>-8.6482650269668698E-2</v>
      </c>
      <c r="Q6014">
        <v>0</v>
      </c>
      <c r="R6014">
        <v>0.96643568418091497</v>
      </c>
      <c r="S6014" t="s">
        <v>12582</v>
      </c>
      <c r="T6014" t="s">
        <v>13134</v>
      </c>
      <c r="U6014" t="s">
        <v>13134</v>
      </c>
      <c r="V6014" t="s">
        <v>13134</v>
      </c>
      <c r="W6014" t="s">
        <v>19080</v>
      </c>
      <c r="X6014">
        <v>39</v>
      </c>
      <c r="Y6014" t="s">
        <v>25440</v>
      </c>
      <c r="Z6014" t="s">
        <v>31982</v>
      </c>
      <c r="AA6014">
        <v>0.47739449848476151</v>
      </c>
      <c r="AB6014" t="str">
        <f>HYPERLINK("Melting_Curves/meltCurve_Q9NYU2_2_UGGT1.pdf", "Melting_Curves/meltCurve_Q9NYU2_2_UGGT1.pdf")</f>
        <v>Melting_Curves/meltCurve_Q9NYU2_2_UGGT1.pdf</v>
      </c>
    </row>
    <row r="6015" spans="1:28" x14ac:dyDescent="0.25">
      <c r="A6015" t="s">
        <v>6019</v>
      </c>
      <c r="B6015">
        <v>0.99472303558308395</v>
      </c>
      <c r="C6015">
        <v>0.94105290181995904</v>
      </c>
      <c r="D6015">
        <v>0.95780809257599098</v>
      </c>
      <c r="E6015">
        <v>0.81285191031137205</v>
      </c>
      <c r="F6015">
        <v>0.57302932861274103</v>
      </c>
      <c r="G6015">
        <v>0.36075909360585101</v>
      </c>
      <c r="H6015">
        <v>0.13116801065286199</v>
      </c>
      <c r="I6015">
        <v>6.9864898478975798E-2</v>
      </c>
      <c r="J6015">
        <v>7.2364181083002493E-2</v>
      </c>
      <c r="K6015">
        <v>5.4646111217025103E-2</v>
      </c>
      <c r="L6015">
        <v>786.36179719711402</v>
      </c>
      <c r="M6015">
        <v>15.382399240884</v>
      </c>
      <c r="N6015">
        <v>51.218575732768699</v>
      </c>
      <c r="O6015">
        <v>50.280272598034898</v>
      </c>
      <c r="P6015">
        <v>-7.5384448815470601E-2</v>
      </c>
      <c r="Q6015">
        <v>1.4457049393323099E-2</v>
      </c>
      <c r="R6015">
        <v>0.99613562298974101</v>
      </c>
      <c r="S6015" t="s">
        <v>12583</v>
      </c>
      <c r="T6015" t="s">
        <v>13134</v>
      </c>
      <c r="U6015" t="s">
        <v>13134</v>
      </c>
      <c r="V6015" t="s">
        <v>13134</v>
      </c>
      <c r="W6015" t="s">
        <v>19081</v>
      </c>
      <c r="X6015">
        <v>24</v>
      </c>
      <c r="Y6015" t="s">
        <v>25441</v>
      </c>
      <c r="Z6015" t="s">
        <v>31983</v>
      </c>
      <c r="AA6015">
        <v>0.49744337467871741</v>
      </c>
      <c r="AB6015" t="str">
        <f>HYPERLINK("Melting_Curves/meltCurve_Q9NYV4_2_CDK12.pdf", "Melting_Curves/meltCurve_Q9NYV4_2_CDK12.pdf")</f>
        <v>Melting_Curves/meltCurve_Q9NYV4_2_CDK12.pdf</v>
      </c>
    </row>
    <row r="6016" spans="1:28" x14ac:dyDescent="0.25">
      <c r="A6016" t="s">
        <v>6020</v>
      </c>
      <c r="B6016">
        <v>0.99472303558308395</v>
      </c>
      <c r="C6016">
        <v>0.90599641591485702</v>
      </c>
      <c r="D6016">
        <v>0.88558604338677305</v>
      </c>
      <c r="E6016">
        <v>0.73573966775296595</v>
      </c>
      <c r="F6016">
        <v>0.45669539473213899</v>
      </c>
      <c r="G6016">
        <v>0.135686346468779</v>
      </c>
      <c r="H6016">
        <v>7.9278556635415401E-2</v>
      </c>
      <c r="I6016">
        <v>5.1543537938411203E-2</v>
      </c>
      <c r="J6016">
        <v>5.1609827358003603E-2</v>
      </c>
      <c r="K6016">
        <v>5.1862011628674598E-2</v>
      </c>
      <c r="L6016">
        <v>857.95381190110402</v>
      </c>
      <c r="M6016">
        <v>17.488176109404598</v>
      </c>
      <c r="N6016">
        <v>49.180643065375101</v>
      </c>
      <c r="O6016">
        <v>48.431084990731698</v>
      </c>
      <c r="P6016">
        <v>-8.8368780138190203E-2</v>
      </c>
      <c r="Q6016">
        <v>2.1153652961392901E-2</v>
      </c>
      <c r="R6016">
        <v>0.99090818545521397</v>
      </c>
      <c r="S6016" t="s">
        <v>12584</v>
      </c>
      <c r="T6016" t="s">
        <v>13134</v>
      </c>
      <c r="U6016" t="s">
        <v>13134</v>
      </c>
      <c r="V6016" t="s">
        <v>13134</v>
      </c>
      <c r="W6016" t="s">
        <v>19082</v>
      </c>
      <c r="X6016">
        <v>13</v>
      </c>
      <c r="Y6016" t="s">
        <v>25442</v>
      </c>
      <c r="Z6016" t="s">
        <v>31984</v>
      </c>
      <c r="AA6016">
        <v>0.4309696825916276</v>
      </c>
      <c r="AB6016" t="str">
        <f>HYPERLINK("Melting_Curves/meltCurve_Q9NYY8_FASTKD2.pdf", "Melting_Curves/meltCurve_Q9NYY8_FASTKD2.pdf")</f>
        <v>Melting_Curves/meltCurve_Q9NYY8_FASTKD2.pdf</v>
      </c>
    </row>
    <row r="6017" spans="1:28" x14ac:dyDescent="0.25">
      <c r="A6017" t="s">
        <v>6021</v>
      </c>
      <c r="B6017">
        <v>0.99472303558308395</v>
      </c>
      <c r="C6017">
        <v>0.86799877950881899</v>
      </c>
      <c r="D6017">
        <v>0.79969107762029501</v>
      </c>
      <c r="E6017">
        <v>0.62940372851359505</v>
      </c>
      <c r="F6017">
        <v>0.48282540642823601</v>
      </c>
      <c r="G6017">
        <v>0.45524181634702499</v>
      </c>
      <c r="H6017">
        <v>0.42088046647096999</v>
      </c>
      <c r="I6017">
        <v>0.23008274216507399</v>
      </c>
      <c r="J6017">
        <v>0.25550709690897599</v>
      </c>
      <c r="K6017">
        <v>0.30560871553424501</v>
      </c>
      <c r="L6017">
        <v>448.21109498970497</v>
      </c>
      <c r="M6017">
        <v>9.4421585155785106</v>
      </c>
      <c r="N6017">
        <v>50.650108280886798</v>
      </c>
      <c r="O6017">
        <v>45.486075740751602</v>
      </c>
      <c r="P6017">
        <v>-4.0313007392739297E-2</v>
      </c>
      <c r="Q6017">
        <v>0.22366436661365399</v>
      </c>
      <c r="R6017">
        <v>0.97107344051181899</v>
      </c>
      <c r="S6017" t="s">
        <v>12585</v>
      </c>
      <c r="T6017" t="s">
        <v>13134</v>
      </c>
      <c r="U6017" t="s">
        <v>13134</v>
      </c>
      <c r="V6017" t="s">
        <v>13134</v>
      </c>
      <c r="W6017" t="s">
        <v>19083</v>
      </c>
      <c r="X6017">
        <v>1</v>
      </c>
      <c r="Y6017" t="s">
        <v>25443</v>
      </c>
      <c r="Z6017" t="s">
        <v>31985</v>
      </c>
      <c r="AA6017">
        <v>0.52952080914195299</v>
      </c>
      <c r="AB6017" t="str">
        <f>HYPERLINK("Melting_Curves/meltCurve_Q9NYZ2_4_SLC25A37.pdf", "Melting_Curves/meltCurve_Q9NYZ2_4_SLC25A37.pdf")</f>
        <v>Melting_Curves/meltCurve_Q9NYZ2_4_SLC25A37.pdf</v>
      </c>
    </row>
    <row r="6018" spans="1:28" x14ac:dyDescent="0.25">
      <c r="A6018" t="s">
        <v>6022</v>
      </c>
      <c r="B6018">
        <v>0.99472303558308395</v>
      </c>
      <c r="C6018">
        <v>0.84307322426512299</v>
      </c>
      <c r="D6018">
        <v>0.66379001512036995</v>
      </c>
      <c r="E6018">
        <v>0.38231894123555499</v>
      </c>
      <c r="F6018">
        <v>0.29337633253907702</v>
      </c>
      <c r="G6018">
        <v>0.185788807221967</v>
      </c>
      <c r="H6018">
        <v>0.13493685084908699</v>
      </c>
      <c r="I6018">
        <v>0.107372573251937</v>
      </c>
      <c r="J6018">
        <v>0.124214263089803</v>
      </c>
      <c r="K6018">
        <v>8.2415964438819503E-2</v>
      </c>
      <c r="L6018">
        <v>620.17570732398099</v>
      </c>
      <c r="M6018">
        <v>13.9139778041498</v>
      </c>
      <c r="N6018">
        <v>45.281138384734597</v>
      </c>
      <c r="O6018">
        <v>43.681735188451299</v>
      </c>
      <c r="P6018">
        <v>-7.1847851602677495E-2</v>
      </c>
      <c r="Q6018">
        <v>9.78819579292005E-2</v>
      </c>
      <c r="R6018">
        <v>0.99429958755645698</v>
      </c>
      <c r="S6018" t="s">
        <v>12586</v>
      </c>
      <c r="T6018" t="s">
        <v>13134</v>
      </c>
      <c r="U6018" t="s">
        <v>13134</v>
      </c>
      <c r="V6018" t="s">
        <v>13134</v>
      </c>
      <c r="W6018" t="s">
        <v>19084</v>
      </c>
      <c r="X6018">
        <v>6</v>
      </c>
      <c r="Y6018" t="s">
        <v>25444</v>
      </c>
      <c r="Z6018" t="s">
        <v>31986</v>
      </c>
      <c r="AA6018">
        <v>0.35094434794022622</v>
      </c>
      <c r="AB6018" t="str">
        <f>HYPERLINK("Melting_Curves/meltCurve_Q9NYZ3_GTSE1.pdf", "Melting_Curves/meltCurve_Q9NYZ3_GTSE1.pdf")</f>
        <v>Melting_Curves/meltCurve_Q9NYZ3_GTSE1.pdf</v>
      </c>
    </row>
    <row r="6019" spans="1:28" x14ac:dyDescent="0.25">
      <c r="A6019" t="s">
        <v>6023</v>
      </c>
      <c r="B6019">
        <v>0.99472303558308395</v>
      </c>
      <c r="C6019">
        <v>0.89278364904692997</v>
      </c>
      <c r="D6019">
        <v>0.67766493462743005</v>
      </c>
      <c r="E6019">
        <v>0.59526005219781397</v>
      </c>
      <c r="F6019">
        <v>0.45655001602900902</v>
      </c>
      <c r="G6019">
        <v>0.11991473589261401</v>
      </c>
      <c r="H6019">
        <v>6.1443850118152801E-2</v>
      </c>
      <c r="I6019">
        <v>3.6531989756472802E-2</v>
      </c>
      <c r="J6019">
        <v>4.1767802582619001E-2</v>
      </c>
      <c r="K6019">
        <v>3.2420092667519003E-2</v>
      </c>
      <c r="L6019">
        <v>560.55702014264398</v>
      </c>
      <c r="M6019">
        <v>11.817814134031501</v>
      </c>
      <c r="N6019">
        <v>47.433223350102999</v>
      </c>
      <c r="O6019">
        <v>46.1361768741248</v>
      </c>
      <c r="P6019">
        <v>-6.4054055329114207E-2</v>
      </c>
      <c r="Q6019">
        <v>0</v>
      </c>
      <c r="R6019">
        <v>0.97358958540530105</v>
      </c>
      <c r="S6019" t="s">
        <v>12587</v>
      </c>
      <c r="T6019" t="s">
        <v>13134</v>
      </c>
      <c r="U6019" t="s">
        <v>13134</v>
      </c>
      <c r="V6019" t="s">
        <v>13134</v>
      </c>
      <c r="W6019" t="s">
        <v>19085</v>
      </c>
      <c r="X6019">
        <v>7</v>
      </c>
      <c r="Y6019" t="s">
        <v>25445</v>
      </c>
      <c r="Z6019" t="s">
        <v>31987</v>
      </c>
      <c r="AA6019">
        <v>0.38071989759664943</v>
      </c>
      <c r="AB6019" t="str">
        <f>HYPERLINK("Melting_Curves/meltCurve_Q9NZ01_TECR.pdf", "Melting_Curves/meltCurve_Q9NZ01_TECR.pdf")</f>
        <v>Melting_Curves/meltCurve_Q9NZ01_TECR.pdf</v>
      </c>
    </row>
    <row r="6020" spans="1:28" x14ac:dyDescent="0.25">
      <c r="A6020" t="s">
        <v>6024</v>
      </c>
      <c r="B6020">
        <v>0.99472303558308395</v>
      </c>
      <c r="C6020">
        <v>0.89589677685353297</v>
      </c>
      <c r="D6020">
        <v>0.95673941629266501</v>
      </c>
      <c r="E6020">
        <v>0.83587460830284699</v>
      </c>
      <c r="F6020">
        <v>0.55475629512524804</v>
      </c>
      <c r="G6020">
        <v>0.14453095595783999</v>
      </c>
      <c r="H6020">
        <v>8.20377120415971E-2</v>
      </c>
      <c r="I6020">
        <v>5.3411042376272998E-2</v>
      </c>
      <c r="J6020">
        <v>7.0038447035273704E-2</v>
      </c>
      <c r="K6020">
        <v>5.2853436613333103E-2</v>
      </c>
      <c r="L6020">
        <v>1225.7366731570701</v>
      </c>
      <c r="M6020">
        <v>24.4649318312036</v>
      </c>
      <c r="N6020">
        <v>50.290087985634898</v>
      </c>
      <c r="O6020">
        <v>49.7706333365497</v>
      </c>
      <c r="P6020">
        <v>-0.117511534667015</v>
      </c>
      <c r="Q6020">
        <v>4.3767977981288099E-2</v>
      </c>
      <c r="R6020">
        <v>0.98923617673175601</v>
      </c>
      <c r="S6020" t="s">
        <v>12588</v>
      </c>
      <c r="T6020" t="s">
        <v>13134</v>
      </c>
      <c r="U6020" t="s">
        <v>13134</v>
      </c>
      <c r="V6020" t="s">
        <v>13134</v>
      </c>
      <c r="W6020" t="s">
        <v>19086</v>
      </c>
      <c r="X6020">
        <v>15</v>
      </c>
      <c r="Y6020" t="s">
        <v>25446</v>
      </c>
      <c r="Z6020" t="s">
        <v>31988</v>
      </c>
      <c r="AA6020">
        <v>0.47010125905232453</v>
      </c>
      <c r="AB6020" t="str">
        <f>HYPERLINK("Melting_Curves/meltCurve_Q9NZ08_ERAP1.pdf", "Melting_Curves/meltCurve_Q9NZ08_ERAP1.pdf")</f>
        <v>Melting_Curves/meltCurve_Q9NZ08_ERAP1.pdf</v>
      </c>
    </row>
    <row r="6021" spans="1:28" x14ac:dyDescent="0.25">
      <c r="A6021" t="s">
        <v>6025</v>
      </c>
      <c r="B6021">
        <v>0.99472303558308395</v>
      </c>
      <c r="C6021">
        <v>0.97619372965774298</v>
      </c>
      <c r="D6021">
        <v>0.84340919330279995</v>
      </c>
      <c r="E6021">
        <v>0.69946086068352498</v>
      </c>
      <c r="F6021">
        <v>0.34643476936951101</v>
      </c>
      <c r="G6021">
        <v>0.14924503170002201</v>
      </c>
      <c r="H6021">
        <v>0.119906468570169</v>
      </c>
      <c r="I6021">
        <v>9.3479990171996097E-2</v>
      </c>
      <c r="J6021">
        <v>0.123417296652334</v>
      </c>
      <c r="K6021">
        <v>0.10306361118948899</v>
      </c>
      <c r="L6021">
        <v>919.05977475665702</v>
      </c>
      <c r="M6021">
        <v>19.2187114239861</v>
      </c>
      <c r="N6021">
        <v>48.311979744392701</v>
      </c>
      <c r="O6021">
        <v>47.312374859527502</v>
      </c>
      <c r="P6021">
        <v>-9.2548451773481394E-2</v>
      </c>
      <c r="Q6021">
        <v>8.8696544144965403E-2</v>
      </c>
      <c r="R6021">
        <v>0.99411793215849698</v>
      </c>
      <c r="S6021" t="s">
        <v>12589</v>
      </c>
      <c r="T6021" t="s">
        <v>13134</v>
      </c>
      <c r="U6021" t="s">
        <v>13134</v>
      </c>
      <c r="V6021" t="s">
        <v>13134</v>
      </c>
      <c r="W6021" t="s">
        <v>19087</v>
      </c>
      <c r="X6021">
        <v>5</v>
      </c>
      <c r="Y6021" t="s">
        <v>25447</v>
      </c>
      <c r="Z6021" t="s">
        <v>31989</v>
      </c>
      <c r="AA6021">
        <v>0.43030924932449438</v>
      </c>
      <c r="AB6021" t="str">
        <f>HYPERLINK("Melting_Curves/meltCurve_Q9NZ09_2_UBAP1.pdf", "Melting_Curves/meltCurve_Q9NZ09_2_UBAP1.pdf")</f>
        <v>Melting_Curves/meltCurve_Q9NZ09_2_UBAP1.pdf</v>
      </c>
    </row>
    <row r="6022" spans="1:28" x14ac:dyDescent="0.25">
      <c r="A6022" t="s">
        <v>6026</v>
      </c>
      <c r="B6022">
        <v>0.99472303558308395</v>
      </c>
      <c r="C6022">
        <v>0.92356409957798902</v>
      </c>
      <c r="D6022">
        <v>0.71625208573265398</v>
      </c>
      <c r="E6022">
        <v>0.59670455637061104</v>
      </c>
      <c r="F6022">
        <v>0.70152993268095898</v>
      </c>
      <c r="G6022">
        <v>0.28464911204822602</v>
      </c>
      <c r="H6022">
        <v>0.18266850200409401</v>
      </c>
      <c r="I6022">
        <v>0.18420570089850799</v>
      </c>
      <c r="J6022">
        <v>0.305288698999022</v>
      </c>
      <c r="K6022">
        <v>0.171896778094872</v>
      </c>
      <c r="L6022">
        <v>457.372378534929</v>
      </c>
      <c r="M6022">
        <v>9.4068140111827194</v>
      </c>
      <c r="N6022">
        <v>49.996470661196199</v>
      </c>
      <c r="O6022">
        <v>46.5759529787438</v>
      </c>
      <c r="P6022">
        <v>-4.4764183873603799E-2</v>
      </c>
      <c r="Q6022">
        <v>0.113980615085937</v>
      </c>
      <c r="R6022">
        <v>0.90525761626426204</v>
      </c>
      <c r="S6022" t="s">
        <v>12590</v>
      </c>
      <c r="T6022" t="s">
        <v>13134</v>
      </c>
      <c r="U6022" t="s">
        <v>13134</v>
      </c>
      <c r="V6022" t="s">
        <v>13134</v>
      </c>
      <c r="W6022" t="s">
        <v>19088</v>
      </c>
      <c r="X6022">
        <v>7</v>
      </c>
      <c r="Y6022" t="s">
        <v>25448</v>
      </c>
      <c r="Z6022" t="s">
        <v>31990</v>
      </c>
      <c r="AA6022">
        <v>0.49359154341641409</v>
      </c>
      <c r="AB6022" t="str">
        <f>HYPERLINK("Melting_Curves/meltCurve_Q9NZ32_ACTR10.pdf", "Melting_Curves/meltCurve_Q9NZ32_ACTR10.pdf")</f>
        <v>Melting_Curves/meltCurve_Q9NZ32_ACTR10.pdf</v>
      </c>
    </row>
    <row r="6023" spans="1:28" x14ac:dyDescent="0.25">
      <c r="A6023" t="s">
        <v>6027</v>
      </c>
      <c r="B6023">
        <v>0.99472303558308395</v>
      </c>
      <c r="C6023">
        <v>0.97894084085997801</v>
      </c>
      <c r="D6023">
        <v>0.882417944163157</v>
      </c>
      <c r="E6023">
        <v>0.757346915324139</v>
      </c>
      <c r="F6023">
        <v>0.46146544263130601</v>
      </c>
      <c r="G6023">
        <v>0.292299005604436</v>
      </c>
      <c r="H6023">
        <v>0.216900779677867</v>
      </c>
      <c r="I6023">
        <v>0.249402487522354</v>
      </c>
      <c r="J6023">
        <v>0.30292792321467699</v>
      </c>
      <c r="K6023">
        <v>0.25722330042576202</v>
      </c>
      <c r="L6023">
        <v>1000.29053959139</v>
      </c>
      <c r="M6023">
        <v>20.8775159051192</v>
      </c>
      <c r="N6023">
        <v>49.5077524886864</v>
      </c>
      <c r="O6023">
        <v>47.479249477920703</v>
      </c>
      <c r="P6023">
        <v>-8.3014791081637895E-2</v>
      </c>
      <c r="Q6023">
        <v>0.244858085297703</v>
      </c>
      <c r="R6023">
        <v>0.98958178771151395</v>
      </c>
      <c r="S6023" t="s">
        <v>12591</v>
      </c>
      <c r="T6023" t="s">
        <v>13134</v>
      </c>
      <c r="U6023" t="s">
        <v>13134</v>
      </c>
      <c r="V6023" t="s">
        <v>13134</v>
      </c>
      <c r="W6023" t="s">
        <v>19089</v>
      </c>
      <c r="X6023">
        <v>11</v>
      </c>
      <c r="Y6023" t="s">
        <v>25449</v>
      </c>
      <c r="Z6023" t="s">
        <v>31991</v>
      </c>
      <c r="AA6023">
        <v>0.5286749011390659</v>
      </c>
      <c r="AB6023" t="str">
        <f>HYPERLINK("Melting_Curves/meltCurve_Q9NZ43_USE1.pdf", "Melting_Curves/meltCurve_Q9NZ43_USE1.pdf")</f>
        <v>Melting_Curves/meltCurve_Q9NZ43_USE1.pdf</v>
      </c>
    </row>
    <row r="6024" spans="1:28" x14ac:dyDescent="0.25">
      <c r="A6024" t="s">
        <v>6028</v>
      </c>
      <c r="B6024">
        <v>0.99472303558308395</v>
      </c>
      <c r="C6024">
        <v>1.01377142161811</v>
      </c>
      <c r="D6024">
        <v>0.81001051479137798</v>
      </c>
      <c r="E6024">
        <v>0.76279841208898502</v>
      </c>
      <c r="F6024">
        <v>0.65015988931477497</v>
      </c>
      <c r="G6024">
        <v>0.48945492482869402</v>
      </c>
      <c r="H6024">
        <v>0.29126709898415098</v>
      </c>
      <c r="I6024">
        <v>0.57299294639315401</v>
      </c>
      <c r="J6024">
        <v>0.38966896483269697</v>
      </c>
      <c r="K6024">
        <v>0.53695156826648704</v>
      </c>
      <c r="L6024">
        <v>717.30351493808405</v>
      </c>
      <c r="M6024">
        <v>15.284405517805901</v>
      </c>
      <c r="N6024">
        <v>54.499090136678902</v>
      </c>
      <c r="O6024">
        <v>46.149073125680701</v>
      </c>
      <c r="P6024">
        <v>-4.6360004393742403E-2</v>
      </c>
      <c r="Q6024">
        <v>0.440143120681246</v>
      </c>
      <c r="R6024">
        <v>0.864781133733041</v>
      </c>
      <c r="S6024" t="s">
        <v>12592</v>
      </c>
      <c r="T6024" t="s">
        <v>13134</v>
      </c>
      <c r="U6024" t="s">
        <v>13134</v>
      </c>
      <c r="V6024" t="s">
        <v>13134</v>
      </c>
      <c r="W6024" t="s">
        <v>19090</v>
      </c>
      <c r="X6024">
        <v>9</v>
      </c>
      <c r="Y6024" t="s">
        <v>25450</v>
      </c>
      <c r="Z6024" t="s">
        <v>31992</v>
      </c>
      <c r="AA6024">
        <v>0.63766581124411037</v>
      </c>
      <c r="AB6024" t="str">
        <f>HYPERLINK("Melting_Curves/meltCurve_Q9NZ45_CISD1.pdf", "Melting_Curves/meltCurve_Q9NZ45_CISD1.pdf")</f>
        <v>Melting_Curves/meltCurve_Q9NZ45_CISD1.pdf</v>
      </c>
    </row>
    <row r="6025" spans="1:28" x14ac:dyDescent="0.25">
      <c r="A6025" t="s">
        <v>6029</v>
      </c>
      <c r="B6025">
        <v>0.99472303558308395</v>
      </c>
      <c r="C6025">
        <v>1.1311560088835799</v>
      </c>
      <c r="D6025">
        <v>0.95895365548636402</v>
      </c>
      <c r="E6025">
        <v>0.88015964208423803</v>
      </c>
      <c r="F6025">
        <v>0.82259144593009903</v>
      </c>
      <c r="G6025">
        <v>0.51808360609630999</v>
      </c>
      <c r="H6025">
        <v>0.40704557711837902</v>
      </c>
      <c r="I6025">
        <v>0.35274393076812599</v>
      </c>
      <c r="J6025">
        <v>0.43496308574440101</v>
      </c>
      <c r="K6025">
        <v>0.392813378327311</v>
      </c>
      <c r="L6025">
        <v>1270.2485596531201</v>
      </c>
      <c r="M6025">
        <v>24.7139589360192</v>
      </c>
      <c r="N6025">
        <v>54.5667758809685</v>
      </c>
      <c r="O6025">
        <v>51.065043549366898</v>
      </c>
      <c r="P6025">
        <v>-7.4900054193943494E-2</v>
      </c>
      <c r="Q6025">
        <v>0.38096188573849799</v>
      </c>
      <c r="R6025">
        <v>0.96087068086842897</v>
      </c>
      <c r="S6025" t="s">
        <v>12593</v>
      </c>
      <c r="T6025" t="s">
        <v>13134</v>
      </c>
      <c r="U6025" t="s">
        <v>13134</v>
      </c>
      <c r="V6025" t="s">
        <v>13134</v>
      </c>
      <c r="W6025" t="s">
        <v>19091</v>
      </c>
      <c r="X6025">
        <v>5</v>
      </c>
      <c r="Y6025" t="s">
        <v>25451</v>
      </c>
      <c r="Z6025" t="s">
        <v>31993</v>
      </c>
      <c r="AA6025">
        <v>0.6836500314403966</v>
      </c>
      <c r="AB6025" t="str">
        <f>HYPERLINK("Melting_Curves/meltCurve_Q9NZ53_PODXL2.pdf", "Melting_Curves/meltCurve_Q9NZ53_PODXL2.pdf")</f>
        <v>Melting_Curves/meltCurve_Q9NZ53_PODXL2.pdf</v>
      </c>
    </row>
    <row r="6026" spans="1:28" x14ac:dyDescent="0.25">
      <c r="A6026" t="s">
        <v>6030</v>
      </c>
      <c r="B6026">
        <v>0.99472303558308395</v>
      </c>
      <c r="C6026">
        <v>0.91654627500298302</v>
      </c>
      <c r="D6026">
        <v>0.99922429804559798</v>
      </c>
      <c r="E6026">
        <v>0.82597261691198298</v>
      </c>
      <c r="F6026">
        <v>0.60409700366934904</v>
      </c>
      <c r="G6026">
        <v>0.52941006632599197</v>
      </c>
      <c r="H6026">
        <v>0.637285374505278</v>
      </c>
      <c r="I6026">
        <v>0.65906654260248798</v>
      </c>
      <c r="J6026">
        <v>1.0074537444779199</v>
      </c>
      <c r="K6026">
        <v>0.79613001686075902</v>
      </c>
      <c r="L6026">
        <v>11632.832422674101</v>
      </c>
      <c r="M6026">
        <v>250</v>
      </c>
      <c r="O6026">
        <v>46.528357419366003</v>
      </c>
      <c r="P6026">
        <v>-0.39549301152342797</v>
      </c>
      <c r="Q6026">
        <v>0.70557379146003196</v>
      </c>
      <c r="R6026">
        <v>0.47232729934085799</v>
      </c>
      <c r="S6026" t="s">
        <v>12594</v>
      </c>
      <c r="T6026" t="s">
        <v>13134</v>
      </c>
      <c r="U6026" t="s">
        <v>13134</v>
      </c>
      <c r="V6026" t="s">
        <v>13134</v>
      </c>
      <c r="W6026" t="s">
        <v>19092</v>
      </c>
      <c r="X6026">
        <v>26</v>
      </c>
      <c r="Y6026" t="s">
        <v>25452</v>
      </c>
      <c r="Z6026" t="s">
        <v>31994</v>
      </c>
      <c r="AA6026">
        <v>0.7991402769281144</v>
      </c>
      <c r="AB6026" t="str">
        <f>HYPERLINK("Melting_Curves/meltCurve_Q9NZ63_C9orf78.pdf", "Melting_Curves/meltCurve_Q9NZ63_C9orf78.pdf")</f>
        <v>Melting_Curves/meltCurve_Q9NZ63_C9orf78.pdf</v>
      </c>
    </row>
    <row r="6027" spans="1:28" x14ac:dyDescent="0.25">
      <c r="A6027" t="s">
        <v>6031</v>
      </c>
      <c r="B6027">
        <v>0.99472303558308395</v>
      </c>
      <c r="C6027">
        <v>0.845822314171228</v>
      </c>
      <c r="D6027">
        <v>0.80911076303441498</v>
      </c>
      <c r="E6027">
        <v>0.72542698635854397</v>
      </c>
      <c r="F6027">
        <v>0.541546624946872</v>
      </c>
      <c r="G6027">
        <v>0.27699808008258697</v>
      </c>
      <c r="H6027">
        <v>9.6245943875055598E-2</v>
      </c>
      <c r="I6027">
        <v>5.9654024160726897E-2</v>
      </c>
      <c r="J6027">
        <v>6.8549020484857198E-2</v>
      </c>
      <c r="K6027">
        <v>4.7304904574874802E-2</v>
      </c>
      <c r="L6027">
        <v>599.38092865528699</v>
      </c>
      <c r="M6027">
        <v>12.0603896055239</v>
      </c>
      <c r="N6027">
        <v>49.698321947455597</v>
      </c>
      <c r="O6027">
        <v>48.391076523048497</v>
      </c>
      <c r="P6027">
        <v>-6.2321591041068602E-2</v>
      </c>
      <c r="Q6027">
        <v>0</v>
      </c>
      <c r="R6027">
        <v>0.97878797273668805</v>
      </c>
      <c r="S6027" t="s">
        <v>12595</v>
      </c>
      <c r="T6027" t="s">
        <v>13134</v>
      </c>
      <c r="U6027" t="s">
        <v>13134</v>
      </c>
      <c r="V6027" t="s">
        <v>13134</v>
      </c>
      <c r="W6027" t="s">
        <v>19093</v>
      </c>
      <c r="X6027">
        <v>2</v>
      </c>
      <c r="Y6027" t="s">
        <v>25453</v>
      </c>
      <c r="Z6027" t="s">
        <v>31995</v>
      </c>
      <c r="AA6027">
        <v>0.45163627628122238</v>
      </c>
      <c r="AB6027" t="str">
        <f>HYPERLINK("Melting_Curves/meltCurve_Q9NZA1_3_CLIC5.pdf", "Melting_Curves/meltCurve_Q9NZA1_3_CLIC5.pdf")</f>
        <v>Melting_Curves/meltCurve_Q9NZA1_3_CLIC5.pdf</v>
      </c>
    </row>
    <row r="6028" spans="1:28" x14ac:dyDescent="0.25">
      <c r="A6028" t="s">
        <v>6032</v>
      </c>
      <c r="B6028">
        <v>0.99472303558308395</v>
      </c>
      <c r="C6028">
        <v>0.97307922824153503</v>
      </c>
      <c r="D6028">
        <v>1.0259819644028501</v>
      </c>
      <c r="E6028">
        <v>0.89267376016838096</v>
      </c>
      <c r="F6028">
        <v>0.72392847065449195</v>
      </c>
      <c r="G6028">
        <v>0.55217563990419005</v>
      </c>
      <c r="H6028">
        <v>0.42663623737151501</v>
      </c>
      <c r="I6028">
        <v>0.30738921830323601</v>
      </c>
      <c r="J6028">
        <v>0.20682813481374801</v>
      </c>
      <c r="K6028">
        <v>0.130651889990725</v>
      </c>
      <c r="L6028">
        <v>605.403126768378</v>
      </c>
      <c r="M6028">
        <v>11.0098241683051</v>
      </c>
      <c r="N6028">
        <v>55.371454901250203</v>
      </c>
      <c r="O6028">
        <v>53.266883838910204</v>
      </c>
      <c r="P6028">
        <v>-4.9790775019490703E-2</v>
      </c>
      <c r="Q6028">
        <v>3.6748289508393303E-2</v>
      </c>
      <c r="R6028">
        <v>0.992592264805503</v>
      </c>
      <c r="S6028" t="s">
        <v>12596</v>
      </c>
      <c r="T6028" t="s">
        <v>13134</v>
      </c>
      <c r="U6028" t="s">
        <v>13134</v>
      </c>
      <c r="V6028" t="s">
        <v>13134</v>
      </c>
      <c r="W6028" t="s">
        <v>19094</v>
      </c>
      <c r="X6028">
        <v>3</v>
      </c>
      <c r="Y6028" t="s">
        <v>25454</v>
      </c>
      <c r="Z6028" t="s">
        <v>31996</v>
      </c>
      <c r="AA6028">
        <v>0.62735391653776196</v>
      </c>
      <c r="AB6028" t="str">
        <f>HYPERLINK("Melting_Curves/meltCurve_Q9NZC3_GDE1.pdf", "Melting_Curves/meltCurve_Q9NZC3_GDE1.pdf")</f>
        <v>Melting_Curves/meltCurve_Q9NZC3_GDE1.pdf</v>
      </c>
    </row>
    <row r="6029" spans="1:28" x14ac:dyDescent="0.25">
      <c r="A6029" t="s">
        <v>6033</v>
      </c>
      <c r="B6029">
        <v>0.99472303558308395</v>
      </c>
      <c r="C6029">
        <v>1.10908465203694</v>
      </c>
      <c r="D6029">
        <v>1.0114432607438599</v>
      </c>
      <c r="E6029">
        <v>0.97803152312423802</v>
      </c>
      <c r="F6029">
        <v>0.47718686945234701</v>
      </c>
      <c r="G6029">
        <v>0.31235509032433001</v>
      </c>
      <c r="H6029">
        <v>0.151351465272546</v>
      </c>
      <c r="I6029">
        <v>8.1801055584949101E-2</v>
      </c>
      <c r="J6029">
        <v>0.12437937154706399</v>
      </c>
      <c r="K6029">
        <v>7.0702979979965899E-2</v>
      </c>
      <c r="L6029">
        <v>1363.9861182540301</v>
      </c>
      <c r="M6029">
        <v>27.195357907783801</v>
      </c>
      <c r="N6029">
        <v>50.6095729466238</v>
      </c>
      <c r="O6029">
        <v>49.886270518863803</v>
      </c>
      <c r="P6029">
        <v>-0.121522899927701</v>
      </c>
      <c r="Q6029">
        <v>0.10833817115071299</v>
      </c>
      <c r="R6029">
        <v>0.98092947139866005</v>
      </c>
      <c r="S6029" t="s">
        <v>12597</v>
      </c>
      <c r="T6029" t="s">
        <v>13134</v>
      </c>
      <c r="U6029" t="s">
        <v>13134</v>
      </c>
      <c r="V6029" t="s">
        <v>13134</v>
      </c>
      <c r="W6029" t="s">
        <v>19095</v>
      </c>
      <c r="X6029">
        <v>1</v>
      </c>
      <c r="Y6029" t="s">
        <v>25455</v>
      </c>
      <c r="Z6029" t="s">
        <v>31997</v>
      </c>
      <c r="AA6029">
        <v>0.50598039716698395</v>
      </c>
      <c r="AB6029" t="str">
        <f>HYPERLINK("Melting_Curves/meltCurve_Q9NZC7_5_WWOX.pdf", "Melting_Curves/meltCurve_Q9NZC7_5_WWOX.pdf")</f>
        <v>Melting_Curves/meltCurve_Q9NZC7_5_WWOX.pdf</v>
      </c>
    </row>
    <row r="6030" spans="1:28" x14ac:dyDescent="0.25">
      <c r="A6030" t="s">
        <v>6034</v>
      </c>
      <c r="B6030">
        <v>0.99472303558308395</v>
      </c>
      <c r="C6030">
        <v>0.89380913548915897</v>
      </c>
      <c r="D6030">
        <v>0.83248612440981196</v>
      </c>
      <c r="E6030">
        <v>0.54297560017845403</v>
      </c>
      <c r="F6030">
        <v>0.23985162286539499</v>
      </c>
      <c r="G6030">
        <v>0.131194325074448</v>
      </c>
      <c r="H6030">
        <v>8.9176214960391506E-2</v>
      </c>
      <c r="I6030">
        <v>6.7120871008425606E-2</v>
      </c>
      <c r="J6030">
        <v>6.9665406039080599E-2</v>
      </c>
      <c r="K6030">
        <v>5.8267566376153102E-2</v>
      </c>
      <c r="L6030">
        <v>810.58541760882201</v>
      </c>
      <c r="M6030">
        <v>17.4045046627202</v>
      </c>
      <c r="N6030">
        <v>46.871264313925202</v>
      </c>
      <c r="O6030">
        <v>45.971528754746998</v>
      </c>
      <c r="P6030">
        <v>-8.9696787003112496E-2</v>
      </c>
      <c r="Q6030">
        <v>5.2368354966455102E-2</v>
      </c>
      <c r="R6030">
        <v>0.99666180220051104</v>
      </c>
      <c r="S6030" t="s">
        <v>12598</v>
      </c>
      <c r="T6030" t="s">
        <v>13134</v>
      </c>
      <c r="U6030" t="s">
        <v>13134</v>
      </c>
      <c r="V6030" t="s">
        <v>13134</v>
      </c>
      <c r="W6030" t="s">
        <v>19096</v>
      </c>
      <c r="X6030">
        <v>7</v>
      </c>
      <c r="Y6030" t="s">
        <v>25456</v>
      </c>
      <c r="Z6030" t="s">
        <v>31998</v>
      </c>
      <c r="AA6030">
        <v>0.37104330646210471</v>
      </c>
      <c r="AB6030" t="str">
        <f>HYPERLINK("Melting_Curves/meltCurve_Q9NZC9_SMARCAL1.pdf", "Melting_Curves/meltCurve_Q9NZC9_SMARCAL1.pdf")</f>
        <v>Melting_Curves/meltCurve_Q9NZC9_SMARCAL1.pdf</v>
      </c>
    </row>
    <row r="6031" spans="1:28" x14ac:dyDescent="0.25">
      <c r="A6031" t="s">
        <v>6035</v>
      </c>
      <c r="B6031">
        <v>0.99472303558308395</v>
      </c>
      <c r="C6031">
        <v>1.0609900434808801</v>
      </c>
      <c r="D6031">
        <v>0.86965179534525805</v>
      </c>
      <c r="E6031">
        <v>0.832442800619701</v>
      </c>
      <c r="F6031">
        <v>0.40448730787376103</v>
      </c>
      <c r="G6031">
        <v>0.18096094837460699</v>
      </c>
      <c r="H6031">
        <v>0.12805497712185299</v>
      </c>
      <c r="I6031">
        <v>9.5273174973779406E-2</v>
      </c>
      <c r="J6031">
        <v>0.106002101200842</v>
      </c>
      <c r="K6031">
        <v>8.9897476248239405E-2</v>
      </c>
      <c r="L6031">
        <v>1192.6465542860999</v>
      </c>
      <c r="M6031">
        <v>24.346958758662399</v>
      </c>
      <c r="N6031">
        <v>49.406498674851598</v>
      </c>
      <c r="O6031">
        <v>48.658585211655698</v>
      </c>
      <c r="P6031">
        <v>-0.113372509822423</v>
      </c>
      <c r="Q6031">
        <v>9.3691986513529904E-2</v>
      </c>
      <c r="R6031">
        <v>0.98960719920560603</v>
      </c>
      <c r="S6031" t="s">
        <v>12599</v>
      </c>
      <c r="T6031" t="s">
        <v>13134</v>
      </c>
      <c r="U6031" t="s">
        <v>13134</v>
      </c>
      <c r="V6031" t="s">
        <v>13134</v>
      </c>
      <c r="W6031" t="s">
        <v>19097</v>
      </c>
      <c r="X6031">
        <v>5</v>
      </c>
      <c r="Y6031" t="s">
        <v>25457</v>
      </c>
      <c r="Z6031" t="s">
        <v>31999</v>
      </c>
      <c r="AA6031">
        <v>0.46401801697531703</v>
      </c>
      <c r="AB6031" t="str">
        <f>HYPERLINK("Melting_Curves/meltCurve_Q9NZD8_2_SPG21.pdf", "Melting_Curves/meltCurve_Q9NZD8_2_SPG21.pdf")</f>
        <v>Melting_Curves/meltCurve_Q9NZD8_2_SPG21.pdf</v>
      </c>
    </row>
    <row r="6032" spans="1:28" x14ac:dyDescent="0.25">
      <c r="A6032" t="s">
        <v>6036</v>
      </c>
      <c r="B6032">
        <v>0.99472303558308395</v>
      </c>
      <c r="C6032">
        <v>0.90546782981491802</v>
      </c>
      <c r="D6032">
        <v>0.62631738320385799</v>
      </c>
      <c r="E6032">
        <v>0.33047397166820203</v>
      </c>
      <c r="F6032">
        <v>0.347117581193706</v>
      </c>
      <c r="G6032">
        <v>0.17703418971215101</v>
      </c>
      <c r="H6032">
        <v>0.21462400221733</v>
      </c>
      <c r="I6032">
        <v>0.144346407754876</v>
      </c>
      <c r="J6032">
        <v>0.25429857468175499</v>
      </c>
      <c r="K6032">
        <v>0.39253903621459202</v>
      </c>
      <c r="L6032">
        <v>1059.25380809118</v>
      </c>
      <c r="M6032">
        <v>24.620958009029302</v>
      </c>
      <c r="N6032">
        <v>44.250943050907097</v>
      </c>
      <c r="O6032">
        <v>42.741641340481202</v>
      </c>
      <c r="P6032">
        <v>-0.108357274819034</v>
      </c>
      <c r="Q6032">
        <v>0.247583854025232</v>
      </c>
      <c r="R6032">
        <v>0.94520835818759097</v>
      </c>
      <c r="S6032" t="s">
        <v>12600</v>
      </c>
      <c r="T6032" t="s">
        <v>13134</v>
      </c>
      <c r="U6032" t="s">
        <v>13134</v>
      </c>
      <c r="V6032" t="s">
        <v>13134</v>
      </c>
      <c r="W6032" t="s">
        <v>19098</v>
      </c>
      <c r="X6032">
        <v>4</v>
      </c>
      <c r="Y6032" t="s">
        <v>25458</v>
      </c>
      <c r="Z6032" t="s">
        <v>32000</v>
      </c>
      <c r="AA6032">
        <v>0.40515551583963011</v>
      </c>
      <c r="AB6032" t="str">
        <f>HYPERLINK("Melting_Curves/meltCurve_Q9NZI7_4_UBP1.pdf", "Melting_Curves/meltCurve_Q9NZI7_4_UBP1.pdf")</f>
        <v>Melting_Curves/meltCurve_Q9NZI7_4_UBP1.pdf</v>
      </c>
    </row>
    <row r="6033" spans="1:28" x14ac:dyDescent="0.25">
      <c r="A6033" t="s">
        <v>6037</v>
      </c>
      <c r="B6033">
        <v>0.99472303558308395</v>
      </c>
      <c r="C6033">
        <v>0.928243351609086</v>
      </c>
      <c r="D6033">
        <v>0.85037569102030897</v>
      </c>
      <c r="E6033">
        <v>0.62982156743274897</v>
      </c>
      <c r="F6033">
        <v>0.23664173631597099</v>
      </c>
      <c r="G6033">
        <v>0.11411210522705</v>
      </c>
      <c r="H6033">
        <v>6.4847395531149293E-2</v>
      </c>
      <c r="I6033">
        <v>4.7872379271304999E-2</v>
      </c>
      <c r="J6033">
        <v>5.2614446797168798E-2</v>
      </c>
      <c r="K6033">
        <v>4.7850278463298201E-2</v>
      </c>
      <c r="L6033">
        <v>926.90572405017497</v>
      </c>
      <c r="M6033">
        <v>19.609151411322401</v>
      </c>
      <c r="N6033">
        <v>47.455867907579098</v>
      </c>
      <c r="O6033">
        <v>46.785674690762697</v>
      </c>
      <c r="P6033">
        <v>-0.100892562932842</v>
      </c>
      <c r="Q6033">
        <v>3.7151487304102802E-2</v>
      </c>
      <c r="R6033">
        <v>0.99577726518547605</v>
      </c>
      <c r="S6033" t="s">
        <v>12601</v>
      </c>
      <c r="T6033" t="s">
        <v>13134</v>
      </c>
      <c r="U6033" t="s">
        <v>13134</v>
      </c>
      <c r="V6033" t="s">
        <v>13134</v>
      </c>
      <c r="W6033" t="s">
        <v>19099</v>
      </c>
      <c r="X6033">
        <v>15</v>
      </c>
      <c r="Y6033" t="s">
        <v>25459</v>
      </c>
      <c r="Z6033" t="s">
        <v>32001</v>
      </c>
      <c r="AA6033">
        <v>0.37984361729026839</v>
      </c>
      <c r="AB6033" t="str">
        <f>HYPERLINK("Melting_Curves/meltCurve_Q9NZI8_IGF2BP1.pdf", "Melting_Curves/meltCurve_Q9NZI8_IGF2BP1.pdf")</f>
        <v>Melting_Curves/meltCurve_Q9NZI8_IGF2BP1.pdf</v>
      </c>
    </row>
    <row r="6034" spans="1:28" x14ac:dyDescent="0.25">
      <c r="A6034" t="s">
        <v>6038</v>
      </c>
      <c r="B6034">
        <v>0.99472303558308395</v>
      </c>
      <c r="C6034">
        <v>0.81860412781485303</v>
      </c>
      <c r="D6034">
        <v>0.83999512268118304</v>
      </c>
      <c r="E6034">
        <v>0.51545992543225305</v>
      </c>
      <c r="F6034">
        <v>0.34986032913884102</v>
      </c>
      <c r="G6034">
        <v>0.193201232800815</v>
      </c>
      <c r="H6034">
        <v>0.116781824662346</v>
      </c>
      <c r="I6034">
        <v>7.1344506646424805E-2</v>
      </c>
      <c r="J6034">
        <v>0.100252840554588</v>
      </c>
      <c r="K6034">
        <v>7.4650880170169104E-2</v>
      </c>
      <c r="L6034">
        <v>599.62486931819501</v>
      </c>
      <c r="M6034">
        <v>12.787259562726</v>
      </c>
      <c r="N6034">
        <v>47.249720319340398</v>
      </c>
      <c r="O6034">
        <v>45.789928371080698</v>
      </c>
      <c r="P6034">
        <v>-6.6609526290366594E-2</v>
      </c>
      <c r="Q6034">
        <v>4.6090835183613899E-2</v>
      </c>
      <c r="R6034">
        <v>0.98654802668559205</v>
      </c>
      <c r="S6034" t="s">
        <v>12602</v>
      </c>
      <c r="T6034" t="s">
        <v>13134</v>
      </c>
      <c r="U6034" t="s">
        <v>13134</v>
      </c>
      <c r="V6034" t="s">
        <v>13134</v>
      </c>
      <c r="W6034" t="s">
        <v>19100</v>
      </c>
      <c r="X6034">
        <v>8</v>
      </c>
      <c r="Y6034" t="s">
        <v>25460</v>
      </c>
      <c r="Z6034" t="s">
        <v>32002</v>
      </c>
      <c r="AA6034">
        <v>0.38903769896676249</v>
      </c>
      <c r="AB6034" t="str">
        <f>HYPERLINK("Melting_Curves/meltCurve_Q9NZJ4_SACS.pdf", "Melting_Curves/meltCurve_Q9NZJ4_SACS.pdf")</f>
        <v>Melting_Curves/meltCurve_Q9NZJ4_SACS.pdf</v>
      </c>
    </row>
    <row r="6035" spans="1:28" x14ac:dyDescent="0.25">
      <c r="A6035" t="s">
        <v>6039</v>
      </c>
      <c r="B6035">
        <v>0.99472303558308395</v>
      </c>
      <c r="C6035">
        <v>1.0042118537539999</v>
      </c>
      <c r="D6035">
        <v>0.92237027511715897</v>
      </c>
      <c r="E6035">
        <v>0.84431502765502098</v>
      </c>
      <c r="F6035">
        <v>0.64453935750487401</v>
      </c>
      <c r="G6035">
        <v>0.36947608323479197</v>
      </c>
      <c r="H6035">
        <v>0.33113640070966899</v>
      </c>
      <c r="I6035">
        <v>0.23507099434362499</v>
      </c>
      <c r="J6035">
        <v>0.23746733233130299</v>
      </c>
      <c r="K6035">
        <v>0.13386302449472201</v>
      </c>
      <c r="L6035">
        <v>754.20636329788101</v>
      </c>
      <c r="M6035">
        <v>14.8065501925141</v>
      </c>
      <c r="N6035">
        <v>52.303398684359998</v>
      </c>
      <c r="O6035">
        <v>50.035284014573698</v>
      </c>
      <c r="P6035">
        <v>-6.21238044210842E-2</v>
      </c>
      <c r="Q6035">
        <v>0.16035762838168599</v>
      </c>
      <c r="R6035">
        <v>0.99090091327280905</v>
      </c>
      <c r="S6035" t="s">
        <v>12603</v>
      </c>
      <c r="T6035" t="s">
        <v>13134</v>
      </c>
      <c r="U6035" t="s">
        <v>13134</v>
      </c>
      <c r="V6035" t="s">
        <v>13134</v>
      </c>
      <c r="W6035" t="s">
        <v>19101</v>
      </c>
      <c r="X6035">
        <v>5</v>
      </c>
      <c r="Y6035" t="s">
        <v>25461</v>
      </c>
      <c r="Z6035" t="s">
        <v>32003</v>
      </c>
      <c r="AA6035">
        <v>0.56767676367184217</v>
      </c>
      <c r="AB6035" t="str">
        <f>HYPERLINK("Melting_Curves/meltCurve_Q9NZJ6_COQ3.pdf", "Melting_Curves/meltCurve_Q9NZJ6_COQ3.pdf")</f>
        <v>Melting_Curves/meltCurve_Q9NZJ6_COQ3.pdf</v>
      </c>
    </row>
    <row r="6036" spans="1:28" x14ac:dyDescent="0.25">
      <c r="A6036" t="s">
        <v>6040</v>
      </c>
      <c r="B6036">
        <v>0.99472303558308395</v>
      </c>
      <c r="C6036">
        <v>0.95405364490969102</v>
      </c>
      <c r="D6036">
        <v>0.88375899322991003</v>
      </c>
      <c r="E6036">
        <v>0.76201452228168598</v>
      </c>
      <c r="F6036">
        <v>0.57669770241211404</v>
      </c>
      <c r="G6036">
        <v>0.25082516946616301</v>
      </c>
      <c r="H6036">
        <v>9.81920058882714E-2</v>
      </c>
      <c r="I6036">
        <v>5.5829556356303101E-2</v>
      </c>
      <c r="J6036">
        <v>6.5576450733165204E-2</v>
      </c>
      <c r="K6036">
        <v>4.96303774616388E-2</v>
      </c>
      <c r="L6036">
        <v>764.77554464693605</v>
      </c>
      <c r="M6036">
        <v>15.1845457335659</v>
      </c>
      <c r="N6036">
        <v>50.396401336818599</v>
      </c>
      <c r="O6036">
        <v>49.516086677941701</v>
      </c>
      <c r="P6036">
        <v>-7.6315591801075597E-2</v>
      </c>
      <c r="Q6036">
        <v>4.6496893677277504E-3</v>
      </c>
      <c r="R6036">
        <v>0.99274815155599905</v>
      </c>
      <c r="S6036" t="s">
        <v>12604</v>
      </c>
      <c r="T6036" t="s">
        <v>13134</v>
      </c>
      <c r="U6036" t="s">
        <v>13134</v>
      </c>
      <c r="V6036" t="s">
        <v>13134</v>
      </c>
      <c r="W6036" t="s">
        <v>19102</v>
      </c>
      <c r="X6036">
        <v>7</v>
      </c>
      <c r="Y6036" t="s">
        <v>25462</v>
      </c>
      <c r="Z6036" t="s">
        <v>32004</v>
      </c>
      <c r="AA6036">
        <v>0.46828815560228032</v>
      </c>
      <c r="AB6036" t="str">
        <f>HYPERLINK("Melting_Curves/meltCurve_Q9NZJ7_2_MTCH1.pdf", "Melting_Curves/meltCurve_Q9NZJ7_2_MTCH1.pdf")</f>
        <v>Melting_Curves/meltCurve_Q9NZJ7_2_MTCH1.pdf</v>
      </c>
    </row>
    <row r="6037" spans="1:28" x14ac:dyDescent="0.25">
      <c r="A6037" t="s">
        <v>6041</v>
      </c>
      <c r="B6037">
        <v>0.99472303558308395</v>
      </c>
      <c r="C6037">
        <v>0.95013433849234197</v>
      </c>
      <c r="D6037">
        <v>0.96725284573604797</v>
      </c>
      <c r="E6037">
        <v>0.77964275468143995</v>
      </c>
      <c r="F6037">
        <v>0.37540140191965599</v>
      </c>
      <c r="G6037">
        <v>0.14812687918744799</v>
      </c>
      <c r="H6037">
        <v>7.8879010051310303E-2</v>
      </c>
      <c r="I6037">
        <v>5.3780461113439003E-2</v>
      </c>
      <c r="J6037">
        <v>6.3376327180131906E-2</v>
      </c>
      <c r="K6037">
        <v>5.6181897386381199E-2</v>
      </c>
      <c r="L6037">
        <v>1183.40136822098</v>
      </c>
      <c r="M6037">
        <v>24.224865017163602</v>
      </c>
      <c r="N6037">
        <v>49.082494254164303</v>
      </c>
      <c r="O6037">
        <v>48.521451318489397</v>
      </c>
      <c r="P6037">
        <v>-0.118070459697056</v>
      </c>
      <c r="Q6037">
        <v>5.4052472347398399E-2</v>
      </c>
      <c r="R6037">
        <v>0.99861226206462494</v>
      </c>
      <c r="S6037" t="s">
        <v>12605</v>
      </c>
      <c r="T6037" t="s">
        <v>13134</v>
      </c>
      <c r="U6037" t="s">
        <v>13134</v>
      </c>
      <c r="V6037" t="s">
        <v>13134</v>
      </c>
      <c r="W6037" t="s">
        <v>19103</v>
      </c>
      <c r="X6037">
        <v>10</v>
      </c>
      <c r="Y6037" t="s">
        <v>25463</v>
      </c>
      <c r="Z6037" t="s">
        <v>32005</v>
      </c>
      <c r="AA6037">
        <v>0.43639644920412302</v>
      </c>
      <c r="AB6037" t="str">
        <f>HYPERLINK("Melting_Curves/meltCurve_Q9NZJ9_NUDT4.pdf", "Melting_Curves/meltCurve_Q9NZJ9_NUDT4.pdf")</f>
        <v>Melting_Curves/meltCurve_Q9NZJ9_NUDT4.pdf</v>
      </c>
    </row>
    <row r="6038" spans="1:28" x14ac:dyDescent="0.25">
      <c r="A6038" t="s">
        <v>6042</v>
      </c>
      <c r="B6038">
        <v>0.99472303558308395</v>
      </c>
      <c r="C6038">
        <v>0.959591056257738</v>
      </c>
      <c r="D6038">
        <v>0.99056890584273405</v>
      </c>
      <c r="E6038">
        <v>0.63068721390606397</v>
      </c>
      <c r="F6038">
        <v>0.204776171058037</v>
      </c>
      <c r="G6038">
        <v>8.9050109437121203E-2</v>
      </c>
      <c r="H6038">
        <v>4.8075330173012597E-2</v>
      </c>
      <c r="I6038">
        <v>3.4486983056421401E-2</v>
      </c>
      <c r="J6038">
        <v>3.6180186116308799E-2</v>
      </c>
      <c r="K6038">
        <v>3.8254170047512602E-2</v>
      </c>
      <c r="L6038">
        <v>1385.8359252448899</v>
      </c>
      <c r="M6038">
        <v>29.223874773891801</v>
      </c>
      <c r="N6038">
        <v>47.563774346782999</v>
      </c>
      <c r="O6038">
        <v>47.200976650575697</v>
      </c>
      <c r="P6038">
        <v>-0.14830152601808</v>
      </c>
      <c r="Q6038">
        <v>4.1889413392993603E-2</v>
      </c>
      <c r="R6038">
        <v>0.99812108891863205</v>
      </c>
      <c r="S6038" t="s">
        <v>12606</v>
      </c>
      <c r="T6038" t="s">
        <v>13134</v>
      </c>
      <c r="U6038" t="s">
        <v>13134</v>
      </c>
      <c r="V6038" t="s">
        <v>13134</v>
      </c>
      <c r="W6038" t="s">
        <v>19104</v>
      </c>
      <c r="X6038">
        <v>11</v>
      </c>
      <c r="Y6038" t="s">
        <v>25464</v>
      </c>
      <c r="Z6038" t="s">
        <v>32006</v>
      </c>
      <c r="AA6038">
        <v>0.38063423925547368</v>
      </c>
      <c r="AB6038" t="str">
        <f>HYPERLINK("Melting_Curves/meltCurve_Q9NZL4_HSPBP1.pdf", "Melting_Curves/meltCurve_Q9NZL4_HSPBP1.pdf")</f>
        <v>Melting_Curves/meltCurve_Q9NZL4_HSPBP1.pdf</v>
      </c>
    </row>
    <row r="6039" spans="1:28" x14ac:dyDescent="0.25">
      <c r="A6039" t="s">
        <v>6043</v>
      </c>
      <c r="B6039">
        <v>0.99472303558308395</v>
      </c>
      <c r="C6039">
        <v>1.0200313973134501</v>
      </c>
      <c r="D6039">
        <v>0.89527887753142199</v>
      </c>
      <c r="E6039">
        <v>0.85152757001990198</v>
      </c>
      <c r="F6039">
        <v>0.78734773941976099</v>
      </c>
      <c r="G6039">
        <v>0.54036350990808701</v>
      </c>
      <c r="H6039">
        <v>0.35988697575961698</v>
      </c>
      <c r="I6039">
        <v>0.21973639596729999</v>
      </c>
      <c r="J6039">
        <v>0.14377333646224</v>
      </c>
      <c r="K6039">
        <v>0.10699928839723</v>
      </c>
      <c r="L6039">
        <v>639.82571031462498</v>
      </c>
      <c r="M6039">
        <v>11.7086570455293</v>
      </c>
      <c r="N6039">
        <v>54.645501995547598</v>
      </c>
      <c r="O6039">
        <v>53.124550529484303</v>
      </c>
      <c r="P6039">
        <v>-5.5114638798427401E-2</v>
      </c>
      <c r="Q6039">
        <v>0</v>
      </c>
      <c r="R6039">
        <v>0.99248284324421199</v>
      </c>
      <c r="S6039" t="s">
        <v>12607</v>
      </c>
      <c r="T6039" t="s">
        <v>13134</v>
      </c>
      <c r="U6039" t="s">
        <v>13134</v>
      </c>
      <c r="V6039" t="s">
        <v>13134</v>
      </c>
      <c r="W6039" t="s">
        <v>19105</v>
      </c>
      <c r="X6039">
        <v>16</v>
      </c>
      <c r="Y6039" t="s">
        <v>25465</v>
      </c>
      <c r="Z6039" t="s">
        <v>32007</v>
      </c>
      <c r="AA6039">
        <v>0.60368576774699689</v>
      </c>
      <c r="AB6039" t="str">
        <f>HYPERLINK("Melting_Curves/meltCurve_Q9NZL9_MAT2B.pdf", "Melting_Curves/meltCurve_Q9NZL9_MAT2B.pdf")</f>
        <v>Melting_Curves/meltCurve_Q9NZL9_MAT2B.pdf</v>
      </c>
    </row>
    <row r="6040" spans="1:28" x14ac:dyDescent="0.25">
      <c r="A6040" t="s">
        <v>6044</v>
      </c>
      <c r="B6040">
        <v>0.99472303558308395</v>
      </c>
      <c r="C6040">
        <v>1.1348935067317401</v>
      </c>
      <c r="D6040">
        <v>0.66562075832873702</v>
      </c>
      <c r="E6040">
        <v>0.78127139200720996</v>
      </c>
      <c r="F6040">
        <v>0.79745599892350805</v>
      </c>
      <c r="G6040">
        <v>0.47237446796091598</v>
      </c>
      <c r="H6040">
        <v>0.20404924529028201</v>
      </c>
      <c r="I6040">
        <v>6.3334947979311801E-2</v>
      </c>
      <c r="J6040">
        <v>4.7302605724554997E-2</v>
      </c>
      <c r="K6040">
        <v>6.2476121083669102E-2</v>
      </c>
      <c r="L6040">
        <v>724.79210875192405</v>
      </c>
      <c r="M6040">
        <v>13.737940485746201</v>
      </c>
      <c r="N6040">
        <v>52.7584265475395</v>
      </c>
      <c r="O6040">
        <v>51.678210630618402</v>
      </c>
      <c r="P6040">
        <v>-6.6468523899305798E-2</v>
      </c>
      <c r="Q6040">
        <v>0</v>
      </c>
      <c r="R6040">
        <v>0.90782048893843603</v>
      </c>
      <c r="S6040" t="s">
        <v>12608</v>
      </c>
      <c r="T6040" t="s">
        <v>13134</v>
      </c>
      <c r="U6040" t="s">
        <v>13134</v>
      </c>
      <c r="V6040" t="s">
        <v>13134</v>
      </c>
      <c r="W6040" t="s">
        <v>19106</v>
      </c>
      <c r="X6040">
        <v>14</v>
      </c>
      <c r="Y6040" t="s">
        <v>25465</v>
      </c>
      <c r="Z6040" t="s">
        <v>32008</v>
      </c>
      <c r="AA6040">
        <v>0.54502141964197226</v>
      </c>
      <c r="AB6040" t="str">
        <f>HYPERLINK("Melting_Curves/meltCurve_Q9NZL9_2_MAT2B.pdf", "Melting_Curves/meltCurve_Q9NZL9_2_MAT2B.pdf")</f>
        <v>Melting_Curves/meltCurve_Q9NZL9_2_MAT2B.pdf</v>
      </c>
    </row>
    <row r="6041" spans="1:28" x14ac:dyDescent="0.25">
      <c r="A6041" t="s">
        <v>6045</v>
      </c>
      <c r="B6041">
        <v>0.99472303558308395</v>
      </c>
      <c r="C6041">
        <v>0.98061427420141301</v>
      </c>
      <c r="D6041">
        <v>0.86037740151669795</v>
      </c>
      <c r="E6041">
        <v>0.41722840663113597</v>
      </c>
      <c r="F6041">
        <v>0.15391105885206599</v>
      </c>
      <c r="G6041">
        <v>9.3427331056697996E-2</v>
      </c>
      <c r="H6041">
        <v>7.9974243983562898E-2</v>
      </c>
      <c r="I6041">
        <v>5.5183953999171899E-2</v>
      </c>
      <c r="J6041">
        <v>6.8138965193370302E-2</v>
      </c>
      <c r="K6041">
        <v>5.4629082298103301E-2</v>
      </c>
      <c r="L6041">
        <v>1207.3071140749701</v>
      </c>
      <c r="M6041">
        <v>26.386513576506999</v>
      </c>
      <c r="N6041">
        <v>46.001027089137601</v>
      </c>
      <c r="O6041">
        <v>45.494336675709398</v>
      </c>
      <c r="P6041">
        <v>-0.135447563937798</v>
      </c>
      <c r="Q6041">
        <v>6.5882024049280299E-2</v>
      </c>
      <c r="R6041">
        <v>0.99961161101082596</v>
      </c>
      <c r="S6041" t="s">
        <v>12609</v>
      </c>
      <c r="T6041" t="s">
        <v>13134</v>
      </c>
      <c r="U6041" t="s">
        <v>13134</v>
      </c>
      <c r="V6041" t="s">
        <v>13134</v>
      </c>
      <c r="W6041" t="s">
        <v>19107</v>
      </c>
      <c r="X6041">
        <v>10</v>
      </c>
      <c r="Y6041" t="s">
        <v>25466</v>
      </c>
      <c r="Z6041" t="s">
        <v>32009</v>
      </c>
      <c r="AA6041">
        <v>0.34538565022269452</v>
      </c>
      <c r="AB6041" t="str">
        <f>HYPERLINK("Melting_Curves/meltCurve_Q9NZM3_4_ITSN2.pdf", "Melting_Curves/meltCurve_Q9NZM3_4_ITSN2.pdf")</f>
        <v>Melting_Curves/meltCurve_Q9NZM3_4_ITSN2.pdf</v>
      </c>
    </row>
    <row r="6042" spans="1:28" x14ac:dyDescent="0.25">
      <c r="A6042" t="s">
        <v>6046</v>
      </c>
      <c r="B6042">
        <v>0.99472303558308395</v>
      </c>
      <c r="C6042">
        <v>1.3708540176122801</v>
      </c>
      <c r="D6042">
        <v>0.64855968213608095</v>
      </c>
      <c r="E6042">
        <v>0.33197438493674902</v>
      </c>
      <c r="F6042">
        <v>0.25380585648215098</v>
      </c>
      <c r="G6042">
        <v>0.12978520814460601</v>
      </c>
      <c r="H6042">
        <v>7.5520348132841295E-2</v>
      </c>
      <c r="I6042">
        <v>8.3470944078724102E-2</v>
      </c>
      <c r="J6042">
        <v>6.5635744681634994E-2</v>
      </c>
      <c r="K6042">
        <v>6.9359579687303094E-2</v>
      </c>
      <c r="L6042">
        <v>1292.4995946890999</v>
      </c>
      <c r="M6042">
        <v>29.0302175724253</v>
      </c>
      <c r="N6042">
        <v>44.894889459042801</v>
      </c>
      <c r="O6042">
        <v>44.312896908875899</v>
      </c>
      <c r="P6042">
        <v>-0.14625899479547899</v>
      </c>
      <c r="Q6042">
        <v>0.106984079095243</v>
      </c>
      <c r="R6042">
        <v>0.89734814511414895</v>
      </c>
      <c r="S6042" t="s">
        <v>12610</v>
      </c>
      <c r="T6042" t="s">
        <v>13134</v>
      </c>
      <c r="U6042" t="s">
        <v>13134</v>
      </c>
      <c r="V6042" t="s">
        <v>13134</v>
      </c>
      <c r="W6042" t="s">
        <v>19108</v>
      </c>
      <c r="X6042">
        <v>2</v>
      </c>
      <c r="Y6042" t="s">
        <v>25467</v>
      </c>
      <c r="Z6042" t="s">
        <v>32010</v>
      </c>
      <c r="AA6042">
        <v>0.33624610515638581</v>
      </c>
      <c r="AB6042" t="str">
        <f>HYPERLINK("Melting_Curves/meltCurve_Q9NZM4_2_GLTSCR1.pdf", "Melting_Curves/meltCurve_Q9NZM4_2_GLTSCR1.pdf")</f>
        <v>Melting_Curves/meltCurve_Q9NZM4_2_GLTSCR1.pdf</v>
      </c>
    </row>
    <row r="6043" spans="1:28" x14ac:dyDescent="0.25">
      <c r="A6043" t="s">
        <v>6047</v>
      </c>
      <c r="B6043">
        <v>0.99472303558308395</v>
      </c>
      <c r="C6043">
        <v>0.95979703732592803</v>
      </c>
      <c r="D6043">
        <v>0.95923590917187596</v>
      </c>
      <c r="E6043">
        <v>0.766591375668636</v>
      </c>
      <c r="F6043">
        <v>0.45523480736691602</v>
      </c>
      <c r="G6043">
        <v>0.18518936928440199</v>
      </c>
      <c r="H6043">
        <v>0.127924440359488</v>
      </c>
      <c r="I6043">
        <v>9.4638509965008E-2</v>
      </c>
      <c r="J6043">
        <v>0.12865578004634701</v>
      </c>
      <c r="K6043">
        <v>0.107753359555832</v>
      </c>
      <c r="L6043">
        <v>1067.7357601259901</v>
      </c>
      <c r="M6043">
        <v>21.7973906429342</v>
      </c>
      <c r="N6043">
        <v>49.481074880170297</v>
      </c>
      <c r="O6043">
        <v>48.577852897762902</v>
      </c>
      <c r="P6043">
        <v>-0.10116062841776501</v>
      </c>
      <c r="Q6043">
        <v>9.8230761852397097E-2</v>
      </c>
      <c r="R6043">
        <v>0.99762558111788002</v>
      </c>
      <c r="S6043" t="s">
        <v>12611</v>
      </c>
      <c r="T6043" t="s">
        <v>13134</v>
      </c>
      <c r="U6043" t="s">
        <v>13134</v>
      </c>
      <c r="V6043" t="s">
        <v>13134</v>
      </c>
      <c r="W6043" t="s">
        <v>19109</v>
      </c>
      <c r="X6043">
        <v>18</v>
      </c>
      <c r="Y6043" t="s">
        <v>25468</v>
      </c>
      <c r="Z6043" t="s">
        <v>32011</v>
      </c>
      <c r="AA6043">
        <v>0.46860350316107668</v>
      </c>
      <c r="AB6043" t="str">
        <f>HYPERLINK("Melting_Curves/meltCurve_Q9NZN4_EHD2.pdf", "Melting_Curves/meltCurve_Q9NZN4_EHD2.pdf")</f>
        <v>Melting_Curves/meltCurve_Q9NZN4_EHD2.pdf</v>
      </c>
    </row>
    <row r="6044" spans="1:28" x14ac:dyDescent="0.25">
      <c r="A6044" t="s">
        <v>6048</v>
      </c>
      <c r="B6044">
        <v>0.99472303558308395</v>
      </c>
      <c r="C6044">
        <v>0.93116426693199905</v>
      </c>
      <c r="D6044">
        <v>0.73521946331102095</v>
      </c>
      <c r="E6044">
        <v>0.37959166112345399</v>
      </c>
      <c r="F6044">
        <v>0.19733773062486201</v>
      </c>
      <c r="G6044">
        <v>0.106051868023571</v>
      </c>
      <c r="H6044">
        <v>5.8415462267862102E-2</v>
      </c>
      <c r="I6044">
        <v>5.2592017194326997E-2</v>
      </c>
      <c r="J6044">
        <v>5.1871958703965701E-2</v>
      </c>
      <c r="K6044">
        <v>5.1608145916864898E-2</v>
      </c>
      <c r="L6044">
        <v>835.28773662614196</v>
      </c>
      <c r="M6044">
        <v>18.486537583577402</v>
      </c>
      <c r="N6044">
        <v>45.441013223077903</v>
      </c>
      <c r="O6044">
        <v>44.664812504685401</v>
      </c>
      <c r="P6044">
        <v>-9.8333790205676203E-2</v>
      </c>
      <c r="Q6044">
        <v>4.9716000864435998E-2</v>
      </c>
      <c r="R6044">
        <v>0.99930290954183998</v>
      </c>
      <c r="S6044" t="s">
        <v>12612</v>
      </c>
      <c r="T6044" t="s">
        <v>13134</v>
      </c>
      <c r="U6044" t="s">
        <v>13134</v>
      </c>
      <c r="V6044" t="s">
        <v>13134</v>
      </c>
      <c r="W6044" t="s">
        <v>19110</v>
      </c>
      <c r="X6044">
        <v>12</v>
      </c>
      <c r="Y6044" t="s">
        <v>25469</v>
      </c>
      <c r="Z6044" t="s">
        <v>32012</v>
      </c>
      <c r="AA6044">
        <v>0.32362741373073212</v>
      </c>
      <c r="AB6044" t="str">
        <f>HYPERLINK("Melting_Curves/meltCurve_Q9NZN5_2_ARHGEF12.pdf", "Melting_Curves/meltCurve_Q9NZN5_2_ARHGEF12.pdf")</f>
        <v>Melting_Curves/meltCurve_Q9NZN5_2_ARHGEF12.pdf</v>
      </c>
    </row>
    <row r="6045" spans="1:28" x14ac:dyDescent="0.25">
      <c r="A6045" t="s">
        <v>6049</v>
      </c>
      <c r="B6045">
        <v>0.99472303558308395</v>
      </c>
      <c r="C6045">
        <v>0.87889431238028903</v>
      </c>
      <c r="D6045">
        <v>0.84687083271650998</v>
      </c>
      <c r="E6045">
        <v>0.48760756817087902</v>
      </c>
      <c r="F6045">
        <v>0.24091852169193001</v>
      </c>
      <c r="G6045">
        <v>0.119597776595998</v>
      </c>
      <c r="H6045">
        <v>7.3285343380223494E-2</v>
      </c>
      <c r="I6045">
        <v>3.3074972372070799E-2</v>
      </c>
      <c r="J6045">
        <v>5.0814511003457997E-2</v>
      </c>
      <c r="K6045">
        <v>4.8042180118403298E-2</v>
      </c>
      <c r="L6045">
        <v>801.35395963885696</v>
      </c>
      <c r="M6045">
        <v>17.266116502434201</v>
      </c>
      <c r="N6045">
        <v>46.610714137596403</v>
      </c>
      <c r="O6045">
        <v>45.802760861457202</v>
      </c>
      <c r="P6045">
        <v>-9.0901953998481902E-2</v>
      </c>
      <c r="Q6045">
        <v>3.54934351989796E-2</v>
      </c>
      <c r="R6045">
        <v>0.994982483906939</v>
      </c>
      <c r="S6045" t="s">
        <v>12613</v>
      </c>
      <c r="T6045" t="s">
        <v>13134</v>
      </c>
      <c r="U6045" t="s">
        <v>13134</v>
      </c>
      <c r="V6045" t="s">
        <v>13134</v>
      </c>
      <c r="W6045" t="s">
        <v>19111</v>
      </c>
      <c r="X6045">
        <v>8</v>
      </c>
      <c r="Y6045" t="s">
        <v>25470</v>
      </c>
      <c r="Z6045" t="s">
        <v>32013</v>
      </c>
      <c r="AA6045">
        <v>0.35493984061776518</v>
      </c>
      <c r="AB6045" t="str">
        <f>HYPERLINK("Melting_Curves/meltCurve_Q9NZQ3_3_NCKIPSD.pdf", "Melting_Curves/meltCurve_Q9NZQ3_3_NCKIPSD.pdf")</f>
        <v>Melting_Curves/meltCurve_Q9NZQ3_3_NCKIPSD.pdf</v>
      </c>
    </row>
    <row r="6046" spans="1:28" x14ac:dyDescent="0.25">
      <c r="A6046" t="s">
        <v>6050</v>
      </c>
      <c r="B6046">
        <v>0.99472303558308395</v>
      </c>
      <c r="C6046">
        <v>0.95503074807597099</v>
      </c>
      <c r="D6046">
        <v>0.80720978329256698</v>
      </c>
      <c r="E6046">
        <v>0.32369213010922798</v>
      </c>
      <c r="F6046">
        <v>0.137698743859133</v>
      </c>
      <c r="G6046">
        <v>6.8303794811822999E-2</v>
      </c>
      <c r="H6046">
        <v>4.66020065116559E-2</v>
      </c>
      <c r="I6046">
        <v>3.9108636021746801E-2</v>
      </c>
      <c r="J6046">
        <v>4.4635648290627501E-2</v>
      </c>
      <c r="K6046">
        <v>3.34851904732077E-2</v>
      </c>
      <c r="L6046">
        <v>1158.72902512117</v>
      </c>
      <c r="M6046">
        <v>25.663945062867398</v>
      </c>
      <c r="N6046">
        <v>45.316722099369898</v>
      </c>
      <c r="O6046">
        <v>44.878615186942902</v>
      </c>
      <c r="P6046">
        <v>-0.136527128961242</v>
      </c>
      <c r="Q6046">
        <v>4.5030027771142199E-2</v>
      </c>
      <c r="R6046">
        <v>0.99891949611019704</v>
      </c>
      <c r="S6046" t="s">
        <v>12614</v>
      </c>
      <c r="T6046" t="s">
        <v>13134</v>
      </c>
      <c r="U6046" t="s">
        <v>13134</v>
      </c>
      <c r="V6046" t="s">
        <v>13134</v>
      </c>
      <c r="W6046" t="s">
        <v>19112</v>
      </c>
      <c r="X6046">
        <v>16</v>
      </c>
      <c r="Y6046" t="s">
        <v>25471</v>
      </c>
      <c r="Z6046" t="s">
        <v>32014</v>
      </c>
      <c r="AA6046">
        <v>0.31189457350617161</v>
      </c>
      <c r="AB6046" t="str">
        <f>HYPERLINK("Melting_Curves/meltCurve_Q9NZT2_2_OGFR.pdf", "Melting_Curves/meltCurve_Q9NZT2_2_OGFR.pdf")</f>
        <v>Melting_Curves/meltCurve_Q9NZT2_2_OGFR.pdf</v>
      </c>
    </row>
    <row r="6047" spans="1:28" x14ac:dyDescent="0.25">
      <c r="A6047" t="s">
        <v>6051</v>
      </c>
      <c r="B6047">
        <v>0.99472303558308395</v>
      </c>
      <c r="C6047">
        <v>0.99170974803951994</v>
      </c>
      <c r="D6047">
        <v>0.98288056185488704</v>
      </c>
      <c r="E6047">
        <v>0.81586876295877298</v>
      </c>
      <c r="F6047">
        <v>0.41625982357355501</v>
      </c>
      <c r="G6047">
        <v>0.142998894814264</v>
      </c>
      <c r="H6047">
        <v>9.4856562133233999E-2</v>
      </c>
      <c r="I6047">
        <v>6.4703767388766598E-2</v>
      </c>
      <c r="J6047">
        <v>7.51704891175176E-2</v>
      </c>
      <c r="K6047">
        <v>7.3983059190076694E-2</v>
      </c>
      <c r="L6047">
        <v>1293.83001331623</v>
      </c>
      <c r="M6047">
        <v>26.324360611020399</v>
      </c>
      <c r="N6047">
        <v>49.424389956383102</v>
      </c>
      <c r="O6047">
        <v>48.8685289231599</v>
      </c>
      <c r="P6047">
        <v>-0.12550090946853101</v>
      </c>
      <c r="Q6047">
        <v>6.8090924315345594E-2</v>
      </c>
      <c r="R6047">
        <v>0.99971180913749702</v>
      </c>
      <c r="S6047" t="s">
        <v>12615</v>
      </c>
      <c r="T6047" t="s">
        <v>13134</v>
      </c>
      <c r="U6047" t="s">
        <v>13134</v>
      </c>
      <c r="V6047" t="s">
        <v>13134</v>
      </c>
      <c r="W6047" t="s">
        <v>19113</v>
      </c>
      <c r="X6047">
        <v>28</v>
      </c>
      <c r="Y6047" t="s">
        <v>25472</v>
      </c>
      <c r="Z6047" t="s">
        <v>32015</v>
      </c>
      <c r="AA6047">
        <v>0.45279601521909829</v>
      </c>
      <c r="AB6047" t="str">
        <f>HYPERLINK("Melting_Curves/meltCurve_Q9NZW5_MPP6.pdf", "Melting_Curves/meltCurve_Q9NZW5_MPP6.pdf")</f>
        <v>Melting_Curves/meltCurve_Q9NZW5_MPP6.pdf</v>
      </c>
    </row>
    <row r="6048" spans="1:28" x14ac:dyDescent="0.25">
      <c r="A6048" t="s">
        <v>6052</v>
      </c>
      <c r="B6048">
        <v>0.99472303558308395</v>
      </c>
      <c r="C6048">
        <v>0.99655886373698599</v>
      </c>
      <c r="D6048">
        <v>1.00915941685133</v>
      </c>
      <c r="E6048">
        <v>0.94358563635759096</v>
      </c>
      <c r="F6048">
        <v>0.67513355673098496</v>
      </c>
      <c r="G6048">
        <v>0.68700466490606305</v>
      </c>
      <c r="H6048">
        <v>0.60018470845611804</v>
      </c>
      <c r="I6048">
        <v>0.77987020679019803</v>
      </c>
      <c r="J6048">
        <v>1.02202371563428</v>
      </c>
      <c r="K6048">
        <v>0.69339375114242696</v>
      </c>
      <c r="L6048">
        <v>11709.1279685839</v>
      </c>
      <c r="M6048">
        <v>250</v>
      </c>
      <c r="O6048">
        <v>46.8335149714054</v>
      </c>
      <c r="P6048">
        <v>-0.34305681334393101</v>
      </c>
      <c r="Q6048">
        <v>0.74293509961441495</v>
      </c>
      <c r="R6048">
        <v>0.56741464261719898</v>
      </c>
      <c r="S6048" t="s">
        <v>12616</v>
      </c>
      <c r="T6048" t="s">
        <v>13134</v>
      </c>
      <c r="U6048" t="s">
        <v>13134</v>
      </c>
      <c r="V6048" t="s">
        <v>13134</v>
      </c>
      <c r="W6048" t="s">
        <v>19114</v>
      </c>
      <c r="X6048">
        <v>8</v>
      </c>
      <c r="Y6048" t="s">
        <v>25473</v>
      </c>
      <c r="Z6048" t="s">
        <v>32016</v>
      </c>
      <c r="AA6048">
        <v>0.82724362783844119</v>
      </c>
      <c r="AB6048" t="str">
        <f>HYPERLINK("Melting_Curves/meltCurve_Q9NZZ3_CHMP5.pdf", "Melting_Curves/meltCurve_Q9NZZ3_CHMP5.pdf")</f>
        <v>Melting_Curves/meltCurve_Q9NZZ3_CHMP5.pdf</v>
      </c>
    </row>
    <row r="6049" spans="1:28" x14ac:dyDescent="0.25">
      <c r="A6049" t="s">
        <v>6053</v>
      </c>
      <c r="B6049">
        <v>0.99472303558308395</v>
      </c>
      <c r="C6049">
        <v>0.94236718203758096</v>
      </c>
      <c r="D6049">
        <v>0.84089518400957697</v>
      </c>
      <c r="E6049">
        <v>0.70521230929649803</v>
      </c>
      <c r="F6049">
        <v>0.56429818199047499</v>
      </c>
      <c r="G6049">
        <v>0.36306248931605001</v>
      </c>
      <c r="H6049">
        <v>0.171191865486438</v>
      </c>
      <c r="I6049">
        <v>8.5043011248397304E-2</v>
      </c>
      <c r="J6049">
        <v>0.115265289402379</v>
      </c>
      <c r="K6049">
        <v>7.1150015948425196E-2</v>
      </c>
      <c r="L6049">
        <v>558.00654029807504</v>
      </c>
      <c r="M6049">
        <v>11.0346274652519</v>
      </c>
      <c r="N6049">
        <v>50.5686784170857</v>
      </c>
      <c r="O6049">
        <v>48.993041419694201</v>
      </c>
      <c r="P6049">
        <v>-5.6325884605774597E-2</v>
      </c>
      <c r="Q6049">
        <v>0</v>
      </c>
      <c r="R6049">
        <v>0.99301512477348797</v>
      </c>
      <c r="S6049" t="s">
        <v>12617</v>
      </c>
      <c r="T6049" t="s">
        <v>13134</v>
      </c>
      <c r="U6049" t="s">
        <v>13134</v>
      </c>
      <c r="V6049" t="s">
        <v>13134</v>
      </c>
      <c r="W6049" t="s">
        <v>19115</v>
      </c>
      <c r="X6049">
        <v>7</v>
      </c>
      <c r="Y6049" t="s">
        <v>25474</v>
      </c>
      <c r="Z6049" t="s">
        <v>32017</v>
      </c>
      <c r="AA6049">
        <v>0.48159502864743192</v>
      </c>
      <c r="AB6049" t="str">
        <f>HYPERLINK("Melting_Curves/meltCurve_Q9P000_COMMD9.pdf", "Melting_Curves/meltCurve_Q9P000_COMMD9.pdf")</f>
        <v>Melting_Curves/meltCurve_Q9P000_COMMD9.pdf</v>
      </c>
    </row>
    <row r="6050" spans="1:28" x14ac:dyDescent="0.25">
      <c r="A6050" t="s">
        <v>6054</v>
      </c>
      <c r="B6050">
        <v>0.99472303558308395</v>
      </c>
      <c r="C6050">
        <v>0.99481592278189102</v>
      </c>
      <c r="D6050">
        <v>0.92481634217830899</v>
      </c>
      <c r="E6050">
        <v>0.85465853014449999</v>
      </c>
      <c r="F6050">
        <v>0.680563886001195</v>
      </c>
      <c r="G6050">
        <v>0.69137433033095297</v>
      </c>
      <c r="H6050">
        <v>0.64113647518452999</v>
      </c>
      <c r="I6050">
        <v>0.74681178189943997</v>
      </c>
      <c r="J6050">
        <v>1.11678301497004</v>
      </c>
      <c r="K6050">
        <v>0.75101099702278495</v>
      </c>
      <c r="L6050">
        <v>1395.4551983306501</v>
      </c>
      <c r="M6050">
        <v>31.455493915827599</v>
      </c>
      <c r="O6050">
        <v>44.184690778991502</v>
      </c>
      <c r="P6050">
        <v>-3.9996054809146003E-2</v>
      </c>
      <c r="Q6050">
        <v>0.77527561185890403</v>
      </c>
      <c r="R6050">
        <v>0.341793140874811</v>
      </c>
      <c r="S6050" t="s">
        <v>12618</v>
      </c>
      <c r="T6050" t="s">
        <v>13134</v>
      </c>
      <c r="U6050" t="s">
        <v>13134</v>
      </c>
      <c r="V6050" t="s">
        <v>13134</v>
      </c>
      <c r="W6050" t="s">
        <v>19116</v>
      </c>
      <c r="X6050">
        <v>15</v>
      </c>
      <c r="Y6050" t="s">
        <v>25475</v>
      </c>
      <c r="Z6050" t="s">
        <v>32018</v>
      </c>
      <c r="AA6050">
        <v>0.83156287868411227</v>
      </c>
      <c r="AB6050" t="str">
        <f>HYPERLINK("Melting_Curves/meltCurve_Q9P013_CWC15.pdf", "Melting_Curves/meltCurve_Q9P013_CWC15.pdf")</f>
        <v>Melting_Curves/meltCurve_Q9P013_CWC15.pdf</v>
      </c>
    </row>
    <row r="6051" spans="1:28" x14ac:dyDescent="0.25">
      <c r="A6051" t="s">
        <v>6055</v>
      </c>
      <c r="B6051">
        <v>0.99472303558308395</v>
      </c>
      <c r="C6051">
        <v>0.88588634195358995</v>
      </c>
      <c r="D6051">
        <v>1.0476733659028099</v>
      </c>
      <c r="E6051">
        <v>0.87198798047109505</v>
      </c>
      <c r="F6051">
        <v>0.45923339235723698</v>
      </c>
      <c r="G6051">
        <v>0.11798416719512</v>
      </c>
      <c r="H6051">
        <v>5.4779604482240202E-2</v>
      </c>
      <c r="I6051">
        <v>4.1161609949685901E-2</v>
      </c>
      <c r="J6051">
        <v>5.5495059923916498E-2</v>
      </c>
      <c r="K6051">
        <v>4.2860285907896999E-2</v>
      </c>
      <c r="L6051">
        <v>1507.996333432</v>
      </c>
      <c r="M6051">
        <v>30.3365332038913</v>
      </c>
      <c r="N6051">
        <v>49.852444121355902</v>
      </c>
      <c r="O6051">
        <v>49.494427331428099</v>
      </c>
      <c r="P6051">
        <v>-0.146825397867933</v>
      </c>
      <c r="Q6051">
        <v>4.1816354854012298E-2</v>
      </c>
      <c r="R6051">
        <v>0.99059780683507004</v>
      </c>
      <c r="S6051" t="s">
        <v>12619</v>
      </c>
      <c r="T6051" t="s">
        <v>13134</v>
      </c>
      <c r="U6051" t="s">
        <v>13134</v>
      </c>
      <c r="V6051" t="s">
        <v>13134</v>
      </c>
      <c r="W6051" t="s">
        <v>19117</v>
      </c>
      <c r="X6051">
        <v>17</v>
      </c>
      <c r="Y6051" t="s">
        <v>25476</v>
      </c>
      <c r="Z6051" t="s">
        <v>32019</v>
      </c>
      <c r="AA6051">
        <v>0.45345530225303499</v>
      </c>
      <c r="AB6051" t="str">
        <f>HYPERLINK("Melting_Curves/meltCurve_Q9P016_THYN1.pdf", "Melting_Curves/meltCurve_Q9P016_THYN1.pdf")</f>
        <v>Melting_Curves/meltCurve_Q9P016_THYN1.pdf</v>
      </c>
    </row>
    <row r="6052" spans="1:28" x14ac:dyDescent="0.25">
      <c r="A6052" t="s">
        <v>6056</v>
      </c>
      <c r="B6052">
        <v>0.99472303558308395</v>
      </c>
      <c r="C6052">
        <v>1.0502939199188599</v>
      </c>
      <c r="D6052">
        <v>0.83665290452293795</v>
      </c>
      <c r="E6052">
        <v>0.87661633277699302</v>
      </c>
      <c r="F6052">
        <v>0.69675171207383202</v>
      </c>
      <c r="G6052">
        <v>0.487298983631406</v>
      </c>
      <c r="H6052">
        <v>0.37711257463283598</v>
      </c>
      <c r="I6052">
        <v>0.351216332299086</v>
      </c>
      <c r="J6052">
        <v>0.35718940412967798</v>
      </c>
      <c r="K6052">
        <v>0.29344345368609898</v>
      </c>
      <c r="L6052">
        <v>711.56870829570698</v>
      </c>
      <c r="M6052">
        <v>14.0176621313596</v>
      </c>
      <c r="N6052">
        <v>54.017077730882498</v>
      </c>
      <c r="O6052">
        <v>49.762684780639098</v>
      </c>
      <c r="P6052">
        <v>-5.0348772704155803E-2</v>
      </c>
      <c r="Q6052">
        <v>0.28514180544147699</v>
      </c>
      <c r="R6052">
        <v>0.97250193795228701</v>
      </c>
      <c r="S6052" t="s">
        <v>12620</v>
      </c>
      <c r="T6052" t="s">
        <v>13134</v>
      </c>
      <c r="U6052" t="s">
        <v>13134</v>
      </c>
      <c r="V6052" t="s">
        <v>13134</v>
      </c>
      <c r="W6052" t="s">
        <v>19118</v>
      </c>
      <c r="X6052">
        <v>3</v>
      </c>
      <c r="Y6052" t="s">
        <v>25477</v>
      </c>
      <c r="Z6052" t="s">
        <v>32020</v>
      </c>
      <c r="AA6052">
        <v>0.62894906340589951</v>
      </c>
      <c r="AB6052" t="str">
        <f>HYPERLINK("Melting_Curves/meltCurve_Q9P021_CRIPT.pdf", "Melting_Curves/meltCurve_Q9P021_CRIPT.pdf")</f>
        <v>Melting_Curves/meltCurve_Q9P021_CRIPT.pdf</v>
      </c>
    </row>
    <row r="6053" spans="1:28" x14ac:dyDescent="0.25">
      <c r="A6053" t="s">
        <v>6057</v>
      </c>
      <c r="B6053">
        <v>0.99472303558308395</v>
      </c>
      <c r="C6053">
        <v>1.04208815943223</v>
      </c>
      <c r="D6053">
        <v>0.90683477188693196</v>
      </c>
      <c r="E6053">
        <v>0.74276794602035701</v>
      </c>
      <c r="F6053">
        <v>0.50207222646800298</v>
      </c>
      <c r="G6053">
        <v>0.278621142232929</v>
      </c>
      <c r="H6053">
        <v>0.16413431694419101</v>
      </c>
      <c r="I6053">
        <v>0.10999961274718099</v>
      </c>
      <c r="J6053">
        <v>0.117822153271573</v>
      </c>
      <c r="K6053">
        <v>8.7034196255899296E-2</v>
      </c>
      <c r="L6053">
        <v>793.92254116831896</v>
      </c>
      <c r="M6053">
        <v>16.028301719124102</v>
      </c>
      <c r="N6053">
        <v>50.058035892901998</v>
      </c>
      <c r="O6053">
        <v>48.780763815928097</v>
      </c>
      <c r="P6053">
        <v>-7.5789798469513101E-2</v>
      </c>
      <c r="Q6053">
        <v>7.7432870182576594E-2</v>
      </c>
      <c r="R6053">
        <v>0.99656529548873496</v>
      </c>
      <c r="S6053" t="s">
        <v>12621</v>
      </c>
      <c r="T6053" t="s">
        <v>13134</v>
      </c>
      <c r="U6053" t="s">
        <v>13134</v>
      </c>
      <c r="V6053" t="s">
        <v>13134</v>
      </c>
      <c r="W6053" t="s">
        <v>19119</v>
      </c>
      <c r="X6053">
        <v>1</v>
      </c>
      <c r="Y6053" t="s">
        <v>25478</v>
      </c>
      <c r="Z6053" t="s">
        <v>32021</v>
      </c>
      <c r="AA6053">
        <v>0.48049803483359349</v>
      </c>
      <c r="AB6053" t="str">
        <f>HYPERLINK("Melting_Curves/meltCurve_Q9P031_CCDC59.pdf", "Melting_Curves/meltCurve_Q9P031_CCDC59.pdf")</f>
        <v>Melting_Curves/meltCurve_Q9P031_CCDC59.pdf</v>
      </c>
    </row>
    <row r="6054" spans="1:28" x14ac:dyDescent="0.25">
      <c r="A6054" t="s">
        <v>6058</v>
      </c>
      <c r="B6054">
        <v>0.99472303558308395</v>
      </c>
      <c r="C6054">
        <v>0.92831976901878799</v>
      </c>
      <c r="D6054">
        <v>0.88980406785967203</v>
      </c>
      <c r="E6054">
        <v>0.75696526076431803</v>
      </c>
      <c r="F6054">
        <v>0.49433410766959202</v>
      </c>
      <c r="G6054">
        <v>0.236097437075413</v>
      </c>
      <c r="H6054">
        <v>9.8314398488282995E-2</v>
      </c>
      <c r="I6054">
        <v>6.61333322761814E-2</v>
      </c>
      <c r="J6054">
        <v>6.9207982986111305E-2</v>
      </c>
      <c r="K6054">
        <v>4.61114621369208E-2</v>
      </c>
      <c r="L6054">
        <v>766.22382872427795</v>
      </c>
      <c r="M6054">
        <v>15.411940818327</v>
      </c>
      <c r="N6054">
        <v>49.833815868448099</v>
      </c>
      <c r="O6054">
        <v>48.901759847979903</v>
      </c>
      <c r="P6054">
        <v>-7.7390836963859996E-2</v>
      </c>
      <c r="Q6054">
        <v>1.7850889110575901E-2</v>
      </c>
      <c r="R6054">
        <v>0.99599449073528201</v>
      </c>
      <c r="S6054" t="s">
        <v>12622</v>
      </c>
      <c r="T6054" t="s">
        <v>13134</v>
      </c>
      <c r="U6054" t="s">
        <v>13134</v>
      </c>
      <c r="V6054" t="s">
        <v>13134</v>
      </c>
      <c r="W6054" t="s">
        <v>19120</v>
      </c>
      <c r="X6054">
        <v>11</v>
      </c>
      <c r="Y6054" t="s">
        <v>25479</v>
      </c>
      <c r="Z6054" t="s">
        <v>32022</v>
      </c>
      <c r="AA6054">
        <v>0.45404861642550548</v>
      </c>
      <c r="AB6054" t="str">
        <f>HYPERLINK("Melting_Curves/meltCurve_Q9P032_NDUFAF4.pdf", "Melting_Curves/meltCurve_Q9P032_NDUFAF4.pdf")</f>
        <v>Melting_Curves/meltCurve_Q9P032_NDUFAF4.pdf</v>
      </c>
    </row>
    <row r="6055" spans="1:28" x14ac:dyDescent="0.25">
      <c r="A6055" t="s">
        <v>6059</v>
      </c>
      <c r="B6055">
        <v>0.99472303558308395</v>
      </c>
      <c r="C6055">
        <v>1.06259968383061</v>
      </c>
      <c r="D6055">
        <v>0.77827463861933899</v>
      </c>
      <c r="E6055">
        <v>0.69421467735848297</v>
      </c>
      <c r="F6055">
        <v>0.65342086717712</v>
      </c>
      <c r="G6055">
        <v>0.32272714830572302</v>
      </c>
      <c r="H6055">
        <v>0.166441400076662</v>
      </c>
      <c r="I6055">
        <v>9.9829802740748402E-2</v>
      </c>
      <c r="J6055">
        <v>8.8404562135257297E-2</v>
      </c>
      <c r="K6055">
        <v>7.9718743622045701E-2</v>
      </c>
      <c r="L6055">
        <v>586.09801292902705</v>
      </c>
      <c r="M6055">
        <v>11.5339294212848</v>
      </c>
      <c r="N6055">
        <v>50.815119801547297</v>
      </c>
      <c r="O6055">
        <v>49.359613820177202</v>
      </c>
      <c r="P6055">
        <v>-5.8434262806420299E-2</v>
      </c>
      <c r="Q6055">
        <v>0</v>
      </c>
      <c r="R6055">
        <v>0.96807175807897505</v>
      </c>
      <c r="S6055" t="s">
        <v>12623</v>
      </c>
      <c r="T6055" t="s">
        <v>13134</v>
      </c>
      <c r="U6055" t="s">
        <v>13134</v>
      </c>
      <c r="V6055" t="s">
        <v>13134</v>
      </c>
      <c r="W6055" t="s">
        <v>19121</v>
      </c>
      <c r="X6055">
        <v>5</v>
      </c>
      <c r="Y6055" t="s">
        <v>25480</v>
      </c>
      <c r="Z6055" t="s">
        <v>32023</v>
      </c>
      <c r="AA6055">
        <v>0.48798814512285632</v>
      </c>
      <c r="AB6055" t="str">
        <f>HYPERLINK("Melting_Curves/meltCurve_Q9P035_PTPLAD1.pdf", "Melting_Curves/meltCurve_Q9P035_PTPLAD1.pdf")</f>
        <v>Melting_Curves/meltCurve_Q9P035_PTPLAD1.pdf</v>
      </c>
    </row>
    <row r="6056" spans="1:28" x14ac:dyDescent="0.25">
      <c r="A6056" t="s">
        <v>6060</v>
      </c>
      <c r="B6056">
        <v>0.99472303558308395</v>
      </c>
      <c r="C6056">
        <v>0.65836512866321695</v>
      </c>
      <c r="D6056">
        <v>0.79048232130421103</v>
      </c>
      <c r="E6056">
        <v>0.55264807258942505</v>
      </c>
      <c r="F6056">
        <v>0.20574987062328901</v>
      </c>
      <c r="G6056">
        <v>0.10292232146469101</v>
      </c>
      <c r="H6056">
        <v>7.8427510384049104E-2</v>
      </c>
      <c r="I6056">
        <v>6.6867745116876695E-2</v>
      </c>
      <c r="J6056">
        <v>8.7080345216042104E-2</v>
      </c>
      <c r="K6056">
        <v>8.4024582633925204E-2</v>
      </c>
      <c r="L6056">
        <v>548.216143475222</v>
      </c>
      <c r="M6056">
        <v>11.9636542762897</v>
      </c>
      <c r="N6056">
        <v>45.9912057441625</v>
      </c>
      <c r="O6056">
        <v>44.5994705602537</v>
      </c>
      <c r="P6056">
        <v>-6.5646050800842404E-2</v>
      </c>
      <c r="Q6056">
        <v>2.13474618106359E-2</v>
      </c>
      <c r="R6056">
        <v>0.93577814078800203</v>
      </c>
      <c r="S6056" t="s">
        <v>12624</v>
      </c>
      <c r="T6056" t="s">
        <v>13134</v>
      </c>
      <c r="U6056" t="s">
        <v>13134</v>
      </c>
      <c r="V6056" t="s">
        <v>13134</v>
      </c>
      <c r="W6056" t="s">
        <v>19122</v>
      </c>
      <c r="X6056">
        <v>4</v>
      </c>
      <c r="Y6056" t="s">
        <v>25481</v>
      </c>
      <c r="Z6056" t="s">
        <v>32024</v>
      </c>
      <c r="AA6056">
        <v>0.34342539788525578</v>
      </c>
      <c r="AB6056" t="str">
        <f>HYPERLINK("Melting_Curves/meltCurve_Q9P0B6_CCDC167.pdf", "Melting_Curves/meltCurve_Q9P0B6_CCDC167.pdf")</f>
        <v>Melting_Curves/meltCurve_Q9P0B6_CCDC167.pdf</v>
      </c>
    </row>
    <row r="6057" spans="1:28" x14ac:dyDescent="0.25">
      <c r="A6057" t="s">
        <v>6061</v>
      </c>
      <c r="B6057">
        <v>0.99472303558308395</v>
      </c>
      <c r="C6057">
        <v>0.913603359190723</v>
      </c>
      <c r="D6057">
        <v>0.79102945653593404</v>
      </c>
      <c r="E6057">
        <v>0.71109818996672003</v>
      </c>
      <c r="F6057">
        <v>0.64625023588743802</v>
      </c>
      <c r="G6057">
        <v>0.30150443267725402</v>
      </c>
      <c r="H6057">
        <v>0.10867641551724599</v>
      </c>
      <c r="I6057">
        <v>6.2656566717279705E-2</v>
      </c>
      <c r="J6057">
        <v>8.0798492111503098E-2</v>
      </c>
      <c r="K6057">
        <v>5.4231961217170999E-2</v>
      </c>
      <c r="L6057">
        <v>608.35747009258</v>
      </c>
      <c r="M6057">
        <v>12.071339663196101</v>
      </c>
      <c r="N6057">
        <v>50.396851649778803</v>
      </c>
      <c r="O6057">
        <v>49.073567197021703</v>
      </c>
      <c r="P6057">
        <v>-6.1510627388040501E-2</v>
      </c>
      <c r="Q6057">
        <v>0</v>
      </c>
      <c r="R6057">
        <v>0.970525950011074</v>
      </c>
      <c r="S6057" t="s">
        <v>12625</v>
      </c>
      <c r="T6057" t="s">
        <v>13134</v>
      </c>
      <c r="U6057" t="s">
        <v>13134</v>
      </c>
      <c r="V6057" t="s">
        <v>13134</v>
      </c>
      <c r="W6057" t="s">
        <v>19123</v>
      </c>
      <c r="X6057">
        <v>6</v>
      </c>
      <c r="Y6057" t="s">
        <v>25482</v>
      </c>
      <c r="Z6057" t="s">
        <v>32025</v>
      </c>
      <c r="AA6057">
        <v>0.47363088522363511</v>
      </c>
      <c r="AB6057" t="str">
        <f>HYPERLINK("Melting_Curves/meltCurve_Q9P0I2_EMC3.pdf", "Melting_Curves/meltCurve_Q9P0I2_EMC3.pdf")</f>
        <v>Melting_Curves/meltCurve_Q9P0I2_EMC3.pdf</v>
      </c>
    </row>
    <row r="6058" spans="1:28" x14ac:dyDescent="0.25">
      <c r="A6058" t="s">
        <v>6062</v>
      </c>
      <c r="B6058">
        <v>0.99472303558308395</v>
      </c>
      <c r="C6058">
        <v>0.99341440902969902</v>
      </c>
      <c r="D6058">
        <v>0.66845919745372995</v>
      </c>
      <c r="E6058">
        <v>0.50458159898860599</v>
      </c>
      <c r="F6058">
        <v>0.248378619207449</v>
      </c>
      <c r="G6058">
        <v>0.14733567315798601</v>
      </c>
      <c r="H6058">
        <v>0.108992321264192</v>
      </c>
      <c r="I6058">
        <v>7.7575018652681696E-2</v>
      </c>
      <c r="J6058">
        <v>0.11013237655173901</v>
      </c>
      <c r="K6058">
        <v>8.7731576101623299E-2</v>
      </c>
      <c r="L6058">
        <v>733.76302066837002</v>
      </c>
      <c r="M6058">
        <v>16.0916176369659</v>
      </c>
      <c r="N6058">
        <v>46.105785967383802</v>
      </c>
      <c r="O6058">
        <v>44.912304224466702</v>
      </c>
      <c r="P6058">
        <v>-8.2319273311455804E-2</v>
      </c>
      <c r="Q6058">
        <v>8.10458894761448E-2</v>
      </c>
      <c r="R6058">
        <v>0.98778682411263397</v>
      </c>
      <c r="S6058" t="s">
        <v>12626</v>
      </c>
      <c r="T6058" t="s">
        <v>13134</v>
      </c>
      <c r="U6058" t="s">
        <v>13134</v>
      </c>
      <c r="V6058" t="s">
        <v>13134</v>
      </c>
      <c r="W6058" t="s">
        <v>19124</v>
      </c>
      <c r="X6058">
        <v>4</v>
      </c>
      <c r="Y6058" t="s">
        <v>25483</v>
      </c>
      <c r="Z6058" t="s">
        <v>32026</v>
      </c>
      <c r="AA6058">
        <v>0.36313100888166278</v>
      </c>
      <c r="AB6058" t="str">
        <f>HYPERLINK("Melting_Curves/meltCurve_Q9P0J7_KCMF1.pdf", "Melting_Curves/meltCurve_Q9P0J7_KCMF1.pdf")</f>
        <v>Melting_Curves/meltCurve_Q9P0J7_KCMF1.pdf</v>
      </c>
    </row>
    <row r="6059" spans="1:28" x14ac:dyDescent="0.25">
      <c r="A6059" t="s">
        <v>6063</v>
      </c>
      <c r="B6059">
        <v>0.99472303558308395</v>
      </c>
      <c r="C6059">
        <v>1.0110793728580401</v>
      </c>
      <c r="D6059">
        <v>0.919612056431235</v>
      </c>
      <c r="E6059">
        <v>0.79184294372802699</v>
      </c>
      <c r="F6059">
        <v>0.56574613350950198</v>
      </c>
      <c r="G6059">
        <v>0.46178571435683602</v>
      </c>
      <c r="H6059">
        <v>0.26798375401269398</v>
      </c>
      <c r="I6059">
        <v>0.12069049141403999</v>
      </c>
      <c r="J6059">
        <v>6.0303442562902598E-2</v>
      </c>
      <c r="K6059">
        <v>6.5173139562280005E-2</v>
      </c>
      <c r="L6059">
        <v>619.48184599021204</v>
      </c>
      <c r="M6059">
        <v>11.9018226265734</v>
      </c>
      <c r="N6059">
        <v>52.049326001257299</v>
      </c>
      <c r="O6059">
        <v>50.645164873106403</v>
      </c>
      <c r="P6059">
        <v>-5.87656265249345E-2</v>
      </c>
      <c r="Q6059">
        <v>0</v>
      </c>
      <c r="R6059">
        <v>0.99328759686220902</v>
      </c>
      <c r="S6059" t="s">
        <v>12627</v>
      </c>
      <c r="T6059" t="s">
        <v>13134</v>
      </c>
      <c r="U6059" t="s">
        <v>13134</v>
      </c>
      <c r="V6059" t="s">
        <v>13134</v>
      </c>
      <c r="W6059" t="s">
        <v>19125</v>
      </c>
      <c r="X6059">
        <v>25</v>
      </c>
      <c r="Y6059" t="s">
        <v>25484</v>
      </c>
      <c r="Z6059" t="s">
        <v>32027</v>
      </c>
      <c r="AA6059">
        <v>0.5254274282689203</v>
      </c>
      <c r="AB6059" t="str">
        <f>HYPERLINK("Melting_Curves/meltCurve_Q9P0L0_VAPA.pdf", "Melting_Curves/meltCurve_Q9P0L0_VAPA.pdf")</f>
        <v>Melting_Curves/meltCurve_Q9P0L0_VAPA.pdf</v>
      </c>
    </row>
    <row r="6060" spans="1:28" x14ac:dyDescent="0.25">
      <c r="A6060" t="s">
        <v>6064</v>
      </c>
      <c r="B6060">
        <v>0.99472303558308395</v>
      </c>
      <c r="C6060">
        <v>0.96165348012043805</v>
      </c>
      <c r="D6060">
        <v>0.85665440396431702</v>
      </c>
      <c r="E6060">
        <v>0.51128090579348195</v>
      </c>
      <c r="F6060">
        <v>0.20102783175689401</v>
      </c>
      <c r="G6060">
        <v>0.11234224157663</v>
      </c>
      <c r="H6060">
        <v>6.0750801180436298E-2</v>
      </c>
      <c r="I6060">
        <v>4.3524492528255E-2</v>
      </c>
      <c r="J6060">
        <v>5.0718808076143901E-2</v>
      </c>
      <c r="K6060">
        <v>4.2184507703335102E-2</v>
      </c>
      <c r="L6060">
        <v>976.75114341572998</v>
      </c>
      <c r="M6060">
        <v>21.0128191563252</v>
      </c>
      <c r="N6060">
        <v>46.689932988297002</v>
      </c>
      <c r="O6060">
        <v>46.0687115260898</v>
      </c>
      <c r="P6060">
        <v>-0.10897625571851</v>
      </c>
      <c r="Q6060">
        <v>4.4342782415247799E-2</v>
      </c>
      <c r="R6060">
        <v>0.99963824704718396</v>
      </c>
      <c r="S6060" t="s">
        <v>12628</v>
      </c>
      <c r="T6060" t="s">
        <v>13134</v>
      </c>
      <c r="U6060" t="s">
        <v>13134</v>
      </c>
      <c r="V6060" t="s">
        <v>13134</v>
      </c>
      <c r="W6060" t="s">
        <v>19126</v>
      </c>
      <c r="X6060">
        <v>5</v>
      </c>
      <c r="Y6060" t="s">
        <v>25485</v>
      </c>
      <c r="Z6060" t="s">
        <v>32028</v>
      </c>
      <c r="AA6060">
        <v>0.35776475205562058</v>
      </c>
      <c r="AB6060" t="str">
        <f>HYPERLINK("Melting_Curves/meltCurve_Q9P0N9_3_TBC1D7.pdf", "Melting_Curves/meltCurve_Q9P0N9_3_TBC1D7.pdf")</f>
        <v>Melting_Curves/meltCurve_Q9P0N9_3_TBC1D7.pdf</v>
      </c>
    </row>
    <row r="6061" spans="1:28" x14ac:dyDescent="0.25">
      <c r="A6061" t="s">
        <v>6065</v>
      </c>
      <c r="B6061">
        <v>0.99472303558308395</v>
      </c>
      <c r="C6061">
        <v>0.96445911979962096</v>
      </c>
      <c r="D6061">
        <v>0.99002022275273005</v>
      </c>
      <c r="E6061">
        <v>0.87946243021815396</v>
      </c>
      <c r="F6061">
        <v>0.778064995191038</v>
      </c>
      <c r="G6061">
        <v>0.61824272607243003</v>
      </c>
      <c r="H6061">
        <v>0.39145430420374</v>
      </c>
      <c r="I6061">
        <v>0.55768290754333005</v>
      </c>
      <c r="J6061">
        <v>0.65586319509804303</v>
      </c>
      <c r="K6061">
        <v>0.61200224918280899</v>
      </c>
      <c r="L6061">
        <v>1244.5010990149301</v>
      </c>
      <c r="M6061">
        <v>25.173671882271599</v>
      </c>
      <c r="O6061">
        <v>49.127805251994502</v>
      </c>
      <c r="P6061">
        <v>-5.6714803596149103E-2</v>
      </c>
      <c r="Q6061">
        <v>0.55727748233795504</v>
      </c>
      <c r="R6061">
        <v>0.87441874679742204</v>
      </c>
      <c r="S6061" t="s">
        <v>12629</v>
      </c>
      <c r="T6061" t="s">
        <v>13134</v>
      </c>
      <c r="U6061" t="s">
        <v>13134</v>
      </c>
      <c r="V6061" t="s">
        <v>13134</v>
      </c>
      <c r="W6061" t="s">
        <v>19127</v>
      </c>
      <c r="X6061">
        <v>9</v>
      </c>
      <c r="Y6061" t="s">
        <v>25486</v>
      </c>
      <c r="Z6061" t="s">
        <v>32029</v>
      </c>
      <c r="AA6061">
        <v>0.74460565487289687</v>
      </c>
      <c r="AB6061" t="str">
        <f>HYPERLINK("Melting_Curves/meltCurve_Q9P0P0_RNF181.pdf", "Melting_Curves/meltCurve_Q9P0P0_RNF181.pdf")</f>
        <v>Melting_Curves/meltCurve_Q9P0P0_RNF181.pdf</v>
      </c>
    </row>
    <row r="6062" spans="1:28" x14ac:dyDescent="0.25">
      <c r="A6062" t="s">
        <v>6066</v>
      </c>
      <c r="B6062">
        <v>0.99472303558308395</v>
      </c>
      <c r="C6062">
        <v>0.89504053360741098</v>
      </c>
      <c r="D6062">
        <v>0.91859417836285895</v>
      </c>
      <c r="E6062">
        <v>0.86945397991954199</v>
      </c>
      <c r="F6062">
        <v>0.57563401631230604</v>
      </c>
      <c r="G6062">
        <v>0.29340550799790999</v>
      </c>
      <c r="H6062">
        <v>0.129767020865238</v>
      </c>
      <c r="I6062">
        <v>6.8645899192901705E-2</v>
      </c>
      <c r="J6062">
        <v>7.3166994179137995E-2</v>
      </c>
      <c r="K6062">
        <v>6.8009761781366404E-2</v>
      </c>
      <c r="L6062">
        <v>937.51406897306902</v>
      </c>
      <c r="M6062">
        <v>18.4611242234751</v>
      </c>
      <c r="N6062">
        <v>51.028203019723101</v>
      </c>
      <c r="O6062">
        <v>50.198523318339099</v>
      </c>
      <c r="P6062">
        <v>-8.8044493541388699E-2</v>
      </c>
      <c r="Q6062">
        <v>4.2418701752308101E-2</v>
      </c>
      <c r="R6062">
        <v>0.99073441233825799</v>
      </c>
      <c r="S6062" t="s">
        <v>12630</v>
      </c>
      <c r="T6062" t="s">
        <v>13134</v>
      </c>
      <c r="U6062" t="s">
        <v>13134</v>
      </c>
      <c r="V6062" t="s">
        <v>13134</v>
      </c>
      <c r="W6062" t="s">
        <v>19128</v>
      </c>
      <c r="X6062">
        <v>4</v>
      </c>
      <c r="Y6062" t="s">
        <v>25487</v>
      </c>
      <c r="Z6062" t="s">
        <v>32030</v>
      </c>
      <c r="AA6062">
        <v>0.49669465636466231</v>
      </c>
      <c r="AB6062" t="str">
        <f>HYPERLINK("Melting_Curves/meltCurve_Q9P0R6_GSKIP.pdf", "Melting_Curves/meltCurve_Q9P0R6_GSKIP.pdf")</f>
        <v>Melting_Curves/meltCurve_Q9P0R6_GSKIP.pdf</v>
      </c>
    </row>
    <row r="6063" spans="1:28" x14ac:dyDescent="0.25">
      <c r="A6063" t="s">
        <v>6067</v>
      </c>
      <c r="B6063">
        <v>0.99472303558308395</v>
      </c>
      <c r="C6063">
        <v>0.79275047938597398</v>
      </c>
      <c r="D6063">
        <v>0.637608463006471</v>
      </c>
      <c r="E6063">
        <v>0.15826694453846499</v>
      </c>
      <c r="F6063">
        <v>6.6784777936336095E-2</v>
      </c>
      <c r="G6063">
        <v>4.7711267770039797E-2</v>
      </c>
      <c r="H6063">
        <v>0</v>
      </c>
      <c r="I6063">
        <v>0</v>
      </c>
      <c r="J6063">
        <v>2.0724451080604899E-2</v>
      </c>
      <c r="K6063">
        <v>0</v>
      </c>
      <c r="L6063">
        <v>892.49258865412901</v>
      </c>
      <c r="M6063">
        <v>20.479086228045801</v>
      </c>
      <c r="N6063">
        <v>43.592806212349203</v>
      </c>
      <c r="O6063">
        <v>43.171527524375897</v>
      </c>
      <c r="P6063">
        <v>-0.118258210835891</v>
      </c>
      <c r="Q6063">
        <v>2.8392730362434399E-3</v>
      </c>
      <c r="R6063">
        <v>0.98882615364752002</v>
      </c>
      <c r="S6063" t="s">
        <v>12631</v>
      </c>
      <c r="T6063" t="s">
        <v>13134</v>
      </c>
      <c r="U6063" t="s">
        <v>13134</v>
      </c>
      <c r="V6063" t="s">
        <v>13134</v>
      </c>
      <c r="W6063" t="s">
        <v>19129</v>
      </c>
      <c r="X6063">
        <v>4</v>
      </c>
      <c r="Y6063" t="s">
        <v>25488</v>
      </c>
      <c r="Z6063" t="s">
        <v>32031</v>
      </c>
      <c r="AA6063">
        <v>0.23440656870709001</v>
      </c>
      <c r="AB6063" t="str">
        <f>HYPERLINK("Melting_Curves/meltCurve_Q9P0U4_CXXC1.pdf", "Melting_Curves/meltCurve_Q9P0U4_CXXC1.pdf")</f>
        <v>Melting_Curves/meltCurve_Q9P0U4_CXXC1.pdf</v>
      </c>
    </row>
    <row r="6064" spans="1:28" x14ac:dyDescent="0.25">
      <c r="A6064" t="s">
        <v>6068</v>
      </c>
      <c r="B6064">
        <v>0.99472303558308395</v>
      </c>
      <c r="C6064">
        <v>0.79085705308508703</v>
      </c>
      <c r="D6064">
        <v>0.44032230743512202</v>
      </c>
      <c r="E6064">
        <v>0.21464081849411401</v>
      </c>
      <c r="F6064">
        <v>0.123947468268456</v>
      </c>
      <c r="G6064">
        <v>0.106247693103188</v>
      </c>
      <c r="H6064">
        <v>3.7899379395285898E-2</v>
      </c>
      <c r="I6064">
        <v>3.5130343570036998E-2</v>
      </c>
      <c r="J6064">
        <v>1.6689612170663198E-2</v>
      </c>
      <c r="K6064">
        <v>0</v>
      </c>
      <c r="L6064">
        <v>786.60732290684803</v>
      </c>
      <c r="M6064">
        <v>18.475858066379701</v>
      </c>
      <c r="N6064">
        <v>42.755847307110002</v>
      </c>
      <c r="O6064">
        <v>42.085514258844498</v>
      </c>
      <c r="P6064">
        <v>-0.10562857315240801</v>
      </c>
      <c r="Q6064">
        <v>3.7612249777934002E-2</v>
      </c>
      <c r="R6064">
        <v>0.991510333282979</v>
      </c>
      <c r="S6064" t="s">
        <v>12632</v>
      </c>
      <c r="T6064" t="s">
        <v>13134</v>
      </c>
      <c r="U6064" t="s">
        <v>13134</v>
      </c>
      <c r="V6064" t="s">
        <v>13134</v>
      </c>
      <c r="W6064" t="s">
        <v>19130</v>
      </c>
      <c r="X6064">
        <v>5</v>
      </c>
      <c r="Y6064" t="s">
        <v>25489</v>
      </c>
      <c r="Z6064" t="s">
        <v>32032</v>
      </c>
      <c r="AA6064">
        <v>0.2330047213474053</v>
      </c>
      <c r="AB6064" t="str">
        <f>HYPERLINK("Melting_Curves/meltCurve_Q9P0W2_HMG20B.pdf", "Melting_Curves/meltCurve_Q9P0W2_HMG20B.pdf")</f>
        <v>Melting_Curves/meltCurve_Q9P0W2_HMG20B.pdf</v>
      </c>
    </row>
    <row r="6065" spans="1:28" x14ac:dyDescent="0.25">
      <c r="A6065" t="s">
        <v>6069</v>
      </c>
      <c r="B6065">
        <v>0.99472303558308395</v>
      </c>
      <c r="C6065">
        <v>0.90276972188964899</v>
      </c>
      <c r="D6065">
        <v>0.62633409807537699</v>
      </c>
      <c r="E6065">
        <v>0.44072626473835502</v>
      </c>
      <c r="F6065">
        <v>0.38206480487569999</v>
      </c>
      <c r="G6065">
        <v>0.58401153596775601</v>
      </c>
      <c r="H6065">
        <v>0.47238507377546402</v>
      </c>
      <c r="I6065">
        <v>0.379114647574261</v>
      </c>
      <c r="J6065">
        <v>0.55225793896301201</v>
      </c>
      <c r="K6065">
        <v>0.43489048256645102</v>
      </c>
      <c r="L6065">
        <v>1432.3300663586299</v>
      </c>
      <c r="M6065">
        <v>34.2517661528247</v>
      </c>
      <c r="N6065">
        <v>45.235511455296802</v>
      </c>
      <c r="O6065">
        <v>41.6759255684061</v>
      </c>
      <c r="P6065">
        <v>-0.11045581412512</v>
      </c>
      <c r="Q6065">
        <v>0.46241246455504598</v>
      </c>
      <c r="R6065">
        <v>0.90502075789443903</v>
      </c>
      <c r="S6065" t="s">
        <v>12633</v>
      </c>
      <c r="T6065" t="s">
        <v>13134</v>
      </c>
      <c r="U6065" t="s">
        <v>13134</v>
      </c>
      <c r="V6065" t="s">
        <v>13134</v>
      </c>
      <c r="W6065" t="s">
        <v>19131</v>
      </c>
      <c r="X6065">
        <v>2</v>
      </c>
      <c r="Y6065" t="s">
        <v>25490</v>
      </c>
      <c r="Z6065" t="s">
        <v>32033</v>
      </c>
      <c r="AA6065">
        <v>0.55105772194867941</v>
      </c>
      <c r="AB6065" t="str">
        <f>HYPERLINK("Melting_Curves/meltCurve_Q9P1U0_ZNRD1.pdf", "Melting_Curves/meltCurve_Q9P1U0_ZNRD1.pdf")</f>
        <v>Melting_Curves/meltCurve_Q9P1U0_ZNRD1.pdf</v>
      </c>
    </row>
    <row r="6066" spans="1:28" x14ac:dyDescent="0.25">
      <c r="A6066" t="s">
        <v>6070</v>
      </c>
      <c r="B6066">
        <v>0.99472303558308395</v>
      </c>
      <c r="C6066">
        <v>1.0370004988394199</v>
      </c>
      <c r="D6066">
        <v>0.778810960563173</v>
      </c>
      <c r="E6066">
        <v>0.81055796892965304</v>
      </c>
      <c r="F6066">
        <v>0.70138914349133197</v>
      </c>
      <c r="G6066">
        <v>0.419965428507726</v>
      </c>
      <c r="H6066">
        <v>0.25986927608539501</v>
      </c>
      <c r="I6066">
        <v>0.20321080798802499</v>
      </c>
      <c r="J6066">
        <v>0.24536744721134299</v>
      </c>
      <c r="K6066">
        <v>0.13652692830268401</v>
      </c>
      <c r="L6066">
        <v>577.82681819131301</v>
      </c>
      <c r="M6066">
        <v>11.1660859136153</v>
      </c>
      <c r="N6066">
        <v>52.609327521238001</v>
      </c>
      <c r="O6066">
        <v>50.171836638408799</v>
      </c>
      <c r="P6066">
        <v>-5.1009310140394802E-2</v>
      </c>
      <c r="Q6066">
        <v>8.3504804913110894E-2</v>
      </c>
      <c r="R6066">
        <v>0.96362672899638602</v>
      </c>
      <c r="S6066" t="s">
        <v>12634</v>
      </c>
      <c r="T6066" t="s">
        <v>13134</v>
      </c>
      <c r="U6066" t="s">
        <v>13134</v>
      </c>
      <c r="V6066" t="s">
        <v>13134</v>
      </c>
      <c r="W6066" t="s">
        <v>19132</v>
      </c>
      <c r="X6066">
        <v>4</v>
      </c>
      <c r="Y6066" t="s">
        <v>25491</v>
      </c>
      <c r="Z6066" t="s">
        <v>32034</v>
      </c>
      <c r="AA6066">
        <v>0.55769013722484262</v>
      </c>
      <c r="AB6066" t="str">
        <f>HYPERLINK("Melting_Curves/meltCurve_Q9P1U1_ACTR3B.pdf", "Melting_Curves/meltCurve_Q9P1U1_ACTR3B.pdf")</f>
        <v>Melting_Curves/meltCurve_Q9P1U1_ACTR3B.pdf</v>
      </c>
    </row>
    <row r="6067" spans="1:28" x14ac:dyDescent="0.25">
      <c r="A6067" t="s">
        <v>6071</v>
      </c>
      <c r="B6067">
        <v>0.99472303558308395</v>
      </c>
      <c r="C6067">
        <v>1.05914733506031</v>
      </c>
      <c r="D6067">
        <v>0.934569245209387</v>
      </c>
      <c r="E6067">
        <v>0.62363456391566496</v>
      </c>
      <c r="F6067">
        <v>0.43511228336219898</v>
      </c>
      <c r="G6067">
        <v>0.19822927340549101</v>
      </c>
      <c r="H6067">
        <v>0.123068097458145</v>
      </c>
      <c r="I6067">
        <v>6.1103258749752497E-2</v>
      </c>
      <c r="J6067">
        <v>4.7531617850995002E-2</v>
      </c>
      <c r="K6067">
        <v>6.0060316138909997E-2</v>
      </c>
      <c r="L6067">
        <v>812.40379308611296</v>
      </c>
      <c r="M6067">
        <v>16.717504361818101</v>
      </c>
      <c r="N6067">
        <v>48.859536261089403</v>
      </c>
      <c r="O6067">
        <v>47.916612698635497</v>
      </c>
      <c r="P6067">
        <v>-8.3467020168380895E-2</v>
      </c>
      <c r="Q6067">
        <v>4.3112462727475397E-2</v>
      </c>
      <c r="R6067">
        <v>0.99115461698678997</v>
      </c>
      <c r="S6067" t="s">
        <v>12635</v>
      </c>
      <c r="T6067" t="s">
        <v>13134</v>
      </c>
      <c r="U6067" t="s">
        <v>13134</v>
      </c>
      <c r="V6067" t="s">
        <v>13134</v>
      </c>
      <c r="W6067" t="s">
        <v>19133</v>
      </c>
      <c r="X6067">
        <v>2</v>
      </c>
      <c r="Y6067" t="s">
        <v>25492</v>
      </c>
      <c r="Z6067" t="s">
        <v>32035</v>
      </c>
      <c r="AA6067">
        <v>0.43033468223587379</v>
      </c>
      <c r="AB6067" t="str">
        <f>HYPERLINK("Melting_Curves/meltCurve_Q9P1W9_PIM2.pdf", "Melting_Curves/meltCurve_Q9P1W9_PIM2.pdf")</f>
        <v>Melting_Curves/meltCurve_Q9P1W9_PIM2.pdf</v>
      </c>
    </row>
    <row r="6068" spans="1:28" x14ac:dyDescent="0.25">
      <c r="A6068" t="s">
        <v>6072</v>
      </c>
      <c r="B6068">
        <v>0.99472303558308395</v>
      </c>
      <c r="C6068">
        <v>0.91455573979507099</v>
      </c>
      <c r="D6068">
        <v>0.918800614087663</v>
      </c>
      <c r="E6068">
        <v>0.69842462424742602</v>
      </c>
      <c r="F6068">
        <v>0.223959134360498</v>
      </c>
      <c r="G6068">
        <v>8.0701681663396502E-2</v>
      </c>
      <c r="H6068">
        <v>4.7263928690941703E-2</v>
      </c>
      <c r="I6068">
        <v>2.3635547866269299E-2</v>
      </c>
      <c r="J6068">
        <v>3.8066023962695601E-2</v>
      </c>
      <c r="K6068">
        <v>4.2294075533411801E-2</v>
      </c>
      <c r="L6068">
        <v>1283.58430942267</v>
      </c>
      <c r="M6068">
        <v>26.856256458196999</v>
      </c>
      <c r="N6068">
        <v>47.914210016309703</v>
      </c>
      <c r="O6068">
        <v>47.531972549176402</v>
      </c>
      <c r="P6068">
        <v>-0.13667578006124501</v>
      </c>
      <c r="Q6068">
        <v>3.2418587292190597E-2</v>
      </c>
      <c r="R6068">
        <v>0.994594400987865</v>
      </c>
      <c r="S6068" t="s">
        <v>12636</v>
      </c>
      <c r="T6068" t="s">
        <v>13134</v>
      </c>
      <c r="U6068" t="s">
        <v>13134</v>
      </c>
      <c r="V6068" t="s">
        <v>13134</v>
      </c>
      <c r="W6068" t="s">
        <v>19134</v>
      </c>
      <c r="X6068">
        <v>5</v>
      </c>
      <c r="Y6068" t="s">
        <v>25493</v>
      </c>
      <c r="Z6068" t="s">
        <v>32036</v>
      </c>
      <c r="AA6068">
        <v>0.3877016809850341</v>
      </c>
      <c r="AB6068" t="str">
        <f>HYPERLINK("Melting_Curves/meltCurve_Q9P1Z2_2_CALCOCO1.pdf", "Melting_Curves/meltCurve_Q9P1Z2_2_CALCOCO1.pdf")</f>
        <v>Melting_Curves/meltCurve_Q9P1Z2_2_CALCOCO1.pdf</v>
      </c>
    </row>
    <row r="6069" spans="1:28" x14ac:dyDescent="0.25">
      <c r="A6069" t="s">
        <v>6073</v>
      </c>
      <c r="B6069">
        <v>0.99472303558308395</v>
      </c>
      <c r="C6069">
        <v>0.922379301772567</v>
      </c>
      <c r="D6069">
        <v>0.83393672310184097</v>
      </c>
      <c r="E6069">
        <v>0.63361078624135803</v>
      </c>
      <c r="F6069">
        <v>0.54900104796208604</v>
      </c>
      <c r="G6069">
        <v>0.27817369210521598</v>
      </c>
      <c r="H6069">
        <v>0.205262278755003</v>
      </c>
      <c r="I6069">
        <v>0.15606451266917701</v>
      </c>
      <c r="J6069">
        <v>0.17922573266034</v>
      </c>
      <c r="K6069">
        <v>0.18527624463214001</v>
      </c>
      <c r="L6069">
        <v>585.81547575647596</v>
      </c>
      <c r="M6069">
        <v>12.1011324292959</v>
      </c>
      <c r="N6069">
        <v>49.5302642355297</v>
      </c>
      <c r="O6069">
        <v>47.1448429654967</v>
      </c>
      <c r="P6069">
        <v>-5.6500574593606898E-2</v>
      </c>
      <c r="Q6069">
        <v>0.11972229443223099</v>
      </c>
      <c r="R6069">
        <v>0.98674756135415698</v>
      </c>
      <c r="S6069" t="s">
        <v>12637</v>
      </c>
      <c r="T6069" t="s">
        <v>13134</v>
      </c>
      <c r="U6069" t="s">
        <v>13134</v>
      </c>
      <c r="V6069" t="s">
        <v>13134</v>
      </c>
      <c r="W6069" t="s">
        <v>19135</v>
      </c>
      <c r="X6069">
        <v>9</v>
      </c>
      <c r="Y6069" t="s">
        <v>25494</v>
      </c>
      <c r="Z6069" t="s">
        <v>32037</v>
      </c>
      <c r="AA6069">
        <v>0.48119779992682887</v>
      </c>
      <c r="AB6069" t="str">
        <f>HYPERLINK("Melting_Curves/meltCurve_Q9P206_2_KIAA1522.pdf", "Melting_Curves/meltCurve_Q9P206_2_KIAA1522.pdf")</f>
        <v>Melting_Curves/meltCurve_Q9P206_2_KIAA1522.pdf</v>
      </c>
    </row>
    <row r="6070" spans="1:28" x14ac:dyDescent="0.25">
      <c r="A6070" t="s">
        <v>6074</v>
      </c>
      <c r="B6070">
        <v>0.99472303558308395</v>
      </c>
      <c r="C6070">
        <v>0.858623673446962</v>
      </c>
      <c r="D6070">
        <v>0.728175330385188</v>
      </c>
      <c r="E6070">
        <v>0.56030070855869996</v>
      </c>
      <c r="F6070">
        <v>0.55672849699239102</v>
      </c>
      <c r="G6070">
        <v>0.28468036043764</v>
      </c>
      <c r="H6070">
        <v>0.177050312509721</v>
      </c>
      <c r="I6070">
        <v>8.0703675329760499E-2</v>
      </c>
      <c r="J6070">
        <v>7.3965936331880394E-2</v>
      </c>
      <c r="K6070">
        <v>8.4095965977253606E-2</v>
      </c>
      <c r="L6070">
        <v>449.28400260829699</v>
      </c>
      <c r="M6070">
        <v>9.2283118940531104</v>
      </c>
      <c r="N6070">
        <v>48.685379791805303</v>
      </c>
      <c r="O6070">
        <v>46.562951679291402</v>
      </c>
      <c r="P6070">
        <v>-4.9580227709580198E-2</v>
      </c>
      <c r="Q6070">
        <v>0</v>
      </c>
      <c r="R6070">
        <v>0.97554569416126302</v>
      </c>
      <c r="S6070" t="s">
        <v>12638</v>
      </c>
      <c r="T6070" t="s">
        <v>13134</v>
      </c>
      <c r="U6070" t="s">
        <v>13134</v>
      </c>
      <c r="V6070" t="s">
        <v>13134</v>
      </c>
      <c r="W6070" t="s">
        <v>19136</v>
      </c>
      <c r="X6070">
        <v>1</v>
      </c>
      <c r="Y6070" t="s">
        <v>25495</v>
      </c>
      <c r="Z6070" t="s">
        <v>32038</v>
      </c>
      <c r="AA6070">
        <v>0.43120804952306713</v>
      </c>
      <c r="AB6070" t="str">
        <f>HYPERLINK("Melting_Curves/meltCurve_Q9P209_CEP72.pdf", "Melting_Curves/meltCurve_Q9P209_CEP72.pdf")</f>
        <v>Melting_Curves/meltCurve_Q9P209_CEP72.pdf</v>
      </c>
    </row>
    <row r="6071" spans="1:28" x14ac:dyDescent="0.25">
      <c r="A6071" t="s">
        <v>6075</v>
      </c>
      <c r="B6071">
        <v>0.99472303558308395</v>
      </c>
      <c r="C6071">
        <v>1.1101644760160501</v>
      </c>
      <c r="D6071">
        <v>0.76394074783202703</v>
      </c>
      <c r="E6071">
        <v>0.42202023810492401</v>
      </c>
      <c r="F6071">
        <v>0.22007666501898199</v>
      </c>
      <c r="G6071">
        <v>9.8398167890375296E-2</v>
      </c>
      <c r="H6071">
        <v>6.0653750469617497E-2</v>
      </c>
      <c r="I6071">
        <v>4.6157411118088999E-2</v>
      </c>
      <c r="J6071">
        <v>6.9209577744107895E-2</v>
      </c>
      <c r="K6071">
        <v>4.0503375184993098E-2</v>
      </c>
      <c r="L6071">
        <v>992.699230673236</v>
      </c>
      <c r="M6071">
        <v>21.707236500755201</v>
      </c>
      <c r="N6071">
        <v>45.990931067825102</v>
      </c>
      <c r="O6071">
        <v>45.348478531369899</v>
      </c>
      <c r="P6071">
        <v>-0.112769865482041</v>
      </c>
      <c r="Q6071">
        <v>5.7674843831289402E-2</v>
      </c>
      <c r="R6071">
        <v>0.98309852087412297</v>
      </c>
      <c r="S6071" t="s">
        <v>12639</v>
      </c>
      <c r="T6071" t="s">
        <v>13134</v>
      </c>
      <c r="U6071" t="s">
        <v>13134</v>
      </c>
      <c r="V6071" t="s">
        <v>13134</v>
      </c>
      <c r="W6071" t="s">
        <v>19137</v>
      </c>
      <c r="X6071">
        <v>1</v>
      </c>
      <c r="Y6071" t="s">
        <v>25496</v>
      </c>
      <c r="Z6071" t="s">
        <v>32039</v>
      </c>
      <c r="AA6071">
        <v>0.34234720864817703</v>
      </c>
      <c r="AB6071" t="str">
        <f>HYPERLINK("Melting_Curves/meltCurve_Q9P215_POGK.pdf", "Melting_Curves/meltCurve_Q9P215_POGK.pdf")</f>
        <v>Melting_Curves/meltCurve_Q9P215_POGK.pdf</v>
      </c>
    </row>
    <row r="6072" spans="1:28" x14ac:dyDescent="0.25">
      <c r="A6072" t="s">
        <v>6076</v>
      </c>
      <c r="B6072">
        <v>0.99472303558308395</v>
      </c>
      <c r="C6072">
        <v>0.93385418401630305</v>
      </c>
      <c r="D6072">
        <v>0.75764457884400205</v>
      </c>
      <c r="E6072">
        <v>0.49869914964576101</v>
      </c>
      <c r="F6072">
        <v>0.21198086891253601</v>
      </c>
      <c r="G6072">
        <v>0.123683904539061</v>
      </c>
      <c r="H6072">
        <v>7.61367633569867E-2</v>
      </c>
      <c r="I6072">
        <v>5.7619360203688803E-2</v>
      </c>
      <c r="J6072">
        <v>6.6033067010796906E-2</v>
      </c>
      <c r="K6072">
        <v>5.3763206897615302E-2</v>
      </c>
      <c r="L6072">
        <v>778.55064195205205</v>
      </c>
      <c r="M6072">
        <v>16.923486532048798</v>
      </c>
      <c r="N6072">
        <v>46.274778635396899</v>
      </c>
      <c r="O6072">
        <v>45.376226384776501</v>
      </c>
      <c r="P6072">
        <v>-8.8852326021550895E-2</v>
      </c>
      <c r="Q6072">
        <v>4.7116371795881198E-2</v>
      </c>
      <c r="R6072">
        <v>0.99867937068474399</v>
      </c>
      <c r="S6072" t="s">
        <v>12640</v>
      </c>
      <c r="T6072" t="s">
        <v>13134</v>
      </c>
      <c r="U6072" t="s">
        <v>13134</v>
      </c>
      <c r="V6072" t="s">
        <v>13134</v>
      </c>
      <c r="W6072" t="s">
        <v>19138</v>
      </c>
      <c r="X6072">
        <v>17</v>
      </c>
      <c r="Y6072" t="s">
        <v>25497</v>
      </c>
      <c r="Z6072" t="s">
        <v>32040</v>
      </c>
      <c r="AA6072">
        <v>0.35051550366542139</v>
      </c>
      <c r="AB6072" t="str">
        <f>HYPERLINK("Melting_Curves/meltCurve_Q9P253_VPS18.pdf", "Melting_Curves/meltCurve_Q9P253_VPS18.pdf")</f>
        <v>Melting_Curves/meltCurve_Q9P253_VPS18.pdf</v>
      </c>
    </row>
    <row r="6073" spans="1:28" x14ac:dyDescent="0.25">
      <c r="A6073" t="s">
        <v>6077</v>
      </c>
      <c r="B6073">
        <v>0.99472303558308395</v>
      </c>
      <c r="C6073">
        <v>0.98812034160306095</v>
      </c>
      <c r="D6073">
        <v>0.99668943085662798</v>
      </c>
      <c r="E6073">
        <v>0.90199651967905903</v>
      </c>
      <c r="F6073">
        <v>0.64055069859134794</v>
      </c>
      <c r="G6073">
        <v>0.20098407801778101</v>
      </c>
      <c r="H6073">
        <v>7.8388675180019199E-2</v>
      </c>
      <c r="I6073">
        <v>4.78578320538409E-2</v>
      </c>
      <c r="J6073">
        <v>4.8566258755667099E-2</v>
      </c>
      <c r="K6073">
        <v>4.55173047480458E-2</v>
      </c>
      <c r="L6073">
        <v>1436.89408358536</v>
      </c>
      <c r="M6073">
        <v>28.194254746607001</v>
      </c>
      <c r="N6073">
        <v>51.115372936602597</v>
      </c>
      <c r="O6073">
        <v>50.709753985830297</v>
      </c>
      <c r="P6073">
        <v>-0.13343476031283499</v>
      </c>
      <c r="Q6073">
        <v>4.00331549555175E-2</v>
      </c>
      <c r="R6073">
        <v>0.99888266931375902</v>
      </c>
      <c r="S6073" t="s">
        <v>12641</v>
      </c>
      <c r="T6073" t="s">
        <v>13134</v>
      </c>
      <c r="U6073" t="s">
        <v>13134</v>
      </c>
      <c r="V6073" t="s">
        <v>13134</v>
      </c>
      <c r="W6073" t="s">
        <v>19139</v>
      </c>
      <c r="X6073">
        <v>31</v>
      </c>
      <c r="Y6073" t="s">
        <v>25498</v>
      </c>
      <c r="Z6073" t="s">
        <v>32041</v>
      </c>
      <c r="AA6073">
        <v>0.4936102938873404</v>
      </c>
      <c r="AB6073" t="str">
        <f>HYPERLINK("Melting_Curves/meltCurve_Q9P258_RCC2.pdf", "Melting_Curves/meltCurve_Q9P258_RCC2.pdf")</f>
        <v>Melting_Curves/meltCurve_Q9P258_RCC2.pdf</v>
      </c>
    </row>
    <row r="6074" spans="1:28" x14ac:dyDescent="0.25">
      <c r="A6074" t="s">
        <v>6078</v>
      </c>
      <c r="B6074">
        <v>0.99472303558308395</v>
      </c>
      <c r="C6074">
        <v>0.89354489680127602</v>
      </c>
      <c r="D6074">
        <v>0.87145501577294804</v>
      </c>
      <c r="E6074">
        <v>0.60691548053255695</v>
      </c>
      <c r="F6074">
        <v>0.46992016499078598</v>
      </c>
      <c r="G6074">
        <v>0.174489413746413</v>
      </c>
      <c r="H6074">
        <v>0.105579736178674</v>
      </c>
      <c r="I6074">
        <v>7.2534050131315406E-2</v>
      </c>
      <c r="J6074">
        <v>0.10358963223784499</v>
      </c>
      <c r="K6074">
        <v>7.0139554593011799E-2</v>
      </c>
      <c r="L6074">
        <v>660.50610204351597</v>
      </c>
      <c r="M6074">
        <v>13.671296526480999</v>
      </c>
      <c r="N6074">
        <v>48.575016455762999</v>
      </c>
      <c r="O6074">
        <v>47.314829715570703</v>
      </c>
      <c r="P6074">
        <v>-6.9681594004580294E-2</v>
      </c>
      <c r="Q6074">
        <v>3.5499658791297697E-2</v>
      </c>
      <c r="R6074">
        <v>0.98822539492253503</v>
      </c>
      <c r="S6074" t="s">
        <v>12642</v>
      </c>
      <c r="T6074" t="s">
        <v>13134</v>
      </c>
      <c r="U6074" t="s">
        <v>13134</v>
      </c>
      <c r="V6074" t="s">
        <v>13134</v>
      </c>
      <c r="W6074" t="s">
        <v>19140</v>
      </c>
      <c r="X6074">
        <v>3</v>
      </c>
      <c r="Y6074" t="s">
        <v>25499</v>
      </c>
      <c r="Z6074" t="s">
        <v>32042</v>
      </c>
      <c r="AA6074">
        <v>0.4237000476596241</v>
      </c>
      <c r="AB6074" t="str">
        <f>HYPERLINK("Melting_Curves/meltCurve_Q9P260_KIAA1468.pdf", "Melting_Curves/meltCurve_Q9P260_KIAA1468.pdf")</f>
        <v>Melting_Curves/meltCurve_Q9P260_KIAA1468.pdf</v>
      </c>
    </row>
    <row r="6075" spans="1:28" x14ac:dyDescent="0.25">
      <c r="A6075" t="s">
        <v>6079</v>
      </c>
      <c r="B6075">
        <v>0.99472303558308395</v>
      </c>
      <c r="C6075">
        <v>0.97569001031139002</v>
      </c>
      <c r="D6075">
        <v>0.898848367672058</v>
      </c>
      <c r="E6075">
        <v>0.82348212696210599</v>
      </c>
      <c r="F6075">
        <v>0.76541857980614503</v>
      </c>
      <c r="G6075">
        <v>0.45060872624482301</v>
      </c>
      <c r="H6075">
        <v>0.12896624343723001</v>
      </c>
      <c r="I6075">
        <v>7.9795386582521097E-2</v>
      </c>
      <c r="J6075">
        <v>8.8818397798207799E-2</v>
      </c>
      <c r="K6075">
        <v>6.7799681630696496E-2</v>
      </c>
      <c r="L6075">
        <v>916.66225549217302</v>
      </c>
      <c r="M6075">
        <v>17.413985841416899</v>
      </c>
      <c r="N6075">
        <v>52.751993142367397</v>
      </c>
      <c r="O6075">
        <v>51.959972202964799</v>
      </c>
      <c r="P6075">
        <v>-8.2262097370169193E-2</v>
      </c>
      <c r="Q6075">
        <v>1.8238313526421499E-2</v>
      </c>
      <c r="R6075">
        <v>0.98187830387522501</v>
      </c>
      <c r="S6075" t="s">
        <v>12643</v>
      </c>
      <c r="T6075" t="s">
        <v>13134</v>
      </c>
      <c r="U6075" t="s">
        <v>13134</v>
      </c>
      <c r="V6075" t="s">
        <v>13134</v>
      </c>
      <c r="W6075" t="s">
        <v>19141</v>
      </c>
      <c r="X6075">
        <v>42</v>
      </c>
      <c r="Y6075" t="s">
        <v>25500</v>
      </c>
      <c r="Z6075" t="s">
        <v>32043</v>
      </c>
      <c r="AA6075">
        <v>0.54519353069124965</v>
      </c>
      <c r="AB6075" t="str">
        <f>HYPERLINK("Melting_Curves/meltCurve_Q9P265_DIP2B.pdf", "Melting_Curves/meltCurve_Q9P265_DIP2B.pdf")</f>
        <v>Melting_Curves/meltCurve_Q9P265_DIP2B.pdf</v>
      </c>
    </row>
    <row r="6076" spans="1:28" x14ac:dyDescent="0.25">
      <c r="A6076" t="s">
        <v>6080</v>
      </c>
      <c r="B6076">
        <v>0.99472303558308395</v>
      </c>
      <c r="C6076">
        <v>0.957377193095581</v>
      </c>
      <c r="D6076">
        <v>0.82243689451562096</v>
      </c>
      <c r="E6076">
        <v>0.63263537984912199</v>
      </c>
      <c r="F6076">
        <v>0.426556658278261</v>
      </c>
      <c r="G6076">
        <v>0.50211737343651297</v>
      </c>
      <c r="H6076">
        <v>0.37567405230198903</v>
      </c>
      <c r="I6076">
        <v>0.34452034139641002</v>
      </c>
      <c r="J6076">
        <v>0.468316032268914</v>
      </c>
      <c r="K6076">
        <v>0.37088320621388099</v>
      </c>
      <c r="L6076">
        <v>846.76956900381595</v>
      </c>
      <c r="M6076">
        <v>18.7429201765346</v>
      </c>
      <c r="N6076">
        <v>49.297450775614699</v>
      </c>
      <c r="O6076">
        <v>44.673250157208699</v>
      </c>
      <c r="P6076">
        <v>-6.3399738175464501E-2</v>
      </c>
      <c r="Q6076">
        <v>0.39557920688926101</v>
      </c>
      <c r="R6076">
        <v>0.96653155977597105</v>
      </c>
      <c r="S6076" t="s">
        <v>12644</v>
      </c>
      <c r="T6076" t="s">
        <v>13134</v>
      </c>
      <c r="U6076" t="s">
        <v>13134</v>
      </c>
      <c r="V6076" t="s">
        <v>13134</v>
      </c>
      <c r="W6076" t="s">
        <v>19142</v>
      </c>
      <c r="X6076">
        <v>19</v>
      </c>
      <c r="Y6076" t="s">
        <v>25501</v>
      </c>
      <c r="Z6076" t="s">
        <v>32044</v>
      </c>
      <c r="AA6076">
        <v>0.56942556267164368</v>
      </c>
      <c r="AB6076" t="str">
        <f>HYPERLINK("Melting_Curves/meltCurve_Q9P270_SLAIN2.pdf", "Melting_Curves/meltCurve_Q9P270_SLAIN2.pdf")</f>
        <v>Melting_Curves/meltCurve_Q9P270_SLAIN2.pdf</v>
      </c>
    </row>
    <row r="6077" spans="1:28" x14ac:dyDescent="0.25">
      <c r="A6077" t="s">
        <v>6081</v>
      </c>
      <c r="B6077">
        <v>0.99472303558308395</v>
      </c>
      <c r="C6077">
        <v>1.0416366633716301</v>
      </c>
      <c r="D6077">
        <v>0.96396764043479</v>
      </c>
      <c r="E6077">
        <v>0.895769780452777</v>
      </c>
      <c r="F6077">
        <v>0.71059547148654101</v>
      </c>
      <c r="G6077">
        <v>0.36011959040715802</v>
      </c>
      <c r="H6077">
        <v>0.13132113077529001</v>
      </c>
      <c r="I6077">
        <v>6.7127574662746506E-2</v>
      </c>
      <c r="J6077">
        <v>7.6384632052828499E-2</v>
      </c>
      <c r="K6077">
        <v>6.6758861493900798E-2</v>
      </c>
      <c r="L6077">
        <v>1128.1960085856799</v>
      </c>
      <c r="M6077">
        <v>21.717714694446499</v>
      </c>
      <c r="N6077">
        <v>52.181485345395998</v>
      </c>
      <c r="O6077">
        <v>51.513770463155197</v>
      </c>
      <c r="P6077">
        <v>-0.100523728379046</v>
      </c>
      <c r="Q6077">
        <v>4.6265439901600897E-2</v>
      </c>
      <c r="R6077">
        <v>0.99700384815925203</v>
      </c>
      <c r="S6077" t="s">
        <v>12645</v>
      </c>
      <c r="T6077" t="s">
        <v>13134</v>
      </c>
      <c r="U6077" t="s">
        <v>13134</v>
      </c>
      <c r="V6077" t="s">
        <v>13134</v>
      </c>
      <c r="W6077" t="s">
        <v>19143</v>
      </c>
      <c r="X6077">
        <v>11</v>
      </c>
      <c r="Y6077" t="s">
        <v>25502</v>
      </c>
      <c r="Z6077" t="s">
        <v>32045</v>
      </c>
      <c r="AA6077">
        <v>0.53227390523549023</v>
      </c>
      <c r="AB6077" t="str">
        <f>HYPERLINK("Melting_Curves/meltCurve_Q9P287_BCCIP.pdf", "Melting_Curves/meltCurve_Q9P287_BCCIP.pdf")</f>
        <v>Melting_Curves/meltCurve_Q9P287_BCCIP.pdf</v>
      </c>
    </row>
    <row r="6078" spans="1:28" x14ac:dyDescent="0.25">
      <c r="A6078" t="s">
        <v>6082</v>
      </c>
      <c r="B6078">
        <v>0.99472303558308395</v>
      </c>
      <c r="C6078">
        <v>1.1691490494588299</v>
      </c>
      <c r="D6078">
        <v>1.1144915137076901</v>
      </c>
      <c r="E6078">
        <v>1.16282650397458</v>
      </c>
      <c r="F6078">
        <v>0.92615079184986504</v>
      </c>
      <c r="G6078">
        <v>0.40817047545716301</v>
      </c>
      <c r="H6078">
        <v>0.18182444368897499</v>
      </c>
      <c r="I6078">
        <v>0.106296954783867</v>
      </c>
      <c r="J6078">
        <v>0.110338755521591</v>
      </c>
      <c r="K6078">
        <v>0.139230224945878</v>
      </c>
      <c r="L6078">
        <v>2357.9873418677898</v>
      </c>
      <c r="M6078">
        <v>44.547204679733703</v>
      </c>
      <c r="N6078">
        <v>53.280228478349798</v>
      </c>
      <c r="O6078">
        <v>52.825979044376901</v>
      </c>
      <c r="P6078">
        <v>-0.184216036567141</v>
      </c>
      <c r="Q6078">
        <v>0.126195950457136</v>
      </c>
      <c r="R6078">
        <v>0.96574466225273703</v>
      </c>
      <c r="S6078" t="s">
        <v>12646</v>
      </c>
      <c r="T6078" t="s">
        <v>13134</v>
      </c>
      <c r="U6078" t="s">
        <v>13134</v>
      </c>
      <c r="V6078" t="s">
        <v>13134</v>
      </c>
      <c r="W6078" t="s">
        <v>19144</v>
      </c>
      <c r="X6078">
        <v>8</v>
      </c>
      <c r="Y6078" t="s">
        <v>25502</v>
      </c>
      <c r="Z6078" t="s">
        <v>32046</v>
      </c>
      <c r="AA6078">
        <v>0.59282269236539298</v>
      </c>
      <c r="AB6078" t="str">
        <f>HYPERLINK("Melting_Curves/meltCurve_Q9P287_2_BCCIP.pdf", "Melting_Curves/meltCurve_Q9P287_2_BCCIP.pdf")</f>
        <v>Melting_Curves/meltCurve_Q9P287_2_BCCIP.pdf</v>
      </c>
    </row>
    <row r="6079" spans="1:28" x14ac:dyDescent="0.25">
      <c r="A6079" t="s">
        <v>6083</v>
      </c>
      <c r="B6079">
        <v>0.99472303558308395</v>
      </c>
      <c r="C6079">
        <v>0.99490574589738701</v>
      </c>
      <c r="D6079">
        <v>0.98318980631823705</v>
      </c>
      <c r="E6079">
        <v>0.81108567086600902</v>
      </c>
      <c r="F6079">
        <v>0.67849896220344896</v>
      </c>
      <c r="G6079">
        <v>0.482540093262527</v>
      </c>
      <c r="H6079">
        <v>0.30577741336196401</v>
      </c>
      <c r="I6079">
        <v>0.18181985153184299</v>
      </c>
      <c r="J6079">
        <v>0.18424753796539001</v>
      </c>
      <c r="K6079">
        <v>0.256006249410621</v>
      </c>
      <c r="L6079">
        <v>770.876108921541</v>
      </c>
      <c r="M6079">
        <v>14.9688102547761</v>
      </c>
      <c r="N6079">
        <v>52.924733347804299</v>
      </c>
      <c r="O6079">
        <v>50.605918303631697</v>
      </c>
      <c r="P6079">
        <v>-6.1683151780649002E-2</v>
      </c>
      <c r="Q6079">
        <v>0.16594182895239001</v>
      </c>
      <c r="R6079">
        <v>0.98887429485279599</v>
      </c>
      <c r="S6079" t="s">
        <v>12647</v>
      </c>
      <c r="T6079" t="s">
        <v>13134</v>
      </c>
      <c r="U6079" t="s">
        <v>13134</v>
      </c>
      <c r="V6079" t="s">
        <v>13134</v>
      </c>
      <c r="W6079" t="s">
        <v>19145</v>
      </c>
      <c r="X6079">
        <v>16</v>
      </c>
      <c r="Y6079" t="s">
        <v>25503</v>
      </c>
      <c r="Z6079" t="s">
        <v>32047</v>
      </c>
      <c r="AA6079">
        <v>0.58548270644599398</v>
      </c>
      <c r="AB6079" t="str">
        <f>HYPERLINK("Melting_Curves/meltCurve_Q9P2B2_PTGFRN.pdf", "Melting_Curves/meltCurve_Q9P2B2_PTGFRN.pdf")</f>
        <v>Melting_Curves/meltCurve_Q9P2B2_PTGFRN.pdf</v>
      </c>
    </row>
    <row r="6080" spans="1:28" x14ac:dyDescent="0.25">
      <c r="A6080" t="s">
        <v>6084</v>
      </c>
      <c r="B6080">
        <v>0.99472303558308395</v>
      </c>
      <c r="C6080">
        <v>0.68251095990190502</v>
      </c>
      <c r="D6080">
        <v>0.33600534501988699</v>
      </c>
      <c r="E6080">
        <v>0.22855069513090201</v>
      </c>
      <c r="F6080">
        <v>0.15872277200464499</v>
      </c>
      <c r="G6080">
        <v>7.1045274896243404E-2</v>
      </c>
      <c r="H6080">
        <v>8.1269745318722303E-2</v>
      </c>
      <c r="I6080">
        <v>6.9165608389874497E-2</v>
      </c>
      <c r="J6080">
        <v>8.0854544910019394E-2</v>
      </c>
      <c r="K6080">
        <v>8.6090537907634504E-2</v>
      </c>
      <c r="L6080">
        <v>871.81307886495199</v>
      </c>
      <c r="M6080">
        <v>21.1252460415547</v>
      </c>
      <c r="N6080">
        <v>41.669321749943599</v>
      </c>
      <c r="O6080">
        <v>40.9043292065248</v>
      </c>
      <c r="P6080">
        <v>-0.117253553140446</v>
      </c>
      <c r="Q6080">
        <v>9.1882659189680402E-2</v>
      </c>
      <c r="R6080">
        <v>0.98501483456554595</v>
      </c>
      <c r="S6080" t="s">
        <v>12648</v>
      </c>
      <c r="T6080" t="s">
        <v>13134</v>
      </c>
      <c r="U6080" t="s">
        <v>13134</v>
      </c>
      <c r="V6080" t="s">
        <v>13134</v>
      </c>
      <c r="W6080" t="s">
        <v>19146</v>
      </c>
      <c r="X6080">
        <v>9</v>
      </c>
      <c r="Y6080" t="s">
        <v>25504</v>
      </c>
      <c r="Z6080" t="s">
        <v>32048</v>
      </c>
      <c r="AA6080">
        <v>0.23423777837138951</v>
      </c>
      <c r="AB6080" t="str">
        <f>HYPERLINK("Melting_Curves/meltCurve_Q9P2D1_CHD7.pdf", "Melting_Curves/meltCurve_Q9P2D1_CHD7.pdf")</f>
        <v>Melting_Curves/meltCurve_Q9P2D1_CHD7.pdf</v>
      </c>
    </row>
    <row r="6081" spans="1:28" x14ac:dyDescent="0.25">
      <c r="A6081" t="s">
        <v>6085</v>
      </c>
      <c r="B6081">
        <v>0.99472303558308395</v>
      </c>
      <c r="C6081">
        <v>0.99736600782182605</v>
      </c>
      <c r="D6081">
        <v>0.71298536317319094</v>
      </c>
      <c r="E6081">
        <v>0.56097901533805095</v>
      </c>
      <c r="F6081">
        <v>0.30200340869836501</v>
      </c>
      <c r="G6081">
        <v>8.3986312441184097E-2</v>
      </c>
      <c r="H6081">
        <v>6.4685968241494293E-2</v>
      </c>
      <c r="I6081">
        <v>4.2086037952741302E-2</v>
      </c>
      <c r="J6081">
        <v>4.3548559945192897E-2</v>
      </c>
      <c r="K6081">
        <v>4.5473600291388097E-2</v>
      </c>
      <c r="L6081">
        <v>707.08298107804706</v>
      </c>
      <c r="M6081">
        <v>15.114565160283</v>
      </c>
      <c r="N6081">
        <v>46.883680537805901</v>
      </c>
      <c r="O6081">
        <v>45.985575204751399</v>
      </c>
      <c r="P6081">
        <v>-8.0847519821408101E-2</v>
      </c>
      <c r="Q6081">
        <v>1.6192557019535599E-2</v>
      </c>
      <c r="R6081">
        <v>0.98853025874068801</v>
      </c>
      <c r="S6081" t="s">
        <v>12649</v>
      </c>
      <c r="T6081" t="s">
        <v>13134</v>
      </c>
      <c r="U6081" t="s">
        <v>13134</v>
      </c>
      <c r="V6081" t="s">
        <v>13134</v>
      </c>
      <c r="W6081" t="s">
        <v>19147</v>
      </c>
      <c r="X6081">
        <v>10</v>
      </c>
      <c r="Y6081" t="s">
        <v>25505</v>
      </c>
      <c r="Z6081" t="s">
        <v>32049</v>
      </c>
      <c r="AA6081">
        <v>0.35891661526758911</v>
      </c>
      <c r="AB6081" t="str">
        <f>HYPERLINK("Melting_Curves/meltCurve_Q9P2D3_3_HEATR5B.pdf", "Melting_Curves/meltCurve_Q9P2D3_3_HEATR5B.pdf")</f>
        <v>Melting_Curves/meltCurve_Q9P2D3_3_HEATR5B.pdf</v>
      </c>
    </row>
    <row r="6082" spans="1:28" x14ac:dyDescent="0.25">
      <c r="A6082" t="s">
        <v>6086</v>
      </c>
      <c r="B6082">
        <v>0.99472303558308395</v>
      </c>
      <c r="C6082">
        <v>0.99587915417415296</v>
      </c>
      <c r="D6082">
        <v>0.66748394113568998</v>
      </c>
      <c r="E6082">
        <v>0.61254556930905102</v>
      </c>
      <c r="F6082">
        <v>0.87898586851773997</v>
      </c>
      <c r="G6082">
        <v>0.35158447770836299</v>
      </c>
      <c r="H6082">
        <v>0.35146435067430098</v>
      </c>
      <c r="I6082">
        <v>7.0481150898848502E-2</v>
      </c>
      <c r="J6082">
        <v>5.0204491395869098E-2</v>
      </c>
      <c r="K6082">
        <v>9.0767947479449995E-2</v>
      </c>
      <c r="L6082">
        <v>495.59578263091902</v>
      </c>
      <c r="M6082">
        <v>9.5727209801562303</v>
      </c>
      <c r="N6082">
        <v>51.771673186422099</v>
      </c>
      <c r="O6082">
        <v>49.663571460838597</v>
      </c>
      <c r="P6082">
        <v>-4.8215527314685203E-2</v>
      </c>
      <c r="Q6082">
        <v>0</v>
      </c>
      <c r="R6082">
        <v>0.85350286827697996</v>
      </c>
      <c r="S6082" t="s">
        <v>12650</v>
      </c>
      <c r="T6082" t="s">
        <v>13134</v>
      </c>
      <c r="U6082" t="s">
        <v>13134</v>
      </c>
      <c r="V6082" t="s">
        <v>13134</v>
      </c>
      <c r="W6082" t="s">
        <v>19148</v>
      </c>
      <c r="X6082">
        <v>1</v>
      </c>
      <c r="Y6082" t="s">
        <v>25506</v>
      </c>
      <c r="Z6082" t="s">
        <v>32050</v>
      </c>
      <c r="AA6082">
        <v>0.52058414473905379</v>
      </c>
      <c r="AB6082" t="str">
        <f>HYPERLINK("Melting_Curves/meltCurve_Q9P2D7_5_DNAH1.pdf", "Melting_Curves/meltCurve_Q9P2D7_5_DNAH1.pdf")</f>
        <v>Melting_Curves/meltCurve_Q9P2D7_5_DNAH1.pdf</v>
      </c>
    </row>
    <row r="6083" spans="1:28" x14ac:dyDescent="0.25">
      <c r="A6083" t="s">
        <v>6087</v>
      </c>
      <c r="B6083">
        <v>0.99472303558308395</v>
      </c>
      <c r="C6083">
        <v>0.873581782303129</v>
      </c>
      <c r="D6083">
        <v>0.62416855728667198</v>
      </c>
      <c r="E6083">
        <v>0.30908766942133797</v>
      </c>
      <c r="F6083">
        <v>9.8687758148908802E-2</v>
      </c>
      <c r="G6083">
        <v>4.2959269165994997E-2</v>
      </c>
      <c r="H6083">
        <v>1.6745928163784E-2</v>
      </c>
      <c r="I6083">
        <v>1.7013968359652399E-2</v>
      </c>
      <c r="J6083">
        <v>5.3596015017077303E-3</v>
      </c>
      <c r="K6083">
        <v>1.0565738243046E-2</v>
      </c>
      <c r="L6083">
        <v>794.85438142490398</v>
      </c>
      <c r="M6083">
        <v>17.947224382567999</v>
      </c>
      <c r="N6083">
        <v>44.307794183535897</v>
      </c>
      <c r="O6083">
        <v>43.749557006754202</v>
      </c>
      <c r="P6083">
        <v>-0.10216135894048101</v>
      </c>
      <c r="Q6083">
        <v>3.9036640640958101E-3</v>
      </c>
      <c r="R6083">
        <v>0.99919713540989497</v>
      </c>
      <c r="S6083" t="s">
        <v>12651</v>
      </c>
      <c r="T6083" t="s">
        <v>13134</v>
      </c>
      <c r="U6083" t="s">
        <v>13134</v>
      </c>
      <c r="V6083" t="s">
        <v>13134</v>
      </c>
      <c r="W6083" t="s">
        <v>19149</v>
      </c>
      <c r="X6083">
        <v>2</v>
      </c>
      <c r="Y6083" t="s">
        <v>25507</v>
      </c>
      <c r="Z6083" t="s">
        <v>32051</v>
      </c>
      <c r="AA6083">
        <v>0.26262360164569071</v>
      </c>
      <c r="AB6083" t="str">
        <f>HYPERLINK("Melting_Curves/meltCurve_Q9P2E3_ZNFX1.pdf", "Melting_Curves/meltCurve_Q9P2E3_ZNFX1.pdf")</f>
        <v>Melting_Curves/meltCurve_Q9P2E3_ZNFX1.pdf</v>
      </c>
    </row>
    <row r="6084" spans="1:28" x14ac:dyDescent="0.25">
      <c r="A6084" t="s">
        <v>6088</v>
      </c>
      <c r="B6084">
        <v>0.99472303558308395</v>
      </c>
      <c r="C6084">
        <v>0.97187126172882599</v>
      </c>
      <c r="D6084">
        <v>0.85036180603797196</v>
      </c>
      <c r="E6084">
        <v>0.70600913625913098</v>
      </c>
      <c r="F6084">
        <v>0.50313086836242205</v>
      </c>
      <c r="G6084">
        <v>0.32336773676473102</v>
      </c>
      <c r="H6084">
        <v>0.22989376789447999</v>
      </c>
      <c r="I6084">
        <v>0.170256621156297</v>
      </c>
      <c r="J6084">
        <v>0.200737864356478</v>
      </c>
      <c r="K6084">
        <v>0.181480751040072</v>
      </c>
      <c r="L6084">
        <v>664.25948663513498</v>
      </c>
      <c r="M6084">
        <v>13.6518831110627</v>
      </c>
      <c r="N6084">
        <v>49.943791847819099</v>
      </c>
      <c r="O6084">
        <v>47.648575848977003</v>
      </c>
      <c r="P6084">
        <v>-6.1016502344205803E-2</v>
      </c>
      <c r="Q6084">
        <v>0.14827128784849899</v>
      </c>
      <c r="R6084">
        <v>0.99707158861630196</v>
      </c>
      <c r="S6084" t="s">
        <v>12652</v>
      </c>
      <c r="T6084" t="s">
        <v>13134</v>
      </c>
      <c r="U6084" t="s">
        <v>13134</v>
      </c>
      <c r="V6084" t="s">
        <v>13134</v>
      </c>
      <c r="W6084" t="s">
        <v>19150</v>
      </c>
      <c r="X6084">
        <v>55</v>
      </c>
      <c r="Y6084" t="s">
        <v>25508</v>
      </c>
      <c r="Z6084" t="s">
        <v>32052</v>
      </c>
      <c r="AA6084">
        <v>0.50062997571365053</v>
      </c>
      <c r="AB6084" t="str">
        <f>HYPERLINK("Melting_Curves/meltCurve_Q9P2E9_RRBP1.pdf", "Melting_Curves/meltCurve_Q9P2E9_RRBP1.pdf")</f>
        <v>Melting_Curves/meltCurve_Q9P2E9_RRBP1.pdf</v>
      </c>
    </row>
    <row r="6085" spans="1:28" x14ac:dyDescent="0.25">
      <c r="A6085" t="s">
        <v>6089</v>
      </c>
      <c r="B6085">
        <v>0.99472303558308395</v>
      </c>
      <c r="C6085">
        <v>0.84828939035461204</v>
      </c>
      <c r="D6085">
        <v>0.766939602235988</v>
      </c>
      <c r="E6085">
        <v>0.43895025405125399</v>
      </c>
      <c r="F6085">
        <v>0.19720714330290001</v>
      </c>
      <c r="G6085">
        <v>9.2441827351587E-2</v>
      </c>
      <c r="H6085">
        <v>5.6361866432029499E-2</v>
      </c>
      <c r="I6085">
        <v>4.4449051174764498E-2</v>
      </c>
      <c r="J6085">
        <v>4.7033324125424797E-2</v>
      </c>
      <c r="K6085">
        <v>4.3377443238946697E-2</v>
      </c>
      <c r="L6085">
        <v>733.99574251523302</v>
      </c>
      <c r="M6085">
        <v>16.086664740705899</v>
      </c>
      <c r="N6085">
        <v>45.788255339217997</v>
      </c>
      <c r="O6085">
        <v>44.939966921445098</v>
      </c>
      <c r="P6085">
        <v>-8.7040714405482195E-2</v>
      </c>
      <c r="Q6085">
        <v>2.74413016107641E-2</v>
      </c>
      <c r="R6085">
        <v>0.99540467647737596</v>
      </c>
      <c r="S6085" t="s">
        <v>12653</v>
      </c>
      <c r="T6085" t="s">
        <v>13134</v>
      </c>
      <c r="U6085" t="s">
        <v>13134</v>
      </c>
      <c r="V6085" t="s">
        <v>13134</v>
      </c>
      <c r="W6085" t="s">
        <v>19151</v>
      </c>
      <c r="X6085">
        <v>15</v>
      </c>
      <c r="Y6085" t="s">
        <v>25509</v>
      </c>
      <c r="Z6085" t="s">
        <v>32053</v>
      </c>
      <c r="AA6085">
        <v>0.32690433756865589</v>
      </c>
      <c r="AB6085" t="str">
        <f>HYPERLINK("Melting_Curves/meltCurve_Q9P2I0_CPSF2.pdf", "Melting_Curves/meltCurve_Q9P2I0_CPSF2.pdf")</f>
        <v>Melting_Curves/meltCurve_Q9P2I0_CPSF2.pdf</v>
      </c>
    </row>
    <row r="6086" spans="1:28" x14ac:dyDescent="0.25">
      <c r="A6086" t="s">
        <v>6090</v>
      </c>
      <c r="B6086">
        <v>0.99472303558308395</v>
      </c>
      <c r="C6086">
        <v>1.0012121685791999</v>
      </c>
      <c r="D6086">
        <v>0.68874807968738105</v>
      </c>
      <c r="E6086">
        <v>0.57513234279463799</v>
      </c>
      <c r="F6086">
        <v>0.494306899196085</v>
      </c>
      <c r="G6086">
        <v>0.219687158428092</v>
      </c>
      <c r="H6086">
        <v>0.199101946108726</v>
      </c>
      <c r="I6086">
        <v>7.6675570069231702E-2</v>
      </c>
      <c r="J6086">
        <v>0.16877807115181401</v>
      </c>
      <c r="K6086">
        <v>0.17623351958582101</v>
      </c>
      <c r="L6086">
        <v>570.75825462803698</v>
      </c>
      <c r="M6086">
        <v>12.103644848806599</v>
      </c>
      <c r="N6086">
        <v>48.1051347400523</v>
      </c>
      <c r="O6086">
        <v>45.924033509847099</v>
      </c>
      <c r="P6086">
        <v>-5.8903933932848797E-2</v>
      </c>
      <c r="Q6086">
        <v>0.10622769260832</v>
      </c>
      <c r="R6086">
        <v>0.96233149223217596</v>
      </c>
      <c r="S6086" t="s">
        <v>12654</v>
      </c>
      <c r="T6086" t="s">
        <v>13134</v>
      </c>
      <c r="U6086" t="s">
        <v>13134</v>
      </c>
      <c r="V6086" t="s">
        <v>13134</v>
      </c>
      <c r="W6086" t="s">
        <v>19152</v>
      </c>
      <c r="X6086">
        <v>2</v>
      </c>
      <c r="Y6086" t="s">
        <v>25510</v>
      </c>
      <c r="Z6086" t="s">
        <v>32054</v>
      </c>
      <c r="AA6086">
        <v>0.43755467962120997</v>
      </c>
      <c r="AB6086" t="str">
        <f>HYPERLINK("Melting_Curves/meltCurve_Q9P2J8_ZNF624.pdf", "Melting_Curves/meltCurve_Q9P2J8_ZNF624.pdf")</f>
        <v>Melting_Curves/meltCurve_Q9P2J8_ZNF624.pdf</v>
      </c>
    </row>
    <row r="6087" spans="1:28" x14ac:dyDescent="0.25">
      <c r="A6087" t="s">
        <v>6091</v>
      </c>
      <c r="B6087">
        <v>0.99472303558308395</v>
      </c>
      <c r="C6087">
        <v>1.16934792823907</v>
      </c>
      <c r="D6087">
        <v>0.80393924622064905</v>
      </c>
      <c r="E6087">
        <v>0.78654207816584598</v>
      </c>
      <c r="F6087">
        <v>0.94317524223195004</v>
      </c>
      <c r="G6087">
        <v>0.52289552317854004</v>
      </c>
      <c r="H6087">
        <v>0.291656118344225</v>
      </c>
      <c r="I6087">
        <v>6.4779227426611394E-2</v>
      </c>
      <c r="J6087">
        <v>5.8692250015894398E-2</v>
      </c>
      <c r="K6087">
        <v>6.81115164897418E-2</v>
      </c>
      <c r="L6087">
        <v>1062.29534443991</v>
      </c>
      <c r="M6087">
        <v>19.544853744715201</v>
      </c>
      <c r="N6087">
        <v>54.410297378686998</v>
      </c>
      <c r="O6087">
        <v>53.792283666109803</v>
      </c>
      <c r="P6087">
        <v>-8.9891568326616794E-2</v>
      </c>
      <c r="Q6087">
        <v>1.0419872936317701E-2</v>
      </c>
      <c r="R6087">
        <v>0.93055440364231901</v>
      </c>
      <c r="S6087" t="s">
        <v>12655</v>
      </c>
      <c r="T6087" t="s">
        <v>13134</v>
      </c>
      <c r="U6087" t="s">
        <v>13134</v>
      </c>
      <c r="V6087" t="s">
        <v>13134</v>
      </c>
      <c r="W6087" t="s">
        <v>19153</v>
      </c>
      <c r="X6087">
        <v>3</v>
      </c>
      <c r="Y6087" t="s">
        <v>25511</v>
      </c>
      <c r="Z6087" t="s">
        <v>32055</v>
      </c>
      <c r="AA6087">
        <v>0.59484889897052162</v>
      </c>
      <c r="AB6087" t="str">
        <f>HYPERLINK("Melting_Curves/meltCurve_Q9P2J9_PDP2.pdf", "Melting_Curves/meltCurve_Q9P2J9_PDP2.pdf")</f>
        <v>Melting_Curves/meltCurve_Q9P2J9_PDP2.pdf</v>
      </c>
    </row>
    <row r="6088" spans="1:28" x14ac:dyDescent="0.25">
      <c r="A6088" t="s">
        <v>6092</v>
      </c>
      <c r="B6088">
        <v>0.99472303558308395</v>
      </c>
      <c r="C6088">
        <v>0.96220981988715404</v>
      </c>
      <c r="D6088">
        <v>0.75461462244437005</v>
      </c>
      <c r="E6088">
        <v>0.51697522967237897</v>
      </c>
      <c r="F6088">
        <v>0.26702349094329902</v>
      </c>
      <c r="G6088">
        <v>0.172389852785819</v>
      </c>
      <c r="H6088">
        <v>0.112863721188104</v>
      </c>
      <c r="I6088">
        <v>0.11260420729068001</v>
      </c>
      <c r="J6088">
        <v>0.124372009914858</v>
      </c>
      <c r="K6088">
        <v>0.12274454427937</v>
      </c>
      <c r="L6088">
        <v>787.55963879777698</v>
      </c>
      <c r="M6088">
        <v>17.16031000653</v>
      </c>
      <c r="N6088">
        <v>46.540339454457502</v>
      </c>
      <c r="O6088">
        <v>45.2846082572268</v>
      </c>
      <c r="P6088">
        <v>-8.4700183498314097E-2</v>
      </c>
      <c r="Q6088">
        <v>0.10598673725508199</v>
      </c>
      <c r="R6088">
        <v>0.99751335622981596</v>
      </c>
      <c r="S6088" t="s">
        <v>12656</v>
      </c>
      <c r="T6088" t="s">
        <v>13134</v>
      </c>
      <c r="U6088" t="s">
        <v>13134</v>
      </c>
      <c r="V6088" t="s">
        <v>13134</v>
      </c>
      <c r="W6088" t="s">
        <v>19154</v>
      </c>
      <c r="X6088">
        <v>6</v>
      </c>
      <c r="Y6088" t="s">
        <v>25512</v>
      </c>
      <c r="Z6088" t="s">
        <v>32056</v>
      </c>
      <c r="AA6088">
        <v>0.38694998666360397</v>
      </c>
      <c r="AB6088" t="str">
        <f>HYPERLINK("Melting_Curves/meltCurve_Q9P2K8_2_EIF2AK4.pdf", "Melting_Curves/meltCurve_Q9P2K8_2_EIF2AK4.pdf")</f>
        <v>Melting_Curves/meltCurve_Q9P2K8_2_EIF2AK4.pdf</v>
      </c>
    </row>
    <row r="6089" spans="1:28" x14ac:dyDescent="0.25">
      <c r="A6089" t="s">
        <v>6093</v>
      </c>
      <c r="B6089">
        <v>0.99472303558308395</v>
      </c>
      <c r="C6089">
        <v>0.95101863809959897</v>
      </c>
      <c r="D6089">
        <v>0.66075375756426402</v>
      </c>
      <c r="E6089">
        <v>0.42460766500899699</v>
      </c>
      <c r="F6089">
        <v>0.25373789412828701</v>
      </c>
      <c r="G6089">
        <v>9.1046158851926004E-2</v>
      </c>
      <c r="H6089">
        <v>5.9295340059073103E-2</v>
      </c>
      <c r="I6089">
        <v>3.9007153587435103E-2</v>
      </c>
      <c r="J6089">
        <v>6.5853258495473604E-2</v>
      </c>
      <c r="K6089">
        <v>5.20321073801321E-2</v>
      </c>
      <c r="L6089">
        <v>708.29771266876799</v>
      </c>
      <c r="M6089">
        <v>15.6223578586018</v>
      </c>
      <c r="N6089">
        <v>45.574459846200497</v>
      </c>
      <c r="O6089">
        <v>44.615319363006002</v>
      </c>
      <c r="P6089">
        <v>-8.4148730252220194E-2</v>
      </c>
      <c r="Q6089">
        <v>3.8813698907880202E-2</v>
      </c>
      <c r="R6089">
        <v>0.99302641161608496</v>
      </c>
      <c r="S6089" t="s">
        <v>12657</v>
      </c>
      <c r="T6089" t="s">
        <v>13134</v>
      </c>
      <c r="U6089" t="s">
        <v>13134</v>
      </c>
      <c r="V6089" t="s">
        <v>13134</v>
      </c>
      <c r="W6089" t="s">
        <v>19155</v>
      </c>
      <c r="X6089">
        <v>2</v>
      </c>
      <c r="Y6089" t="s">
        <v>25513</v>
      </c>
      <c r="Z6089" t="s">
        <v>32057</v>
      </c>
      <c r="AA6089">
        <v>0.3268403698964607</v>
      </c>
      <c r="AB6089" t="str">
        <f>HYPERLINK("Melting_Curves/meltCurve_Q9P2M4_TBC1D14.pdf", "Melting_Curves/meltCurve_Q9P2M4_TBC1D14.pdf")</f>
        <v>Melting_Curves/meltCurve_Q9P2M4_TBC1D14.pdf</v>
      </c>
    </row>
    <row r="6090" spans="1:28" x14ac:dyDescent="0.25">
      <c r="A6090" t="s">
        <v>6094</v>
      </c>
      <c r="B6090">
        <v>0.99472303558308395</v>
      </c>
      <c r="C6090">
        <v>0.91198337556178199</v>
      </c>
      <c r="D6090">
        <v>0.88413904379211905</v>
      </c>
      <c r="E6090">
        <v>0.57510494526673595</v>
      </c>
      <c r="F6090">
        <v>0.204482994294894</v>
      </c>
      <c r="G6090">
        <v>9.9404151733223894E-2</v>
      </c>
      <c r="H6090">
        <v>6.15121354169956E-2</v>
      </c>
      <c r="I6090">
        <v>5.6892981943578801E-2</v>
      </c>
      <c r="J6090">
        <v>6.4417775056582902E-2</v>
      </c>
      <c r="K6090">
        <v>4.6666339546348697E-2</v>
      </c>
      <c r="L6090">
        <v>1036.3504474602701</v>
      </c>
      <c r="M6090">
        <v>22.109224007649999</v>
      </c>
      <c r="N6090">
        <v>47.0897697147375</v>
      </c>
      <c r="O6090">
        <v>46.495700704473499</v>
      </c>
      <c r="P6090">
        <v>-0.113156747445865</v>
      </c>
      <c r="Q6090">
        <v>4.81462294149115E-2</v>
      </c>
      <c r="R6090">
        <v>0.99606428461299901</v>
      </c>
      <c r="S6090" t="s">
        <v>12658</v>
      </c>
      <c r="T6090" t="s">
        <v>13134</v>
      </c>
      <c r="U6090" t="s">
        <v>13134</v>
      </c>
      <c r="V6090" t="s">
        <v>13134</v>
      </c>
      <c r="W6090" t="s">
        <v>19156</v>
      </c>
      <c r="X6090">
        <v>24</v>
      </c>
      <c r="Y6090" t="s">
        <v>25514</v>
      </c>
      <c r="Z6090" t="s">
        <v>32058</v>
      </c>
      <c r="AA6090">
        <v>0.37164848706148712</v>
      </c>
      <c r="AB6090" t="str">
        <f>HYPERLINK("Melting_Curves/meltCurve_Q9P2N5_RBM27.pdf", "Melting_Curves/meltCurve_Q9P2N5_RBM27.pdf")</f>
        <v>Melting_Curves/meltCurve_Q9P2N5_RBM27.pdf</v>
      </c>
    </row>
    <row r="6091" spans="1:28" x14ac:dyDescent="0.25">
      <c r="A6091" t="s">
        <v>6095</v>
      </c>
      <c r="B6091">
        <v>0.99472303558308395</v>
      </c>
      <c r="C6091">
        <v>0.942467727492172</v>
      </c>
      <c r="D6091">
        <v>0.92684472082554004</v>
      </c>
      <c r="E6091">
        <v>0.286514261052293</v>
      </c>
      <c r="F6091">
        <v>0.149186745936043</v>
      </c>
      <c r="G6091">
        <v>7.5709392654223107E-2</v>
      </c>
      <c r="H6091">
        <v>4.7466665838235902E-2</v>
      </c>
      <c r="I6091">
        <v>3.6437069603256898E-2</v>
      </c>
      <c r="J6091">
        <v>5.0966144813293902E-2</v>
      </c>
      <c r="K6091">
        <v>4.1214597949458601E-2</v>
      </c>
      <c r="L6091">
        <v>1836.38786711753</v>
      </c>
      <c r="M6091">
        <v>40.4793211306228</v>
      </c>
      <c r="N6091">
        <v>45.514009257126801</v>
      </c>
      <c r="O6091">
        <v>45.2557785450526</v>
      </c>
      <c r="P6091">
        <v>-0.20983053814490901</v>
      </c>
      <c r="Q6091">
        <v>6.1641842358634902E-2</v>
      </c>
      <c r="R6091">
        <v>0.99388484027101698</v>
      </c>
      <c r="S6091" t="s">
        <v>12659</v>
      </c>
      <c r="T6091" t="s">
        <v>13134</v>
      </c>
      <c r="U6091" t="s">
        <v>13134</v>
      </c>
      <c r="V6091" t="s">
        <v>13134</v>
      </c>
      <c r="W6091" t="s">
        <v>19157</v>
      </c>
      <c r="X6091">
        <v>13</v>
      </c>
      <c r="Y6091" t="s">
        <v>25515</v>
      </c>
      <c r="Z6091" t="s">
        <v>32059</v>
      </c>
      <c r="AA6091">
        <v>0.32619664863037029</v>
      </c>
      <c r="AB6091" t="str">
        <f>HYPERLINK("Melting_Curves/meltCurve_Q9P2R3_ANKFY1.pdf", "Melting_Curves/meltCurve_Q9P2R3_ANKFY1.pdf")</f>
        <v>Melting_Curves/meltCurve_Q9P2R3_ANKFY1.pdf</v>
      </c>
    </row>
    <row r="6092" spans="1:28" x14ac:dyDescent="0.25">
      <c r="A6092" t="s">
        <v>6096</v>
      </c>
      <c r="B6092">
        <v>0.99472303558308395</v>
      </c>
      <c r="C6092">
        <v>0.890201295967055</v>
      </c>
      <c r="D6092">
        <v>0.57731804831786104</v>
      </c>
      <c r="E6092">
        <v>0.29424647764683198</v>
      </c>
      <c r="F6092">
        <v>0.15628007503351399</v>
      </c>
      <c r="G6092">
        <v>9.7409059511209095E-2</v>
      </c>
      <c r="H6092">
        <v>8.0083073598113896E-2</v>
      </c>
      <c r="I6092">
        <v>5.3490359369753E-2</v>
      </c>
      <c r="J6092">
        <v>0.100870255054096</v>
      </c>
      <c r="K6092">
        <v>7.1367587210572098E-2</v>
      </c>
      <c r="L6092">
        <v>854.36804021544197</v>
      </c>
      <c r="M6092">
        <v>19.592565942881102</v>
      </c>
      <c r="N6092">
        <v>43.980247840496403</v>
      </c>
      <c r="O6092">
        <v>43.1600929093998</v>
      </c>
      <c r="P6092">
        <v>-0.104793543971159</v>
      </c>
      <c r="Q6092">
        <v>7.6641798571974395E-2</v>
      </c>
      <c r="R6092">
        <v>0.99734070892406002</v>
      </c>
      <c r="S6092" t="s">
        <v>12660</v>
      </c>
      <c r="T6092" t="s">
        <v>13134</v>
      </c>
      <c r="U6092" t="s">
        <v>13134</v>
      </c>
      <c r="V6092" t="s">
        <v>13134</v>
      </c>
      <c r="W6092" t="s">
        <v>19158</v>
      </c>
      <c r="X6092">
        <v>3</v>
      </c>
      <c r="Y6092" t="s">
        <v>25516</v>
      </c>
      <c r="Z6092" t="s">
        <v>32060</v>
      </c>
      <c r="AA6092">
        <v>0.29309104891781829</v>
      </c>
      <c r="AB6092" t="str">
        <f>HYPERLINK("Melting_Curves/meltCurve_Q9P2R6_RERE.pdf", "Melting_Curves/meltCurve_Q9P2R6_RERE.pdf")</f>
        <v>Melting_Curves/meltCurve_Q9P2R6_RERE.pdf</v>
      </c>
    </row>
    <row r="6093" spans="1:28" x14ac:dyDescent="0.25">
      <c r="A6093" t="s">
        <v>6097</v>
      </c>
      <c r="B6093">
        <v>0.99472303558308395</v>
      </c>
      <c r="C6093">
        <v>0.91122077605417096</v>
      </c>
      <c r="D6093">
        <v>0.83813862853988297</v>
      </c>
      <c r="E6093">
        <v>0.431337341980287</v>
      </c>
      <c r="F6093">
        <v>0.163321425382595</v>
      </c>
      <c r="G6093">
        <v>0.11640763939989</v>
      </c>
      <c r="H6093">
        <v>7.4358023982282695E-2</v>
      </c>
      <c r="I6093">
        <v>6.4622730527170102E-2</v>
      </c>
      <c r="J6093">
        <v>8.5595311957707698E-2</v>
      </c>
      <c r="K6093">
        <v>6.8220631194660805E-2</v>
      </c>
      <c r="L6093">
        <v>1033.9048722381799</v>
      </c>
      <c r="M6093">
        <v>22.636107151732801</v>
      </c>
      <c r="N6093">
        <v>45.984851216856001</v>
      </c>
      <c r="O6093">
        <v>45.323024216672401</v>
      </c>
      <c r="P6093">
        <v>-0.116031465789348</v>
      </c>
      <c r="Q6093">
        <v>7.0724715915260805E-2</v>
      </c>
      <c r="R6093">
        <v>0.99690418396245095</v>
      </c>
      <c r="S6093" t="s">
        <v>12661</v>
      </c>
      <c r="T6093" t="s">
        <v>13134</v>
      </c>
      <c r="U6093" t="s">
        <v>13134</v>
      </c>
      <c r="V6093" t="s">
        <v>13134</v>
      </c>
      <c r="W6093" t="s">
        <v>19159</v>
      </c>
      <c r="X6093">
        <v>4</v>
      </c>
      <c r="Y6093" t="s">
        <v>25517</v>
      </c>
      <c r="Z6093" t="s">
        <v>32061</v>
      </c>
      <c r="AA6093">
        <v>0.34886021532441092</v>
      </c>
      <c r="AB6093" t="str">
        <f>HYPERLINK("Melting_Curves/meltCurve_Q9P2W1_PSMC3IP.pdf", "Melting_Curves/meltCurve_Q9P2W1_PSMC3IP.pdf")</f>
        <v>Melting_Curves/meltCurve_Q9P2W1_PSMC3IP.pdf</v>
      </c>
    </row>
    <row r="6094" spans="1:28" x14ac:dyDescent="0.25">
      <c r="A6094" t="s">
        <v>6098</v>
      </c>
      <c r="B6094">
        <v>0.99472303558308395</v>
      </c>
      <c r="C6094">
        <v>1.00883358438838</v>
      </c>
      <c r="D6094">
        <v>0.98991439458122699</v>
      </c>
      <c r="E6094">
        <v>0.91443926685385402</v>
      </c>
      <c r="F6094">
        <v>0.66894426022092301</v>
      </c>
      <c r="G6094">
        <v>0.57891488093277099</v>
      </c>
      <c r="H6094">
        <v>0.45195704105199103</v>
      </c>
      <c r="I6094">
        <v>0.34539950578223</v>
      </c>
      <c r="J6094">
        <v>0.23921548207312901</v>
      </c>
      <c r="K6094">
        <v>0.19979535583542599</v>
      </c>
      <c r="L6094">
        <v>597.02422684367605</v>
      </c>
      <c r="M6094">
        <v>11.0177027150319</v>
      </c>
      <c r="N6094">
        <v>55.5512832516944</v>
      </c>
      <c r="O6094">
        <v>52.4943848917531</v>
      </c>
      <c r="P6094">
        <v>-4.6269658870023003E-2</v>
      </c>
      <c r="Q6094">
        <v>0.11847914485333901</v>
      </c>
      <c r="R6094">
        <v>0.98873275600833999</v>
      </c>
      <c r="S6094" t="s">
        <v>12662</v>
      </c>
      <c r="T6094" t="s">
        <v>13134</v>
      </c>
      <c r="U6094" t="s">
        <v>13134</v>
      </c>
      <c r="V6094" t="s">
        <v>13134</v>
      </c>
      <c r="W6094" t="s">
        <v>19160</v>
      </c>
      <c r="X6094">
        <v>3</v>
      </c>
      <c r="Y6094" t="s">
        <v>25518</v>
      </c>
      <c r="Z6094" t="s">
        <v>32062</v>
      </c>
      <c r="AA6094">
        <v>0.63867979882391801</v>
      </c>
      <c r="AB6094" t="str">
        <f>HYPERLINK("Melting_Curves/meltCurve_Q9P2X0_DPM3.pdf", "Melting_Curves/meltCurve_Q9P2X0_DPM3.pdf")</f>
        <v>Melting_Curves/meltCurve_Q9P2X0_DPM3.pdf</v>
      </c>
    </row>
    <row r="6095" spans="1:28" x14ac:dyDescent="0.25">
      <c r="A6095" t="s">
        <v>6099</v>
      </c>
      <c r="B6095">
        <v>0.99472303558308395</v>
      </c>
      <c r="C6095">
        <v>0.87852188021127198</v>
      </c>
      <c r="D6095">
        <v>0.74824651550337795</v>
      </c>
      <c r="E6095">
        <v>0.54811761317547203</v>
      </c>
      <c r="F6095">
        <v>0.58522494374835199</v>
      </c>
      <c r="G6095">
        <v>0.14380606739927401</v>
      </c>
      <c r="H6095">
        <v>7.9216578313166502E-2</v>
      </c>
      <c r="I6095">
        <v>5.1424868657063597E-2</v>
      </c>
      <c r="J6095">
        <v>5.1523971434144798E-2</v>
      </c>
      <c r="K6095">
        <v>4.5854403450327701E-2</v>
      </c>
      <c r="L6095">
        <v>542.783018127437</v>
      </c>
      <c r="M6095">
        <v>11.269141101369</v>
      </c>
      <c r="N6095">
        <v>48.165429274621602</v>
      </c>
      <c r="O6095">
        <v>46.723452142965797</v>
      </c>
      <c r="P6095">
        <v>-6.03155661101476E-2</v>
      </c>
      <c r="Q6095">
        <v>0</v>
      </c>
      <c r="R6095">
        <v>0.95499180199907496</v>
      </c>
      <c r="S6095" t="s">
        <v>12663</v>
      </c>
      <c r="T6095" t="s">
        <v>13134</v>
      </c>
      <c r="U6095" t="s">
        <v>13134</v>
      </c>
      <c r="V6095" t="s">
        <v>13134</v>
      </c>
      <c r="W6095" t="s">
        <v>19161</v>
      </c>
      <c r="X6095">
        <v>6</v>
      </c>
      <c r="Y6095" t="s">
        <v>25519</v>
      </c>
      <c r="Z6095" t="s">
        <v>32063</v>
      </c>
      <c r="AA6095">
        <v>0.40610294943903102</v>
      </c>
      <c r="AB6095" t="str">
        <f>HYPERLINK("Melting_Curves/meltCurve_Q9P2Y5_UVRAG.pdf", "Melting_Curves/meltCurve_Q9P2Y5_UVRAG.pdf")</f>
        <v>Melting_Curves/meltCurve_Q9P2Y5_UVRAG.pdf</v>
      </c>
    </row>
    <row r="6096" spans="1:28" x14ac:dyDescent="0.25">
      <c r="A6096" t="s">
        <v>6100</v>
      </c>
      <c r="B6096">
        <v>0.99472303558308395</v>
      </c>
      <c r="C6096">
        <v>0.950590905830341</v>
      </c>
      <c r="D6096">
        <v>0.97177830190572601</v>
      </c>
      <c r="E6096">
        <v>0.84543088081849305</v>
      </c>
      <c r="F6096">
        <v>0.65027794663145599</v>
      </c>
      <c r="G6096">
        <v>0.20601861031783</v>
      </c>
      <c r="H6096">
        <v>6.19578961185972E-2</v>
      </c>
      <c r="I6096">
        <v>4.2452105558384197E-2</v>
      </c>
      <c r="J6096">
        <v>4.1448948873355797E-2</v>
      </c>
      <c r="K6096">
        <v>3.3421439115216799E-2</v>
      </c>
      <c r="L6096">
        <v>1227.6438031181999</v>
      </c>
      <c r="M6096">
        <v>24.0778322271739</v>
      </c>
      <c r="N6096">
        <v>51.072447489549802</v>
      </c>
      <c r="O6096">
        <v>50.638680299084598</v>
      </c>
      <c r="P6096">
        <v>-0.11651192677813001</v>
      </c>
      <c r="Q6096">
        <v>1.9858913965577998E-2</v>
      </c>
      <c r="R6096">
        <v>0.99383399765507996</v>
      </c>
      <c r="S6096" t="s">
        <v>12664</v>
      </c>
      <c r="T6096" t="s">
        <v>13134</v>
      </c>
      <c r="U6096" t="s">
        <v>13134</v>
      </c>
      <c r="V6096" t="s">
        <v>13134</v>
      </c>
      <c r="W6096" t="s">
        <v>19162</v>
      </c>
      <c r="X6096">
        <v>21</v>
      </c>
      <c r="Y6096" t="s">
        <v>25520</v>
      </c>
      <c r="Z6096" t="s">
        <v>32064</v>
      </c>
      <c r="AA6096">
        <v>0.48608388621741327</v>
      </c>
      <c r="AB6096" t="str">
        <f>HYPERLINK("Melting_Curves/meltCurve_Q9UBB4_ATXN10.pdf", "Melting_Curves/meltCurve_Q9UBB4_ATXN10.pdf")</f>
        <v>Melting_Curves/meltCurve_Q9UBB4_ATXN10.pdf</v>
      </c>
    </row>
    <row r="6097" spans="1:28" x14ac:dyDescent="0.25">
      <c r="A6097" t="s">
        <v>6101</v>
      </c>
      <c r="B6097">
        <v>0.99472303558308395</v>
      </c>
      <c r="C6097">
        <v>0.82821960306919196</v>
      </c>
      <c r="D6097">
        <v>0.57419116544914905</v>
      </c>
      <c r="E6097">
        <v>0.28175922641043299</v>
      </c>
      <c r="F6097">
        <v>0.209926901695979</v>
      </c>
      <c r="G6097">
        <v>0.12571494101311301</v>
      </c>
      <c r="H6097">
        <v>7.2699739542922401E-2</v>
      </c>
      <c r="I6097">
        <v>5.0097182898298502E-2</v>
      </c>
      <c r="J6097">
        <v>4.6105562541998497E-2</v>
      </c>
      <c r="K6097">
        <v>9.4124238325951501E-2</v>
      </c>
      <c r="L6097">
        <v>718.74350254942897</v>
      </c>
      <c r="M6097">
        <v>16.507199390848498</v>
      </c>
      <c r="N6097">
        <v>43.932492072904303</v>
      </c>
      <c r="O6097">
        <v>42.917265082904699</v>
      </c>
      <c r="P6097">
        <v>-8.9589922925170595E-2</v>
      </c>
      <c r="Q6097">
        <v>6.83611457144815E-2</v>
      </c>
      <c r="R6097">
        <v>0.99346148074107099</v>
      </c>
      <c r="S6097" t="s">
        <v>12665</v>
      </c>
      <c r="T6097" t="s">
        <v>13134</v>
      </c>
      <c r="U6097" t="s">
        <v>13134</v>
      </c>
      <c r="V6097" t="s">
        <v>13134</v>
      </c>
      <c r="W6097" t="s">
        <v>19163</v>
      </c>
      <c r="X6097">
        <v>4</v>
      </c>
      <c r="Y6097" t="s">
        <v>25521</v>
      </c>
      <c r="Z6097" t="s">
        <v>32065</v>
      </c>
      <c r="AA6097">
        <v>0.29083937394943288</v>
      </c>
      <c r="AB6097" t="str">
        <f>HYPERLINK("Melting_Curves/meltCurve_Q9UBB5_MBD2.pdf", "Melting_Curves/meltCurve_Q9UBB5_MBD2.pdf")</f>
        <v>Melting_Curves/meltCurve_Q9UBB5_MBD2.pdf</v>
      </c>
    </row>
    <row r="6098" spans="1:28" x14ac:dyDescent="0.25">
      <c r="A6098" t="s">
        <v>6102</v>
      </c>
      <c r="B6098">
        <v>0.99472303558308395</v>
      </c>
      <c r="C6098">
        <v>0.96028013974297299</v>
      </c>
      <c r="D6098">
        <v>0.95399646403754002</v>
      </c>
      <c r="E6098">
        <v>0.71406837724752203</v>
      </c>
      <c r="F6098">
        <v>0.23189079665006099</v>
      </c>
      <c r="G6098">
        <v>9.6712844181191499E-2</v>
      </c>
      <c r="H6098">
        <v>6.4495122707722105E-2</v>
      </c>
      <c r="I6098">
        <v>6.5141974510521797E-2</v>
      </c>
      <c r="J6098">
        <v>5.7830419090238699E-2</v>
      </c>
      <c r="K6098">
        <v>3.1092053554453099E-2</v>
      </c>
      <c r="L6098">
        <v>1424.8561622242901</v>
      </c>
      <c r="M6098">
        <v>29.778047405799501</v>
      </c>
      <c r="N6098">
        <v>48.0309814352104</v>
      </c>
      <c r="O6098">
        <v>47.634981055486698</v>
      </c>
      <c r="P6098">
        <v>-0.14795614471872401</v>
      </c>
      <c r="Q6098">
        <v>5.3283748556539799E-2</v>
      </c>
      <c r="R6098">
        <v>0.99850086218503897</v>
      </c>
      <c r="S6098" t="s">
        <v>12666</v>
      </c>
      <c r="T6098" t="s">
        <v>13134</v>
      </c>
      <c r="U6098" t="s">
        <v>13134</v>
      </c>
      <c r="V6098" t="s">
        <v>13134</v>
      </c>
      <c r="W6098" t="s">
        <v>19164</v>
      </c>
      <c r="X6098">
        <v>12</v>
      </c>
      <c r="Y6098" t="s">
        <v>25522</v>
      </c>
      <c r="Z6098" t="s">
        <v>32066</v>
      </c>
      <c r="AA6098">
        <v>0.40132990510273447</v>
      </c>
      <c r="AB6098" t="str">
        <f>HYPERLINK("Melting_Curves/meltCurve_Q9UBB6_NCDN.pdf", "Melting_Curves/meltCurve_Q9UBB6_NCDN.pdf")</f>
        <v>Melting_Curves/meltCurve_Q9UBB6_NCDN.pdf</v>
      </c>
    </row>
    <row r="6099" spans="1:28" x14ac:dyDescent="0.25">
      <c r="A6099" t="s">
        <v>6103</v>
      </c>
      <c r="B6099">
        <v>0.99472303558308395</v>
      </c>
      <c r="C6099">
        <v>0.81388910654237501</v>
      </c>
      <c r="D6099">
        <v>0.67982938926214298</v>
      </c>
      <c r="E6099">
        <v>0.33039868131925998</v>
      </c>
      <c r="F6099">
        <v>0.14282965741985601</v>
      </c>
      <c r="G6099">
        <v>8.2323899117821495E-2</v>
      </c>
      <c r="H6099">
        <v>5.0414184424130502E-2</v>
      </c>
      <c r="I6099">
        <v>3.7030382821154097E-2</v>
      </c>
      <c r="J6099">
        <v>4.8611125376151497E-2</v>
      </c>
      <c r="K6099">
        <v>3.5318752821075002E-2</v>
      </c>
      <c r="L6099">
        <v>728.83754587974204</v>
      </c>
      <c r="M6099">
        <v>16.406916221990699</v>
      </c>
      <c r="N6099">
        <v>44.587007133481698</v>
      </c>
      <c r="O6099">
        <v>43.778363447230298</v>
      </c>
      <c r="P6099">
        <v>-9.0949041419238402E-2</v>
      </c>
      <c r="Q6099">
        <v>2.93560914556667E-2</v>
      </c>
      <c r="R6099">
        <v>0.99533728222741502</v>
      </c>
      <c r="S6099" t="s">
        <v>12667</v>
      </c>
      <c r="T6099" t="s">
        <v>13134</v>
      </c>
      <c r="U6099" t="s">
        <v>13134</v>
      </c>
      <c r="V6099" t="s">
        <v>13134</v>
      </c>
      <c r="W6099" t="s">
        <v>19165</v>
      </c>
      <c r="X6099">
        <v>14</v>
      </c>
      <c r="Y6099" t="s">
        <v>25523</v>
      </c>
      <c r="Z6099" t="s">
        <v>32067</v>
      </c>
      <c r="AA6099">
        <v>0.28913483856719518</v>
      </c>
      <c r="AB6099" t="str">
        <f>HYPERLINK("Melting_Curves/meltCurve_Q9UBB9_TFIP11.pdf", "Melting_Curves/meltCurve_Q9UBB9_TFIP11.pdf")</f>
        <v>Melting_Curves/meltCurve_Q9UBB9_TFIP11.pdf</v>
      </c>
    </row>
    <row r="6100" spans="1:28" x14ac:dyDescent="0.25">
      <c r="A6100" t="s">
        <v>6104</v>
      </c>
      <c r="B6100">
        <v>0.99472303558308395</v>
      </c>
      <c r="C6100">
        <v>0.99805952808841902</v>
      </c>
      <c r="D6100">
        <v>0.86090243777097097</v>
      </c>
      <c r="E6100">
        <v>0.65551284347507899</v>
      </c>
      <c r="F6100">
        <v>0.341942635582903</v>
      </c>
      <c r="G6100">
        <v>0.122234079915233</v>
      </c>
      <c r="H6100">
        <v>7.3074371361191007E-2</v>
      </c>
      <c r="I6100">
        <v>4.7663573500122798E-2</v>
      </c>
      <c r="J6100">
        <v>5.8960873285597903E-2</v>
      </c>
      <c r="K6100">
        <v>5.7395301589909901E-2</v>
      </c>
      <c r="L6100">
        <v>886.65767928887499</v>
      </c>
      <c r="M6100">
        <v>18.5017032946391</v>
      </c>
      <c r="N6100">
        <v>48.124784896804201</v>
      </c>
      <c r="O6100">
        <v>47.373707541214998</v>
      </c>
      <c r="P6100">
        <v>-9.3997658139363796E-2</v>
      </c>
      <c r="Q6100">
        <v>3.7316675915181001E-2</v>
      </c>
      <c r="R6100">
        <v>0.99780034972967002</v>
      </c>
      <c r="S6100" t="s">
        <v>12668</v>
      </c>
      <c r="T6100" t="s">
        <v>13134</v>
      </c>
      <c r="U6100" t="s">
        <v>13134</v>
      </c>
      <c r="V6100" t="s">
        <v>13134</v>
      </c>
      <c r="W6100" t="s">
        <v>19166</v>
      </c>
      <c r="X6100">
        <v>22</v>
      </c>
      <c r="Y6100" t="s">
        <v>20970</v>
      </c>
      <c r="Z6100" t="s">
        <v>32068</v>
      </c>
      <c r="AA6100">
        <v>0.40246278828221888</v>
      </c>
      <c r="AB6100" t="str">
        <f>HYPERLINK("Melting_Curves/meltCurve_Q9UBC2_2_EPS15L1.pdf", "Melting_Curves/meltCurve_Q9UBC2_2_EPS15L1.pdf")</f>
        <v>Melting_Curves/meltCurve_Q9UBC2_2_EPS15L1.pdf</v>
      </c>
    </row>
    <row r="6101" spans="1:28" x14ac:dyDescent="0.25">
      <c r="A6101" t="s">
        <v>6105</v>
      </c>
      <c r="B6101">
        <v>0.99472303558308395</v>
      </c>
      <c r="C6101">
        <v>0.782056763697206</v>
      </c>
      <c r="D6101">
        <v>0.48264491474794902</v>
      </c>
      <c r="E6101">
        <v>0.18866156105727699</v>
      </c>
      <c r="F6101">
        <v>7.4369595800706095E-2</v>
      </c>
      <c r="G6101">
        <v>6.0636654271353403E-2</v>
      </c>
      <c r="H6101">
        <v>4.7470476625878999E-2</v>
      </c>
      <c r="I6101">
        <v>3.0761099372375499E-2</v>
      </c>
      <c r="J6101">
        <v>4.1876791937085101E-2</v>
      </c>
      <c r="K6101">
        <v>3.83654516366944E-2</v>
      </c>
      <c r="L6101">
        <v>852.21881605586805</v>
      </c>
      <c r="M6101">
        <v>19.998117917751799</v>
      </c>
      <c r="N6101">
        <v>42.784302360583403</v>
      </c>
      <c r="O6101">
        <v>42.195693261344402</v>
      </c>
      <c r="P6101">
        <v>-0.113979961492522</v>
      </c>
      <c r="Q6101">
        <v>3.8048109907443499E-2</v>
      </c>
      <c r="R6101">
        <v>0.99799342022774795</v>
      </c>
      <c r="S6101" t="s">
        <v>12669</v>
      </c>
      <c r="T6101" t="s">
        <v>13134</v>
      </c>
      <c r="U6101" t="s">
        <v>13134</v>
      </c>
      <c r="V6101" t="s">
        <v>13134</v>
      </c>
      <c r="W6101" t="s">
        <v>19167</v>
      </c>
      <c r="X6101">
        <v>4</v>
      </c>
      <c r="Y6101" t="s">
        <v>25524</v>
      </c>
      <c r="Z6101" t="s">
        <v>32069</v>
      </c>
      <c r="AA6101">
        <v>0.23184575861042961</v>
      </c>
      <c r="AB6101" t="str">
        <f>HYPERLINK("Melting_Curves/meltCurve_Q9UBC3_4_DNMT3B.pdf", "Melting_Curves/meltCurve_Q9UBC3_4_DNMT3B.pdf")</f>
        <v>Melting_Curves/meltCurve_Q9UBC3_4_DNMT3B.pdf</v>
      </c>
    </row>
    <row r="6102" spans="1:28" x14ac:dyDescent="0.25">
      <c r="A6102" t="s">
        <v>6106</v>
      </c>
      <c r="B6102">
        <v>0.99472303558308395</v>
      </c>
      <c r="C6102">
        <v>0.92337162468869804</v>
      </c>
      <c r="D6102">
        <v>0.82755105879840296</v>
      </c>
      <c r="E6102">
        <v>0.44650676379638599</v>
      </c>
      <c r="F6102">
        <v>0.20096874244070401</v>
      </c>
      <c r="G6102">
        <v>9.5691825302769803E-2</v>
      </c>
      <c r="H6102">
        <v>5.2704029989220899E-2</v>
      </c>
      <c r="I6102">
        <v>5.4756610365807201E-2</v>
      </c>
      <c r="J6102">
        <v>5.32623189492933E-2</v>
      </c>
      <c r="K6102">
        <v>4.8213811052758099E-2</v>
      </c>
      <c r="L6102">
        <v>917.87385281169202</v>
      </c>
      <c r="M6102">
        <v>19.9732902163828</v>
      </c>
      <c r="N6102">
        <v>46.176298993219</v>
      </c>
      <c r="O6102">
        <v>45.5018511213298</v>
      </c>
      <c r="P6102">
        <v>-0.104735103149229</v>
      </c>
      <c r="Q6102">
        <v>4.5628664362658E-2</v>
      </c>
      <c r="R6102">
        <v>0.99874147398574298</v>
      </c>
      <c r="S6102" t="s">
        <v>12670</v>
      </c>
      <c r="T6102" t="s">
        <v>13134</v>
      </c>
      <c r="U6102" t="s">
        <v>13134</v>
      </c>
      <c r="V6102" t="s">
        <v>13134</v>
      </c>
      <c r="W6102" t="s">
        <v>19168</v>
      </c>
      <c r="X6102">
        <v>13</v>
      </c>
      <c r="Y6102" t="s">
        <v>25525</v>
      </c>
      <c r="Z6102" t="s">
        <v>32070</v>
      </c>
      <c r="AA6102">
        <v>0.34302206226036258</v>
      </c>
      <c r="AB6102" t="str">
        <f>HYPERLINK("Melting_Curves/meltCurve_Q9UBD5_ORC3.pdf", "Melting_Curves/meltCurve_Q9UBD5_ORC3.pdf")</f>
        <v>Melting_Curves/meltCurve_Q9UBD5_ORC3.pdf</v>
      </c>
    </row>
    <row r="6103" spans="1:28" x14ac:dyDescent="0.25">
      <c r="A6103" t="s">
        <v>6107</v>
      </c>
      <c r="B6103">
        <v>0.99472303558308395</v>
      </c>
      <c r="C6103">
        <v>0.94097145618510203</v>
      </c>
      <c r="D6103">
        <v>1.0053858207550801</v>
      </c>
      <c r="E6103">
        <v>0.86582244584490997</v>
      </c>
      <c r="F6103">
        <v>0.55585056137433198</v>
      </c>
      <c r="G6103">
        <v>0.17191622626742101</v>
      </c>
      <c r="H6103">
        <v>8.4219113039178006E-2</v>
      </c>
      <c r="I6103">
        <v>5.2772664638366697E-2</v>
      </c>
      <c r="J6103">
        <v>6.9409440978758799E-2</v>
      </c>
      <c r="K6103">
        <v>6.4386625246173904E-2</v>
      </c>
      <c r="L6103">
        <v>1329.520276447</v>
      </c>
      <c r="M6103">
        <v>26.456401650991499</v>
      </c>
      <c r="N6103">
        <v>50.468050187850302</v>
      </c>
      <c r="O6103">
        <v>49.968773565635402</v>
      </c>
      <c r="P6103">
        <v>-0.12531808455302501</v>
      </c>
      <c r="Q6103">
        <v>5.3246331294884701E-2</v>
      </c>
      <c r="R6103">
        <v>0.99653393185148398</v>
      </c>
      <c r="S6103" t="s">
        <v>12671</v>
      </c>
      <c r="T6103" t="s">
        <v>13134</v>
      </c>
      <c r="U6103" t="s">
        <v>13134</v>
      </c>
      <c r="V6103" t="s">
        <v>13134</v>
      </c>
      <c r="W6103" t="s">
        <v>19169</v>
      </c>
      <c r="X6103">
        <v>27</v>
      </c>
      <c r="Y6103" t="s">
        <v>25526</v>
      </c>
      <c r="Z6103" t="s">
        <v>32071</v>
      </c>
      <c r="AA6103">
        <v>0.4789491718774187</v>
      </c>
      <c r="AB6103" t="str">
        <f>HYPERLINK("Melting_Curves/meltCurve_Q9UBE0_SAE1.pdf", "Melting_Curves/meltCurve_Q9UBE0_SAE1.pdf")</f>
        <v>Melting_Curves/meltCurve_Q9UBE0_SAE1.pdf</v>
      </c>
    </row>
    <row r="6104" spans="1:28" x14ac:dyDescent="0.25">
      <c r="A6104" t="s">
        <v>6108</v>
      </c>
      <c r="B6104">
        <v>0.99472303558308395</v>
      </c>
      <c r="C6104">
        <v>0.86244378311185599</v>
      </c>
      <c r="D6104">
        <v>0.79500872655112098</v>
      </c>
      <c r="E6104">
        <v>0.65793399741564595</v>
      </c>
      <c r="F6104">
        <v>0.49320902013379198</v>
      </c>
      <c r="G6104">
        <v>0.29616412858753</v>
      </c>
      <c r="H6104">
        <v>0.16566791522388799</v>
      </c>
      <c r="I6104">
        <v>0.17068677936104201</v>
      </c>
      <c r="J6104">
        <v>0.14316045391103799</v>
      </c>
      <c r="K6104">
        <v>0.15640530358784099</v>
      </c>
      <c r="L6104">
        <v>514.89087798294497</v>
      </c>
      <c r="M6104">
        <v>10.6252028267358</v>
      </c>
      <c r="N6104">
        <v>49.220293415691302</v>
      </c>
      <c r="O6104">
        <v>46.8373805063978</v>
      </c>
      <c r="P6104">
        <v>-5.24381511691107E-2</v>
      </c>
      <c r="Q6104">
        <v>7.5737512378286603E-2</v>
      </c>
      <c r="R6104">
        <v>0.98916285767677303</v>
      </c>
      <c r="S6104" t="s">
        <v>12672</v>
      </c>
      <c r="T6104" t="s">
        <v>13134</v>
      </c>
      <c r="U6104" t="s">
        <v>13134</v>
      </c>
      <c r="V6104" t="s">
        <v>13134</v>
      </c>
      <c r="W6104" t="s">
        <v>19170</v>
      </c>
      <c r="X6104">
        <v>4</v>
      </c>
      <c r="Y6104" t="s">
        <v>25527</v>
      </c>
      <c r="Z6104" t="s">
        <v>32072</v>
      </c>
      <c r="AA6104">
        <v>0.46204469453869729</v>
      </c>
      <c r="AB6104" t="str">
        <f>HYPERLINK("Melting_Curves/meltCurve_Q9UBF1_MAGEC2.pdf", "Melting_Curves/meltCurve_Q9UBF1_MAGEC2.pdf")</f>
        <v>Melting_Curves/meltCurve_Q9UBF1_MAGEC2.pdf</v>
      </c>
    </row>
    <row r="6105" spans="1:28" x14ac:dyDescent="0.25">
      <c r="A6105" t="s">
        <v>6109</v>
      </c>
      <c r="B6105">
        <v>0.99472303558308395</v>
      </c>
      <c r="C6105">
        <v>0.96419683501611297</v>
      </c>
      <c r="D6105">
        <v>0.76341868114188505</v>
      </c>
      <c r="E6105">
        <v>0.657375151765627</v>
      </c>
      <c r="F6105">
        <v>0.65761297718294598</v>
      </c>
      <c r="G6105">
        <v>0.21341946271697701</v>
      </c>
      <c r="H6105">
        <v>8.6440396767361899E-2</v>
      </c>
      <c r="I6105">
        <v>5.1813393845061E-2</v>
      </c>
      <c r="J6105">
        <v>6.1542838625580298E-2</v>
      </c>
      <c r="K6105">
        <v>4.6646658866425501E-2</v>
      </c>
      <c r="L6105">
        <v>620.07698950210204</v>
      </c>
      <c r="M6105">
        <v>12.4670180687424</v>
      </c>
      <c r="N6105">
        <v>49.737409766332497</v>
      </c>
      <c r="O6105">
        <v>48.509690714042797</v>
      </c>
      <c r="P6105">
        <v>-6.4263490000193796E-2</v>
      </c>
      <c r="Q6105">
        <v>0</v>
      </c>
      <c r="R6105">
        <v>0.95690883284240902</v>
      </c>
      <c r="S6105" t="s">
        <v>12673</v>
      </c>
      <c r="T6105" t="s">
        <v>13134</v>
      </c>
      <c r="U6105" t="s">
        <v>13134</v>
      </c>
      <c r="V6105" t="s">
        <v>13134</v>
      </c>
      <c r="W6105" t="s">
        <v>19171</v>
      </c>
      <c r="X6105">
        <v>26</v>
      </c>
      <c r="Y6105" t="s">
        <v>25528</v>
      </c>
      <c r="Z6105" t="s">
        <v>32073</v>
      </c>
      <c r="AA6105">
        <v>0.45173362073757212</v>
      </c>
      <c r="AB6105" t="str">
        <f>HYPERLINK("Melting_Curves/meltCurve_Q9UBF2_COPG2.pdf", "Melting_Curves/meltCurve_Q9UBF2_COPG2.pdf")</f>
        <v>Melting_Curves/meltCurve_Q9UBF2_COPG2.pdf</v>
      </c>
    </row>
    <row r="6106" spans="1:28" x14ac:dyDescent="0.25">
      <c r="A6106" t="s">
        <v>6110</v>
      </c>
      <c r="B6106">
        <v>0.99472303558308395</v>
      </c>
      <c r="C6106">
        <v>0.97586339277266598</v>
      </c>
      <c r="D6106">
        <v>0.958467575406863</v>
      </c>
      <c r="E6106">
        <v>0.829006989600646</v>
      </c>
      <c r="F6106">
        <v>0.76555994267818395</v>
      </c>
      <c r="G6106">
        <v>0.53268094924643095</v>
      </c>
      <c r="H6106">
        <v>0.30503236620697799</v>
      </c>
      <c r="I6106">
        <v>0.346927740048529</v>
      </c>
      <c r="J6106">
        <v>0.40282864486425801</v>
      </c>
      <c r="K6106">
        <v>0.30310797979577497</v>
      </c>
      <c r="L6106">
        <v>865.95606250647302</v>
      </c>
      <c r="M6106">
        <v>16.937072158114098</v>
      </c>
      <c r="N6106">
        <v>54.160042558514299</v>
      </c>
      <c r="O6106">
        <v>50.431065491313902</v>
      </c>
      <c r="P6106">
        <v>-5.8248754805373497E-2</v>
      </c>
      <c r="Q6106">
        <v>0.30628799465033102</v>
      </c>
      <c r="R6106">
        <v>0.970566633794685</v>
      </c>
      <c r="S6106" t="s">
        <v>12674</v>
      </c>
      <c r="T6106" t="s">
        <v>13134</v>
      </c>
      <c r="U6106" t="s">
        <v>13134</v>
      </c>
      <c r="V6106" t="s">
        <v>13134</v>
      </c>
      <c r="W6106" t="s">
        <v>19172</v>
      </c>
      <c r="X6106">
        <v>2</v>
      </c>
      <c r="Y6106" t="s">
        <v>25529</v>
      </c>
      <c r="Z6106" t="s">
        <v>32074</v>
      </c>
      <c r="AA6106">
        <v>0.64472895078759551</v>
      </c>
      <c r="AB6106" t="str">
        <f>HYPERLINK("Melting_Curves/meltCurve_Q9UBF6_RNF7.pdf", "Melting_Curves/meltCurve_Q9UBF6_RNF7.pdf")</f>
        <v>Melting_Curves/meltCurve_Q9UBF6_RNF7.pdf</v>
      </c>
    </row>
    <row r="6107" spans="1:28" x14ac:dyDescent="0.25">
      <c r="A6107" t="s">
        <v>6111</v>
      </c>
      <c r="B6107">
        <v>0.99472303558308395</v>
      </c>
      <c r="C6107">
        <v>1.05277029379565</v>
      </c>
      <c r="D6107">
        <v>1.0518155563224001</v>
      </c>
      <c r="E6107">
        <v>0.94867789038692096</v>
      </c>
      <c r="F6107">
        <v>0.64801039469391797</v>
      </c>
      <c r="G6107">
        <v>0.21708569624133001</v>
      </c>
      <c r="H6107">
        <v>7.6524334447883494E-2</v>
      </c>
      <c r="I6107">
        <v>6.0756284651567898E-2</v>
      </c>
      <c r="J6107">
        <v>7.2850004134073706E-2</v>
      </c>
      <c r="K6107">
        <v>5.1492973495733702E-2</v>
      </c>
      <c r="L6107">
        <v>1604.6553962854</v>
      </c>
      <c r="M6107">
        <v>31.4443760263146</v>
      </c>
      <c r="N6107">
        <v>51.2298095061794</v>
      </c>
      <c r="O6107">
        <v>50.826490647650203</v>
      </c>
      <c r="P6107">
        <v>-0.14580566903669601</v>
      </c>
      <c r="Q6107">
        <v>5.7287714301548297E-2</v>
      </c>
      <c r="R6107">
        <v>0.99677457802856995</v>
      </c>
      <c r="S6107" t="s">
        <v>12675</v>
      </c>
      <c r="T6107" t="s">
        <v>13134</v>
      </c>
      <c r="U6107" t="s">
        <v>13134</v>
      </c>
      <c r="V6107" t="s">
        <v>13134</v>
      </c>
      <c r="W6107" t="s">
        <v>19173</v>
      </c>
      <c r="X6107">
        <v>11</v>
      </c>
      <c r="Y6107" t="s">
        <v>25530</v>
      </c>
      <c r="Z6107" t="s">
        <v>32075</v>
      </c>
      <c r="AA6107">
        <v>0.50357100459637238</v>
      </c>
      <c r="AB6107" t="str">
        <f>HYPERLINK("Melting_Curves/meltCurve_Q9UBF8_2_PI4KB.pdf", "Melting_Curves/meltCurve_Q9UBF8_2_PI4KB.pdf")</f>
        <v>Melting_Curves/meltCurve_Q9UBF8_2_PI4KB.pdf</v>
      </c>
    </row>
    <row r="6108" spans="1:28" x14ac:dyDescent="0.25">
      <c r="A6108" t="s">
        <v>6112</v>
      </c>
      <c r="B6108">
        <v>0.99472303558308395</v>
      </c>
      <c r="C6108">
        <v>0.91646673461793904</v>
      </c>
      <c r="D6108">
        <v>0.66466416913291004</v>
      </c>
      <c r="E6108">
        <v>0.57810198740114405</v>
      </c>
      <c r="F6108">
        <v>0.51179412912923505</v>
      </c>
      <c r="G6108">
        <v>0.173471082104351</v>
      </c>
      <c r="H6108">
        <v>7.5673111785163602E-2</v>
      </c>
      <c r="I6108">
        <v>7.3567807812208494E-2</v>
      </c>
      <c r="J6108">
        <v>6.0906674947149797E-2</v>
      </c>
      <c r="K6108">
        <v>6.07250634095634E-2</v>
      </c>
      <c r="L6108">
        <v>512.13740322978094</v>
      </c>
      <c r="M6108">
        <v>10.7121900889528</v>
      </c>
      <c r="N6108">
        <v>47.808856369554</v>
      </c>
      <c r="O6108">
        <v>46.233077512256699</v>
      </c>
      <c r="P6108">
        <v>-5.7946552008317498E-2</v>
      </c>
      <c r="Q6108">
        <v>0</v>
      </c>
      <c r="R6108">
        <v>0.96743841974643296</v>
      </c>
      <c r="S6108" t="s">
        <v>12676</v>
      </c>
      <c r="T6108" t="s">
        <v>13134</v>
      </c>
      <c r="U6108" t="s">
        <v>13134</v>
      </c>
      <c r="V6108" t="s">
        <v>13134</v>
      </c>
      <c r="W6108" t="s">
        <v>19174</v>
      </c>
      <c r="X6108">
        <v>5</v>
      </c>
      <c r="Y6108" t="s">
        <v>25531</v>
      </c>
      <c r="Z6108" t="s">
        <v>32076</v>
      </c>
      <c r="AA6108">
        <v>0.39746333102145642</v>
      </c>
      <c r="AB6108" t="str">
        <f>HYPERLINK("Melting_Curves/meltCurve_Q9UBH6_2_XPR1.pdf", "Melting_Curves/meltCurve_Q9UBH6_2_XPR1.pdf")</f>
        <v>Melting_Curves/meltCurve_Q9UBH6_2_XPR1.pdf</v>
      </c>
    </row>
    <row r="6109" spans="1:28" x14ac:dyDescent="0.25">
      <c r="A6109" t="s">
        <v>6113</v>
      </c>
      <c r="B6109">
        <v>0.99472303558308395</v>
      </c>
      <c r="C6109">
        <v>0.86669979519176099</v>
      </c>
      <c r="D6109">
        <v>0.63287767187197697</v>
      </c>
      <c r="E6109">
        <v>0.50704162116849405</v>
      </c>
      <c r="F6109">
        <v>0.27460400696791698</v>
      </c>
      <c r="G6109">
        <v>0.143198643784477</v>
      </c>
      <c r="H6109">
        <v>6.0969906108652799E-2</v>
      </c>
      <c r="I6109">
        <v>2.6747973661542801E-2</v>
      </c>
      <c r="J6109">
        <v>3.53277590586503E-2</v>
      </c>
      <c r="K6109">
        <v>3.47503239349361E-2</v>
      </c>
      <c r="L6109">
        <v>552.51626429031796</v>
      </c>
      <c r="M6109">
        <v>12.0201564930196</v>
      </c>
      <c r="N6109">
        <v>45.965807492019003</v>
      </c>
      <c r="O6109">
        <v>44.749026186767701</v>
      </c>
      <c r="P6109">
        <v>-6.7169256447449796E-2</v>
      </c>
      <c r="Q6109">
        <v>0</v>
      </c>
      <c r="R6109">
        <v>0.99203690199349803</v>
      </c>
      <c r="S6109" t="s">
        <v>12677</v>
      </c>
      <c r="T6109" t="s">
        <v>13134</v>
      </c>
      <c r="U6109" t="s">
        <v>13134</v>
      </c>
      <c r="V6109" t="s">
        <v>13134</v>
      </c>
      <c r="W6109" t="s">
        <v>19175</v>
      </c>
      <c r="X6109">
        <v>6</v>
      </c>
      <c r="Y6109" t="s">
        <v>25532</v>
      </c>
      <c r="Z6109" t="s">
        <v>32077</v>
      </c>
      <c r="AA6109">
        <v>0.33331789659124561</v>
      </c>
      <c r="AB6109" t="str">
        <f>HYPERLINK("Melting_Curves/meltCurve_Q9UBI1_COMMD3.pdf", "Melting_Curves/meltCurve_Q9UBI1_COMMD3.pdf")</f>
        <v>Melting_Curves/meltCurve_Q9UBI1_COMMD3.pdf</v>
      </c>
    </row>
    <row r="6110" spans="1:28" x14ac:dyDescent="0.25">
      <c r="A6110" t="s">
        <v>6114</v>
      </c>
      <c r="B6110">
        <v>0.99472303558308395</v>
      </c>
      <c r="C6110">
        <v>0.97456090127569395</v>
      </c>
      <c r="D6110">
        <v>0.92705651645029596</v>
      </c>
      <c r="E6110">
        <v>0.68327668611397396</v>
      </c>
      <c r="F6110">
        <v>0.85597170746321005</v>
      </c>
      <c r="G6110">
        <v>0.61923975785888496</v>
      </c>
      <c r="H6110">
        <v>0.17452399514999301</v>
      </c>
      <c r="I6110">
        <v>5.2385359079313E-2</v>
      </c>
      <c r="J6110">
        <v>0</v>
      </c>
      <c r="K6110">
        <v>8.3039141843379599E-2</v>
      </c>
      <c r="L6110">
        <v>1030.2099288813699</v>
      </c>
      <c r="M6110">
        <v>19.061982534539599</v>
      </c>
      <c r="N6110">
        <v>54.045266524062299</v>
      </c>
      <c r="O6110">
        <v>53.461005296295497</v>
      </c>
      <c r="P6110">
        <v>-8.9143164108953996E-2</v>
      </c>
      <c r="Q6110">
        <v>0</v>
      </c>
      <c r="R6110">
        <v>0.93296933955035299</v>
      </c>
      <c r="S6110" t="s">
        <v>12678</v>
      </c>
      <c r="T6110" t="s">
        <v>13134</v>
      </c>
      <c r="U6110" t="s">
        <v>13134</v>
      </c>
      <c r="V6110" t="s">
        <v>13134</v>
      </c>
      <c r="W6110" t="s">
        <v>19176</v>
      </c>
      <c r="X6110">
        <v>2</v>
      </c>
      <c r="Y6110" t="s">
        <v>25533</v>
      </c>
      <c r="Z6110" t="s">
        <v>32078</v>
      </c>
      <c r="AA6110">
        <v>0.58097923809341556</v>
      </c>
      <c r="AB6110" t="str">
        <f>HYPERLINK("Melting_Curves/meltCurve_Q9UBI6_GNG12.pdf", "Melting_Curves/meltCurve_Q9UBI6_GNG12.pdf")</f>
        <v>Melting_Curves/meltCurve_Q9UBI6_GNG12.pdf</v>
      </c>
    </row>
    <row r="6111" spans="1:28" x14ac:dyDescent="0.25">
      <c r="A6111" t="s">
        <v>6115</v>
      </c>
      <c r="B6111">
        <v>0.99472303558308395</v>
      </c>
      <c r="C6111">
        <v>0.99985881030022195</v>
      </c>
      <c r="D6111">
        <v>0.94743302887868996</v>
      </c>
      <c r="E6111">
        <v>0.80862030681113795</v>
      </c>
      <c r="F6111">
        <v>0.39898433142124001</v>
      </c>
      <c r="G6111">
        <v>0.137336256398852</v>
      </c>
      <c r="H6111">
        <v>7.89916480557981E-2</v>
      </c>
      <c r="I6111">
        <v>5.1167308336553599E-2</v>
      </c>
      <c r="J6111">
        <v>6.6658334397892899E-2</v>
      </c>
      <c r="K6111">
        <v>5.5306903494530199E-2</v>
      </c>
      <c r="L6111">
        <v>1236.92150897849</v>
      </c>
      <c r="M6111">
        <v>25.203972291541699</v>
      </c>
      <c r="N6111">
        <v>49.295262868978199</v>
      </c>
      <c r="O6111">
        <v>48.770629322802598</v>
      </c>
      <c r="P6111">
        <v>-0.12236071456768199</v>
      </c>
      <c r="Q6111">
        <v>5.2922090175194801E-2</v>
      </c>
      <c r="R6111">
        <v>0.999372909404589</v>
      </c>
      <c r="S6111" t="s">
        <v>12679</v>
      </c>
      <c r="T6111" t="s">
        <v>13134</v>
      </c>
      <c r="U6111" t="s">
        <v>13134</v>
      </c>
      <c r="V6111" t="s">
        <v>13134</v>
      </c>
      <c r="W6111" t="s">
        <v>19177</v>
      </c>
      <c r="X6111">
        <v>17</v>
      </c>
      <c r="Y6111" t="s">
        <v>25534</v>
      </c>
      <c r="Z6111" t="s">
        <v>32079</v>
      </c>
      <c r="AA6111">
        <v>0.44223052565567539</v>
      </c>
      <c r="AB6111" t="str">
        <f>HYPERLINK("Melting_Curves/meltCurve_Q9UBK8_2_MTRR.pdf", "Melting_Curves/meltCurve_Q9UBK8_2_MTRR.pdf")</f>
        <v>Melting_Curves/meltCurve_Q9UBK8_2_MTRR.pdf</v>
      </c>
    </row>
    <row r="6112" spans="1:28" x14ac:dyDescent="0.25">
      <c r="A6112" t="s">
        <v>6116</v>
      </c>
      <c r="B6112">
        <v>0.99472303558308395</v>
      </c>
      <c r="C6112">
        <v>0.849231796116933</v>
      </c>
      <c r="D6112">
        <v>0.80655765580561301</v>
      </c>
      <c r="E6112">
        <v>0.57393258884843301</v>
      </c>
      <c r="F6112">
        <v>0.42171815692151599</v>
      </c>
      <c r="G6112">
        <v>0.30793302252697202</v>
      </c>
      <c r="H6112">
        <v>0.240395832393477</v>
      </c>
      <c r="I6112">
        <v>7.9816677140748193E-2</v>
      </c>
      <c r="J6112">
        <v>0.122880748205077</v>
      </c>
      <c r="K6112">
        <v>0.13636645683235199</v>
      </c>
      <c r="L6112">
        <v>487.16432785986302</v>
      </c>
      <c r="M6112">
        <v>10.161052950705701</v>
      </c>
      <c r="N6112">
        <v>48.511657138000999</v>
      </c>
      <c r="O6112">
        <v>46.198510863642497</v>
      </c>
      <c r="P6112">
        <v>-5.1928984653710902E-2</v>
      </c>
      <c r="Q6112">
        <v>5.60256442207719E-2</v>
      </c>
      <c r="R6112">
        <v>0.98749808121733396</v>
      </c>
      <c r="S6112" t="s">
        <v>12680</v>
      </c>
      <c r="T6112" t="s">
        <v>13134</v>
      </c>
      <c r="U6112" t="s">
        <v>13134</v>
      </c>
      <c r="V6112" t="s">
        <v>13134</v>
      </c>
      <c r="W6112" t="s">
        <v>19178</v>
      </c>
      <c r="X6112">
        <v>3</v>
      </c>
      <c r="Y6112" t="s">
        <v>25535</v>
      </c>
      <c r="Z6112" t="s">
        <v>32080</v>
      </c>
      <c r="AA6112">
        <v>0.43769245335048917</v>
      </c>
      <c r="AB6112" t="str">
        <f>HYPERLINK("Melting_Curves/meltCurve_Q9UBK9_UXT.pdf", "Melting_Curves/meltCurve_Q9UBK9_UXT.pdf")</f>
        <v>Melting_Curves/meltCurve_Q9UBK9_UXT.pdf</v>
      </c>
    </row>
    <row r="6113" spans="1:28" x14ac:dyDescent="0.25">
      <c r="A6113" t="s">
        <v>6117</v>
      </c>
      <c r="B6113">
        <v>0.99472303558308395</v>
      </c>
      <c r="C6113">
        <v>0.92757267924193698</v>
      </c>
      <c r="D6113">
        <v>0.873584457161657</v>
      </c>
      <c r="E6113">
        <v>0.79395952267555603</v>
      </c>
      <c r="F6113">
        <v>0.347083294923131</v>
      </c>
      <c r="G6113">
        <v>0.135472360047977</v>
      </c>
      <c r="H6113">
        <v>9.0069351944577103E-2</v>
      </c>
      <c r="I6113">
        <v>7.5900688933447202E-2</v>
      </c>
      <c r="J6113">
        <v>0.10777005761725</v>
      </c>
      <c r="K6113">
        <v>6.6849033719435402E-2</v>
      </c>
      <c r="L6113">
        <v>1189.67862704852</v>
      </c>
      <c r="M6113">
        <v>24.507069882060598</v>
      </c>
      <c r="N6113">
        <v>48.861439848686402</v>
      </c>
      <c r="O6113">
        <v>48.224544450528697</v>
      </c>
      <c r="P6113">
        <v>-0.117706434493226</v>
      </c>
      <c r="Q6113">
        <v>7.3531680339730607E-2</v>
      </c>
      <c r="R6113">
        <v>0.98940867711116498</v>
      </c>
      <c r="S6113" t="s">
        <v>12681</v>
      </c>
      <c r="T6113" t="s">
        <v>13134</v>
      </c>
      <c r="U6113" t="s">
        <v>13134</v>
      </c>
      <c r="V6113" t="s">
        <v>13134</v>
      </c>
      <c r="W6113" t="s">
        <v>19179</v>
      </c>
      <c r="X6113">
        <v>18</v>
      </c>
      <c r="Y6113" t="s">
        <v>25536</v>
      </c>
      <c r="Z6113" t="s">
        <v>32081</v>
      </c>
      <c r="AA6113">
        <v>0.43831873946303318</v>
      </c>
      <c r="AB6113" t="str">
        <f>HYPERLINK("Melting_Curves/meltCurve_Q9UBL3_3_ASH2L.pdf", "Melting_Curves/meltCurve_Q9UBL3_3_ASH2L.pdf")</f>
        <v>Melting_Curves/meltCurve_Q9UBL3_3_ASH2L.pdf</v>
      </c>
    </row>
    <row r="6114" spans="1:28" x14ac:dyDescent="0.25">
      <c r="A6114" t="s">
        <v>6118</v>
      </c>
      <c r="B6114">
        <v>0.99472303558308395</v>
      </c>
      <c r="C6114">
        <v>0.65821158501395105</v>
      </c>
      <c r="D6114">
        <v>0.75503104915958597</v>
      </c>
      <c r="E6114">
        <v>0.54839168349121004</v>
      </c>
      <c r="F6114">
        <v>0.33273714508103502</v>
      </c>
      <c r="G6114">
        <v>9.7391147143162896E-2</v>
      </c>
      <c r="H6114">
        <v>5.1763600738176603E-2</v>
      </c>
      <c r="I6114">
        <v>2.9863335091677899E-2</v>
      </c>
      <c r="J6114">
        <v>3.5676618107696102E-2</v>
      </c>
      <c r="K6114">
        <v>4.0028053042082699E-2</v>
      </c>
      <c r="L6114">
        <v>511.45184301437598</v>
      </c>
      <c r="M6114">
        <v>11.0707778152931</v>
      </c>
      <c r="N6114">
        <v>46.198377585864698</v>
      </c>
      <c r="O6114">
        <v>44.767807593827399</v>
      </c>
      <c r="P6114">
        <v>-6.1843667468847702E-2</v>
      </c>
      <c r="Q6114">
        <v>0</v>
      </c>
      <c r="R6114">
        <v>0.94802757940860405</v>
      </c>
      <c r="S6114" t="s">
        <v>12682</v>
      </c>
      <c r="T6114" t="s">
        <v>13134</v>
      </c>
      <c r="U6114" t="s">
        <v>13134</v>
      </c>
      <c r="V6114" t="s">
        <v>13134</v>
      </c>
      <c r="W6114" t="s">
        <v>19180</v>
      </c>
      <c r="X6114">
        <v>5</v>
      </c>
      <c r="Y6114" t="s">
        <v>25537</v>
      </c>
      <c r="Z6114" t="s">
        <v>32082</v>
      </c>
      <c r="AA6114">
        <v>0.34560010189628831</v>
      </c>
      <c r="AB6114" t="str">
        <f>HYPERLINK("Melting_Curves/meltCurve_Q9UBM7_DHCR7.pdf", "Melting_Curves/meltCurve_Q9UBM7_DHCR7.pdf")</f>
        <v>Melting_Curves/meltCurve_Q9UBM7_DHCR7.pdf</v>
      </c>
    </row>
    <row r="6115" spans="1:28" x14ac:dyDescent="0.25">
      <c r="A6115" t="s">
        <v>6119</v>
      </c>
      <c r="B6115">
        <v>0.99472303558308395</v>
      </c>
      <c r="C6115">
        <v>0.86569730955356405</v>
      </c>
      <c r="D6115">
        <v>1.04653153042642</v>
      </c>
      <c r="E6115">
        <v>0.77148875157599495</v>
      </c>
      <c r="F6115">
        <v>0.20276449298068799</v>
      </c>
      <c r="G6115">
        <v>8.4143499730277696E-2</v>
      </c>
      <c r="H6115">
        <v>5.0716701930580498E-2</v>
      </c>
      <c r="I6115">
        <v>4.0182204742400203E-2</v>
      </c>
      <c r="J6115">
        <v>3.9967295644071199E-2</v>
      </c>
      <c r="K6115">
        <v>3.7319162256581502E-2</v>
      </c>
      <c r="L6115">
        <v>1826.3244088905799</v>
      </c>
      <c r="M6115">
        <v>38.007935490629698</v>
      </c>
      <c r="N6115">
        <v>48.174913830434299</v>
      </c>
      <c r="O6115">
        <v>47.918697116418798</v>
      </c>
      <c r="P6115">
        <v>-0.189069734122746</v>
      </c>
      <c r="Q6115">
        <v>4.6519966238645002E-2</v>
      </c>
      <c r="R6115">
        <v>0.98766205992775202</v>
      </c>
      <c r="S6115" t="s">
        <v>12683</v>
      </c>
      <c r="T6115" t="s">
        <v>13134</v>
      </c>
      <c r="U6115" t="s">
        <v>13134</v>
      </c>
      <c r="V6115" t="s">
        <v>13134</v>
      </c>
      <c r="W6115" t="s">
        <v>19181</v>
      </c>
      <c r="X6115">
        <v>18</v>
      </c>
      <c r="Y6115" t="s">
        <v>25538</v>
      </c>
      <c r="Z6115" t="s">
        <v>32083</v>
      </c>
      <c r="AA6115">
        <v>0.40126491689235472</v>
      </c>
      <c r="AB6115" t="str">
        <f>HYPERLINK("Melting_Curves/meltCurve_Q9UBP0_3_SPAST.pdf", "Melting_Curves/meltCurve_Q9UBP0_3_SPAST.pdf")</f>
        <v>Melting_Curves/meltCurve_Q9UBP0_3_SPAST.pdf</v>
      </c>
    </row>
    <row r="6116" spans="1:28" x14ac:dyDescent="0.25">
      <c r="A6116" t="s">
        <v>6120</v>
      </c>
      <c r="B6116">
        <v>0.99472303558308395</v>
      </c>
      <c r="C6116">
        <v>0.90972911107226095</v>
      </c>
      <c r="D6116">
        <v>1.04479287810192</v>
      </c>
      <c r="E6116">
        <v>0.89872086093969605</v>
      </c>
      <c r="F6116">
        <v>0.70462221284591697</v>
      </c>
      <c r="G6116">
        <v>0.51073890710129699</v>
      </c>
      <c r="H6116">
        <v>0.107794383941404</v>
      </c>
      <c r="I6116">
        <v>5.5785663077630103E-2</v>
      </c>
      <c r="J6116">
        <v>5.4953752361062397E-2</v>
      </c>
      <c r="K6116">
        <v>4.5432898009499401E-2</v>
      </c>
      <c r="L6116">
        <v>1010.49336545211</v>
      </c>
      <c r="M6116">
        <v>19.081149723607101</v>
      </c>
      <c r="N6116">
        <v>52.961665917609899</v>
      </c>
      <c r="O6116">
        <v>52.386301285405203</v>
      </c>
      <c r="P6116">
        <v>-9.0998005533064696E-2</v>
      </c>
      <c r="Q6116">
        <v>7.1803937050972095E-4</v>
      </c>
      <c r="R6116">
        <v>0.98297350022926899</v>
      </c>
      <c r="S6116" t="s">
        <v>12684</v>
      </c>
      <c r="T6116" t="s">
        <v>13134</v>
      </c>
      <c r="U6116" t="s">
        <v>13134</v>
      </c>
      <c r="V6116" t="s">
        <v>13134</v>
      </c>
      <c r="W6116" t="s">
        <v>19182</v>
      </c>
      <c r="X6116">
        <v>8</v>
      </c>
      <c r="Y6116" t="s">
        <v>25539</v>
      </c>
      <c r="Z6116" t="s">
        <v>32084</v>
      </c>
      <c r="AA6116">
        <v>0.54572928753970884</v>
      </c>
      <c r="AB6116" t="str">
        <f>HYPERLINK("Melting_Curves/meltCurve_Q9UBP6_METTL1.pdf", "Melting_Curves/meltCurve_Q9UBP6_METTL1.pdf")</f>
        <v>Melting_Curves/meltCurve_Q9UBP6_METTL1.pdf</v>
      </c>
    </row>
    <row r="6117" spans="1:28" x14ac:dyDescent="0.25">
      <c r="A6117" t="s">
        <v>6121</v>
      </c>
      <c r="B6117">
        <v>0.99472303558308395</v>
      </c>
      <c r="C6117">
        <v>0.99022749263822196</v>
      </c>
      <c r="D6117">
        <v>0.83439000604338098</v>
      </c>
      <c r="E6117">
        <v>0.46442173683462001</v>
      </c>
      <c r="F6117">
        <v>0.25515323264366602</v>
      </c>
      <c r="G6117">
        <v>0.13260415004909301</v>
      </c>
      <c r="H6117">
        <v>7.5590923950891606E-2</v>
      </c>
      <c r="I6117">
        <v>5.21452891695173E-2</v>
      </c>
      <c r="J6117">
        <v>5.0012692813549003E-2</v>
      </c>
      <c r="K6117">
        <v>4.3678401005436802E-2</v>
      </c>
      <c r="L6117">
        <v>879.765981708445</v>
      </c>
      <c r="M6117">
        <v>18.995582273005699</v>
      </c>
      <c r="N6117">
        <v>46.579958517909503</v>
      </c>
      <c r="O6117">
        <v>45.810093688892898</v>
      </c>
      <c r="P6117">
        <v>-9.8345713675816002E-2</v>
      </c>
      <c r="Q6117">
        <v>5.1348146028473901E-2</v>
      </c>
      <c r="R6117">
        <v>0.99750585634257105</v>
      </c>
      <c r="S6117" t="s">
        <v>12685</v>
      </c>
      <c r="T6117" t="s">
        <v>13134</v>
      </c>
      <c r="U6117" t="s">
        <v>13134</v>
      </c>
      <c r="V6117" t="s">
        <v>13134</v>
      </c>
      <c r="W6117" t="s">
        <v>19183</v>
      </c>
      <c r="X6117">
        <v>7</v>
      </c>
      <c r="Y6117" t="s">
        <v>25540</v>
      </c>
      <c r="Z6117" t="s">
        <v>32085</v>
      </c>
      <c r="AA6117">
        <v>0.35962705153213981</v>
      </c>
      <c r="AB6117" t="str">
        <f>HYPERLINK("Melting_Curves/meltCurve_Q9UBP9_GULP1.pdf", "Melting_Curves/meltCurve_Q9UBP9_GULP1.pdf")</f>
        <v>Melting_Curves/meltCurve_Q9UBP9_GULP1.pdf</v>
      </c>
    </row>
    <row r="6118" spans="1:28" x14ac:dyDescent="0.25">
      <c r="A6118" t="s">
        <v>6122</v>
      </c>
      <c r="B6118">
        <v>0.99472303558308395</v>
      </c>
      <c r="C6118">
        <v>0.84874834236529995</v>
      </c>
      <c r="D6118">
        <v>1.14167647701924</v>
      </c>
      <c r="E6118">
        <v>1.02579229779506</v>
      </c>
      <c r="F6118">
        <v>0.76760065167962099</v>
      </c>
      <c r="G6118">
        <v>0.48803949190378998</v>
      </c>
      <c r="H6118">
        <v>7.4997215184479604E-2</v>
      </c>
      <c r="I6118">
        <v>4.24534558297524E-2</v>
      </c>
      <c r="J6118">
        <v>3.5456517611344503E-2</v>
      </c>
      <c r="K6118">
        <v>3.9005748561969103E-2</v>
      </c>
      <c r="L6118">
        <v>1404.4041362585201</v>
      </c>
      <c r="M6118">
        <v>26.4143590493338</v>
      </c>
      <c r="N6118">
        <v>53.222321316636801</v>
      </c>
      <c r="O6118">
        <v>52.866276948438198</v>
      </c>
      <c r="P6118">
        <v>-0.12325749583072799</v>
      </c>
      <c r="Q6118">
        <v>1.32496530647101E-2</v>
      </c>
      <c r="R6118">
        <v>0.97020868776693303</v>
      </c>
      <c r="S6118" t="s">
        <v>12686</v>
      </c>
      <c r="T6118" t="s">
        <v>13134</v>
      </c>
      <c r="U6118" t="s">
        <v>13134</v>
      </c>
      <c r="V6118" t="s">
        <v>13134</v>
      </c>
      <c r="W6118" t="s">
        <v>19184</v>
      </c>
      <c r="X6118">
        <v>14</v>
      </c>
      <c r="Y6118" t="s">
        <v>25541</v>
      </c>
      <c r="Z6118" t="s">
        <v>32086</v>
      </c>
      <c r="AA6118">
        <v>0.55296663900386867</v>
      </c>
      <c r="AB6118" t="str">
        <f>HYPERLINK("Melting_Curves/meltCurve_Q9UBQ7_GRHPR.pdf", "Melting_Curves/meltCurve_Q9UBQ7_GRHPR.pdf")</f>
        <v>Melting_Curves/meltCurve_Q9UBQ7_GRHPR.pdf</v>
      </c>
    </row>
    <row r="6119" spans="1:28" x14ac:dyDescent="0.25">
      <c r="A6119" t="s">
        <v>6123</v>
      </c>
      <c r="B6119">
        <v>0.99472303558308395</v>
      </c>
      <c r="C6119">
        <v>0.94853741876114095</v>
      </c>
      <c r="D6119">
        <v>1.0074610012904299</v>
      </c>
      <c r="E6119">
        <v>0.90902463624656804</v>
      </c>
      <c r="F6119">
        <v>0.63879384442412002</v>
      </c>
      <c r="G6119">
        <v>0.58005223678362094</v>
      </c>
      <c r="H6119">
        <v>0.38276126083551498</v>
      </c>
      <c r="I6119">
        <v>0.16237354920364</v>
      </c>
      <c r="J6119">
        <v>0.15528357657980699</v>
      </c>
      <c r="K6119">
        <v>0.138674356241792</v>
      </c>
      <c r="L6119">
        <v>654.06470057809099</v>
      </c>
      <c r="M6119">
        <v>12.1078656237258</v>
      </c>
      <c r="N6119">
        <v>54.303460460477403</v>
      </c>
      <c r="O6119">
        <v>52.6095864447678</v>
      </c>
      <c r="P6119">
        <v>-5.5786338791751898E-2</v>
      </c>
      <c r="Q6119">
        <v>3.06423733883129E-2</v>
      </c>
      <c r="R6119">
        <v>0.98277246543852204</v>
      </c>
      <c r="S6119" t="s">
        <v>12687</v>
      </c>
      <c r="T6119" t="s">
        <v>13134</v>
      </c>
      <c r="U6119" t="s">
        <v>13134</v>
      </c>
      <c r="V6119" t="s">
        <v>13134</v>
      </c>
      <c r="W6119" t="s">
        <v>19185</v>
      </c>
      <c r="X6119">
        <v>9</v>
      </c>
      <c r="Y6119" t="s">
        <v>25542</v>
      </c>
      <c r="Z6119" t="s">
        <v>32087</v>
      </c>
      <c r="AA6119">
        <v>0.59786010150539803</v>
      </c>
      <c r="AB6119" t="str">
        <f>HYPERLINK("Melting_Curves/meltCurve_Q9UBR2_CTSZ.pdf", "Melting_Curves/meltCurve_Q9UBR2_CTSZ.pdf")</f>
        <v>Melting_Curves/meltCurve_Q9UBR2_CTSZ.pdf</v>
      </c>
    </row>
    <row r="6120" spans="1:28" x14ac:dyDescent="0.25">
      <c r="A6120" t="s">
        <v>6124</v>
      </c>
      <c r="B6120">
        <v>0.99472303558308395</v>
      </c>
      <c r="C6120">
        <v>1.0370309790772201</v>
      </c>
      <c r="D6120">
        <v>0.85292108796476895</v>
      </c>
      <c r="E6120">
        <v>0.35587807899799201</v>
      </c>
      <c r="F6120">
        <v>0.133304214442973</v>
      </c>
      <c r="G6120">
        <v>8.0158822688590398E-2</v>
      </c>
      <c r="H6120">
        <v>4.8144153624195503E-2</v>
      </c>
      <c r="I6120">
        <v>4.3396375453000298E-2</v>
      </c>
      <c r="J6120">
        <v>4.7751651158997099E-2</v>
      </c>
      <c r="K6120">
        <v>3.37441480159563E-2</v>
      </c>
      <c r="L6120">
        <v>1338.9856642462801</v>
      </c>
      <c r="M6120">
        <v>29.434646761445201</v>
      </c>
      <c r="N6120">
        <v>45.6589924259954</v>
      </c>
      <c r="O6120">
        <v>45.281691936627098</v>
      </c>
      <c r="P6120">
        <v>-0.15412834018018801</v>
      </c>
      <c r="Q6120">
        <v>5.1574164702933203E-2</v>
      </c>
      <c r="R6120">
        <v>0.99738659523744799</v>
      </c>
      <c r="S6120" t="s">
        <v>12688</v>
      </c>
      <c r="T6120" t="s">
        <v>13134</v>
      </c>
      <c r="U6120" t="s">
        <v>13134</v>
      </c>
      <c r="V6120" t="s">
        <v>13134</v>
      </c>
      <c r="W6120" t="s">
        <v>19186</v>
      </c>
      <c r="X6120">
        <v>5</v>
      </c>
      <c r="Y6120" t="s">
        <v>25543</v>
      </c>
      <c r="Z6120" t="s">
        <v>32088</v>
      </c>
      <c r="AA6120">
        <v>0.32556023598692979</v>
      </c>
      <c r="AB6120" t="str">
        <f>HYPERLINK("Melting_Curves/meltCurve_Q9UBS0_RPS6KB2.pdf", "Melting_Curves/meltCurve_Q9UBS0_RPS6KB2.pdf")</f>
        <v>Melting_Curves/meltCurve_Q9UBS0_RPS6KB2.pdf</v>
      </c>
    </row>
    <row r="6121" spans="1:28" x14ac:dyDescent="0.25">
      <c r="A6121" t="s">
        <v>6125</v>
      </c>
      <c r="B6121">
        <v>0.99472303558308395</v>
      </c>
      <c r="C6121">
        <v>0.79830332549983096</v>
      </c>
      <c r="D6121">
        <v>0.88976326278385398</v>
      </c>
      <c r="E6121">
        <v>0.69209437398531204</v>
      </c>
      <c r="F6121">
        <v>0.54107799258354705</v>
      </c>
      <c r="G6121">
        <v>0.27795058895740798</v>
      </c>
      <c r="H6121">
        <v>0.14058046479473299</v>
      </c>
      <c r="I6121">
        <v>6.4240488184383396E-2</v>
      </c>
      <c r="J6121">
        <v>5.3491250522879903E-2</v>
      </c>
      <c r="K6121">
        <v>5.70855587747916E-2</v>
      </c>
      <c r="L6121">
        <v>592.18724253397102</v>
      </c>
      <c r="M6121">
        <v>11.8893892732672</v>
      </c>
      <c r="N6121">
        <v>49.808058466045502</v>
      </c>
      <c r="O6121">
        <v>48.461682555453798</v>
      </c>
      <c r="P6121">
        <v>-6.1349293964072599E-2</v>
      </c>
      <c r="Q6121">
        <v>0</v>
      </c>
      <c r="R6121">
        <v>0.97568912170144995</v>
      </c>
      <c r="S6121" t="s">
        <v>12689</v>
      </c>
      <c r="T6121" t="s">
        <v>13134</v>
      </c>
      <c r="U6121" t="s">
        <v>13134</v>
      </c>
      <c r="V6121" t="s">
        <v>13134</v>
      </c>
      <c r="W6121" t="s">
        <v>13795</v>
      </c>
      <c r="X6121">
        <v>12</v>
      </c>
      <c r="Y6121" t="s">
        <v>20289</v>
      </c>
      <c r="Z6121" t="s">
        <v>32089</v>
      </c>
      <c r="AA6121">
        <v>0.4555891594569722</v>
      </c>
      <c r="AB6121" t="str">
        <f>HYPERLINK("Melting_Curves/meltCurve_Q9UBS4_DNAJB11.pdf", "Melting_Curves/meltCurve_Q9UBS4_DNAJB11.pdf")</f>
        <v>Melting_Curves/meltCurve_Q9UBS4_DNAJB11.pdf</v>
      </c>
    </row>
    <row r="6122" spans="1:28" x14ac:dyDescent="0.25">
      <c r="A6122" t="s">
        <v>6126</v>
      </c>
      <c r="B6122">
        <v>0.99472303558308395</v>
      </c>
      <c r="C6122">
        <v>0.993131919036218</v>
      </c>
      <c r="D6122">
        <v>0.94881860276795105</v>
      </c>
      <c r="E6122">
        <v>0.84232446230005598</v>
      </c>
      <c r="F6122">
        <v>0.32291382748587799</v>
      </c>
      <c r="G6122">
        <v>0.10312919087214401</v>
      </c>
      <c r="H6122">
        <v>5.3065564767892703E-2</v>
      </c>
      <c r="I6122">
        <v>3.3373616851676197E-2</v>
      </c>
      <c r="J6122">
        <v>3.8186123099934501E-2</v>
      </c>
      <c r="K6122">
        <v>2.8247589031534799E-2</v>
      </c>
      <c r="L6122">
        <v>1530.4570779246901</v>
      </c>
      <c r="M6122">
        <v>31.302904885134399</v>
      </c>
      <c r="N6122">
        <v>49.012895529669699</v>
      </c>
      <c r="O6122">
        <v>48.693617566535501</v>
      </c>
      <c r="P6122">
        <v>-0.15473652407851099</v>
      </c>
      <c r="Q6122">
        <v>3.7196109647437699E-2</v>
      </c>
      <c r="R6122">
        <v>0.99883320433637102</v>
      </c>
      <c r="S6122" t="s">
        <v>12690</v>
      </c>
      <c r="T6122" t="s">
        <v>13134</v>
      </c>
      <c r="U6122" t="s">
        <v>13134</v>
      </c>
      <c r="V6122" t="s">
        <v>13134</v>
      </c>
      <c r="W6122" t="s">
        <v>19187</v>
      </c>
      <c r="X6122">
        <v>10</v>
      </c>
      <c r="Y6122" t="s">
        <v>25544</v>
      </c>
      <c r="Z6122" t="s">
        <v>32090</v>
      </c>
      <c r="AA6122">
        <v>0.42417113366544529</v>
      </c>
      <c r="AB6122" t="str">
        <f>HYPERLINK("Melting_Curves/meltCurve_Q9UBS8_RNF14.pdf", "Melting_Curves/meltCurve_Q9UBS8_RNF14.pdf")</f>
        <v>Melting_Curves/meltCurve_Q9UBS8_RNF14.pdf</v>
      </c>
    </row>
    <row r="6123" spans="1:28" x14ac:dyDescent="0.25">
      <c r="A6123" t="s">
        <v>6127</v>
      </c>
      <c r="B6123">
        <v>0.99472303558308395</v>
      </c>
      <c r="C6123">
        <v>1.00446796063967</v>
      </c>
      <c r="D6123">
        <v>1.01238562264678</v>
      </c>
      <c r="E6123">
        <v>0.89651560543670195</v>
      </c>
      <c r="F6123">
        <v>0.472721875252341</v>
      </c>
      <c r="G6123">
        <v>0.11776894317718201</v>
      </c>
      <c r="H6123">
        <v>6.50004193772422E-2</v>
      </c>
      <c r="I6123">
        <v>4.2347911015860898E-2</v>
      </c>
      <c r="J6123">
        <v>4.4032562979428501E-2</v>
      </c>
      <c r="K6123">
        <v>3.8825853942023002E-2</v>
      </c>
      <c r="L6123">
        <v>1573.8520256670699</v>
      </c>
      <c r="M6123">
        <v>31.572728655092501</v>
      </c>
      <c r="N6123">
        <v>49.9845368440226</v>
      </c>
      <c r="O6123">
        <v>49.6497556778207</v>
      </c>
      <c r="P6123">
        <v>-0.152431258803127</v>
      </c>
      <c r="Q6123">
        <v>4.1180631368132402E-2</v>
      </c>
      <c r="R6123">
        <v>0.99964478292294701</v>
      </c>
      <c r="S6123" t="s">
        <v>12691</v>
      </c>
      <c r="T6123" t="s">
        <v>13134</v>
      </c>
      <c r="U6123" t="s">
        <v>13134</v>
      </c>
      <c r="V6123" t="s">
        <v>13134</v>
      </c>
      <c r="W6123" t="s">
        <v>19188</v>
      </c>
      <c r="X6123">
        <v>32</v>
      </c>
      <c r="Y6123" t="s">
        <v>25545</v>
      </c>
      <c r="Z6123" t="s">
        <v>32091</v>
      </c>
      <c r="AA6123">
        <v>0.45712868646562238</v>
      </c>
      <c r="AB6123" t="str">
        <f>HYPERLINK("Melting_Curves/meltCurve_Q9UBT2_UBA2.pdf", "Melting_Curves/meltCurve_Q9UBT2_UBA2.pdf")</f>
        <v>Melting_Curves/meltCurve_Q9UBT2_UBA2.pdf</v>
      </c>
    </row>
    <row r="6124" spans="1:28" x14ac:dyDescent="0.25">
      <c r="A6124" t="s">
        <v>6128</v>
      </c>
      <c r="B6124">
        <v>0.99472303558308395</v>
      </c>
      <c r="C6124">
        <v>0.99864692508154196</v>
      </c>
      <c r="D6124">
        <v>0.84306277438894095</v>
      </c>
      <c r="E6124">
        <v>0.67598174860447502</v>
      </c>
      <c r="F6124">
        <v>0.56703593627471505</v>
      </c>
      <c r="G6124">
        <v>0.35914220762397903</v>
      </c>
      <c r="H6124">
        <v>0.25662367493490201</v>
      </c>
      <c r="I6124">
        <v>0.17848940033076</v>
      </c>
      <c r="J6124">
        <v>0.17087861977869701</v>
      </c>
      <c r="K6124">
        <v>0.119960314300129</v>
      </c>
      <c r="L6124">
        <v>544.17075682385996</v>
      </c>
      <c r="M6124">
        <v>10.880918108941501</v>
      </c>
      <c r="N6124">
        <v>50.7675573200777</v>
      </c>
      <c r="O6124">
        <v>48.411187674970797</v>
      </c>
      <c r="P6124">
        <v>-5.2005337516380902E-2</v>
      </c>
      <c r="Q6124">
        <v>7.4800608672226904E-2</v>
      </c>
      <c r="R6124">
        <v>0.99339504706201798</v>
      </c>
      <c r="S6124" t="s">
        <v>12692</v>
      </c>
      <c r="T6124" t="s">
        <v>13134</v>
      </c>
      <c r="U6124" t="s">
        <v>13134</v>
      </c>
      <c r="V6124" t="s">
        <v>13134</v>
      </c>
      <c r="W6124" t="s">
        <v>19189</v>
      </c>
      <c r="X6124">
        <v>4</v>
      </c>
      <c r="Y6124" t="s">
        <v>25546</v>
      </c>
      <c r="Z6124" t="s">
        <v>32092</v>
      </c>
      <c r="AA6124">
        <v>0.50491257491026509</v>
      </c>
      <c r="AB6124" t="str">
        <f>HYPERLINK("Melting_Curves/meltCurve_Q9UBU6_FAM8A1.pdf", "Melting_Curves/meltCurve_Q9UBU6_FAM8A1.pdf")</f>
        <v>Melting_Curves/meltCurve_Q9UBU6_FAM8A1.pdf</v>
      </c>
    </row>
    <row r="6125" spans="1:28" x14ac:dyDescent="0.25">
      <c r="A6125" t="s">
        <v>6129</v>
      </c>
      <c r="B6125">
        <v>0.99472303558308395</v>
      </c>
      <c r="C6125">
        <v>1.0284365354017999</v>
      </c>
      <c r="D6125">
        <v>1.0433726541936199</v>
      </c>
      <c r="E6125">
        <v>0.92553395163422203</v>
      </c>
      <c r="F6125">
        <v>0.68684080665146396</v>
      </c>
      <c r="G6125">
        <v>0.40931094041064597</v>
      </c>
      <c r="H6125">
        <v>7.56009009609587E-2</v>
      </c>
      <c r="I6125">
        <v>4.73043612945587E-2</v>
      </c>
      <c r="J6125">
        <v>4.3486201615944402E-2</v>
      </c>
      <c r="K6125">
        <v>3.8105759001900302E-2</v>
      </c>
      <c r="L6125">
        <v>1142.38019517412</v>
      </c>
      <c r="M6125">
        <v>21.8589278137155</v>
      </c>
      <c r="N6125">
        <v>52.321184461785201</v>
      </c>
      <c r="O6125">
        <v>51.829996377290399</v>
      </c>
      <c r="P6125">
        <v>-0.10413980158264</v>
      </c>
      <c r="Q6125">
        <v>1.23135447995738E-2</v>
      </c>
      <c r="R6125">
        <v>0.99388240553149598</v>
      </c>
      <c r="S6125" t="s">
        <v>12693</v>
      </c>
      <c r="T6125" t="s">
        <v>13134</v>
      </c>
      <c r="U6125" t="s">
        <v>13134</v>
      </c>
      <c r="V6125" t="s">
        <v>13134</v>
      </c>
      <c r="W6125" t="s">
        <v>19190</v>
      </c>
      <c r="X6125">
        <v>7</v>
      </c>
      <c r="Y6125" t="s">
        <v>25547</v>
      </c>
      <c r="Z6125" t="s">
        <v>32093</v>
      </c>
      <c r="AA6125">
        <v>0.52578115465413355</v>
      </c>
      <c r="AB6125" t="str">
        <f>HYPERLINK("Melting_Curves/meltCurve_Q9UBU9_NXF1.pdf", "Melting_Curves/meltCurve_Q9UBU9_NXF1.pdf")</f>
        <v>Melting_Curves/meltCurve_Q9UBU9_NXF1.pdf</v>
      </c>
    </row>
    <row r="6126" spans="1:28" x14ac:dyDescent="0.25">
      <c r="A6126" t="s">
        <v>6130</v>
      </c>
      <c r="B6126">
        <v>0.99472303558308395</v>
      </c>
      <c r="C6126">
        <v>0.77507417991990701</v>
      </c>
      <c r="D6126">
        <v>0.83833738137150904</v>
      </c>
      <c r="E6126">
        <v>0.65479595795422396</v>
      </c>
      <c r="F6126">
        <v>0.58061853729384105</v>
      </c>
      <c r="G6126">
        <v>0.33431249666351798</v>
      </c>
      <c r="H6126">
        <v>0.113757205773984</v>
      </c>
      <c r="I6126">
        <v>0.17394078405629901</v>
      </c>
      <c r="J6126">
        <v>0.19871043592131901</v>
      </c>
      <c r="K6126">
        <v>0.16487014338147199</v>
      </c>
      <c r="L6126">
        <v>465.80744355985098</v>
      </c>
      <c r="M6126">
        <v>9.4654816169486793</v>
      </c>
      <c r="N6126">
        <v>49.835300308254702</v>
      </c>
      <c r="O6126">
        <v>47.164790109174199</v>
      </c>
      <c r="P6126">
        <v>-4.7396564650290997E-2</v>
      </c>
      <c r="Q6126">
        <v>5.5892464452270897E-2</v>
      </c>
      <c r="R6126">
        <v>0.94572105643443705</v>
      </c>
      <c r="S6126" t="s">
        <v>12694</v>
      </c>
      <c r="T6126" t="s">
        <v>13134</v>
      </c>
      <c r="U6126" t="s">
        <v>13134</v>
      </c>
      <c r="V6126" t="s">
        <v>13134</v>
      </c>
      <c r="W6126" t="s">
        <v>19191</v>
      </c>
      <c r="X6126">
        <v>6</v>
      </c>
      <c r="Y6126" t="s">
        <v>25548</v>
      </c>
      <c r="Z6126" t="s">
        <v>32094</v>
      </c>
      <c r="AA6126">
        <v>0.47666615737190132</v>
      </c>
      <c r="AB6126" t="str">
        <f>HYPERLINK("Melting_Curves/meltCurve_Q9UBV2_SEL1L.pdf", "Melting_Curves/meltCurve_Q9UBV2_SEL1L.pdf")</f>
        <v>Melting_Curves/meltCurve_Q9UBV2_SEL1L.pdf</v>
      </c>
    </row>
    <row r="6127" spans="1:28" x14ac:dyDescent="0.25">
      <c r="A6127" t="s">
        <v>6131</v>
      </c>
      <c r="B6127">
        <v>0.99472303558308395</v>
      </c>
      <c r="C6127">
        <v>0.99655252199279698</v>
      </c>
      <c r="D6127">
        <v>0.938972371023158</v>
      </c>
      <c r="E6127">
        <v>0.73156176664865802</v>
      </c>
      <c r="F6127">
        <v>0.55840199048265804</v>
      </c>
      <c r="G6127">
        <v>0.273081039632181</v>
      </c>
      <c r="H6127">
        <v>0.103298046772969</v>
      </c>
      <c r="I6127">
        <v>7.7193218663873506E-2</v>
      </c>
      <c r="J6127">
        <v>3.9696199195345297E-2</v>
      </c>
      <c r="K6127">
        <v>4.18406511637123E-2</v>
      </c>
      <c r="L6127">
        <v>763.26221436416597</v>
      </c>
      <c r="M6127">
        <v>15.153056156596801</v>
      </c>
      <c r="N6127">
        <v>50.393171625064603</v>
      </c>
      <c r="O6127">
        <v>49.5173655333573</v>
      </c>
      <c r="P6127">
        <v>-7.6247691874171297E-2</v>
      </c>
      <c r="Q6127">
        <v>3.443726612243E-3</v>
      </c>
      <c r="R6127">
        <v>0.99640543731019604</v>
      </c>
      <c r="S6127" t="s">
        <v>12695</v>
      </c>
      <c r="T6127" t="s">
        <v>13134</v>
      </c>
      <c r="U6127" t="s">
        <v>13134</v>
      </c>
      <c r="V6127" t="s">
        <v>13134</v>
      </c>
      <c r="W6127" t="s">
        <v>19192</v>
      </c>
      <c r="X6127">
        <v>1</v>
      </c>
      <c r="Y6127" t="s">
        <v>25549</v>
      </c>
      <c r="Z6127" t="s">
        <v>32095</v>
      </c>
      <c r="AA6127">
        <v>0.46785921012752979</v>
      </c>
      <c r="AB6127" t="str">
        <f>HYPERLINK("Melting_Curves/meltCurve_Q9UBV7_B4GALT7.pdf", "Melting_Curves/meltCurve_Q9UBV7_B4GALT7.pdf")</f>
        <v>Melting_Curves/meltCurve_Q9UBV7_B4GALT7.pdf</v>
      </c>
    </row>
    <row r="6128" spans="1:28" x14ac:dyDescent="0.25">
      <c r="A6128" t="s">
        <v>6132</v>
      </c>
      <c r="B6128">
        <v>0.99472303558308395</v>
      </c>
      <c r="C6128">
        <v>0.93686075202519303</v>
      </c>
      <c r="D6128">
        <v>1.1380518025495701</v>
      </c>
      <c r="E6128">
        <v>0.93511604347890698</v>
      </c>
      <c r="F6128">
        <v>0.61273429298711901</v>
      </c>
      <c r="G6128">
        <v>0.30356228308657002</v>
      </c>
      <c r="H6128">
        <v>0.107339879343709</v>
      </c>
      <c r="I6128">
        <v>8.0280757982394493E-2</v>
      </c>
      <c r="J6128">
        <v>7.5383380857357796E-2</v>
      </c>
      <c r="K6128">
        <v>7.2020555096941594E-2</v>
      </c>
      <c r="L6128">
        <v>1296.64267205339</v>
      </c>
      <c r="M6128">
        <v>25.373194279065999</v>
      </c>
      <c r="N6128">
        <v>51.402636541623401</v>
      </c>
      <c r="O6128">
        <v>50.788597492803198</v>
      </c>
      <c r="P6128">
        <v>-0.116307910954688</v>
      </c>
      <c r="Q6128">
        <v>6.8774619215103902E-2</v>
      </c>
      <c r="R6128">
        <v>0.98466446279083397</v>
      </c>
      <c r="S6128" t="s">
        <v>12696</v>
      </c>
      <c r="T6128" t="s">
        <v>13134</v>
      </c>
      <c r="U6128" t="s">
        <v>13134</v>
      </c>
      <c r="V6128" t="s">
        <v>13134</v>
      </c>
      <c r="W6128" t="s">
        <v>19193</v>
      </c>
      <c r="X6128">
        <v>5</v>
      </c>
      <c r="Y6128" t="s">
        <v>25550</v>
      </c>
      <c r="Z6128" t="s">
        <v>32096</v>
      </c>
      <c r="AA6128">
        <v>0.51453738270507021</v>
      </c>
      <c r="AB6128" t="str">
        <f>HYPERLINK("Melting_Curves/meltCurve_Q9UBV8_PEF1.pdf", "Melting_Curves/meltCurve_Q9UBV8_PEF1.pdf")</f>
        <v>Melting_Curves/meltCurve_Q9UBV8_PEF1.pdf</v>
      </c>
    </row>
    <row r="6129" spans="1:28" x14ac:dyDescent="0.25">
      <c r="A6129" t="s">
        <v>6133</v>
      </c>
      <c r="B6129">
        <v>0.99472303558308395</v>
      </c>
      <c r="C6129">
        <v>0.79362549942887906</v>
      </c>
      <c r="D6129">
        <v>0.59038504892329602</v>
      </c>
      <c r="E6129">
        <v>0.35645768652750898</v>
      </c>
      <c r="F6129">
        <v>0.183680209077903</v>
      </c>
      <c r="G6129">
        <v>0.126726520164295</v>
      </c>
      <c r="H6129">
        <v>9.7072041930702499E-2</v>
      </c>
      <c r="I6129">
        <v>7.1400494723672603E-2</v>
      </c>
      <c r="J6129">
        <v>9.8314221655766906E-2</v>
      </c>
      <c r="K6129">
        <v>9.0113613874612003E-2</v>
      </c>
      <c r="L6129">
        <v>660.04118741226398</v>
      </c>
      <c r="M6129">
        <v>15.103172769196201</v>
      </c>
      <c r="N6129">
        <v>44.192992055670402</v>
      </c>
      <c r="O6129">
        <v>42.957481359269401</v>
      </c>
      <c r="P6129">
        <v>-8.1117081073221201E-2</v>
      </c>
      <c r="Q6129">
        <v>7.7215796782769797E-2</v>
      </c>
      <c r="R6129">
        <v>0.99552874281494996</v>
      </c>
      <c r="S6129" t="s">
        <v>12697</v>
      </c>
      <c r="T6129" t="s">
        <v>13134</v>
      </c>
      <c r="U6129" t="s">
        <v>13134</v>
      </c>
      <c r="V6129" t="s">
        <v>13134</v>
      </c>
      <c r="W6129" t="s">
        <v>19194</v>
      </c>
      <c r="X6129">
        <v>5</v>
      </c>
      <c r="Y6129" t="s">
        <v>25551</v>
      </c>
      <c r="Z6129" t="s">
        <v>32097</v>
      </c>
      <c r="AA6129">
        <v>0.30633219465987283</v>
      </c>
      <c r="AB6129" t="str">
        <f>HYPERLINK("Melting_Curves/meltCurve_Q9UBW7_ZMYM2.pdf", "Melting_Curves/meltCurve_Q9UBW7_ZMYM2.pdf")</f>
        <v>Melting_Curves/meltCurve_Q9UBW7_ZMYM2.pdf</v>
      </c>
    </row>
    <row r="6130" spans="1:28" x14ac:dyDescent="0.25">
      <c r="A6130" t="s">
        <v>6134</v>
      </c>
      <c r="B6130">
        <v>0.99472303558308395</v>
      </c>
      <c r="C6130">
        <v>0.97303404759596002</v>
      </c>
      <c r="D6130">
        <v>0.90464524793714196</v>
      </c>
      <c r="E6130">
        <v>0.74148631006923404</v>
      </c>
      <c r="F6130">
        <v>0.77302137623307599</v>
      </c>
      <c r="G6130">
        <v>0.378991230889138</v>
      </c>
      <c r="H6130">
        <v>9.7440955978322294E-2</v>
      </c>
      <c r="I6130">
        <v>6.0332323225022098E-2</v>
      </c>
      <c r="J6130">
        <v>5.9185532655858401E-2</v>
      </c>
      <c r="K6130">
        <v>5.1606435603565197E-2</v>
      </c>
      <c r="L6130">
        <v>851.31473893959799</v>
      </c>
      <c r="M6130">
        <v>16.342558264362999</v>
      </c>
      <c r="N6130">
        <v>52.091887450542302</v>
      </c>
      <c r="O6130">
        <v>51.330638760499099</v>
      </c>
      <c r="P6130">
        <v>-7.9600287679091802E-2</v>
      </c>
      <c r="Q6130">
        <v>0</v>
      </c>
      <c r="R6130">
        <v>0.97020390876711105</v>
      </c>
      <c r="S6130" t="s">
        <v>12698</v>
      </c>
      <c r="T6130" t="s">
        <v>13134</v>
      </c>
      <c r="U6130" t="s">
        <v>13134</v>
      </c>
      <c r="V6130" t="s">
        <v>13134</v>
      </c>
      <c r="W6130" t="s">
        <v>19195</v>
      </c>
      <c r="X6130">
        <v>7</v>
      </c>
      <c r="Y6130" t="s">
        <v>25552</v>
      </c>
      <c r="Z6130" t="s">
        <v>32098</v>
      </c>
      <c r="AA6130">
        <v>0.52022770028952547</v>
      </c>
      <c r="AB6130" t="str">
        <f>HYPERLINK("Melting_Curves/meltCurve_Q9UBW8_COPS7A.pdf", "Melting_Curves/meltCurve_Q9UBW8_COPS7A.pdf")</f>
        <v>Melting_Curves/meltCurve_Q9UBW8_COPS7A.pdf</v>
      </c>
    </row>
    <row r="6131" spans="1:28" x14ac:dyDescent="0.25">
      <c r="A6131" t="s">
        <v>6135</v>
      </c>
      <c r="B6131">
        <v>0.99472303558308395</v>
      </c>
      <c r="C6131">
        <v>1.00897581110164</v>
      </c>
      <c r="D6131">
        <v>0.79124843780894705</v>
      </c>
      <c r="E6131">
        <v>0.65732110633379803</v>
      </c>
      <c r="F6131">
        <v>0.41389710653976403</v>
      </c>
      <c r="G6131">
        <v>0.25110565036968902</v>
      </c>
      <c r="H6131">
        <v>0.24563626796610999</v>
      </c>
      <c r="I6131">
        <v>0.26865189850983801</v>
      </c>
      <c r="J6131">
        <v>0.274459778272163</v>
      </c>
      <c r="K6131">
        <v>0.27106970402618702</v>
      </c>
      <c r="L6131">
        <v>832.62762839095205</v>
      </c>
      <c r="M6131">
        <v>17.914405463808102</v>
      </c>
      <c r="N6131">
        <v>48.307980543585302</v>
      </c>
      <c r="O6131">
        <v>45.910562564227497</v>
      </c>
      <c r="P6131">
        <v>-7.3524336904324805E-2</v>
      </c>
      <c r="Q6131">
        <v>0.24633308508739901</v>
      </c>
      <c r="R6131">
        <v>0.98532242890639699</v>
      </c>
      <c r="S6131" t="s">
        <v>12699</v>
      </c>
      <c r="T6131" t="s">
        <v>13134</v>
      </c>
      <c r="U6131" t="s">
        <v>13134</v>
      </c>
      <c r="V6131" t="s">
        <v>13134</v>
      </c>
      <c r="W6131" t="s">
        <v>13310</v>
      </c>
      <c r="X6131">
        <v>14</v>
      </c>
      <c r="Y6131" t="s">
        <v>19801</v>
      </c>
      <c r="Z6131" t="s">
        <v>32099</v>
      </c>
      <c r="AA6131">
        <v>0.49669257614492662</v>
      </c>
      <c r="AB6131" t="str">
        <f>HYPERLINK("Melting_Curves/meltCurve_Q9UBX3_SLC25A10.pdf", "Melting_Curves/meltCurve_Q9UBX3_SLC25A10.pdf")</f>
        <v>Melting_Curves/meltCurve_Q9UBX3_SLC25A10.pdf</v>
      </c>
    </row>
    <row r="6132" spans="1:28" x14ac:dyDescent="0.25">
      <c r="A6132" t="s">
        <v>6136</v>
      </c>
      <c r="B6132">
        <v>0.99472303558308395</v>
      </c>
      <c r="C6132">
        <v>0.96680315727948796</v>
      </c>
      <c r="D6132">
        <v>0.79359796517354497</v>
      </c>
      <c r="E6132">
        <v>0.57907771882894299</v>
      </c>
      <c r="F6132">
        <v>0.49758433400631602</v>
      </c>
      <c r="G6132">
        <v>0.35364271519296903</v>
      </c>
      <c r="H6132">
        <v>0.27100300140202699</v>
      </c>
      <c r="I6132">
        <v>0.252726453736632</v>
      </c>
      <c r="J6132">
        <v>0.313308351705195</v>
      </c>
      <c r="K6132">
        <v>0.31918584751033402</v>
      </c>
      <c r="L6132">
        <v>684.46191266248502</v>
      </c>
      <c r="M6132">
        <v>14.869533877911699</v>
      </c>
      <c r="N6132">
        <v>48.697262353250899</v>
      </c>
      <c r="O6132">
        <v>45.222673992207802</v>
      </c>
      <c r="P6132">
        <v>-5.9316506721079403E-2</v>
      </c>
      <c r="Q6132">
        <v>0.27847888448930203</v>
      </c>
      <c r="R6132">
        <v>0.98501425771548001</v>
      </c>
      <c r="S6132" t="s">
        <v>12700</v>
      </c>
      <c r="T6132" t="s">
        <v>13134</v>
      </c>
      <c r="U6132" t="s">
        <v>13134</v>
      </c>
      <c r="V6132" t="s">
        <v>13134</v>
      </c>
      <c r="W6132" t="s">
        <v>19196</v>
      </c>
      <c r="X6132">
        <v>1</v>
      </c>
      <c r="Y6132" t="s">
        <v>25553</v>
      </c>
      <c r="Z6132" t="s">
        <v>32100</v>
      </c>
      <c r="AA6132">
        <v>0.51258717061566117</v>
      </c>
      <c r="AB6132" t="str">
        <f>HYPERLINK("Melting_Curves/meltCurve_Q9UBY8_CLN8.pdf", "Melting_Curves/meltCurve_Q9UBY8_CLN8.pdf")</f>
        <v>Melting_Curves/meltCurve_Q9UBY8_CLN8.pdf</v>
      </c>
    </row>
    <row r="6133" spans="1:28" x14ac:dyDescent="0.25">
      <c r="A6133" t="s">
        <v>6137</v>
      </c>
      <c r="B6133">
        <v>0.99472303558308395</v>
      </c>
      <c r="C6133">
        <v>1.0423851525435901</v>
      </c>
      <c r="D6133">
        <v>0.89706336028493505</v>
      </c>
      <c r="E6133">
        <v>0.82556580225660303</v>
      </c>
      <c r="F6133">
        <v>0.64052590769686601</v>
      </c>
      <c r="G6133">
        <v>0.47927758981041702</v>
      </c>
      <c r="H6133">
        <v>0.410212844688154</v>
      </c>
      <c r="I6133">
        <v>0.46596239671324102</v>
      </c>
      <c r="J6133">
        <v>0.47379646573100598</v>
      </c>
      <c r="K6133">
        <v>0.65298926241580901</v>
      </c>
      <c r="L6133">
        <v>1120.47235879871</v>
      </c>
      <c r="M6133">
        <v>23.512602396530799</v>
      </c>
      <c r="N6133">
        <v>58.133418147469897</v>
      </c>
      <c r="O6133">
        <v>47.313423901263803</v>
      </c>
      <c r="P6133">
        <v>-6.3016723600918506E-2</v>
      </c>
      <c r="Q6133">
        <v>0.49278502743913899</v>
      </c>
      <c r="R6133">
        <v>0.91029673860021598</v>
      </c>
      <c r="S6133" t="s">
        <v>12701</v>
      </c>
      <c r="T6133" t="s">
        <v>13134</v>
      </c>
      <c r="U6133" t="s">
        <v>13134</v>
      </c>
      <c r="V6133" t="s">
        <v>13134</v>
      </c>
      <c r="W6133" t="s">
        <v>19197</v>
      </c>
      <c r="X6133">
        <v>7</v>
      </c>
      <c r="Y6133" t="s">
        <v>25554</v>
      </c>
      <c r="Z6133" t="s">
        <v>32101</v>
      </c>
      <c r="AA6133">
        <v>0.67777268287700876</v>
      </c>
      <c r="AB6133" t="str">
        <f>HYPERLINK("Melting_Curves/meltCurve_Q9UDX5_MTFP1.pdf", "Melting_Curves/meltCurve_Q9UDX5_MTFP1.pdf")</f>
        <v>Melting_Curves/meltCurve_Q9UDX5_MTFP1.pdf</v>
      </c>
    </row>
    <row r="6134" spans="1:28" x14ac:dyDescent="0.25">
      <c r="A6134" t="s">
        <v>6138</v>
      </c>
      <c r="B6134">
        <v>0.99472303558308395</v>
      </c>
      <c r="C6134">
        <v>0.95250023938920803</v>
      </c>
      <c r="D6134">
        <v>0.89474057873843504</v>
      </c>
      <c r="E6134">
        <v>0.57585174114944004</v>
      </c>
      <c r="F6134">
        <v>0.18894960736180999</v>
      </c>
      <c r="G6134">
        <v>0.112490571132663</v>
      </c>
      <c r="H6134">
        <v>7.0372889210037898E-2</v>
      </c>
      <c r="I6134">
        <v>5.0034160691138502E-2</v>
      </c>
      <c r="J6134">
        <v>6.3089402584377105E-2</v>
      </c>
      <c r="K6134">
        <v>5.4877416982264303E-2</v>
      </c>
      <c r="L6134">
        <v>1134.07018754513</v>
      </c>
      <c r="M6134">
        <v>24.2008312556082</v>
      </c>
      <c r="N6134">
        <v>47.091606533914401</v>
      </c>
      <c r="O6134">
        <v>46.544348653863899</v>
      </c>
      <c r="P6134">
        <v>-0.12272024216356101</v>
      </c>
      <c r="Q6134">
        <v>5.5925622392048097E-2</v>
      </c>
      <c r="R6134">
        <v>0.99836404260392697</v>
      </c>
      <c r="S6134" t="s">
        <v>12702</v>
      </c>
      <c r="T6134" t="s">
        <v>13134</v>
      </c>
      <c r="U6134" t="s">
        <v>13134</v>
      </c>
      <c r="V6134" t="s">
        <v>13134</v>
      </c>
      <c r="W6134" t="s">
        <v>19198</v>
      </c>
      <c r="X6134">
        <v>25</v>
      </c>
      <c r="Y6134" t="s">
        <v>25555</v>
      </c>
      <c r="Z6134" t="s">
        <v>32102</v>
      </c>
      <c r="AA6134">
        <v>0.37468443610099939</v>
      </c>
      <c r="AB6134" t="str">
        <f>HYPERLINK("Melting_Curves/meltCurve_Q9UDY2_TJP2.pdf", "Melting_Curves/meltCurve_Q9UDY2_TJP2.pdf")</f>
        <v>Melting_Curves/meltCurve_Q9UDY2_TJP2.pdf</v>
      </c>
    </row>
    <row r="6135" spans="1:28" x14ac:dyDescent="0.25">
      <c r="A6135" t="s">
        <v>6139</v>
      </c>
      <c r="B6135">
        <v>0.99472303558308395</v>
      </c>
      <c r="C6135">
        <v>0.91449291786868203</v>
      </c>
      <c r="D6135">
        <v>0.81387570405162601</v>
      </c>
      <c r="E6135">
        <v>0.62298040034011104</v>
      </c>
      <c r="F6135">
        <v>0.23033468059925399</v>
      </c>
      <c r="G6135">
        <v>8.5267840011688606E-2</v>
      </c>
      <c r="H6135">
        <v>4.5655068033194503E-2</v>
      </c>
      <c r="I6135">
        <v>3.6156908901676901E-2</v>
      </c>
      <c r="J6135">
        <v>3.4494736605222003E-2</v>
      </c>
      <c r="K6135">
        <v>2.3187334169500699E-2</v>
      </c>
      <c r="L6135">
        <v>842.80602797955601</v>
      </c>
      <c r="M6135">
        <v>17.855625523180102</v>
      </c>
      <c r="N6135">
        <v>47.256047245881</v>
      </c>
      <c r="O6135">
        <v>46.621066168518198</v>
      </c>
      <c r="P6135">
        <v>-9.4770708672023196E-2</v>
      </c>
      <c r="Q6135">
        <v>1.0264910183571899E-2</v>
      </c>
      <c r="R6135">
        <v>0.99346520647091696</v>
      </c>
      <c r="S6135" t="s">
        <v>12703</v>
      </c>
      <c r="T6135" t="s">
        <v>13134</v>
      </c>
      <c r="U6135" t="s">
        <v>13134</v>
      </c>
      <c r="V6135" t="s">
        <v>13134</v>
      </c>
      <c r="W6135" t="s">
        <v>19199</v>
      </c>
      <c r="X6135">
        <v>8</v>
      </c>
      <c r="Y6135" t="s">
        <v>25556</v>
      </c>
      <c r="Z6135" t="s">
        <v>32103</v>
      </c>
      <c r="AA6135">
        <v>0.3629297788476557</v>
      </c>
      <c r="AB6135" t="str">
        <f>HYPERLINK("Melting_Curves/meltCurve_Q9UDY4_DNAJB4.pdf", "Melting_Curves/meltCurve_Q9UDY4_DNAJB4.pdf")</f>
        <v>Melting_Curves/meltCurve_Q9UDY4_DNAJB4.pdf</v>
      </c>
    </row>
    <row r="6136" spans="1:28" x14ac:dyDescent="0.25">
      <c r="A6136" t="s">
        <v>6140</v>
      </c>
      <c r="B6136">
        <v>0.99472303558308395</v>
      </c>
      <c r="C6136">
        <v>1.03042156965676</v>
      </c>
      <c r="D6136">
        <v>0.92802865603946605</v>
      </c>
      <c r="E6136">
        <v>0.881558894327654</v>
      </c>
      <c r="F6136">
        <v>0.72952603674536498</v>
      </c>
      <c r="G6136">
        <v>0.53966231070573401</v>
      </c>
      <c r="H6136">
        <v>0.43874668412953999</v>
      </c>
      <c r="I6136">
        <v>0.43017475055153298</v>
      </c>
      <c r="J6136">
        <v>0.55328686931145299</v>
      </c>
      <c r="K6136">
        <v>0.46420952913657798</v>
      </c>
      <c r="L6136">
        <v>1058.1798252203901</v>
      </c>
      <c r="M6136">
        <v>21.316349849625801</v>
      </c>
      <c r="N6136">
        <v>56.492126215734501</v>
      </c>
      <c r="O6136">
        <v>49.211006278888199</v>
      </c>
      <c r="P6136">
        <v>-5.8229503301030501E-2</v>
      </c>
      <c r="Q6136">
        <v>0.46229820844838398</v>
      </c>
      <c r="R6136">
        <v>0.967608406981317</v>
      </c>
      <c r="S6136" t="s">
        <v>12704</v>
      </c>
      <c r="T6136" t="s">
        <v>13134</v>
      </c>
      <c r="U6136" t="s">
        <v>13134</v>
      </c>
      <c r="V6136" t="s">
        <v>13134</v>
      </c>
      <c r="W6136" t="s">
        <v>19200</v>
      </c>
      <c r="X6136">
        <v>10</v>
      </c>
      <c r="Y6136" t="s">
        <v>25557</v>
      </c>
      <c r="Z6136" t="s">
        <v>32104</v>
      </c>
      <c r="AA6136">
        <v>0.69519698418333742</v>
      </c>
      <c r="AB6136" t="str">
        <f>HYPERLINK("Melting_Curves/meltCurve_Q9UEE9_CFDP1.pdf", "Melting_Curves/meltCurve_Q9UEE9_CFDP1.pdf")</f>
        <v>Melting_Curves/meltCurve_Q9UEE9_CFDP1.pdf</v>
      </c>
    </row>
    <row r="6137" spans="1:28" x14ac:dyDescent="0.25">
      <c r="A6137" t="s">
        <v>6141</v>
      </c>
      <c r="B6137">
        <v>0.99472303558308395</v>
      </c>
      <c r="C6137">
        <v>1.06437018335379</v>
      </c>
      <c r="D6137">
        <v>0.95762849971178599</v>
      </c>
      <c r="E6137">
        <v>0.83134939808344799</v>
      </c>
      <c r="F6137">
        <v>0.42997169270053998</v>
      </c>
      <c r="G6137">
        <v>0.33985033117951202</v>
      </c>
      <c r="H6137">
        <v>0.32800498590446198</v>
      </c>
      <c r="I6137">
        <v>0.20551962605761201</v>
      </c>
      <c r="J6137">
        <v>0.29158803559150698</v>
      </c>
      <c r="K6137">
        <v>0.20701523875925201</v>
      </c>
      <c r="L6137">
        <v>1364.7659618048699</v>
      </c>
      <c r="M6137">
        <v>28.1955296022285</v>
      </c>
      <c r="N6137">
        <v>49.696675937615296</v>
      </c>
      <c r="O6137">
        <v>48.1621080502632</v>
      </c>
      <c r="P6137">
        <v>-0.108317969541362</v>
      </c>
      <c r="Q6137">
        <v>0.25991413071314401</v>
      </c>
      <c r="R6137">
        <v>0.98393482991356196</v>
      </c>
      <c r="S6137" t="s">
        <v>12705</v>
      </c>
      <c r="T6137" t="s">
        <v>13134</v>
      </c>
      <c r="U6137" t="s">
        <v>13134</v>
      </c>
      <c r="V6137" t="s">
        <v>13134</v>
      </c>
      <c r="W6137" t="s">
        <v>19201</v>
      </c>
      <c r="X6137">
        <v>3</v>
      </c>
      <c r="Y6137" t="s">
        <v>25558</v>
      </c>
      <c r="Z6137" t="s">
        <v>32105</v>
      </c>
      <c r="AA6137">
        <v>0.54623509149473959</v>
      </c>
      <c r="AB6137" t="str">
        <f>HYPERLINK("Melting_Curves/meltCurve_Q9UEG4_ZNF629.pdf", "Melting_Curves/meltCurve_Q9UEG4_ZNF629.pdf")</f>
        <v>Melting_Curves/meltCurve_Q9UEG4_ZNF629.pdf</v>
      </c>
    </row>
    <row r="6138" spans="1:28" x14ac:dyDescent="0.25">
      <c r="A6138" t="s">
        <v>6142</v>
      </c>
      <c r="B6138">
        <v>0.99472303558308395</v>
      </c>
      <c r="C6138">
        <v>0.82763496985538498</v>
      </c>
      <c r="D6138">
        <v>0.89160674824521202</v>
      </c>
      <c r="E6138">
        <v>0.71376484711917099</v>
      </c>
      <c r="F6138">
        <v>0.31440759457318201</v>
      </c>
      <c r="G6138">
        <v>0.19257861422834899</v>
      </c>
      <c r="H6138">
        <v>0.107156295353692</v>
      </c>
      <c r="I6138">
        <v>8.64463633408592E-2</v>
      </c>
      <c r="J6138">
        <v>0.11805341911037801</v>
      </c>
      <c r="K6138">
        <v>0.107412510541294</v>
      </c>
      <c r="L6138">
        <v>902.77242094180497</v>
      </c>
      <c r="M6138">
        <v>18.8603797105166</v>
      </c>
      <c r="N6138">
        <v>48.353262497592397</v>
      </c>
      <c r="O6138">
        <v>47.337703853564697</v>
      </c>
      <c r="P6138">
        <v>-9.0990173787043896E-2</v>
      </c>
      <c r="Q6138">
        <v>8.6531904325001602E-2</v>
      </c>
      <c r="R6138">
        <v>0.97677614588074202</v>
      </c>
      <c r="S6138" t="s">
        <v>12706</v>
      </c>
      <c r="T6138" t="s">
        <v>13134</v>
      </c>
      <c r="U6138" t="s">
        <v>13134</v>
      </c>
      <c r="V6138" t="s">
        <v>13134</v>
      </c>
      <c r="W6138" t="s">
        <v>19202</v>
      </c>
      <c r="X6138">
        <v>3</v>
      </c>
      <c r="Y6138" t="s">
        <v>21482</v>
      </c>
      <c r="Z6138" t="s">
        <v>32106</v>
      </c>
      <c r="AA6138">
        <v>0.4307905002206025</v>
      </c>
      <c r="AB6138" t="str">
        <f>HYPERLINK("Melting_Curves/meltCurve_Q9UEL6_MPZL1.pdf", "Melting_Curves/meltCurve_Q9UEL6_MPZL1.pdf")</f>
        <v>Melting_Curves/meltCurve_Q9UEL6_MPZL1.pdf</v>
      </c>
    </row>
    <row r="6139" spans="1:28" x14ac:dyDescent="0.25">
      <c r="A6139" t="s">
        <v>6143</v>
      </c>
      <c r="B6139">
        <v>0.99472303558308395</v>
      </c>
      <c r="C6139">
        <v>0.93684045272682603</v>
      </c>
      <c r="D6139">
        <v>0.81077738592243798</v>
      </c>
      <c r="E6139">
        <v>0.50865859112897205</v>
      </c>
      <c r="F6139">
        <v>0.23898894716855901</v>
      </c>
      <c r="G6139">
        <v>0.157435886236621</v>
      </c>
      <c r="H6139">
        <v>0.135023877651017</v>
      </c>
      <c r="I6139">
        <v>0.12850054378753201</v>
      </c>
      <c r="J6139">
        <v>0.19395804506759701</v>
      </c>
      <c r="K6139">
        <v>0.129740015342002</v>
      </c>
      <c r="L6139">
        <v>941.68376414728198</v>
      </c>
      <c r="M6139">
        <v>20.5833479787016</v>
      </c>
      <c r="N6139">
        <v>46.467638074189203</v>
      </c>
      <c r="O6139">
        <v>45.324531909937797</v>
      </c>
      <c r="P6139">
        <v>-9.80737793834007E-2</v>
      </c>
      <c r="Q6139">
        <v>0.136191326864817</v>
      </c>
      <c r="R6139">
        <v>0.99564020002618503</v>
      </c>
      <c r="S6139" t="s">
        <v>12707</v>
      </c>
      <c r="T6139" t="s">
        <v>13134</v>
      </c>
      <c r="U6139" t="s">
        <v>13134</v>
      </c>
      <c r="V6139" t="s">
        <v>13134</v>
      </c>
      <c r="W6139" t="s">
        <v>19203</v>
      </c>
      <c r="X6139">
        <v>9</v>
      </c>
      <c r="Y6139" t="s">
        <v>25559</v>
      </c>
      <c r="Z6139" t="s">
        <v>32107</v>
      </c>
      <c r="AA6139">
        <v>0.39878096617026582</v>
      </c>
      <c r="AB6139" t="str">
        <f>HYPERLINK("Melting_Curves/meltCurve_Q9UER7_2_DAXX.pdf", "Melting_Curves/meltCurve_Q9UER7_2_DAXX.pdf")</f>
        <v>Melting_Curves/meltCurve_Q9UER7_2_DAXX.pdf</v>
      </c>
    </row>
    <row r="6140" spans="1:28" x14ac:dyDescent="0.25">
      <c r="A6140" t="s">
        <v>6144</v>
      </c>
      <c r="B6140">
        <v>0.99472303558308395</v>
      </c>
      <c r="C6140">
        <v>0.83505325483729098</v>
      </c>
      <c r="D6140">
        <v>0.86274407293017297</v>
      </c>
      <c r="E6140">
        <v>0.60267300027048099</v>
      </c>
      <c r="F6140">
        <v>0.39805296695408698</v>
      </c>
      <c r="G6140">
        <v>0.17140056427854</v>
      </c>
      <c r="H6140">
        <v>0.13571238757867801</v>
      </c>
      <c r="I6140">
        <v>7.6829244302710598E-2</v>
      </c>
      <c r="J6140">
        <v>8.2150174240454094E-2</v>
      </c>
      <c r="K6140">
        <v>6.1394027053690202E-2</v>
      </c>
      <c r="L6140">
        <v>619.31963366793696</v>
      </c>
      <c r="M6140">
        <v>12.932188139218299</v>
      </c>
      <c r="N6140">
        <v>48.115290143968799</v>
      </c>
      <c r="O6140">
        <v>46.788037446120498</v>
      </c>
      <c r="P6140">
        <v>-6.7080030775986399E-2</v>
      </c>
      <c r="Q6140">
        <v>2.9405694967003598E-2</v>
      </c>
      <c r="R6140">
        <v>0.98796477239151304</v>
      </c>
      <c r="S6140" t="s">
        <v>12708</v>
      </c>
      <c r="T6140" t="s">
        <v>13134</v>
      </c>
      <c r="U6140" t="s">
        <v>13134</v>
      </c>
      <c r="V6140" t="s">
        <v>13134</v>
      </c>
      <c r="W6140" t="s">
        <v>19204</v>
      </c>
      <c r="X6140">
        <v>5</v>
      </c>
      <c r="Y6140" t="s">
        <v>25560</v>
      </c>
      <c r="Z6140" t="s">
        <v>32108</v>
      </c>
      <c r="AA6140">
        <v>0.40899983529925399</v>
      </c>
      <c r="AB6140" t="str">
        <f>HYPERLINK("Melting_Curves/meltCurve_Q9UET6_2_FTSJ1.pdf", "Melting_Curves/meltCurve_Q9UET6_2_FTSJ1.pdf")</f>
        <v>Melting_Curves/meltCurve_Q9UET6_2_FTSJ1.pdf</v>
      </c>
    </row>
    <row r="6141" spans="1:28" x14ac:dyDescent="0.25">
      <c r="A6141" t="s">
        <v>6145</v>
      </c>
      <c r="B6141">
        <v>0.99472303558308395</v>
      </c>
      <c r="C6141">
        <v>1.0613550299452199</v>
      </c>
      <c r="D6141">
        <v>0.97171054514324895</v>
      </c>
      <c r="E6141">
        <v>0.76783452628523297</v>
      </c>
      <c r="F6141">
        <v>0.508228885741559</v>
      </c>
      <c r="G6141">
        <v>0.40712148750034599</v>
      </c>
      <c r="H6141">
        <v>0.33785955809452201</v>
      </c>
      <c r="I6141">
        <v>0.36609871124753501</v>
      </c>
      <c r="J6141">
        <v>0.44952873855897302</v>
      </c>
      <c r="K6141">
        <v>0.39715740732787203</v>
      </c>
      <c r="L6141">
        <v>1355.4831314974599</v>
      </c>
      <c r="M6141">
        <v>28.543597935991201</v>
      </c>
      <c r="N6141">
        <v>50.112713659012599</v>
      </c>
      <c r="O6141">
        <v>47.256914200023601</v>
      </c>
      <c r="P6141">
        <v>-9.2434314617416205E-2</v>
      </c>
      <c r="Q6141">
        <v>0.38786617569402898</v>
      </c>
      <c r="R6141">
        <v>0.98467542118451101</v>
      </c>
      <c r="S6141" t="s">
        <v>12709</v>
      </c>
      <c r="T6141" t="s">
        <v>13134</v>
      </c>
      <c r="U6141" t="s">
        <v>13134</v>
      </c>
      <c r="V6141" t="s">
        <v>13134</v>
      </c>
      <c r="W6141" t="s">
        <v>19205</v>
      </c>
      <c r="X6141">
        <v>12</v>
      </c>
      <c r="Y6141" t="s">
        <v>25561</v>
      </c>
      <c r="Z6141" t="s">
        <v>32109</v>
      </c>
      <c r="AA6141">
        <v>0.60584077351528987</v>
      </c>
      <c r="AB6141" t="str">
        <f>HYPERLINK("Melting_Curves/meltCurve_Q9UEU0_VTI1B.pdf", "Melting_Curves/meltCurve_Q9UEU0_VTI1B.pdf")</f>
        <v>Melting_Curves/meltCurve_Q9UEU0_VTI1B.pdf</v>
      </c>
    </row>
    <row r="6142" spans="1:28" x14ac:dyDescent="0.25">
      <c r="A6142" t="s">
        <v>6146</v>
      </c>
      <c r="B6142">
        <v>0.99472303558308395</v>
      </c>
      <c r="C6142">
        <v>1.07172671502841</v>
      </c>
      <c r="D6142">
        <v>0.79637410095341199</v>
      </c>
      <c r="E6142">
        <v>0.76724952878351005</v>
      </c>
      <c r="F6142">
        <v>0.56548841142227502</v>
      </c>
      <c r="G6142">
        <v>0.32692602568835299</v>
      </c>
      <c r="H6142">
        <v>0.28370207426462901</v>
      </c>
      <c r="I6142">
        <v>0.33155881630064299</v>
      </c>
      <c r="J6142">
        <v>0.46437927842770299</v>
      </c>
      <c r="K6142">
        <v>0.380326509011995</v>
      </c>
      <c r="L6142">
        <v>883.90331952773101</v>
      </c>
      <c r="M6142">
        <v>18.6680269854489</v>
      </c>
      <c r="N6142">
        <v>50.562670886871302</v>
      </c>
      <c r="O6142">
        <v>46.815222860843001</v>
      </c>
      <c r="P6142">
        <v>-6.5061994608657595E-2</v>
      </c>
      <c r="Q6142">
        <v>0.34738435078445901</v>
      </c>
      <c r="R6142">
        <v>0.92692866912019301</v>
      </c>
      <c r="S6142" t="s">
        <v>12710</v>
      </c>
      <c r="T6142" t="s">
        <v>13134</v>
      </c>
      <c r="U6142" t="s">
        <v>13134</v>
      </c>
      <c r="V6142" t="s">
        <v>13134</v>
      </c>
      <c r="W6142" t="s">
        <v>19206</v>
      </c>
      <c r="X6142">
        <v>3</v>
      </c>
      <c r="Y6142" t="s">
        <v>25562</v>
      </c>
      <c r="Z6142" t="s">
        <v>32110</v>
      </c>
      <c r="AA6142">
        <v>0.58226755381035755</v>
      </c>
      <c r="AB6142" t="str">
        <f>HYPERLINK("Melting_Curves/meltCurve_Q9UEU5_GAGE2D.pdf", "Melting_Curves/meltCurve_Q9UEU5_GAGE2D.pdf")</f>
        <v>Melting_Curves/meltCurve_Q9UEU5_GAGE2D.pdf</v>
      </c>
    </row>
    <row r="6143" spans="1:28" x14ac:dyDescent="0.25">
      <c r="A6143" t="s">
        <v>6147</v>
      </c>
      <c r="B6143">
        <v>0.99472303558308395</v>
      </c>
      <c r="C6143">
        <v>0.98729293281429498</v>
      </c>
      <c r="D6143">
        <v>0.90199701193145898</v>
      </c>
      <c r="E6143">
        <v>0.76683314973472105</v>
      </c>
      <c r="F6143">
        <v>0.62072511557696397</v>
      </c>
      <c r="G6143">
        <v>0.38402896129248498</v>
      </c>
      <c r="H6143">
        <v>0.26089514394645003</v>
      </c>
      <c r="I6143">
        <v>0.20040448771160099</v>
      </c>
      <c r="J6143">
        <v>0.24346200342027999</v>
      </c>
      <c r="K6143">
        <v>0.22214370770813099</v>
      </c>
      <c r="L6143">
        <v>723.69495693071406</v>
      </c>
      <c r="M6143">
        <v>14.4937825986806</v>
      </c>
      <c r="N6143">
        <v>51.533601612724702</v>
      </c>
      <c r="O6143">
        <v>49.009759515245598</v>
      </c>
      <c r="P6143">
        <v>-6.0529899304048798E-2</v>
      </c>
      <c r="Q6143">
        <v>0.18138332835159199</v>
      </c>
      <c r="R6143">
        <v>0.99324196559483202</v>
      </c>
      <c r="S6143" t="s">
        <v>12711</v>
      </c>
      <c r="T6143" t="s">
        <v>13134</v>
      </c>
      <c r="U6143" t="s">
        <v>13134</v>
      </c>
      <c r="V6143" t="s">
        <v>13134</v>
      </c>
      <c r="W6143" t="s">
        <v>19207</v>
      </c>
      <c r="X6143">
        <v>18</v>
      </c>
      <c r="Y6143" t="s">
        <v>25563</v>
      </c>
      <c r="Z6143" t="s">
        <v>32111</v>
      </c>
      <c r="AA6143">
        <v>0.55226056289510317</v>
      </c>
      <c r="AB6143" t="str">
        <f>HYPERLINK("Melting_Curves/meltCurve_Q9UEY8_2_ADD3.pdf", "Melting_Curves/meltCurve_Q9UEY8_2_ADD3.pdf")</f>
        <v>Melting_Curves/meltCurve_Q9UEY8_2_ADD3.pdf</v>
      </c>
    </row>
    <row r="6144" spans="1:28" x14ac:dyDescent="0.25">
      <c r="A6144" t="s">
        <v>6148</v>
      </c>
      <c r="B6144">
        <v>0.99472303558308395</v>
      </c>
      <c r="C6144">
        <v>0.98885868077654904</v>
      </c>
      <c r="D6144">
        <v>0.79528663620761997</v>
      </c>
      <c r="E6144">
        <v>0.38290327864122498</v>
      </c>
      <c r="F6144">
        <v>0.14951155714963699</v>
      </c>
      <c r="G6144">
        <v>9.4189448108496401E-2</v>
      </c>
      <c r="H6144">
        <v>6.2564491779576306E-2</v>
      </c>
      <c r="I6144">
        <v>4.6267384562619397E-2</v>
      </c>
      <c r="J6144">
        <v>6.4015502456702303E-2</v>
      </c>
      <c r="K6144">
        <v>5.7430807500567303E-2</v>
      </c>
      <c r="L6144">
        <v>1084.29782343548</v>
      </c>
      <c r="M6144">
        <v>23.9016923056904</v>
      </c>
      <c r="N6144">
        <v>45.6048816512291</v>
      </c>
      <c r="O6144">
        <v>45.050937407127002</v>
      </c>
      <c r="P6144">
        <v>-0.12480102427584</v>
      </c>
      <c r="Q6144">
        <v>5.9094048851136199E-2</v>
      </c>
      <c r="R6144">
        <v>0.99930019039394702</v>
      </c>
      <c r="S6144" t="s">
        <v>12712</v>
      </c>
      <c r="T6144" t="s">
        <v>13134</v>
      </c>
      <c r="U6144" t="s">
        <v>13134</v>
      </c>
      <c r="V6144" t="s">
        <v>13134</v>
      </c>
      <c r="W6144" t="s">
        <v>19208</v>
      </c>
      <c r="X6144">
        <v>12</v>
      </c>
      <c r="Y6144" t="s">
        <v>25564</v>
      </c>
      <c r="Z6144" t="s">
        <v>32112</v>
      </c>
      <c r="AA6144">
        <v>0.32995058139736072</v>
      </c>
      <c r="AB6144" t="str">
        <f>HYPERLINK("Melting_Curves/meltCurve_Q9UFC0_LRWD1.pdf", "Melting_Curves/meltCurve_Q9UFC0_LRWD1.pdf")</f>
        <v>Melting_Curves/meltCurve_Q9UFC0_LRWD1.pdf</v>
      </c>
    </row>
    <row r="6145" spans="1:28" x14ac:dyDescent="0.25">
      <c r="A6145" t="s">
        <v>6149</v>
      </c>
      <c r="B6145">
        <v>0.99472303558308395</v>
      </c>
      <c r="C6145">
        <v>0.98720500170811898</v>
      </c>
      <c r="D6145">
        <v>0.79852978404890895</v>
      </c>
      <c r="E6145">
        <v>0.65733441886170796</v>
      </c>
      <c r="F6145">
        <v>0.75639446480041606</v>
      </c>
      <c r="G6145">
        <v>0.68944251099865494</v>
      </c>
      <c r="H6145">
        <v>0.75815339424976602</v>
      </c>
      <c r="I6145">
        <v>0.84863010775929804</v>
      </c>
      <c r="J6145">
        <v>1.31181995999167</v>
      </c>
      <c r="K6145">
        <v>1.0400716865583</v>
      </c>
      <c r="L6145">
        <v>1787.9062586298501</v>
      </c>
      <c r="M6145">
        <v>27.9269408513154</v>
      </c>
      <c r="O6145">
        <v>63.695286285574603</v>
      </c>
      <c r="P6145">
        <v>1.7683334581087101E-2</v>
      </c>
      <c r="Q6145">
        <v>1.16132594987301</v>
      </c>
      <c r="R6145">
        <v>-0.30435516568871201</v>
      </c>
      <c r="S6145" t="s">
        <v>12713</v>
      </c>
      <c r="T6145" t="s">
        <v>13134</v>
      </c>
      <c r="U6145" t="s">
        <v>13134</v>
      </c>
      <c r="V6145" t="s">
        <v>13134</v>
      </c>
      <c r="W6145" t="s">
        <v>19209</v>
      </c>
      <c r="X6145">
        <v>5</v>
      </c>
      <c r="Y6145" t="s">
        <v>25565</v>
      </c>
      <c r="Z6145" t="s">
        <v>32113</v>
      </c>
      <c r="AA6145">
        <v>1.0182790784136231</v>
      </c>
      <c r="AB6145" t="str">
        <f>HYPERLINK("Melting_Curves/meltCurve_Q9UFG5_C19orf25.pdf", "Melting_Curves/meltCurve_Q9UFG5_C19orf25.pdf")</f>
        <v>Melting_Curves/meltCurve_Q9UFG5_C19orf25.pdf</v>
      </c>
    </row>
    <row r="6146" spans="1:28" x14ac:dyDescent="0.25">
      <c r="A6146" t="s">
        <v>6150</v>
      </c>
      <c r="B6146">
        <v>0.99472303558308395</v>
      </c>
      <c r="C6146">
        <v>1.19481355794904</v>
      </c>
      <c r="D6146">
        <v>0.80082235649769995</v>
      </c>
      <c r="E6146">
        <v>0.77547611550485895</v>
      </c>
      <c r="F6146">
        <v>0.81127110288108795</v>
      </c>
      <c r="G6146">
        <v>0.39994158291313497</v>
      </c>
      <c r="H6146">
        <v>0.27195352859820898</v>
      </c>
      <c r="I6146">
        <v>0.15815972996957101</v>
      </c>
      <c r="J6146">
        <v>0.26167761519924598</v>
      </c>
      <c r="K6146">
        <v>0.13289732037978499</v>
      </c>
      <c r="L6146">
        <v>736.83546222521602</v>
      </c>
      <c r="M6146">
        <v>14.166782125574301</v>
      </c>
      <c r="N6146">
        <v>52.982404566472098</v>
      </c>
      <c r="O6146">
        <v>51.008050473832803</v>
      </c>
      <c r="P6146">
        <v>-6.1503935543754197E-2</v>
      </c>
      <c r="Q6146">
        <v>0.11432273771337501</v>
      </c>
      <c r="R6146">
        <v>0.91576487048144795</v>
      </c>
      <c r="S6146" t="s">
        <v>12714</v>
      </c>
      <c r="T6146" t="s">
        <v>13134</v>
      </c>
      <c r="U6146" t="s">
        <v>13134</v>
      </c>
      <c r="V6146" t="s">
        <v>13134</v>
      </c>
      <c r="W6146" t="s">
        <v>19210</v>
      </c>
      <c r="X6146">
        <v>2</v>
      </c>
      <c r="Y6146" t="s">
        <v>25566</v>
      </c>
      <c r="Z6146" t="s">
        <v>32114</v>
      </c>
      <c r="AA6146">
        <v>0.5755394760532806</v>
      </c>
      <c r="AB6146" t="str">
        <f>HYPERLINK("Melting_Curves/meltCurve_Q9UFN0_NIPSNAP3A.pdf", "Melting_Curves/meltCurve_Q9UFN0_NIPSNAP3A.pdf")</f>
        <v>Melting_Curves/meltCurve_Q9UFN0_NIPSNAP3A.pdf</v>
      </c>
    </row>
    <row r="6147" spans="1:28" x14ac:dyDescent="0.25">
      <c r="A6147" t="s">
        <v>6151</v>
      </c>
      <c r="B6147">
        <v>0.99472303558308395</v>
      </c>
      <c r="C6147">
        <v>0.98037933779494502</v>
      </c>
      <c r="D6147">
        <v>0.99508113075204696</v>
      </c>
      <c r="E6147">
        <v>0.80911805181524299</v>
      </c>
      <c r="F6147">
        <v>0.55123745829860105</v>
      </c>
      <c r="G6147">
        <v>0.32408589210493099</v>
      </c>
      <c r="H6147">
        <v>0.190653986746671</v>
      </c>
      <c r="I6147">
        <v>0.155612784035906</v>
      </c>
      <c r="J6147">
        <v>0.16606512241285301</v>
      </c>
      <c r="K6147">
        <v>0.11306247827034401</v>
      </c>
      <c r="L6147">
        <v>927.24399717549602</v>
      </c>
      <c r="M6147">
        <v>18.523230044823698</v>
      </c>
      <c r="N6147">
        <v>50.854908014435097</v>
      </c>
      <c r="O6147">
        <v>49.485946058931198</v>
      </c>
      <c r="P6147">
        <v>-8.1799759391546698E-2</v>
      </c>
      <c r="Q6147">
        <v>0.12590620027962399</v>
      </c>
      <c r="R6147">
        <v>0.99783719785594105</v>
      </c>
      <c r="S6147" t="s">
        <v>12715</v>
      </c>
      <c r="T6147" t="s">
        <v>13134</v>
      </c>
      <c r="U6147" t="s">
        <v>13134</v>
      </c>
      <c r="V6147" t="s">
        <v>13134</v>
      </c>
      <c r="W6147" t="s">
        <v>19211</v>
      </c>
      <c r="X6147">
        <v>8</v>
      </c>
      <c r="Y6147" t="s">
        <v>25567</v>
      </c>
      <c r="Z6147" t="s">
        <v>32115</v>
      </c>
      <c r="AA6147">
        <v>0.51950522966571744</v>
      </c>
      <c r="AB6147" t="str">
        <f>HYPERLINK("Melting_Curves/meltCurve_Q9UFW8_CGGBP1.pdf", "Melting_Curves/meltCurve_Q9UFW8_CGGBP1.pdf")</f>
        <v>Melting_Curves/meltCurve_Q9UFW8_CGGBP1.pdf</v>
      </c>
    </row>
    <row r="6148" spans="1:28" x14ac:dyDescent="0.25">
      <c r="A6148" t="s">
        <v>6152</v>
      </c>
      <c r="B6148">
        <v>0.99472303558308395</v>
      </c>
      <c r="C6148">
        <v>0.79359601414874203</v>
      </c>
      <c r="D6148">
        <v>0.80411208775458198</v>
      </c>
      <c r="E6148">
        <v>0.40572403605265001</v>
      </c>
      <c r="F6148">
        <v>9.6005427095607401E-2</v>
      </c>
      <c r="G6148">
        <v>4.5187571644419798E-2</v>
      </c>
      <c r="H6148">
        <v>2.6978498586632899E-2</v>
      </c>
      <c r="I6148">
        <v>1.6624340608321599E-2</v>
      </c>
      <c r="J6148">
        <v>1.9130260008929399E-2</v>
      </c>
      <c r="K6148">
        <v>1.45440815417111E-2</v>
      </c>
      <c r="L6148">
        <v>841.57566987099699</v>
      </c>
      <c r="M6148">
        <v>18.512237939372401</v>
      </c>
      <c r="N6148">
        <v>45.464039761240898</v>
      </c>
      <c r="O6148">
        <v>44.939988473739199</v>
      </c>
      <c r="P6148">
        <v>-0.102913531706781</v>
      </c>
      <c r="Q6148">
        <v>7.19690112446024E-4</v>
      </c>
      <c r="R6148">
        <v>0.98161077925200702</v>
      </c>
      <c r="S6148" t="s">
        <v>12716</v>
      </c>
      <c r="T6148" t="s">
        <v>13134</v>
      </c>
      <c r="U6148" t="s">
        <v>13134</v>
      </c>
      <c r="V6148" t="s">
        <v>13134</v>
      </c>
      <c r="W6148" t="s">
        <v>19212</v>
      </c>
      <c r="X6148">
        <v>1</v>
      </c>
      <c r="Y6148" t="s">
        <v>25568</v>
      </c>
      <c r="Z6148" t="s">
        <v>32116</v>
      </c>
      <c r="AA6148">
        <v>0.29787841906870399</v>
      </c>
      <c r="AB6148" t="str">
        <f>HYPERLINK("Melting_Curves/meltCurve_Q9UG52_DKFZp564L232.pdf", "Melting_Curves/meltCurve_Q9UG52_DKFZp564L232.pdf")</f>
        <v>Melting_Curves/meltCurve_Q9UG52_DKFZp564L232.pdf</v>
      </c>
    </row>
    <row r="6149" spans="1:28" x14ac:dyDescent="0.25">
      <c r="A6149" t="s">
        <v>6153</v>
      </c>
      <c r="B6149">
        <v>0.99472303558308395</v>
      </c>
      <c r="C6149">
        <v>1.02499164496704</v>
      </c>
      <c r="D6149">
        <v>0.95574740554513804</v>
      </c>
      <c r="E6149">
        <v>0.81466444832208895</v>
      </c>
      <c r="F6149">
        <v>0.56390386068218401</v>
      </c>
      <c r="G6149">
        <v>0.26644516355401199</v>
      </c>
      <c r="H6149">
        <v>9.7537338818947897E-2</v>
      </c>
      <c r="I6149">
        <v>6.0133830475780602E-2</v>
      </c>
      <c r="J6149">
        <v>6.6098487333418804E-2</v>
      </c>
      <c r="K6149">
        <v>5.5791079922411703E-2</v>
      </c>
      <c r="L6149">
        <v>956.61223221444004</v>
      </c>
      <c r="M6149">
        <v>18.944726160781201</v>
      </c>
      <c r="N6149">
        <v>50.686266039465103</v>
      </c>
      <c r="O6149">
        <v>49.942396045239803</v>
      </c>
      <c r="P6149">
        <v>-9.1563727883200302E-2</v>
      </c>
      <c r="Q6149">
        <v>3.4512181997038399E-2</v>
      </c>
      <c r="R6149">
        <v>0.99809156787240605</v>
      </c>
      <c r="S6149" t="s">
        <v>12717</v>
      </c>
      <c r="T6149" t="s">
        <v>13134</v>
      </c>
      <c r="U6149" t="s">
        <v>13134</v>
      </c>
      <c r="V6149" t="s">
        <v>13134</v>
      </c>
      <c r="W6149" t="s">
        <v>19213</v>
      </c>
      <c r="X6149">
        <v>42</v>
      </c>
      <c r="Y6149" t="s">
        <v>25569</v>
      </c>
      <c r="Z6149" t="s">
        <v>32117</v>
      </c>
      <c r="AA6149">
        <v>0.48271844730030578</v>
      </c>
      <c r="AB6149" t="str">
        <f>HYPERLINK("Melting_Curves/meltCurve_Q9UG63_ABCF2.pdf", "Melting_Curves/meltCurve_Q9UG63_ABCF2.pdf")</f>
        <v>Melting_Curves/meltCurve_Q9UG63_ABCF2.pdf</v>
      </c>
    </row>
    <row r="6150" spans="1:28" x14ac:dyDescent="0.25">
      <c r="A6150" t="s">
        <v>6154</v>
      </c>
      <c r="B6150">
        <v>0.99472303558308395</v>
      </c>
      <c r="C6150">
        <v>1.02682416788259</v>
      </c>
      <c r="D6150">
        <v>0.95207724500819202</v>
      </c>
      <c r="E6150">
        <v>0.97103923886511501</v>
      </c>
      <c r="F6150">
        <v>0.70144008143505499</v>
      </c>
      <c r="G6150">
        <v>0.37850883531055601</v>
      </c>
      <c r="H6150">
        <v>0.156937573963434</v>
      </c>
      <c r="I6150">
        <v>4.57997900905091E-2</v>
      </c>
      <c r="J6150">
        <v>4.1324895792157597E-2</v>
      </c>
      <c r="K6150">
        <v>3.9259463737858102E-2</v>
      </c>
      <c r="L6150">
        <v>1129.8278995897899</v>
      </c>
      <c r="M6150">
        <v>21.591085623271901</v>
      </c>
      <c r="N6150">
        <v>52.437760638180698</v>
      </c>
      <c r="O6150">
        <v>51.885760688974401</v>
      </c>
      <c r="P6150">
        <v>-0.10174491433589899</v>
      </c>
      <c r="Q6150">
        <v>2.2006555676703201E-2</v>
      </c>
      <c r="R6150">
        <v>0.99739686955610096</v>
      </c>
      <c r="S6150" t="s">
        <v>12718</v>
      </c>
      <c r="T6150" t="s">
        <v>13134</v>
      </c>
      <c r="U6150" t="s">
        <v>13134</v>
      </c>
      <c r="V6150" t="s">
        <v>13134</v>
      </c>
      <c r="W6150" t="s">
        <v>19214</v>
      </c>
      <c r="X6150">
        <v>2</v>
      </c>
      <c r="Y6150" t="s">
        <v>25570</v>
      </c>
      <c r="Z6150" t="s">
        <v>32118</v>
      </c>
      <c r="AA6150">
        <v>0.53282973324687322</v>
      </c>
      <c r="AB6150" t="str">
        <f>HYPERLINK("Melting_Curves/meltCurve_Q9UGC7_4_MTRF1L.pdf", "Melting_Curves/meltCurve_Q9UGC7_4_MTRF1L.pdf")</f>
        <v>Melting_Curves/meltCurve_Q9UGC7_4_MTRF1L.pdf</v>
      </c>
    </row>
    <row r="6151" spans="1:28" x14ac:dyDescent="0.25">
      <c r="A6151" t="s">
        <v>6155</v>
      </c>
      <c r="B6151">
        <v>0.99472303558308395</v>
      </c>
      <c r="C6151">
        <v>1.03676967337116</v>
      </c>
      <c r="D6151">
        <v>1.01042593351291</v>
      </c>
      <c r="E6151">
        <v>0.91939144029869202</v>
      </c>
      <c r="F6151">
        <v>0.63511606735252701</v>
      </c>
      <c r="G6151">
        <v>0.220576825422447</v>
      </c>
      <c r="H6151">
        <v>0.100063219225526</v>
      </c>
      <c r="I6151">
        <v>7.4445818274485195E-2</v>
      </c>
      <c r="J6151">
        <v>8.9468033299056698E-2</v>
      </c>
      <c r="K6151">
        <v>7.0365603583190994E-2</v>
      </c>
      <c r="L6151">
        <v>1493.5702735043101</v>
      </c>
      <c r="M6151">
        <v>29.363338587405199</v>
      </c>
      <c r="N6151">
        <v>51.137369044387398</v>
      </c>
      <c r="O6151">
        <v>50.630971243587702</v>
      </c>
      <c r="P6151">
        <v>-0.13449728982881901</v>
      </c>
      <c r="Q6151">
        <v>7.2356178432161702E-2</v>
      </c>
      <c r="R6151">
        <v>0.99857612318416</v>
      </c>
      <c r="S6151" t="s">
        <v>12719</v>
      </c>
      <c r="T6151" t="s">
        <v>13134</v>
      </c>
      <c r="U6151" t="s">
        <v>13134</v>
      </c>
      <c r="V6151" t="s">
        <v>13134</v>
      </c>
      <c r="W6151" t="s">
        <v>19215</v>
      </c>
      <c r="X6151">
        <v>33</v>
      </c>
      <c r="Y6151" t="s">
        <v>25571</v>
      </c>
      <c r="Z6151" t="s">
        <v>32119</v>
      </c>
      <c r="AA6151">
        <v>0.50710106082467621</v>
      </c>
      <c r="AB6151" t="str">
        <f>HYPERLINK("Melting_Curves/meltCurve_Q9UGI8_TES.pdf", "Melting_Curves/meltCurve_Q9UGI8_TES.pdf")</f>
        <v>Melting_Curves/meltCurve_Q9UGI8_TES.pdf</v>
      </c>
    </row>
    <row r="6152" spans="1:28" x14ac:dyDescent="0.25">
      <c r="A6152" t="s">
        <v>6156</v>
      </c>
      <c r="B6152">
        <v>0.99472303558308395</v>
      </c>
      <c r="C6152">
        <v>0.78629504178439302</v>
      </c>
      <c r="D6152">
        <v>0.72752608997655499</v>
      </c>
      <c r="E6152">
        <v>0.39168226209920498</v>
      </c>
      <c r="F6152">
        <v>0.21421649336599399</v>
      </c>
      <c r="G6152">
        <v>0.14691030841967601</v>
      </c>
      <c r="H6152">
        <v>8.5537422450957398E-2</v>
      </c>
      <c r="I6152">
        <v>3.31729391044598E-2</v>
      </c>
      <c r="J6152">
        <v>2.6753279620379301E-2</v>
      </c>
      <c r="K6152">
        <v>1.7747430878962502E-2</v>
      </c>
      <c r="L6152">
        <v>586.63147832936704</v>
      </c>
      <c r="M6152">
        <v>12.9409593294658</v>
      </c>
      <c r="N6152">
        <v>45.394132212816103</v>
      </c>
      <c r="O6152">
        <v>44.289855086082298</v>
      </c>
      <c r="P6152">
        <v>-7.2412377192845601E-2</v>
      </c>
      <c r="Q6152">
        <v>8.8658757038665593E-3</v>
      </c>
      <c r="R6152">
        <v>0.99014525167704603</v>
      </c>
      <c r="S6152" t="s">
        <v>12720</v>
      </c>
      <c r="T6152" t="s">
        <v>13134</v>
      </c>
      <c r="U6152" t="s">
        <v>13134</v>
      </c>
      <c r="V6152" t="s">
        <v>13134</v>
      </c>
      <c r="W6152" t="s">
        <v>19216</v>
      </c>
      <c r="X6152">
        <v>4</v>
      </c>
      <c r="Y6152" t="s">
        <v>25572</v>
      </c>
      <c r="Z6152" t="s">
        <v>32120</v>
      </c>
      <c r="AA6152">
        <v>0.3149980801584743</v>
      </c>
      <c r="AB6152" t="str">
        <f>HYPERLINK("Melting_Curves/meltCurve_Q9UGJ1_2_TUBGCP4.pdf", "Melting_Curves/meltCurve_Q9UGJ1_2_TUBGCP4.pdf")</f>
        <v>Melting_Curves/meltCurve_Q9UGJ1_2_TUBGCP4.pdf</v>
      </c>
    </row>
    <row r="6153" spans="1:28" x14ac:dyDescent="0.25">
      <c r="A6153" t="s">
        <v>6157</v>
      </c>
      <c r="B6153">
        <v>0.99472303558308395</v>
      </c>
      <c r="C6153">
        <v>1.03745131469744</v>
      </c>
      <c r="D6153">
        <v>0.92538569271745097</v>
      </c>
      <c r="E6153">
        <v>0.78117410858573699</v>
      </c>
      <c r="F6153">
        <v>0.43598167114676201</v>
      </c>
      <c r="G6153">
        <v>0.185961789312795</v>
      </c>
      <c r="H6153">
        <v>0.107599496454976</v>
      </c>
      <c r="I6153">
        <v>7.5382810713598397E-2</v>
      </c>
      <c r="J6153">
        <v>6.89729356388184E-2</v>
      </c>
      <c r="K6153">
        <v>7.1094642963696594E-2</v>
      </c>
      <c r="L6153">
        <v>1030.6786546896401</v>
      </c>
      <c r="M6153">
        <v>20.960986125126698</v>
      </c>
      <c r="N6153">
        <v>49.483406854405501</v>
      </c>
      <c r="O6153">
        <v>48.730293711676403</v>
      </c>
      <c r="P6153">
        <v>-0.100879514887792</v>
      </c>
      <c r="Q6153">
        <v>6.19226862222928E-2</v>
      </c>
      <c r="R6153">
        <v>0.99805097071468096</v>
      </c>
      <c r="S6153" t="s">
        <v>12721</v>
      </c>
      <c r="T6153" t="s">
        <v>13134</v>
      </c>
      <c r="U6153" t="s">
        <v>13134</v>
      </c>
      <c r="V6153" t="s">
        <v>13134</v>
      </c>
      <c r="W6153" t="s">
        <v>19217</v>
      </c>
      <c r="X6153">
        <v>6</v>
      </c>
      <c r="Y6153" t="s">
        <v>25573</v>
      </c>
      <c r="Z6153" t="s">
        <v>32121</v>
      </c>
      <c r="AA6153">
        <v>0.45385464031015038</v>
      </c>
      <c r="AB6153" t="str">
        <f>HYPERLINK("Melting_Curves/meltCurve_Q9UGM6_WARS2.pdf", "Melting_Curves/meltCurve_Q9UGM6_WARS2.pdf")</f>
        <v>Melting_Curves/meltCurve_Q9UGM6_WARS2.pdf</v>
      </c>
    </row>
    <row r="6154" spans="1:28" x14ac:dyDescent="0.25">
      <c r="A6154" t="s">
        <v>6158</v>
      </c>
      <c r="B6154">
        <v>0.99472303558308395</v>
      </c>
      <c r="C6154">
        <v>1.02652864593778</v>
      </c>
      <c r="D6154">
        <v>0.86757697344712703</v>
      </c>
      <c r="E6154">
        <v>0.73244905555745199</v>
      </c>
      <c r="F6154">
        <v>0.44792808190796302</v>
      </c>
      <c r="G6154">
        <v>0.27363975155989301</v>
      </c>
      <c r="H6154">
        <v>0.16261406909676601</v>
      </c>
      <c r="I6154">
        <v>9.7979073176082995E-2</v>
      </c>
      <c r="J6154">
        <v>0.11385426208728899</v>
      </c>
      <c r="K6154">
        <v>0.101629970026327</v>
      </c>
      <c r="L6154">
        <v>768.07905912714295</v>
      </c>
      <c r="M6154">
        <v>15.671643645281501</v>
      </c>
      <c r="N6154">
        <v>49.565925311411199</v>
      </c>
      <c r="O6154">
        <v>48.233545371963103</v>
      </c>
      <c r="P6154">
        <v>-7.4695846841363794E-2</v>
      </c>
      <c r="Q6154">
        <v>8.0494918023531495E-2</v>
      </c>
      <c r="R6154">
        <v>0.99600959110550402</v>
      </c>
      <c r="S6154" t="s">
        <v>12722</v>
      </c>
      <c r="T6154" t="s">
        <v>13134</v>
      </c>
      <c r="U6154" t="s">
        <v>13134</v>
      </c>
      <c r="V6154" t="s">
        <v>13134</v>
      </c>
      <c r="W6154" t="s">
        <v>19218</v>
      </c>
      <c r="X6154">
        <v>16</v>
      </c>
      <c r="Y6154" t="s">
        <v>25574</v>
      </c>
      <c r="Z6154" t="s">
        <v>32122</v>
      </c>
      <c r="AA6154">
        <v>0.46707121960114673</v>
      </c>
      <c r="AB6154" t="str">
        <f>HYPERLINK("Melting_Curves/meltCurve_Q9UGP4_LIMD1.pdf", "Melting_Curves/meltCurve_Q9UGP4_LIMD1.pdf")</f>
        <v>Melting_Curves/meltCurve_Q9UGP4_LIMD1.pdf</v>
      </c>
    </row>
    <row r="6155" spans="1:28" x14ac:dyDescent="0.25">
      <c r="A6155" t="s">
        <v>6159</v>
      </c>
      <c r="B6155">
        <v>0.99472303558308395</v>
      </c>
      <c r="C6155">
        <v>1.0148596645087999</v>
      </c>
      <c r="D6155">
        <v>0.88492497189889296</v>
      </c>
      <c r="E6155">
        <v>0.85188789627571404</v>
      </c>
      <c r="F6155">
        <v>0.65998817718214697</v>
      </c>
      <c r="G6155">
        <v>0.346942111272526</v>
      </c>
      <c r="H6155">
        <v>0.123778137550507</v>
      </c>
      <c r="I6155">
        <v>6.4465758316933394E-2</v>
      </c>
      <c r="J6155">
        <v>6.3641530410224301E-2</v>
      </c>
      <c r="K6155">
        <v>6.1338420980371601E-2</v>
      </c>
      <c r="L6155">
        <v>893.67689456349501</v>
      </c>
      <c r="M6155">
        <v>17.320281426135899</v>
      </c>
      <c r="N6155">
        <v>51.706909382914397</v>
      </c>
      <c r="O6155">
        <v>50.924066546367897</v>
      </c>
      <c r="P6155">
        <v>-8.3499807587502001E-2</v>
      </c>
      <c r="Q6155">
        <v>1.8051684080327701E-2</v>
      </c>
      <c r="R6155">
        <v>0.99230991643654998</v>
      </c>
      <c r="S6155" t="s">
        <v>12723</v>
      </c>
      <c r="T6155" t="s">
        <v>13134</v>
      </c>
      <c r="U6155" t="s">
        <v>13134</v>
      </c>
      <c r="V6155" t="s">
        <v>13134</v>
      </c>
      <c r="W6155" t="s">
        <v>19219</v>
      </c>
      <c r="X6155">
        <v>17</v>
      </c>
      <c r="Y6155" t="s">
        <v>25575</v>
      </c>
      <c r="Z6155" t="s">
        <v>32123</v>
      </c>
      <c r="AA6155">
        <v>0.51172364151022842</v>
      </c>
      <c r="AB6155" t="str">
        <f>HYPERLINK("Melting_Curves/meltCurve_Q9UGP8_SEC63.pdf", "Melting_Curves/meltCurve_Q9UGP8_SEC63.pdf")</f>
        <v>Melting_Curves/meltCurve_Q9UGP8_SEC63.pdf</v>
      </c>
    </row>
    <row r="6156" spans="1:28" x14ac:dyDescent="0.25">
      <c r="A6156" t="s">
        <v>6160</v>
      </c>
      <c r="B6156">
        <v>0.99472303558308395</v>
      </c>
      <c r="C6156">
        <v>0.88621349325648802</v>
      </c>
      <c r="D6156">
        <v>0.75546733411594202</v>
      </c>
      <c r="E6156">
        <v>0.25130635917348898</v>
      </c>
      <c r="F6156">
        <v>0.12497627799912001</v>
      </c>
      <c r="G6156">
        <v>6.1455782285511899E-2</v>
      </c>
      <c r="H6156">
        <v>5.7429829131280502E-2</v>
      </c>
      <c r="I6156">
        <v>4.27679222320878E-2</v>
      </c>
      <c r="J6156">
        <v>7.7190556765515297E-2</v>
      </c>
      <c r="K6156">
        <v>0.10631321396301099</v>
      </c>
      <c r="L6156">
        <v>1180.67793548431</v>
      </c>
      <c r="M6156">
        <v>26.591768509888599</v>
      </c>
      <c r="N6156">
        <v>44.643193846579301</v>
      </c>
      <c r="O6156">
        <v>44.151311272713002</v>
      </c>
      <c r="P6156">
        <v>-0.140425678606141</v>
      </c>
      <c r="Q6156">
        <v>6.7393716301993103E-2</v>
      </c>
      <c r="R6156">
        <v>0.99302355201164505</v>
      </c>
      <c r="S6156" t="s">
        <v>12724</v>
      </c>
      <c r="T6156" t="s">
        <v>13134</v>
      </c>
      <c r="U6156" t="s">
        <v>13134</v>
      </c>
      <c r="V6156" t="s">
        <v>13134</v>
      </c>
      <c r="W6156" t="s">
        <v>19220</v>
      </c>
      <c r="X6156">
        <v>9</v>
      </c>
      <c r="Y6156" t="s">
        <v>25576</v>
      </c>
      <c r="Z6156" t="s">
        <v>32124</v>
      </c>
      <c r="AA6156">
        <v>0.304142704628865</v>
      </c>
      <c r="AB6156" t="str">
        <f>HYPERLINK("Melting_Curves/meltCurve_Q9UGR2_2_ZC3H7B.pdf", "Melting_Curves/meltCurve_Q9UGR2_2_ZC3H7B.pdf")</f>
        <v>Melting_Curves/meltCurve_Q9UGR2_2_ZC3H7B.pdf</v>
      </c>
    </row>
    <row r="6157" spans="1:28" x14ac:dyDescent="0.25">
      <c r="A6157" t="s">
        <v>6161</v>
      </c>
      <c r="B6157">
        <v>0.99472303558308395</v>
      </c>
      <c r="C6157">
        <v>0.945487015994389</v>
      </c>
      <c r="D6157">
        <v>0.80986893952063599</v>
      </c>
      <c r="E6157">
        <v>0.50101471679549903</v>
      </c>
      <c r="F6157">
        <v>9.6085391995064801E-2</v>
      </c>
      <c r="G6157">
        <v>3.2930967496794403E-2</v>
      </c>
      <c r="H6157">
        <v>2.2906862928724899E-2</v>
      </c>
      <c r="I6157">
        <v>7.3601989420225703E-3</v>
      </c>
      <c r="J6157">
        <v>9.1329720933586798E-3</v>
      </c>
      <c r="K6157">
        <v>0</v>
      </c>
      <c r="L6157">
        <v>1027.44071708196</v>
      </c>
      <c r="M6157">
        <v>22.228517002543601</v>
      </c>
      <c r="N6157">
        <v>46.221739272122399</v>
      </c>
      <c r="O6157">
        <v>45.852535364838999</v>
      </c>
      <c r="P6157">
        <v>-0.121198301166974</v>
      </c>
      <c r="Q6157">
        <v>0</v>
      </c>
      <c r="R6157">
        <v>0.99599297409048804</v>
      </c>
      <c r="S6157" t="s">
        <v>12725</v>
      </c>
      <c r="T6157" t="s">
        <v>13134</v>
      </c>
      <c r="U6157" t="s">
        <v>13134</v>
      </c>
      <c r="V6157" t="s">
        <v>13134</v>
      </c>
      <c r="W6157" t="s">
        <v>19221</v>
      </c>
      <c r="X6157">
        <v>5</v>
      </c>
      <c r="Y6157" t="s">
        <v>25577</v>
      </c>
      <c r="Z6157" t="s">
        <v>32125</v>
      </c>
      <c r="AA6157">
        <v>0.31794784137973131</v>
      </c>
      <c r="AB6157" t="str">
        <f>HYPERLINK("Melting_Curves/meltCurve_Q9UH62_ARMCX3.pdf", "Melting_Curves/meltCurve_Q9UH62_ARMCX3.pdf")</f>
        <v>Melting_Curves/meltCurve_Q9UH62_ARMCX3.pdf</v>
      </c>
    </row>
    <row r="6158" spans="1:28" x14ac:dyDescent="0.25">
      <c r="A6158" t="s">
        <v>6162</v>
      </c>
      <c r="B6158">
        <v>0.99472303558308395</v>
      </c>
      <c r="C6158">
        <v>0.90295858760952297</v>
      </c>
      <c r="D6158">
        <v>0.98142689750468204</v>
      </c>
      <c r="E6158">
        <v>0.91705099520293099</v>
      </c>
      <c r="F6158">
        <v>0.64946604807289299</v>
      </c>
      <c r="G6158">
        <v>0.33274277278522302</v>
      </c>
      <c r="H6158">
        <v>4.9212142132066899E-2</v>
      </c>
      <c r="I6158">
        <v>6.3498793178084906E-2</v>
      </c>
      <c r="J6158">
        <v>5.6016700259688898E-2</v>
      </c>
      <c r="K6158">
        <v>4.5183701710550597E-2</v>
      </c>
      <c r="L6158">
        <v>1181.9466370212899</v>
      </c>
      <c r="M6158">
        <v>22.9336491098897</v>
      </c>
      <c r="N6158">
        <v>51.669770185800402</v>
      </c>
      <c r="O6158">
        <v>51.150601782378402</v>
      </c>
      <c r="P6158">
        <v>-0.108899152634036</v>
      </c>
      <c r="Q6158">
        <v>2.8475300462591099E-2</v>
      </c>
      <c r="R6158">
        <v>0.99077302256730804</v>
      </c>
      <c r="S6158" t="s">
        <v>12726</v>
      </c>
      <c r="T6158" t="s">
        <v>13134</v>
      </c>
      <c r="U6158" t="s">
        <v>13134</v>
      </c>
      <c r="V6158" t="s">
        <v>13134</v>
      </c>
      <c r="W6158" t="s">
        <v>19222</v>
      </c>
      <c r="X6158">
        <v>8</v>
      </c>
      <c r="Y6158" t="s">
        <v>25578</v>
      </c>
      <c r="Z6158" t="s">
        <v>32126</v>
      </c>
      <c r="AA6158">
        <v>0.50929917029062133</v>
      </c>
      <c r="AB6158" t="str">
        <f>HYPERLINK("Melting_Curves/meltCurve_Q9UH65_SWAP70.pdf", "Melting_Curves/meltCurve_Q9UH65_SWAP70.pdf")</f>
        <v>Melting_Curves/meltCurve_Q9UH65_SWAP70.pdf</v>
      </c>
    </row>
    <row r="6159" spans="1:28" x14ac:dyDescent="0.25">
      <c r="A6159" t="s">
        <v>6163</v>
      </c>
      <c r="B6159">
        <v>0.99472303558308395</v>
      </c>
      <c r="C6159">
        <v>0.99697244495728499</v>
      </c>
      <c r="D6159">
        <v>0.86131036669564698</v>
      </c>
      <c r="E6159">
        <v>0.63537954890274295</v>
      </c>
      <c r="F6159">
        <v>0.36694723192679002</v>
      </c>
      <c r="G6159">
        <v>0.110753009548047</v>
      </c>
      <c r="H6159">
        <v>5.3455735845681203E-2</v>
      </c>
      <c r="I6159">
        <v>3.2415352339128699E-2</v>
      </c>
      <c r="J6159">
        <v>3.2330789141991098E-2</v>
      </c>
      <c r="K6159">
        <v>3.81855379501915E-2</v>
      </c>
      <c r="L6159">
        <v>833.94129381966002</v>
      </c>
      <c r="M6159">
        <v>17.3435606189461</v>
      </c>
      <c r="N6159">
        <v>48.147220969096502</v>
      </c>
      <c r="O6159">
        <v>47.458034110011099</v>
      </c>
      <c r="P6159">
        <v>-9.0333215273863093E-2</v>
      </c>
      <c r="Q6159">
        <v>1.13236744774683E-2</v>
      </c>
      <c r="R6159">
        <v>0.99722720626988404</v>
      </c>
      <c r="S6159" t="s">
        <v>12727</v>
      </c>
      <c r="T6159" t="s">
        <v>13134</v>
      </c>
      <c r="U6159" t="s">
        <v>13134</v>
      </c>
      <c r="V6159" t="s">
        <v>13134</v>
      </c>
      <c r="W6159" t="s">
        <v>19223</v>
      </c>
      <c r="X6159">
        <v>18</v>
      </c>
      <c r="Y6159" t="s">
        <v>25579</v>
      </c>
      <c r="Z6159" t="s">
        <v>32127</v>
      </c>
      <c r="AA6159">
        <v>0.39348837057904468</v>
      </c>
      <c r="AB6159" t="str">
        <f>HYPERLINK("Melting_Curves/meltCurve_Q9UH99_SUN2.pdf", "Melting_Curves/meltCurve_Q9UH99_SUN2.pdf")</f>
        <v>Melting_Curves/meltCurve_Q9UH99_SUN2.pdf</v>
      </c>
    </row>
    <row r="6160" spans="1:28" x14ac:dyDescent="0.25">
      <c r="A6160" t="s">
        <v>6164</v>
      </c>
      <c r="B6160">
        <v>0.99472303558308395</v>
      </c>
      <c r="C6160">
        <v>0.91795418906007797</v>
      </c>
      <c r="D6160">
        <v>0.91787882565734702</v>
      </c>
      <c r="E6160">
        <v>0.62028417741888597</v>
      </c>
      <c r="F6160">
        <v>0.28431214267006699</v>
      </c>
      <c r="G6160">
        <v>0.13744713304214401</v>
      </c>
      <c r="H6160">
        <v>8.2901452449249402E-2</v>
      </c>
      <c r="I6160">
        <v>8.4865366354037797E-2</v>
      </c>
      <c r="J6160">
        <v>0.119829943310581</v>
      </c>
      <c r="K6160">
        <v>7.8994379712658797E-2</v>
      </c>
      <c r="L6160">
        <v>1036.5725544608299</v>
      </c>
      <c r="M6160">
        <v>21.915172898661801</v>
      </c>
      <c r="N6160">
        <v>47.6948131224202</v>
      </c>
      <c r="O6160">
        <v>46.910757159167197</v>
      </c>
      <c r="P6160">
        <v>-0.107090504496811</v>
      </c>
      <c r="Q6160">
        <v>8.3085905136086394E-2</v>
      </c>
      <c r="R6160">
        <v>0.99558739453589895</v>
      </c>
      <c r="S6160" t="s">
        <v>12728</v>
      </c>
      <c r="T6160" t="s">
        <v>13134</v>
      </c>
      <c r="U6160" t="s">
        <v>13134</v>
      </c>
      <c r="V6160" t="s">
        <v>13134</v>
      </c>
      <c r="W6160" t="s">
        <v>19224</v>
      </c>
      <c r="X6160">
        <v>3</v>
      </c>
      <c r="Y6160" t="s">
        <v>25580</v>
      </c>
      <c r="Z6160" t="s">
        <v>32128</v>
      </c>
      <c r="AA6160">
        <v>0.40792045259073112</v>
      </c>
      <c r="AB6160" t="str">
        <f>HYPERLINK("Melting_Curves/meltCurve_Q9UHA2_SS18L2.pdf", "Melting_Curves/meltCurve_Q9UHA2_SS18L2.pdf")</f>
        <v>Melting_Curves/meltCurve_Q9UHA2_SS18L2.pdf</v>
      </c>
    </row>
    <row r="6161" spans="1:28" x14ac:dyDescent="0.25">
      <c r="A6161" t="s">
        <v>6165</v>
      </c>
      <c r="B6161">
        <v>0.99472303558308395</v>
      </c>
      <c r="C6161">
        <v>1.03978604220395</v>
      </c>
      <c r="D6161">
        <v>0.93970425079279696</v>
      </c>
      <c r="E6161">
        <v>0.93352411292825299</v>
      </c>
      <c r="F6161">
        <v>0.78998511946368299</v>
      </c>
      <c r="G6161">
        <v>0.64627478767652102</v>
      </c>
      <c r="H6161">
        <v>0.63760339742698102</v>
      </c>
      <c r="I6161">
        <v>0.75670968970455299</v>
      </c>
      <c r="J6161">
        <v>0.91346693537113099</v>
      </c>
      <c r="K6161">
        <v>0.60672439068099304</v>
      </c>
      <c r="L6161">
        <v>1707.7748442386701</v>
      </c>
      <c r="M6161">
        <v>35.413635563510503</v>
      </c>
      <c r="O6161">
        <v>48.070650377201403</v>
      </c>
      <c r="P6161">
        <v>-5.2716803735598602E-2</v>
      </c>
      <c r="Q6161">
        <v>0.71376868701766505</v>
      </c>
      <c r="R6161">
        <v>0.69397175329713601</v>
      </c>
      <c r="S6161" t="s">
        <v>12729</v>
      </c>
      <c r="T6161" t="s">
        <v>13134</v>
      </c>
      <c r="U6161" t="s">
        <v>13134</v>
      </c>
      <c r="V6161" t="s">
        <v>13134</v>
      </c>
      <c r="W6161" t="s">
        <v>19225</v>
      </c>
      <c r="X6161">
        <v>2</v>
      </c>
      <c r="Y6161" t="s">
        <v>25581</v>
      </c>
      <c r="Z6161" t="s">
        <v>32129</v>
      </c>
      <c r="AA6161">
        <v>0.82207347106720452</v>
      </c>
      <c r="AB6161" t="str">
        <f>HYPERLINK("Melting_Curves/meltCurve_Q9UHA4_LAMTOR3.pdf", "Melting_Curves/meltCurve_Q9UHA4_LAMTOR3.pdf")</f>
        <v>Melting_Curves/meltCurve_Q9UHA4_LAMTOR3.pdf</v>
      </c>
    </row>
    <row r="6162" spans="1:28" x14ac:dyDescent="0.25">
      <c r="A6162" t="s">
        <v>6166</v>
      </c>
      <c r="B6162">
        <v>0.99472303558308395</v>
      </c>
      <c r="C6162">
        <v>1.0557554962325899</v>
      </c>
      <c r="D6162">
        <v>0.61417403962586903</v>
      </c>
      <c r="E6162">
        <v>0.56486457074847096</v>
      </c>
      <c r="F6162">
        <v>0.47514313380036899</v>
      </c>
      <c r="G6162">
        <v>0.15946882248968799</v>
      </c>
      <c r="H6162">
        <v>7.6125936330017296E-2</v>
      </c>
      <c r="I6162">
        <v>4.7379575245617797E-2</v>
      </c>
      <c r="J6162">
        <v>7.1096902651476293E-2</v>
      </c>
      <c r="K6162">
        <v>4.8383454933685101E-2</v>
      </c>
      <c r="L6162">
        <v>555.13339512033997</v>
      </c>
      <c r="M6162">
        <v>11.65335816488</v>
      </c>
      <c r="N6162">
        <v>47.637203325601902</v>
      </c>
      <c r="O6162">
        <v>46.299269840181502</v>
      </c>
      <c r="P6162">
        <v>-6.2941093950393906E-2</v>
      </c>
      <c r="Q6162">
        <v>0</v>
      </c>
      <c r="R6162">
        <v>0.94891588543251704</v>
      </c>
      <c r="S6162" t="s">
        <v>12730</v>
      </c>
      <c r="T6162" t="s">
        <v>13134</v>
      </c>
      <c r="U6162" t="s">
        <v>13134</v>
      </c>
      <c r="V6162" t="s">
        <v>13134</v>
      </c>
      <c r="W6162" t="s">
        <v>19226</v>
      </c>
      <c r="X6162">
        <v>4</v>
      </c>
      <c r="Y6162" t="s">
        <v>25582</v>
      </c>
      <c r="Z6162" t="s">
        <v>32130</v>
      </c>
      <c r="AA6162">
        <v>0.38787031127979232</v>
      </c>
      <c r="AB6162" t="str">
        <f>HYPERLINK("Melting_Curves/meltCurve_Q9UHB7_AFF4.pdf", "Melting_Curves/meltCurve_Q9UHB7_AFF4.pdf")</f>
        <v>Melting_Curves/meltCurve_Q9UHB7_AFF4.pdf</v>
      </c>
    </row>
    <row r="6163" spans="1:28" x14ac:dyDescent="0.25">
      <c r="A6163" t="s">
        <v>6167</v>
      </c>
      <c r="B6163">
        <v>0.99472303558308395</v>
      </c>
      <c r="C6163">
        <v>0.91922490289105696</v>
      </c>
      <c r="D6163">
        <v>0.74759504445209002</v>
      </c>
      <c r="E6163">
        <v>0.56720350204478998</v>
      </c>
      <c r="F6163">
        <v>0.13681063481668501</v>
      </c>
      <c r="G6163">
        <v>7.8948595220613205E-2</v>
      </c>
      <c r="H6163">
        <v>5.3423514218798603E-2</v>
      </c>
      <c r="I6163">
        <v>3.0217074085258599E-2</v>
      </c>
      <c r="J6163">
        <v>4.3659650049477201E-2</v>
      </c>
      <c r="K6163">
        <v>2.15069521898411E-2</v>
      </c>
      <c r="L6163">
        <v>817.72316510747601</v>
      </c>
      <c r="M6163">
        <v>17.663288446390801</v>
      </c>
      <c r="N6163">
        <v>46.3684580566009</v>
      </c>
      <c r="O6163">
        <v>45.713906597708899</v>
      </c>
      <c r="P6163">
        <v>-9.52704348482388E-2</v>
      </c>
      <c r="Q6163">
        <v>1.37844996091542E-2</v>
      </c>
      <c r="R6163">
        <v>0.98787978097826501</v>
      </c>
      <c r="S6163" t="s">
        <v>12731</v>
      </c>
      <c r="T6163" t="s">
        <v>13134</v>
      </c>
      <c r="U6163" t="s">
        <v>13134</v>
      </c>
      <c r="V6163" t="s">
        <v>13134</v>
      </c>
      <c r="W6163" t="s">
        <v>19227</v>
      </c>
      <c r="X6163">
        <v>29</v>
      </c>
      <c r="Y6163" t="s">
        <v>25583</v>
      </c>
      <c r="Z6163" t="s">
        <v>32131</v>
      </c>
      <c r="AA6163">
        <v>0.33585038027266578</v>
      </c>
      <c r="AB6163" t="str">
        <f>HYPERLINK("Melting_Curves/meltCurve_Q9UHB9_4_SRP68.pdf", "Melting_Curves/meltCurve_Q9UHB9_4_SRP68.pdf")</f>
        <v>Melting_Curves/meltCurve_Q9UHB9_4_SRP68.pdf</v>
      </c>
    </row>
    <row r="6164" spans="1:28" x14ac:dyDescent="0.25">
      <c r="A6164" t="s">
        <v>6168</v>
      </c>
      <c r="B6164">
        <v>0.99472303558308395</v>
      </c>
      <c r="C6164">
        <v>0.98950175824647901</v>
      </c>
      <c r="D6164">
        <v>0.93960137577663305</v>
      </c>
      <c r="E6164">
        <v>0.90358275607543903</v>
      </c>
      <c r="F6164">
        <v>0.707213478914829</v>
      </c>
      <c r="G6164">
        <v>0.25896249178396902</v>
      </c>
      <c r="H6164">
        <v>9.2767874564067695E-2</v>
      </c>
      <c r="I6164">
        <v>5.9132215874444297E-2</v>
      </c>
      <c r="J6164">
        <v>5.5342732004661901E-2</v>
      </c>
      <c r="K6164">
        <v>5.3105353393560803E-2</v>
      </c>
      <c r="L6164">
        <v>1388.6611654071401</v>
      </c>
      <c r="M6164">
        <v>26.9669754141933</v>
      </c>
      <c r="N6164">
        <v>51.674178054809502</v>
      </c>
      <c r="O6164">
        <v>51.214207645687303</v>
      </c>
      <c r="P6164">
        <v>-0.12576029297410701</v>
      </c>
      <c r="Q6164">
        <v>4.4661199641274997E-2</v>
      </c>
      <c r="R6164">
        <v>0.99640769418807296</v>
      </c>
      <c r="S6164" t="s">
        <v>12732</v>
      </c>
      <c r="T6164" t="s">
        <v>13134</v>
      </c>
      <c r="U6164" t="s">
        <v>13134</v>
      </c>
      <c r="V6164" t="s">
        <v>13134</v>
      </c>
      <c r="W6164" t="s">
        <v>19228</v>
      </c>
      <c r="X6164">
        <v>15</v>
      </c>
      <c r="Y6164" t="s">
        <v>25584</v>
      </c>
      <c r="Z6164" t="s">
        <v>32132</v>
      </c>
      <c r="AA6164">
        <v>0.5135887680774931</v>
      </c>
      <c r="AB6164" t="str">
        <f>HYPERLINK("Melting_Curves/meltCurve_Q9UHD1_CHORDC1.pdf", "Melting_Curves/meltCurve_Q9UHD1_CHORDC1.pdf")</f>
        <v>Melting_Curves/meltCurve_Q9UHD1_CHORDC1.pdf</v>
      </c>
    </row>
    <row r="6165" spans="1:28" x14ac:dyDescent="0.25">
      <c r="A6165" t="s">
        <v>6169</v>
      </c>
      <c r="B6165">
        <v>0.99472303558308395</v>
      </c>
      <c r="C6165">
        <v>0.92035573472607402</v>
      </c>
      <c r="D6165">
        <v>0.692829197892052</v>
      </c>
      <c r="E6165">
        <v>0.43936642789672897</v>
      </c>
      <c r="F6165">
        <v>0.119474443416089</v>
      </c>
      <c r="G6165">
        <v>7.2774123637788707E-2</v>
      </c>
      <c r="H6165">
        <v>4.4447540828299298E-2</v>
      </c>
      <c r="I6165">
        <v>3.1298008649643501E-2</v>
      </c>
      <c r="J6165">
        <v>3.8401336636249297E-2</v>
      </c>
      <c r="K6165">
        <v>2.1375279578031401E-2</v>
      </c>
      <c r="L6165">
        <v>798.41208357896403</v>
      </c>
      <c r="M6165">
        <v>17.630970756522998</v>
      </c>
      <c r="N6165">
        <v>45.3811611361023</v>
      </c>
      <c r="O6165">
        <v>44.714114040972397</v>
      </c>
      <c r="P6165">
        <v>-9.67673302796173E-2</v>
      </c>
      <c r="Q6165">
        <v>1.8401459440445599E-2</v>
      </c>
      <c r="R6165">
        <v>0.99564169705618399</v>
      </c>
      <c r="S6165" t="s">
        <v>12733</v>
      </c>
      <c r="T6165" t="s">
        <v>13134</v>
      </c>
      <c r="U6165" t="s">
        <v>13134</v>
      </c>
      <c r="V6165" t="s">
        <v>13134</v>
      </c>
      <c r="W6165" t="s">
        <v>19229</v>
      </c>
      <c r="X6165">
        <v>10</v>
      </c>
      <c r="Y6165" t="s">
        <v>25585</v>
      </c>
      <c r="Z6165" t="s">
        <v>32133</v>
      </c>
      <c r="AA6165">
        <v>0.30617667905514567</v>
      </c>
      <c r="AB6165" t="str">
        <f>HYPERLINK("Melting_Curves/meltCurve_Q9UHD2_TBK1.pdf", "Melting_Curves/meltCurve_Q9UHD2_TBK1.pdf")</f>
        <v>Melting_Curves/meltCurve_Q9UHD2_TBK1.pdf</v>
      </c>
    </row>
    <row r="6166" spans="1:28" x14ac:dyDescent="0.25">
      <c r="A6166" t="s">
        <v>6170</v>
      </c>
      <c r="B6166">
        <v>0.99472303558308395</v>
      </c>
      <c r="C6166">
        <v>1.0359328269685999</v>
      </c>
      <c r="D6166">
        <v>0.89266553994034403</v>
      </c>
      <c r="E6166">
        <v>0.79912390360785601</v>
      </c>
      <c r="F6166">
        <v>0.73337072736404096</v>
      </c>
      <c r="G6166">
        <v>0.33658115002516698</v>
      </c>
      <c r="H6166">
        <v>9.4464454691333896E-2</v>
      </c>
      <c r="I6166">
        <v>6.8806046220132797E-2</v>
      </c>
      <c r="J6166">
        <v>6.85117443102016E-2</v>
      </c>
      <c r="K6166">
        <v>5.9458359912664203E-2</v>
      </c>
      <c r="L6166">
        <v>943.64114514591904</v>
      </c>
      <c r="M6166">
        <v>18.223284355657398</v>
      </c>
      <c r="N6166">
        <v>51.880897982780397</v>
      </c>
      <c r="O6166">
        <v>51.170689179349203</v>
      </c>
      <c r="P6166">
        <v>-8.7518628726279496E-2</v>
      </c>
      <c r="Q6166">
        <v>1.7042598419187201E-2</v>
      </c>
      <c r="R6166">
        <v>0.98151677246761104</v>
      </c>
      <c r="S6166" t="s">
        <v>12734</v>
      </c>
      <c r="T6166" t="s">
        <v>13134</v>
      </c>
      <c r="U6166" t="s">
        <v>13134</v>
      </c>
      <c r="V6166" t="s">
        <v>13134</v>
      </c>
      <c r="W6166" t="s">
        <v>19230</v>
      </c>
      <c r="X6166">
        <v>33</v>
      </c>
      <c r="Y6166" t="s">
        <v>25586</v>
      </c>
      <c r="Z6166" t="s">
        <v>32134</v>
      </c>
      <c r="AA6166">
        <v>0.51607695688279109</v>
      </c>
      <c r="AB6166" t="str">
        <f>HYPERLINK("Melting_Curves/meltCurve_Q9UHD8_7_SEPT9.pdf", "Melting_Curves/meltCurve_Q9UHD8_7_SEPT9.pdf")</f>
        <v>Melting_Curves/meltCurve_Q9UHD8_7_SEPT9.pdf</v>
      </c>
    </row>
    <row r="6167" spans="1:28" x14ac:dyDescent="0.25">
      <c r="A6167" t="s">
        <v>6171</v>
      </c>
      <c r="B6167">
        <v>0.99472303558308395</v>
      </c>
      <c r="C6167">
        <v>0.993469977962259</v>
      </c>
      <c r="D6167">
        <v>0.89559923399632002</v>
      </c>
      <c r="E6167">
        <v>0.83463114610900502</v>
      </c>
      <c r="F6167">
        <v>0.76711874540082903</v>
      </c>
      <c r="G6167">
        <v>0.51180957297436502</v>
      </c>
      <c r="H6167">
        <v>0.45330684710166802</v>
      </c>
      <c r="I6167">
        <v>0.43586139524237499</v>
      </c>
      <c r="J6167">
        <v>0.52594058113901798</v>
      </c>
      <c r="K6167">
        <v>0.39813322829438003</v>
      </c>
      <c r="L6167">
        <v>734.67515109486703</v>
      </c>
      <c r="M6167">
        <v>14.741929774971499</v>
      </c>
      <c r="N6167">
        <v>56.712850997558398</v>
      </c>
      <c r="O6167">
        <v>48.945672110993499</v>
      </c>
      <c r="P6167">
        <v>-4.3954205986053298E-2</v>
      </c>
      <c r="Q6167">
        <v>0.41632186398940202</v>
      </c>
      <c r="R6167">
        <v>0.958129083662147</v>
      </c>
      <c r="S6167" t="s">
        <v>12735</v>
      </c>
      <c r="T6167" t="s">
        <v>13134</v>
      </c>
      <c r="U6167" t="s">
        <v>13134</v>
      </c>
      <c r="V6167" t="s">
        <v>13134</v>
      </c>
      <c r="W6167" t="s">
        <v>19231</v>
      </c>
      <c r="X6167">
        <v>8</v>
      </c>
      <c r="Y6167" t="s">
        <v>25587</v>
      </c>
      <c r="Z6167" t="s">
        <v>32135</v>
      </c>
      <c r="AA6167">
        <v>0.67863202007632617</v>
      </c>
      <c r="AB6167" t="str">
        <f>HYPERLINK("Melting_Curves/meltCurve_Q9UHD9_UBQLN2.pdf", "Melting_Curves/meltCurve_Q9UHD9_UBQLN2.pdf")</f>
        <v>Melting_Curves/meltCurve_Q9UHD9_UBQLN2.pdf</v>
      </c>
    </row>
    <row r="6168" spans="1:28" x14ac:dyDescent="0.25">
      <c r="A6168" t="s">
        <v>6172</v>
      </c>
      <c r="B6168">
        <v>0.99472303558308395</v>
      </c>
      <c r="C6168">
        <v>1.07620561908224</v>
      </c>
      <c r="D6168">
        <v>0.85894886475351195</v>
      </c>
      <c r="E6168">
        <v>0.76380343230317504</v>
      </c>
      <c r="F6168">
        <v>0.515315660144398</v>
      </c>
      <c r="G6168">
        <v>0.189498709862024</v>
      </c>
      <c r="H6168">
        <v>6.0526441895954401E-2</v>
      </c>
      <c r="I6168">
        <v>7.1897160072409705E-2</v>
      </c>
      <c r="J6168">
        <v>9.5481551854921298E-2</v>
      </c>
      <c r="K6168">
        <v>7.0355089819295294E-2</v>
      </c>
      <c r="L6168">
        <v>918.59302484625198</v>
      </c>
      <c r="M6168">
        <v>18.553382140310301</v>
      </c>
      <c r="N6168">
        <v>49.764346008988497</v>
      </c>
      <c r="O6168">
        <v>48.9463862635805</v>
      </c>
      <c r="P6168">
        <v>-9.04946090431928E-2</v>
      </c>
      <c r="Q6168">
        <v>4.5092670705254398E-2</v>
      </c>
      <c r="R6168">
        <v>0.98510856578596995</v>
      </c>
      <c r="S6168" t="s">
        <v>12736</v>
      </c>
      <c r="T6168" t="s">
        <v>13134</v>
      </c>
      <c r="U6168" t="s">
        <v>13134</v>
      </c>
      <c r="V6168" t="s">
        <v>13134</v>
      </c>
      <c r="W6168" t="s">
        <v>19232</v>
      </c>
      <c r="X6168">
        <v>1</v>
      </c>
      <c r="Y6168" t="s">
        <v>25588</v>
      </c>
      <c r="Z6168" t="s">
        <v>32136</v>
      </c>
      <c r="AA6168">
        <v>0.45767311446967268</v>
      </c>
      <c r="AB6168" t="str">
        <f>HYPERLINK("Melting_Curves/meltCurve_Q9UHF1_EGFL7.pdf", "Melting_Curves/meltCurve_Q9UHF1_EGFL7.pdf")</f>
        <v>Melting_Curves/meltCurve_Q9UHF1_EGFL7.pdf</v>
      </c>
    </row>
    <row r="6169" spans="1:28" x14ac:dyDescent="0.25">
      <c r="A6169" t="s">
        <v>6173</v>
      </c>
      <c r="B6169">
        <v>0.99472303558308395</v>
      </c>
      <c r="C6169">
        <v>0.97401020145748696</v>
      </c>
      <c r="D6169">
        <v>0.94269547263294096</v>
      </c>
      <c r="E6169">
        <v>0.91433111421111901</v>
      </c>
      <c r="F6169">
        <v>0.74633939332362198</v>
      </c>
      <c r="G6169">
        <v>0.63699805535097198</v>
      </c>
      <c r="H6169">
        <v>0.53294890339901302</v>
      </c>
      <c r="I6169">
        <v>0.35124363828160299</v>
      </c>
      <c r="J6169">
        <v>0.190531148014458</v>
      </c>
      <c r="K6169">
        <v>0.13278908944619799</v>
      </c>
      <c r="L6169">
        <v>586.67578733768903</v>
      </c>
      <c r="M6169">
        <v>10.339985264803801</v>
      </c>
      <c r="N6169">
        <v>56.7385517183167</v>
      </c>
      <c r="O6169">
        <v>54.739335570391397</v>
      </c>
      <c r="P6169">
        <v>-4.7243952556746897E-2</v>
      </c>
      <c r="Q6169">
        <v>0</v>
      </c>
      <c r="R6169">
        <v>0.98887946534414395</v>
      </c>
      <c r="S6169" t="s">
        <v>12737</v>
      </c>
      <c r="T6169" t="s">
        <v>13134</v>
      </c>
      <c r="U6169" t="s">
        <v>13134</v>
      </c>
      <c r="V6169" t="s">
        <v>13134</v>
      </c>
      <c r="W6169" t="s">
        <v>19233</v>
      </c>
      <c r="X6169">
        <v>10</v>
      </c>
      <c r="Y6169" t="s">
        <v>25589</v>
      </c>
      <c r="Z6169" t="s">
        <v>32137</v>
      </c>
      <c r="AA6169">
        <v>0.66010145918335084</v>
      </c>
      <c r="AB6169" t="str">
        <f>HYPERLINK("Melting_Curves/meltCurve_Q9UHG3_PCYOX1.pdf", "Melting_Curves/meltCurve_Q9UHG3_PCYOX1.pdf")</f>
        <v>Melting_Curves/meltCurve_Q9UHG3_PCYOX1.pdf</v>
      </c>
    </row>
    <row r="6170" spans="1:28" x14ac:dyDescent="0.25">
      <c r="A6170" t="s">
        <v>6174</v>
      </c>
      <c r="B6170">
        <v>0.99472303558308395</v>
      </c>
      <c r="C6170">
        <v>0.55536966125790299</v>
      </c>
      <c r="D6170">
        <v>0.66525254191399497</v>
      </c>
      <c r="E6170">
        <v>0.281063641052261</v>
      </c>
      <c r="F6170">
        <v>0.42139294293621798</v>
      </c>
      <c r="G6170">
        <v>5.2429744128049897E-2</v>
      </c>
      <c r="H6170">
        <v>4.6988825928854901E-2</v>
      </c>
      <c r="I6170">
        <v>1.6349758335007701E-2</v>
      </c>
      <c r="J6170">
        <v>1.7764843962745601E-2</v>
      </c>
      <c r="K6170">
        <v>1.83620544417759E-2</v>
      </c>
      <c r="L6170">
        <v>445.13979406341298</v>
      </c>
      <c r="M6170">
        <v>10.0985498863463</v>
      </c>
      <c r="N6170">
        <v>44.079579451888797</v>
      </c>
      <c r="O6170">
        <v>42.455782565635701</v>
      </c>
      <c r="P6170">
        <v>-5.94929608160902E-2</v>
      </c>
      <c r="Q6170">
        <v>0</v>
      </c>
      <c r="R6170">
        <v>0.88959971996908904</v>
      </c>
      <c r="S6170" t="s">
        <v>12738</v>
      </c>
      <c r="T6170" t="s">
        <v>13134</v>
      </c>
      <c r="U6170" t="s">
        <v>13134</v>
      </c>
      <c r="V6170" t="s">
        <v>13134</v>
      </c>
      <c r="W6170" t="s">
        <v>19234</v>
      </c>
      <c r="X6170">
        <v>4</v>
      </c>
      <c r="Y6170" t="s">
        <v>25590</v>
      </c>
      <c r="Z6170" t="s">
        <v>32138</v>
      </c>
      <c r="AA6170">
        <v>0.28815605547977091</v>
      </c>
      <c r="AB6170" t="str">
        <f>HYPERLINK("Melting_Curves/meltCurve_Q9UHI6_DDX20.pdf", "Melting_Curves/meltCurve_Q9UHI6_DDX20.pdf")</f>
        <v>Melting_Curves/meltCurve_Q9UHI6_DDX20.pdf</v>
      </c>
    </row>
    <row r="6171" spans="1:28" x14ac:dyDescent="0.25">
      <c r="A6171" t="s">
        <v>6175</v>
      </c>
      <c r="B6171">
        <v>0.99472303558308395</v>
      </c>
      <c r="C6171">
        <v>0.99837633805801795</v>
      </c>
      <c r="D6171">
        <v>0.96503643125052796</v>
      </c>
      <c r="E6171">
        <v>0.75712535497116096</v>
      </c>
      <c r="F6171">
        <v>0.54238764521807004</v>
      </c>
      <c r="G6171">
        <v>0.171288622028344</v>
      </c>
      <c r="H6171">
        <v>9.21499684816392E-2</v>
      </c>
      <c r="I6171">
        <v>6.3968201028253693E-2</v>
      </c>
      <c r="J6171">
        <v>7.7490834595237604E-2</v>
      </c>
      <c r="K6171">
        <v>6.9660334615421704E-2</v>
      </c>
      <c r="L6171">
        <v>997.152190905368</v>
      </c>
      <c r="M6171">
        <v>20.046241973878601</v>
      </c>
      <c r="N6171">
        <v>49.989886332015203</v>
      </c>
      <c r="O6171">
        <v>49.255527315367203</v>
      </c>
      <c r="P6171">
        <v>-9.6946665871313301E-2</v>
      </c>
      <c r="Q6171">
        <v>4.7201955853297402E-2</v>
      </c>
      <c r="R6171">
        <v>0.99409368636301898</v>
      </c>
      <c r="S6171" t="s">
        <v>12739</v>
      </c>
      <c r="T6171" t="s">
        <v>13134</v>
      </c>
      <c r="U6171" t="s">
        <v>13134</v>
      </c>
      <c r="V6171" t="s">
        <v>13134</v>
      </c>
      <c r="W6171" t="s">
        <v>19235</v>
      </c>
      <c r="X6171">
        <v>11</v>
      </c>
      <c r="Y6171" t="s">
        <v>25591</v>
      </c>
      <c r="Z6171" t="s">
        <v>32139</v>
      </c>
      <c r="AA6171">
        <v>0.46440897502479461</v>
      </c>
      <c r="AB6171" t="str">
        <f>HYPERLINK("Melting_Curves/meltCurve_Q9UHJ6_SHPK.pdf", "Melting_Curves/meltCurve_Q9UHJ6_SHPK.pdf")</f>
        <v>Melting_Curves/meltCurve_Q9UHJ6_SHPK.pdf</v>
      </c>
    </row>
    <row r="6172" spans="1:28" x14ac:dyDescent="0.25">
      <c r="A6172" t="s">
        <v>6176</v>
      </c>
      <c r="B6172">
        <v>0.99472303558308395</v>
      </c>
      <c r="C6172">
        <v>0.95437502264801199</v>
      </c>
      <c r="D6172">
        <v>0.76918963701743703</v>
      </c>
      <c r="E6172">
        <v>0.49970777312728698</v>
      </c>
      <c r="F6172">
        <v>0.227452668340523</v>
      </c>
      <c r="G6172">
        <v>0.123448454425702</v>
      </c>
      <c r="H6172">
        <v>0.104369496806946</v>
      </c>
      <c r="I6172">
        <v>5.4533151689912802E-2</v>
      </c>
      <c r="J6172">
        <v>7.3970204484926499E-2</v>
      </c>
      <c r="K6172">
        <v>4.3344741760390701E-2</v>
      </c>
      <c r="L6172">
        <v>792.871505875867</v>
      </c>
      <c r="M6172">
        <v>17.194903818837599</v>
      </c>
      <c r="N6172">
        <v>46.411053551229898</v>
      </c>
      <c r="O6172">
        <v>45.500727911459599</v>
      </c>
      <c r="P6172">
        <v>-8.9508857600673702E-2</v>
      </c>
      <c r="Q6172">
        <v>5.2631519187310197E-2</v>
      </c>
      <c r="R6172">
        <v>0.99849247194069102</v>
      </c>
      <c r="S6172" t="s">
        <v>12740</v>
      </c>
      <c r="T6172" t="s">
        <v>13134</v>
      </c>
      <c r="U6172" t="s">
        <v>13134</v>
      </c>
      <c r="V6172" t="s">
        <v>13134</v>
      </c>
      <c r="W6172" t="s">
        <v>19236</v>
      </c>
      <c r="X6172">
        <v>1</v>
      </c>
      <c r="Y6172" t="s">
        <v>25592</v>
      </c>
      <c r="Z6172" t="s">
        <v>32140</v>
      </c>
      <c r="AA6172">
        <v>0.35708621339402291</v>
      </c>
      <c r="AB6172" t="str">
        <f>HYPERLINK("Melting_Curves/meltCurve_Q9UHK0_NUFIP1.pdf", "Melting_Curves/meltCurve_Q9UHK0_NUFIP1.pdf")</f>
        <v>Melting_Curves/meltCurve_Q9UHK0_NUFIP1.pdf</v>
      </c>
    </row>
    <row r="6173" spans="1:28" x14ac:dyDescent="0.25">
      <c r="A6173" t="s">
        <v>6177</v>
      </c>
      <c r="B6173">
        <v>0.99472303558308395</v>
      </c>
      <c r="C6173">
        <v>0.99563451324778396</v>
      </c>
      <c r="D6173">
        <v>0.955715243019848</v>
      </c>
      <c r="E6173">
        <v>0.81469633221487203</v>
      </c>
      <c r="F6173">
        <v>0.67633373080374104</v>
      </c>
      <c r="G6173">
        <v>0.48612396313518402</v>
      </c>
      <c r="H6173">
        <v>0.37170301215798701</v>
      </c>
      <c r="I6173">
        <v>0.406956113297884</v>
      </c>
      <c r="J6173">
        <v>0.53215034141822604</v>
      </c>
      <c r="K6173">
        <v>0.26955538981060101</v>
      </c>
      <c r="L6173">
        <v>844.83580135607099</v>
      </c>
      <c r="M6173">
        <v>17.0976303955776</v>
      </c>
      <c r="N6173">
        <v>53.710457202800498</v>
      </c>
      <c r="O6173">
        <v>48.751344332985397</v>
      </c>
      <c r="P6173">
        <v>-5.5002202155086798E-2</v>
      </c>
      <c r="Q6173">
        <v>0.37271546073782802</v>
      </c>
      <c r="R6173">
        <v>0.94357630785091295</v>
      </c>
      <c r="S6173" t="s">
        <v>12741</v>
      </c>
      <c r="T6173" t="s">
        <v>13134</v>
      </c>
      <c r="U6173" t="s">
        <v>13134</v>
      </c>
      <c r="V6173" t="s">
        <v>13134</v>
      </c>
      <c r="W6173" t="s">
        <v>19237</v>
      </c>
      <c r="X6173">
        <v>10</v>
      </c>
      <c r="Y6173" t="s">
        <v>25593</v>
      </c>
      <c r="Z6173" t="s">
        <v>32141</v>
      </c>
      <c r="AA6173">
        <v>0.64309312441666355</v>
      </c>
      <c r="AB6173" t="str">
        <f>HYPERLINK("Melting_Curves/meltCurve_Q9UHL4_DPP7.pdf", "Melting_Curves/meltCurve_Q9UHL4_DPP7.pdf")</f>
        <v>Melting_Curves/meltCurve_Q9UHL4_DPP7.pdf</v>
      </c>
    </row>
    <row r="6174" spans="1:28" x14ac:dyDescent="0.25">
      <c r="A6174" t="s">
        <v>6178</v>
      </c>
      <c r="B6174">
        <v>0.99472303558308395</v>
      </c>
      <c r="C6174">
        <v>1.01908054982188</v>
      </c>
      <c r="D6174">
        <v>0.91279856222836397</v>
      </c>
      <c r="E6174">
        <v>0.81987810420039198</v>
      </c>
      <c r="F6174">
        <v>0.66714507168788195</v>
      </c>
      <c r="G6174">
        <v>0.57360168804432399</v>
      </c>
      <c r="H6174">
        <v>0.445136902715634</v>
      </c>
      <c r="I6174">
        <v>0.44366786310041301</v>
      </c>
      <c r="J6174">
        <v>0.58517768356349598</v>
      </c>
      <c r="K6174">
        <v>0.36531068356920199</v>
      </c>
      <c r="L6174">
        <v>731.98216029912498</v>
      </c>
      <c r="M6174">
        <v>14.9689592059165</v>
      </c>
      <c r="N6174">
        <v>56.821972443387402</v>
      </c>
      <c r="O6174">
        <v>48.052176298087304</v>
      </c>
      <c r="P6174">
        <v>-4.3774891107762802E-2</v>
      </c>
      <c r="Q6174">
        <v>0.43796640402282</v>
      </c>
      <c r="R6174">
        <v>0.94351471031441503</v>
      </c>
      <c r="S6174" t="s">
        <v>12742</v>
      </c>
      <c r="T6174" t="s">
        <v>13134</v>
      </c>
      <c r="U6174" t="s">
        <v>13134</v>
      </c>
      <c r="V6174" t="s">
        <v>13134</v>
      </c>
      <c r="W6174" t="s">
        <v>19238</v>
      </c>
      <c r="X6174">
        <v>5</v>
      </c>
      <c r="Y6174" t="s">
        <v>25594</v>
      </c>
      <c r="Z6174" t="s">
        <v>32142</v>
      </c>
      <c r="AA6174">
        <v>0.67306747597401706</v>
      </c>
      <c r="AB6174" t="str">
        <f>HYPERLINK("Melting_Curves/meltCurve_Q9UHN1_POLG2.pdf", "Melting_Curves/meltCurve_Q9UHN1_POLG2.pdf")</f>
        <v>Melting_Curves/meltCurve_Q9UHN1_POLG2.pdf</v>
      </c>
    </row>
    <row r="6175" spans="1:28" x14ac:dyDescent="0.25">
      <c r="A6175" t="s">
        <v>6179</v>
      </c>
      <c r="B6175">
        <v>0.99472303558308395</v>
      </c>
      <c r="C6175">
        <v>1.01620000455465</v>
      </c>
      <c r="D6175">
        <v>0.89029646551317099</v>
      </c>
      <c r="E6175">
        <v>0.84627926928028696</v>
      </c>
      <c r="F6175">
        <v>0.74074914514438694</v>
      </c>
      <c r="G6175">
        <v>0.37822572951890598</v>
      </c>
      <c r="H6175">
        <v>0.13619311667593501</v>
      </c>
      <c r="I6175">
        <v>9.6064842568118605E-2</v>
      </c>
      <c r="J6175">
        <v>6.6013612819781103E-2</v>
      </c>
      <c r="K6175">
        <v>0.119895986019826</v>
      </c>
      <c r="L6175">
        <v>1019.6378625241</v>
      </c>
      <c r="M6175">
        <v>19.620173761652602</v>
      </c>
      <c r="N6175">
        <v>52.289352865132003</v>
      </c>
      <c r="O6175">
        <v>51.4380144826901</v>
      </c>
      <c r="P6175">
        <v>-8.9958958775112494E-2</v>
      </c>
      <c r="Q6175">
        <v>5.66550931106206E-2</v>
      </c>
      <c r="R6175">
        <v>0.98526082373396096</v>
      </c>
      <c r="S6175" t="s">
        <v>12743</v>
      </c>
      <c r="T6175" t="s">
        <v>13134</v>
      </c>
      <c r="U6175" t="s">
        <v>13134</v>
      </c>
      <c r="V6175" t="s">
        <v>13134</v>
      </c>
      <c r="W6175" t="s">
        <v>19239</v>
      </c>
      <c r="X6175">
        <v>3</v>
      </c>
      <c r="Y6175" t="s">
        <v>25595</v>
      </c>
      <c r="Z6175" t="s">
        <v>32143</v>
      </c>
      <c r="AA6175">
        <v>0.53990698172700935</v>
      </c>
      <c r="AB6175" t="str">
        <f>HYPERLINK("Melting_Curves/meltCurve_Q9UHN6_2_TMEM2.pdf", "Melting_Curves/meltCurve_Q9UHN6_2_TMEM2.pdf")</f>
        <v>Melting_Curves/meltCurve_Q9UHN6_2_TMEM2.pdf</v>
      </c>
    </row>
    <row r="6176" spans="1:28" x14ac:dyDescent="0.25">
      <c r="A6176" t="s">
        <v>6180</v>
      </c>
      <c r="B6176">
        <v>0.99472303558308395</v>
      </c>
      <c r="C6176">
        <v>0.95389892087577899</v>
      </c>
      <c r="D6176">
        <v>0.89637643345462104</v>
      </c>
      <c r="E6176">
        <v>0.72134720245552997</v>
      </c>
      <c r="F6176">
        <v>0.30872227657312801</v>
      </c>
      <c r="G6176">
        <v>0.120517785023239</v>
      </c>
      <c r="H6176">
        <v>7.7317187272400598E-2</v>
      </c>
      <c r="I6176">
        <v>5.8730033541350903E-2</v>
      </c>
      <c r="J6176">
        <v>6.6548396109393296E-2</v>
      </c>
      <c r="K6176">
        <v>4.9491441230043703E-2</v>
      </c>
      <c r="L6176">
        <v>1078.44485614983</v>
      </c>
      <c r="M6176">
        <v>22.402968029000199</v>
      </c>
      <c r="N6176">
        <v>48.366177888187899</v>
      </c>
      <c r="O6176">
        <v>47.759842278431002</v>
      </c>
      <c r="P6176">
        <v>-0.111402409578989</v>
      </c>
      <c r="Q6176">
        <v>5.0045278659285798E-2</v>
      </c>
      <c r="R6176">
        <v>0.99712491886929699</v>
      </c>
      <c r="S6176" t="s">
        <v>12744</v>
      </c>
      <c r="T6176" t="s">
        <v>13134</v>
      </c>
      <c r="U6176" t="s">
        <v>13134</v>
      </c>
      <c r="V6176" t="s">
        <v>13134</v>
      </c>
      <c r="W6176" t="s">
        <v>19240</v>
      </c>
      <c r="X6176">
        <v>19</v>
      </c>
      <c r="Y6176" t="s">
        <v>25596</v>
      </c>
      <c r="Z6176" t="s">
        <v>32144</v>
      </c>
      <c r="AA6176">
        <v>0.41280003262553389</v>
      </c>
      <c r="AB6176" t="str">
        <f>HYPERLINK("Melting_Curves/meltCurve_Q9UHP3_USP25.pdf", "Melting_Curves/meltCurve_Q9UHP3_USP25.pdf")</f>
        <v>Melting_Curves/meltCurve_Q9UHP3_USP25.pdf</v>
      </c>
    </row>
    <row r="6177" spans="1:28" x14ac:dyDescent="0.25">
      <c r="A6177" t="s">
        <v>6181</v>
      </c>
      <c r="B6177">
        <v>0.99472303558308395</v>
      </c>
      <c r="C6177">
        <v>1.0201680509993301</v>
      </c>
      <c r="D6177">
        <v>0.96342173924086805</v>
      </c>
      <c r="E6177">
        <v>0.85159089694974099</v>
      </c>
      <c r="F6177">
        <v>0.52100996016191004</v>
      </c>
      <c r="G6177">
        <v>0.277985622756731</v>
      </c>
      <c r="H6177">
        <v>0.115282468893637</v>
      </c>
      <c r="I6177">
        <v>6.6187630167091199E-2</v>
      </c>
      <c r="J6177">
        <v>5.1291700615811897E-2</v>
      </c>
      <c r="K6177">
        <v>4.6527340266831502E-2</v>
      </c>
      <c r="L6177">
        <v>979.22604555774603</v>
      </c>
      <c r="M6177">
        <v>19.415286908499802</v>
      </c>
      <c r="N6177">
        <v>50.638818488953298</v>
      </c>
      <c r="O6177">
        <v>49.909908930349999</v>
      </c>
      <c r="P6177">
        <v>-9.3614158237323802E-2</v>
      </c>
      <c r="Q6177">
        <v>3.7438256151621399E-2</v>
      </c>
      <c r="R6177">
        <v>0.998951431351496</v>
      </c>
      <c r="S6177" t="s">
        <v>12745</v>
      </c>
      <c r="T6177" t="s">
        <v>13134</v>
      </c>
      <c r="U6177" t="s">
        <v>13134</v>
      </c>
      <c r="V6177" t="s">
        <v>13134</v>
      </c>
      <c r="W6177" t="s">
        <v>19241</v>
      </c>
      <c r="X6177">
        <v>15</v>
      </c>
      <c r="Y6177" t="s">
        <v>25597</v>
      </c>
      <c r="Z6177" t="s">
        <v>32145</v>
      </c>
      <c r="AA6177">
        <v>0.48184095838609248</v>
      </c>
      <c r="AB6177" t="str">
        <f>HYPERLINK("Melting_Curves/meltCurve_Q9UHQ1_NARF.pdf", "Melting_Curves/meltCurve_Q9UHQ1_NARF.pdf")</f>
        <v>Melting_Curves/meltCurve_Q9UHQ1_NARF.pdf</v>
      </c>
    </row>
    <row r="6178" spans="1:28" x14ac:dyDescent="0.25">
      <c r="A6178" t="s">
        <v>6182</v>
      </c>
      <c r="B6178">
        <v>0.99472303558308395</v>
      </c>
      <c r="C6178">
        <v>1.0031430142067299</v>
      </c>
      <c r="D6178">
        <v>0.71739574252577998</v>
      </c>
      <c r="E6178">
        <v>0.59283117847934597</v>
      </c>
      <c r="F6178">
        <v>0.48395008854215898</v>
      </c>
      <c r="G6178">
        <v>0.30940783221499202</v>
      </c>
      <c r="H6178">
        <v>0.196509448689834</v>
      </c>
      <c r="I6178">
        <v>0.17376640742001201</v>
      </c>
      <c r="J6178">
        <v>0.19353886108041399</v>
      </c>
      <c r="K6178">
        <v>0.22562504961205401</v>
      </c>
      <c r="L6178">
        <v>587.86169697124399</v>
      </c>
      <c r="M6178">
        <v>12.5151546559867</v>
      </c>
      <c r="N6178">
        <v>48.5087785884132</v>
      </c>
      <c r="O6178">
        <v>45.8210941568435</v>
      </c>
      <c r="P6178">
        <v>-5.7119223653916001E-2</v>
      </c>
      <c r="Q6178">
        <v>0.16366053390778601</v>
      </c>
      <c r="R6178">
        <v>0.97540428663525602</v>
      </c>
      <c r="S6178" t="s">
        <v>12746</v>
      </c>
      <c r="T6178" t="s">
        <v>13134</v>
      </c>
      <c r="U6178" t="s">
        <v>13134</v>
      </c>
      <c r="V6178" t="s">
        <v>13134</v>
      </c>
      <c r="W6178" t="s">
        <v>19242</v>
      </c>
      <c r="X6178">
        <v>12</v>
      </c>
      <c r="Y6178" t="s">
        <v>25598</v>
      </c>
      <c r="Z6178" t="s">
        <v>32146</v>
      </c>
      <c r="AA6178">
        <v>0.46737280822188648</v>
      </c>
      <c r="AB6178" t="str">
        <f>HYPERLINK("Melting_Curves/meltCurve_Q9UHQ4_BCAP29.pdf", "Melting_Curves/meltCurve_Q9UHQ4_BCAP29.pdf")</f>
        <v>Melting_Curves/meltCurve_Q9UHQ4_BCAP29.pdf</v>
      </c>
    </row>
    <row r="6179" spans="1:28" x14ac:dyDescent="0.25">
      <c r="A6179" t="s">
        <v>6183</v>
      </c>
      <c r="B6179">
        <v>0.99472303558308395</v>
      </c>
      <c r="C6179">
        <v>0.93238400542244904</v>
      </c>
      <c r="D6179">
        <v>0.970758754315033</v>
      </c>
      <c r="E6179">
        <v>0.83764115381730597</v>
      </c>
      <c r="F6179">
        <v>0.62806099298483598</v>
      </c>
      <c r="G6179">
        <v>0.48259209078270598</v>
      </c>
      <c r="H6179">
        <v>0.24541107248264901</v>
      </c>
      <c r="I6179">
        <v>0.13992466952037799</v>
      </c>
      <c r="J6179">
        <v>0.101734258220018</v>
      </c>
      <c r="K6179">
        <v>8.8894932588722497E-2</v>
      </c>
      <c r="L6179">
        <v>662.64989784834495</v>
      </c>
      <c r="M6179">
        <v>12.5838358932053</v>
      </c>
      <c r="N6179">
        <v>52.7291366148783</v>
      </c>
      <c r="O6179">
        <v>51.382070637582999</v>
      </c>
      <c r="P6179">
        <v>-6.07295840906057E-2</v>
      </c>
      <c r="Q6179">
        <v>8.31947187932555E-3</v>
      </c>
      <c r="R6179">
        <v>0.99463777950603205</v>
      </c>
      <c r="S6179" t="s">
        <v>12747</v>
      </c>
      <c r="T6179" t="s">
        <v>13134</v>
      </c>
      <c r="U6179" t="s">
        <v>13134</v>
      </c>
      <c r="V6179" t="s">
        <v>13134</v>
      </c>
      <c r="W6179" t="s">
        <v>19243</v>
      </c>
      <c r="X6179">
        <v>8</v>
      </c>
      <c r="Y6179" t="s">
        <v>25599</v>
      </c>
      <c r="Z6179" t="s">
        <v>32147</v>
      </c>
      <c r="AA6179">
        <v>0.54711667320024637</v>
      </c>
      <c r="AB6179" t="str">
        <f>HYPERLINK("Melting_Curves/meltCurve_Q9UHQ9_CYB5R1.pdf", "Melting_Curves/meltCurve_Q9UHQ9_CYB5R1.pdf")</f>
        <v>Melting_Curves/meltCurve_Q9UHQ9_CYB5R1.pdf</v>
      </c>
    </row>
    <row r="6180" spans="1:28" x14ac:dyDescent="0.25">
      <c r="A6180" t="s">
        <v>6184</v>
      </c>
      <c r="B6180">
        <v>0.99472303558308395</v>
      </c>
      <c r="C6180">
        <v>0.99378902137324998</v>
      </c>
      <c r="D6180">
        <v>0.95639426629977997</v>
      </c>
      <c r="E6180">
        <v>0.82810239437845101</v>
      </c>
      <c r="F6180">
        <v>0.61394547224913298</v>
      </c>
      <c r="G6180">
        <v>0.44671770563594998</v>
      </c>
      <c r="H6180">
        <v>0.26321050494106901</v>
      </c>
      <c r="I6180">
        <v>0.15888839801789501</v>
      </c>
      <c r="J6180">
        <v>0.128962859290043</v>
      </c>
      <c r="K6180">
        <v>8.4544641960544606E-2</v>
      </c>
      <c r="L6180">
        <v>667.97287742729702</v>
      </c>
      <c r="M6180">
        <v>12.807366816797</v>
      </c>
      <c r="N6180">
        <v>52.474191911297197</v>
      </c>
      <c r="O6180">
        <v>50.932891956892099</v>
      </c>
      <c r="P6180">
        <v>-6.0522084945219302E-2</v>
      </c>
      <c r="Q6180">
        <v>3.7432819037884098E-2</v>
      </c>
      <c r="R6180">
        <v>0.99878253547986295</v>
      </c>
      <c r="S6180" t="s">
        <v>12748</v>
      </c>
      <c r="T6180" t="s">
        <v>13134</v>
      </c>
      <c r="U6180" t="s">
        <v>13134</v>
      </c>
      <c r="V6180" t="s">
        <v>13134</v>
      </c>
      <c r="W6180" t="s">
        <v>19244</v>
      </c>
      <c r="X6180">
        <v>20</v>
      </c>
      <c r="Y6180" t="s">
        <v>25600</v>
      </c>
      <c r="Z6180" t="s">
        <v>32148</v>
      </c>
      <c r="AA6180">
        <v>0.5450481801246585</v>
      </c>
      <c r="AB6180" t="str">
        <f>HYPERLINK("Melting_Curves/meltCurve_Q9UHR4_BAIAP2L1.pdf", "Melting_Curves/meltCurve_Q9UHR4_BAIAP2L1.pdf")</f>
        <v>Melting_Curves/meltCurve_Q9UHR4_BAIAP2L1.pdf</v>
      </c>
    </row>
    <row r="6181" spans="1:28" x14ac:dyDescent="0.25">
      <c r="A6181" t="s">
        <v>6185</v>
      </c>
      <c r="B6181">
        <v>0.99472303558308395</v>
      </c>
      <c r="C6181">
        <v>1.0481608772115401</v>
      </c>
      <c r="D6181">
        <v>0.60024172391140596</v>
      </c>
      <c r="E6181">
        <v>0.29568895629568298</v>
      </c>
      <c r="F6181">
        <v>0.19291698901350701</v>
      </c>
      <c r="G6181">
        <v>0.111940072473089</v>
      </c>
      <c r="H6181">
        <v>7.3359312807131594E-2</v>
      </c>
      <c r="I6181">
        <v>5.0517558195776802E-2</v>
      </c>
      <c r="J6181">
        <v>4.3244412656070701E-2</v>
      </c>
      <c r="K6181">
        <v>6.16438820475722E-2</v>
      </c>
      <c r="L6181">
        <v>1020.2414239604</v>
      </c>
      <c r="M6181">
        <v>23.148526510876099</v>
      </c>
      <c r="N6181">
        <v>44.388942334895503</v>
      </c>
      <c r="O6181">
        <v>43.748766433795602</v>
      </c>
      <c r="P6181">
        <v>-0.12225703878038501</v>
      </c>
      <c r="Q6181">
        <v>7.5795233512125401E-2</v>
      </c>
      <c r="R6181">
        <v>0.98067321547905895</v>
      </c>
      <c r="S6181" t="s">
        <v>12749</v>
      </c>
      <c r="T6181" t="s">
        <v>13134</v>
      </c>
      <c r="U6181" t="s">
        <v>13134</v>
      </c>
      <c r="V6181" t="s">
        <v>13134</v>
      </c>
      <c r="W6181" t="s">
        <v>19245</v>
      </c>
      <c r="X6181">
        <v>2</v>
      </c>
      <c r="Y6181" t="s">
        <v>25601</v>
      </c>
      <c r="Z6181" t="s">
        <v>32149</v>
      </c>
      <c r="AA6181">
        <v>0.30268082242239241</v>
      </c>
      <c r="AB6181" t="str">
        <f>HYPERLINK("Melting_Curves/meltCurve_Q9UHR6_ZNHIT2.pdf", "Melting_Curves/meltCurve_Q9UHR6_ZNHIT2.pdf")</f>
        <v>Melting_Curves/meltCurve_Q9UHR6_ZNHIT2.pdf</v>
      </c>
    </row>
    <row r="6182" spans="1:28" x14ac:dyDescent="0.25">
      <c r="A6182" t="s">
        <v>6186</v>
      </c>
      <c r="B6182">
        <v>0.99472303558308395</v>
      </c>
      <c r="C6182">
        <v>1.07395317191276</v>
      </c>
      <c r="D6182">
        <v>0.98774830577151196</v>
      </c>
      <c r="E6182">
        <v>0.94034397239706302</v>
      </c>
      <c r="F6182">
        <v>0.72461313410830197</v>
      </c>
      <c r="G6182">
        <v>0.57621017285519005</v>
      </c>
      <c r="H6182">
        <v>0.47726793374286602</v>
      </c>
      <c r="I6182">
        <v>0.377182652714874</v>
      </c>
      <c r="J6182">
        <v>0.39277955403139497</v>
      </c>
      <c r="K6182">
        <v>0.29901612340535599</v>
      </c>
      <c r="L6182">
        <v>831.79445539025699</v>
      </c>
      <c r="M6182">
        <v>15.9713300781514</v>
      </c>
      <c r="N6182">
        <v>55.726601765443398</v>
      </c>
      <c r="O6182">
        <v>51.2845176862714</v>
      </c>
      <c r="P6182">
        <v>-5.2623348616762398E-2</v>
      </c>
      <c r="Q6182">
        <v>0.32415152840221101</v>
      </c>
      <c r="R6182">
        <v>0.98403035694142005</v>
      </c>
      <c r="S6182" t="s">
        <v>12750</v>
      </c>
      <c r="T6182" t="s">
        <v>13134</v>
      </c>
      <c r="U6182" t="s">
        <v>13134</v>
      </c>
      <c r="V6182" t="s">
        <v>13134</v>
      </c>
      <c r="W6182" t="s">
        <v>19246</v>
      </c>
      <c r="X6182">
        <v>15</v>
      </c>
      <c r="Y6182" t="s">
        <v>25602</v>
      </c>
      <c r="Z6182" t="s">
        <v>32150</v>
      </c>
      <c r="AA6182">
        <v>0.67583515696887508</v>
      </c>
      <c r="AB6182" t="str">
        <f>HYPERLINK("Melting_Curves/meltCurve_Q9UHV9_PFDN2.pdf", "Melting_Curves/meltCurve_Q9UHV9_PFDN2.pdf")</f>
        <v>Melting_Curves/meltCurve_Q9UHV9_PFDN2.pdf</v>
      </c>
    </row>
    <row r="6183" spans="1:28" x14ac:dyDescent="0.25">
      <c r="A6183" t="s">
        <v>6187</v>
      </c>
      <c r="B6183">
        <v>0.99472303558308395</v>
      </c>
      <c r="C6183">
        <v>0.98638336942471705</v>
      </c>
      <c r="D6183">
        <v>0.88446654971341698</v>
      </c>
      <c r="E6183">
        <v>0.85486790034457505</v>
      </c>
      <c r="F6183">
        <v>0.86433724024596803</v>
      </c>
      <c r="G6183">
        <v>0.69727978065405105</v>
      </c>
      <c r="H6183">
        <v>0.60786101478614996</v>
      </c>
      <c r="I6183">
        <v>0.62365183974776695</v>
      </c>
      <c r="J6183">
        <v>0.82688429639637195</v>
      </c>
      <c r="K6183">
        <v>0.67021059027490104</v>
      </c>
      <c r="L6183">
        <v>612.16480512204305</v>
      </c>
      <c r="M6183">
        <v>12.9168430331378</v>
      </c>
      <c r="O6183">
        <v>46.299958988691799</v>
      </c>
      <c r="P6183">
        <v>-2.2826981571972001E-2</v>
      </c>
      <c r="Q6183">
        <v>0.67276933498726099</v>
      </c>
      <c r="R6183">
        <v>0.75493430731135303</v>
      </c>
      <c r="S6183" t="s">
        <v>12751</v>
      </c>
      <c r="T6183" t="s">
        <v>13134</v>
      </c>
      <c r="U6183" t="s">
        <v>13134</v>
      </c>
      <c r="V6183" t="s">
        <v>13134</v>
      </c>
      <c r="W6183" t="s">
        <v>19247</v>
      </c>
      <c r="X6183">
        <v>8</v>
      </c>
      <c r="Y6183" t="s">
        <v>25603</v>
      </c>
      <c r="Z6183" t="s">
        <v>32151</v>
      </c>
      <c r="AA6183">
        <v>0.7955245928218041</v>
      </c>
      <c r="AB6183" t="str">
        <f>HYPERLINK("Melting_Curves/meltCurve_Q9UHW5_GPN3.pdf", "Melting_Curves/meltCurve_Q9UHW5_GPN3.pdf")</f>
        <v>Melting_Curves/meltCurve_Q9UHW5_GPN3.pdf</v>
      </c>
    </row>
    <row r="6184" spans="1:28" x14ac:dyDescent="0.25">
      <c r="A6184" t="s">
        <v>6188</v>
      </c>
      <c r="B6184">
        <v>0.99472303558308395</v>
      </c>
      <c r="C6184">
        <v>0.94325319293849097</v>
      </c>
      <c r="D6184">
        <v>0.96708057441133699</v>
      </c>
      <c r="E6184">
        <v>0.73232235483346397</v>
      </c>
      <c r="F6184">
        <v>0.27969222423622497</v>
      </c>
      <c r="G6184">
        <v>9.3375679878978393E-2</v>
      </c>
      <c r="H6184">
        <v>4.6885677955496398E-2</v>
      </c>
      <c r="I6184">
        <v>3.4256088735273402E-2</v>
      </c>
      <c r="J6184">
        <v>3.4922252200052399E-2</v>
      </c>
      <c r="K6184">
        <v>3.0716757132630002E-2</v>
      </c>
      <c r="L6184">
        <v>1293.93805002621</v>
      </c>
      <c r="M6184">
        <v>26.822732717410901</v>
      </c>
      <c r="N6184">
        <v>48.361307754306999</v>
      </c>
      <c r="O6184">
        <v>47.974586577811202</v>
      </c>
      <c r="P6184">
        <v>-0.13524263477472401</v>
      </c>
      <c r="Q6184">
        <v>3.2440679007076201E-2</v>
      </c>
      <c r="R6184">
        <v>0.998299134734694</v>
      </c>
      <c r="S6184" t="s">
        <v>12752</v>
      </c>
      <c r="T6184" t="s">
        <v>13134</v>
      </c>
      <c r="U6184" t="s">
        <v>13134</v>
      </c>
      <c r="V6184" t="s">
        <v>13134</v>
      </c>
      <c r="W6184" t="s">
        <v>19248</v>
      </c>
      <c r="X6184">
        <v>26</v>
      </c>
      <c r="Y6184" t="s">
        <v>25604</v>
      </c>
      <c r="Z6184" t="s">
        <v>32152</v>
      </c>
      <c r="AA6184">
        <v>0.40216224929166372</v>
      </c>
      <c r="AB6184" t="str">
        <f>HYPERLINK("Melting_Curves/meltCurve_Q9UHX1_4_PUF60.pdf", "Melting_Curves/meltCurve_Q9UHX1_4_PUF60.pdf")</f>
        <v>Melting_Curves/meltCurve_Q9UHX1_4_PUF60.pdf</v>
      </c>
    </row>
    <row r="6185" spans="1:28" x14ac:dyDescent="0.25">
      <c r="A6185" t="s">
        <v>6189</v>
      </c>
      <c r="B6185">
        <v>0.99472303558308395</v>
      </c>
      <c r="C6185">
        <v>0.80200966095526705</v>
      </c>
      <c r="D6185">
        <v>0.90200375253359599</v>
      </c>
      <c r="E6185">
        <v>0.79761910724351603</v>
      </c>
      <c r="F6185">
        <v>0.87903000560711797</v>
      </c>
      <c r="G6185">
        <v>0.424007147731981</v>
      </c>
      <c r="H6185">
        <v>0.36227854566635997</v>
      </c>
      <c r="I6185">
        <v>0.36054676243865502</v>
      </c>
      <c r="J6185">
        <v>0.60082663615461696</v>
      </c>
      <c r="K6185">
        <v>0.54848821931060598</v>
      </c>
      <c r="L6185">
        <v>12612.460689346601</v>
      </c>
      <c r="M6185">
        <v>250</v>
      </c>
      <c r="N6185">
        <v>50.9607953807295</v>
      </c>
      <c r="O6185">
        <v>50.446614507202398</v>
      </c>
      <c r="P6185">
        <v>-0.66997875033814003</v>
      </c>
      <c r="Q6185">
        <v>0.45922944689140399</v>
      </c>
      <c r="R6185">
        <v>0.72750725201825295</v>
      </c>
      <c r="S6185" t="s">
        <v>12753</v>
      </c>
      <c r="T6185" t="s">
        <v>13134</v>
      </c>
      <c r="U6185" t="s">
        <v>13134</v>
      </c>
      <c r="V6185" t="s">
        <v>13134</v>
      </c>
      <c r="W6185" t="s">
        <v>19249</v>
      </c>
      <c r="X6185">
        <v>3</v>
      </c>
      <c r="Y6185" t="s">
        <v>25605</v>
      </c>
      <c r="Z6185" t="s">
        <v>32153</v>
      </c>
      <c r="AA6185">
        <v>0.70171995624500327</v>
      </c>
      <c r="AB6185" t="str">
        <f>HYPERLINK("Melting_Curves/meltCurve_Q9UHX3_5_EMR2.pdf", "Melting_Curves/meltCurve_Q9UHX3_5_EMR2.pdf")</f>
        <v>Melting_Curves/meltCurve_Q9UHX3_5_EMR2.pdf</v>
      </c>
    </row>
    <row r="6186" spans="1:28" x14ac:dyDescent="0.25">
      <c r="A6186" t="s">
        <v>6190</v>
      </c>
      <c r="B6186">
        <v>0.99472303558308395</v>
      </c>
      <c r="C6186">
        <v>0.97274152174546202</v>
      </c>
      <c r="D6186">
        <v>0.97106978532622501</v>
      </c>
      <c r="E6186">
        <v>0.75591397966134299</v>
      </c>
      <c r="F6186">
        <v>0.42763427034719598</v>
      </c>
      <c r="G6186">
        <v>0.229044967104376</v>
      </c>
      <c r="H6186">
        <v>0.104976693903993</v>
      </c>
      <c r="I6186">
        <v>6.8262622826096797E-2</v>
      </c>
      <c r="J6186">
        <v>7.0988060778218898E-2</v>
      </c>
      <c r="K6186">
        <v>5.9953385907517101E-2</v>
      </c>
      <c r="L6186">
        <v>950.199829461391</v>
      </c>
      <c r="M6186">
        <v>19.3098841132812</v>
      </c>
      <c r="N6186">
        <v>49.508928713468897</v>
      </c>
      <c r="O6186">
        <v>48.689317570042398</v>
      </c>
      <c r="P6186">
        <v>-9.3661051213594207E-2</v>
      </c>
      <c r="Q6186">
        <v>5.5380727678256601E-2</v>
      </c>
      <c r="R6186">
        <v>0.99888404270936604</v>
      </c>
      <c r="S6186" t="s">
        <v>12754</v>
      </c>
      <c r="T6186" t="s">
        <v>13134</v>
      </c>
      <c r="U6186" t="s">
        <v>13134</v>
      </c>
      <c r="V6186" t="s">
        <v>13134</v>
      </c>
      <c r="W6186" t="s">
        <v>19250</v>
      </c>
      <c r="X6186">
        <v>6</v>
      </c>
      <c r="Y6186" t="s">
        <v>25606</v>
      </c>
      <c r="Z6186" t="s">
        <v>32154</v>
      </c>
      <c r="AA6186">
        <v>0.45303457395038582</v>
      </c>
      <c r="AB6186" t="str">
        <f>HYPERLINK("Melting_Curves/meltCurve_Q9UHY1_NRBP1.pdf", "Melting_Curves/meltCurve_Q9UHY1_NRBP1.pdf")</f>
        <v>Melting_Curves/meltCurve_Q9UHY1_NRBP1.pdf</v>
      </c>
    </row>
    <row r="6187" spans="1:28" x14ac:dyDescent="0.25">
      <c r="A6187" t="s">
        <v>6191</v>
      </c>
      <c r="B6187">
        <v>0.99472303558308395</v>
      </c>
      <c r="C6187">
        <v>0.94945354445520502</v>
      </c>
      <c r="D6187">
        <v>0.87842123484893198</v>
      </c>
      <c r="E6187">
        <v>0.77801069400548395</v>
      </c>
      <c r="F6187">
        <v>0.53967202481840104</v>
      </c>
      <c r="G6187">
        <v>0.26758697768088702</v>
      </c>
      <c r="H6187">
        <v>0.30856686791584098</v>
      </c>
      <c r="I6187">
        <v>0.10226463198505301</v>
      </c>
      <c r="J6187">
        <v>0.11904638128116</v>
      </c>
      <c r="K6187">
        <v>0.105888975147023</v>
      </c>
      <c r="L6187">
        <v>652.95380392122297</v>
      </c>
      <c r="M6187">
        <v>13.024343888051501</v>
      </c>
      <c r="N6187">
        <v>50.688025164394901</v>
      </c>
      <c r="O6187">
        <v>48.995632263822898</v>
      </c>
      <c r="P6187">
        <v>-6.2053594906685501E-2</v>
      </c>
      <c r="Q6187">
        <v>6.6418393663778594E-2</v>
      </c>
      <c r="R6187">
        <v>0.98536075655438904</v>
      </c>
      <c r="S6187" t="s">
        <v>12755</v>
      </c>
      <c r="T6187" t="s">
        <v>13134</v>
      </c>
      <c r="U6187" t="s">
        <v>13134</v>
      </c>
      <c r="V6187" t="s">
        <v>13134</v>
      </c>
      <c r="W6187" t="s">
        <v>19251</v>
      </c>
      <c r="X6187">
        <v>12</v>
      </c>
      <c r="Y6187" t="s">
        <v>25607</v>
      </c>
      <c r="Z6187" t="s">
        <v>32155</v>
      </c>
      <c r="AA6187">
        <v>0.49859932508425592</v>
      </c>
      <c r="AB6187" t="str">
        <f>HYPERLINK("Melting_Curves/meltCurve_Q9UHY7_ENOPH1.pdf", "Melting_Curves/meltCurve_Q9UHY7_ENOPH1.pdf")</f>
        <v>Melting_Curves/meltCurve_Q9UHY7_ENOPH1.pdf</v>
      </c>
    </row>
    <row r="6188" spans="1:28" x14ac:dyDescent="0.25">
      <c r="A6188" t="s">
        <v>6192</v>
      </c>
      <c r="B6188">
        <v>0.99472303558308395</v>
      </c>
      <c r="C6188">
        <v>0.87628585143704596</v>
      </c>
      <c r="D6188">
        <v>0.67166619083149104</v>
      </c>
      <c r="E6188">
        <v>0.57063729890072401</v>
      </c>
      <c r="F6188">
        <v>0.28766643924929203</v>
      </c>
      <c r="G6188">
        <v>0.18228563929494501</v>
      </c>
      <c r="H6188">
        <v>0.125263353461633</v>
      </c>
      <c r="I6188">
        <v>9.4414924824817406E-2</v>
      </c>
      <c r="J6188">
        <v>0.175070438407361</v>
      </c>
      <c r="K6188">
        <v>9.2590813275413894E-2</v>
      </c>
      <c r="L6188">
        <v>592.45916130522698</v>
      </c>
      <c r="M6188">
        <v>12.922373328477001</v>
      </c>
      <c r="N6188">
        <v>46.5229152505649</v>
      </c>
      <c r="O6188">
        <v>44.791267476405999</v>
      </c>
      <c r="P6188">
        <v>-6.5969048857849599E-2</v>
      </c>
      <c r="Q6188">
        <v>8.5523482947262003E-2</v>
      </c>
      <c r="R6188">
        <v>0.98409673023797695</v>
      </c>
      <c r="S6188" t="s">
        <v>12756</v>
      </c>
      <c r="T6188" t="s">
        <v>13134</v>
      </c>
      <c r="U6188" t="s">
        <v>13134</v>
      </c>
      <c r="V6188" t="s">
        <v>13134</v>
      </c>
      <c r="W6188" t="s">
        <v>19252</v>
      </c>
      <c r="X6188">
        <v>1</v>
      </c>
      <c r="Y6188" t="s">
        <v>25608</v>
      </c>
      <c r="Z6188" t="s">
        <v>32156</v>
      </c>
      <c r="AA6188">
        <v>0.38313519529087842</v>
      </c>
      <c r="AB6188" t="str">
        <f>HYPERLINK("Melting_Curves/meltCurve_Q9UHY8_FEZ2.pdf", "Melting_Curves/meltCurve_Q9UHY8_FEZ2.pdf")</f>
        <v>Melting_Curves/meltCurve_Q9UHY8_FEZ2.pdf</v>
      </c>
    </row>
    <row r="6189" spans="1:28" x14ac:dyDescent="0.25">
      <c r="A6189" t="s">
        <v>6193</v>
      </c>
      <c r="B6189">
        <v>0.99472303558308395</v>
      </c>
      <c r="C6189">
        <v>0.99029360878252404</v>
      </c>
      <c r="D6189">
        <v>0.626381275154414</v>
      </c>
      <c r="E6189">
        <v>0.57075000794605402</v>
      </c>
      <c r="F6189">
        <v>0.24707341594205601</v>
      </c>
      <c r="G6189">
        <v>9.3454932525096499E-2</v>
      </c>
      <c r="H6189">
        <v>7.0522928962581499E-2</v>
      </c>
      <c r="I6189">
        <v>4.80637772923488E-2</v>
      </c>
      <c r="J6189">
        <v>6.2783667221109701E-2</v>
      </c>
      <c r="K6189">
        <v>4.4994087873438199E-2</v>
      </c>
      <c r="L6189">
        <v>666.67863264597099</v>
      </c>
      <c r="M6189">
        <v>14.4342133021833</v>
      </c>
      <c r="N6189">
        <v>46.3420677061671</v>
      </c>
      <c r="O6189">
        <v>45.328014231098997</v>
      </c>
      <c r="P6189">
        <v>-7.7746661262519695E-2</v>
      </c>
      <c r="Q6189">
        <v>2.35178136113234E-2</v>
      </c>
      <c r="R6189">
        <v>0.97569305698287701</v>
      </c>
      <c r="S6189" t="s">
        <v>12757</v>
      </c>
      <c r="T6189" t="s">
        <v>13134</v>
      </c>
      <c r="U6189" t="s">
        <v>13134</v>
      </c>
      <c r="V6189" t="s">
        <v>13134</v>
      </c>
      <c r="W6189" t="s">
        <v>19253</v>
      </c>
      <c r="X6189">
        <v>3</v>
      </c>
      <c r="Y6189" t="s">
        <v>25609</v>
      </c>
      <c r="Z6189" t="s">
        <v>32157</v>
      </c>
      <c r="AA6189">
        <v>0.34663472602282303</v>
      </c>
      <c r="AB6189" t="str">
        <f>HYPERLINK("Melting_Curves/meltCurve_Q9UI09_NDUFA12.pdf", "Melting_Curves/meltCurve_Q9UI09_NDUFA12.pdf")</f>
        <v>Melting_Curves/meltCurve_Q9UI09_NDUFA12.pdf</v>
      </c>
    </row>
    <row r="6190" spans="1:28" x14ac:dyDescent="0.25">
      <c r="A6190" t="s">
        <v>6194</v>
      </c>
      <c r="B6190">
        <v>0.99472303558308395</v>
      </c>
      <c r="C6190">
        <v>0.92282248542021394</v>
      </c>
      <c r="D6190">
        <v>0.72458178577930399</v>
      </c>
      <c r="E6190">
        <v>0.64485305090040002</v>
      </c>
      <c r="F6190">
        <v>0.56623919550998503</v>
      </c>
      <c r="G6190">
        <v>0.17267029824951</v>
      </c>
      <c r="H6190">
        <v>8.2082353422265095E-2</v>
      </c>
      <c r="I6190">
        <v>5.1306785151690099E-2</v>
      </c>
      <c r="J6190">
        <v>6.5769832322636196E-2</v>
      </c>
      <c r="K6190">
        <v>4.92992589922914E-2</v>
      </c>
      <c r="L6190">
        <v>572.86249560478404</v>
      </c>
      <c r="M6190">
        <v>11.7485015002575</v>
      </c>
      <c r="N6190">
        <v>48.760473482338497</v>
      </c>
      <c r="O6190">
        <v>47.412071664984801</v>
      </c>
      <c r="P6190">
        <v>-6.1965103594596102E-2</v>
      </c>
      <c r="Q6190">
        <v>0</v>
      </c>
      <c r="R6190">
        <v>0.96586345535737295</v>
      </c>
      <c r="S6190" t="s">
        <v>12758</v>
      </c>
      <c r="T6190" t="s">
        <v>13134</v>
      </c>
      <c r="U6190" t="s">
        <v>13134</v>
      </c>
      <c r="V6190" t="s">
        <v>13134</v>
      </c>
      <c r="W6190" t="s">
        <v>19254</v>
      </c>
      <c r="X6190">
        <v>20</v>
      </c>
      <c r="Y6190" t="s">
        <v>25610</v>
      </c>
      <c r="Z6190" t="s">
        <v>32158</v>
      </c>
      <c r="AA6190">
        <v>0.42299608010045131</v>
      </c>
      <c r="AB6190" t="str">
        <f>HYPERLINK("Melting_Curves/meltCurve_Q9UI10_EIF2B4.pdf", "Melting_Curves/meltCurve_Q9UI10_EIF2B4.pdf")</f>
        <v>Melting_Curves/meltCurve_Q9UI10_EIF2B4.pdf</v>
      </c>
    </row>
    <row r="6191" spans="1:28" x14ac:dyDescent="0.25">
      <c r="A6191" t="s">
        <v>6195</v>
      </c>
      <c r="B6191">
        <v>0.99472303558308395</v>
      </c>
      <c r="C6191">
        <v>1.0135444359636701</v>
      </c>
      <c r="D6191">
        <v>0.59089029986994002</v>
      </c>
      <c r="E6191">
        <v>0.54151195971906696</v>
      </c>
      <c r="F6191">
        <v>0.61972314375041004</v>
      </c>
      <c r="G6191">
        <v>0.124170793060638</v>
      </c>
      <c r="H6191">
        <v>3.3534391019357603E-2</v>
      </c>
      <c r="I6191">
        <v>1.1750237394083299E-2</v>
      </c>
      <c r="J6191">
        <v>1.06070834302623E-2</v>
      </c>
      <c r="K6191">
        <v>0</v>
      </c>
      <c r="L6191">
        <v>560.001741356872</v>
      </c>
      <c r="M6191">
        <v>11.737828160436999</v>
      </c>
      <c r="N6191">
        <v>47.709163454301098</v>
      </c>
      <c r="O6191">
        <v>46.387525368800503</v>
      </c>
      <c r="P6191">
        <v>-6.3276228352068295E-2</v>
      </c>
      <c r="Q6191">
        <v>0</v>
      </c>
      <c r="R6191">
        <v>0.90787698108778103</v>
      </c>
      <c r="S6191" t="s">
        <v>12759</v>
      </c>
      <c r="T6191" t="s">
        <v>13134</v>
      </c>
      <c r="U6191" t="s">
        <v>13134</v>
      </c>
      <c r="V6191" t="s">
        <v>13134</v>
      </c>
      <c r="W6191" t="s">
        <v>19255</v>
      </c>
      <c r="X6191">
        <v>20</v>
      </c>
      <c r="Y6191" t="s">
        <v>25610</v>
      </c>
      <c r="Z6191" t="s">
        <v>32159</v>
      </c>
      <c r="AA6191">
        <v>0.38979169674422748</v>
      </c>
      <c r="AB6191" t="str">
        <f>HYPERLINK("Melting_Curves/meltCurve_Q9UI10_3_EIF2B4.pdf", "Melting_Curves/meltCurve_Q9UI10_3_EIF2B4.pdf")</f>
        <v>Melting_Curves/meltCurve_Q9UI10_3_EIF2B4.pdf</v>
      </c>
    </row>
    <row r="6192" spans="1:28" x14ac:dyDescent="0.25">
      <c r="A6192" t="s">
        <v>6196</v>
      </c>
      <c r="B6192">
        <v>0.99472303558308395</v>
      </c>
      <c r="C6192">
        <v>0.91067638086909997</v>
      </c>
      <c r="D6192">
        <v>0.81197062782087004</v>
      </c>
      <c r="E6192">
        <v>0.67645767284874503</v>
      </c>
      <c r="F6192">
        <v>0.53484662421277196</v>
      </c>
      <c r="G6192">
        <v>0.157949298410023</v>
      </c>
      <c r="H6192">
        <v>7.7167678783978899E-2</v>
      </c>
      <c r="I6192">
        <v>4.3992035990218302E-2</v>
      </c>
      <c r="J6192">
        <v>5.2556066281791297E-2</v>
      </c>
      <c r="K6192">
        <v>5.7978170215989597E-2</v>
      </c>
      <c r="L6192">
        <v>662.44390855226595</v>
      </c>
      <c r="M6192">
        <v>13.4951809373625</v>
      </c>
      <c r="N6192">
        <v>49.087432538060803</v>
      </c>
      <c r="O6192">
        <v>48.047180681354298</v>
      </c>
      <c r="P6192">
        <v>-7.0229104903259107E-2</v>
      </c>
      <c r="Q6192">
        <v>0</v>
      </c>
      <c r="R6192">
        <v>0.98039761546108795</v>
      </c>
      <c r="S6192" t="s">
        <v>12760</v>
      </c>
      <c r="T6192" t="s">
        <v>13134</v>
      </c>
      <c r="U6192" t="s">
        <v>13134</v>
      </c>
      <c r="V6192" t="s">
        <v>13134</v>
      </c>
      <c r="W6192" t="s">
        <v>19256</v>
      </c>
      <c r="X6192">
        <v>17</v>
      </c>
      <c r="Y6192" t="s">
        <v>25611</v>
      </c>
      <c r="Z6192" t="s">
        <v>32160</v>
      </c>
      <c r="AA6192">
        <v>0.42807208700104882</v>
      </c>
      <c r="AB6192" t="str">
        <f>HYPERLINK("Melting_Curves/meltCurve_Q9UI12_2_ATP6V1H.pdf", "Melting_Curves/meltCurve_Q9UI12_2_ATP6V1H.pdf")</f>
        <v>Melting_Curves/meltCurve_Q9UI12_2_ATP6V1H.pdf</v>
      </c>
    </row>
    <row r="6193" spans="1:28" x14ac:dyDescent="0.25">
      <c r="A6193" t="s">
        <v>6197</v>
      </c>
      <c r="B6193">
        <v>0.99472303558308395</v>
      </c>
      <c r="C6193">
        <v>1.0423521384910599</v>
      </c>
      <c r="D6193">
        <v>0.98334489041473405</v>
      </c>
      <c r="E6193">
        <v>0.81550060377453604</v>
      </c>
      <c r="F6193">
        <v>0.45236945821306701</v>
      </c>
      <c r="G6193">
        <v>0.14604197906682401</v>
      </c>
      <c r="H6193">
        <v>9.7594200701998604E-2</v>
      </c>
      <c r="I6193">
        <v>7.2698541553397902E-2</v>
      </c>
      <c r="J6193">
        <v>8.5710063589519603E-2</v>
      </c>
      <c r="K6193">
        <v>6.8178205358764302E-2</v>
      </c>
      <c r="L6193">
        <v>1260.42583027206</v>
      </c>
      <c r="M6193">
        <v>25.542953709003498</v>
      </c>
      <c r="N6193">
        <v>49.633526957761603</v>
      </c>
      <c r="O6193">
        <v>49.045872192780401</v>
      </c>
      <c r="P6193">
        <v>-0.121227838418333</v>
      </c>
      <c r="Q6193">
        <v>6.8917131562872005E-2</v>
      </c>
      <c r="R6193">
        <v>0.998034381389445</v>
      </c>
      <c r="S6193" t="s">
        <v>12761</v>
      </c>
      <c r="T6193" t="s">
        <v>13134</v>
      </c>
      <c r="U6193" t="s">
        <v>13134</v>
      </c>
      <c r="V6193" t="s">
        <v>13134</v>
      </c>
      <c r="W6193" t="s">
        <v>19257</v>
      </c>
      <c r="X6193">
        <v>15</v>
      </c>
      <c r="Y6193" t="s">
        <v>25612</v>
      </c>
      <c r="Z6193" t="s">
        <v>32161</v>
      </c>
      <c r="AA6193">
        <v>0.45982045506006031</v>
      </c>
      <c r="AB6193" t="str">
        <f>HYPERLINK("Melting_Curves/meltCurve_Q9UI26_IPO11.pdf", "Melting_Curves/meltCurve_Q9UI26_IPO11.pdf")</f>
        <v>Melting_Curves/meltCurve_Q9UI26_IPO11.pdf</v>
      </c>
    </row>
    <row r="6194" spans="1:28" x14ac:dyDescent="0.25">
      <c r="A6194" t="s">
        <v>6198</v>
      </c>
      <c r="B6194">
        <v>0.99472303558308395</v>
      </c>
      <c r="C6194">
        <v>0.890079182154903</v>
      </c>
      <c r="D6194">
        <v>0.94416643337318495</v>
      </c>
      <c r="E6194">
        <v>0.865279097506923</v>
      </c>
      <c r="F6194">
        <v>0.66451691802732005</v>
      </c>
      <c r="G6194">
        <v>0.51780551270223496</v>
      </c>
      <c r="H6194">
        <v>0.33604047771461099</v>
      </c>
      <c r="I6194">
        <v>0.289004576059743</v>
      </c>
      <c r="J6194">
        <v>0.32883877585284499</v>
      </c>
      <c r="K6194">
        <v>0.21702236984164</v>
      </c>
      <c r="L6194">
        <v>663.36226548496097</v>
      </c>
      <c r="M6194">
        <v>12.869809461752601</v>
      </c>
      <c r="N6194">
        <v>53.781841807962799</v>
      </c>
      <c r="O6194">
        <v>50.347166699315302</v>
      </c>
      <c r="P6194">
        <v>-5.0666472617205402E-2</v>
      </c>
      <c r="Q6194">
        <v>0.20730924304811699</v>
      </c>
      <c r="R6194">
        <v>0.98063517509045495</v>
      </c>
      <c r="S6194" t="s">
        <v>12762</v>
      </c>
      <c r="T6194" t="s">
        <v>13134</v>
      </c>
      <c r="U6194" t="s">
        <v>13134</v>
      </c>
      <c r="V6194" t="s">
        <v>13134</v>
      </c>
      <c r="W6194" t="s">
        <v>19258</v>
      </c>
      <c r="X6194">
        <v>9</v>
      </c>
      <c r="Y6194" t="s">
        <v>25613</v>
      </c>
      <c r="Z6194" t="s">
        <v>32162</v>
      </c>
      <c r="AA6194">
        <v>0.61004530267664592</v>
      </c>
      <c r="AB6194" t="str">
        <f>HYPERLINK("Melting_Curves/meltCurve_Q9UI30_TRMT112.pdf", "Melting_Curves/meltCurve_Q9UI30_TRMT112.pdf")</f>
        <v>Melting_Curves/meltCurve_Q9UI30_TRMT112.pdf</v>
      </c>
    </row>
    <row r="6195" spans="1:28" x14ac:dyDescent="0.25">
      <c r="A6195" t="s">
        <v>6199</v>
      </c>
      <c r="B6195">
        <v>0.99472303558308395</v>
      </c>
      <c r="C6195">
        <v>0.95092059151089003</v>
      </c>
      <c r="D6195">
        <v>1.0633774825250799</v>
      </c>
      <c r="E6195">
        <v>0.74070962624631898</v>
      </c>
      <c r="F6195">
        <v>0.26945642594055702</v>
      </c>
      <c r="G6195">
        <v>7.9089186459771393E-2</v>
      </c>
      <c r="H6195">
        <v>4.8687140859390299E-2</v>
      </c>
      <c r="I6195">
        <v>1.59250423519697E-2</v>
      </c>
      <c r="J6195">
        <v>3.56837237379296E-2</v>
      </c>
      <c r="K6195">
        <v>1.3668548607464999E-2</v>
      </c>
      <c r="L6195">
        <v>1467.4241084720099</v>
      </c>
      <c r="M6195">
        <v>30.378123739296701</v>
      </c>
      <c r="N6195">
        <v>48.399014164771799</v>
      </c>
      <c r="O6195">
        <v>48.097412215874797</v>
      </c>
      <c r="P6195">
        <v>-0.153389886091188</v>
      </c>
      <c r="Q6195">
        <v>2.8562668256524499E-2</v>
      </c>
      <c r="R6195">
        <v>0.99429515009506797</v>
      </c>
      <c r="S6195" t="s">
        <v>12763</v>
      </c>
      <c r="T6195" t="s">
        <v>13134</v>
      </c>
      <c r="U6195" t="s">
        <v>13134</v>
      </c>
      <c r="V6195" t="s">
        <v>13134</v>
      </c>
      <c r="W6195" t="s">
        <v>19259</v>
      </c>
      <c r="X6195">
        <v>4</v>
      </c>
      <c r="Y6195" t="s">
        <v>25614</v>
      </c>
      <c r="Z6195" t="s">
        <v>32163</v>
      </c>
      <c r="AA6195">
        <v>0.40028469261672189</v>
      </c>
      <c r="AB6195" t="str">
        <f>HYPERLINK("Melting_Curves/meltCurve_Q9UI43_FTSJ2.pdf", "Melting_Curves/meltCurve_Q9UI43_FTSJ2.pdf")</f>
        <v>Melting_Curves/meltCurve_Q9UI43_FTSJ2.pdf</v>
      </c>
    </row>
    <row r="6196" spans="1:28" x14ac:dyDescent="0.25">
      <c r="A6196" t="s">
        <v>6200</v>
      </c>
      <c r="B6196">
        <v>0.99472303558308395</v>
      </c>
      <c r="C6196">
        <v>1.0806480411066399</v>
      </c>
      <c r="D6196">
        <v>1.08450609953803</v>
      </c>
      <c r="E6196">
        <v>0.98542264389013701</v>
      </c>
      <c r="F6196">
        <v>0.63122416459675801</v>
      </c>
      <c r="G6196">
        <v>0.12974891200595501</v>
      </c>
      <c r="H6196">
        <v>6.7291050198717894E-2</v>
      </c>
      <c r="I6196">
        <v>4.37724841257719E-2</v>
      </c>
      <c r="J6196">
        <v>5.8331979818390001E-2</v>
      </c>
      <c r="K6196">
        <v>4.4370752152746697E-2</v>
      </c>
      <c r="L6196">
        <v>2176.6743908512499</v>
      </c>
      <c r="M6196">
        <v>42.901593107955101</v>
      </c>
      <c r="N6196">
        <v>50.8665313627179</v>
      </c>
      <c r="O6196">
        <v>50.626592422031699</v>
      </c>
      <c r="P6196">
        <v>-0.200847513088865</v>
      </c>
      <c r="Q6196">
        <v>5.1950649324539203E-2</v>
      </c>
      <c r="R6196">
        <v>0.99334496568062303</v>
      </c>
      <c r="S6196" t="s">
        <v>12764</v>
      </c>
      <c r="T6196" t="s">
        <v>13134</v>
      </c>
      <c r="U6196" t="s">
        <v>13134</v>
      </c>
      <c r="V6196" t="s">
        <v>13134</v>
      </c>
      <c r="W6196" t="s">
        <v>19260</v>
      </c>
      <c r="X6196">
        <v>12</v>
      </c>
      <c r="Y6196" t="s">
        <v>25615</v>
      </c>
      <c r="Z6196" t="s">
        <v>32164</v>
      </c>
      <c r="AA6196">
        <v>0.48893066832488602</v>
      </c>
      <c r="AB6196" t="str">
        <f>HYPERLINK("Melting_Curves/meltCurve_Q9UIC8_LCMT1.pdf", "Melting_Curves/meltCurve_Q9UIC8_LCMT1.pdf")</f>
        <v>Melting_Curves/meltCurve_Q9UIC8_LCMT1.pdf</v>
      </c>
    </row>
    <row r="6197" spans="1:28" x14ac:dyDescent="0.25">
      <c r="A6197" t="s">
        <v>6201</v>
      </c>
      <c r="B6197">
        <v>0.99472303558308395</v>
      </c>
      <c r="C6197">
        <v>0.88136215797954498</v>
      </c>
      <c r="D6197">
        <v>0.779165088340947</v>
      </c>
      <c r="E6197">
        <v>0.586989338897694</v>
      </c>
      <c r="F6197">
        <v>0.186651842979633</v>
      </c>
      <c r="G6197">
        <v>7.1054802757773997E-2</v>
      </c>
      <c r="H6197">
        <v>4.7135580658619503E-2</v>
      </c>
      <c r="I6197">
        <v>3.5735570898138599E-2</v>
      </c>
      <c r="J6197">
        <v>5.0772103231827001E-2</v>
      </c>
      <c r="K6197">
        <v>3.2032851760881997E-2</v>
      </c>
      <c r="L6197">
        <v>797.35404682487604</v>
      </c>
      <c r="M6197">
        <v>17.106575335482098</v>
      </c>
      <c r="N6197">
        <v>46.687456887468699</v>
      </c>
      <c r="O6197">
        <v>45.988002749472301</v>
      </c>
      <c r="P6197">
        <v>-9.1715290783619799E-2</v>
      </c>
      <c r="Q6197">
        <v>1.38183399514544E-2</v>
      </c>
      <c r="R6197">
        <v>0.98845062403825501</v>
      </c>
      <c r="S6197" t="s">
        <v>12765</v>
      </c>
      <c r="T6197" t="s">
        <v>13134</v>
      </c>
      <c r="U6197" t="s">
        <v>13134</v>
      </c>
      <c r="V6197" t="s">
        <v>13134</v>
      </c>
      <c r="W6197" t="s">
        <v>19261</v>
      </c>
      <c r="X6197">
        <v>13</v>
      </c>
      <c r="Y6197" t="s">
        <v>25616</v>
      </c>
      <c r="Z6197" t="s">
        <v>32165</v>
      </c>
      <c r="AA6197">
        <v>0.34726045858913612</v>
      </c>
      <c r="AB6197" t="str">
        <f>HYPERLINK("Melting_Curves/meltCurve_Q9UID3_VPS51.pdf", "Melting_Curves/meltCurve_Q9UID3_VPS51.pdf")</f>
        <v>Melting_Curves/meltCurve_Q9UID3_VPS51.pdf</v>
      </c>
    </row>
    <row r="6198" spans="1:28" x14ac:dyDescent="0.25">
      <c r="A6198" t="s">
        <v>6202</v>
      </c>
      <c r="B6198">
        <v>0.99472303558308395</v>
      </c>
      <c r="C6198">
        <v>1.1667673262073901</v>
      </c>
      <c r="D6198">
        <v>0.71531180514786596</v>
      </c>
      <c r="E6198">
        <v>0.49424654530553702</v>
      </c>
      <c r="F6198">
        <v>0.40212841918393699</v>
      </c>
      <c r="G6198">
        <v>0.223969095658684</v>
      </c>
      <c r="H6198">
        <v>0.142206137486377</v>
      </c>
      <c r="I6198">
        <v>9.6414841707115007E-2</v>
      </c>
      <c r="J6198">
        <v>0.130863487489636</v>
      </c>
      <c r="K6198">
        <v>8.9318443326127803E-2</v>
      </c>
      <c r="L6198">
        <v>733.54851930764903</v>
      </c>
      <c r="M6198">
        <v>15.7500804217847</v>
      </c>
      <c r="N6198">
        <v>47.286916022115697</v>
      </c>
      <c r="O6198">
        <v>45.842848430911701</v>
      </c>
      <c r="P6198">
        <v>-7.6823844768855107E-2</v>
      </c>
      <c r="Q6198">
        <v>0.105647727299814</v>
      </c>
      <c r="R6198">
        <v>0.94805114028145798</v>
      </c>
      <c r="S6198" t="s">
        <v>12766</v>
      </c>
      <c r="T6198" t="s">
        <v>13134</v>
      </c>
      <c r="U6198" t="s">
        <v>13134</v>
      </c>
      <c r="V6198" t="s">
        <v>13134</v>
      </c>
      <c r="W6198" t="s">
        <v>19262</v>
      </c>
      <c r="X6198">
        <v>3</v>
      </c>
      <c r="Y6198" t="s">
        <v>25617</v>
      </c>
      <c r="Z6198" t="s">
        <v>32166</v>
      </c>
      <c r="AA6198">
        <v>0.40964650469999048</v>
      </c>
      <c r="AB6198" t="str">
        <f>HYPERLINK("Melting_Curves/meltCurve_Q9UIG0_2_BAZ1B.pdf", "Melting_Curves/meltCurve_Q9UIG0_2_BAZ1B.pdf")</f>
        <v>Melting_Curves/meltCurve_Q9UIG0_2_BAZ1B.pdf</v>
      </c>
    </row>
    <row r="6199" spans="1:28" x14ac:dyDescent="0.25">
      <c r="A6199" t="s">
        <v>6203</v>
      </c>
      <c r="B6199">
        <v>0.99472303558308395</v>
      </c>
      <c r="C6199">
        <v>0.80161384453205398</v>
      </c>
      <c r="D6199">
        <v>1.15054221267413</v>
      </c>
      <c r="E6199">
        <v>0.80103381499178805</v>
      </c>
      <c r="F6199">
        <v>0.43132035123322399</v>
      </c>
      <c r="G6199">
        <v>0.48927150278277998</v>
      </c>
      <c r="H6199">
        <v>0.52411328406822999</v>
      </c>
      <c r="I6199">
        <v>0.63654722870557501</v>
      </c>
      <c r="J6199">
        <v>1.1311713567253401</v>
      </c>
      <c r="K6199">
        <v>0.78459648147831695</v>
      </c>
      <c r="L6199">
        <v>11631.8786686857</v>
      </c>
      <c r="M6199">
        <v>250</v>
      </c>
      <c r="O6199">
        <v>46.524548525654602</v>
      </c>
      <c r="P6199">
        <v>-0.44845954563206902</v>
      </c>
      <c r="Q6199">
        <v>0.66617003490776605</v>
      </c>
      <c r="R6199">
        <v>0.33311931573951797</v>
      </c>
      <c r="S6199" t="s">
        <v>12767</v>
      </c>
      <c r="T6199" t="s">
        <v>13134</v>
      </c>
      <c r="U6199" t="s">
        <v>13134</v>
      </c>
      <c r="V6199" t="s">
        <v>13134</v>
      </c>
      <c r="W6199" t="s">
        <v>19263</v>
      </c>
      <c r="X6199">
        <v>11</v>
      </c>
      <c r="Y6199" t="s">
        <v>25618</v>
      </c>
      <c r="Z6199" t="s">
        <v>32167</v>
      </c>
      <c r="AA6199">
        <v>0.7722162901911459</v>
      </c>
      <c r="AB6199" t="str">
        <f>HYPERLINK("Melting_Curves/meltCurve_Q9UII2_ATPIF1.pdf", "Melting_Curves/meltCurve_Q9UII2_ATPIF1.pdf")</f>
        <v>Melting_Curves/meltCurve_Q9UII2_ATPIF1.pdf</v>
      </c>
    </row>
    <row r="6200" spans="1:28" x14ac:dyDescent="0.25">
      <c r="A6200" t="s">
        <v>6204</v>
      </c>
      <c r="B6200">
        <v>0.99472303558308395</v>
      </c>
      <c r="C6200">
        <v>0.97300234422832099</v>
      </c>
      <c r="D6200">
        <v>1.0667974275397101</v>
      </c>
      <c r="E6200">
        <v>0.93927011761860002</v>
      </c>
      <c r="F6200">
        <v>0.601763217345479</v>
      </c>
      <c r="G6200">
        <v>0.64656384462076</v>
      </c>
      <c r="H6200">
        <v>0.41900192319769403</v>
      </c>
      <c r="I6200">
        <v>0.14334101941126001</v>
      </c>
      <c r="J6200">
        <v>7.8263530988099198E-2</v>
      </c>
      <c r="K6200">
        <v>8.1707443931675505E-2</v>
      </c>
      <c r="L6200">
        <v>715.44601929627504</v>
      </c>
      <c r="M6200">
        <v>13.0879621816413</v>
      </c>
      <c r="N6200">
        <v>54.664432087285903</v>
      </c>
      <c r="O6200">
        <v>53.435486900038697</v>
      </c>
      <c r="P6200">
        <v>-6.1243076641178999E-2</v>
      </c>
      <c r="Q6200">
        <v>0</v>
      </c>
      <c r="R6200">
        <v>0.96030735998433403</v>
      </c>
      <c r="S6200" t="s">
        <v>12768</v>
      </c>
      <c r="T6200" t="s">
        <v>13134</v>
      </c>
      <c r="U6200" t="s">
        <v>13134</v>
      </c>
      <c r="V6200" t="s">
        <v>13134</v>
      </c>
      <c r="W6200" t="s">
        <v>19264</v>
      </c>
      <c r="X6200">
        <v>15</v>
      </c>
      <c r="Y6200" t="s">
        <v>25619</v>
      </c>
      <c r="Z6200" t="s">
        <v>32168</v>
      </c>
      <c r="AA6200">
        <v>0.60434414796438929</v>
      </c>
      <c r="AB6200" t="str">
        <f>HYPERLINK("Melting_Curves/meltCurve_Q9UIJ7_AK3.pdf", "Melting_Curves/meltCurve_Q9UIJ7_AK3.pdf")</f>
        <v>Melting_Curves/meltCurve_Q9UIJ7_AK3.pdf</v>
      </c>
    </row>
    <row r="6201" spans="1:28" x14ac:dyDescent="0.25">
      <c r="A6201" t="s">
        <v>6205</v>
      </c>
      <c r="B6201">
        <v>0.99472303558308395</v>
      </c>
      <c r="C6201">
        <v>1.07114925951954</v>
      </c>
      <c r="D6201">
        <v>0.86726387249047598</v>
      </c>
      <c r="E6201">
        <v>0.62928755766886302</v>
      </c>
      <c r="F6201">
        <v>0.44770550707323697</v>
      </c>
      <c r="G6201">
        <v>0.32226069122154199</v>
      </c>
      <c r="H6201">
        <v>0.225287453391666</v>
      </c>
      <c r="I6201">
        <v>0.267792110771224</v>
      </c>
      <c r="J6201">
        <v>0.37842324437289498</v>
      </c>
      <c r="K6201">
        <v>0.25825767060871602</v>
      </c>
      <c r="L6201">
        <v>974.33397251379995</v>
      </c>
      <c r="M6201">
        <v>20.905201168275401</v>
      </c>
      <c r="N6201">
        <v>48.534415909837897</v>
      </c>
      <c r="O6201">
        <v>46.187058630570803</v>
      </c>
      <c r="P6201">
        <v>-8.1248220482218705E-2</v>
      </c>
      <c r="Q6201">
        <v>0.281994163425967</v>
      </c>
      <c r="R6201">
        <v>0.97301541524228397</v>
      </c>
      <c r="S6201" t="s">
        <v>12769</v>
      </c>
      <c r="T6201" t="s">
        <v>13134</v>
      </c>
      <c r="U6201" t="s">
        <v>13134</v>
      </c>
      <c r="V6201" t="s">
        <v>13134</v>
      </c>
      <c r="W6201" t="s">
        <v>19265</v>
      </c>
      <c r="X6201">
        <v>2</v>
      </c>
      <c r="Y6201" t="s">
        <v>25620</v>
      </c>
      <c r="Z6201" t="s">
        <v>32169</v>
      </c>
      <c r="AA6201">
        <v>0.52052768946868178</v>
      </c>
      <c r="AB6201" t="str">
        <f>HYPERLINK("Melting_Curves/meltCurve_Q9UIL1_3_SCOC.pdf", "Melting_Curves/meltCurve_Q9UIL1_3_SCOC.pdf")</f>
        <v>Melting_Curves/meltCurve_Q9UIL1_3_SCOC.pdf</v>
      </c>
    </row>
    <row r="6202" spans="1:28" x14ac:dyDescent="0.25">
      <c r="A6202" t="s">
        <v>6206</v>
      </c>
      <c r="B6202">
        <v>0.99472303558308395</v>
      </c>
      <c r="C6202">
        <v>1.0379929375350601</v>
      </c>
      <c r="D6202">
        <v>1.00152602219501</v>
      </c>
      <c r="E6202">
        <v>0.87985441023849897</v>
      </c>
      <c r="F6202">
        <v>0.66237794972965003</v>
      </c>
      <c r="G6202">
        <v>0.385189333098024</v>
      </c>
      <c r="H6202">
        <v>0.18209732281333799</v>
      </c>
      <c r="I6202">
        <v>0.113359139557896</v>
      </c>
      <c r="J6202">
        <v>0.112973561048893</v>
      </c>
      <c r="K6202">
        <v>8.9962848568362896E-2</v>
      </c>
      <c r="L6202">
        <v>984.80588387553701</v>
      </c>
      <c r="M6202">
        <v>19.064161944453001</v>
      </c>
      <c r="N6202">
        <v>52.114597203544797</v>
      </c>
      <c r="O6202">
        <v>51.0991240692369</v>
      </c>
      <c r="P6202">
        <v>-8.6092289003063302E-2</v>
      </c>
      <c r="Q6202">
        <v>7.6997485614625299E-2</v>
      </c>
      <c r="R6202">
        <v>0.997920836522178</v>
      </c>
      <c r="S6202" t="s">
        <v>12770</v>
      </c>
      <c r="T6202" t="s">
        <v>13134</v>
      </c>
      <c r="U6202" t="s">
        <v>13134</v>
      </c>
      <c r="V6202" t="s">
        <v>13134</v>
      </c>
      <c r="W6202" t="s">
        <v>19266</v>
      </c>
      <c r="X6202">
        <v>10</v>
      </c>
      <c r="Y6202" t="s">
        <v>25621</v>
      </c>
      <c r="Z6202" t="s">
        <v>32170</v>
      </c>
      <c r="AA6202">
        <v>0.54088707742111286</v>
      </c>
      <c r="AB6202" t="str">
        <f>HYPERLINK("Melting_Curves/meltCurve_Q9UIM3_FKBPL.pdf", "Melting_Curves/meltCurve_Q9UIM3_FKBPL.pdf")</f>
        <v>Melting_Curves/meltCurve_Q9UIM3_FKBPL.pdf</v>
      </c>
    </row>
    <row r="6203" spans="1:28" x14ac:dyDescent="0.25">
      <c r="A6203" t="s">
        <v>6207</v>
      </c>
      <c r="B6203">
        <v>0.99472303558308395</v>
      </c>
      <c r="C6203">
        <v>0.92675473376105599</v>
      </c>
      <c r="D6203">
        <v>0.85752610634807502</v>
      </c>
      <c r="E6203">
        <v>0.81494496020430696</v>
      </c>
      <c r="F6203">
        <v>0.70512415426612196</v>
      </c>
      <c r="G6203">
        <v>0.40773090958557801</v>
      </c>
      <c r="H6203">
        <v>0.33657517165247097</v>
      </c>
      <c r="I6203">
        <v>0.223806591064063</v>
      </c>
      <c r="J6203">
        <v>0.25838977615250303</v>
      </c>
      <c r="K6203">
        <v>0.29684927702075298</v>
      </c>
      <c r="L6203">
        <v>657.28718909995803</v>
      </c>
      <c r="M6203">
        <v>12.982471244306801</v>
      </c>
      <c r="N6203">
        <v>52.768609990436502</v>
      </c>
      <c r="O6203">
        <v>49.4727270509673</v>
      </c>
      <c r="P6203">
        <v>-5.2187693080073101E-2</v>
      </c>
      <c r="Q6203">
        <v>0.204647864444674</v>
      </c>
      <c r="R6203">
        <v>0.97167542530762396</v>
      </c>
      <c r="S6203" t="s">
        <v>12771</v>
      </c>
      <c r="T6203" t="s">
        <v>13134</v>
      </c>
      <c r="U6203" t="s">
        <v>13134</v>
      </c>
      <c r="V6203" t="s">
        <v>13134</v>
      </c>
      <c r="W6203" t="s">
        <v>19267</v>
      </c>
      <c r="X6203">
        <v>11</v>
      </c>
      <c r="Y6203" t="s">
        <v>25622</v>
      </c>
      <c r="Z6203" t="s">
        <v>32171</v>
      </c>
      <c r="AA6203">
        <v>0.58549139224881075</v>
      </c>
      <c r="AB6203" t="str">
        <f>HYPERLINK("Melting_Curves/meltCurve_Q9UIQ6_3_LNPEP.pdf", "Melting_Curves/meltCurve_Q9UIQ6_3_LNPEP.pdf")</f>
        <v>Melting_Curves/meltCurve_Q9UIQ6_3_LNPEP.pdf</v>
      </c>
    </row>
    <row r="6204" spans="1:28" x14ac:dyDescent="0.25">
      <c r="A6204" t="s">
        <v>6208</v>
      </c>
      <c r="B6204">
        <v>0.99472303558308395</v>
      </c>
      <c r="C6204">
        <v>0.73060615374739002</v>
      </c>
      <c r="D6204">
        <v>0.57218694000761805</v>
      </c>
      <c r="E6204">
        <v>0.415136212019591</v>
      </c>
      <c r="F6204">
        <v>0.27836923226473897</v>
      </c>
      <c r="G6204">
        <v>6.4340737526813296E-2</v>
      </c>
      <c r="H6204">
        <v>4.3129369384393303E-2</v>
      </c>
      <c r="I6204">
        <v>2.7391249714106301E-2</v>
      </c>
      <c r="J6204">
        <v>3.2003056307124897E-2</v>
      </c>
      <c r="K6204">
        <v>2.9599093390497499E-2</v>
      </c>
      <c r="L6204">
        <v>509.22930239888501</v>
      </c>
      <c r="M6204">
        <v>11.428056315502401</v>
      </c>
      <c r="N6204">
        <v>44.559574855801998</v>
      </c>
      <c r="O6204">
        <v>43.2606234375328</v>
      </c>
      <c r="P6204">
        <v>-6.6061138119685101E-2</v>
      </c>
      <c r="Q6204">
        <v>0</v>
      </c>
      <c r="R6204">
        <v>0.98046794265388604</v>
      </c>
      <c r="S6204" t="s">
        <v>12772</v>
      </c>
      <c r="T6204" t="s">
        <v>13134</v>
      </c>
      <c r="U6204" t="s">
        <v>13134</v>
      </c>
      <c r="V6204" t="s">
        <v>13134</v>
      </c>
      <c r="W6204" t="s">
        <v>19268</v>
      </c>
      <c r="X6204">
        <v>3</v>
      </c>
      <c r="Y6204" t="s">
        <v>25623</v>
      </c>
      <c r="Z6204" t="s">
        <v>32172</v>
      </c>
      <c r="AA6204">
        <v>0.29274047559327548</v>
      </c>
      <c r="AB6204" t="str">
        <f>HYPERLINK("Melting_Curves/meltCurve_Q9UIV1_2_CNOT7.pdf", "Melting_Curves/meltCurve_Q9UIV1_2_CNOT7.pdf")</f>
        <v>Melting_Curves/meltCurve_Q9UIV1_2_CNOT7.pdf</v>
      </c>
    </row>
    <row r="6205" spans="1:28" x14ac:dyDescent="0.25">
      <c r="A6205" t="s">
        <v>6209</v>
      </c>
      <c r="B6205">
        <v>0.99472303558308395</v>
      </c>
      <c r="C6205">
        <v>1.11897550767293</v>
      </c>
      <c r="D6205">
        <v>0.893297187149941</v>
      </c>
      <c r="E6205">
        <v>0.90134308790781303</v>
      </c>
      <c r="F6205">
        <v>0.83328200822753795</v>
      </c>
      <c r="G6205">
        <v>0.548650199164886</v>
      </c>
      <c r="H6205">
        <v>0.416877902878389</v>
      </c>
      <c r="I6205">
        <v>0.35367626322490497</v>
      </c>
      <c r="J6205">
        <v>0.43790967868636999</v>
      </c>
      <c r="K6205">
        <v>0.51575825225841299</v>
      </c>
      <c r="L6205">
        <v>1466.6425774510401</v>
      </c>
      <c r="M6205">
        <v>28.536783785003401</v>
      </c>
      <c r="N6205">
        <v>55.016656576971698</v>
      </c>
      <c r="O6205">
        <v>51.144431716327603</v>
      </c>
      <c r="P6205">
        <v>-8.0403346183444593E-2</v>
      </c>
      <c r="Q6205">
        <v>0.42360020453018299</v>
      </c>
      <c r="R6205">
        <v>0.93236001586946704</v>
      </c>
      <c r="S6205" t="s">
        <v>12773</v>
      </c>
      <c r="T6205" t="s">
        <v>13134</v>
      </c>
      <c r="U6205" t="s">
        <v>13134</v>
      </c>
      <c r="V6205" t="s">
        <v>13134</v>
      </c>
      <c r="W6205" t="s">
        <v>19269</v>
      </c>
      <c r="X6205">
        <v>1</v>
      </c>
      <c r="Y6205" t="s">
        <v>25624</v>
      </c>
      <c r="Z6205" t="s">
        <v>32173</v>
      </c>
      <c r="AA6205">
        <v>0.70414790412352934</v>
      </c>
      <c r="AB6205" t="str">
        <f>HYPERLINK("Melting_Curves/meltCurve_Q9UJ14_5_GGT7.pdf", "Melting_Curves/meltCurve_Q9UJ14_5_GGT7.pdf")</f>
        <v>Melting_Curves/meltCurve_Q9UJ14_5_GGT7.pdf</v>
      </c>
    </row>
    <row r="6206" spans="1:28" x14ac:dyDescent="0.25">
      <c r="A6206" t="s">
        <v>6210</v>
      </c>
      <c r="B6206">
        <v>0.99472303558308395</v>
      </c>
      <c r="C6206">
        <v>0.60548987924727504</v>
      </c>
      <c r="D6206">
        <v>0.82297697811702997</v>
      </c>
      <c r="E6206">
        <v>0.71821156498234295</v>
      </c>
      <c r="F6206">
        <v>0.563518539959034</v>
      </c>
      <c r="G6206">
        <v>0.362566444011862</v>
      </c>
      <c r="H6206">
        <v>0.13990247185475299</v>
      </c>
      <c r="I6206">
        <v>0.278594337627808</v>
      </c>
      <c r="J6206">
        <v>0.24081345982881999</v>
      </c>
      <c r="K6206">
        <v>0.18358112440077101</v>
      </c>
      <c r="L6206">
        <v>326.12080155564001</v>
      </c>
      <c r="M6206">
        <v>6.4915885301605503</v>
      </c>
      <c r="N6206">
        <v>50.237441500779703</v>
      </c>
      <c r="O6206">
        <v>46.108092376554502</v>
      </c>
      <c r="P6206">
        <v>-3.5283549082641301E-2</v>
      </c>
      <c r="Q6206">
        <v>0</v>
      </c>
      <c r="R6206">
        <v>0.85224483701281595</v>
      </c>
      <c r="S6206" t="s">
        <v>12774</v>
      </c>
      <c r="T6206" t="s">
        <v>13134</v>
      </c>
      <c r="U6206" t="s">
        <v>13134</v>
      </c>
      <c r="V6206" t="s">
        <v>13134</v>
      </c>
      <c r="W6206" t="s">
        <v>19270</v>
      </c>
      <c r="X6206">
        <v>1</v>
      </c>
      <c r="Y6206" t="s">
        <v>25625</v>
      </c>
      <c r="Z6206" t="s">
        <v>32174</v>
      </c>
      <c r="AA6206">
        <v>0.48542989450808738</v>
      </c>
      <c r="AB6206" t="str">
        <f>HYPERLINK("Melting_Curves/meltCurve_Q9UJA2_2_CRLS1.pdf", "Melting_Curves/meltCurve_Q9UJA2_2_CRLS1.pdf")</f>
        <v>Melting_Curves/meltCurve_Q9UJA2_2_CRLS1.pdf</v>
      </c>
    </row>
    <row r="6207" spans="1:28" x14ac:dyDescent="0.25">
      <c r="A6207" t="s">
        <v>6211</v>
      </c>
      <c r="B6207">
        <v>0.99472303558308395</v>
      </c>
      <c r="C6207">
        <v>0.93636366104864699</v>
      </c>
      <c r="D6207">
        <v>0.83388223727045097</v>
      </c>
      <c r="E6207">
        <v>0.71104264511316295</v>
      </c>
      <c r="F6207">
        <v>0.65385918781807195</v>
      </c>
      <c r="G6207">
        <v>0.39401086519699102</v>
      </c>
      <c r="H6207">
        <v>0.21640255787992399</v>
      </c>
      <c r="I6207">
        <v>0.10622466839328699</v>
      </c>
      <c r="J6207">
        <v>7.0394996403303406E-2</v>
      </c>
      <c r="K6207">
        <v>7.0097475926996597E-2</v>
      </c>
      <c r="L6207">
        <v>565.92113343629001</v>
      </c>
      <c r="M6207">
        <v>11.022465365898199</v>
      </c>
      <c r="N6207">
        <v>51.342518474166297</v>
      </c>
      <c r="O6207">
        <v>49.739415727217697</v>
      </c>
      <c r="P6207">
        <v>-5.5419602846633699E-2</v>
      </c>
      <c r="Q6207">
        <v>0</v>
      </c>
      <c r="R6207">
        <v>0.98538467364767302</v>
      </c>
      <c r="S6207" t="s">
        <v>12775</v>
      </c>
      <c r="T6207" t="s">
        <v>13134</v>
      </c>
      <c r="U6207" t="s">
        <v>13134</v>
      </c>
      <c r="V6207" t="s">
        <v>13134</v>
      </c>
      <c r="W6207" t="s">
        <v>19271</v>
      </c>
      <c r="X6207">
        <v>11</v>
      </c>
      <c r="Y6207" t="s">
        <v>25626</v>
      </c>
      <c r="Z6207" t="s">
        <v>32175</v>
      </c>
      <c r="AA6207">
        <v>0.50530011578063305</v>
      </c>
      <c r="AB6207" t="str">
        <f>HYPERLINK("Melting_Curves/meltCurve_Q9UJA5_TRMT6.pdf", "Melting_Curves/meltCurve_Q9UJA5_TRMT6.pdf")</f>
        <v>Melting_Curves/meltCurve_Q9UJA5_TRMT6.pdf</v>
      </c>
    </row>
    <row r="6208" spans="1:28" x14ac:dyDescent="0.25">
      <c r="A6208" t="s">
        <v>6212</v>
      </c>
      <c r="B6208">
        <v>0.99472303558308395</v>
      </c>
      <c r="C6208">
        <v>1.10463672827613</v>
      </c>
      <c r="D6208">
        <v>0.83906951202726698</v>
      </c>
      <c r="E6208">
        <v>0.85480398821213999</v>
      </c>
      <c r="F6208">
        <v>0.74621690777774397</v>
      </c>
      <c r="G6208">
        <v>0.31770316588584702</v>
      </c>
      <c r="H6208">
        <v>0.111542886030447</v>
      </c>
      <c r="I6208">
        <v>8.0930336430055302E-2</v>
      </c>
      <c r="J6208">
        <v>5.4980963245143601E-2</v>
      </c>
      <c r="K6208">
        <v>0</v>
      </c>
      <c r="L6208">
        <v>1016.7394444051901</v>
      </c>
      <c r="M6208">
        <v>19.531797649853399</v>
      </c>
      <c r="N6208">
        <v>52.076810887165998</v>
      </c>
      <c r="O6208">
        <v>51.5191388910876</v>
      </c>
      <c r="P6208">
        <v>-9.4407188731901404E-2</v>
      </c>
      <c r="Q6208">
        <v>3.96200204107355E-3</v>
      </c>
      <c r="R6208">
        <v>0.97438194230445496</v>
      </c>
      <c r="S6208" t="s">
        <v>12776</v>
      </c>
      <c r="T6208" t="s">
        <v>13134</v>
      </c>
      <c r="U6208" t="s">
        <v>13134</v>
      </c>
      <c r="V6208" t="s">
        <v>13134</v>
      </c>
      <c r="W6208" t="s">
        <v>19272</v>
      </c>
      <c r="X6208">
        <v>2</v>
      </c>
      <c r="Y6208" t="s">
        <v>25627</v>
      </c>
      <c r="Z6208" t="s">
        <v>32176</v>
      </c>
      <c r="AA6208">
        <v>0.51715520091166778</v>
      </c>
      <c r="AB6208" t="str">
        <f>HYPERLINK("Melting_Curves/meltCurve_Q9UJJ9_GNPTG.pdf", "Melting_Curves/meltCurve_Q9UJJ9_GNPTG.pdf")</f>
        <v>Melting_Curves/meltCurve_Q9UJJ9_GNPTG.pdf</v>
      </c>
    </row>
    <row r="6209" spans="1:28" x14ac:dyDescent="0.25">
      <c r="A6209" t="s">
        <v>6213</v>
      </c>
      <c r="B6209">
        <v>0.99472303558308395</v>
      </c>
      <c r="C6209">
        <v>0.97328965643630305</v>
      </c>
      <c r="D6209">
        <v>1.0036483308783499</v>
      </c>
      <c r="E6209">
        <v>0.864450979044319</v>
      </c>
      <c r="F6209">
        <v>0.62067354711624201</v>
      </c>
      <c r="G6209">
        <v>0.50220585549080299</v>
      </c>
      <c r="H6209">
        <v>0.39857174005916202</v>
      </c>
      <c r="I6209">
        <v>0.40940376818498297</v>
      </c>
      <c r="J6209">
        <v>0.63354759663300697</v>
      </c>
      <c r="K6209">
        <v>0.35409377921555302</v>
      </c>
      <c r="L6209">
        <v>1321.5842320613399</v>
      </c>
      <c r="M6209">
        <v>27.163175517607002</v>
      </c>
      <c r="N6209">
        <v>53.155030145840797</v>
      </c>
      <c r="O6209">
        <v>48.3921226086864</v>
      </c>
      <c r="P6209">
        <v>-7.7197050121083605E-2</v>
      </c>
      <c r="Q6209">
        <v>0.44988864117272398</v>
      </c>
      <c r="R6209">
        <v>0.92026425184260596</v>
      </c>
      <c r="S6209" t="s">
        <v>12777</v>
      </c>
      <c r="T6209" t="s">
        <v>13134</v>
      </c>
      <c r="U6209" t="s">
        <v>13134</v>
      </c>
      <c r="V6209" t="s">
        <v>13134</v>
      </c>
      <c r="W6209" t="s">
        <v>19273</v>
      </c>
      <c r="X6209">
        <v>7</v>
      </c>
      <c r="Y6209" t="s">
        <v>25628</v>
      </c>
      <c r="Z6209" t="s">
        <v>32177</v>
      </c>
      <c r="AA6209">
        <v>0.6675981323670086</v>
      </c>
      <c r="AB6209" t="str">
        <f>HYPERLINK("Melting_Curves/meltCurve_Q9UJK0_TSR3.pdf", "Melting_Curves/meltCurve_Q9UJK0_TSR3.pdf")</f>
        <v>Melting_Curves/meltCurve_Q9UJK0_TSR3.pdf</v>
      </c>
    </row>
    <row r="6210" spans="1:28" x14ac:dyDescent="0.25">
      <c r="A6210" t="s">
        <v>6214</v>
      </c>
      <c r="B6210">
        <v>0.99472303558308395</v>
      </c>
      <c r="C6210">
        <v>0.90428535119016495</v>
      </c>
      <c r="D6210">
        <v>0.57391487986553602</v>
      </c>
      <c r="E6210">
        <v>0.67539286650950303</v>
      </c>
      <c r="F6210">
        <v>0.49358851657929198</v>
      </c>
      <c r="G6210">
        <v>0.18418251454718501</v>
      </c>
      <c r="H6210">
        <v>0.26300823398316298</v>
      </c>
      <c r="I6210">
        <v>0.17571164661953001</v>
      </c>
      <c r="J6210">
        <v>0.287310942809331</v>
      </c>
      <c r="K6210">
        <v>0.13703814479344101</v>
      </c>
      <c r="L6210">
        <v>463.27508052953198</v>
      </c>
      <c r="M6210">
        <v>9.94653016912258</v>
      </c>
      <c r="N6210">
        <v>48.095403456246402</v>
      </c>
      <c r="O6210">
        <v>44.811204893433903</v>
      </c>
      <c r="P6210">
        <v>-4.8035972749841199E-2</v>
      </c>
      <c r="Q6210">
        <v>0.13478102112583401</v>
      </c>
      <c r="R6210">
        <v>0.90990276094835199</v>
      </c>
      <c r="S6210" t="s">
        <v>12778</v>
      </c>
      <c r="T6210" t="s">
        <v>13134</v>
      </c>
      <c r="U6210" t="s">
        <v>13134</v>
      </c>
      <c r="V6210" t="s">
        <v>13134</v>
      </c>
      <c r="W6210" t="s">
        <v>19274</v>
      </c>
      <c r="X6210">
        <v>2</v>
      </c>
      <c r="Y6210" t="s">
        <v>25629</v>
      </c>
      <c r="Z6210" t="s">
        <v>32178</v>
      </c>
      <c r="AA6210">
        <v>0.44972596287039063</v>
      </c>
      <c r="AB6210" t="str">
        <f>HYPERLINK("Melting_Curves/meltCurve_Q9UJN7_ZNF391.pdf", "Melting_Curves/meltCurve_Q9UJN7_ZNF391.pdf")</f>
        <v>Melting_Curves/meltCurve_Q9UJN7_ZNF391.pdf</v>
      </c>
    </row>
    <row r="6211" spans="1:28" x14ac:dyDescent="0.25">
      <c r="A6211" t="s">
        <v>6215</v>
      </c>
      <c r="B6211">
        <v>0.99472303558308395</v>
      </c>
      <c r="C6211">
        <v>0.84833783223755599</v>
      </c>
      <c r="D6211">
        <v>0.7706815495596</v>
      </c>
      <c r="E6211">
        <v>0.64534911321919997</v>
      </c>
      <c r="F6211">
        <v>0.55696282947728504</v>
      </c>
      <c r="G6211">
        <v>0.39690063001473802</v>
      </c>
      <c r="H6211">
        <v>0.23945444007737501</v>
      </c>
      <c r="I6211">
        <v>0.15323022835623401</v>
      </c>
      <c r="J6211">
        <v>0.13243673594507799</v>
      </c>
      <c r="K6211">
        <v>0.12800726189175099</v>
      </c>
      <c r="L6211">
        <v>411.186220570758</v>
      </c>
      <c r="M6211">
        <v>8.1813417363400909</v>
      </c>
      <c r="N6211">
        <v>50.259019350099898</v>
      </c>
      <c r="O6211">
        <v>47.5240995207254</v>
      </c>
      <c r="P6211">
        <v>-4.3082619967489903E-2</v>
      </c>
      <c r="Q6211">
        <v>0</v>
      </c>
      <c r="R6211">
        <v>0.98794730858774504</v>
      </c>
      <c r="S6211" t="s">
        <v>12779</v>
      </c>
      <c r="T6211" t="s">
        <v>13134</v>
      </c>
      <c r="U6211" t="s">
        <v>13134</v>
      </c>
      <c r="V6211" t="s">
        <v>13134</v>
      </c>
      <c r="W6211" t="s">
        <v>19275</v>
      </c>
      <c r="X6211">
        <v>25</v>
      </c>
      <c r="Y6211" t="s">
        <v>25630</v>
      </c>
      <c r="Z6211" t="s">
        <v>32179</v>
      </c>
      <c r="AA6211">
        <v>0.48063568257737871</v>
      </c>
      <c r="AB6211" t="str">
        <f>HYPERLINK("Melting_Curves/meltCurve_Q9UJS0_SLC25A13.pdf", "Melting_Curves/meltCurve_Q9UJS0_SLC25A13.pdf")</f>
        <v>Melting_Curves/meltCurve_Q9UJS0_SLC25A13.pdf</v>
      </c>
    </row>
    <row r="6212" spans="1:28" x14ac:dyDescent="0.25">
      <c r="A6212" t="s">
        <v>6216</v>
      </c>
      <c r="B6212">
        <v>0.99472303558308395</v>
      </c>
      <c r="C6212">
        <v>1.07216056943031</v>
      </c>
      <c r="D6212">
        <v>0.99652621876788905</v>
      </c>
      <c r="E6212">
        <v>0.88364318819138599</v>
      </c>
      <c r="F6212">
        <v>0.63849740513846798</v>
      </c>
      <c r="G6212">
        <v>0.49227756210075502</v>
      </c>
      <c r="H6212">
        <v>0.45071458205013198</v>
      </c>
      <c r="I6212">
        <v>0.30155408057666999</v>
      </c>
      <c r="J6212">
        <v>0.15254473109597599</v>
      </c>
      <c r="K6212">
        <v>0.12311045701432601</v>
      </c>
      <c r="L6212">
        <v>580.58122182015904</v>
      </c>
      <c r="M6212">
        <v>10.7098359823434</v>
      </c>
      <c r="N6212">
        <v>54.552305357007903</v>
      </c>
      <c r="O6212">
        <v>52.422613349594997</v>
      </c>
      <c r="P6212">
        <v>-4.9433658041507601E-2</v>
      </c>
      <c r="Q6212">
        <v>3.2488249864341297E-2</v>
      </c>
      <c r="R6212">
        <v>0.97569814094361995</v>
      </c>
      <c r="S6212" t="s">
        <v>12780</v>
      </c>
      <c r="T6212" t="s">
        <v>13134</v>
      </c>
      <c r="U6212" t="s">
        <v>13134</v>
      </c>
      <c r="V6212" t="s">
        <v>13134</v>
      </c>
      <c r="W6212" t="s">
        <v>19276</v>
      </c>
      <c r="X6212">
        <v>3</v>
      </c>
      <c r="Y6212" t="s">
        <v>25631</v>
      </c>
      <c r="Z6212" t="s">
        <v>32180</v>
      </c>
      <c r="AA6212">
        <v>0.60394910578312044</v>
      </c>
      <c r="AB6212" t="str">
        <f>HYPERLINK("Melting_Curves/meltCurve_Q9UJT0_TUBE1.pdf", "Melting_Curves/meltCurve_Q9UJT0_TUBE1.pdf")</f>
        <v>Melting_Curves/meltCurve_Q9UJT0_TUBE1.pdf</v>
      </c>
    </row>
    <row r="6213" spans="1:28" x14ac:dyDescent="0.25">
      <c r="A6213" t="s">
        <v>6217</v>
      </c>
      <c r="B6213">
        <v>0.99472303558308395</v>
      </c>
      <c r="C6213">
        <v>0.936387673863735</v>
      </c>
      <c r="D6213">
        <v>1.05096715349921</v>
      </c>
      <c r="E6213">
        <v>0.79638082295995605</v>
      </c>
      <c r="F6213">
        <v>0.26259789435772402</v>
      </c>
      <c r="G6213">
        <v>0.14118600510495299</v>
      </c>
      <c r="H6213">
        <v>8.91213942946293E-2</v>
      </c>
      <c r="I6213">
        <v>6.7489627157109697E-2</v>
      </c>
      <c r="J6213">
        <v>8.7473944035324699E-2</v>
      </c>
      <c r="K6213">
        <v>7.5271001996601403E-2</v>
      </c>
      <c r="L6213">
        <v>1744.0617789973101</v>
      </c>
      <c r="M6213">
        <v>36.145730431515702</v>
      </c>
      <c r="N6213">
        <v>48.5049674352477</v>
      </c>
      <c r="O6213">
        <v>48.103864008588097</v>
      </c>
      <c r="P6213">
        <v>-0.17164833698990001</v>
      </c>
      <c r="Q6213">
        <v>8.6263031912360899E-2</v>
      </c>
      <c r="R6213">
        <v>0.99439014813035798</v>
      </c>
      <c r="S6213" t="s">
        <v>12781</v>
      </c>
      <c r="T6213" t="s">
        <v>13134</v>
      </c>
      <c r="U6213" t="s">
        <v>13134</v>
      </c>
      <c r="V6213" t="s">
        <v>13134</v>
      </c>
      <c r="W6213" t="s">
        <v>19277</v>
      </c>
      <c r="X6213">
        <v>20</v>
      </c>
      <c r="Y6213" t="s">
        <v>25632</v>
      </c>
      <c r="Z6213" t="s">
        <v>32181</v>
      </c>
      <c r="AA6213">
        <v>0.43267754293672822</v>
      </c>
      <c r="AB6213" t="str">
        <f>HYPERLINK("Melting_Curves/meltCurve_Q9UJU6_DBNL.pdf", "Melting_Curves/meltCurve_Q9UJU6_DBNL.pdf")</f>
        <v>Melting_Curves/meltCurve_Q9UJU6_DBNL.pdf</v>
      </c>
    </row>
    <row r="6214" spans="1:28" x14ac:dyDescent="0.25">
      <c r="A6214" t="s">
        <v>6218</v>
      </c>
      <c r="B6214">
        <v>0.99472303558308395</v>
      </c>
      <c r="C6214">
        <v>1.2151612787628501</v>
      </c>
      <c r="D6214">
        <v>1.1861002291699501</v>
      </c>
      <c r="E6214">
        <v>0.76849662786466799</v>
      </c>
      <c r="F6214">
        <v>9.4862248427100199E-2</v>
      </c>
      <c r="G6214">
        <v>9.96069101290466E-2</v>
      </c>
      <c r="H6214">
        <v>3.0258893715910999E-2</v>
      </c>
      <c r="I6214">
        <v>2.21452307300843E-2</v>
      </c>
      <c r="J6214">
        <v>4.0273622946587401E-2</v>
      </c>
      <c r="K6214">
        <v>5.3693638528836199E-2</v>
      </c>
      <c r="L6214">
        <v>2871.88274928278</v>
      </c>
      <c r="M6214">
        <v>60.474443842649599</v>
      </c>
      <c r="N6214">
        <v>47.573299450068703</v>
      </c>
      <c r="O6214">
        <v>47.437349978967802</v>
      </c>
      <c r="P6214">
        <v>-0.30255135872206601</v>
      </c>
      <c r="Q6214">
        <v>5.0691296522535102E-2</v>
      </c>
      <c r="R6214">
        <v>0.96527631595239205</v>
      </c>
      <c r="S6214" t="s">
        <v>12782</v>
      </c>
      <c r="T6214" t="s">
        <v>13134</v>
      </c>
      <c r="U6214" t="s">
        <v>13134</v>
      </c>
      <c r="V6214" t="s">
        <v>13134</v>
      </c>
      <c r="W6214" t="s">
        <v>19278</v>
      </c>
      <c r="X6214">
        <v>20</v>
      </c>
      <c r="Y6214" t="s">
        <v>25632</v>
      </c>
      <c r="Z6214" t="s">
        <v>32182</v>
      </c>
      <c r="AA6214">
        <v>0.38396444347603409</v>
      </c>
      <c r="AB6214" t="str">
        <f>HYPERLINK("Melting_Curves/meltCurve_Q9UJU6_2_DBNL.pdf", "Melting_Curves/meltCurve_Q9UJU6_2_DBNL.pdf")</f>
        <v>Melting_Curves/meltCurve_Q9UJU6_2_DBNL.pdf</v>
      </c>
    </row>
    <row r="6215" spans="1:28" x14ac:dyDescent="0.25">
      <c r="A6215" t="s">
        <v>6219</v>
      </c>
      <c r="B6215">
        <v>0.99472303558308395</v>
      </c>
      <c r="C6215">
        <v>0.88422473826109504</v>
      </c>
      <c r="D6215">
        <v>0.691671936725892</v>
      </c>
      <c r="E6215">
        <v>0.54261027744595602</v>
      </c>
      <c r="F6215">
        <v>0.58866350096664899</v>
      </c>
      <c r="G6215">
        <v>0.21707158674805299</v>
      </c>
      <c r="H6215">
        <v>0.17537910536594201</v>
      </c>
      <c r="I6215">
        <v>0.166415795689867</v>
      </c>
      <c r="J6215">
        <v>0.226689186300435</v>
      </c>
      <c r="K6215">
        <v>0.105238133630632</v>
      </c>
      <c r="L6215">
        <v>450.32706890725598</v>
      </c>
      <c r="M6215">
        <v>9.4603098749129906</v>
      </c>
      <c r="N6215">
        <v>48.418869944404598</v>
      </c>
      <c r="O6215">
        <v>45.620232519346601</v>
      </c>
      <c r="P6215">
        <v>-4.8046519109350802E-2</v>
      </c>
      <c r="Q6215">
        <v>7.3782216030887804E-2</v>
      </c>
      <c r="R6215">
        <v>0.94463340453473799</v>
      </c>
      <c r="S6215" t="s">
        <v>12783</v>
      </c>
      <c r="T6215" t="s">
        <v>13134</v>
      </c>
      <c r="U6215" t="s">
        <v>13134</v>
      </c>
      <c r="V6215" t="s">
        <v>13134</v>
      </c>
      <c r="W6215" t="s">
        <v>19279</v>
      </c>
      <c r="X6215">
        <v>7</v>
      </c>
      <c r="Y6215" t="s">
        <v>25633</v>
      </c>
      <c r="Z6215" t="s">
        <v>32183</v>
      </c>
      <c r="AA6215">
        <v>0.44224610469503878</v>
      </c>
      <c r="AB6215" t="str">
        <f>HYPERLINK("Melting_Curves/meltCurve_Q9UJW0_2_DCTN4.pdf", "Melting_Curves/meltCurve_Q9UJW0_2_DCTN4.pdf")</f>
        <v>Melting_Curves/meltCurve_Q9UJW0_2_DCTN4.pdf</v>
      </c>
    </row>
    <row r="6216" spans="1:28" x14ac:dyDescent="0.25">
      <c r="A6216" t="s">
        <v>6220</v>
      </c>
      <c r="B6216">
        <v>0.99472303558308395</v>
      </c>
      <c r="C6216">
        <v>0.84212728543169602</v>
      </c>
      <c r="D6216">
        <v>0.67100359036138901</v>
      </c>
      <c r="E6216">
        <v>0.52428565217714995</v>
      </c>
      <c r="F6216">
        <v>0.46419864897240998</v>
      </c>
      <c r="G6216">
        <v>0.16582429470898799</v>
      </c>
      <c r="H6216">
        <v>9.7193717410184899E-2</v>
      </c>
      <c r="I6216">
        <v>8.7855295845082199E-2</v>
      </c>
      <c r="J6216">
        <v>0.112809549881579</v>
      </c>
      <c r="K6216">
        <v>6.8699251764953798E-2</v>
      </c>
      <c r="L6216">
        <v>468.25389567300101</v>
      </c>
      <c r="M6216">
        <v>9.9511116655134497</v>
      </c>
      <c r="N6216">
        <v>47.130367726222502</v>
      </c>
      <c r="O6216">
        <v>45.2734791558957</v>
      </c>
      <c r="P6216">
        <v>-5.4545899959847301E-2</v>
      </c>
      <c r="Q6216">
        <v>7.84578626659258E-3</v>
      </c>
      <c r="R6216">
        <v>0.97524658384328999</v>
      </c>
      <c r="S6216" t="s">
        <v>12784</v>
      </c>
      <c r="T6216" t="s">
        <v>13134</v>
      </c>
      <c r="U6216" t="s">
        <v>13134</v>
      </c>
      <c r="V6216" t="s">
        <v>13134</v>
      </c>
      <c r="W6216" t="s">
        <v>19280</v>
      </c>
      <c r="X6216">
        <v>7</v>
      </c>
      <c r="Y6216" t="s">
        <v>25634</v>
      </c>
      <c r="Z6216" t="s">
        <v>32184</v>
      </c>
      <c r="AA6216">
        <v>0.38333912910075152</v>
      </c>
      <c r="AB6216" t="str">
        <f>HYPERLINK("Melting_Curves/meltCurve_Q9UJX2_CDC23.pdf", "Melting_Curves/meltCurve_Q9UJX2_CDC23.pdf")</f>
        <v>Melting_Curves/meltCurve_Q9UJX2_CDC23.pdf</v>
      </c>
    </row>
    <row r="6217" spans="1:28" x14ac:dyDescent="0.25">
      <c r="A6217" t="s">
        <v>6221</v>
      </c>
      <c r="B6217">
        <v>0.99472303558308395</v>
      </c>
      <c r="C6217">
        <v>0.91389659445710503</v>
      </c>
      <c r="D6217">
        <v>0.723555005748587</v>
      </c>
      <c r="E6217">
        <v>0.505938534216688</v>
      </c>
      <c r="F6217">
        <v>0.33747873445745302</v>
      </c>
      <c r="G6217">
        <v>0.14320325318188301</v>
      </c>
      <c r="H6217">
        <v>6.4749110435895901E-2</v>
      </c>
      <c r="I6217">
        <v>4.5150288656719197E-2</v>
      </c>
      <c r="J6217">
        <v>5.5853908696692503E-2</v>
      </c>
      <c r="K6217">
        <v>4.0963486836528701E-2</v>
      </c>
      <c r="L6217">
        <v>600.29875485585103</v>
      </c>
      <c r="M6217">
        <v>12.8602858650504</v>
      </c>
      <c r="N6217">
        <v>46.748886261569403</v>
      </c>
      <c r="O6217">
        <v>45.593033125679803</v>
      </c>
      <c r="P6217">
        <v>-6.9853386201532003E-2</v>
      </c>
      <c r="Q6217">
        <v>9.5893193638969393E-3</v>
      </c>
      <c r="R6217">
        <v>0.99592279717113996</v>
      </c>
      <c r="S6217" t="s">
        <v>12785</v>
      </c>
      <c r="T6217" t="s">
        <v>13134</v>
      </c>
      <c r="U6217" t="s">
        <v>13134</v>
      </c>
      <c r="V6217" t="s">
        <v>13134</v>
      </c>
      <c r="W6217" t="s">
        <v>19281</v>
      </c>
      <c r="X6217">
        <v>13</v>
      </c>
      <c r="Y6217" t="s">
        <v>25635</v>
      </c>
      <c r="Z6217" t="s">
        <v>32185</v>
      </c>
      <c r="AA6217">
        <v>0.35857030807577411</v>
      </c>
      <c r="AB6217" t="str">
        <f>HYPERLINK("Melting_Curves/meltCurve_Q9UJX3_2_ANAPC7.pdf", "Melting_Curves/meltCurve_Q9UJX3_2_ANAPC7.pdf")</f>
        <v>Melting_Curves/meltCurve_Q9UJX3_2_ANAPC7.pdf</v>
      </c>
    </row>
    <row r="6218" spans="1:28" x14ac:dyDescent="0.25">
      <c r="A6218" t="s">
        <v>6222</v>
      </c>
      <c r="B6218">
        <v>0.99472303558308395</v>
      </c>
      <c r="C6218">
        <v>0.76650050766525701</v>
      </c>
      <c r="D6218">
        <v>0.82094525766223103</v>
      </c>
      <c r="E6218">
        <v>0.70848740568271196</v>
      </c>
      <c r="F6218">
        <v>0.65609892627228406</v>
      </c>
      <c r="G6218">
        <v>0.40175489925600999</v>
      </c>
      <c r="H6218">
        <v>0.201999336824527</v>
      </c>
      <c r="I6218">
        <v>0.107997668553066</v>
      </c>
      <c r="J6218">
        <v>5.0183292610499197E-2</v>
      </c>
      <c r="K6218">
        <v>5.0494104228849299E-2</v>
      </c>
      <c r="L6218">
        <v>515.57476832433395</v>
      </c>
      <c r="M6218">
        <v>10.1291720779111</v>
      </c>
      <c r="N6218">
        <v>50.899990574945598</v>
      </c>
      <c r="O6218">
        <v>49.035590830864699</v>
      </c>
      <c r="P6218">
        <v>-5.1665854078514102E-2</v>
      </c>
      <c r="Q6218">
        <v>0</v>
      </c>
      <c r="R6218">
        <v>0.94937711883111298</v>
      </c>
      <c r="S6218" t="s">
        <v>12786</v>
      </c>
      <c r="T6218" t="s">
        <v>13134</v>
      </c>
      <c r="U6218" t="s">
        <v>13134</v>
      </c>
      <c r="V6218" t="s">
        <v>13134</v>
      </c>
      <c r="W6218" t="s">
        <v>19282</v>
      </c>
      <c r="X6218">
        <v>2</v>
      </c>
      <c r="Y6218" t="s">
        <v>25636</v>
      </c>
      <c r="Z6218" t="s">
        <v>32186</v>
      </c>
      <c r="AA6218">
        <v>0.49386904808941678</v>
      </c>
      <c r="AB6218" t="str">
        <f>HYPERLINK("Melting_Curves/meltCurve_Q9UJX5_ANAPC4.pdf", "Melting_Curves/meltCurve_Q9UJX5_ANAPC4.pdf")</f>
        <v>Melting_Curves/meltCurve_Q9UJX5_ANAPC4.pdf</v>
      </c>
    </row>
    <row r="6219" spans="1:28" x14ac:dyDescent="0.25">
      <c r="A6219" t="s">
        <v>6223</v>
      </c>
      <c r="B6219">
        <v>0.99472303558308395</v>
      </c>
      <c r="C6219">
        <v>0.94798983553121396</v>
      </c>
      <c r="D6219">
        <v>0.81484056865000398</v>
      </c>
      <c r="E6219">
        <v>0.73735376066171399</v>
      </c>
      <c r="F6219">
        <v>0.41698595468327099</v>
      </c>
      <c r="G6219">
        <v>0.108829623634159</v>
      </c>
      <c r="H6219">
        <v>6.6112436082179593E-2</v>
      </c>
      <c r="I6219">
        <v>1.67919418523233E-2</v>
      </c>
      <c r="J6219">
        <v>4.94409464597972E-2</v>
      </c>
      <c r="K6219">
        <v>5.1241150449186798E-2</v>
      </c>
      <c r="L6219">
        <v>826.76305535693996</v>
      </c>
      <c r="M6219">
        <v>16.960111454179302</v>
      </c>
      <c r="N6219">
        <v>48.786035900435003</v>
      </c>
      <c r="O6219">
        <v>48.084921198547299</v>
      </c>
      <c r="P6219">
        <v>-8.7596684853526799E-2</v>
      </c>
      <c r="Q6219">
        <v>6.6534651212684596E-3</v>
      </c>
      <c r="R6219">
        <v>0.98709764757256602</v>
      </c>
      <c r="S6219" t="s">
        <v>12787</v>
      </c>
      <c r="T6219" t="s">
        <v>13134</v>
      </c>
      <c r="U6219" t="s">
        <v>13134</v>
      </c>
      <c r="V6219" t="s">
        <v>13134</v>
      </c>
      <c r="W6219" t="s">
        <v>19283</v>
      </c>
      <c r="X6219">
        <v>4</v>
      </c>
      <c r="Y6219" t="s">
        <v>25637</v>
      </c>
      <c r="Z6219" t="s">
        <v>32187</v>
      </c>
      <c r="AA6219">
        <v>0.41317505525455911</v>
      </c>
      <c r="AB6219" t="str">
        <f>HYPERLINK("Melting_Curves/meltCurve_Q9UJX6_2_ANAPC2.pdf", "Melting_Curves/meltCurve_Q9UJX6_2_ANAPC2.pdf")</f>
        <v>Melting_Curves/meltCurve_Q9UJX6_2_ANAPC2.pdf</v>
      </c>
    </row>
    <row r="6220" spans="1:28" x14ac:dyDescent="0.25">
      <c r="A6220" t="s">
        <v>6224</v>
      </c>
      <c r="B6220">
        <v>0.99472303558308395</v>
      </c>
      <c r="C6220">
        <v>0.99952883156449401</v>
      </c>
      <c r="D6220">
        <v>0.70736647060366598</v>
      </c>
      <c r="E6220">
        <v>0.310624142457608</v>
      </c>
      <c r="F6220">
        <v>0.15568711395780799</v>
      </c>
      <c r="G6220">
        <v>8.1000314348864594E-2</v>
      </c>
      <c r="H6220">
        <v>7.0978157158907804E-2</v>
      </c>
      <c r="I6220">
        <v>5.9004570814003197E-2</v>
      </c>
      <c r="J6220">
        <v>0.108722813905516</v>
      </c>
      <c r="K6220">
        <v>0.13463836104529101</v>
      </c>
      <c r="L6220">
        <v>1142.37908829143</v>
      </c>
      <c r="M6220">
        <v>25.7172626634148</v>
      </c>
      <c r="N6220">
        <v>44.775758725042003</v>
      </c>
      <c r="O6220">
        <v>44.154731730810198</v>
      </c>
      <c r="P6220">
        <v>-0.13217970266558601</v>
      </c>
      <c r="Q6220">
        <v>9.2237879045602697E-2</v>
      </c>
      <c r="R6220">
        <v>0.99461099500110595</v>
      </c>
      <c r="S6220" t="s">
        <v>12788</v>
      </c>
      <c r="T6220" t="s">
        <v>13134</v>
      </c>
      <c r="U6220" t="s">
        <v>13134</v>
      </c>
      <c r="V6220" t="s">
        <v>13134</v>
      </c>
      <c r="W6220" t="s">
        <v>19284</v>
      </c>
      <c r="X6220">
        <v>7</v>
      </c>
      <c r="Y6220" t="s">
        <v>25638</v>
      </c>
      <c r="Z6220" t="s">
        <v>32188</v>
      </c>
      <c r="AA6220">
        <v>0.32378441979961198</v>
      </c>
      <c r="AB6220" t="str">
        <f>HYPERLINK("Melting_Curves/meltCurve_Q9UJY4_GGA2.pdf", "Melting_Curves/meltCurve_Q9UJY4_GGA2.pdf")</f>
        <v>Melting_Curves/meltCurve_Q9UJY4_GGA2.pdf</v>
      </c>
    </row>
    <row r="6221" spans="1:28" x14ac:dyDescent="0.25">
      <c r="A6221" t="s">
        <v>6225</v>
      </c>
      <c r="B6221">
        <v>0.99472303558308395</v>
      </c>
      <c r="C6221">
        <v>1.0879272618629801</v>
      </c>
      <c r="D6221">
        <v>1.0308343946371299</v>
      </c>
      <c r="E6221">
        <v>0.84602324664686701</v>
      </c>
      <c r="F6221">
        <v>0.38925490869607199</v>
      </c>
      <c r="G6221">
        <v>0.105427734960703</v>
      </c>
      <c r="H6221">
        <v>4.98126288407E-2</v>
      </c>
      <c r="I6221">
        <v>3.1090014457501099E-2</v>
      </c>
      <c r="J6221">
        <v>3.8360814923139003E-2</v>
      </c>
      <c r="K6221">
        <v>2.5800687854126099E-2</v>
      </c>
      <c r="L6221">
        <v>1484.7720712246</v>
      </c>
      <c r="M6221">
        <v>30.1230253212848</v>
      </c>
      <c r="N6221">
        <v>49.399653351332297</v>
      </c>
      <c r="O6221">
        <v>49.074583726428102</v>
      </c>
      <c r="P6221">
        <v>-0.148505549253238</v>
      </c>
      <c r="Q6221">
        <v>3.2261944817920302E-2</v>
      </c>
      <c r="R6221">
        <v>0.99505718241773</v>
      </c>
      <c r="S6221" t="s">
        <v>12789</v>
      </c>
      <c r="T6221" t="s">
        <v>13134</v>
      </c>
      <c r="U6221" t="s">
        <v>13134</v>
      </c>
      <c r="V6221" t="s">
        <v>13134</v>
      </c>
      <c r="W6221" t="s">
        <v>19285</v>
      </c>
      <c r="X6221">
        <v>8</v>
      </c>
      <c r="Y6221" t="s">
        <v>25639</v>
      </c>
      <c r="Z6221" t="s">
        <v>32189</v>
      </c>
      <c r="AA6221">
        <v>0.43454017484181129</v>
      </c>
      <c r="AB6221" t="str">
        <f>HYPERLINK("Melting_Curves/meltCurve_Q9UJY5_4_GGA1.pdf", "Melting_Curves/meltCurve_Q9UJY5_4_GGA1.pdf")</f>
        <v>Melting_Curves/meltCurve_Q9UJY5_4_GGA1.pdf</v>
      </c>
    </row>
    <row r="6222" spans="1:28" x14ac:dyDescent="0.25">
      <c r="A6222" t="s">
        <v>6226</v>
      </c>
      <c r="B6222">
        <v>0.99472303558308395</v>
      </c>
      <c r="C6222">
        <v>1.0137797235449399</v>
      </c>
      <c r="D6222">
        <v>0.730266278100695</v>
      </c>
      <c r="E6222">
        <v>0.653162716788244</v>
      </c>
      <c r="F6222">
        <v>0.52175685187173804</v>
      </c>
      <c r="G6222">
        <v>0.25810914127036799</v>
      </c>
      <c r="H6222">
        <v>0.25284840135595099</v>
      </c>
      <c r="I6222">
        <v>0.27152216427532</v>
      </c>
      <c r="J6222">
        <v>0.42406813939136101</v>
      </c>
      <c r="K6222">
        <v>0.19191277990543101</v>
      </c>
      <c r="L6222">
        <v>672.01220040746705</v>
      </c>
      <c r="M6222">
        <v>14.450714136502601</v>
      </c>
      <c r="N6222">
        <v>48.942887022928801</v>
      </c>
      <c r="O6222">
        <v>45.640394184923103</v>
      </c>
      <c r="P6222">
        <v>-5.8845654300077099E-2</v>
      </c>
      <c r="Q6222">
        <v>0.25666658355926097</v>
      </c>
      <c r="R6222">
        <v>0.92812434835925395</v>
      </c>
      <c r="S6222" t="s">
        <v>12790</v>
      </c>
      <c r="T6222" t="s">
        <v>13134</v>
      </c>
      <c r="U6222" t="s">
        <v>13134</v>
      </c>
      <c r="V6222" t="s">
        <v>13134</v>
      </c>
      <c r="W6222" t="s">
        <v>19286</v>
      </c>
      <c r="X6222">
        <v>23</v>
      </c>
      <c r="Y6222" t="s">
        <v>25640</v>
      </c>
      <c r="Z6222" t="s">
        <v>32190</v>
      </c>
      <c r="AA6222">
        <v>0.51026995138257447</v>
      </c>
      <c r="AB6222" t="str">
        <f>HYPERLINK("Melting_Curves/meltCurve_Q9UJZ1_STOML2.pdf", "Melting_Curves/meltCurve_Q9UJZ1_STOML2.pdf")</f>
        <v>Melting_Curves/meltCurve_Q9UJZ1_STOML2.pdf</v>
      </c>
    </row>
    <row r="6223" spans="1:28" x14ac:dyDescent="0.25">
      <c r="A6223" t="s">
        <v>6227</v>
      </c>
      <c r="B6223">
        <v>0.99472303558308395</v>
      </c>
      <c r="C6223">
        <v>0.997129104940359</v>
      </c>
      <c r="D6223">
        <v>0.83663917679736399</v>
      </c>
      <c r="E6223">
        <v>0.71078389359537497</v>
      </c>
      <c r="F6223">
        <v>0.62434176256912399</v>
      </c>
      <c r="G6223">
        <v>0.42666243786770403</v>
      </c>
      <c r="H6223">
        <v>0.25634694070105801</v>
      </c>
      <c r="I6223">
        <v>0.22089593700214999</v>
      </c>
      <c r="J6223">
        <v>0.3077649137374</v>
      </c>
      <c r="K6223">
        <v>0.11949473274030301</v>
      </c>
      <c r="L6223">
        <v>525.13442454407698</v>
      </c>
      <c r="M6223">
        <v>10.3888290132459</v>
      </c>
      <c r="N6223">
        <v>51.821919240252797</v>
      </c>
      <c r="O6223">
        <v>48.782654843468201</v>
      </c>
      <c r="P6223">
        <v>-4.7260553646164799E-2</v>
      </c>
      <c r="Q6223">
        <v>0.112690481603947</v>
      </c>
      <c r="R6223">
        <v>0.97318801880461303</v>
      </c>
      <c r="S6223" t="s">
        <v>12791</v>
      </c>
      <c r="T6223" t="s">
        <v>13134</v>
      </c>
      <c r="U6223" t="s">
        <v>13134</v>
      </c>
      <c r="V6223" t="s">
        <v>13134</v>
      </c>
      <c r="W6223" t="s">
        <v>19287</v>
      </c>
      <c r="X6223">
        <v>6</v>
      </c>
      <c r="Y6223" t="s">
        <v>25641</v>
      </c>
      <c r="Z6223" t="s">
        <v>32191</v>
      </c>
      <c r="AA6223">
        <v>0.54094443750195498</v>
      </c>
      <c r="AB6223" t="str">
        <f>HYPERLINK("Melting_Curves/meltCurve_Q9UK23_2_NAGPA.pdf", "Melting_Curves/meltCurve_Q9UK23_2_NAGPA.pdf")</f>
        <v>Melting_Curves/meltCurve_Q9UK23_2_NAGPA.pdf</v>
      </c>
    </row>
    <row r="6224" spans="1:28" x14ac:dyDescent="0.25">
      <c r="A6224" t="s">
        <v>6228</v>
      </c>
      <c r="B6224">
        <v>0.99472303558308395</v>
      </c>
      <c r="C6224">
        <v>0.99267850732832696</v>
      </c>
      <c r="D6224">
        <v>0.878835925063704</v>
      </c>
      <c r="E6224">
        <v>0.75621254335932298</v>
      </c>
      <c r="F6224">
        <v>0.30294436409668701</v>
      </c>
      <c r="G6224">
        <v>9.3500183385605701E-2</v>
      </c>
      <c r="H6224">
        <v>5.1778017509769701E-2</v>
      </c>
      <c r="I6224">
        <v>3.5560685910551497E-2</v>
      </c>
      <c r="J6224">
        <v>3.3332016977200299E-2</v>
      </c>
      <c r="K6224">
        <v>3.7655696615529199E-2</v>
      </c>
      <c r="L6224">
        <v>1167.1797762830499</v>
      </c>
      <c r="M6224">
        <v>24.1240735386342</v>
      </c>
      <c r="N6224">
        <v>48.498229916934001</v>
      </c>
      <c r="O6224">
        <v>48.053589396598298</v>
      </c>
      <c r="P6224">
        <v>-0.12199366314792399</v>
      </c>
      <c r="Q6224">
        <v>2.80012926319675E-2</v>
      </c>
      <c r="R6224">
        <v>0.99569158885333997</v>
      </c>
      <c r="S6224" t="s">
        <v>12792</v>
      </c>
      <c r="T6224" t="s">
        <v>13134</v>
      </c>
      <c r="U6224" t="s">
        <v>13134</v>
      </c>
      <c r="V6224" t="s">
        <v>13134</v>
      </c>
      <c r="W6224" t="s">
        <v>19288</v>
      </c>
      <c r="X6224">
        <v>12</v>
      </c>
      <c r="Y6224" t="s">
        <v>25642</v>
      </c>
      <c r="Z6224" t="s">
        <v>32192</v>
      </c>
      <c r="AA6224">
        <v>0.40572110018212032</v>
      </c>
      <c r="AB6224" t="str">
        <f>HYPERLINK("Melting_Curves/meltCurve_Q9UK41_VPS28.pdf", "Melting_Curves/meltCurve_Q9UK41_VPS28.pdf")</f>
        <v>Melting_Curves/meltCurve_Q9UK41_VPS28.pdf</v>
      </c>
    </row>
    <row r="6225" spans="1:28" x14ac:dyDescent="0.25">
      <c r="A6225" t="s">
        <v>6229</v>
      </c>
      <c r="B6225">
        <v>0.99472303558308395</v>
      </c>
      <c r="C6225">
        <v>0.59774432692050705</v>
      </c>
      <c r="D6225">
        <v>1.12577253498674</v>
      </c>
      <c r="E6225">
        <v>0.83844704038681905</v>
      </c>
      <c r="F6225">
        <v>0.57070178457641496</v>
      </c>
      <c r="G6225">
        <v>0.57385487270090596</v>
      </c>
      <c r="H6225">
        <v>0.46269718682653499</v>
      </c>
      <c r="I6225">
        <v>0.327841696872675</v>
      </c>
      <c r="J6225">
        <v>0.53630425654712399</v>
      </c>
      <c r="K6225">
        <v>0.42494004506080801</v>
      </c>
      <c r="L6225">
        <v>1247.39424971835</v>
      </c>
      <c r="M6225">
        <v>25.787934701022198</v>
      </c>
      <c r="N6225">
        <v>53.074516485505299</v>
      </c>
      <c r="O6225">
        <v>48.083159309493702</v>
      </c>
      <c r="P6225">
        <v>-7.3862032453780799E-2</v>
      </c>
      <c r="Q6225">
        <v>0.44912555710178398</v>
      </c>
      <c r="R6225">
        <v>0.64243578865560202</v>
      </c>
      <c r="S6225" t="s">
        <v>12793</v>
      </c>
      <c r="T6225" t="s">
        <v>13134</v>
      </c>
      <c r="U6225" t="s">
        <v>13134</v>
      </c>
      <c r="V6225" t="s">
        <v>13134</v>
      </c>
      <c r="W6225" t="s">
        <v>19289</v>
      </c>
      <c r="X6225">
        <v>7</v>
      </c>
      <c r="Y6225" t="s">
        <v>25643</v>
      </c>
      <c r="Z6225" t="s">
        <v>32193</v>
      </c>
      <c r="AA6225">
        <v>0.66236916500850229</v>
      </c>
      <c r="AB6225" t="str">
        <f>HYPERLINK("Melting_Curves/meltCurve_Q9UK45_LSM7.pdf", "Melting_Curves/meltCurve_Q9UK45_LSM7.pdf")</f>
        <v>Melting_Curves/meltCurve_Q9UK45_LSM7.pdf</v>
      </c>
    </row>
    <row r="6226" spans="1:28" x14ac:dyDescent="0.25">
      <c r="A6226" t="s">
        <v>6230</v>
      </c>
      <c r="B6226">
        <v>0.99472303558308395</v>
      </c>
      <c r="C6226">
        <v>0.93227496063427395</v>
      </c>
      <c r="D6226">
        <v>0.67166855770810596</v>
      </c>
      <c r="E6226">
        <v>0.60080186824242199</v>
      </c>
      <c r="F6226">
        <v>0.54730620255117801</v>
      </c>
      <c r="G6226">
        <v>0.34416524831926898</v>
      </c>
      <c r="H6226">
        <v>0.153463540707478</v>
      </c>
      <c r="I6226">
        <v>0.13556615329594501</v>
      </c>
      <c r="J6226">
        <v>0.15671431743379499</v>
      </c>
      <c r="K6226">
        <v>0.13340550370944301</v>
      </c>
      <c r="L6226">
        <v>432.50806075907002</v>
      </c>
      <c r="M6226">
        <v>8.8547888168487496</v>
      </c>
      <c r="N6226">
        <v>49.144581020503097</v>
      </c>
      <c r="O6226">
        <v>46.545780241060697</v>
      </c>
      <c r="P6226">
        <v>-4.6343819235643201E-2</v>
      </c>
      <c r="Q6226">
        <v>2.6314662060889601E-2</v>
      </c>
      <c r="R6226">
        <v>0.96657986919217298</v>
      </c>
      <c r="S6226" t="s">
        <v>12794</v>
      </c>
      <c r="T6226" t="s">
        <v>13134</v>
      </c>
      <c r="U6226" t="s">
        <v>13134</v>
      </c>
      <c r="V6226" t="s">
        <v>13134</v>
      </c>
      <c r="W6226" t="s">
        <v>19290</v>
      </c>
      <c r="X6226">
        <v>1</v>
      </c>
      <c r="Y6226" t="s">
        <v>25644</v>
      </c>
      <c r="Z6226" t="s">
        <v>32194</v>
      </c>
      <c r="AA6226">
        <v>0.452488340483372</v>
      </c>
      <c r="AB6226" t="str">
        <f>HYPERLINK("Melting_Curves/meltCurve_Q9UK53_3_ING1.pdf", "Melting_Curves/meltCurve_Q9UK53_3_ING1.pdf")</f>
        <v>Melting_Curves/meltCurve_Q9UK53_3_ING1.pdf</v>
      </c>
    </row>
    <row r="6227" spans="1:28" x14ac:dyDescent="0.25">
      <c r="A6227" t="s">
        <v>6231</v>
      </c>
      <c r="B6227">
        <v>0.99472303558308395</v>
      </c>
      <c r="C6227">
        <v>1.03998954691447</v>
      </c>
      <c r="D6227">
        <v>0.96636320754037797</v>
      </c>
      <c r="E6227">
        <v>0.87662131197276505</v>
      </c>
      <c r="F6227">
        <v>0.736461824770127</v>
      </c>
      <c r="G6227">
        <v>0.55683810620013796</v>
      </c>
      <c r="H6227">
        <v>0.319503862243944</v>
      </c>
      <c r="I6227">
        <v>0.11468631779411501</v>
      </c>
      <c r="J6227">
        <v>8.3551275856569102E-2</v>
      </c>
      <c r="K6227">
        <v>8.6863770598462106E-2</v>
      </c>
      <c r="L6227">
        <v>770.79467191554602</v>
      </c>
      <c r="M6227">
        <v>14.248691903007</v>
      </c>
      <c r="N6227">
        <v>54.095820006422997</v>
      </c>
      <c r="O6227">
        <v>53.063749136641</v>
      </c>
      <c r="P6227">
        <v>-6.7138358108569204E-2</v>
      </c>
      <c r="Q6227">
        <v>0</v>
      </c>
      <c r="R6227">
        <v>0.99395426604711801</v>
      </c>
      <c r="S6227" t="s">
        <v>12795</v>
      </c>
      <c r="T6227" t="s">
        <v>13134</v>
      </c>
      <c r="U6227" t="s">
        <v>13134</v>
      </c>
      <c r="V6227" t="s">
        <v>13134</v>
      </c>
      <c r="W6227" t="s">
        <v>19291</v>
      </c>
      <c r="X6227">
        <v>12</v>
      </c>
      <c r="Y6227" t="s">
        <v>25645</v>
      </c>
      <c r="Z6227" t="s">
        <v>32195</v>
      </c>
      <c r="AA6227">
        <v>0.5864065267956412</v>
      </c>
      <c r="AB6227" t="str">
        <f>HYPERLINK("Melting_Curves/meltCurve_Q9UK59_DBR1.pdf", "Melting_Curves/meltCurve_Q9UK59_DBR1.pdf")</f>
        <v>Melting_Curves/meltCurve_Q9UK59_DBR1.pdf</v>
      </c>
    </row>
    <row r="6228" spans="1:28" x14ac:dyDescent="0.25">
      <c r="A6228" t="s">
        <v>6232</v>
      </c>
      <c r="B6228">
        <v>0.99472303558308395</v>
      </c>
      <c r="C6228">
        <v>1.04139737052294</v>
      </c>
      <c r="D6228">
        <v>0.80477765536627699</v>
      </c>
      <c r="E6228">
        <v>0.64389620826080596</v>
      </c>
      <c r="F6228">
        <v>0.345701587333893</v>
      </c>
      <c r="G6228">
        <v>0.19610645952938599</v>
      </c>
      <c r="H6228">
        <v>6.4695977785038702E-2</v>
      </c>
      <c r="I6228">
        <v>7.1384185683455101E-2</v>
      </c>
      <c r="J6228">
        <v>0.132147213020612</v>
      </c>
      <c r="K6228">
        <v>0.14579420747363001</v>
      </c>
      <c r="L6228">
        <v>844.61252896518602</v>
      </c>
      <c r="M6228">
        <v>17.807929682200399</v>
      </c>
      <c r="N6228">
        <v>47.967916720508398</v>
      </c>
      <c r="O6228">
        <v>46.843051950105902</v>
      </c>
      <c r="P6228">
        <v>-8.6428347059196706E-2</v>
      </c>
      <c r="Q6228">
        <v>9.0661498846113395E-2</v>
      </c>
      <c r="R6228">
        <v>0.985340303582392</v>
      </c>
      <c r="S6228" t="s">
        <v>12796</v>
      </c>
      <c r="T6228" t="s">
        <v>13134</v>
      </c>
      <c r="U6228" t="s">
        <v>13134</v>
      </c>
      <c r="V6228" t="s">
        <v>13134</v>
      </c>
      <c r="W6228" t="s">
        <v>19292</v>
      </c>
      <c r="X6228">
        <v>1</v>
      </c>
      <c r="Y6228" t="s">
        <v>25646</v>
      </c>
      <c r="Z6228" t="s">
        <v>32196</v>
      </c>
      <c r="AA6228">
        <v>0.42164330109763148</v>
      </c>
      <c r="AB6228" t="str">
        <f>HYPERLINK("Melting_Curves/meltCurve_Q9UK61_2_FAM208A.pdf", "Melting_Curves/meltCurve_Q9UK61_2_FAM208A.pdf")</f>
        <v>Melting_Curves/meltCurve_Q9UK61_2_FAM208A.pdf</v>
      </c>
    </row>
    <row r="6229" spans="1:28" x14ac:dyDescent="0.25">
      <c r="A6229" t="s">
        <v>6233</v>
      </c>
      <c r="B6229">
        <v>0.99472303558308395</v>
      </c>
      <c r="C6229">
        <v>0.96933695132563602</v>
      </c>
      <c r="D6229">
        <v>0.84324646304073003</v>
      </c>
      <c r="E6229">
        <v>0.68212150786829895</v>
      </c>
      <c r="F6229">
        <v>0.56904984726320595</v>
      </c>
      <c r="G6229">
        <v>0.32381946251080301</v>
      </c>
      <c r="H6229">
        <v>0.12876936560723701</v>
      </c>
      <c r="I6229">
        <v>9.0661905914973098E-2</v>
      </c>
      <c r="J6229">
        <v>0.11558466763105001</v>
      </c>
      <c r="K6229">
        <v>8.9791533334225904E-2</v>
      </c>
      <c r="L6229">
        <v>594.57816536575604</v>
      </c>
      <c r="M6229">
        <v>11.8760009077732</v>
      </c>
      <c r="N6229">
        <v>50.211791369140798</v>
      </c>
      <c r="O6229">
        <v>48.709280781119801</v>
      </c>
      <c r="P6229">
        <v>-5.99322799092415E-2</v>
      </c>
      <c r="Q6229">
        <v>1.7000478974814399E-2</v>
      </c>
      <c r="R6229">
        <v>0.98901491472872205</v>
      </c>
      <c r="S6229" t="s">
        <v>12797</v>
      </c>
      <c r="T6229" t="s">
        <v>13134</v>
      </c>
      <c r="U6229" t="s">
        <v>13134</v>
      </c>
      <c r="V6229" t="s">
        <v>13134</v>
      </c>
      <c r="W6229" t="s">
        <v>19293</v>
      </c>
      <c r="X6229">
        <v>8</v>
      </c>
      <c r="Y6229" t="s">
        <v>25647</v>
      </c>
      <c r="Z6229" t="s">
        <v>32197</v>
      </c>
      <c r="AA6229">
        <v>0.47284165067923978</v>
      </c>
      <c r="AB6229" t="str">
        <f>HYPERLINK("Melting_Curves/meltCurve_Q9UK73_FEM1B.pdf", "Melting_Curves/meltCurve_Q9UK73_FEM1B.pdf")</f>
        <v>Melting_Curves/meltCurve_Q9UK73_FEM1B.pdf</v>
      </c>
    </row>
    <row r="6230" spans="1:28" x14ac:dyDescent="0.25">
      <c r="A6230" t="s">
        <v>6234</v>
      </c>
      <c r="B6230">
        <v>0.99472303558308395</v>
      </c>
      <c r="C6230">
        <v>1.00451879997839</v>
      </c>
      <c r="D6230">
        <v>0.85793752193116302</v>
      </c>
      <c r="E6230">
        <v>0.74606411934677397</v>
      </c>
      <c r="F6230">
        <v>0.67406821661385996</v>
      </c>
      <c r="G6230">
        <v>0.31283747641658399</v>
      </c>
      <c r="H6230">
        <v>0.17787714220902501</v>
      </c>
      <c r="I6230">
        <v>0.14312516507106099</v>
      </c>
      <c r="J6230">
        <v>0.175614358273188</v>
      </c>
      <c r="K6230">
        <v>0.119627563878339</v>
      </c>
      <c r="L6230">
        <v>699.83336507098397</v>
      </c>
      <c r="M6230">
        <v>13.8334074575657</v>
      </c>
      <c r="N6230">
        <v>51.240510152641797</v>
      </c>
      <c r="O6230">
        <v>49.568038928929198</v>
      </c>
      <c r="P6230">
        <v>-6.4160784809767904E-2</v>
      </c>
      <c r="Q6230">
        <v>8.0520437409726101E-2</v>
      </c>
      <c r="R6230">
        <v>0.97852885930265798</v>
      </c>
      <c r="S6230" t="s">
        <v>12798</v>
      </c>
      <c r="T6230" t="s">
        <v>13134</v>
      </c>
      <c r="U6230" t="s">
        <v>13134</v>
      </c>
      <c r="V6230" t="s">
        <v>13134</v>
      </c>
      <c r="W6230" t="s">
        <v>19294</v>
      </c>
      <c r="X6230">
        <v>4</v>
      </c>
      <c r="Y6230" t="s">
        <v>25648</v>
      </c>
      <c r="Z6230" t="s">
        <v>32198</v>
      </c>
      <c r="AA6230">
        <v>0.51798398388056355</v>
      </c>
      <c r="AB6230" t="str">
        <f>HYPERLINK("Melting_Curves/meltCurve_Q9UK97_3_FBXO9.pdf", "Melting_Curves/meltCurve_Q9UK97_3_FBXO9.pdf")</f>
        <v>Melting_Curves/meltCurve_Q9UK97_3_FBXO9.pdf</v>
      </c>
    </row>
    <row r="6231" spans="1:28" x14ac:dyDescent="0.25">
      <c r="A6231" t="s">
        <v>6235</v>
      </c>
      <c r="B6231">
        <v>0.99472303558308395</v>
      </c>
      <c r="C6231">
        <v>0.81279785292579898</v>
      </c>
      <c r="D6231">
        <v>0.46742717676962803</v>
      </c>
      <c r="E6231">
        <v>0.37530394584989102</v>
      </c>
      <c r="F6231">
        <v>0.189230744496686</v>
      </c>
      <c r="G6231">
        <v>0.37356976983088303</v>
      </c>
      <c r="H6231">
        <v>0.61656204313413698</v>
      </c>
      <c r="I6231">
        <v>0.170246517692797</v>
      </c>
      <c r="J6231">
        <v>1.51324627253952E-2</v>
      </c>
      <c r="K6231">
        <v>4.1872587940794799E-2</v>
      </c>
      <c r="L6231">
        <v>850.58583611000199</v>
      </c>
      <c r="M6231">
        <v>20.300293846805001</v>
      </c>
      <c r="N6231">
        <v>43.226596368658697</v>
      </c>
      <c r="O6231">
        <v>41.499943034972603</v>
      </c>
      <c r="P6231">
        <v>-9.3945487694790303E-2</v>
      </c>
      <c r="Q6231">
        <v>0.23181170490971201</v>
      </c>
      <c r="R6231">
        <v>0.722842480271914</v>
      </c>
      <c r="S6231" t="s">
        <v>12799</v>
      </c>
      <c r="T6231" t="s">
        <v>13134</v>
      </c>
      <c r="U6231" t="s">
        <v>13134</v>
      </c>
      <c r="V6231" t="s">
        <v>13134</v>
      </c>
      <c r="W6231" t="s">
        <v>19295</v>
      </c>
      <c r="X6231">
        <v>2</v>
      </c>
      <c r="Y6231" t="s">
        <v>25649</v>
      </c>
      <c r="Z6231" t="s">
        <v>32199</v>
      </c>
      <c r="AA6231">
        <v>0.3685810710900429</v>
      </c>
      <c r="AB6231" t="str">
        <f>HYPERLINK("Melting_Curves/meltCurve_Q9UKA4_AKAP11.pdf", "Melting_Curves/meltCurve_Q9UKA4_AKAP11.pdf")</f>
        <v>Melting_Curves/meltCurve_Q9UKA4_AKAP11.pdf</v>
      </c>
    </row>
    <row r="6232" spans="1:28" x14ac:dyDescent="0.25">
      <c r="A6232" t="s">
        <v>6236</v>
      </c>
      <c r="B6232">
        <v>0.99472303558308395</v>
      </c>
      <c r="C6232">
        <v>0.85520715809256798</v>
      </c>
      <c r="D6232">
        <v>0.83647145735214501</v>
      </c>
      <c r="E6232">
        <v>0.65397037999068997</v>
      </c>
      <c r="F6232">
        <v>0.42684187520232197</v>
      </c>
      <c r="G6232">
        <v>0.242985414609628</v>
      </c>
      <c r="H6232">
        <v>0.28612477085035398</v>
      </c>
      <c r="I6232">
        <v>0.160230217125335</v>
      </c>
      <c r="J6232">
        <v>0.349798206280788</v>
      </c>
      <c r="K6232">
        <v>0.17118539220891199</v>
      </c>
      <c r="L6232">
        <v>663.05115311094198</v>
      </c>
      <c r="M6232">
        <v>14.161021256643201</v>
      </c>
      <c r="N6232">
        <v>48.608728919614002</v>
      </c>
      <c r="O6232">
        <v>45.918226473857302</v>
      </c>
      <c r="P6232">
        <v>-6.1465837455395599E-2</v>
      </c>
      <c r="Q6232">
        <v>0.20286960529071099</v>
      </c>
      <c r="R6232">
        <v>0.95643582712893604</v>
      </c>
      <c r="S6232" t="s">
        <v>12800</v>
      </c>
      <c r="T6232" t="s">
        <v>13134</v>
      </c>
      <c r="U6232" t="s">
        <v>13134</v>
      </c>
      <c r="V6232" t="s">
        <v>13134</v>
      </c>
      <c r="W6232" t="s">
        <v>19296</v>
      </c>
      <c r="X6232">
        <v>2</v>
      </c>
      <c r="Y6232" t="s">
        <v>25650</v>
      </c>
      <c r="Z6232" t="s">
        <v>32200</v>
      </c>
      <c r="AA6232">
        <v>0.48382662774377921</v>
      </c>
      <c r="AB6232" t="str">
        <f>HYPERLINK("Melting_Curves/meltCurve_Q9UKB3_2_DNAJC12.pdf", "Melting_Curves/meltCurve_Q9UKB3_2_DNAJC12.pdf")</f>
        <v>Melting_Curves/meltCurve_Q9UKB3_2_DNAJC12.pdf</v>
      </c>
    </row>
    <row r="6233" spans="1:28" x14ac:dyDescent="0.25">
      <c r="A6233" t="s">
        <v>6237</v>
      </c>
      <c r="B6233">
        <v>0.99472303558308395</v>
      </c>
      <c r="C6233">
        <v>1.0105682467177499</v>
      </c>
      <c r="D6233">
        <v>0.97785869850327001</v>
      </c>
      <c r="E6233">
        <v>0.522761814357113</v>
      </c>
      <c r="F6233">
        <v>0.109488100298635</v>
      </c>
      <c r="G6233">
        <v>6.8254685700072801E-2</v>
      </c>
      <c r="H6233">
        <v>4.2398857453409898E-2</v>
      </c>
      <c r="I6233">
        <v>3.2257285513298699E-2</v>
      </c>
      <c r="J6233">
        <v>4.0511254308675998E-2</v>
      </c>
      <c r="K6233">
        <v>3.1953035017801203E-2</v>
      </c>
      <c r="L6233">
        <v>1784.3659990892399</v>
      </c>
      <c r="M6233">
        <v>38.267106380927501</v>
      </c>
      <c r="N6233">
        <v>46.7386030553334</v>
      </c>
      <c r="O6233">
        <v>46.502458514097903</v>
      </c>
      <c r="P6233">
        <v>-0.19691685984027599</v>
      </c>
      <c r="Q6233">
        <v>4.2823605323852099E-2</v>
      </c>
      <c r="R6233">
        <v>0.99939862664644197</v>
      </c>
      <c r="S6233" t="s">
        <v>12801</v>
      </c>
      <c r="T6233" t="s">
        <v>13134</v>
      </c>
      <c r="U6233" t="s">
        <v>13134</v>
      </c>
      <c r="V6233" t="s">
        <v>13134</v>
      </c>
      <c r="W6233" t="s">
        <v>19297</v>
      </c>
      <c r="X6233">
        <v>13</v>
      </c>
      <c r="Y6233" t="s">
        <v>25651</v>
      </c>
      <c r="Z6233" t="s">
        <v>32201</v>
      </c>
      <c r="AA6233">
        <v>0.35342786886566369</v>
      </c>
      <c r="AB6233" t="str">
        <f>HYPERLINK("Melting_Curves/meltCurve_Q9UKD2_MRTO4.pdf", "Melting_Curves/meltCurve_Q9UKD2_MRTO4.pdf")</f>
        <v>Melting_Curves/meltCurve_Q9UKD2_MRTO4.pdf</v>
      </c>
    </row>
    <row r="6234" spans="1:28" x14ac:dyDescent="0.25">
      <c r="A6234" t="s">
        <v>6238</v>
      </c>
      <c r="B6234">
        <v>0.99472303558308395</v>
      </c>
      <c r="C6234">
        <v>1.08286068218446</v>
      </c>
      <c r="D6234">
        <v>0.89467384245909798</v>
      </c>
      <c r="E6234">
        <v>0.80234523791619705</v>
      </c>
      <c r="F6234">
        <v>0.69631622586330599</v>
      </c>
      <c r="G6234">
        <v>0.410875934077092</v>
      </c>
      <c r="H6234">
        <v>0.179048291843978</v>
      </c>
      <c r="I6234">
        <v>0.1525436980637</v>
      </c>
      <c r="J6234">
        <v>0.155823600311913</v>
      </c>
      <c r="K6234">
        <v>0.20987287555642101</v>
      </c>
      <c r="L6234">
        <v>860.10426746391795</v>
      </c>
      <c r="M6234">
        <v>16.810881046345798</v>
      </c>
      <c r="N6234">
        <v>52.085275025876001</v>
      </c>
      <c r="O6234">
        <v>50.456008301819502</v>
      </c>
      <c r="P6234">
        <v>-7.2582582974533405E-2</v>
      </c>
      <c r="Q6234">
        <v>0.128661750013952</v>
      </c>
      <c r="R6234">
        <v>0.97582592128886902</v>
      </c>
      <c r="S6234" t="s">
        <v>12802</v>
      </c>
      <c r="T6234" t="s">
        <v>13134</v>
      </c>
      <c r="U6234" t="s">
        <v>13134</v>
      </c>
      <c r="V6234" t="s">
        <v>13134</v>
      </c>
      <c r="W6234" t="s">
        <v>19298</v>
      </c>
      <c r="X6234">
        <v>22</v>
      </c>
      <c r="Y6234" t="s">
        <v>25652</v>
      </c>
      <c r="Z6234" t="s">
        <v>32202</v>
      </c>
      <c r="AA6234">
        <v>0.55494316720772296</v>
      </c>
      <c r="AB6234" t="str">
        <f>HYPERLINK("Melting_Curves/meltCurve_Q9UKE5_2_TNIK.pdf", "Melting_Curves/meltCurve_Q9UKE5_2_TNIK.pdf")</f>
        <v>Melting_Curves/meltCurve_Q9UKE5_2_TNIK.pdf</v>
      </c>
    </row>
    <row r="6235" spans="1:28" x14ac:dyDescent="0.25">
      <c r="A6235" t="s">
        <v>6239</v>
      </c>
      <c r="B6235">
        <v>0.99472303558308395</v>
      </c>
      <c r="C6235">
        <v>0.96040816458359202</v>
      </c>
      <c r="D6235">
        <v>0.97933156595195903</v>
      </c>
      <c r="E6235">
        <v>0.82373385297706803</v>
      </c>
      <c r="F6235">
        <v>0.59944818511563602</v>
      </c>
      <c r="G6235">
        <v>0.286237483161281</v>
      </c>
      <c r="H6235">
        <v>9.3831435018297799E-2</v>
      </c>
      <c r="I6235">
        <v>4.7500870750681802E-2</v>
      </c>
      <c r="J6235">
        <v>5.0030765073817603E-2</v>
      </c>
      <c r="K6235">
        <v>4.44503830390547E-2</v>
      </c>
      <c r="L6235">
        <v>952.48618734507295</v>
      </c>
      <c r="M6235">
        <v>18.697787672559699</v>
      </c>
      <c r="N6235">
        <v>51.0329717702487</v>
      </c>
      <c r="O6235">
        <v>50.3691542959373</v>
      </c>
      <c r="P6235">
        <v>-9.1272008495951198E-2</v>
      </c>
      <c r="Q6235">
        <v>1.6547041377720902E-2</v>
      </c>
      <c r="R6235">
        <v>0.99741493710741302</v>
      </c>
      <c r="S6235" t="s">
        <v>12803</v>
      </c>
      <c r="T6235" t="s">
        <v>13134</v>
      </c>
      <c r="U6235" t="s">
        <v>13134</v>
      </c>
      <c r="V6235" t="s">
        <v>13134</v>
      </c>
      <c r="W6235" t="s">
        <v>19299</v>
      </c>
      <c r="X6235">
        <v>22</v>
      </c>
      <c r="Y6235" t="s">
        <v>25652</v>
      </c>
      <c r="Z6235" t="s">
        <v>32203</v>
      </c>
      <c r="AA6235">
        <v>0.48794345396478839</v>
      </c>
      <c r="AB6235" t="str">
        <f>HYPERLINK("Melting_Curves/meltCurve_Q9UKE5_6_TNIK.pdf", "Melting_Curves/meltCurve_Q9UKE5_6_TNIK.pdf")</f>
        <v>Melting_Curves/meltCurve_Q9UKE5_6_TNIK.pdf</v>
      </c>
    </row>
    <row r="6236" spans="1:28" x14ac:dyDescent="0.25">
      <c r="A6236" t="s">
        <v>6240</v>
      </c>
      <c r="B6236">
        <v>0.99472303558308395</v>
      </c>
      <c r="C6236">
        <v>0.96929161085135296</v>
      </c>
      <c r="D6236">
        <v>0.94131677510397904</v>
      </c>
      <c r="E6236">
        <v>0.66198253990163303</v>
      </c>
      <c r="F6236">
        <v>0.34047870560702798</v>
      </c>
      <c r="G6236">
        <v>0.17140039852632299</v>
      </c>
      <c r="H6236">
        <v>9.7098554632245093E-2</v>
      </c>
      <c r="I6236">
        <v>7.2729389693859295E-2</v>
      </c>
      <c r="J6236">
        <v>7.3194417500079198E-2</v>
      </c>
      <c r="K6236">
        <v>5.6492527171382999E-2</v>
      </c>
      <c r="L6236">
        <v>961.79954185587098</v>
      </c>
      <c r="M6236">
        <v>20.0181388084109</v>
      </c>
      <c r="N6236">
        <v>48.3679636730417</v>
      </c>
      <c r="O6236">
        <v>47.574633279900397</v>
      </c>
      <c r="P6236">
        <v>-9.8642483556340005E-2</v>
      </c>
      <c r="Q6236">
        <v>6.2304803983606001E-2</v>
      </c>
      <c r="R6236">
        <v>0.99927023098412604</v>
      </c>
      <c r="S6236" t="s">
        <v>12804</v>
      </c>
      <c r="T6236" t="s">
        <v>13134</v>
      </c>
      <c r="U6236" t="s">
        <v>13134</v>
      </c>
      <c r="V6236" t="s">
        <v>13134</v>
      </c>
      <c r="W6236" t="s">
        <v>19300</v>
      </c>
      <c r="X6236">
        <v>16</v>
      </c>
      <c r="Y6236" t="s">
        <v>25653</v>
      </c>
      <c r="Z6236" t="s">
        <v>32204</v>
      </c>
      <c r="AA6236">
        <v>0.41987762798514638</v>
      </c>
      <c r="AB6236" t="str">
        <f>HYPERLINK("Melting_Curves/meltCurve_Q9UKF6_CPSF3.pdf", "Melting_Curves/meltCurve_Q9UKF6_CPSF3.pdf")</f>
        <v>Melting_Curves/meltCurve_Q9UKF6_CPSF3.pdf</v>
      </c>
    </row>
    <row r="6237" spans="1:28" x14ac:dyDescent="0.25">
      <c r="A6237" t="s">
        <v>6241</v>
      </c>
      <c r="B6237">
        <v>0.99472303558308395</v>
      </c>
      <c r="C6237">
        <v>1.05911518256698</v>
      </c>
      <c r="D6237">
        <v>0.89993203439826497</v>
      </c>
      <c r="E6237">
        <v>0.69861889450385095</v>
      </c>
      <c r="F6237">
        <v>0.26672156095420202</v>
      </c>
      <c r="G6237">
        <v>0.154018507043689</v>
      </c>
      <c r="H6237">
        <v>7.2771719660633102E-2</v>
      </c>
      <c r="I6237">
        <v>8.2125499605946103E-2</v>
      </c>
      <c r="J6237">
        <v>6.8384991997600703E-2</v>
      </c>
      <c r="K6237">
        <v>5.83864527538039E-2</v>
      </c>
      <c r="L6237">
        <v>1165.5131358030701</v>
      </c>
      <c r="M6237">
        <v>24.375502004314601</v>
      </c>
      <c r="N6237">
        <v>48.103286980330203</v>
      </c>
      <c r="O6237">
        <v>47.496607839105401</v>
      </c>
      <c r="P6237">
        <v>-0.119582311662742</v>
      </c>
      <c r="Q6237">
        <v>6.7970830687757805E-2</v>
      </c>
      <c r="R6237">
        <v>0.99482875052911202</v>
      </c>
      <c r="S6237" t="s">
        <v>12805</v>
      </c>
      <c r="T6237" t="s">
        <v>13134</v>
      </c>
      <c r="U6237" t="s">
        <v>13134</v>
      </c>
      <c r="V6237" t="s">
        <v>13134</v>
      </c>
      <c r="W6237" t="s">
        <v>19301</v>
      </c>
      <c r="X6237">
        <v>6</v>
      </c>
      <c r="Y6237" t="s">
        <v>25654</v>
      </c>
      <c r="Z6237" t="s">
        <v>32205</v>
      </c>
      <c r="AA6237">
        <v>0.41229367387566529</v>
      </c>
      <c r="AB6237" t="str">
        <f>HYPERLINK("Melting_Curves/meltCurve_Q9UKG1_APPL1.pdf", "Melting_Curves/meltCurve_Q9UKG1_APPL1.pdf")</f>
        <v>Melting_Curves/meltCurve_Q9UKG1_APPL1.pdf</v>
      </c>
    </row>
    <row r="6238" spans="1:28" x14ac:dyDescent="0.25">
      <c r="A6238" t="s">
        <v>6242</v>
      </c>
      <c r="B6238">
        <v>0.99472303558308395</v>
      </c>
      <c r="C6238">
        <v>0.96955805538934703</v>
      </c>
      <c r="D6238">
        <v>0.92101558489633495</v>
      </c>
      <c r="E6238">
        <v>0.78605687642878797</v>
      </c>
      <c r="F6238">
        <v>0.48387911612524198</v>
      </c>
      <c r="G6238">
        <v>0.18727615864851499</v>
      </c>
      <c r="H6238">
        <v>6.1117805480257997E-2</v>
      </c>
      <c r="I6238">
        <v>4.9636974235061297E-2</v>
      </c>
      <c r="J6238">
        <v>6.71390038845288E-2</v>
      </c>
      <c r="K6238">
        <v>5.3034208919014399E-2</v>
      </c>
      <c r="L6238">
        <v>983.26846040797398</v>
      </c>
      <c r="M6238">
        <v>19.824900729791398</v>
      </c>
      <c r="N6238">
        <v>49.767833323979097</v>
      </c>
      <c r="O6238">
        <v>49.101270749833098</v>
      </c>
      <c r="P6238">
        <v>-9.7634241996238005E-2</v>
      </c>
      <c r="Q6238">
        <v>3.2771193334170001E-2</v>
      </c>
      <c r="R6238">
        <v>0.99717125859010802</v>
      </c>
      <c r="S6238" t="s">
        <v>12806</v>
      </c>
      <c r="T6238" t="s">
        <v>13134</v>
      </c>
      <c r="U6238" t="s">
        <v>13134</v>
      </c>
      <c r="V6238" t="s">
        <v>13134</v>
      </c>
      <c r="W6238" t="s">
        <v>19302</v>
      </c>
      <c r="X6238">
        <v>12</v>
      </c>
      <c r="Y6238" t="s">
        <v>25655</v>
      </c>
      <c r="Z6238" t="s">
        <v>32206</v>
      </c>
      <c r="AA6238">
        <v>0.45187852372606879</v>
      </c>
      <c r="AB6238" t="str">
        <f>HYPERLINK("Melting_Curves/meltCurve_Q9UKI8_TLK1.pdf", "Melting_Curves/meltCurve_Q9UKI8_TLK1.pdf")</f>
        <v>Melting_Curves/meltCurve_Q9UKI8_TLK1.pdf</v>
      </c>
    </row>
    <row r="6239" spans="1:28" x14ac:dyDescent="0.25">
      <c r="A6239" t="s">
        <v>6243</v>
      </c>
      <c r="B6239">
        <v>0.99472303558308395</v>
      </c>
      <c r="C6239">
        <v>0.69003744241638398</v>
      </c>
      <c r="D6239">
        <v>0.60117784556786302</v>
      </c>
      <c r="E6239">
        <v>0.48217834351299599</v>
      </c>
      <c r="F6239">
        <v>0.38548451235575198</v>
      </c>
      <c r="G6239">
        <v>0.22281861340628201</v>
      </c>
      <c r="H6239">
        <v>0.138460533110354</v>
      </c>
      <c r="I6239">
        <v>0.108155557552922</v>
      </c>
      <c r="J6239">
        <v>0.15011115540692599</v>
      </c>
      <c r="K6239">
        <v>0.107185911417331</v>
      </c>
      <c r="L6239">
        <v>404.31384627191198</v>
      </c>
      <c r="M6239">
        <v>8.9577133606311907</v>
      </c>
      <c r="N6239">
        <v>45.724870599431803</v>
      </c>
      <c r="O6239">
        <v>43.056512071260599</v>
      </c>
      <c r="P6239">
        <v>-4.9213510026780399E-2</v>
      </c>
      <c r="Q6239">
        <v>5.4492333218063203E-2</v>
      </c>
      <c r="R6239">
        <v>0.96561506432681199</v>
      </c>
      <c r="S6239" t="s">
        <v>12807</v>
      </c>
      <c r="T6239" t="s">
        <v>13134</v>
      </c>
      <c r="U6239" t="s">
        <v>13134</v>
      </c>
      <c r="V6239" t="s">
        <v>13134</v>
      </c>
      <c r="W6239" t="s">
        <v>19303</v>
      </c>
      <c r="X6239">
        <v>6</v>
      </c>
      <c r="Y6239" t="s">
        <v>25656</v>
      </c>
      <c r="Z6239" t="s">
        <v>32207</v>
      </c>
      <c r="AA6239">
        <v>0.3657922240853318</v>
      </c>
      <c r="AB6239" t="str">
        <f>HYPERLINK("Melting_Curves/meltCurve_Q9UKJ3_2_GPATCH8.pdf", "Melting_Curves/meltCurve_Q9UKJ3_2_GPATCH8.pdf")</f>
        <v>Melting_Curves/meltCurve_Q9UKJ3_2_GPATCH8.pdf</v>
      </c>
    </row>
    <row r="6240" spans="1:28" x14ac:dyDescent="0.25">
      <c r="A6240" t="s">
        <v>6244</v>
      </c>
      <c r="B6240">
        <v>0.99472303558308395</v>
      </c>
      <c r="C6240">
        <v>0.85288501138103801</v>
      </c>
      <c r="D6240">
        <v>0.57303458155168097</v>
      </c>
      <c r="E6240">
        <v>0.37519821496747202</v>
      </c>
      <c r="F6240">
        <v>0.15420589361305501</v>
      </c>
      <c r="G6240">
        <v>6.0222541821180302E-2</v>
      </c>
      <c r="H6240">
        <v>3.2144442762353197E-2</v>
      </c>
      <c r="I6240">
        <v>2.1621728375717301E-2</v>
      </c>
      <c r="J6240">
        <v>2.6537172630640999E-2</v>
      </c>
      <c r="K6240">
        <v>2.941388969385E-2</v>
      </c>
      <c r="L6240">
        <v>666.50411333134798</v>
      </c>
      <c r="M6240">
        <v>15.032254570698001</v>
      </c>
      <c r="N6240">
        <v>44.4039805599758</v>
      </c>
      <c r="O6240">
        <v>43.575781464022697</v>
      </c>
      <c r="P6240">
        <v>-8.5302034736731702E-2</v>
      </c>
      <c r="Q6240">
        <v>1.0997975306512401E-2</v>
      </c>
      <c r="R6240">
        <v>0.99483923665367502</v>
      </c>
      <c r="S6240" t="s">
        <v>12808</v>
      </c>
      <c r="T6240" t="s">
        <v>13134</v>
      </c>
      <c r="U6240" t="s">
        <v>13134</v>
      </c>
      <c r="V6240" t="s">
        <v>13134</v>
      </c>
      <c r="W6240" t="s">
        <v>19304</v>
      </c>
      <c r="X6240">
        <v>9</v>
      </c>
      <c r="Y6240" t="s">
        <v>25657</v>
      </c>
      <c r="Z6240" t="s">
        <v>32208</v>
      </c>
      <c r="AA6240">
        <v>0.27697619584850453</v>
      </c>
      <c r="AB6240" t="str">
        <f>HYPERLINK("Melting_Curves/meltCurve_Q9UKL0_RCOR1.pdf", "Melting_Curves/meltCurve_Q9UKL0_RCOR1.pdf")</f>
        <v>Melting_Curves/meltCurve_Q9UKL0_RCOR1.pdf</v>
      </c>
    </row>
    <row r="6241" spans="1:28" x14ac:dyDescent="0.25">
      <c r="A6241" t="s">
        <v>6245</v>
      </c>
      <c r="B6241">
        <v>0.99472303558308395</v>
      </c>
      <c r="C6241">
        <v>0.95944909359002695</v>
      </c>
      <c r="D6241">
        <v>0.85029460105062105</v>
      </c>
      <c r="E6241">
        <v>0.71989660770628505</v>
      </c>
      <c r="F6241">
        <v>0.47022869316154697</v>
      </c>
      <c r="G6241">
        <v>0.120240911227718</v>
      </c>
      <c r="H6241">
        <v>6.1819451056972202E-2</v>
      </c>
      <c r="I6241">
        <v>3.9608266257560303E-2</v>
      </c>
      <c r="J6241">
        <v>5.0346317266088403E-2</v>
      </c>
      <c r="K6241">
        <v>4.6817920947712997E-2</v>
      </c>
      <c r="L6241">
        <v>827.45767520826496</v>
      </c>
      <c r="M6241">
        <v>16.877258415052701</v>
      </c>
      <c r="N6241">
        <v>49.079988773518302</v>
      </c>
      <c r="O6241">
        <v>48.355168785482199</v>
      </c>
      <c r="P6241">
        <v>-8.6489057965328395E-2</v>
      </c>
      <c r="Q6241">
        <v>8.8611140928553708E-3</v>
      </c>
      <c r="R6241">
        <v>0.98999610851541198</v>
      </c>
      <c r="S6241" t="s">
        <v>12809</v>
      </c>
      <c r="T6241" t="s">
        <v>13134</v>
      </c>
      <c r="U6241" t="s">
        <v>13134</v>
      </c>
      <c r="V6241" t="s">
        <v>13134</v>
      </c>
      <c r="W6241" t="s">
        <v>19305</v>
      </c>
      <c r="X6241">
        <v>16</v>
      </c>
      <c r="Y6241" t="s">
        <v>25658</v>
      </c>
      <c r="Z6241" t="s">
        <v>32209</v>
      </c>
      <c r="AA6241">
        <v>0.42383167653685272</v>
      </c>
      <c r="AB6241" t="str">
        <f>HYPERLINK("Melting_Curves/meltCurve_Q9UKN8_GTF3C4.pdf", "Melting_Curves/meltCurve_Q9UKN8_GTF3C4.pdf")</f>
        <v>Melting_Curves/meltCurve_Q9UKN8_GTF3C4.pdf</v>
      </c>
    </row>
    <row r="6242" spans="1:28" x14ac:dyDescent="0.25">
      <c r="A6242" t="s">
        <v>6246</v>
      </c>
      <c r="B6242">
        <v>0.99472303558308395</v>
      </c>
      <c r="C6242">
        <v>0.97025210766609205</v>
      </c>
      <c r="D6242">
        <v>0.88166551153662598</v>
      </c>
      <c r="E6242">
        <v>0.54886675932136297</v>
      </c>
      <c r="F6242">
        <v>0.27195044449705003</v>
      </c>
      <c r="G6242">
        <v>0.14022960467631501</v>
      </c>
      <c r="H6242">
        <v>9.9115288636168794E-2</v>
      </c>
      <c r="I6242">
        <v>6.1349358727709698E-2</v>
      </c>
      <c r="J6242">
        <v>9.06320649024564E-2</v>
      </c>
      <c r="K6242">
        <v>7.4663482335073306E-2</v>
      </c>
      <c r="L6242">
        <v>947.66561271242904</v>
      </c>
      <c r="M6242">
        <v>20.233661438198599</v>
      </c>
      <c r="N6242">
        <v>47.209071142664101</v>
      </c>
      <c r="O6242">
        <v>46.385799861256402</v>
      </c>
      <c r="P6242">
        <v>-0.100998782123362</v>
      </c>
      <c r="Q6242">
        <v>7.3867345910768004E-2</v>
      </c>
      <c r="R6242">
        <v>0.99929759019876196</v>
      </c>
      <c r="S6242" t="s">
        <v>12810</v>
      </c>
      <c r="T6242" t="s">
        <v>13134</v>
      </c>
      <c r="U6242" t="s">
        <v>13134</v>
      </c>
      <c r="V6242" t="s">
        <v>13134</v>
      </c>
      <c r="W6242" t="s">
        <v>19306</v>
      </c>
      <c r="X6242">
        <v>8</v>
      </c>
      <c r="Y6242" t="s">
        <v>25659</v>
      </c>
      <c r="Z6242" t="s">
        <v>32210</v>
      </c>
      <c r="AA6242">
        <v>0.38936283008861688</v>
      </c>
      <c r="AB6242" t="str">
        <f>HYPERLINK("Melting_Curves/meltCurve_Q9UKS6_PACSIN3.pdf", "Melting_Curves/meltCurve_Q9UKS6_PACSIN3.pdf")</f>
        <v>Melting_Curves/meltCurve_Q9UKS6_PACSIN3.pdf</v>
      </c>
    </row>
    <row r="6243" spans="1:28" x14ac:dyDescent="0.25">
      <c r="A6243" t="s">
        <v>6247</v>
      </c>
      <c r="B6243">
        <v>0.99472303558308395</v>
      </c>
      <c r="C6243">
        <v>0.89336300323866502</v>
      </c>
      <c r="D6243">
        <v>0.90153370708515401</v>
      </c>
      <c r="E6243">
        <v>0.77237666010823602</v>
      </c>
      <c r="F6243">
        <v>0.447263093036191</v>
      </c>
      <c r="G6243">
        <v>0.325357971036209</v>
      </c>
      <c r="H6243">
        <v>0.18602633110506001</v>
      </c>
      <c r="I6243">
        <v>7.4652120039171696E-2</v>
      </c>
      <c r="J6243">
        <v>5.6619278511153802E-2</v>
      </c>
      <c r="K6243">
        <v>6.2782408106195203E-2</v>
      </c>
      <c r="L6243">
        <v>635.65384478652197</v>
      </c>
      <c r="M6243">
        <v>12.6781680802899</v>
      </c>
      <c r="N6243">
        <v>50.184936173890001</v>
      </c>
      <c r="O6243">
        <v>48.939367205293003</v>
      </c>
      <c r="P6243">
        <v>-6.4392933397713098E-2</v>
      </c>
      <c r="Q6243">
        <v>5.9334274452597299E-3</v>
      </c>
      <c r="R6243">
        <v>0.99119524583097796</v>
      </c>
      <c r="S6243" t="s">
        <v>12811</v>
      </c>
      <c r="T6243" t="s">
        <v>13134</v>
      </c>
      <c r="U6243" t="s">
        <v>13134</v>
      </c>
      <c r="V6243" t="s">
        <v>13134</v>
      </c>
      <c r="W6243" t="s">
        <v>19307</v>
      </c>
      <c r="X6243">
        <v>6</v>
      </c>
      <c r="Y6243" t="s">
        <v>25660</v>
      </c>
      <c r="Z6243" t="s">
        <v>32211</v>
      </c>
      <c r="AA6243">
        <v>0.46709714958304172</v>
      </c>
      <c r="AB6243" t="str">
        <f>HYPERLINK("Melting_Curves/meltCurve_Q9UKT4_2_FBXO5.pdf", "Melting_Curves/meltCurve_Q9UKT4_2_FBXO5.pdf")</f>
        <v>Melting_Curves/meltCurve_Q9UKT4_2_FBXO5.pdf</v>
      </c>
    </row>
    <row r="6244" spans="1:28" x14ac:dyDescent="0.25">
      <c r="A6244" t="s">
        <v>6248</v>
      </c>
      <c r="B6244">
        <v>0.99472303558308395</v>
      </c>
      <c r="C6244">
        <v>0.93333703286979297</v>
      </c>
      <c r="D6244">
        <v>0.98723538840549796</v>
      </c>
      <c r="E6244">
        <v>0.83065446114477604</v>
      </c>
      <c r="F6244">
        <v>0.485537774631073</v>
      </c>
      <c r="G6244">
        <v>0.16395803699453501</v>
      </c>
      <c r="H6244">
        <v>0.116346631689106</v>
      </c>
      <c r="I6244">
        <v>8.53513364443267E-2</v>
      </c>
      <c r="J6244">
        <v>8.3473732174373094E-2</v>
      </c>
      <c r="K6244">
        <v>8.89273382723689E-2</v>
      </c>
      <c r="L6244">
        <v>1242.7425740461799</v>
      </c>
      <c r="M6244">
        <v>25.075474641085201</v>
      </c>
      <c r="N6244">
        <v>49.903191556314198</v>
      </c>
      <c r="O6244">
        <v>49.248106508669899</v>
      </c>
      <c r="P6244">
        <v>-0.117213992139223</v>
      </c>
      <c r="Q6244">
        <v>7.9181467721742699E-2</v>
      </c>
      <c r="R6244">
        <v>0.99633627553567405</v>
      </c>
      <c r="S6244" t="s">
        <v>12812</v>
      </c>
      <c r="T6244" t="s">
        <v>13134</v>
      </c>
      <c r="U6244" t="s">
        <v>13134</v>
      </c>
      <c r="V6244" t="s">
        <v>13134</v>
      </c>
      <c r="W6244" t="s">
        <v>19308</v>
      </c>
      <c r="X6244">
        <v>4</v>
      </c>
      <c r="Y6244" t="s">
        <v>25661</v>
      </c>
      <c r="Z6244" t="s">
        <v>32212</v>
      </c>
      <c r="AA6244">
        <v>0.47266676139569253</v>
      </c>
      <c r="AB6244" t="str">
        <f>HYPERLINK("Melting_Curves/meltCurve_Q9UKT5_FBXO4.pdf", "Melting_Curves/meltCurve_Q9UKT5_FBXO4.pdf")</f>
        <v>Melting_Curves/meltCurve_Q9UKT5_FBXO4.pdf</v>
      </c>
    </row>
    <row r="6245" spans="1:28" x14ac:dyDescent="0.25">
      <c r="A6245" t="s">
        <v>6249</v>
      </c>
      <c r="B6245">
        <v>0.99472303558308395</v>
      </c>
      <c r="C6245">
        <v>0.93841496106195998</v>
      </c>
      <c r="D6245">
        <v>0.74314537214434695</v>
      </c>
      <c r="E6245">
        <v>0.65971316597604401</v>
      </c>
      <c r="F6245">
        <v>0.70232590178392296</v>
      </c>
      <c r="G6245">
        <v>0.366046693550999</v>
      </c>
      <c r="H6245">
        <v>0.185668445311443</v>
      </c>
      <c r="I6245">
        <v>0.147195860516115</v>
      </c>
      <c r="J6245">
        <v>0.16229964980418499</v>
      </c>
      <c r="K6245">
        <v>0.11112156515136799</v>
      </c>
      <c r="L6245">
        <v>461.86508043312398</v>
      </c>
      <c r="M6245">
        <v>9.0599830243764092</v>
      </c>
      <c r="N6245">
        <v>50.978580854774897</v>
      </c>
      <c r="O6245">
        <v>48.678940850936101</v>
      </c>
      <c r="P6245">
        <v>-4.6562222883868097E-2</v>
      </c>
      <c r="Q6245">
        <v>0</v>
      </c>
      <c r="R6245">
        <v>0.953718939186462</v>
      </c>
      <c r="S6245" t="s">
        <v>12813</v>
      </c>
      <c r="T6245" t="s">
        <v>13134</v>
      </c>
      <c r="U6245" t="s">
        <v>13134</v>
      </c>
      <c r="V6245" t="s">
        <v>13134</v>
      </c>
      <c r="W6245" t="s">
        <v>19309</v>
      </c>
      <c r="X6245">
        <v>2</v>
      </c>
      <c r="Y6245" t="s">
        <v>25662</v>
      </c>
      <c r="Z6245" t="s">
        <v>32213</v>
      </c>
      <c r="AA6245">
        <v>0.4986305317297719</v>
      </c>
      <c r="AB6245" t="str">
        <f>HYPERLINK("Melting_Curves/meltCurve_Q9UKU7_ACAD8.pdf", "Melting_Curves/meltCurve_Q9UKU7_ACAD8.pdf")</f>
        <v>Melting_Curves/meltCurve_Q9UKU7_ACAD8.pdf</v>
      </c>
    </row>
    <row r="6246" spans="1:28" x14ac:dyDescent="0.25">
      <c r="A6246" t="s">
        <v>6250</v>
      </c>
      <c r="B6246">
        <v>0.99472303558308395</v>
      </c>
      <c r="C6246">
        <v>0.84917242323464404</v>
      </c>
      <c r="D6246">
        <v>0.69296967760302597</v>
      </c>
      <c r="E6246">
        <v>0.55097524411253296</v>
      </c>
      <c r="F6246">
        <v>0.32156596764707301</v>
      </c>
      <c r="G6246">
        <v>8.1710803180132699E-2</v>
      </c>
      <c r="H6246">
        <v>4.29136045471568E-2</v>
      </c>
      <c r="I6246">
        <v>2.6376785924350402E-2</v>
      </c>
      <c r="J6246">
        <v>2.3920702726482598E-2</v>
      </c>
      <c r="K6246">
        <v>1.9442347959749501E-2</v>
      </c>
      <c r="L6246">
        <v>598.88550688824796</v>
      </c>
      <c r="M6246">
        <v>12.8869959890056</v>
      </c>
      <c r="N6246">
        <v>46.4720797008573</v>
      </c>
      <c r="O6246">
        <v>45.395724648572099</v>
      </c>
      <c r="P6246">
        <v>-7.0983287032678796E-2</v>
      </c>
      <c r="Q6246">
        <v>0</v>
      </c>
      <c r="R6246">
        <v>0.98743067622268299</v>
      </c>
      <c r="S6246" t="s">
        <v>12814</v>
      </c>
      <c r="T6246" t="s">
        <v>13134</v>
      </c>
      <c r="U6246" t="s">
        <v>13134</v>
      </c>
      <c r="V6246" t="s">
        <v>13134</v>
      </c>
      <c r="W6246" t="s">
        <v>19310</v>
      </c>
      <c r="X6246">
        <v>10</v>
      </c>
      <c r="Y6246" t="s">
        <v>25663</v>
      </c>
      <c r="Z6246" t="s">
        <v>32214</v>
      </c>
      <c r="AA6246">
        <v>0.34562206137808288</v>
      </c>
      <c r="AB6246" t="str">
        <f>HYPERLINK("Melting_Curves/meltCurve_Q9UKV5_AMFR.pdf", "Melting_Curves/meltCurve_Q9UKV5_AMFR.pdf")</f>
        <v>Melting_Curves/meltCurve_Q9UKV5_AMFR.pdf</v>
      </c>
    </row>
    <row r="6247" spans="1:28" x14ac:dyDescent="0.25">
      <c r="A6247" t="s">
        <v>6251</v>
      </c>
      <c r="B6247">
        <v>0.99472303558308395</v>
      </c>
      <c r="C6247">
        <v>0.87555083557802604</v>
      </c>
      <c r="D6247">
        <v>0.82081717020356704</v>
      </c>
      <c r="E6247">
        <v>0.62153659573386799</v>
      </c>
      <c r="F6247">
        <v>0.58027894059107199</v>
      </c>
      <c r="G6247">
        <v>0.33979285686074601</v>
      </c>
      <c r="H6247">
        <v>0.18323109704144</v>
      </c>
      <c r="I6247">
        <v>0.26536712335866097</v>
      </c>
      <c r="J6247">
        <v>0.20350102581036</v>
      </c>
      <c r="K6247">
        <v>0.144322893188533</v>
      </c>
      <c r="L6247">
        <v>474.35139108936801</v>
      </c>
      <c r="M6247">
        <v>9.6825367548029693</v>
      </c>
      <c r="N6247">
        <v>50.088748230011703</v>
      </c>
      <c r="O6247">
        <v>47.037618216150399</v>
      </c>
      <c r="P6247">
        <v>-4.65651502314482E-2</v>
      </c>
      <c r="Q6247">
        <v>9.5646309568039295E-2</v>
      </c>
      <c r="R6247">
        <v>0.97480576095222804</v>
      </c>
      <c r="S6247" t="s">
        <v>12815</v>
      </c>
      <c r="T6247" t="s">
        <v>13134</v>
      </c>
      <c r="U6247" t="s">
        <v>13134</v>
      </c>
      <c r="V6247" t="s">
        <v>13134</v>
      </c>
      <c r="W6247" t="s">
        <v>19311</v>
      </c>
      <c r="X6247">
        <v>16</v>
      </c>
      <c r="Y6247" t="s">
        <v>25664</v>
      </c>
      <c r="Z6247" t="s">
        <v>32215</v>
      </c>
      <c r="AA6247">
        <v>0.49191950845539822</v>
      </c>
      <c r="AB6247" t="str">
        <f>HYPERLINK("Melting_Curves/meltCurve_Q9UKV8_AGO2.pdf", "Melting_Curves/meltCurve_Q9UKV8_AGO2.pdf")</f>
        <v>Melting_Curves/meltCurve_Q9UKV8_AGO2.pdf</v>
      </c>
    </row>
    <row r="6248" spans="1:28" x14ac:dyDescent="0.25">
      <c r="A6248" t="s">
        <v>6252</v>
      </c>
      <c r="B6248">
        <v>0.99472303558308395</v>
      </c>
      <c r="C6248">
        <v>1.1269869417570899</v>
      </c>
      <c r="D6248">
        <v>0.97232433786581796</v>
      </c>
      <c r="E6248">
        <v>0.822773976103366</v>
      </c>
      <c r="F6248">
        <v>0.74821687206310605</v>
      </c>
      <c r="G6248">
        <v>0.46119228890650799</v>
      </c>
      <c r="H6248">
        <v>0.16914130829000701</v>
      </c>
      <c r="I6248">
        <v>0.12369365173578099</v>
      </c>
      <c r="J6248">
        <v>0.130090691251458</v>
      </c>
      <c r="K6248">
        <v>0.10349212074740299</v>
      </c>
      <c r="L6248">
        <v>940.40888952282103</v>
      </c>
      <c r="M6248">
        <v>17.9434761117985</v>
      </c>
      <c r="N6248">
        <v>52.850473717205602</v>
      </c>
      <c r="O6248">
        <v>51.771569961582401</v>
      </c>
      <c r="P6248">
        <v>-8.0627490037707E-2</v>
      </c>
      <c r="Q6248">
        <v>6.9521826088917604E-2</v>
      </c>
      <c r="R6248">
        <v>0.97889620721038795</v>
      </c>
      <c r="S6248" t="s">
        <v>12816</v>
      </c>
      <c r="T6248" t="s">
        <v>13134</v>
      </c>
      <c r="U6248" t="s">
        <v>13134</v>
      </c>
      <c r="V6248" t="s">
        <v>13134</v>
      </c>
      <c r="W6248" t="s">
        <v>19312</v>
      </c>
      <c r="X6248">
        <v>15</v>
      </c>
      <c r="Y6248" t="s">
        <v>25665</v>
      </c>
      <c r="Z6248" t="s">
        <v>32216</v>
      </c>
      <c r="AA6248">
        <v>0.56139501077188558</v>
      </c>
      <c r="AB6248" t="str">
        <f>HYPERLINK("Melting_Curves/meltCurve_Q9UKX7_2_NUP50.pdf", "Melting_Curves/meltCurve_Q9UKX7_2_NUP50.pdf")</f>
        <v>Melting_Curves/meltCurve_Q9UKX7_2_NUP50.pdf</v>
      </c>
    </row>
    <row r="6249" spans="1:28" x14ac:dyDescent="0.25">
      <c r="A6249" t="s">
        <v>6253</v>
      </c>
      <c r="B6249">
        <v>0.99472303558308395</v>
      </c>
      <c r="C6249">
        <v>0.83177701349898203</v>
      </c>
      <c r="D6249">
        <v>0.48146274207404499</v>
      </c>
      <c r="E6249">
        <v>0.35360493787048602</v>
      </c>
      <c r="F6249">
        <v>0.19150809217001799</v>
      </c>
      <c r="G6249">
        <v>7.6130681707026304E-2</v>
      </c>
      <c r="H6249">
        <v>8.8086821182892405E-2</v>
      </c>
      <c r="I6249">
        <v>2.3941195344774801E-2</v>
      </c>
      <c r="J6249">
        <v>4.0961134691869801E-2</v>
      </c>
      <c r="K6249">
        <v>2.0445743796862599E-2</v>
      </c>
      <c r="L6249">
        <v>627.12099439969302</v>
      </c>
      <c r="M6249">
        <v>14.3698004487849</v>
      </c>
      <c r="N6249">
        <v>43.842254357362798</v>
      </c>
      <c r="O6249">
        <v>42.8225033563509</v>
      </c>
      <c r="P6249">
        <v>-8.1231358474141299E-2</v>
      </c>
      <c r="Q6249">
        <v>3.1826334424466897E-2</v>
      </c>
      <c r="R6249">
        <v>0.98480254849939197</v>
      </c>
      <c r="S6249" t="s">
        <v>12817</v>
      </c>
      <c r="T6249" t="s">
        <v>13134</v>
      </c>
      <c r="U6249" t="s">
        <v>13134</v>
      </c>
      <c r="V6249" t="s">
        <v>13134</v>
      </c>
      <c r="W6249" t="s">
        <v>19313</v>
      </c>
      <c r="X6249">
        <v>1</v>
      </c>
      <c r="Y6249" t="s">
        <v>25666</v>
      </c>
      <c r="Z6249" t="s">
        <v>32217</v>
      </c>
      <c r="AA6249">
        <v>0.27298886306576958</v>
      </c>
      <c r="AB6249" t="str">
        <f>HYPERLINK("Melting_Curves/meltCurve_Q9UKY1_ZHX1.pdf", "Melting_Curves/meltCurve_Q9UKY1_ZHX1.pdf")</f>
        <v>Melting_Curves/meltCurve_Q9UKY1_ZHX1.pdf</v>
      </c>
    </row>
    <row r="6250" spans="1:28" x14ac:dyDescent="0.25">
      <c r="A6250" t="s">
        <v>6254</v>
      </c>
      <c r="B6250">
        <v>0.99472303558308395</v>
      </c>
      <c r="C6250">
        <v>0.93905164985254597</v>
      </c>
      <c r="D6250">
        <v>1.01241189818037</v>
      </c>
      <c r="E6250">
        <v>0.99764745795282195</v>
      </c>
      <c r="F6250">
        <v>0.85009269818073496</v>
      </c>
      <c r="G6250">
        <v>0.76918172801333895</v>
      </c>
      <c r="H6250">
        <v>0.65227748082407</v>
      </c>
      <c r="I6250">
        <v>0.85440827699314803</v>
      </c>
      <c r="J6250">
        <v>1.16143878171639</v>
      </c>
      <c r="K6250">
        <v>0.98676598305466401</v>
      </c>
      <c r="L6250">
        <v>11832.6742635593</v>
      </c>
      <c r="M6250">
        <v>250</v>
      </c>
      <c r="O6250">
        <v>47.327685872456797</v>
      </c>
      <c r="P6250">
        <v>-0.159753955367648</v>
      </c>
      <c r="Q6250">
        <v>0.87902748477703596</v>
      </c>
      <c r="R6250">
        <v>0.142680556542191</v>
      </c>
      <c r="S6250" t="s">
        <v>12818</v>
      </c>
      <c r="T6250" t="s">
        <v>13134</v>
      </c>
      <c r="U6250" t="s">
        <v>13134</v>
      </c>
      <c r="V6250" t="s">
        <v>13134</v>
      </c>
      <c r="W6250" t="s">
        <v>19314</v>
      </c>
      <c r="X6250">
        <v>14</v>
      </c>
      <c r="Y6250" t="s">
        <v>25667</v>
      </c>
      <c r="Z6250" t="s">
        <v>32218</v>
      </c>
      <c r="AA6250">
        <v>0.9206952135369818</v>
      </c>
      <c r="AB6250" t="str">
        <f>HYPERLINK("Melting_Curves/meltCurve_Q9UKY7_CDV3.pdf", "Melting_Curves/meltCurve_Q9UKY7_CDV3.pdf")</f>
        <v>Melting_Curves/meltCurve_Q9UKY7_CDV3.pdf</v>
      </c>
    </row>
    <row r="6251" spans="1:28" x14ac:dyDescent="0.25">
      <c r="A6251" t="s">
        <v>6255</v>
      </c>
      <c r="B6251">
        <v>0.99472303558308395</v>
      </c>
      <c r="C6251">
        <v>1.13233732565227</v>
      </c>
      <c r="D6251">
        <v>0.687760440209646</v>
      </c>
      <c r="E6251">
        <v>0.52583129095592895</v>
      </c>
      <c r="F6251">
        <v>0.22295230276543401</v>
      </c>
      <c r="G6251">
        <v>7.5462246578614806E-2</v>
      </c>
      <c r="H6251">
        <v>5.1753204200491801E-2</v>
      </c>
      <c r="I6251">
        <v>2.2561832127462302E-2</v>
      </c>
      <c r="J6251">
        <v>2.5883763865650999E-2</v>
      </c>
      <c r="K6251">
        <v>1.0755862879305699E-2</v>
      </c>
      <c r="L6251">
        <v>827.71114036097401</v>
      </c>
      <c r="M6251">
        <v>17.8375971755951</v>
      </c>
      <c r="N6251">
        <v>46.470626648077896</v>
      </c>
      <c r="O6251">
        <v>45.831197522534403</v>
      </c>
      <c r="P6251">
        <v>-9.6051783090126394E-2</v>
      </c>
      <c r="Q6251">
        <v>1.2884256968175901E-2</v>
      </c>
      <c r="R6251">
        <v>0.97032872714498897</v>
      </c>
      <c r="S6251" t="s">
        <v>12819</v>
      </c>
      <c r="T6251" t="s">
        <v>13134</v>
      </c>
      <c r="U6251" t="s">
        <v>13134</v>
      </c>
      <c r="V6251" t="s">
        <v>13134</v>
      </c>
      <c r="W6251" t="s">
        <v>19315</v>
      </c>
      <c r="X6251">
        <v>2</v>
      </c>
      <c r="Y6251" t="s">
        <v>25668</v>
      </c>
      <c r="Z6251" t="s">
        <v>32219</v>
      </c>
      <c r="AA6251">
        <v>0.33845320860569372</v>
      </c>
      <c r="AB6251" t="str">
        <f>HYPERLINK("Melting_Curves/meltCurve_Q9UKZ1_CNOT11.pdf", "Melting_Curves/meltCurve_Q9UKZ1_CNOT11.pdf")</f>
        <v>Melting_Curves/meltCurve_Q9UKZ1_CNOT11.pdf</v>
      </c>
    </row>
    <row r="6252" spans="1:28" x14ac:dyDescent="0.25">
      <c r="A6252" t="s">
        <v>6256</v>
      </c>
      <c r="B6252">
        <v>0.99472303558308395</v>
      </c>
      <c r="C6252">
        <v>1.0289049014281799</v>
      </c>
      <c r="D6252">
        <v>0.87279788775773104</v>
      </c>
      <c r="E6252">
        <v>0.65465805616536599</v>
      </c>
      <c r="F6252">
        <v>0.22103353841339199</v>
      </c>
      <c r="G6252">
        <v>9.7252461452464703E-2</v>
      </c>
      <c r="H6252">
        <v>5.0946710386072902E-2</v>
      </c>
      <c r="I6252">
        <v>4.05626913486863E-2</v>
      </c>
      <c r="J6252">
        <v>4.7620672184591303E-2</v>
      </c>
      <c r="K6252">
        <v>4.1311248882366501E-2</v>
      </c>
      <c r="L6252">
        <v>1135.3405410928301</v>
      </c>
      <c r="M6252">
        <v>23.915277118354599</v>
      </c>
      <c r="N6252">
        <v>47.630755248590297</v>
      </c>
      <c r="O6252">
        <v>47.145245019441198</v>
      </c>
      <c r="P6252">
        <v>-0.122003291329285</v>
      </c>
      <c r="Q6252">
        <v>3.7973458845596303E-2</v>
      </c>
      <c r="R6252">
        <v>0.99645150943467797</v>
      </c>
      <c r="S6252" t="s">
        <v>12820</v>
      </c>
      <c r="T6252" t="s">
        <v>13134</v>
      </c>
      <c r="U6252" t="s">
        <v>13134</v>
      </c>
      <c r="V6252" t="s">
        <v>13134</v>
      </c>
      <c r="W6252" t="s">
        <v>19316</v>
      </c>
      <c r="X6252">
        <v>9</v>
      </c>
      <c r="Y6252" t="s">
        <v>25669</v>
      </c>
      <c r="Z6252" t="s">
        <v>32220</v>
      </c>
      <c r="AA6252">
        <v>0.382717597162541</v>
      </c>
      <c r="AB6252" t="str">
        <f>HYPERLINK("Melting_Curves/meltCurve_Q9UL15_BAG5.pdf", "Melting_Curves/meltCurve_Q9UL15_BAG5.pdf")</f>
        <v>Melting_Curves/meltCurve_Q9UL15_BAG5.pdf</v>
      </c>
    </row>
    <row r="6253" spans="1:28" x14ac:dyDescent="0.25">
      <c r="A6253" t="s">
        <v>6257</v>
      </c>
      <c r="B6253">
        <v>0.99472303558308395</v>
      </c>
      <c r="C6253">
        <v>0.90851233751724303</v>
      </c>
      <c r="D6253">
        <v>0.95671240659854795</v>
      </c>
      <c r="E6253">
        <v>0.88040884103617301</v>
      </c>
      <c r="F6253">
        <v>0.68232076123989005</v>
      </c>
      <c r="G6253">
        <v>0.56247134890851602</v>
      </c>
      <c r="H6253">
        <v>0.52172360067882195</v>
      </c>
      <c r="I6253">
        <v>0.55930672388886005</v>
      </c>
      <c r="J6253">
        <v>0.655094320055568</v>
      </c>
      <c r="K6253">
        <v>0.46670572296498403</v>
      </c>
      <c r="L6253">
        <v>1164.9389467209501</v>
      </c>
      <c r="M6253">
        <v>24.088604546186001</v>
      </c>
      <c r="O6253">
        <v>48.030991690985999</v>
      </c>
      <c r="P6253">
        <v>-5.7157947907294102E-2</v>
      </c>
      <c r="Q6253">
        <v>0.54413131466699904</v>
      </c>
      <c r="R6253">
        <v>0.92005068902168696</v>
      </c>
      <c r="S6253" t="s">
        <v>12821</v>
      </c>
      <c r="T6253" t="s">
        <v>13134</v>
      </c>
      <c r="U6253" t="s">
        <v>13134</v>
      </c>
      <c r="V6253" t="s">
        <v>13134</v>
      </c>
      <c r="W6253" t="s">
        <v>19317</v>
      </c>
      <c r="X6253">
        <v>14</v>
      </c>
      <c r="Y6253" t="s">
        <v>25670</v>
      </c>
      <c r="Z6253" t="s">
        <v>32221</v>
      </c>
      <c r="AA6253">
        <v>0.72096226597348301</v>
      </c>
      <c r="AB6253" t="str">
        <f>HYPERLINK("Melting_Curves/meltCurve_Q9UL25_RAB21.pdf", "Melting_Curves/meltCurve_Q9UL25_RAB21.pdf")</f>
        <v>Melting_Curves/meltCurve_Q9UL25_RAB21.pdf</v>
      </c>
    </row>
    <row r="6254" spans="1:28" x14ac:dyDescent="0.25">
      <c r="A6254" t="s">
        <v>6258</v>
      </c>
      <c r="B6254">
        <v>0.99472303558308395</v>
      </c>
      <c r="C6254">
        <v>1.1044780774541001</v>
      </c>
      <c r="D6254">
        <v>1.0989792759855099</v>
      </c>
      <c r="E6254">
        <v>0.90795875150025696</v>
      </c>
      <c r="F6254">
        <v>0.60825794195499405</v>
      </c>
      <c r="G6254">
        <v>0.49008190644058103</v>
      </c>
      <c r="H6254">
        <v>0.30579828263940201</v>
      </c>
      <c r="I6254">
        <v>0.24934885004047</v>
      </c>
      <c r="J6254">
        <v>0.246844190367278</v>
      </c>
      <c r="K6254">
        <v>0.24353474948297199</v>
      </c>
      <c r="L6254">
        <v>1037.3447483504999</v>
      </c>
      <c r="M6254">
        <v>20.401959395985202</v>
      </c>
      <c r="N6254">
        <v>52.5363558941295</v>
      </c>
      <c r="O6254">
        <v>50.364418623203598</v>
      </c>
      <c r="P6254">
        <v>-7.6896254523337995E-2</v>
      </c>
      <c r="Q6254">
        <v>0.240716349020867</v>
      </c>
      <c r="R6254">
        <v>0.97272001495732996</v>
      </c>
      <c r="S6254" t="s">
        <v>12822</v>
      </c>
      <c r="T6254" t="s">
        <v>13134</v>
      </c>
      <c r="U6254" t="s">
        <v>13134</v>
      </c>
      <c r="V6254" t="s">
        <v>13134</v>
      </c>
      <c r="W6254" t="s">
        <v>19318</v>
      </c>
      <c r="X6254">
        <v>7</v>
      </c>
      <c r="Y6254" t="s">
        <v>25671</v>
      </c>
      <c r="Z6254" t="s">
        <v>32222</v>
      </c>
      <c r="AA6254">
        <v>0.60075989171891908</v>
      </c>
      <c r="AB6254" t="str">
        <f>HYPERLINK("Melting_Curves/meltCurve_Q9UL26_RAB22A.pdf", "Melting_Curves/meltCurve_Q9UL26_RAB22A.pdf")</f>
        <v>Melting_Curves/meltCurve_Q9UL26_RAB22A.pdf</v>
      </c>
    </row>
    <row r="6255" spans="1:28" x14ac:dyDescent="0.25">
      <c r="A6255" t="s">
        <v>6259</v>
      </c>
      <c r="B6255">
        <v>0.99472303558308395</v>
      </c>
      <c r="C6255">
        <v>0.70780666449029195</v>
      </c>
      <c r="D6255">
        <v>0.77155558657033096</v>
      </c>
      <c r="E6255">
        <v>0.56447980897821104</v>
      </c>
      <c r="F6255">
        <v>0.255191385419967</v>
      </c>
      <c r="G6255">
        <v>0.10888198566894799</v>
      </c>
      <c r="H6255">
        <v>6.1762443086686797E-2</v>
      </c>
      <c r="I6255">
        <v>4.3279305640120502E-2</v>
      </c>
      <c r="J6255">
        <v>5.7296067036774E-2</v>
      </c>
      <c r="K6255">
        <v>3.99422494967651E-2</v>
      </c>
      <c r="L6255">
        <v>552.553923997521</v>
      </c>
      <c r="M6255">
        <v>11.924086698363199</v>
      </c>
      <c r="N6255">
        <v>46.339307808729203</v>
      </c>
      <c r="O6255">
        <v>45.093688904082001</v>
      </c>
      <c r="P6255">
        <v>-6.6123658771065505E-2</v>
      </c>
      <c r="Q6255">
        <v>0</v>
      </c>
      <c r="R6255">
        <v>0.96323059407298295</v>
      </c>
      <c r="S6255" t="s">
        <v>12823</v>
      </c>
      <c r="T6255" t="s">
        <v>13134</v>
      </c>
      <c r="U6255" t="s">
        <v>13134</v>
      </c>
      <c r="V6255" t="s">
        <v>13134</v>
      </c>
      <c r="W6255" t="s">
        <v>19319</v>
      </c>
      <c r="X6255">
        <v>3</v>
      </c>
      <c r="Y6255" t="s">
        <v>25672</v>
      </c>
      <c r="Z6255" t="s">
        <v>32223</v>
      </c>
      <c r="AA6255">
        <v>0.34559358785239652</v>
      </c>
      <c r="AB6255" t="str">
        <f>HYPERLINK("Melting_Curves/meltCurve_Q9UL33_2_TRAPPC2L.pdf", "Melting_Curves/meltCurve_Q9UL33_2_TRAPPC2L.pdf")</f>
        <v>Melting_Curves/meltCurve_Q9UL33_2_TRAPPC2L.pdf</v>
      </c>
    </row>
    <row r="6256" spans="1:28" x14ac:dyDescent="0.25">
      <c r="A6256" t="s">
        <v>6260</v>
      </c>
      <c r="B6256">
        <v>0.99472303558308395</v>
      </c>
      <c r="C6256">
        <v>0.91734741900072903</v>
      </c>
      <c r="D6256">
        <v>0.960239809356356</v>
      </c>
      <c r="E6256">
        <v>0.88668963292660596</v>
      </c>
      <c r="F6256">
        <v>0.71815113788297402</v>
      </c>
      <c r="G6256">
        <v>0.28043679049339898</v>
      </c>
      <c r="H6256">
        <v>9.6892016364551206E-2</v>
      </c>
      <c r="I6256">
        <v>6.12563706415577E-2</v>
      </c>
      <c r="J6256">
        <v>6.8378867860758405E-2</v>
      </c>
      <c r="K6256">
        <v>5.3942971736982703E-2</v>
      </c>
      <c r="L6256">
        <v>1320.0546924549501</v>
      </c>
      <c r="M6256">
        <v>25.5821108475191</v>
      </c>
      <c r="N6256">
        <v>51.796182152048502</v>
      </c>
      <c r="O6256">
        <v>51.288484585839797</v>
      </c>
      <c r="P6256">
        <v>-0.11896026842818901</v>
      </c>
      <c r="Q6256">
        <v>4.6018214330591702E-2</v>
      </c>
      <c r="R6256">
        <v>0.99209126948795801</v>
      </c>
      <c r="S6256" t="s">
        <v>12824</v>
      </c>
      <c r="T6256" t="s">
        <v>13134</v>
      </c>
      <c r="U6256" t="s">
        <v>13134</v>
      </c>
      <c r="V6256" t="s">
        <v>13134</v>
      </c>
      <c r="W6256" t="s">
        <v>19320</v>
      </c>
      <c r="X6256">
        <v>12</v>
      </c>
      <c r="Y6256" t="s">
        <v>25673</v>
      </c>
      <c r="Z6256" t="s">
        <v>32224</v>
      </c>
      <c r="AA6256">
        <v>0.51840613687149129</v>
      </c>
      <c r="AB6256" t="str">
        <f>HYPERLINK("Melting_Curves/meltCurve_Q9UL46_PSME2.pdf", "Melting_Curves/meltCurve_Q9UL46_PSME2.pdf")</f>
        <v>Melting_Curves/meltCurve_Q9UL46_PSME2.pdf</v>
      </c>
    </row>
    <row r="6257" spans="1:28" x14ac:dyDescent="0.25">
      <c r="A6257" t="s">
        <v>6261</v>
      </c>
      <c r="B6257">
        <v>0.99472303558308395</v>
      </c>
      <c r="C6257">
        <v>0.89558270050253497</v>
      </c>
      <c r="D6257">
        <v>0.781225562947097</v>
      </c>
      <c r="E6257">
        <v>0.23637270368957999</v>
      </c>
      <c r="F6257">
        <v>0.116730466564288</v>
      </c>
      <c r="G6257">
        <v>6.2084212412950097E-2</v>
      </c>
      <c r="H6257">
        <v>3.3280931548299503E-2</v>
      </c>
      <c r="I6257">
        <v>2.72818601603113E-2</v>
      </c>
      <c r="J6257">
        <v>2.5331546091168701E-2</v>
      </c>
      <c r="K6257">
        <v>2.5849588412777801E-2</v>
      </c>
      <c r="L6257">
        <v>1213.39046266884</v>
      </c>
      <c r="M6257">
        <v>27.1834463232946</v>
      </c>
      <c r="N6257">
        <v>44.758369189572399</v>
      </c>
      <c r="O6257">
        <v>44.397652098837</v>
      </c>
      <c r="P6257">
        <v>-0.147635783396459</v>
      </c>
      <c r="Q6257">
        <v>3.5498748436727699E-2</v>
      </c>
      <c r="R6257">
        <v>0.99405309971978395</v>
      </c>
      <c r="S6257" t="s">
        <v>12825</v>
      </c>
      <c r="T6257" t="s">
        <v>13134</v>
      </c>
      <c r="U6257" t="s">
        <v>13134</v>
      </c>
      <c r="V6257" t="s">
        <v>13134</v>
      </c>
      <c r="W6257" t="s">
        <v>19321</v>
      </c>
      <c r="X6257">
        <v>10</v>
      </c>
      <c r="Y6257" t="s">
        <v>25674</v>
      </c>
      <c r="Z6257" t="s">
        <v>32225</v>
      </c>
      <c r="AA6257">
        <v>0.2876558395675437</v>
      </c>
      <c r="AB6257" t="str">
        <f>HYPERLINK("Melting_Curves/meltCurve_Q9UL54_2_TAOK2.pdf", "Melting_Curves/meltCurve_Q9UL54_2_TAOK2.pdf")</f>
        <v>Melting_Curves/meltCurve_Q9UL54_2_TAOK2.pdf</v>
      </c>
    </row>
    <row r="6258" spans="1:28" x14ac:dyDescent="0.25">
      <c r="A6258" t="s">
        <v>6262</v>
      </c>
      <c r="B6258">
        <v>0.99472303558308395</v>
      </c>
      <c r="C6258">
        <v>1.03544625204872</v>
      </c>
      <c r="D6258">
        <v>0.98625045802815303</v>
      </c>
      <c r="E6258">
        <v>0.94979811425173999</v>
      </c>
      <c r="F6258">
        <v>0.75230912751259504</v>
      </c>
      <c r="G6258">
        <v>0.52944041893923699</v>
      </c>
      <c r="H6258">
        <v>0.215946390739924</v>
      </c>
      <c r="I6258">
        <v>7.8491160497901294E-2</v>
      </c>
      <c r="J6258">
        <v>5.8129888866337603E-2</v>
      </c>
      <c r="K6258">
        <v>6.0979832647639398E-2</v>
      </c>
      <c r="L6258">
        <v>1010.99291799872</v>
      </c>
      <c r="M6258">
        <v>18.8653036973577</v>
      </c>
      <c r="N6258">
        <v>53.675448269810502</v>
      </c>
      <c r="O6258">
        <v>52.998802542700801</v>
      </c>
      <c r="P6258">
        <v>-8.7677497338931598E-2</v>
      </c>
      <c r="Q6258">
        <v>1.4781340870146899E-2</v>
      </c>
      <c r="R6258">
        <v>0.99651191390506799</v>
      </c>
      <c r="S6258" t="s">
        <v>12826</v>
      </c>
      <c r="T6258" t="s">
        <v>13134</v>
      </c>
      <c r="U6258" t="s">
        <v>13134</v>
      </c>
      <c r="V6258" t="s">
        <v>13134</v>
      </c>
      <c r="W6258" t="s">
        <v>19322</v>
      </c>
      <c r="X6258">
        <v>6</v>
      </c>
      <c r="Y6258" t="s">
        <v>25675</v>
      </c>
      <c r="Z6258" t="s">
        <v>32226</v>
      </c>
      <c r="AA6258">
        <v>0.57271651271540969</v>
      </c>
      <c r="AB6258" t="str">
        <f>HYPERLINK("Melting_Curves/meltCurve_Q9ULC3_RAB23.pdf", "Melting_Curves/meltCurve_Q9ULC3_RAB23.pdf")</f>
        <v>Melting_Curves/meltCurve_Q9ULC3_RAB23.pdf</v>
      </c>
    </row>
    <row r="6259" spans="1:28" x14ac:dyDescent="0.25">
      <c r="A6259" t="s">
        <v>6263</v>
      </c>
      <c r="B6259">
        <v>0.99472303558308395</v>
      </c>
      <c r="C6259">
        <v>1.03866391269573</v>
      </c>
      <c r="D6259">
        <v>1.00703899650104</v>
      </c>
      <c r="E6259">
        <v>0.93473384399501003</v>
      </c>
      <c r="F6259">
        <v>0.68102308650941101</v>
      </c>
      <c r="G6259">
        <v>0.57793696887903001</v>
      </c>
      <c r="H6259">
        <v>0.41382825476734503</v>
      </c>
      <c r="I6259">
        <v>0.22636047871995901</v>
      </c>
      <c r="J6259">
        <v>9.3947323081169404E-2</v>
      </c>
      <c r="K6259">
        <v>9.1706552228449797E-2</v>
      </c>
      <c r="L6259">
        <v>685.85957353575805</v>
      </c>
      <c r="M6259">
        <v>12.5011828568007</v>
      </c>
      <c r="N6259">
        <v>54.863574251147703</v>
      </c>
      <c r="O6259">
        <v>53.516438334616801</v>
      </c>
      <c r="P6259">
        <v>-5.8410810874693603E-2</v>
      </c>
      <c r="Q6259">
        <v>0</v>
      </c>
      <c r="R6259">
        <v>0.98771315067548404</v>
      </c>
      <c r="S6259" t="s">
        <v>12827</v>
      </c>
      <c r="T6259" t="s">
        <v>13134</v>
      </c>
      <c r="U6259" t="s">
        <v>13134</v>
      </c>
      <c r="V6259" t="s">
        <v>13134</v>
      </c>
      <c r="W6259" t="s">
        <v>19323</v>
      </c>
      <c r="X6259">
        <v>11</v>
      </c>
      <c r="Y6259" t="s">
        <v>25676</v>
      </c>
      <c r="Z6259" t="s">
        <v>32227</v>
      </c>
      <c r="AA6259">
        <v>0.61031069882967182</v>
      </c>
      <c r="AB6259" t="str">
        <f>HYPERLINK("Melting_Curves/meltCurve_Q9ULC4_MCTS1.pdf", "Melting_Curves/meltCurve_Q9ULC4_MCTS1.pdf")</f>
        <v>Melting_Curves/meltCurve_Q9ULC4_MCTS1.pdf</v>
      </c>
    </row>
    <row r="6260" spans="1:28" x14ac:dyDescent="0.25">
      <c r="A6260" t="s">
        <v>6264</v>
      </c>
      <c r="B6260">
        <v>0.99472303558308395</v>
      </c>
      <c r="C6260">
        <v>0.99713421151152204</v>
      </c>
      <c r="D6260">
        <v>0.92356541670349401</v>
      </c>
      <c r="E6260">
        <v>0.75367922220003902</v>
      </c>
      <c r="F6260">
        <v>0.53770830274852699</v>
      </c>
      <c r="G6260">
        <v>0.160630013657626</v>
      </c>
      <c r="H6260">
        <v>5.1049278856547503E-2</v>
      </c>
      <c r="I6260">
        <v>2.9850984105210299E-2</v>
      </c>
      <c r="J6260">
        <v>1.6489437057756198E-2</v>
      </c>
      <c r="K6260">
        <v>9.2193906562226206E-3</v>
      </c>
      <c r="L6260">
        <v>942.44815776369603</v>
      </c>
      <c r="M6260">
        <v>18.886432733019401</v>
      </c>
      <c r="N6260">
        <v>49.900817717461699</v>
      </c>
      <c r="O6260">
        <v>49.3514540294019</v>
      </c>
      <c r="P6260">
        <v>-9.5677036526941497E-2</v>
      </c>
      <c r="Q6260">
        <v>0</v>
      </c>
      <c r="R6260">
        <v>0.99459678274489105</v>
      </c>
      <c r="S6260" t="s">
        <v>12828</v>
      </c>
      <c r="T6260" t="s">
        <v>13134</v>
      </c>
      <c r="U6260" t="s">
        <v>13134</v>
      </c>
      <c r="V6260" t="s">
        <v>13134</v>
      </c>
      <c r="W6260" t="s">
        <v>19324</v>
      </c>
      <c r="X6260">
        <v>3</v>
      </c>
      <c r="Y6260" t="s">
        <v>25677</v>
      </c>
      <c r="Z6260" t="s">
        <v>32228</v>
      </c>
      <c r="AA6260">
        <v>0.44457347452161028</v>
      </c>
      <c r="AB6260" t="str">
        <f>HYPERLINK("Melting_Curves/meltCurve_Q9ULE0_WWC3.pdf", "Melting_Curves/meltCurve_Q9ULE0_WWC3.pdf")</f>
        <v>Melting_Curves/meltCurve_Q9ULE0_WWC3.pdf</v>
      </c>
    </row>
    <row r="6261" spans="1:28" x14ac:dyDescent="0.25">
      <c r="A6261" t="s">
        <v>6265</v>
      </c>
      <c r="B6261">
        <v>0.99472303558308395</v>
      </c>
      <c r="C6261">
        <v>0.94771768125752098</v>
      </c>
      <c r="D6261">
        <v>0.83980651711611498</v>
      </c>
      <c r="E6261">
        <v>0.80043563176661903</v>
      </c>
      <c r="F6261">
        <v>0.68633208738532203</v>
      </c>
      <c r="G6261">
        <v>0.41557853160505898</v>
      </c>
      <c r="H6261">
        <v>0.34229507770087803</v>
      </c>
      <c r="I6261">
        <v>0.38222359331161398</v>
      </c>
      <c r="J6261">
        <v>0.51814472537320899</v>
      </c>
      <c r="K6261">
        <v>0.406123715905229</v>
      </c>
      <c r="L6261">
        <v>725.297607137059</v>
      </c>
      <c r="M6261">
        <v>15.0576562081548</v>
      </c>
      <c r="N6261">
        <v>53.446673296590603</v>
      </c>
      <c r="O6261">
        <v>47.342424000770301</v>
      </c>
      <c r="P6261">
        <v>-4.8747793847900102E-2</v>
      </c>
      <c r="Q6261">
        <v>0.38699384754763699</v>
      </c>
      <c r="R6261">
        <v>0.92262455672610499</v>
      </c>
      <c r="S6261" t="s">
        <v>12829</v>
      </c>
      <c r="T6261" t="s">
        <v>13134</v>
      </c>
      <c r="U6261" t="s">
        <v>13134</v>
      </c>
      <c r="V6261" t="s">
        <v>13134</v>
      </c>
      <c r="W6261" t="s">
        <v>19325</v>
      </c>
      <c r="X6261">
        <v>5</v>
      </c>
      <c r="Y6261" t="s">
        <v>25678</v>
      </c>
      <c r="Z6261" t="s">
        <v>32229</v>
      </c>
      <c r="AA6261">
        <v>0.6285613510203728</v>
      </c>
      <c r="AB6261" t="str">
        <f>HYPERLINK("Melting_Curves/meltCurve_Q9ULF5_SLC39A10.pdf", "Melting_Curves/meltCurve_Q9ULF5_SLC39A10.pdf")</f>
        <v>Melting_Curves/meltCurve_Q9ULF5_SLC39A10.pdf</v>
      </c>
    </row>
    <row r="6262" spans="1:28" x14ac:dyDescent="0.25">
      <c r="A6262" t="s">
        <v>6266</v>
      </c>
      <c r="B6262">
        <v>0.99472303558308395</v>
      </c>
      <c r="C6262">
        <v>0.87710268236350497</v>
      </c>
      <c r="D6262">
        <v>0.70714548220592599</v>
      </c>
      <c r="E6262">
        <v>0.61060474896887396</v>
      </c>
      <c r="F6262">
        <v>0.44197692691545198</v>
      </c>
      <c r="G6262">
        <v>0.147376240699536</v>
      </c>
      <c r="H6262">
        <v>0.10496599203347599</v>
      </c>
      <c r="I6262">
        <v>8.0005277795658497E-2</v>
      </c>
      <c r="J6262">
        <v>8.7976316647826097E-2</v>
      </c>
      <c r="K6262">
        <v>8.3205766878419504E-2</v>
      </c>
      <c r="L6262">
        <v>528.012762612355</v>
      </c>
      <c r="M6262">
        <v>11.0872406408018</v>
      </c>
      <c r="N6262">
        <v>47.722568449189303</v>
      </c>
      <c r="O6262">
        <v>46.152928036694703</v>
      </c>
      <c r="P6262">
        <v>-5.9392988908392501E-2</v>
      </c>
      <c r="Q6262">
        <v>1.13812349710679E-2</v>
      </c>
      <c r="R6262">
        <v>0.98089979104951897</v>
      </c>
      <c r="S6262" t="s">
        <v>12830</v>
      </c>
      <c r="T6262" t="s">
        <v>13134</v>
      </c>
      <c r="U6262" t="s">
        <v>13134</v>
      </c>
      <c r="V6262" t="s">
        <v>13134</v>
      </c>
      <c r="W6262" t="s">
        <v>19326</v>
      </c>
      <c r="X6262">
        <v>2</v>
      </c>
      <c r="Y6262" t="s">
        <v>25679</v>
      </c>
      <c r="Z6262" t="s">
        <v>32230</v>
      </c>
      <c r="AA6262">
        <v>0.3968850755493622</v>
      </c>
      <c r="AB6262" t="str">
        <f>HYPERLINK("Melting_Curves/meltCurve_Q9ULG6_4_CCPG1.pdf", "Melting_Curves/meltCurve_Q9ULG6_4_CCPG1.pdf")</f>
        <v>Melting_Curves/meltCurve_Q9ULG6_4_CCPG1.pdf</v>
      </c>
    </row>
    <row r="6263" spans="1:28" x14ac:dyDescent="0.25">
      <c r="A6263" t="s">
        <v>6267</v>
      </c>
      <c r="B6263">
        <v>0.99472303558308395</v>
      </c>
      <c r="C6263">
        <v>0.92156769341827804</v>
      </c>
      <c r="D6263">
        <v>0.66067433377782303</v>
      </c>
      <c r="E6263">
        <v>0.56439126994065303</v>
      </c>
      <c r="F6263">
        <v>0.46010059066667502</v>
      </c>
      <c r="G6263">
        <v>0.15773509923068099</v>
      </c>
      <c r="H6263">
        <v>7.8742644288253699E-2</v>
      </c>
      <c r="I6263">
        <v>6.01184979547537E-2</v>
      </c>
      <c r="J6263">
        <v>6.7597136212915396E-2</v>
      </c>
      <c r="K6263">
        <v>5.7171673434376298E-2</v>
      </c>
      <c r="L6263">
        <v>521.67141558666594</v>
      </c>
      <c r="M6263">
        <v>10.996640325645201</v>
      </c>
      <c r="N6263">
        <v>47.439163191233902</v>
      </c>
      <c r="O6263">
        <v>45.951333978816002</v>
      </c>
      <c r="P6263">
        <v>-5.9847855660059297E-2</v>
      </c>
      <c r="Q6263">
        <v>0</v>
      </c>
      <c r="R6263">
        <v>0.97559088522257198</v>
      </c>
      <c r="S6263" t="s">
        <v>12831</v>
      </c>
      <c r="T6263" t="s">
        <v>13134</v>
      </c>
      <c r="U6263" t="s">
        <v>13134</v>
      </c>
      <c r="V6263" t="s">
        <v>13134</v>
      </c>
      <c r="W6263" t="s">
        <v>19327</v>
      </c>
      <c r="X6263">
        <v>40</v>
      </c>
      <c r="Y6263" t="s">
        <v>25680</v>
      </c>
      <c r="Z6263" t="s">
        <v>32231</v>
      </c>
      <c r="AA6263">
        <v>0.38461977225580057</v>
      </c>
      <c r="AB6263" t="str">
        <f>HYPERLINK("Melting_Curves/meltCurve_Q9ULH0_4_KIDINS220.pdf", "Melting_Curves/meltCurve_Q9ULH0_4_KIDINS220.pdf")</f>
        <v>Melting_Curves/meltCurve_Q9ULH0_4_KIDINS220.pdf</v>
      </c>
    </row>
    <row r="6264" spans="1:28" x14ac:dyDescent="0.25">
      <c r="A6264" t="s">
        <v>6268</v>
      </c>
      <c r="B6264">
        <v>0.99472303558308395</v>
      </c>
      <c r="C6264">
        <v>1.0371160876134999</v>
      </c>
      <c r="D6264">
        <v>0.87711341233738005</v>
      </c>
      <c r="E6264">
        <v>0.62183707599928495</v>
      </c>
      <c r="F6264">
        <v>0.23356776546653499</v>
      </c>
      <c r="G6264">
        <v>0.12345655458213201</v>
      </c>
      <c r="H6264">
        <v>6.0270216392120497E-2</v>
      </c>
      <c r="I6264">
        <v>4.3172109284712601E-2</v>
      </c>
      <c r="J6264">
        <v>4.6241655306222901E-2</v>
      </c>
      <c r="K6264">
        <v>4.6478043170842302E-2</v>
      </c>
      <c r="L6264">
        <v>1056.83943369096</v>
      </c>
      <c r="M6264">
        <v>22.3283846807369</v>
      </c>
      <c r="N6264">
        <v>47.5261554642017</v>
      </c>
      <c r="O6264">
        <v>46.956909506304299</v>
      </c>
      <c r="P6264">
        <v>-0.113688781947461</v>
      </c>
      <c r="Q6264">
        <v>4.3663679884991799E-2</v>
      </c>
      <c r="R6264">
        <v>0.99709279515300098</v>
      </c>
      <c r="S6264" t="s">
        <v>12832</v>
      </c>
      <c r="T6264" t="s">
        <v>13134</v>
      </c>
      <c r="U6264" t="s">
        <v>13134</v>
      </c>
      <c r="V6264" t="s">
        <v>13134</v>
      </c>
      <c r="W6264" t="s">
        <v>19328</v>
      </c>
      <c r="X6264">
        <v>12</v>
      </c>
      <c r="Y6264" t="s">
        <v>25681</v>
      </c>
      <c r="Z6264" t="s">
        <v>32232</v>
      </c>
      <c r="AA6264">
        <v>0.38311930949161133</v>
      </c>
      <c r="AB6264" t="str">
        <f>HYPERLINK("Melting_Curves/meltCurve_Q9ULH1_ASAP1.pdf", "Melting_Curves/meltCurve_Q9ULH1_ASAP1.pdf")</f>
        <v>Melting_Curves/meltCurve_Q9ULH1_ASAP1.pdf</v>
      </c>
    </row>
    <row r="6265" spans="1:28" x14ac:dyDescent="0.25">
      <c r="A6265" t="s">
        <v>6269</v>
      </c>
      <c r="B6265">
        <v>0.99472303558308395</v>
      </c>
      <c r="C6265">
        <v>1.2267096530513499</v>
      </c>
      <c r="D6265">
        <v>1.00173911375613</v>
      </c>
      <c r="E6265">
        <v>0.84758453125431998</v>
      </c>
      <c r="F6265">
        <v>0.846202672992035</v>
      </c>
      <c r="G6265">
        <v>0.52273910736540696</v>
      </c>
      <c r="H6265">
        <v>0.38077268182178597</v>
      </c>
      <c r="I6265">
        <v>0.21322818542031699</v>
      </c>
      <c r="J6265">
        <v>0.19098713674224399</v>
      </c>
      <c r="K6265">
        <v>4.6263808990191099E-2</v>
      </c>
      <c r="L6265">
        <v>756.91688591535797</v>
      </c>
      <c r="M6265">
        <v>13.8038877887072</v>
      </c>
      <c r="N6265">
        <v>54.996324869069703</v>
      </c>
      <c r="O6265">
        <v>53.721251800887302</v>
      </c>
      <c r="P6265">
        <v>-6.2961886224259897E-2</v>
      </c>
      <c r="Q6265">
        <v>2.00100370340776E-2</v>
      </c>
      <c r="R6265">
        <v>0.95224206825770097</v>
      </c>
      <c r="S6265" t="s">
        <v>12833</v>
      </c>
      <c r="T6265" t="s">
        <v>13134</v>
      </c>
      <c r="U6265" t="s">
        <v>13134</v>
      </c>
      <c r="V6265" t="s">
        <v>13134</v>
      </c>
      <c r="W6265" t="s">
        <v>19329</v>
      </c>
      <c r="X6265">
        <v>1</v>
      </c>
      <c r="Y6265" t="s">
        <v>25682</v>
      </c>
      <c r="Z6265" t="s">
        <v>32233</v>
      </c>
      <c r="AA6265">
        <v>0.61716181642837442</v>
      </c>
      <c r="AB6265" t="str">
        <f>HYPERLINK("Melting_Curves/meltCurve_Q9ULI2_2_RIMKLB.pdf", "Melting_Curves/meltCurve_Q9ULI2_2_RIMKLB.pdf")</f>
        <v>Melting_Curves/meltCurve_Q9ULI2_2_RIMKLB.pdf</v>
      </c>
    </row>
    <row r="6266" spans="1:28" x14ac:dyDescent="0.25">
      <c r="A6266" t="s">
        <v>6270</v>
      </c>
      <c r="B6266">
        <v>0.99472303558308395</v>
      </c>
      <c r="C6266">
        <v>0.90705886112227696</v>
      </c>
      <c r="D6266">
        <v>0.56779143928772302</v>
      </c>
      <c r="E6266">
        <v>0.43253502218099499</v>
      </c>
      <c r="F6266">
        <v>0.29796182034881202</v>
      </c>
      <c r="G6266">
        <v>0.109145823288608</v>
      </c>
      <c r="H6266">
        <v>8.3749118064474298E-2</v>
      </c>
      <c r="I6266">
        <v>4.5236443529826101E-2</v>
      </c>
      <c r="J6266">
        <v>6.89256976377116E-2</v>
      </c>
      <c r="K6266">
        <v>5.1748803477676998E-2</v>
      </c>
      <c r="L6266">
        <v>586.38821444526195</v>
      </c>
      <c r="M6266">
        <v>13.022030099107701</v>
      </c>
      <c r="N6266">
        <v>45.291207697378397</v>
      </c>
      <c r="O6266">
        <v>44.008203545588898</v>
      </c>
      <c r="P6266">
        <v>-7.1316180713823701E-2</v>
      </c>
      <c r="Q6266">
        <v>3.6111029763338701E-2</v>
      </c>
      <c r="R6266">
        <v>0.98252632417652397</v>
      </c>
      <c r="S6266" t="s">
        <v>12834</v>
      </c>
      <c r="T6266" t="s">
        <v>13134</v>
      </c>
      <c r="U6266" t="s">
        <v>13134</v>
      </c>
      <c r="V6266" t="s">
        <v>13134</v>
      </c>
      <c r="W6266" t="s">
        <v>19330</v>
      </c>
      <c r="X6266">
        <v>4</v>
      </c>
      <c r="Y6266" t="s">
        <v>25683</v>
      </c>
      <c r="Z6266" t="s">
        <v>32234</v>
      </c>
      <c r="AA6266">
        <v>0.32424173473252588</v>
      </c>
      <c r="AB6266" t="str">
        <f>HYPERLINK("Melting_Curves/meltCurve_Q9ULJ3_2_ZBTB21.pdf", "Melting_Curves/meltCurve_Q9ULJ3_2_ZBTB21.pdf")</f>
        <v>Melting_Curves/meltCurve_Q9ULJ3_2_ZBTB21.pdf</v>
      </c>
    </row>
    <row r="6267" spans="1:28" x14ac:dyDescent="0.25">
      <c r="A6267" t="s">
        <v>6271</v>
      </c>
      <c r="B6267">
        <v>0.99472303558308395</v>
      </c>
      <c r="C6267">
        <v>1.02868091340955</v>
      </c>
      <c r="D6267">
        <v>0.90779590965759505</v>
      </c>
      <c r="E6267">
        <v>0.82114608012476997</v>
      </c>
      <c r="F6267">
        <v>0.61211321484349002</v>
      </c>
      <c r="G6267">
        <v>0.42140730895504103</v>
      </c>
      <c r="H6267">
        <v>0.22316542380055401</v>
      </c>
      <c r="I6267">
        <v>0.107282914300218</v>
      </c>
      <c r="J6267">
        <v>0.14325177144562601</v>
      </c>
      <c r="K6267">
        <v>0.110522408942692</v>
      </c>
      <c r="L6267">
        <v>720.76022525295605</v>
      </c>
      <c r="M6267">
        <v>14.002218317316499</v>
      </c>
      <c r="N6267">
        <v>51.9519326317712</v>
      </c>
      <c r="O6267">
        <v>50.458911525145503</v>
      </c>
      <c r="P6267">
        <v>-6.5196526862682999E-2</v>
      </c>
      <c r="Q6267">
        <v>6.03458107772014E-2</v>
      </c>
      <c r="R6267">
        <v>0.99413496723244199</v>
      </c>
      <c r="S6267" t="s">
        <v>12835</v>
      </c>
      <c r="T6267" t="s">
        <v>13134</v>
      </c>
      <c r="U6267" t="s">
        <v>13134</v>
      </c>
      <c r="V6267" t="s">
        <v>13134</v>
      </c>
      <c r="W6267" t="s">
        <v>19331</v>
      </c>
      <c r="X6267">
        <v>8</v>
      </c>
      <c r="Y6267" t="s">
        <v>25684</v>
      </c>
      <c r="Z6267" t="s">
        <v>32235</v>
      </c>
      <c r="AA6267">
        <v>0.53379705397071631</v>
      </c>
      <c r="AB6267" t="str">
        <f>HYPERLINK("Melting_Curves/meltCurve_Q9ULJ6_ZMIZ1.pdf", "Melting_Curves/meltCurve_Q9ULJ6_ZMIZ1.pdf")</f>
        <v>Melting_Curves/meltCurve_Q9ULJ6_ZMIZ1.pdf</v>
      </c>
    </row>
    <row r="6268" spans="1:28" x14ac:dyDescent="0.25">
      <c r="A6268" t="s">
        <v>6272</v>
      </c>
      <c r="B6268">
        <v>0.99472303558308395</v>
      </c>
      <c r="C6268">
        <v>1.0439578759588699</v>
      </c>
      <c r="D6268">
        <v>1.0411020675062199</v>
      </c>
      <c r="E6268">
        <v>0.62491866135645202</v>
      </c>
      <c r="F6268">
        <v>3.0976825643736501E-2</v>
      </c>
      <c r="G6268">
        <v>6.1160410119037299E-2</v>
      </c>
      <c r="H6268">
        <v>5.24755091191881E-2</v>
      </c>
      <c r="I6268">
        <v>3.2020930255744498E-2</v>
      </c>
      <c r="J6268">
        <v>5.3183056103480203E-2</v>
      </c>
      <c r="K6268">
        <v>0</v>
      </c>
      <c r="L6268">
        <v>11670.8407928167</v>
      </c>
      <c r="M6268">
        <v>250</v>
      </c>
      <c r="N6268">
        <v>46.698247845025598</v>
      </c>
      <c r="O6268">
        <v>46.680375904586199</v>
      </c>
      <c r="P6268">
        <v>-1.28760908776914</v>
      </c>
      <c r="Q6268">
        <v>3.8302784637485501E-2</v>
      </c>
      <c r="R6268">
        <v>0.99694868275462001</v>
      </c>
      <c r="S6268" t="s">
        <v>12836</v>
      </c>
      <c r="T6268" t="s">
        <v>13134</v>
      </c>
      <c r="U6268" t="s">
        <v>13134</v>
      </c>
      <c r="V6268" t="s">
        <v>13134</v>
      </c>
      <c r="W6268" t="s">
        <v>19332</v>
      </c>
      <c r="X6268">
        <v>6</v>
      </c>
      <c r="Y6268" t="s">
        <v>25685</v>
      </c>
      <c r="Z6268" t="s">
        <v>32236</v>
      </c>
      <c r="AA6268">
        <v>0.3487970216924095</v>
      </c>
      <c r="AB6268" t="str">
        <f>HYPERLINK("Melting_Curves/meltCurve_Q9ULJ7_ANKRD50.pdf", "Melting_Curves/meltCurve_Q9ULJ7_ANKRD50.pdf")</f>
        <v>Melting_Curves/meltCurve_Q9ULJ7_ANKRD50.pdf</v>
      </c>
    </row>
    <row r="6269" spans="1:28" x14ac:dyDescent="0.25">
      <c r="A6269" t="s">
        <v>6273</v>
      </c>
      <c r="B6269">
        <v>0.99472303558308395</v>
      </c>
      <c r="C6269">
        <v>0.87561691319085599</v>
      </c>
      <c r="D6269">
        <v>0.80546044721927801</v>
      </c>
      <c r="E6269">
        <v>0.54573026755211396</v>
      </c>
      <c r="F6269">
        <v>0.28028501927652399</v>
      </c>
      <c r="G6269">
        <v>0.13141090081805501</v>
      </c>
      <c r="H6269">
        <v>9.4615704650126906E-2</v>
      </c>
      <c r="I6269">
        <v>7.4982862757396199E-2</v>
      </c>
      <c r="J6269">
        <v>6.4901449064095396E-2</v>
      </c>
      <c r="K6269">
        <v>1.8960648658364498E-2</v>
      </c>
      <c r="L6269">
        <v>681.85067686382195</v>
      </c>
      <c r="M6269">
        <v>14.5711269371496</v>
      </c>
      <c r="N6269">
        <v>46.9757175401487</v>
      </c>
      <c r="O6269">
        <v>45.939773568442199</v>
      </c>
      <c r="P6269">
        <v>-7.7137997402043801E-2</v>
      </c>
      <c r="Q6269">
        <v>2.7309183418662099E-2</v>
      </c>
      <c r="R6269">
        <v>0.99605788413501295</v>
      </c>
      <c r="S6269" t="s">
        <v>12837</v>
      </c>
      <c r="T6269" t="s">
        <v>13134</v>
      </c>
      <c r="U6269" t="s">
        <v>13134</v>
      </c>
      <c r="V6269" t="s">
        <v>13134</v>
      </c>
      <c r="W6269" t="s">
        <v>19333</v>
      </c>
      <c r="X6269">
        <v>3</v>
      </c>
      <c r="Y6269" t="s">
        <v>25686</v>
      </c>
      <c r="Z6269" t="s">
        <v>32237</v>
      </c>
      <c r="AA6269">
        <v>0.36806060660770218</v>
      </c>
      <c r="AB6269" t="str">
        <f>HYPERLINK("Melting_Curves/meltCurve_Q9ULM6_CNOT6.pdf", "Melting_Curves/meltCurve_Q9ULM6_CNOT6.pdf")</f>
        <v>Melting_Curves/meltCurve_Q9ULM6_CNOT6.pdf</v>
      </c>
    </row>
    <row r="6270" spans="1:28" x14ac:dyDescent="0.25">
      <c r="A6270" t="s">
        <v>6274</v>
      </c>
      <c r="B6270">
        <v>0.99472303558308395</v>
      </c>
      <c r="C6270">
        <v>0.98913718355242797</v>
      </c>
      <c r="D6270">
        <v>0.97334504005661904</v>
      </c>
      <c r="E6270">
        <v>0.821500151650154</v>
      </c>
      <c r="F6270">
        <v>0.326779034205464</v>
      </c>
      <c r="G6270">
        <v>0.103303277432669</v>
      </c>
      <c r="H6270">
        <v>7.6459970481425596E-2</v>
      </c>
      <c r="I6270">
        <v>4.9222307427038002E-2</v>
      </c>
      <c r="J6270">
        <v>5.4530526099303298E-2</v>
      </c>
      <c r="K6270">
        <v>4.3871030552749303E-2</v>
      </c>
      <c r="L6270">
        <v>1504.6286757681501</v>
      </c>
      <c r="M6270">
        <v>30.8566284738951</v>
      </c>
      <c r="N6270">
        <v>48.939000756590701</v>
      </c>
      <c r="O6270">
        <v>48.558494854888401</v>
      </c>
      <c r="P6270">
        <v>-0.15047324583667601</v>
      </c>
      <c r="Q6270">
        <v>5.2817837463444997E-2</v>
      </c>
      <c r="R6270">
        <v>0.99964795134732398</v>
      </c>
      <c r="S6270" t="s">
        <v>12838</v>
      </c>
      <c r="T6270" t="s">
        <v>13134</v>
      </c>
      <c r="U6270" t="s">
        <v>13134</v>
      </c>
      <c r="V6270" t="s">
        <v>13134</v>
      </c>
      <c r="W6270" t="s">
        <v>19334</v>
      </c>
      <c r="X6270">
        <v>7</v>
      </c>
      <c r="Y6270" t="s">
        <v>25687</v>
      </c>
      <c r="Z6270" t="s">
        <v>32238</v>
      </c>
      <c r="AA6270">
        <v>0.42955165813054502</v>
      </c>
      <c r="AB6270" t="str">
        <f>HYPERLINK("Melting_Curves/meltCurve_Q9ULP9_2_TBC1D24.pdf", "Melting_Curves/meltCurve_Q9ULP9_2_TBC1D24.pdf")</f>
        <v>Melting_Curves/meltCurve_Q9ULP9_2_TBC1D24.pdf</v>
      </c>
    </row>
    <row r="6271" spans="1:28" x14ac:dyDescent="0.25">
      <c r="A6271" t="s">
        <v>6275</v>
      </c>
      <c r="B6271">
        <v>0.99472303558308395</v>
      </c>
      <c r="C6271">
        <v>0.94075695787438096</v>
      </c>
      <c r="D6271">
        <v>0.66235400884967</v>
      </c>
      <c r="E6271">
        <v>0.44405111230507699</v>
      </c>
      <c r="F6271">
        <v>0.45211033089585601</v>
      </c>
      <c r="G6271">
        <v>0.52896819587354704</v>
      </c>
      <c r="H6271">
        <v>0.40366704753056198</v>
      </c>
      <c r="I6271">
        <v>0.38653944312310801</v>
      </c>
      <c r="J6271">
        <v>0.55509870190710897</v>
      </c>
      <c r="K6271">
        <v>0.37689759257900601</v>
      </c>
      <c r="L6271">
        <v>1540.6507162855501</v>
      </c>
      <c r="M6271">
        <v>36.326661918212203</v>
      </c>
      <c r="N6271">
        <v>45.202608073590902</v>
      </c>
      <c r="O6271">
        <v>42.283109285684702</v>
      </c>
      <c r="P6271">
        <v>-0.11878504131743101</v>
      </c>
      <c r="Q6271">
        <v>0.44695324770809902</v>
      </c>
      <c r="R6271">
        <v>0.93541570291974196</v>
      </c>
      <c r="S6271" t="s">
        <v>12839</v>
      </c>
      <c r="T6271" t="s">
        <v>13134</v>
      </c>
      <c r="U6271" t="s">
        <v>13134</v>
      </c>
      <c r="V6271" t="s">
        <v>13134</v>
      </c>
      <c r="W6271" t="s">
        <v>19335</v>
      </c>
      <c r="X6271">
        <v>14</v>
      </c>
      <c r="Y6271" t="s">
        <v>25688</v>
      </c>
      <c r="Z6271" t="s">
        <v>32239</v>
      </c>
      <c r="AA6271">
        <v>0.54875168679137742</v>
      </c>
      <c r="AB6271" t="str">
        <f>HYPERLINK("Melting_Curves/meltCurve_Q9ULR0_ISY1.pdf", "Melting_Curves/meltCurve_Q9ULR0_ISY1.pdf")</f>
        <v>Melting_Curves/meltCurve_Q9ULR0_ISY1.pdf</v>
      </c>
    </row>
    <row r="6272" spans="1:28" x14ac:dyDescent="0.25">
      <c r="A6272" t="s">
        <v>6276</v>
      </c>
      <c r="B6272">
        <v>0.99472303558308395</v>
      </c>
      <c r="C6272">
        <v>0.92368629020363902</v>
      </c>
      <c r="D6272">
        <v>0.86568513486588705</v>
      </c>
      <c r="E6272">
        <v>0.78379626524374002</v>
      </c>
      <c r="F6272">
        <v>0.55606341575879203</v>
      </c>
      <c r="G6272">
        <v>0.50560189748387596</v>
      </c>
      <c r="H6272">
        <v>0.302031904332421</v>
      </c>
      <c r="I6272">
        <v>0.21081265797246401</v>
      </c>
      <c r="J6272">
        <v>0.132195626439578</v>
      </c>
      <c r="K6272">
        <v>7.9399184960352795E-2</v>
      </c>
      <c r="L6272">
        <v>494.29913137553001</v>
      </c>
      <c r="M6272">
        <v>9.4350807151860501</v>
      </c>
      <c r="N6272">
        <v>52.389496837691603</v>
      </c>
      <c r="O6272">
        <v>50.1978238590888</v>
      </c>
      <c r="P6272">
        <v>-4.7018019056494303E-2</v>
      </c>
      <c r="Q6272">
        <v>0</v>
      </c>
      <c r="R6272">
        <v>0.99072146063536903</v>
      </c>
      <c r="S6272" t="s">
        <v>12840</v>
      </c>
      <c r="T6272" t="s">
        <v>13134</v>
      </c>
      <c r="U6272" t="s">
        <v>13134</v>
      </c>
      <c r="V6272" t="s">
        <v>13134</v>
      </c>
      <c r="W6272" t="s">
        <v>19336</v>
      </c>
      <c r="X6272">
        <v>7</v>
      </c>
      <c r="Y6272" t="s">
        <v>25689</v>
      </c>
      <c r="Z6272" t="s">
        <v>32240</v>
      </c>
      <c r="AA6272">
        <v>0.53849591458060542</v>
      </c>
      <c r="AB6272" t="str">
        <f>HYPERLINK("Melting_Curves/meltCurve_Q9ULR3_PPM1H.pdf", "Melting_Curves/meltCurve_Q9ULR3_PPM1H.pdf")</f>
        <v>Melting_Curves/meltCurve_Q9ULR3_PPM1H.pdf</v>
      </c>
    </row>
    <row r="6273" spans="1:28" x14ac:dyDescent="0.25">
      <c r="A6273" t="s">
        <v>6277</v>
      </c>
      <c r="B6273">
        <v>0.99472303558308395</v>
      </c>
      <c r="C6273">
        <v>0.85655717040458701</v>
      </c>
      <c r="D6273">
        <v>0.79511280936557105</v>
      </c>
      <c r="E6273">
        <v>0.57028775783348695</v>
      </c>
      <c r="F6273">
        <v>0.347849486260772</v>
      </c>
      <c r="G6273">
        <v>0.15828329044158901</v>
      </c>
      <c r="H6273">
        <v>8.0414238541002506E-2</v>
      </c>
      <c r="I6273">
        <v>8.1333608227657006E-2</v>
      </c>
      <c r="J6273">
        <v>8.5471850708289998E-2</v>
      </c>
      <c r="K6273">
        <v>7.3389967642435494E-2</v>
      </c>
      <c r="L6273">
        <v>624.00058816457795</v>
      </c>
      <c r="M6273">
        <v>13.2559057550229</v>
      </c>
      <c r="N6273">
        <v>47.3388410562251</v>
      </c>
      <c r="O6273">
        <v>46.040798556752101</v>
      </c>
      <c r="P6273">
        <v>-6.9412437344876204E-2</v>
      </c>
      <c r="Q6273">
        <v>3.5816678867487101E-2</v>
      </c>
      <c r="R6273">
        <v>0.99319491802110405</v>
      </c>
      <c r="S6273" t="s">
        <v>12841</v>
      </c>
      <c r="T6273" t="s">
        <v>13134</v>
      </c>
      <c r="U6273" t="s">
        <v>13134</v>
      </c>
      <c r="V6273" t="s">
        <v>13134</v>
      </c>
      <c r="W6273" t="s">
        <v>19337</v>
      </c>
      <c r="X6273">
        <v>17</v>
      </c>
      <c r="Y6273" t="s">
        <v>25690</v>
      </c>
      <c r="Z6273" t="s">
        <v>32241</v>
      </c>
      <c r="AA6273">
        <v>0.38641354375066622</v>
      </c>
      <c r="AB6273" t="str">
        <f>HYPERLINK("Melting_Curves/meltCurve_Q9ULT8_HECTD1.pdf", "Melting_Curves/meltCurve_Q9ULT8_HECTD1.pdf")</f>
        <v>Melting_Curves/meltCurve_Q9ULT8_HECTD1.pdf</v>
      </c>
    </row>
    <row r="6274" spans="1:28" x14ac:dyDescent="0.25">
      <c r="A6274" t="s">
        <v>6278</v>
      </c>
      <c r="B6274">
        <v>0.99472303558308395</v>
      </c>
      <c r="C6274">
        <v>0.96319016321999795</v>
      </c>
      <c r="D6274">
        <v>0.65739274140968496</v>
      </c>
      <c r="E6274">
        <v>0.35449694948014698</v>
      </c>
      <c r="F6274">
        <v>0.119140541061829</v>
      </c>
      <c r="G6274">
        <v>6.5926249493246006E-2</v>
      </c>
      <c r="H6274">
        <v>4.6174495785606999E-2</v>
      </c>
      <c r="I6274">
        <v>3.4815838314715998E-2</v>
      </c>
      <c r="J6274">
        <v>4.1135363754842003E-2</v>
      </c>
      <c r="K6274">
        <v>3.9178187484148599E-2</v>
      </c>
      <c r="L6274">
        <v>895.14464034269304</v>
      </c>
      <c r="M6274">
        <v>20.044317865030099</v>
      </c>
      <c r="N6274">
        <v>44.8231609573564</v>
      </c>
      <c r="O6274">
        <v>44.220903001450502</v>
      </c>
      <c r="P6274">
        <v>-0.109295267793456</v>
      </c>
      <c r="Q6274">
        <v>3.55412369427116E-2</v>
      </c>
      <c r="R6274">
        <v>0.99685821955239395</v>
      </c>
      <c r="S6274" t="s">
        <v>12842</v>
      </c>
      <c r="T6274" t="s">
        <v>13134</v>
      </c>
      <c r="U6274" t="s">
        <v>13134</v>
      </c>
      <c r="V6274" t="s">
        <v>13134</v>
      </c>
      <c r="W6274" t="s">
        <v>19338</v>
      </c>
      <c r="X6274">
        <v>11</v>
      </c>
      <c r="Y6274" t="s">
        <v>25691</v>
      </c>
      <c r="Z6274" t="s">
        <v>32242</v>
      </c>
      <c r="AA6274">
        <v>0.29441281629931437</v>
      </c>
      <c r="AB6274" t="str">
        <f>HYPERLINK("Melting_Curves/meltCurve_Q9ULU4_9_ZMYND8.pdf", "Melting_Curves/meltCurve_Q9ULU4_9_ZMYND8.pdf")</f>
        <v>Melting_Curves/meltCurve_Q9ULU4_9_ZMYND8.pdf</v>
      </c>
    </row>
    <row r="6275" spans="1:28" x14ac:dyDescent="0.25">
      <c r="A6275" t="s">
        <v>6279</v>
      </c>
      <c r="B6275">
        <v>0.99472303558308395</v>
      </c>
      <c r="C6275">
        <v>1.0117942701671301</v>
      </c>
      <c r="D6275">
        <v>0.96619517542558997</v>
      </c>
      <c r="E6275">
        <v>0.89472662165205996</v>
      </c>
      <c r="F6275">
        <v>0.72967465090046602</v>
      </c>
      <c r="G6275">
        <v>0.26245574507115399</v>
      </c>
      <c r="H6275">
        <v>7.8777671909929403E-2</v>
      </c>
      <c r="I6275">
        <v>5.2432294891144197E-2</v>
      </c>
      <c r="J6275">
        <v>5.7972384604142099E-2</v>
      </c>
      <c r="K6275">
        <v>4.65174455525416E-2</v>
      </c>
      <c r="L6275">
        <v>1456.75473329327</v>
      </c>
      <c r="M6275">
        <v>28.213694367405701</v>
      </c>
      <c r="N6275">
        <v>51.787990833933002</v>
      </c>
      <c r="O6275">
        <v>51.375590759477198</v>
      </c>
      <c r="P6275">
        <v>-0.13173059091157099</v>
      </c>
      <c r="Q6275">
        <v>4.0511254958602201E-2</v>
      </c>
      <c r="R6275">
        <v>0.99652032240352295</v>
      </c>
      <c r="S6275" t="s">
        <v>12843</v>
      </c>
      <c r="T6275" t="s">
        <v>13134</v>
      </c>
      <c r="U6275" t="s">
        <v>13134</v>
      </c>
      <c r="V6275" t="s">
        <v>13134</v>
      </c>
      <c r="W6275" t="s">
        <v>19339</v>
      </c>
      <c r="X6275">
        <v>29</v>
      </c>
      <c r="Y6275" t="s">
        <v>25692</v>
      </c>
      <c r="Z6275" t="s">
        <v>32243</v>
      </c>
      <c r="AA6275">
        <v>0.51529462454087849</v>
      </c>
      <c r="AB6275" t="str">
        <f>HYPERLINK("Melting_Curves/meltCurve_Q9ULV4_CORO1C.pdf", "Melting_Curves/meltCurve_Q9ULV4_CORO1C.pdf")</f>
        <v>Melting_Curves/meltCurve_Q9ULV4_CORO1C.pdf</v>
      </c>
    </row>
    <row r="6276" spans="1:28" x14ac:dyDescent="0.25">
      <c r="A6276" t="s">
        <v>6280</v>
      </c>
      <c r="B6276">
        <v>0.99472303558308395</v>
      </c>
      <c r="C6276">
        <v>0.99650007154898201</v>
      </c>
      <c r="D6276">
        <v>0.978744559546051</v>
      </c>
      <c r="E6276">
        <v>0.82759545606166396</v>
      </c>
      <c r="F6276">
        <v>0.63812194504339803</v>
      </c>
      <c r="G6276">
        <v>0.51973296039295802</v>
      </c>
      <c r="H6276">
        <v>0.402175767454172</v>
      </c>
      <c r="I6276">
        <v>0.41519593476010602</v>
      </c>
      <c r="J6276">
        <v>0.51911901179879205</v>
      </c>
      <c r="K6276">
        <v>0.40207307461997099</v>
      </c>
      <c r="L6276">
        <v>1013.25056449814</v>
      </c>
      <c r="M6276">
        <v>20.798688912264499</v>
      </c>
      <c r="N6276">
        <v>53.821764001556303</v>
      </c>
      <c r="O6276">
        <v>48.273388451036197</v>
      </c>
      <c r="P6276">
        <v>-6.1348980187810702E-2</v>
      </c>
      <c r="Q6276">
        <v>0.43045629599921498</v>
      </c>
      <c r="R6276">
        <v>0.97932002803192597</v>
      </c>
      <c r="S6276" t="s">
        <v>12844</v>
      </c>
      <c r="T6276" t="s">
        <v>13134</v>
      </c>
      <c r="U6276" t="s">
        <v>13134</v>
      </c>
      <c r="V6276" t="s">
        <v>13134</v>
      </c>
      <c r="W6276" t="s">
        <v>19340</v>
      </c>
      <c r="X6276">
        <v>46</v>
      </c>
      <c r="Y6276" t="s">
        <v>25693</v>
      </c>
      <c r="Z6276" t="s">
        <v>32244</v>
      </c>
      <c r="AA6276">
        <v>0.65987562201112382</v>
      </c>
      <c r="AB6276" t="str">
        <f>HYPERLINK("Melting_Curves/meltCurve_Q9ULW0_TPX2.pdf", "Melting_Curves/meltCurve_Q9ULW0_TPX2.pdf")</f>
        <v>Melting_Curves/meltCurve_Q9ULW0_TPX2.pdf</v>
      </c>
    </row>
    <row r="6277" spans="1:28" x14ac:dyDescent="0.25">
      <c r="A6277" t="s">
        <v>6281</v>
      </c>
      <c r="B6277">
        <v>0.99472303558308395</v>
      </c>
      <c r="C6277">
        <v>0.88858112686848001</v>
      </c>
      <c r="D6277">
        <v>0.99446939034201398</v>
      </c>
      <c r="E6277">
        <v>0.66557463221019697</v>
      </c>
      <c r="F6277">
        <v>0.23206939076703101</v>
      </c>
      <c r="G6277">
        <v>6.9374591291780099E-2</v>
      </c>
      <c r="H6277">
        <v>3.98667715245428E-2</v>
      </c>
      <c r="I6277">
        <v>3.5356112008893402E-2</v>
      </c>
      <c r="J6277">
        <v>3.7425655648992799E-2</v>
      </c>
      <c r="K6277">
        <v>3.5190728730535199E-2</v>
      </c>
      <c r="L6277">
        <v>1347.44116182885</v>
      </c>
      <c r="M6277">
        <v>28.239296334883299</v>
      </c>
      <c r="N6277">
        <v>47.835443668875797</v>
      </c>
      <c r="O6277">
        <v>47.4777566436439</v>
      </c>
      <c r="P6277">
        <v>-0.143600598333886</v>
      </c>
      <c r="Q6277">
        <v>3.4285033155223903E-2</v>
      </c>
      <c r="R6277">
        <v>0.992231855457127</v>
      </c>
      <c r="S6277" t="s">
        <v>12845</v>
      </c>
      <c r="T6277" t="s">
        <v>13134</v>
      </c>
      <c r="U6277" t="s">
        <v>13134</v>
      </c>
      <c r="V6277" t="s">
        <v>13134</v>
      </c>
      <c r="W6277" t="s">
        <v>19341</v>
      </c>
      <c r="X6277">
        <v>15</v>
      </c>
      <c r="Y6277" t="s">
        <v>25694</v>
      </c>
      <c r="Z6277" t="s">
        <v>32245</v>
      </c>
      <c r="AA6277">
        <v>0.38563414452370781</v>
      </c>
      <c r="AB6277" t="str">
        <f>HYPERLINK("Melting_Curves/meltCurve_Q9ULX3_NOB1.pdf", "Melting_Curves/meltCurve_Q9ULX3_NOB1.pdf")</f>
        <v>Melting_Curves/meltCurve_Q9ULX3_NOB1.pdf</v>
      </c>
    </row>
    <row r="6278" spans="1:28" x14ac:dyDescent="0.25">
      <c r="A6278" t="s">
        <v>6282</v>
      </c>
      <c r="B6278">
        <v>0.99472303558308395</v>
      </c>
      <c r="C6278">
        <v>0.783188718135712</v>
      </c>
      <c r="D6278">
        <v>0.56927761419195899</v>
      </c>
      <c r="E6278">
        <v>0.40257508334123199</v>
      </c>
      <c r="F6278">
        <v>0.21653146508339499</v>
      </c>
      <c r="G6278">
        <v>0.121140125477999</v>
      </c>
      <c r="H6278">
        <v>8.7994313396927606E-2</v>
      </c>
      <c r="I6278">
        <v>6.2190179536922199E-2</v>
      </c>
      <c r="J6278">
        <v>7.5905373726806002E-2</v>
      </c>
      <c r="K6278">
        <v>6.8635019597055702E-2</v>
      </c>
      <c r="L6278">
        <v>575.65433039942798</v>
      </c>
      <c r="M6278">
        <v>13.056425361506101</v>
      </c>
      <c r="N6278">
        <v>44.455653404466403</v>
      </c>
      <c r="O6278">
        <v>43.093911430699897</v>
      </c>
      <c r="P6278">
        <v>-7.1897533435523603E-2</v>
      </c>
      <c r="Q6278">
        <v>5.0947672949774897E-2</v>
      </c>
      <c r="R6278">
        <v>0.99210283758687801</v>
      </c>
      <c r="S6278" t="s">
        <v>12846</v>
      </c>
      <c r="T6278" t="s">
        <v>13134</v>
      </c>
      <c r="U6278" t="s">
        <v>13134</v>
      </c>
      <c r="V6278" t="s">
        <v>13134</v>
      </c>
      <c r="W6278" t="s">
        <v>19342</v>
      </c>
      <c r="X6278">
        <v>7</v>
      </c>
      <c r="Y6278" t="s">
        <v>25695</v>
      </c>
      <c r="Z6278" t="s">
        <v>32246</v>
      </c>
      <c r="AA6278">
        <v>0.30626674635286222</v>
      </c>
      <c r="AB6278" t="str">
        <f>HYPERLINK("Melting_Curves/meltCurve_Q9ULX6_2_AKAP8L.pdf", "Melting_Curves/meltCurve_Q9ULX6_2_AKAP8L.pdf")</f>
        <v>Melting_Curves/meltCurve_Q9ULX6_2_AKAP8L.pdf</v>
      </c>
    </row>
    <row r="6279" spans="1:28" x14ac:dyDescent="0.25">
      <c r="A6279" t="s">
        <v>6283</v>
      </c>
      <c r="B6279">
        <v>0.99472303558308395</v>
      </c>
      <c r="C6279">
        <v>0.95110603206675703</v>
      </c>
      <c r="D6279">
        <v>0.94107140966310099</v>
      </c>
      <c r="E6279">
        <v>0.89518644716004303</v>
      </c>
      <c r="F6279">
        <v>0.67961117236619795</v>
      </c>
      <c r="G6279">
        <v>0.35689177883888301</v>
      </c>
      <c r="H6279">
        <v>0.20226206641768099</v>
      </c>
      <c r="I6279">
        <v>0.139304298208063</v>
      </c>
      <c r="J6279">
        <v>0.12524342670532199</v>
      </c>
      <c r="K6279">
        <v>0.10544157329893</v>
      </c>
      <c r="L6279">
        <v>1007.1913804294001</v>
      </c>
      <c r="M6279">
        <v>19.555157723035101</v>
      </c>
      <c r="N6279">
        <v>52.0857104677658</v>
      </c>
      <c r="O6279">
        <v>50.975609230047297</v>
      </c>
      <c r="P6279">
        <v>-8.6515960813215304E-2</v>
      </c>
      <c r="Q6279">
        <v>9.7926597564956197E-2</v>
      </c>
      <c r="R6279">
        <v>0.99675146409452897</v>
      </c>
      <c r="S6279" t="s">
        <v>12847</v>
      </c>
      <c r="T6279" t="s">
        <v>13134</v>
      </c>
      <c r="U6279" t="s">
        <v>13134</v>
      </c>
      <c r="V6279" t="s">
        <v>13134</v>
      </c>
      <c r="W6279" t="s">
        <v>19343</v>
      </c>
      <c r="X6279">
        <v>4</v>
      </c>
      <c r="Y6279" t="s">
        <v>25696</v>
      </c>
      <c r="Z6279" t="s">
        <v>32247</v>
      </c>
      <c r="AA6279">
        <v>0.54625787456276564</v>
      </c>
      <c r="AB6279" t="str">
        <f>HYPERLINK("Melting_Curves/meltCurve_Q9ULZ3_2_PYCARD.pdf", "Melting_Curves/meltCurve_Q9ULZ3_2_PYCARD.pdf")</f>
        <v>Melting_Curves/meltCurve_Q9ULZ3_2_PYCARD.pdf</v>
      </c>
    </row>
    <row r="6280" spans="1:28" x14ac:dyDescent="0.25">
      <c r="A6280" t="s">
        <v>6284</v>
      </c>
      <c r="B6280">
        <v>0.99472303558308395</v>
      </c>
      <c r="C6280">
        <v>0.97725745589032198</v>
      </c>
      <c r="D6280">
        <v>0.84677153047645903</v>
      </c>
      <c r="E6280">
        <v>0.66331385504196205</v>
      </c>
      <c r="F6280">
        <v>0.46908711442067202</v>
      </c>
      <c r="G6280">
        <v>0.22460499486523999</v>
      </c>
      <c r="H6280">
        <v>0.104853266485601</v>
      </c>
      <c r="I6280">
        <v>8.8307405478928805E-2</v>
      </c>
      <c r="J6280">
        <v>8.1314811204478907E-2</v>
      </c>
      <c r="K6280">
        <v>7.4913075458109504E-2</v>
      </c>
      <c r="L6280">
        <v>685.18387967920501</v>
      </c>
      <c r="M6280">
        <v>14.037103741614899</v>
      </c>
      <c r="N6280">
        <v>49.074945838523497</v>
      </c>
      <c r="O6280">
        <v>47.853699339160102</v>
      </c>
      <c r="P6280">
        <v>-7.0689392699703396E-2</v>
      </c>
      <c r="Q6280">
        <v>3.6181211241359597E-2</v>
      </c>
      <c r="R6280">
        <v>0.99617022455774795</v>
      </c>
      <c r="S6280" t="s">
        <v>12848</v>
      </c>
      <c r="T6280" t="s">
        <v>13134</v>
      </c>
      <c r="U6280" t="s">
        <v>13134</v>
      </c>
      <c r="V6280" t="s">
        <v>13134</v>
      </c>
      <c r="W6280" t="s">
        <v>19344</v>
      </c>
      <c r="X6280">
        <v>2</v>
      </c>
      <c r="Y6280" t="s">
        <v>25697</v>
      </c>
      <c r="Z6280" t="s">
        <v>32248</v>
      </c>
      <c r="AA6280">
        <v>0.43877846198869669</v>
      </c>
      <c r="AB6280" t="str">
        <f>HYPERLINK("Melting_Curves/meltCurve_Q9UM13_ANAPC10.pdf", "Melting_Curves/meltCurve_Q9UM13_ANAPC10.pdf")</f>
        <v>Melting_Curves/meltCurve_Q9UM13_ANAPC10.pdf</v>
      </c>
    </row>
    <row r="6281" spans="1:28" x14ac:dyDescent="0.25">
      <c r="A6281" t="s">
        <v>6285</v>
      </c>
      <c r="B6281">
        <v>0.99472303558308395</v>
      </c>
      <c r="C6281">
        <v>0.97040356864801003</v>
      </c>
      <c r="D6281">
        <v>0.89044023775046099</v>
      </c>
      <c r="E6281">
        <v>0.69443654333090499</v>
      </c>
      <c r="F6281">
        <v>0.55955657701116901</v>
      </c>
      <c r="G6281">
        <v>0.35620204420442197</v>
      </c>
      <c r="H6281">
        <v>0.29366795784901301</v>
      </c>
      <c r="I6281">
        <v>0.24318893788571</v>
      </c>
      <c r="J6281">
        <v>0.33007255421575699</v>
      </c>
      <c r="K6281">
        <v>0.34497074513438802</v>
      </c>
      <c r="L6281">
        <v>778.13437865311801</v>
      </c>
      <c r="M6281">
        <v>16.297528796757501</v>
      </c>
      <c r="N6281">
        <v>50.346060422006097</v>
      </c>
      <c r="O6281">
        <v>47.044052557227602</v>
      </c>
      <c r="P6281">
        <v>-6.1969323078752997E-2</v>
      </c>
      <c r="Q6281">
        <v>0.28453561671681599</v>
      </c>
      <c r="R6281">
        <v>0.98371711065911405</v>
      </c>
      <c r="S6281" t="s">
        <v>12849</v>
      </c>
      <c r="T6281" t="s">
        <v>13134</v>
      </c>
      <c r="U6281" t="s">
        <v>13134</v>
      </c>
      <c r="V6281" t="s">
        <v>13134</v>
      </c>
      <c r="W6281" t="s">
        <v>19345</v>
      </c>
      <c r="X6281">
        <v>6</v>
      </c>
      <c r="Y6281" t="s">
        <v>25698</v>
      </c>
      <c r="Z6281" t="s">
        <v>32249</v>
      </c>
      <c r="AA6281">
        <v>0.55451402950593265</v>
      </c>
      <c r="AB6281" t="str">
        <f>HYPERLINK("Melting_Curves/meltCurve_Q9UMF0_ICAM5.pdf", "Melting_Curves/meltCurve_Q9UMF0_ICAM5.pdf")</f>
        <v>Melting_Curves/meltCurve_Q9UMF0_ICAM5.pdf</v>
      </c>
    </row>
    <row r="6282" spans="1:28" x14ac:dyDescent="0.25">
      <c r="A6282" t="s">
        <v>6286</v>
      </c>
      <c r="B6282">
        <v>0.99472303558308395</v>
      </c>
      <c r="C6282">
        <v>1.02073369296851</v>
      </c>
      <c r="D6282">
        <v>0.97726619427519201</v>
      </c>
      <c r="E6282">
        <v>0.93710017936545098</v>
      </c>
      <c r="F6282">
        <v>0.76420002285481803</v>
      </c>
      <c r="G6282">
        <v>0.54424006325472696</v>
      </c>
      <c r="H6282">
        <v>0.29721064937632902</v>
      </c>
      <c r="I6282">
        <v>0.223772012721282</v>
      </c>
      <c r="J6282">
        <v>0.23455695081293801</v>
      </c>
      <c r="K6282">
        <v>0.189135843382853</v>
      </c>
      <c r="L6282">
        <v>1009.94102357581</v>
      </c>
      <c r="M6282">
        <v>19.1359218942467</v>
      </c>
      <c r="N6282">
        <v>54.035664537552002</v>
      </c>
      <c r="O6282">
        <v>52.211001958827602</v>
      </c>
      <c r="P6282">
        <v>-7.5156283785397293E-2</v>
      </c>
      <c r="Q6282">
        <v>0.17979747052544201</v>
      </c>
      <c r="R6282">
        <v>0.99708449749269101</v>
      </c>
      <c r="S6282" t="s">
        <v>12850</v>
      </c>
      <c r="T6282" t="s">
        <v>13134</v>
      </c>
      <c r="U6282" t="s">
        <v>13134</v>
      </c>
      <c r="V6282" t="s">
        <v>13134</v>
      </c>
      <c r="W6282" t="s">
        <v>19346</v>
      </c>
      <c r="X6282">
        <v>5</v>
      </c>
      <c r="Y6282" t="s">
        <v>25699</v>
      </c>
      <c r="Z6282" t="s">
        <v>32250</v>
      </c>
      <c r="AA6282">
        <v>0.62223302821721671</v>
      </c>
      <c r="AB6282" t="str">
        <f>HYPERLINK("Melting_Curves/meltCurve_Q9UMS0_3_NFU1.pdf", "Melting_Curves/meltCurve_Q9UMS0_3_NFU1.pdf")</f>
        <v>Melting_Curves/meltCurve_Q9UMS0_3_NFU1.pdf</v>
      </c>
    </row>
    <row r="6283" spans="1:28" x14ac:dyDescent="0.25">
      <c r="A6283" t="s">
        <v>6287</v>
      </c>
      <c r="B6283">
        <v>0.99472303558308395</v>
      </c>
      <c r="C6283">
        <v>0.94923314044122398</v>
      </c>
      <c r="D6283">
        <v>0.80940103901712002</v>
      </c>
      <c r="E6283">
        <v>0.69149042817620698</v>
      </c>
      <c r="F6283">
        <v>0.93498734088581703</v>
      </c>
      <c r="G6283">
        <v>0.79965104008508103</v>
      </c>
      <c r="H6283">
        <v>0.486207257832518</v>
      </c>
      <c r="I6283">
        <v>0.16434705948026801</v>
      </c>
      <c r="J6283">
        <v>0.104198129358215</v>
      </c>
      <c r="K6283">
        <v>9.8975238080709793E-2</v>
      </c>
      <c r="L6283">
        <v>1046.9217306595101</v>
      </c>
      <c r="M6283">
        <v>18.3738155169181</v>
      </c>
      <c r="N6283">
        <v>56.979005796901397</v>
      </c>
      <c r="O6283">
        <v>56.3169319692961</v>
      </c>
      <c r="P6283">
        <v>-8.1568065072294596E-2</v>
      </c>
      <c r="Q6283">
        <v>0</v>
      </c>
      <c r="R6283">
        <v>0.88797439799459499</v>
      </c>
      <c r="S6283" t="s">
        <v>12851</v>
      </c>
      <c r="T6283" t="s">
        <v>13134</v>
      </c>
      <c r="U6283" t="s">
        <v>13134</v>
      </c>
      <c r="V6283" t="s">
        <v>13134</v>
      </c>
      <c r="W6283" t="s">
        <v>19347</v>
      </c>
      <c r="X6283">
        <v>15</v>
      </c>
      <c r="Y6283" t="s">
        <v>25700</v>
      </c>
      <c r="Z6283" t="s">
        <v>32251</v>
      </c>
      <c r="AA6283">
        <v>0.6749822843792781</v>
      </c>
      <c r="AB6283" t="str">
        <f>HYPERLINK("Melting_Curves/meltCurve_Q9UMS4_PRPF19.pdf", "Melting_Curves/meltCurve_Q9UMS4_PRPF19.pdf")</f>
        <v>Melting_Curves/meltCurve_Q9UMS4_PRPF19.pdf</v>
      </c>
    </row>
    <row r="6284" spans="1:28" x14ac:dyDescent="0.25">
      <c r="A6284" t="s">
        <v>6288</v>
      </c>
      <c r="B6284">
        <v>0.99472303558308395</v>
      </c>
      <c r="C6284">
        <v>1.01422442190058</v>
      </c>
      <c r="D6284">
        <v>0.98340190652200898</v>
      </c>
      <c r="E6284">
        <v>0.82384036256677196</v>
      </c>
      <c r="F6284">
        <v>0.66589330540898395</v>
      </c>
      <c r="G6284">
        <v>0.52194520900241803</v>
      </c>
      <c r="H6284">
        <v>0.42608348790705403</v>
      </c>
      <c r="I6284">
        <v>0.44046009101349698</v>
      </c>
      <c r="J6284">
        <v>0.57559941732584896</v>
      </c>
      <c r="K6284">
        <v>0.38319072766662798</v>
      </c>
      <c r="L6284">
        <v>1004.66321999479</v>
      </c>
      <c r="M6284">
        <v>20.6103284719496</v>
      </c>
      <c r="N6284">
        <v>54.869513668170299</v>
      </c>
      <c r="O6284">
        <v>48.293681322163998</v>
      </c>
      <c r="P6284">
        <v>-5.8694940093186397E-2</v>
      </c>
      <c r="Q6284">
        <v>0.44988498185036702</v>
      </c>
      <c r="R6284">
        <v>0.95829302115572301</v>
      </c>
      <c r="S6284" t="s">
        <v>12852</v>
      </c>
      <c r="T6284" t="s">
        <v>13134</v>
      </c>
      <c r="U6284" t="s">
        <v>13134</v>
      </c>
      <c r="V6284" t="s">
        <v>13134</v>
      </c>
      <c r="W6284" t="s">
        <v>19348</v>
      </c>
      <c r="X6284">
        <v>11</v>
      </c>
      <c r="Y6284" t="s">
        <v>25701</v>
      </c>
      <c r="Z6284" t="s">
        <v>32252</v>
      </c>
      <c r="AA6284">
        <v>0.67211835222457283</v>
      </c>
      <c r="AB6284" t="str">
        <f>HYPERLINK("Melting_Curves/meltCurve_Q9UMX0_UBQLN1.pdf", "Melting_Curves/meltCurve_Q9UMX0_UBQLN1.pdf")</f>
        <v>Melting_Curves/meltCurve_Q9UMX0_UBQLN1.pdf</v>
      </c>
    </row>
    <row r="6285" spans="1:28" x14ac:dyDescent="0.25">
      <c r="A6285" t="s">
        <v>6289</v>
      </c>
      <c r="B6285">
        <v>0.99472303558308395</v>
      </c>
      <c r="C6285">
        <v>0.84342141128171499</v>
      </c>
      <c r="D6285">
        <v>0.94033066760858297</v>
      </c>
      <c r="E6285">
        <v>0.825200819309584</v>
      </c>
      <c r="F6285">
        <v>0.67671604567232002</v>
      </c>
      <c r="G6285">
        <v>0.37021148241540902</v>
      </c>
      <c r="H6285">
        <v>0.140456926332298</v>
      </c>
      <c r="I6285">
        <v>0.25820254073667098</v>
      </c>
      <c r="J6285">
        <v>9.8655250606224806E-2</v>
      </c>
      <c r="K6285">
        <v>5.5019067109420297E-2</v>
      </c>
      <c r="L6285">
        <v>723.349519142433</v>
      </c>
      <c r="M6285">
        <v>14.001429306769399</v>
      </c>
      <c r="N6285">
        <v>52.013428660392798</v>
      </c>
      <c r="O6285">
        <v>50.642925216256899</v>
      </c>
      <c r="P6285">
        <v>-6.6012320103520802E-2</v>
      </c>
      <c r="Q6285">
        <v>4.5064684289603897E-2</v>
      </c>
      <c r="R6285">
        <v>0.96310555714164403</v>
      </c>
      <c r="S6285" t="s">
        <v>12853</v>
      </c>
      <c r="T6285" t="s">
        <v>13134</v>
      </c>
      <c r="U6285" t="s">
        <v>13134</v>
      </c>
      <c r="V6285" t="s">
        <v>13134</v>
      </c>
      <c r="W6285" t="s">
        <v>19349</v>
      </c>
      <c r="X6285">
        <v>3</v>
      </c>
      <c r="Y6285" t="s">
        <v>25702</v>
      </c>
      <c r="Z6285" t="s">
        <v>32253</v>
      </c>
      <c r="AA6285">
        <v>0.53195518713367451</v>
      </c>
      <c r="AB6285" t="str">
        <f>HYPERLINK("Melting_Curves/meltCurve_Q9UMX1_2_SUFU.pdf", "Melting_Curves/meltCurve_Q9UMX1_2_SUFU.pdf")</f>
        <v>Melting_Curves/meltCurve_Q9UMX1_2_SUFU.pdf</v>
      </c>
    </row>
    <row r="6286" spans="1:28" x14ac:dyDescent="0.25">
      <c r="A6286" t="s">
        <v>6290</v>
      </c>
      <c r="B6286">
        <v>0.99472303558308395</v>
      </c>
      <c r="C6286">
        <v>0.93251354960639099</v>
      </c>
      <c r="D6286">
        <v>0.96073350367210997</v>
      </c>
      <c r="E6286">
        <v>0.89367776858013503</v>
      </c>
      <c r="F6286">
        <v>0.67696569576032095</v>
      </c>
      <c r="G6286">
        <v>0.42210259307992198</v>
      </c>
      <c r="H6286">
        <v>0.30201225956532601</v>
      </c>
      <c r="I6286">
        <v>0.33537654814420598</v>
      </c>
      <c r="J6286">
        <v>0.40679439368669801</v>
      </c>
      <c r="K6286">
        <v>0.48674790530505901</v>
      </c>
      <c r="L6286">
        <v>1466.71706515913</v>
      </c>
      <c r="M6286">
        <v>29.481251090508</v>
      </c>
      <c r="N6286">
        <v>52.256047950276603</v>
      </c>
      <c r="O6286">
        <v>49.523639217856498</v>
      </c>
      <c r="P6286">
        <v>-9.2519023827948396E-2</v>
      </c>
      <c r="Q6286">
        <v>0.37833780556333202</v>
      </c>
      <c r="R6286">
        <v>0.95776906138998796</v>
      </c>
      <c r="S6286" t="s">
        <v>12854</v>
      </c>
      <c r="T6286" t="s">
        <v>13134</v>
      </c>
      <c r="U6286" t="s">
        <v>13134</v>
      </c>
      <c r="V6286" t="s">
        <v>13134</v>
      </c>
      <c r="W6286" t="s">
        <v>19350</v>
      </c>
      <c r="X6286">
        <v>10</v>
      </c>
      <c r="Y6286" t="s">
        <v>25703</v>
      </c>
      <c r="Z6286" t="s">
        <v>32254</v>
      </c>
      <c r="AA6286">
        <v>0.64649364696199874</v>
      </c>
      <c r="AB6286" t="str">
        <f>HYPERLINK("Melting_Curves/meltCurve_Q9UMX5_NENF.pdf", "Melting_Curves/meltCurve_Q9UMX5_NENF.pdf")</f>
        <v>Melting_Curves/meltCurve_Q9UMX5_NENF.pdf</v>
      </c>
    </row>
    <row r="6287" spans="1:28" x14ac:dyDescent="0.25">
      <c r="A6287" t="s">
        <v>6291</v>
      </c>
      <c r="B6287">
        <v>0.99472303558308395</v>
      </c>
      <c r="C6287">
        <v>1.0022434675344301</v>
      </c>
      <c r="D6287">
        <v>1.0084053312032599</v>
      </c>
      <c r="E6287">
        <v>0.91430215153417704</v>
      </c>
      <c r="F6287">
        <v>0.41832773050843403</v>
      </c>
      <c r="G6287">
        <v>0.158949982338115</v>
      </c>
      <c r="H6287">
        <v>8.2485864314827503E-2</v>
      </c>
      <c r="I6287">
        <v>6.3146629295366394E-2</v>
      </c>
      <c r="J6287">
        <v>6.3627380522115098E-2</v>
      </c>
      <c r="K6287">
        <v>5.52882346209485E-2</v>
      </c>
      <c r="L6287">
        <v>1662.2644384225</v>
      </c>
      <c r="M6287">
        <v>33.557387026797997</v>
      </c>
      <c r="N6287">
        <v>49.753211640559499</v>
      </c>
      <c r="O6287">
        <v>49.360077249569699</v>
      </c>
      <c r="P6287">
        <v>-0.15833129421128</v>
      </c>
      <c r="Q6287">
        <v>6.8436450627587395E-2</v>
      </c>
      <c r="R6287">
        <v>0.99899947873559403</v>
      </c>
      <c r="S6287" t="s">
        <v>12855</v>
      </c>
      <c r="T6287" t="s">
        <v>13134</v>
      </c>
      <c r="U6287" t="s">
        <v>13134</v>
      </c>
      <c r="V6287" t="s">
        <v>13134</v>
      </c>
      <c r="W6287" t="s">
        <v>19351</v>
      </c>
      <c r="X6287">
        <v>12</v>
      </c>
      <c r="Y6287" t="s">
        <v>25704</v>
      </c>
      <c r="Z6287" t="s">
        <v>32255</v>
      </c>
      <c r="AA6287">
        <v>0.46221027735730369</v>
      </c>
      <c r="AB6287" t="str">
        <f>HYPERLINK("Melting_Curves/meltCurve_Q9UMY4_2_SNX12.pdf", "Melting_Curves/meltCurve_Q9UMY4_2_SNX12.pdf")</f>
        <v>Melting_Curves/meltCurve_Q9UMY4_2_SNX12.pdf</v>
      </c>
    </row>
    <row r="6288" spans="1:28" x14ac:dyDescent="0.25">
      <c r="A6288" t="s">
        <v>6292</v>
      </c>
      <c r="B6288">
        <v>0.99472303558308395</v>
      </c>
      <c r="C6288">
        <v>0.97759537214735204</v>
      </c>
      <c r="D6288">
        <v>0.73684469206231495</v>
      </c>
      <c r="E6288">
        <v>0.615838969178781</v>
      </c>
      <c r="F6288">
        <v>0.392467310671337</v>
      </c>
      <c r="G6288">
        <v>0.202435953697223</v>
      </c>
      <c r="H6288">
        <v>0.12905734051488299</v>
      </c>
      <c r="I6288">
        <v>0.10729184445066001</v>
      </c>
      <c r="J6288">
        <v>0.125298827621386</v>
      </c>
      <c r="K6288">
        <v>8.6612345587703796E-2</v>
      </c>
      <c r="L6288">
        <v>626.883934807429</v>
      </c>
      <c r="M6288">
        <v>13.2273910642201</v>
      </c>
      <c r="N6288">
        <v>47.916984418296103</v>
      </c>
      <c r="O6288">
        <v>46.348926995282397</v>
      </c>
      <c r="P6288">
        <v>-6.6552472924223796E-2</v>
      </c>
      <c r="Q6288">
        <v>6.7351551416333505E-2</v>
      </c>
      <c r="R6288">
        <v>0.99062155296552301</v>
      </c>
      <c r="S6288" t="s">
        <v>12856</v>
      </c>
      <c r="T6288" t="s">
        <v>13134</v>
      </c>
      <c r="U6288" t="s">
        <v>13134</v>
      </c>
      <c r="V6288" t="s">
        <v>13134</v>
      </c>
      <c r="W6288" t="s">
        <v>19352</v>
      </c>
      <c r="X6288">
        <v>10</v>
      </c>
      <c r="Y6288" t="s">
        <v>25705</v>
      </c>
      <c r="Z6288" t="s">
        <v>32256</v>
      </c>
      <c r="AA6288">
        <v>0.41620783788106902</v>
      </c>
      <c r="AB6288" t="str">
        <f>HYPERLINK("Melting_Curves/meltCurve_Q9UMZ2_6_SYNRG.pdf", "Melting_Curves/meltCurve_Q9UMZ2_6_SYNRG.pdf")</f>
        <v>Melting_Curves/meltCurve_Q9UMZ2_6_SYNRG.pdf</v>
      </c>
    </row>
    <row r="6289" spans="1:28" x14ac:dyDescent="0.25">
      <c r="A6289" t="s">
        <v>6293</v>
      </c>
      <c r="B6289">
        <v>0.99472303558308395</v>
      </c>
      <c r="C6289">
        <v>1.12099554253745</v>
      </c>
      <c r="D6289">
        <v>0.98343486825526205</v>
      </c>
      <c r="E6289">
        <v>0.99874265698549902</v>
      </c>
      <c r="F6289">
        <v>0.79416250920404297</v>
      </c>
      <c r="G6289">
        <v>0.58409901402994902</v>
      </c>
      <c r="H6289">
        <v>0.183502400976156</v>
      </c>
      <c r="I6289">
        <v>8.5553999355060306E-2</v>
      </c>
      <c r="J6289">
        <v>8.8652345466261107E-2</v>
      </c>
      <c r="K6289">
        <v>8.8801166283199104E-2</v>
      </c>
      <c r="L6289">
        <v>1278.96161111128</v>
      </c>
      <c r="M6289">
        <v>23.780979101298499</v>
      </c>
      <c r="N6289">
        <v>54.047701527934599</v>
      </c>
      <c r="O6289">
        <v>53.404899153150097</v>
      </c>
      <c r="P6289">
        <v>-0.10515953135563801</v>
      </c>
      <c r="Q6289">
        <v>5.5389257596857797E-2</v>
      </c>
      <c r="R6289">
        <v>0.98517791369367602</v>
      </c>
      <c r="S6289" t="s">
        <v>12857</v>
      </c>
      <c r="T6289" t="s">
        <v>13134</v>
      </c>
      <c r="U6289" t="s">
        <v>13134</v>
      </c>
      <c r="V6289" t="s">
        <v>13134</v>
      </c>
      <c r="W6289" t="s">
        <v>19353</v>
      </c>
      <c r="X6289">
        <v>11</v>
      </c>
      <c r="Y6289" t="s">
        <v>20481</v>
      </c>
      <c r="Z6289" t="s">
        <v>32257</v>
      </c>
      <c r="AA6289">
        <v>0.59273985055870393</v>
      </c>
      <c r="AB6289" t="str">
        <f>HYPERLINK("Melting_Curves/meltCurve_Q9UN36_2_NDRG2.pdf", "Melting_Curves/meltCurve_Q9UN36_2_NDRG2.pdf")</f>
        <v>Melting_Curves/meltCurve_Q9UN36_2_NDRG2.pdf</v>
      </c>
    </row>
    <row r="6290" spans="1:28" x14ac:dyDescent="0.25">
      <c r="A6290" t="s">
        <v>6294</v>
      </c>
      <c r="B6290">
        <v>0.99472303558308395</v>
      </c>
      <c r="C6290">
        <v>1.0519978660418801</v>
      </c>
      <c r="D6290">
        <v>0.93048042281411103</v>
      </c>
      <c r="E6290">
        <v>0.782015520778089</v>
      </c>
      <c r="F6290">
        <v>0.19784248350179101</v>
      </c>
      <c r="G6290">
        <v>9.5858119397182195E-2</v>
      </c>
      <c r="H6290">
        <v>6.1062664090076199E-2</v>
      </c>
      <c r="I6290">
        <v>5.15080735957879E-2</v>
      </c>
      <c r="J6290">
        <v>6.4547354837736395E-2</v>
      </c>
      <c r="K6290">
        <v>5.0897627604935103E-2</v>
      </c>
      <c r="L6290">
        <v>1833.2149430187901</v>
      </c>
      <c r="M6290">
        <v>38.1951962177531</v>
      </c>
      <c r="N6290">
        <v>48.156782504167197</v>
      </c>
      <c r="O6290">
        <v>47.864956513763097</v>
      </c>
      <c r="P6290">
        <v>-0.187549467071703</v>
      </c>
      <c r="Q6290">
        <v>5.9879186560057598E-2</v>
      </c>
      <c r="R6290">
        <v>0.99611526795073002</v>
      </c>
      <c r="S6290" t="s">
        <v>12858</v>
      </c>
      <c r="T6290" t="s">
        <v>13134</v>
      </c>
      <c r="U6290" t="s">
        <v>13134</v>
      </c>
      <c r="V6290" t="s">
        <v>13134</v>
      </c>
      <c r="W6290" t="s">
        <v>19354</v>
      </c>
      <c r="X6290">
        <v>14</v>
      </c>
      <c r="Y6290" t="s">
        <v>25706</v>
      </c>
      <c r="Z6290" t="s">
        <v>32258</v>
      </c>
      <c r="AA6290">
        <v>0.40788666157723552</v>
      </c>
      <c r="AB6290" t="str">
        <f>HYPERLINK("Melting_Curves/meltCurve_Q9UN37_VPS4A.pdf", "Melting_Curves/meltCurve_Q9UN37_VPS4A.pdf")</f>
        <v>Melting_Curves/meltCurve_Q9UN37_VPS4A.pdf</v>
      </c>
    </row>
    <row r="6291" spans="1:28" x14ac:dyDescent="0.25">
      <c r="A6291" t="s">
        <v>6295</v>
      </c>
      <c r="B6291">
        <v>0.99472303558308395</v>
      </c>
      <c r="C6291">
        <v>0.98195520544495196</v>
      </c>
      <c r="D6291">
        <v>0.83819182055211705</v>
      </c>
      <c r="E6291">
        <v>0.61629123233708605</v>
      </c>
      <c r="F6291">
        <v>0.36513009772119498</v>
      </c>
      <c r="G6291">
        <v>0.176374317921942</v>
      </c>
      <c r="H6291">
        <v>9.9649822215634898E-2</v>
      </c>
      <c r="I6291">
        <v>7.4928737417306004E-2</v>
      </c>
      <c r="J6291">
        <v>9.0856004898316994E-2</v>
      </c>
      <c r="K6291">
        <v>8.1827058645715198E-2</v>
      </c>
      <c r="L6291">
        <v>769.52890460123001</v>
      </c>
      <c r="M6291">
        <v>16.152156791693098</v>
      </c>
      <c r="N6291">
        <v>48.026404703615299</v>
      </c>
      <c r="O6291">
        <v>46.930164087288098</v>
      </c>
      <c r="P6291">
        <v>-8.0838436555036502E-2</v>
      </c>
      <c r="Q6291">
        <v>6.0565232139560797E-2</v>
      </c>
      <c r="R6291">
        <v>0.99833470914005995</v>
      </c>
      <c r="S6291" t="s">
        <v>12859</v>
      </c>
      <c r="T6291" t="s">
        <v>13134</v>
      </c>
      <c r="U6291" t="s">
        <v>13134</v>
      </c>
      <c r="V6291" t="s">
        <v>13134</v>
      </c>
      <c r="W6291" t="s">
        <v>19355</v>
      </c>
      <c r="X6291">
        <v>15</v>
      </c>
      <c r="Y6291" t="s">
        <v>25707</v>
      </c>
      <c r="Z6291" t="s">
        <v>32259</v>
      </c>
      <c r="AA6291">
        <v>0.41214610531409163</v>
      </c>
      <c r="AB6291" t="str">
        <f>HYPERLINK("Melting_Curves/meltCurve_Q9UN86_2_G3BP2.pdf", "Melting_Curves/meltCurve_Q9UN86_2_G3BP2.pdf")</f>
        <v>Melting_Curves/meltCurve_Q9UN86_2_G3BP2.pdf</v>
      </c>
    </row>
    <row r="6292" spans="1:28" x14ac:dyDescent="0.25">
      <c r="A6292" t="s">
        <v>6296</v>
      </c>
      <c r="B6292">
        <v>0.99472303558308395</v>
      </c>
      <c r="C6292">
        <v>0.86297502386252101</v>
      </c>
      <c r="D6292">
        <v>0.75403915763219098</v>
      </c>
      <c r="E6292">
        <v>0.30388168531319998</v>
      </c>
      <c r="F6292">
        <v>0.14851500150660099</v>
      </c>
      <c r="G6292">
        <v>7.9927485610304397E-2</v>
      </c>
      <c r="H6292">
        <v>5.4058330212295301E-2</v>
      </c>
      <c r="I6292">
        <v>4.3575058370119199E-2</v>
      </c>
      <c r="J6292">
        <v>5.2983067958490303E-2</v>
      </c>
      <c r="K6292">
        <v>4.1484128367498797E-2</v>
      </c>
      <c r="L6292">
        <v>917.34879257320699</v>
      </c>
      <c r="M6292">
        <v>20.514380786337899</v>
      </c>
      <c r="N6292">
        <v>44.922991002381004</v>
      </c>
      <c r="O6292">
        <v>44.298935122173198</v>
      </c>
      <c r="P6292">
        <v>-0.110587220256221</v>
      </c>
      <c r="Q6292">
        <v>4.4816039585772197E-2</v>
      </c>
      <c r="R6292">
        <v>0.99438951452200497</v>
      </c>
      <c r="S6292" t="s">
        <v>12860</v>
      </c>
      <c r="T6292" t="s">
        <v>13134</v>
      </c>
      <c r="U6292" t="s">
        <v>13134</v>
      </c>
      <c r="V6292" t="s">
        <v>13134</v>
      </c>
      <c r="W6292" t="s">
        <v>19356</v>
      </c>
      <c r="X6292">
        <v>30</v>
      </c>
      <c r="Y6292" t="s">
        <v>25708</v>
      </c>
      <c r="Z6292" t="s">
        <v>32260</v>
      </c>
      <c r="AA6292">
        <v>0.30246413381748372</v>
      </c>
      <c r="AB6292" t="str">
        <f>HYPERLINK("Melting_Curves/meltCurve_Q9UNE7_STUB1.pdf", "Melting_Curves/meltCurve_Q9UNE7_STUB1.pdf")</f>
        <v>Melting_Curves/meltCurve_Q9UNE7_STUB1.pdf</v>
      </c>
    </row>
    <row r="6293" spans="1:28" x14ac:dyDescent="0.25">
      <c r="A6293" t="s">
        <v>6297</v>
      </c>
      <c r="B6293">
        <v>0.99472303558308395</v>
      </c>
      <c r="C6293">
        <v>0.99575602619248604</v>
      </c>
      <c r="D6293">
        <v>0.96682033354768204</v>
      </c>
      <c r="E6293">
        <v>0.80941780711508104</v>
      </c>
      <c r="F6293">
        <v>0.20236051391530499</v>
      </c>
      <c r="G6293">
        <v>0.117263901932982</v>
      </c>
      <c r="H6293">
        <v>7.8313806923047402E-2</v>
      </c>
      <c r="I6293">
        <v>6.0219181750157898E-2</v>
      </c>
      <c r="J6293">
        <v>7.7116025196740295E-2</v>
      </c>
      <c r="K6293">
        <v>5.9791038037474202E-2</v>
      </c>
      <c r="L6293">
        <v>2008.55021476152</v>
      </c>
      <c r="M6293">
        <v>41.781487694194198</v>
      </c>
      <c r="N6293">
        <v>48.2604661923246</v>
      </c>
      <c r="O6293">
        <v>47.962975193817798</v>
      </c>
      <c r="P6293">
        <v>-0.20144662298916999</v>
      </c>
      <c r="Q6293">
        <v>7.5000177461151202E-2</v>
      </c>
      <c r="R6293">
        <v>0.99869195527828203</v>
      </c>
      <c r="S6293" t="s">
        <v>12861</v>
      </c>
      <c r="T6293" t="s">
        <v>13134</v>
      </c>
      <c r="U6293" t="s">
        <v>13134</v>
      </c>
      <c r="V6293" t="s">
        <v>13134</v>
      </c>
      <c r="W6293" t="s">
        <v>19357</v>
      </c>
      <c r="X6293">
        <v>21</v>
      </c>
      <c r="Y6293" t="s">
        <v>25709</v>
      </c>
      <c r="Z6293" t="s">
        <v>32261</v>
      </c>
      <c r="AA6293">
        <v>0.41922473439367403</v>
      </c>
      <c r="AB6293" t="str">
        <f>HYPERLINK("Melting_Curves/meltCurve_Q9UNF0_2_PACSIN2.pdf", "Melting_Curves/meltCurve_Q9UNF0_2_PACSIN2.pdf")</f>
        <v>Melting_Curves/meltCurve_Q9UNF0_2_PACSIN2.pdf</v>
      </c>
    </row>
    <row r="6294" spans="1:28" x14ac:dyDescent="0.25">
      <c r="A6294" t="s">
        <v>6298</v>
      </c>
      <c r="B6294">
        <v>0.99472303558308395</v>
      </c>
      <c r="C6294">
        <v>0.89051037042405301</v>
      </c>
      <c r="D6294">
        <v>0.52517395925240395</v>
      </c>
      <c r="E6294">
        <v>0.30803645063461099</v>
      </c>
      <c r="F6294">
        <v>0.175587184965109</v>
      </c>
      <c r="G6294">
        <v>0.101249361998575</v>
      </c>
      <c r="H6294">
        <v>6.0468362645251197E-2</v>
      </c>
      <c r="I6294">
        <v>4.6162564215004601E-2</v>
      </c>
      <c r="J6294">
        <v>6.3225314404050506E-2</v>
      </c>
      <c r="K6294">
        <v>4.5988225661333398E-2</v>
      </c>
      <c r="L6294">
        <v>769.30253116877805</v>
      </c>
      <c r="M6294">
        <v>17.655808454394599</v>
      </c>
      <c r="N6294">
        <v>43.880587264637199</v>
      </c>
      <c r="O6294">
        <v>43.024779306138498</v>
      </c>
      <c r="P6294">
        <v>-9.66103728478825E-2</v>
      </c>
      <c r="Q6294">
        <v>5.83455135850936E-2</v>
      </c>
      <c r="R6294">
        <v>0.99221124344591904</v>
      </c>
      <c r="S6294" t="s">
        <v>12862</v>
      </c>
      <c r="T6294" t="s">
        <v>13134</v>
      </c>
      <c r="U6294" t="s">
        <v>13134</v>
      </c>
      <c r="V6294" t="s">
        <v>13134</v>
      </c>
      <c r="W6294" t="s">
        <v>19358</v>
      </c>
      <c r="X6294">
        <v>14</v>
      </c>
      <c r="Y6294" t="s">
        <v>25710</v>
      </c>
      <c r="Z6294" t="s">
        <v>32262</v>
      </c>
      <c r="AA6294">
        <v>0.28148829392945818</v>
      </c>
      <c r="AB6294" t="str">
        <f>HYPERLINK("Melting_Curves/meltCurve_Q9UNF1_MAGED2.pdf", "Melting_Curves/meltCurve_Q9UNF1_MAGED2.pdf")</f>
        <v>Melting_Curves/meltCurve_Q9UNF1_MAGED2.pdf</v>
      </c>
    </row>
    <row r="6295" spans="1:28" x14ac:dyDescent="0.25">
      <c r="A6295" t="s">
        <v>6299</v>
      </c>
      <c r="B6295">
        <v>0.99472303558308395</v>
      </c>
      <c r="C6295">
        <v>0.95818307606364195</v>
      </c>
      <c r="D6295">
        <v>0.96507181552060595</v>
      </c>
      <c r="E6295">
        <v>0.63092383202381397</v>
      </c>
      <c r="F6295">
        <v>0.14699735593883001</v>
      </c>
      <c r="G6295">
        <v>7.1682634510518206E-2</v>
      </c>
      <c r="H6295">
        <v>3.8756838195652198E-2</v>
      </c>
      <c r="I6295">
        <v>3.2243019332834702E-2</v>
      </c>
      <c r="J6295">
        <v>3.38429793458793E-2</v>
      </c>
      <c r="K6295">
        <v>2.9342559044379799E-2</v>
      </c>
      <c r="L6295">
        <v>1579.52330891614</v>
      </c>
      <c r="M6295">
        <v>33.429305568594998</v>
      </c>
      <c r="N6295">
        <v>47.355692497610796</v>
      </c>
      <c r="O6295">
        <v>47.081538143374502</v>
      </c>
      <c r="P6295">
        <v>-0.17110817169936299</v>
      </c>
      <c r="Q6295">
        <v>3.6055142129162103E-2</v>
      </c>
      <c r="R6295">
        <v>0.99878447042671603</v>
      </c>
      <c r="S6295" t="s">
        <v>12863</v>
      </c>
      <c r="T6295" t="s">
        <v>13134</v>
      </c>
      <c r="U6295" t="s">
        <v>13134</v>
      </c>
      <c r="V6295" t="s">
        <v>13134</v>
      </c>
      <c r="W6295" t="s">
        <v>19359</v>
      </c>
      <c r="X6295">
        <v>27</v>
      </c>
      <c r="Y6295" t="s">
        <v>25711</v>
      </c>
      <c r="Z6295" t="s">
        <v>32263</v>
      </c>
      <c r="AA6295">
        <v>0.36991563198582961</v>
      </c>
      <c r="AB6295" t="str">
        <f>HYPERLINK("Melting_Curves/meltCurve_Q9UNH7_SNX6.pdf", "Melting_Curves/meltCurve_Q9UNH7_SNX6.pdf")</f>
        <v>Melting_Curves/meltCurve_Q9UNH7_SNX6.pdf</v>
      </c>
    </row>
    <row r="6296" spans="1:28" x14ac:dyDescent="0.25">
      <c r="A6296" t="s">
        <v>6300</v>
      </c>
      <c r="B6296">
        <v>0.99472303558308395</v>
      </c>
      <c r="C6296">
        <v>0.961585164663319</v>
      </c>
      <c r="D6296">
        <v>0.94699627516454099</v>
      </c>
      <c r="E6296">
        <v>0.73618178289252501</v>
      </c>
      <c r="F6296">
        <v>0.37642365787523002</v>
      </c>
      <c r="G6296">
        <v>0.18539312452238199</v>
      </c>
      <c r="H6296">
        <v>9.5754422404963596E-2</v>
      </c>
      <c r="I6296">
        <v>7.8867380053444694E-2</v>
      </c>
      <c r="J6296">
        <v>7.8395775554807895E-2</v>
      </c>
      <c r="K6296">
        <v>7.3000986505923293E-2</v>
      </c>
      <c r="L6296">
        <v>1025.44835134505</v>
      </c>
      <c r="M6296">
        <v>21.101629529969198</v>
      </c>
      <c r="N6296">
        <v>48.939223642834698</v>
      </c>
      <c r="O6296">
        <v>48.165579263487999</v>
      </c>
      <c r="P6296">
        <v>-0.101989884819972</v>
      </c>
      <c r="Q6296">
        <v>6.8835430430244302E-2</v>
      </c>
      <c r="R6296">
        <v>0.99925322238828296</v>
      </c>
      <c r="S6296" t="s">
        <v>12864</v>
      </c>
      <c r="T6296" t="s">
        <v>13134</v>
      </c>
      <c r="U6296" t="s">
        <v>13134</v>
      </c>
      <c r="V6296" t="s">
        <v>13134</v>
      </c>
      <c r="W6296" t="s">
        <v>19360</v>
      </c>
      <c r="X6296">
        <v>9</v>
      </c>
      <c r="Y6296" t="s">
        <v>25712</v>
      </c>
      <c r="Z6296" t="s">
        <v>32264</v>
      </c>
      <c r="AA6296">
        <v>0.43984128669344302</v>
      </c>
      <c r="AB6296" t="str">
        <f>HYPERLINK("Melting_Curves/meltCurve_Q9UNI6_DUSP12.pdf", "Melting_Curves/meltCurve_Q9UNI6_DUSP12.pdf")</f>
        <v>Melting_Curves/meltCurve_Q9UNI6_DUSP12.pdf</v>
      </c>
    </row>
    <row r="6297" spans="1:28" x14ac:dyDescent="0.25">
      <c r="A6297" t="s">
        <v>6301</v>
      </c>
      <c r="B6297">
        <v>0.99472303558308395</v>
      </c>
      <c r="C6297">
        <v>0.92506941679026899</v>
      </c>
      <c r="D6297">
        <v>0.93025973307896104</v>
      </c>
      <c r="E6297">
        <v>0.75776409280485302</v>
      </c>
      <c r="F6297">
        <v>0.54473381609171401</v>
      </c>
      <c r="G6297">
        <v>0.36362378669204398</v>
      </c>
      <c r="H6297">
        <v>0.30857029504720102</v>
      </c>
      <c r="I6297">
        <v>0.25772215462541498</v>
      </c>
      <c r="J6297">
        <v>0.28977652141718202</v>
      </c>
      <c r="K6297">
        <v>0.29028308756341697</v>
      </c>
      <c r="L6297">
        <v>819.58560832254898</v>
      </c>
      <c r="M6297">
        <v>16.887065952233801</v>
      </c>
      <c r="N6297">
        <v>50.769517260587897</v>
      </c>
      <c r="O6297">
        <v>47.868075119113598</v>
      </c>
      <c r="P6297">
        <v>-6.5061845188050998E-2</v>
      </c>
      <c r="Q6297">
        <v>0.26234960155418502</v>
      </c>
      <c r="R6297">
        <v>0.99384127811003498</v>
      </c>
      <c r="S6297" t="s">
        <v>12865</v>
      </c>
      <c r="T6297" t="s">
        <v>13134</v>
      </c>
      <c r="U6297" t="s">
        <v>13134</v>
      </c>
      <c r="V6297" t="s">
        <v>13134</v>
      </c>
      <c r="W6297" t="s">
        <v>19361</v>
      </c>
      <c r="X6297">
        <v>6</v>
      </c>
      <c r="Y6297" t="s">
        <v>25713</v>
      </c>
      <c r="Z6297" t="s">
        <v>32265</v>
      </c>
      <c r="AA6297">
        <v>0.55909161066705193</v>
      </c>
      <c r="AB6297" t="str">
        <f>HYPERLINK("Melting_Curves/meltCurve_Q9UNK0_STX8.pdf", "Melting_Curves/meltCurve_Q9UNK0_STX8.pdf")</f>
        <v>Melting_Curves/meltCurve_Q9UNK0_STX8.pdf</v>
      </c>
    </row>
    <row r="6298" spans="1:28" x14ac:dyDescent="0.25">
      <c r="A6298" t="s">
        <v>6302</v>
      </c>
      <c r="B6298">
        <v>0.99472303558308395</v>
      </c>
      <c r="C6298">
        <v>0.93222175060513601</v>
      </c>
      <c r="D6298">
        <v>0.82461443176590599</v>
      </c>
      <c r="E6298">
        <v>0.66968753303605899</v>
      </c>
      <c r="F6298">
        <v>0.48613624433014402</v>
      </c>
      <c r="G6298">
        <v>0.179679526452244</v>
      </c>
      <c r="H6298">
        <v>7.6997927830675494E-2</v>
      </c>
      <c r="I6298">
        <v>4.62285956981007E-2</v>
      </c>
      <c r="J6298">
        <v>4.7466993289967202E-2</v>
      </c>
      <c r="K6298">
        <v>4.1120029747894901E-2</v>
      </c>
      <c r="L6298">
        <v>671.72330968174003</v>
      </c>
      <c r="M6298">
        <v>13.7248975488766</v>
      </c>
      <c r="N6298">
        <v>48.941949116409198</v>
      </c>
      <c r="O6298">
        <v>47.938039874313802</v>
      </c>
      <c r="P6298">
        <v>-7.1586468881927795E-2</v>
      </c>
      <c r="Q6298">
        <v>0</v>
      </c>
      <c r="R6298">
        <v>0.99152597539501297</v>
      </c>
      <c r="S6298" t="s">
        <v>12866</v>
      </c>
      <c r="T6298" t="s">
        <v>13134</v>
      </c>
      <c r="U6298" t="s">
        <v>13134</v>
      </c>
      <c r="V6298" t="s">
        <v>13134</v>
      </c>
      <c r="W6298" t="s">
        <v>19362</v>
      </c>
      <c r="X6298">
        <v>23</v>
      </c>
      <c r="Y6298" t="s">
        <v>25714</v>
      </c>
      <c r="Z6298" t="s">
        <v>32266</v>
      </c>
      <c r="AA6298">
        <v>0.42274420267171442</v>
      </c>
      <c r="AB6298" t="str">
        <f>HYPERLINK("Melting_Curves/meltCurve_Q9UNM6_PSMD13.pdf", "Melting_Curves/meltCurve_Q9UNM6_PSMD13.pdf")</f>
        <v>Melting_Curves/meltCurve_Q9UNM6_PSMD13.pdf</v>
      </c>
    </row>
    <row r="6299" spans="1:28" x14ac:dyDescent="0.25">
      <c r="A6299" t="s">
        <v>6303</v>
      </c>
      <c r="B6299">
        <v>0.99472303558308395</v>
      </c>
      <c r="C6299">
        <v>0.99998632472899396</v>
      </c>
      <c r="D6299">
        <v>0.98745866691988704</v>
      </c>
      <c r="E6299">
        <v>0.89683090746794203</v>
      </c>
      <c r="F6299">
        <v>0.68223821600425505</v>
      </c>
      <c r="G6299">
        <v>0.33249628058840902</v>
      </c>
      <c r="H6299">
        <v>0.107774522997443</v>
      </c>
      <c r="I6299">
        <v>6.1332332575100797E-2</v>
      </c>
      <c r="J6299">
        <v>6.4489047902682298E-2</v>
      </c>
      <c r="K6299">
        <v>6.8506931299768606E-2</v>
      </c>
      <c r="L6299">
        <v>1161.28212426087</v>
      </c>
      <c r="M6299">
        <v>22.480503867346499</v>
      </c>
      <c r="N6299">
        <v>51.8693960496663</v>
      </c>
      <c r="O6299">
        <v>51.253731294404403</v>
      </c>
      <c r="P6299">
        <v>-0.10483997323765901</v>
      </c>
      <c r="Q6299">
        <v>4.3912632385220599E-2</v>
      </c>
      <c r="R6299">
        <v>0.99862789600444801</v>
      </c>
      <c r="S6299" t="s">
        <v>12867</v>
      </c>
      <c r="T6299" t="s">
        <v>13134</v>
      </c>
      <c r="U6299" t="s">
        <v>13134</v>
      </c>
      <c r="V6299" t="s">
        <v>13134</v>
      </c>
      <c r="W6299" t="s">
        <v>19363</v>
      </c>
      <c r="X6299">
        <v>37</v>
      </c>
      <c r="Y6299" t="s">
        <v>25715</v>
      </c>
      <c r="Z6299" t="s">
        <v>32267</v>
      </c>
      <c r="AA6299">
        <v>0.52125460178631544</v>
      </c>
      <c r="AB6299" t="str">
        <f>HYPERLINK("Melting_Curves/meltCurve_Q9UNN5_FAF1.pdf", "Melting_Curves/meltCurve_Q9UNN5_FAF1.pdf")</f>
        <v>Melting_Curves/meltCurve_Q9UNN5_FAF1.pdf</v>
      </c>
    </row>
    <row r="6300" spans="1:28" x14ac:dyDescent="0.25">
      <c r="A6300" t="s">
        <v>6304</v>
      </c>
      <c r="B6300">
        <v>0.99472303558308395</v>
      </c>
      <c r="C6300">
        <v>0.95067876590652001</v>
      </c>
      <c r="D6300">
        <v>0.90728933791863697</v>
      </c>
      <c r="E6300">
        <v>0.85273301604270801</v>
      </c>
      <c r="F6300">
        <v>0.74789163224087496</v>
      </c>
      <c r="G6300">
        <v>0.50865082335957301</v>
      </c>
      <c r="H6300">
        <v>0.37878998886968901</v>
      </c>
      <c r="I6300">
        <v>0.33176485584992199</v>
      </c>
      <c r="J6300">
        <v>0.55183606064663504</v>
      </c>
      <c r="K6300">
        <v>0.35615136202149</v>
      </c>
      <c r="L6300">
        <v>875.86338393317897</v>
      </c>
      <c r="M6300">
        <v>17.473404131421599</v>
      </c>
      <c r="N6300">
        <v>54.637967577689302</v>
      </c>
      <c r="O6300">
        <v>49.482805310075797</v>
      </c>
      <c r="P6300">
        <v>-5.4568789802394602E-2</v>
      </c>
      <c r="Q6300">
        <v>0.38190242606408997</v>
      </c>
      <c r="R6300">
        <v>0.92650967495964198</v>
      </c>
      <c r="S6300" t="s">
        <v>12868</v>
      </c>
      <c r="T6300" t="s">
        <v>13134</v>
      </c>
      <c r="U6300" t="s">
        <v>13134</v>
      </c>
      <c r="V6300" t="s">
        <v>13134</v>
      </c>
      <c r="W6300" t="s">
        <v>19364</v>
      </c>
      <c r="X6300">
        <v>3</v>
      </c>
      <c r="Y6300" t="s">
        <v>25716</v>
      </c>
      <c r="Z6300" t="s">
        <v>32268</v>
      </c>
      <c r="AA6300">
        <v>0.66253326254217804</v>
      </c>
      <c r="AB6300" t="str">
        <f>HYPERLINK("Melting_Curves/meltCurve_Q9UNN8_PROCR.pdf", "Melting_Curves/meltCurve_Q9UNN8_PROCR.pdf")</f>
        <v>Melting_Curves/meltCurve_Q9UNN8_PROCR.pdf</v>
      </c>
    </row>
    <row r="6301" spans="1:28" x14ac:dyDescent="0.25">
      <c r="A6301" t="s">
        <v>6305</v>
      </c>
      <c r="B6301">
        <v>0.99472303558308395</v>
      </c>
      <c r="C6301">
        <v>1.0251344444691299</v>
      </c>
      <c r="D6301">
        <v>0.822742749605892</v>
      </c>
      <c r="E6301">
        <v>0.59522345978611602</v>
      </c>
      <c r="F6301">
        <v>0.51275813424657801</v>
      </c>
      <c r="G6301">
        <v>0.363737845351918</v>
      </c>
      <c r="H6301">
        <v>0.17124525714316499</v>
      </c>
      <c r="I6301">
        <v>0.106225473717778</v>
      </c>
      <c r="J6301">
        <v>0.103748221064157</v>
      </c>
      <c r="K6301">
        <v>9.5188117418923704E-2</v>
      </c>
      <c r="L6301">
        <v>542.17167690869496</v>
      </c>
      <c r="M6301">
        <v>10.9617142675006</v>
      </c>
      <c r="N6301">
        <v>49.716806920963997</v>
      </c>
      <c r="O6301">
        <v>47.899868632238899</v>
      </c>
      <c r="P6301">
        <v>-5.5658791526750899E-2</v>
      </c>
      <c r="Q6301">
        <v>2.7474203984724901E-2</v>
      </c>
      <c r="R6301">
        <v>0.98290368294965402</v>
      </c>
      <c r="S6301" t="s">
        <v>12869</v>
      </c>
      <c r="T6301" t="s">
        <v>13134</v>
      </c>
      <c r="U6301" t="s">
        <v>13134</v>
      </c>
      <c r="V6301" t="s">
        <v>13134</v>
      </c>
      <c r="W6301" t="s">
        <v>19365</v>
      </c>
      <c r="X6301">
        <v>11</v>
      </c>
      <c r="Y6301" t="s">
        <v>25717</v>
      </c>
      <c r="Z6301" t="s">
        <v>32269</v>
      </c>
      <c r="AA6301">
        <v>0.46279759211712679</v>
      </c>
      <c r="AB6301" t="str">
        <f>HYPERLINK("Melting_Curves/meltCurve_Q9UNP9_PPIE.pdf", "Melting_Curves/meltCurve_Q9UNP9_PPIE.pdf")</f>
        <v>Melting_Curves/meltCurve_Q9UNP9_PPIE.pdf</v>
      </c>
    </row>
    <row r="6302" spans="1:28" x14ac:dyDescent="0.25">
      <c r="A6302" t="s">
        <v>6306</v>
      </c>
      <c r="B6302">
        <v>0.99472303558308395</v>
      </c>
      <c r="C6302">
        <v>0.89461931405927098</v>
      </c>
      <c r="D6302">
        <v>0.85102696093257801</v>
      </c>
      <c r="E6302">
        <v>0.68169649784389597</v>
      </c>
      <c r="F6302">
        <v>0.72971700199595801</v>
      </c>
      <c r="G6302">
        <v>0.31249678441760598</v>
      </c>
      <c r="H6302">
        <v>0.24718762077628001</v>
      </c>
      <c r="I6302">
        <v>0.127460796115688</v>
      </c>
      <c r="J6302">
        <v>0.17277762007245101</v>
      </c>
      <c r="K6302">
        <v>0.104163478055318</v>
      </c>
      <c r="L6302">
        <v>505.33263721025497</v>
      </c>
      <c r="M6302">
        <v>9.8130241414294197</v>
      </c>
      <c r="N6302">
        <v>51.496116670708901</v>
      </c>
      <c r="O6302">
        <v>49.494234782851699</v>
      </c>
      <c r="P6302">
        <v>-4.9592411742358601E-2</v>
      </c>
      <c r="Q6302">
        <v>0</v>
      </c>
      <c r="R6302">
        <v>0.95812390581505402</v>
      </c>
      <c r="S6302" t="s">
        <v>12870</v>
      </c>
      <c r="T6302" t="s">
        <v>13134</v>
      </c>
      <c r="U6302" t="s">
        <v>13134</v>
      </c>
      <c r="V6302" t="s">
        <v>13134</v>
      </c>
      <c r="W6302" t="s">
        <v>19366</v>
      </c>
      <c r="X6302">
        <v>4</v>
      </c>
      <c r="Y6302" t="s">
        <v>25718</v>
      </c>
      <c r="Z6302" t="s">
        <v>32270</v>
      </c>
      <c r="AA6302">
        <v>0.51216917714552146</v>
      </c>
      <c r="AB6302" t="str">
        <f>HYPERLINK("Melting_Curves/meltCurve_Q9UNQ2_DIMT1.pdf", "Melting_Curves/meltCurve_Q9UNQ2_DIMT1.pdf")</f>
        <v>Melting_Curves/meltCurve_Q9UNQ2_DIMT1.pdf</v>
      </c>
    </row>
    <row r="6303" spans="1:28" x14ac:dyDescent="0.25">
      <c r="A6303" t="s">
        <v>6307</v>
      </c>
      <c r="B6303">
        <v>0.99472303558308395</v>
      </c>
      <c r="C6303">
        <v>0.80647643362042098</v>
      </c>
      <c r="D6303">
        <v>0.451669547734939</v>
      </c>
      <c r="E6303">
        <v>0.193707502185715</v>
      </c>
      <c r="F6303">
        <v>0.112790910507928</v>
      </c>
      <c r="G6303">
        <v>6.0239130862452098E-2</v>
      </c>
      <c r="H6303">
        <v>4.4465304313274702E-2</v>
      </c>
      <c r="I6303">
        <v>2.5734921864814301E-2</v>
      </c>
      <c r="J6303">
        <v>3.4006192789977498E-2</v>
      </c>
      <c r="K6303">
        <v>2.4721844162538899E-2</v>
      </c>
      <c r="L6303">
        <v>861.80161551452704</v>
      </c>
      <c r="M6303">
        <v>20.241850058607501</v>
      </c>
      <c r="N6303">
        <v>42.748765348297397</v>
      </c>
      <c r="O6303">
        <v>42.166239421348202</v>
      </c>
      <c r="P6303">
        <v>-0.115281857305694</v>
      </c>
      <c r="Q6303">
        <v>3.9445225481348101E-2</v>
      </c>
      <c r="R6303">
        <v>0.99690861775872097</v>
      </c>
      <c r="S6303" t="s">
        <v>12871</v>
      </c>
      <c r="T6303" t="s">
        <v>13134</v>
      </c>
      <c r="U6303" t="s">
        <v>13134</v>
      </c>
      <c r="V6303" t="s">
        <v>13134</v>
      </c>
      <c r="W6303" t="s">
        <v>19367</v>
      </c>
      <c r="X6303">
        <v>8</v>
      </c>
      <c r="Y6303" t="s">
        <v>25719</v>
      </c>
      <c r="Z6303" t="s">
        <v>32271</v>
      </c>
      <c r="AA6303">
        <v>0.23134941225295419</v>
      </c>
      <c r="AB6303" t="str">
        <f>HYPERLINK("Melting_Curves/meltCurve_Q9UNS1_2_TIMELESS.pdf", "Melting_Curves/meltCurve_Q9UNS1_2_TIMELESS.pdf")</f>
        <v>Melting_Curves/meltCurve_Q9UNS1_2_TIMELESS.pdf</v>
      </c>
    </row>
    <row r="6304" spans="1:28" x14ac:dyDescent="0.25">
      <c r="A6304" t="s">
        <v>6308</v>
      </c>
      <c r="B6304">
        <v>0.99472303558308395</v>
      </c>
      <c r="C6304">
        <v>0.94721759823025797</v>
      </c>
      <c r="D6304">
        <v>0.82155216904290196</v>
      </c>
      <c r="E6304">
        <v>0.72740717131394295</v>
      </c>
      <c r="F6304">
        <v>0.70916348927603401</v>
      </c>
      <c r="G6304">
        <v>0.38478718177805199</v>
      </c>
      <c r="H6304">
        <v>0.16915732390839799</v>
      </c>
      <c r="I6304">
        <v>0.349733952222476</v>
      </c>
      <c r="J6304">
        <v>0.24095579553939001</v>
      </c>
      <c r="K6304">
        <v>9.85702252543178E-2</v>
      </c>
      <c r="L6304">
        <v>497.63517367911498</v>
      </c>
      <c r="M6304">
        <v>9.6965842572719296</v>
      </c>
      <c r="N6304">
        <v>52.1132218999022</v>
      </c>
      <c r="O6304">
        <v>49.280533665854499</v>
      </c>
      <c r="P6304">
        <v>-4.5843517070676E-2</v>
      </c>
      <c r="Q6304">
        <v>6.8555441197541298E-2</v>
      </c>
      <c r="R6304">
        <v>0.93759087671470298</v>
      </c>
      <c r="S6304" t="s">
        <v>12872</v>
      </c>
      <c r="T6304" t="s">
        <v>13134</v>
      </c>
      <c r="U6304" t="s">
        <v>13134</v>
      </c>
      <c r="V6304" t="s">
        <v>13134</v>
      </c>
      <c r="W6304" t="s">
        <v>19368</v>
      </c>
      <c r="X6304">
        <v>16</v>
      </c>
      <c r="Y6304" t="s">
        <v>25720</v>
      </c>
      <c r="Z6304" t="s">
        <v>32272</v>
      </c>
      <c r="AA6304">
        <v>0.54102101743592668</v>
      </c>
      <c r="AB6304" t="str">
        <f>HYPERLINK("Melting_Curves/meltCurve_Q9UNS2_COPS3.pdf", "Melting_Curves/meltCurve_Q9UNS2_COPS3.pdf")</f>
        <v>Melting_Curves/meltCurve_Q9UNS2_COPS3.pdf</v>
      </c>
    </row>
    <row r="6305" spans="1:28" x14ac:dyDescent="0.25">
      <c r="A6305" t="s">
        <v>6309</v>
      </c>
      <c r="B6305">
        <v>0.99472303558308395</v>
      </c>
      <c r="C6305">
        <v>0.82351737987206397</v>
      </c>
      <c r="D6305">
        <v>0.930663515187378</v>
      </c>
      <c r="E6305">
        <v>0.83648716122304601</v>
      </c>
      <c r="F6305">
        <v>0.59801886312986097</v>
      </c>
      <c r="G6305">
        <v>0.53200106420015303</v>
      </c>
      <c r="H6305">
        <v>0.23843388408798599</v>
      </c>
      <c r="I6305">
        <v>0.15124770508024701</v>
      </c>
      <c r="J6305">
        <v>0.104629712401199</v>
      </c>
      <c r="K6305">
        <v>8.9228405920866602E-2</v>
      </c>
      <c r="L6305">
        <v>588.18400632938801</v>
      </c>
      <c r="M6305">
        <v>11.1690415956168</v>
      </c>
      <c r="N6305">
        <v>52.661982550447</v>
      </c>
      <c r="O6305">
        <v>51.058426856561901</v>
      </c>
      <c r="P6305">
        <v>-5.4704950037827701E-2</v>
      </c>
      <c r="Q6305">
        <v>0</v>
      </c>
      <c r="R6305">
        <v>0.96942559485422897</v>
      </c>
      <c r="S6305" t="s">
        <v>12873</v>
      </c>
      <c r="T6305" t="s">
        <v>13134</v>
      </c>
      <c r="U6305" t="s">
        <v>13134</v>
      </c>
      <c r="V6305" t="s">
        <v>13134</v>
      </c>
      <c r="W6305" t="s">
        <v>19369</v>
      </c>
      <c r="X6305">
        <v>11</v>
      </c>
      <c r="Y6305" t="s">
        <v>25721</v>
      </c>
      <c r="Z6305" t="s">
        <v>32273</v>
      </c>
      <c r="AA6305">
        <v>0.54498762234693388</v>
      </c>
      <c r="AB6305" t="str">
        <f>HYPERLINK("Melting_Curves/meltCurve_Q9UNW1_MINPP1.pdf", "Melting_Curves/meltCurve_Q9UNW1_MINPP1.pdf")</f>
        <v>Melting_Curves/meltCurve_Q9UNW1_MINPP1.pdf</v>
      </c>
    </row>
    <row r="6306" spans="1:28" x14ac:dyDescent="0.25">
      <c r="A6306" t="s">
        <v>6310</v>
      </c>
      <c r="B6306">
        <v>0.99472303558308395</v>
      </c>
      <c r="C6306">
        <v>0.94473519370871795</v>
      </c>
      <c r="D6306">
        <v>0.78333881569210995</v>
      </c>
      <c r="E6306">
        <v>0.57306047730304999</v>
      </c>
      <c r="F6306">
        <v>0.24287399609890001</v>
      </c>
      <c r="G6306">
        <v>0.11810350815908301</v>
      </c>
      <c r="H6306">
        <v>7.3745806185639404E-2</v>
      </c>
      <c r="I6306">
        <v>4.6299988884342801E-2</v>
      </c>
      <c r="J6306">
        <v>4.9226303782522803E-2</v>
      </c>
      <c r="K6306">
        <v>5.4035073090734097E-2</v>
      </c>
      <c r="L6306">
        <v>780.32561112325095</v>
      </c>
      <c r="M6306">
        <v>16.688423679411098</v>
      </c>
      <c r="N6306">
        <v>46.948692919813098</v>
      </c>
      <c r="O6306">
        <v>46.102574296058798</v>
      </c>
      <c r="P6306">
        <v>-8.7544001593894694E-2</v>
      </c>
      <c r="Q6306">
        <v>3.2686206372659503E-2</v>
      </c>
      <c r="R6306">
        <v>0.99709966941158601</v>
      </c>
      <c r="S6306" t="s">
        <v>12874</v>
      </c>
      <c r="T6306" t="s">
        <v>13134</v>
      </c>
      <c r="U6306" t="s">
        <v>13134</v>
      </c>
      <c r="V6306" t="s">
        <v>13134</v>
      </c>
      <c r="W6306" t="s">
        <v>19370</v>
      </c>
      <c r="X6306">
        <v>10</v>
      </c>
      <c r="Y6306" t="s">
        <v>25722</v>
      </c>
      <c r="Z6306" t="s">
        <v>32274</v>
      </c>
      <c r="AA6306">
        <v>0.36530339745683632</v>
      </c>
      <c r="AB6306" t="str">
        <f>HYPERLINK("Melting_Curves/meltCurve_Q9UNX4_WDR3.pdf", "Melting_Curves/meltCurve_Q9UNX4_WDR3.pdf")</f>
        <v>Melting_Curves/meltCurve_Q9UNX4_WDR3.pdf</v>
      </c>
    </row>
    <row r="6307" spans="1:28" x14ac:dyDescent="0.25">
      <c r="A6307" t="s">
        <v>6311</v>
      </c>
      <c r="B6307">
        <v>0.99472303558308395</v>
      </c>
      <c r="C6307">
        <v>0.90021267541034899</v>
      </c>
      <c r="D6307">
        <v>0.80579630092368804</v>
      </c>
      <c r="E6307">
        <v>0.41766026968172698</v>
      </c>
      <c r="F6307">
        <v>0.16316891496896699</v>
      </c>
      <c r="G6307">
        <v>9.4885290540064796E-2</v>
      </c>
      <c r="H6307">
        <v>6.1617953955658E-2</v>
      </c>
      <c r="I6307">
        <v>4.6409810739311101E-2</v>
      </c>
      <c r="J6307">
        <v>5.6073825135931801E-2</v>
      </c>
      <c r="K6307">
        <v>4.36610020388363E-2</v>
      </c>
      <c r="L6307">
        <v>919.32094977097495</v>
      </c>
      <c r="M6307">
        <v>20.161895295905701</v>
      </c>
      <c r="N6307">
        <v>45.812113680613898</v>
      </c>
      <c r="O6307">
        <v>45.155511831458398</v>
      </c>
      <c r="P6307">
        <v>-0.106585640797573</v>
      </c>
      <c r="Q6307">
        <v>4.5173931411725703E-2</v>
      </c>
      <c r="R6307">
        <v>0.99763070597828696</v>
      </c>
      <c r="S6307" t="s">
        <v>12875</v>
      </c>
      <c r="T6307" t="s">
        <v>13134</v>
      </c>
      <c r="U6307" t="s">
        <v>13134</v>
      </c>
      <c r="V6307" t="s">
        <v>13134</v>
      </c>
      <c r="W6307" t="s">
        <v>19371</v>
      </c>
      <c r="X6307">
        <v>15</v>
      </c>
      <c r="Y6307" t="s">
        <v>25723</v>
      </c>
      <c r="Z6307" t="s">
        <v>32275</v>
      </c>
      <c r="AA6307">
        <v>0.33108293165337949</v>
      </c>
      <c r="AB6307" t="str">
        <f>HYPERLINK("Melting_Curves/meltCurve_Q9UNY4_TTF2.pdf", "Melting_Curves/meltCurve_Q9UNY4_TTF2.pdf")</f>
        <v>Melting_Curves/meltCurve_Q9UNY4_TTF2.pdf</v>
      </c>
    </row>
    <row r="6308" spans="1:28" x14ac:dyDescent="0.25">
      <c r="A6308" t="s">
        <v>6312</v>
      </c>
      <c r="B6308">
        <v>0.99472303558308395</v>
      </c>
      <c r="C6308">
        <v>1.0268319331234701</v>
      </c>
      <c r="D6308">
        <v>0.90589300437440101</v>
      </c>
      <c r="E6308">
        <v>0.79448414137095003</v>
      </c>
      <c r="F6308">
        <v>0.46574100642891703</v>
      </c>
      <c r="G6308">
        <v>0.16159451767921601</v>
      </c>
      <c r="H6308">
        <v>8.0644503537933801E-2</v>
      </c>
      <c r="I6308">
        <v>5.9531963515653999E-2</v>
      </c>
      <c r="J6308">
        <v>7.81021267980746E-2</v>
      </c>
      <c r="K6308">
        <v>6.30652352206474E-2</v>
      </c>
      <c r="L6308">
        <v>1057.8848533084599</v>
      </c>
      <c r="M6308">
        <v>21.424575465318899</v>
      </c>
      <c r="N6308">
        <v>49.620137194480002</v>
      </c>
      <c r="O6308">
        <v>48.9530239461915</v>
      </c>
      <c r="P6308">
        <v>-0.103967866220922</v>
      </c>
      <c r="Q6308">
        <v>4.9798627395161797E-2</v>
      </c>
      <c r="R6308">
        <v>0.99607171859621702</v>
      </c>
      <c r="S6308" t="s">
        <v>12876</v>
      </c>
      <c r="T6308" t="s">
        <v>13134</v>
      </c>
      <c r="U6308" t="s">
        <v>13134</v>
      </c>
      <c r="V6308" t="s">
        <v>13134</v>
      </c>
      <c r="W6308" t="s">
        <v>19372</v>
      </c>
      <c r="X6308">
        <v>26</v>
      </c>
      <c r="Y6308" t="s">
        <v>25724</v>
      </c>
      <c r="Z6308" t="s">
        <v>32276</v>
      </c>
      <c r="AA6308">
        <v>0.45287244738003052</v>
      </c>
      <c r="AB6308" t="str">
        <f>HYPERLINK("Melting_Curves/meltCurve_Q9UNZ2_NSFL1C.pdf", "Melting_Curves/meltCurve_Q9UNZ2_NSFL1C.pdf")</f>
        <v>Melting_Curves/meltCurve_Q9UNZ2_NSFL1C.pdf</v>
      </c>
    </row>
    <row r="6309" spans="1:28" x14ac:dyDescent="0.25">
      <c r="A6309" t="s">
        <v>6313</v>
      </c>
      <c r="B6309">
        <v>0.99472303558308395</v>
      </c>
      <c r="C6309">
        <v>0.84864139203225797</v>
      </c>
      <c r="D6309">
        <v>0.96324120220706599</v>
      </c>
      <c r="E6309">
        <v>0.72210687783744798</v>
      </c>
      <c r="F6309">
        <v>0.465086353517005</v>
      </c>
      <c r="G6309">
        <v>0.38429438783911102</v>
      </c>
      <c r="H6309">
        <v>0.26914913302898602</v>
      </c>
      <c r="I6309">
        <v>0.232681068340124</v>
      </c>
      <c r="J6309">
        <v>0.29477649491091501</v>
      </c>
      <c r="K6309">
        <v>0.171953937653853</v>
      </c>
      <c r="L6309">
        <v>721.297940019826</v>
      </c>
      <c r="M6309">
        <v>14.9009032442838</v>
      </c>
      <c r="N6309">
        <v>50.241267816249596</v>
      </c>
      <c r="O6309">
        <v>47.559592070616503</v>
      </c>
      <c r="P6309">
        <v>-6.1896683720527798E-2</v>
      </c>
      <c r="Q6309">
        <v>0.20985304657718901</v>
      </c>
      <c r="R6309">
        <v>0.96880118989251196</v>
      </c>
      <c r="S6309" t="s">
        <v>12877</v>
      </c>
      <c r="T6309" t="s">
        <v>13134</v>
      </c>
      <c r="U6309" t="s">
        <v>13134</v>
      </c>
      <c r="V6309" t="s">
        <v>13134</v>
      </c>
      <c r="W6309" t="s">
        <v>19373</v>
      </c>
      <c r="X6309">
        <v>3</v>
      </c>
      <c r="Y6309" t="s">
        <v>25725</v>
      </c>
      <c r="Z6309" t="s">
        <v>32277</v>
      </c>
      <c r="AA6309">
        <v>0.52770729738818578</v>
      </c>
      <c r="AB6309" t="str">
        <f>HYPERLINK("Melting_Curves/meltCurve_Q9UNZ5_C19orf53.pdf", "Melting_Curves/meltCurve_Q9UNZ5_C19orf53.pdf")</f>
        <v>Melting_Curves/meltCurve_Q9UNZ5_C19orf53.pdf</v>
      </c>
    </row>
    <row r="6310" spans="1:28" x14ac:dyDescent="0.25">
      <c r="A6310" t="s">
        <v>6314</v>
      </c>
      <c r="B6310">
        <v>0.99472303558308395</v>
      </c>
      <c r="C6310">
        <v>1.0341866639544901</v>
      </c>
      <c r="D6310">
        <v>0.77202039651099197</v>
      </c>
      <c r="E6310">
        <v>0.69648030882160605</v>
      </c>
      <c r="F6310">
        <v>0.79413103046284195</v>
      </c>
      <c r="G6310">
        <v>0.326741421937363</v>
      </c>
      <c r="H6310">
        <v>0.212804422596063</v>
      </c>
      <c r="I6310">
        <v>0.11274510354906001</v>
      </c>
      <c r="J6310">
        <v>7.2333536826328801E-2</v>
      </c>
      <c r="K6310">
        <v>9.3509660714201304E-2</v>
      </c>
      <c r="L6310">
        <v>601.68575144396095</v>
      </c>
      <c r="M6310">
        <v>11.6237985650789</v>
      </c>
      <c r="N6310">
        <v>51.763263763956203</v>
      </c>
      <c r="O6310">
        <v>50.302384986592401</v>
      </c>
      <c r="P6310">
        <v>-5.7785381415955003E-2</v>
      </c>
      <c r="Q6310">
        <v>0</v>
      </c>
      <c r="R6310">
        <v>0.93908781732395696</v>
      </c>
      <c r="S6310" t="s">
        <v>12878</v>
      </c>
      <c r="T6310" t="s">
        <v>13134</v>
      </c>
      <c r="U6310" t="s">
        <v>13134</v>
      </c>
      <c r="V6310" t="s">
        <v>13134</v>
      </c>
      <c r="W6310" t="s">
        <v>19374</v>
      </c>
      <c r="X6310">
        <v>9</v>
      </c>
      <c r="Y6310" t="s">
        <v>25726</v>
      </c>
      <c r="Z6310" t="s">
        <v>32278</v>
      </c>
      <c r="AA6310">
        <v>0.51707436696245468</v>
      </c>
      <c r="AB6310" t="str">
        <f>HYPERLINK("Melting_Curves/meltCurve_Q9UP52_3_TFR2.pdf", "Melting_Curves/meltCurve_Q9UP52_3_TFR2.pdf")</f>
        <v>Melting_Curves/meltCurve_Q9UP52_3_TFR2.pdf</v>
      </c>
    </row>
    <row r="6311" spans="1:28" x14ac:dyDescent="0.25">
      <c r="A6311" t="s">
        <v>6315</v>
      </c>
      <c r="B6311">
        <v>0.99472303558308395</v>
      </c>
      <c r="C6311">
        <v>0.86968468540001898</v>
      </c>
      <c r="D6311">
        <v>0.72786926496391102</v>
      </c>
      <c r="E6311">
        <v>0.32778050450882601</v>
      </c>
      <c r="F6311">
        <v>0.20043310995191499</v>
      </c>
      <c r="G6311">
        <v>0.112118824519277</v>
      </c>
      <c r="H6311">
        <v>6.7733792335723297E-2</v>
      </c>
      <c r="I6311">
        <v>5.0253182867283502E-2</v>
      </c>
      <c r="J6311">
        <v>6.4743853933139695E-2</v>
      </c>
      <c r="K6311">
        <v>4.8501928902085302E-2</v>
      </c>
      <c r="L6311">
        <v>797.41454463615503</v>
      </c>
      <c r="M6311">
        <v>17.8177594770792</v>
      </c>
      <c r="N6311">
        <v>45.043497684487697</v>
      </c>
      <c r="O6311">
        <v>44.201602089172098</v>
      </c>
      <c r="P6311">
        <v>-9.5326870580261402E-2</v>
      </c>
      <c r="Q6311">
        <v>5.4115867099418402E-2</v>
      </c>
      <c r="R6311">
        <v>0.995709006740222</v>
      </c>
      <c r="S6311" t="s">
        <v>12879</v>
      </c>
      <c r="T6311" t="s">
        <v>13134</v>
      </c>
      <c r="U6311" t="s">
        <v>13134</v>
      </c>
      <c r="V6311" t="s">
        <v>13134</v>
      </c>
      <c r="W6311" t="s">
        <v>19375</v>
      </c>
      <c r="X6311">
        <v>9</v>
      </c>
      <c r="Y6311" t="s">
        <v>25727</v>
      </c>
      <c r="Z6311" t="s">
        <v>32279</v>
      </c>
      <c r="AA6311">
        <v>0.31451238549537308</v>
      </c>
      <c r="AB6311" t="str">
        <f>HYPERLINK("Melting_Curves/meltCurve_Q9UP83_COG5.pdf", "Melting_Curves/meltCurve_Q9UP83_COG5.pdf")</f>
        <v>Melting_Curves/meltCurve_Q9UP83_COG5.pdf</v>
      </c>
    </row>
    <row r="6312" spans="1:28" x14ac:dyDescent="0.25">
      <c r="A6312" t="s">
        <v>6316</v>
      </c>
      <c r="B6312">
        <v>0.99472303558308395</v>
      </c>
      <c r="C6312">
        <v>0.97958018970971905</v>
      </c>
      <c r="D6312">
        <v>0.81966712543216502</v>
      </c>
      <c r="E6312">
        <v>0.73197147372822402</v>
      </c>
      <c r="F6312">
        <v>0.66168988693070696</v>
      </c>
      <c r="G6312">
        <v>0.30353107865121298</v>
      </c>
      <c r="H6312">
        <v>0.20525030904236199</v>
      </c>
      <c r="I6312">
        <v>0.128853438697835</v>
      </c>
      <c r="J6312">
        <v>0.121824110323891</v>
      </c>
      <c r="K6312">
        <v>0.116745619018125</v>
      </c>
      <c r="L6312">
        <v>593.327406383538</v>
      </c>
      <c r="M6312">
        <v>11.677035180778701</v>
      </c>
      <c r="N6312">
        <v>51.090521594951703</v>
      </c>
      <c r="O6312">
        <v>49.389899323288198</v>
      </c>
      <c r="P6312">
        <v>-5.7295751024773897E-2</v>
      </c>
      <c r="Q6312">
        <v>3.0893254421774999E-2</v>
      </c>
      <c r="R6312">
        <v>0.979317607950974</v>
      </c>
      <c r="S6312" t="s">
        <v>12880</v>
      </c>
      <c r="T6312" t="s">
        <v>13134</v>
      </c>
      <c r="U6312" t="s">
        <v>13134</v>
      </c>
      <c r="V6312" t="s">
        <v>13134</v>
      </c>
      <c r="W6312" t="s">
        <v>19376</v>
      </c>
      <c r="X6312">
        <v>6</v>
      </c>
      <c r="Y6312" t="s">
        <v>25728</v>
      </c>
      <c r="Z6312" t="s">
        <v>32280</v>
      </c>
      <c r="AA6312">
        <v>0.50337578565080743</v>
      </c>
      <c r="AB6312" t="str">
        <f>HYPERLINK("Melting_Curves/meltCurve_Q9UP95_3_SLC12A4.pdf", "Melting_Curves/meltCurve_Q9UP95_3_SLC12A4.pdf")</f>
        <v>Melting_Curves/meltCurve_Q9UP95_3_SLC12A4.pdf</v>
      </c>
    </row>
    <row r="6313" spans="1:28" x14ac:dyDescent="0.25">
      <c r="A6313" t="s">
        <v>6317</v>
      </c>
      <c r="B6313">
        <v>0.99472303558308395</v>
      </c>
      <c r="C6313">
        <v>0.92377908113601803</v>
      </c>
      <c r="D6313">
        <v>0.70722565147091698</v>
      </c>
      <c r="E6313">
        <v>0.55103462668174796</v>
      </c>
      <c r="F6313">
        <v>0.36720313992518</v>
      </c>
      <c r="G6313">
        <v>0.159955042442222</v>
      </c>
      <c r="H6313">
        <v>9.20956955822574E-2</v>
      </c>
      <c r="I6313">
        <v>5.58239958445476E-2</v>
      </c>
      <c r="J6313">
        <v>7.3923875103886399E-2</v>
      </c>
      <c r="K6313">
        <v>6.2589706446899498E-2</v>
      </c>
      <c r="L6313">
        <v>577.580291322383</v>
      </c>
      <c r="M6313">
        <v>12.295414564478801</v>
      </c>
      <c r="N6313">
        <v>47.1297596697503</v>
      </c>
      <c r="O6313">
        <v>45.784509381346403</v>
      </c>
      <c r="P6313">
        <v>-6.5825716428322106E-2</v>
      </c>
      <c r="Q6313">
        <v>1.9752562064881601E-2</v>
      </c>
      <c r="R6313">
        <v>0.99285707791928901</v>
      </c>
      <c r="S6313" t="s">
        <v>12881</v>
      </c>
      <c r="T6313" t="s">
        <v>13134</v>
      </c>
      <c r="U6313" t="s">
        <v>13134</v>
      </c>
      <c r="V6313" t="s">
        <v>13134</v>
      </c>
      <c r="W6313" t="s">
        <v>19377</v>
      </c>
      <c r="X6313">
        <v>1</v>
      </c>
      <c r="Y6313" t="s">
        <v>25729</v>
      </c>
      <c r="Z6313" t="s">
        <v>32281</v>
      </c>
      <c r="AA6313">
        <v>0.3767073521108768</v>
      </c>
      <c r="AB6313" t="str">
        <f>HYPERLINK("Melting_Curves/meltCurve_Q9UPM8_2_AP4E1.pdf", "Melting_Curves/meltCurve_Q9UPM8_2_AP4E1.pdf")</f>
        <v>Melting_Curves/meltCurve_Q9UPM8_2_AP4E1.pdf</v>
      </c>
    </row>
    <row r="6314" spans="1:28" x14ac:dyDescent="0.25">
      <c r="A6314" t="s">
        <v>6318</v>
      </c>
      <c r="B6314">
        <v>0.99472303558308395</v>
      </c>
      <c r="C6314">
        <v>1.08940816014421</v>
      </c>
      <c r="D6314">
        <v>0.97212456574825101</v>
      </c>
      <c r="E6314">
        <v>0.51647897187900704</v>
      </c>
      <c r="F6314">
        <v>8.2698374973467298E-2</v>
      </c>
      <c r="G6314">
        <v>5.4693409216715803E-2</v>
      </c>
      <c r="H6314">
        <v>3.73833863300208E-2</v>
      </c>
      <c r="I6314">
        <v>2.9411762900616201E-2</v>
      </c>
      <c r="J6314">
        <v>3.2082299780015401E-2</v>
      </c>
      <c r="K6314">
        <v>2.9487540317435602E-2</v>
      </c>
      <c r="L6314">
        <v>1960.04663755406</v>
      </c>
      <c r="M6314">
        <v>42.064196269557797</v>
      </c>
      <c r="N6314">
        <v>46.679704699513103</v>
      </c>
      <c r="O6314">
        <v>46.491611438896904</v>
      </c>
      <c r="P6314">
        <v>-0.218028678205168</v>
      </c>
      <c r="Q6314">
        <v>3.6093561662974102E-2</v>
      </c>
      <c r="R6314">
        <v>0.99558779441716205</v>
      </c>
      <c r="S6314" t="s">
        <v>12882</v>
      </c>
      <c r="T6314" t="s">
        <v>13134</v>
      </c>
      <c r="U6314" t="s">
        <v>13134</v>
      </c>
      <c r="V6314" t="s">
        <v>13134</v>
      </c>
      <c r="W6314" t="s">
        <v>14164</v>
      </c>
      <c r="X6314">
        <v>164</v>
      </c>
      <c r="Y6314" t="s">
        <v>20238</v>
      </c>
      <c r="Z6314" t="s">
        <v>32282</v>
      </c>
      <c r="AA6314">
        <v>0.34723893797849992</v>
      </c>
      <c r="AB6314" t="str">
        <f>HYPERLINK("Melting_Curves/meltCurve_Q9UPN3_MACF1.pdf", "Melting_Curves/meltCurve_Q9UPN3_MACF1.pdf")</f>
        <v>Melting_Curves/meltCurve_Q9UPN3_MACF1.pdf</v>
      </c>
    </row>
    <row r="6315" spans="1:28" x14ac:dyDescent="0.25">
      <c r="A6315" t="s">
        <v>6319</v>
      </c>
      <c r="B6315">
        <v>0.99472303558308395</v>
      </c>
      <c r="C6315">
        <v>1.0310934617487899</v>
      </c>
      <c r="D6315">
        <v>0.90196578051869603</v>
      </c>
      <c r="E6315">
        <v>0.46118250887614498</v>
      </c>
      <c r="F6315">
        <v>0.198788550373732</v>
      </c>
      <c r="G6315">
        <v>0.112789633740239</v>
      </c>
      <c r="H6315">
        <v>6.8529164280036803E-2</v>
      </c>
      <c r="I6315">
        <v>5.5419769820515198E-2</v>
      </c>
      <c r="J6315">
        <v>8.1765573406343495E-2</v>
      </c>
      <c r="K6315">
        <v>6.7606850205636296E-2</v>
      </c>
      <c r="L6315">
        <v>1244.3962456915001</v>
      </c>
      <c r="M6315">
        <v>26.949174632467599</v>
      </c>
      <c r="N6315">
        <v>46.456183289671003</v>
      </c>
      <c r="O6315">
        <v>45.923645510213198</v>
      </c>
      <c r="P6315">
        <v>-0.13569221593727299</v>
      </c>
      <c r="Q6315">
        <v>7.5085419623782304E-2</v>
      </c>
      <c r="R6315">
        <v>0.99725164965299296</v>
      </c>
      <c r="S6315" t="s">
        <v>12883</v>
      </c>
      <c r="T6315" t="s">
        <v>13134</v>
      </c>
      <c r="U6315" t="s">
        <v>13134</v>
      </c>
      <c r="V6315" t="s">
        <v>13134</v>
      </c>
      <c r="W6315" t="s">
        <v>19378</v>
      </c>
      <c r="X6315">
        <v>21</v>
      </c>
      <c r="Y6315" t="s">
        <v>25730</v>
      </c>
      <c r="Z6315" t="s">
        <v>32283</v>
      </c>
      <c r="AA6315">
        <v>0.3645642779031899</v>
      </c>
      <c r="AB6315" t="str">
        <f>HYPERLINK("Melting_Curves/meltCurve_Q9UPN6_SCAF8.pdf", "Melting_Curves/meltCurve_Q9UPN6_SCAF8.pdf")</f>
        <v>Melting_Curves/meltCurve_Q9UPN6_SCAF8.pdf</v>
      </c>
    </row>
    <row r="6316" spans="1:28" x14ac:dyDescent="0.25">
      <c r="A6316" t="s">
        <v>6320</v>
      </c>
      <c r="B6316">
        <v>0.99472303558308395</v>
      </c>
      <c r="C6316">
        <v>0.93984902788142599</v>
      </c>
      <c r="D6316">
        <v>0.701411404662866</v>
      </c>
      <c r="E6316">
        <v>0.57614580661816095</v>
      </c>
      <c r="F6316">
        <v>0.45887971338373901</v>
      </c>
      <c r="G6316">
        <v>0.133122806378839</v>
      </c>
      <c r="H6316">
        <v>6.3810574308159507E-2</v>
      </c>
      <c r="I6316">
        <v>3.9309541592460397E-2</v>
      </c>
      <c r="J6316">
        <v>4.5974909324592403E-2</v>
      </c>
      <c r="K6316">
        <v>3.72981058143226E-2</v>
      </c>
      <c r="L6316">
        <v>580.70067745969004</v>
      </c>
      <c r="M6316">
        <v>12.1954719379909</v>
      </c>
      <c r="N6316">
        <v>47.616088528642202</v>
      </c>
      <c r="O6316">
        <v>46.390086223662699</v>
      </c>
      <c r="P6316">
        <v>-6.5737304452095996E-2</v>
      </c>
      <c r="Q6316">
        <v>0</v>
      </c>
      <c r="R6316">
        <v>0.97900652063161397</v>
      </c>
      <c r="S6316" t="s">
        <v>12884</v>
      </c>
      <c r="T6316" t="s">
        <v>13134</v>
      </c>
      <c r="U6316" t="s">
        <v>13134</v>
      </c>
      <c r="V6316" t="s">
        <v>13134</v>
      </c>
      <c r="W6316" t="s">
        <v>19379</v>
      </c>
      <c r="X6316">
        <v>9</v>
      </c>
      <c r="Y6316" t="s">
        <v>25731</v>
      </c>
      <c r="Z6316" t="s">
        <v>32284</v>
      </c>
      <c r="AA6316">
        <v>0.38499611957637231</v>
      </c>
      <c r="AB6316" t="str">
        <f>HYPERLINK("Melting_Curves/meltCurve_Q9UPN7_PPP6R1.pdf", "Melting_Curves/meltCurve_Q9UPN7_PPP6R1.pdf")</f>
        <v>Melting_Curves/meltCurve_Q9UPN7_PPP6R1.pdf</v>
      </c>
    </row>
    <row r="6317" spans="1:28" x14ac:dyDescent="0.25">
      <c r="A6317" t="s">
        <v>6321</v>
      </c>
      <c r="B6317">
        <v>0.99472303558308395</v>
      </c>
      <c r="C6317">
        <v>1.07166151587092</v>
      </c>
      <c r="D6317">
        <v>0.81074212082298103</v>
      </c>
      <c r="E6317">
        <v>0.69335043367553295</v>
      </c>
      <c r="F6317">
        <v>0.29308278958376299</v>
      </c>
      <c r="G6317">
        <v>0.160025053238361</v>
      </c>
      <c r="H6317">
        <v>9.7548275341345206E-2</v>
      </c>
      <c r="I6317">
        <v>7.7409719310816694E-2</v>
      </c>
      <c r="J6317">
        <v>9.8230634700278305E-2</v>
      </c>
      <c r="K6317">
        <v>3.4838581498645299E-2</v>
      </c>
      <c r="L6317">
        <v>918.51718286576101</v>
      </c>
      <c r="M6317">
        <v>19.2311143596066</v>
      </c>
      <c r="N6317">
        <v>48.080716869228802</v>
      </c>
      <c r="O6317">
        <v>47.254607385773603</v>
      </c>
      <c r="P6317">
        <v>-9.56577732438567E-2</v>
      </c>
      <c r="Q6317">
        <v>5.9836814869044699E-2</v>
      </c>
      <c r="R6317">
        <v>0.985567529017226</v>
      </c>
      <c r="S6317" t="s">
        <v>12885</v>
      </c>
      <c r="T6317" t="s">
        <v>13134</v>
      </c>
      <c r="U6317" t="s">
        <v>13134</v>
      </c>
      <c r="V6317" t="s">
        <v>13134</v>
      </c>
      <c r="W6317" t="s">
        <v>19380</v>
      </c>
      <c r="X6317">
        <v>23</v>
      </c>
      <c r="Y6317" t="s">
        <v>25732</v>
      </c>
      <c r="Z6317" t="s">
        <v>32285</v>
      </c>
      <c r="AA6317">
        <v>0.41040025133272717</v>
      </c>
      <c r="AB6317" t="str">
        <f>HYPERLINK("Melting_Curves/meltCurve_Q9UPN9_TRIM33.pdf", "Melting_Curves/meltCurve_Q9UPN9_TRIM33.pdf")</f>
        <v>Melting_Curves/meltCurve_Q9UPN9_TRIM33.pdf</v>
      </c>
    </row>
    <row r="6318" spans="1:28" x14ac:dyDescent="0.25">
      <c r="A6318" t="s">
        <v>6322</v>
      </c>
      <c r="B6318">
        <v>0.99472303558308395</v>
      </c>
      <c r="C6318">
        <v>1.0047648019617501</v>
      </c>
      <c r="D6318">
        <v>0.94134290513887098</v>
      </c>
      <c r="E6318">
        <v>0.66320386639958195</v>
      </c>
      <c r="F6318">
        <v>0.17623549232678301</v>
      </c>
      <c r="G6318">
        <v>0.107269446889096</v>
      </c>
      <c r="H6318">
        <v>6.9585668801985703E-2</v>
      </c>
      <c r="I6318">
        <v>5.1533706807376199E-2</v>
      </c>
      <c r="J6318">
        <v>6.5960287328480999E-2</v>
      </c>
      <c r="K6318">
        <v>5.4700774700447603E-2</v>
      </c>
      <c r="L6318">
        <v>1535.7466722808799</v>
      </c>
      <c r="M6318">
        <v>32.422628976747298</v>
      </c>
      <c r="N6318">
        <v>47.563507546279197</v>
      </c>
      <c r="O6318">
        <v>47.187411608007402</v>
      </c>
      <c r="P6318">
        <v>-0.16098384052228701</v>
      </c>
      <c r="Q6318">
        <v>6.2830609309128593E-2</v>
      </c>
      <c r="R6318">
        <v>0.99884553526454301</v>
      </c>
      <c r="S6318" t="s">
        <v>12886</v>
      </c>
      <c r="T6318" t="s">
        <v>13134</v>
      </c>
      <c r="U6318" t="s">
        <v>13134</v>
      </c>
      <c r="V6318" t="s">
        <v>13134</v>
      </c>
      <c r="W6318" t="s">
        <v>19381</v>
      </c>
      <c r="X6318">
        <v>24</v>
      </c>
      <c r="Y6318" t="s">
        <v>25732</v>
      </c>
      <c r="Z6318" t="s">
        <v>32286</v>
      </c>
      <c r="AA6318">
        <v>0.39135871936451938</v>
      </c>
      <c r="AB6318" t="str">
        <f>HYPERLINK("Melting_Curves/meltCurve_Q9UPN9_2_TRIM33.pdf", "Melting_Curves/meltCurve_Q9UPN9_2_TRIM33.pdf")</f>
        <v>Melting_Curves/meltCurve_Q9UPN9_2_TRIM33.pdf</v>
      </c>
    </row>
    <row r="6319" spans="1:28" x14ac:dyDescent="0.25">
      <c r="A6319" t="s">
        <v>6323</v>
      </c>
      <c r="B6319">
        <v>0.99472303558308395</v>
      </c>
      <c r="C6319">
        <v>0.89276782906274799</v>
      </c>
      <c r="D6319">
        <v>0.73525129626907404</v>
      </c>
      <c r="E6319">
        <v>0.47291617622083099</v>
      </c>
      <c r="F6319">
        <v>0.24591393317422999</v>
      </c>
      <c r="G6319">
        <v>0.121632086268332</v>
      </c>
      <c r="H6319">
        <v>6.4967075967638205E-2</v>
      </c>
      <c r="I6319">
        <v>4.7613658625232202E-2</v>
      </c>
      <c r="J6319">
        <v>6.8982033827325401E-2</v>
      </c>
      <c r="K6319">
        <v>4.9206278388344203E-2</v>
      </c>
      <c r="L6319">
        <v>686.81523423428098</v>
      </c>
      <c r="M6319">
        <v>14.9700404308937</v>
      </c>
      <c r="N6319">
        <v>46.100491844042097</v>
      </c>
      <c r="O6319">
        <v>45.083972574910597</v>
      </c>
      <c r="P6319">
        <v>-8.0143668575266794E-2</v>
      </c>
      <c r="Q6319">
        <v>3.46513483209306E-2</v>
      </c>
      <c r="R6319">
        <v>0.99867705878331703</v>
      </c>
      <c r="S6319" t="s">
        <v>12887</v>
      </c>
      <c r="T6319" t="s">
        <v>13134</v>
      </c>
      <c r="U6319" t="s">
        <v>13134</v>
      </c>
      <c r="V6319" t="s">
        <v>13134</v>
      </c>
      <c r="W6319" t="s">
        <v>19382</v>
      </c>
      <c r="X6319">
        <v>5</v>
      </c>
      <c r="Y6319" t="s">
        <v>25733</v>
      </c>
      <c r="Z6319" t="s">
        <v>32287</v>
      </c>
      <c r="AA6319">
        <v>0.34279366470410089</v>
      </c>
      <c r="AB6319" t="str">
        <f>HYPERLINK("Melting_Curves/meltCurve_Q9UPR3_SMG5.pdf", "Melting_Curves/meltCurve_Q9UPR3_SMG5.pdf")</f>
        <v>Melting_Curves/meltCurve_Q9UPR3_SMG5.pdf</v>
      </c>
    </row>
    <row r="6320" spans="1:28" x14ac:dyDescent="0.25">
      <c r="A6320" t="s">
        <v>6324</v>
      </c>
      <c r="B6320">
        <v>0.99472303558308395</v>
      </c>
      <c r="C6320">
        <v>0.93943994878755299</v>
      </c>
      <c r="D6320">
        <v>0.75253637408379404</v>
      </c>
      <c r="E6320">
        <v>0.56372611124718497</v>
      </c>
      <c r="F6320">
        <v>0.21710765592654199</v>
      </c>
      <c r="G6320">
        <v>0.108826789128665</v>
      </c>
      <c r="H6320">
        <v>6.6809013744570198E-2</v>
      </c>
      <c r="I6320">
        <v>4.9846139795255803E-2</v>
      </c>
      <c r="J6320">
        <v>5.9481829020495001E-2</v>
      </c>
      <c r="K6320">
        <v>6.5237149413187506E-2</v>
      </c>
      <c r="L6320">
        <v>775.05497787272702</v>
      </c>
      <c r="M6320">
        <v>16.695597253283999</v>
      </c>
      <c r="N6320">
        <v>46.641051072285798</v>
      </c>
      <c r="O6320">
        <v>45.772050480910202</v>
      </c>
      <c r="P6320">
        <v>-8.7766911234457706E-2</v>
      </c>
      <c r="Q6320">
        <v>3.7589398073573803E-2</v>
      </c>
      <c r="R6320">
        <v>0.99417754946134995</v>
      </c>
      <c r="S6320" t="s">
        <v>12888</v>
      </c>
      <c r="T6320" t="s">
        <v>13134</v>
      </c>
      <c r="U6320" t="s">
        <v>13134</v>
      </c>
      <c r="V6320" t="s">
        <v>13134</v>
      </c>
      <c r="W6320" t="s">
        <v>19383</v>
      </c>
      <c r="X6320">
        <v>11</v>
      </c>
      <c r="Y6320" t="s">
        <v>25734</v>
      </c>
      <c r="Z6320" t="s">
        <v>32288</v>
      </c>
      <c r="AA6320">
        <v>0.35781191131862838</v>
      </c>
      <c r="AB6320" t="str">
        <f>HYPERLINK("Melting_Curves/meltCurve_Q9UPT5_2_EXOC7.pdf", "Melting_Curves/meltCurve_Q9UPT5_2_EXOC7.pdf")</f>
        <v>Melting_Curves/meltCurve_Q9UPT5_2_EXOC7.pdf</v>
      </c>
    </row>
    <row r="6321" spans="1:28" x14ac:dyDescent="0.25">
      <c r="A6321" t="s">
        <v>6325</v>
      </c>
      <c r="B6321">
        <v>0.99472303558308395</v>
      </c>
      <c r="C6321">
        <v>0.865232456782148</v>
      </c>
      <c r="D6321">
        <v>1.00768035287508</v>
      </c>
      <c r="E6321">
        <v>0.68466804513052104</v>
      </c>
      <c r="F6321">
        <v>0.35460512675060502</v>
      </c>
      <c r="G6321">
        <v>0.120891080888819</v>
      </c>
      <c r="H6321">
        <v>6.6038138753500897E-2</v>
      </c>
      <c r="I6321">
        <v>3.6983987643224997E-2</v>
      </c>
      <c r="J6321">
        <v>3.8899427739848398E-2</v>
      </c>
      <c r="K6321">
        <v>4.2085771218122299E-2</v>
      </c>
      <c r="L6321">
        <v>1050.5473748107599</v>
      </c>
      <c r="M6321">
        <v>21.700138687763001</v>
      </c>
      <c r="N6321">
        <v>48.564385757630397</v>
      </c>
      <c r="O6321">
        <v>48.006532184197297</v>
      </c>
      <c r="P6321">
        <v>-0.109289849387201</v>
      </c>
      <c r="Q6321">
        <v>3.2909348573656301E-2</v>
      </c>
      <c r="R6321">
        <v>0.98667435287533301</v>
      </c>
      <c r="S6321" t="s">
        <v>12889</v>
      </c>
      <c r="T6321" t="s">
        <v>13134</v>
      </c>
      <c r="U6321" t="s">
        <v>13134</v>
      </c>
      <c r="V6321" t="s">
        <v>13134</v>
      </c>
      <c r="W6321" t="s">
        <v>19384</v>
      </c>
      <c r="X6321">
        <v>4</v>
      </c>
      <c r="Y6321" t="s">
        <v>25735</v>
      </c>
      <c r="Z6321" t="s">
        <v>32289</v>
      </c>
      <c r="AA6321">
        <v>0.41169907492795838</v>
      </c>
      <c r="AB6321" t="str">
        <f>HYPERLINK("Melting_Curves/meltCurve_Q9UPT9_2_USP22.pdf", "Melting_Curves/meltCurve_Q9UPT9_2_USP22.pdf")</f>
        <v>Melting_Curves/meltCurve_Q9UPT9_2_USP22.pdf</v>
      </c>
    </row>
    <row r="6322" spans="1:28" x14ac:dyDescent="0.25">
      <c r="A6322" t="s">
        <v>6326</v>
      </c>
      <c r="B6322">
        <v>0.99472303558308395</v>
      </c>
      <c r="C6322">
        <v>0.98028910793388202</v>
      </c>
      <c r="D6322">
        <v>0.87335486729432799</v>
      </c>
      <c r="E6322">
        <v>0.65047357679289097</v>
      </c>
      <c r="F6322">
        <v>0.25253253071757398</v>
      </c>
      <c r="G6322">
        <v>0.120163460954283</v>
      </c>
      <c r="H6322">
        <v>5.0161589292054699E-2</v>
      </c>
      <c r="I6322">
        <v>3.5825627644951702E-2</v>
      </c>
      <c r="J6322">
        <v>3.7497374848081501E-2</v>
      </c>
      <c r="K6322">
        <v>3.2474525744054399E-2</v>
      </c>
      <c r="L6322">
        <v>987.43936852481295</v>
      </c>
      <c r="M6322">
        <v>20.737179446912599</v>
      </c>
      <c r="N6322">
        <v>47.748066457679698</v>
      </c>
      <c r="O6322">
        <v>47.180690062883599</v>
      </c>
      <c r="P6322">
        <v>-0.106841533401281</v>
      </c>
      <c r="Q6322">
        <v>2.7695144088146301E-2</v>
      </c>
      <c r="R6322">
        <v>0.99837895981326197</v>
      </c>
      <c r="S6322" t="s">
        <v>12890</v>
      </c>
      <c r="T6322" t="s">
        <v>13134</v>
      </c>
      <c r="U6322" t="s">
        <v>13134</v>
      </c>
      <c r="V6322" t="s">
        <v>13134</v>
      </c>
      <c r="W6322" t="s">
        <v>19385</v>
      </c>
      <c r="X6322">
        <v>38</v>
      </c>
      <c r="Y6322" t="s">
        <v>25736</v>
      </c>
      <c r="Z6322" t="s">
        <v>32290</v>
      </c>
      <c r="AA6322">
        <v>0.38368730808629181</v>
      </c>
      <c r="AB6322" t="str">
        <f>HYPERLINK("Melting_Curves/meltCurve_Q9UPU5_USP24.pdf", "Melting_Curves/meltCurve_Q9UPU5_USP24.pdf")</f>
        <v>Melting_Curves/meltCurve_Q9UPU5_USP24.pdf</v>
      </c>
    </row>
    <row r="6323" spans="1:28" x14ac:dyDescent="0.25">
      <c r="A6323" t="s">
        <v>6327</v>
      </c>
      <c r="B6323">
        <v>0.99472303558308395</v>
      </c>
      <c r="C6323">
        <v>0.91180755678245895</v>
      </c>
      <c r="D6323">
        <v>0.94710766856900197</v>
      </c>
      <c r="E6323">
        <v>0.89032425856698505</v>
      </c>
      <c r="F6323">
        <v>0.49898259948190299</v>
      </c>
      <c r="G6323">
        <v>0.111742065989684</v>
      </c>
      <c r="H6323">
        <v>5.1232696708024501E-2</v>
      </c>
      <c r="I6323">
        <v>3.8532340454244002E-2</v>
      </c>
      <c r="J6323">
        <v>3.2175502528419497E-2</v>
      </c>
      <c r="K6323">
        <v>3.53571025455445E-2</v>
      </c>
      <c r="L6323">
        <v>1484.4493517615299</v>
      </c>
      <c r="M6323">
        <v>29.691851986696101</v>
      </c>
      <c r="N6323">
        <v>50.095560085163903</v>
      </c>
      <c r="O6323">
        <v>49.7700392382717</v>
      </c>
      <c r="P6323">
        <v>-0.14483861963063199</v>
      </c>
      <c r="Q6323">
        <v>2.8881747745758898E-2</v>
      </c>
      <c r="R6323">
        <v>0.99389323893348003</v>
      </c>
      <c r="S6323" t="s">
        <v>12891</v>
      </c>
      <c r="T6323" t="s">
        <v>13134</v>
      </c>
      <c r="U6323" t="s">
        <v>13134</v>
      </c>
      <c r="V6323" t="s">
        <v>13134</v>
      </c>
      <c r="W6323" t="s">
        <v>19386</v>
      </c>
      <c r="X6323">
        <v>9</v>
      </c>
      <c r="Y6323" t="s">
        <v>25737</v>
      </c>
      <c r="Z6323" t="s">
        <v>32291</v>
      </c>
      <c r="AA6323">
        <v>0.45562409989274838</v>
      </c>
      <c r="AB6323" t="str">
        <f>HYPERLINK("Melting_Curves/meltCurve_Q9UPY8_MAPRE3.pdf", "Melting_Curves/meltCurve_Q9UPY8_MAPRE3.pdf")</f>
        <v>Melting_Curves/meltCurve_Q9UPY8_MAPRE3.pdf</v>
      </c>
    </row>
    <row r="6324" spans="1:28" x14ac:dyDescent="0.25">
      <c r="A6324" t="s">
        <v>6328</v>
      </c>
      <c r="B6324">
        <v>0.99472303558308395</v>
      </c>
      <c r="C6324">
        <v>1.0754268196889001</v>
      </c>
      <c r="D6324">
        <v>1.13804764301136</v>
      </c>
      <c r="E6324">
        <v>0.872031178430559</v>
      </c>
      <c r="F6324">
        <v>0.58489124710241702</v>
      </c>
      <c r="G6324">
        <v>8.4036100466970604E-2</v>
      </c>
      <c r="H6324">
        <v>4.0054048899694397E-2</v>
      </c>
      <c r="I6324">
        <v>0</v>
      </c>
      <c r="J6324">
        <v>0</v>
      </c>
      <c r="K6324">
        <v>0</v>
      </c>
      <c r="L6324">
        <v>1657.2029240648101</v>
      </c>
      <c r="M6324">
        <v>32.784115218538602</v>
      </c>
      <c r="N6324">
        <v>50.548960171944699</v>
      </c>
      <c r="O6324">
        <v>50.361993999632801</v>
      </c>
      <c r="P6324">
        <v>-0.162743085783637</v>
      </c>
      <c r="Q6324">
        <v>0</v>
      </c>
      <c r="R6324">
        <v>0.98534098918420399</v>
      </c>
      <c r="S6324" t="s">
        <v>12892</v>
      </c>
      <c r="T6324" t="s">
        <v>13134</v>
      </c>
      <c r="U6324" t="s">
        <v>13134</v>
      </c>
      <c r="V6324" t="s">
        <v>13134</v>
      </c>
      <c r="W6324" t="s">
        <v>19387</v>
      </c>
      <c r="X6324">
        <v>9</v>
      </c>
      <c r="Y6324" t="s">
        <v>25737</v>
      </c>
      <c r="Z6324" t="s">
        <v>32292</v>
      </c>
      <c r="AA6324">
        <v>0.45682655090893609</v>
      </c>
      <c r="AB6324" t="str">
        <f>HYPERLINK("Melting_Curves/meltCurve_Q9UPY8_2_MAPRE3.pdf", "Melting_Curves/meltCurve_Q9UPY8_2_MAPRE3.pdf")</f>
        <v>Melting_Curves/meltCurve_Q9UPY8_2_MAPRE3.pdf</v>
      </c>
    </row>
    <row r="6325" spans="1:28" x14ac:dyDescent="0.25">
      <c r="A6325" t="s">
        <v>6329</v>
      </c>
      <c r="B6325">
        <v>0.99472303558308395</v>
      </c>
      <c r="C6325">
        <v>0.97084276956674698</v>
      </c>
      <c r="D6325">
        <v>0.57509264341571398</v>
      </c>
      <c r="E6325">
        <v>0.25264163939265799</v>
      </c>
      <c r="F6325">
        <v>0.125065500497785</v>
      </c>
      <c r="G6325">
        <v>7.0302373493696405E-2</v>
      </c>
      <c r="H6325">
        <v>5.7889694253843701E-2</v>
      </c>
      <c r="I6325">
        <v>3.2491327810095297E-2</v>
      </c>
      <c r="J6325">
        <v>3.0656489867896299E-2</v>
      </c>
      <c r="K6325">
        <v>8.7390340607309797E-2</v>
      </c>
      <c r="L6325">
        <v>1049.0665347261499</v>
      </c>
      <c r="M6325">
        <v>24.029579784699699</v>
      </c>
      <c r="N6325">
        <v>43.889158639966197</v>
      </c>
      <c r="O6325">
        <v>43.3583200918683</v>
      </c>
      <c r="P6325">
        <v>-0.13029549127762399</v>
      </c>
      <c r="Q6325">
        <v>5.9608355540993002E-2</v>
      </c>
      <c r="R6325">
        <v>0.99335742435776098</v>
      </c>
      <c r="S6325" t="s">
        <v>12893</v>
      </c>
      <c r="T6325" t="s">
        <v>13134</v>
      </c>
      <c r="U6325" t="s">
        <v>13134</v>
      </c>
      <c r="V6325" t="s">
        <v>13134</v>
      </c>
      <c r="W6325" t="s">
        <v>19388</v>
      </c>
      <c r="X6325">
        <v>2</v>
      </c>
      <c r="Y6325" t="s">
        <v>25738</v>
      </c>
      <c r="Z6325" t="s">
        <v>32293</v>
      </c>
      <c r="AA6325">
        <v>0.27675347658942151</v>
      </c>
      <c r="AB6325" t="str">
        <f>HYPERLINK("Melting_Curves/meltCurve_Q9UPZ3_2_HPS5.pdf", "Melting_Curves/meltCurve_Q9UPZ3_2_HPS5.pdf")</f>
        <v>Melting_Curves/meltCurve_Q9UPZ3_2_HPS5.pdf</v>
      </c>
    </row>
    <row r="6326" spans="1:28" x14ac:dyDescent="0.25">
      <c r="A6326" t="s">
        <v>6330</v>
      </c>
      <c r="B6326">
        <v>0.99472303558308395</v>
      </c>
      <c r="C6326">
        <v>0.92042997931013504</v>
      </c>
      <c r="D6326">
        <v>1.1405306844755501</v>
      </c>
      <c r="E6326">
        <v>0.94776743324650703</v>
      </c>
      <c r="F6326">
        <v>0.64192475740719601</v>
      </c>
      <c r="G6326">
        <v>0.31884728297926102</v>
      </c>
      <c r="H6326">
        <v>9.4571591908982303E-2</v>
      </c>
      <c r="I6326">
        <v>7.26621112819575E-2</v>
      </c>
      <c r="J6326">
        <v>0.19165304395796601</v>
      </c>
      <c r="K6326">
        <v>0.101192300969618</v>
      </c>
      <c r="L6326">
        <v>1451.7194998969201</v>
      </c>
      <c r="M6326">
        <v>28.4294050931375</v>
      </c>
      <c r="N6326">
        <v>51.512345641922202</v>
      </c>
      <c r="O6326">
        <v>50.813357704798598</v>
      </c>
      <c r="P6326">
        <v>-0.12454293357546201</v>
      </c>
      <c r="Q6326">
        <v>0.109598875126239</v>
      </c>
      <c r="R6326">
        <v>0.97578721242828403</v>
      </c>
      <c r="S6326" t="s">
        <v>12894</v>
      </c>
      <c r="T6326" t="s">
        <v>13134</v>
      </c>
      <c r="U6326" t="s">
        <v>13134</v>
      </c>
      <c r="V6326" t="s">
        <v>13134</v>
      </c>
      <c r="W6326" t="s">
        <v>19389</v>
      </c>
      <c r="X6326">
        <v>7</v>
      </c>
      <c r="Y6326" t="s">
        <v>25739</v>
      </c>
      <c r="Z6326" t="s">
        <v>32294</v>
      </c>
      <c r="AA6326">
        <v>0.53318119945675291</v>
      </c>
      <c r="AB6326" t="str">
        <f>HYPERLINK("Melting_Curves/meltCurve_Q9UQ13_2_SHOC2.pdf", "Melting_Curves/meltCurve_Q9UQ13_2_SHOC2.pdf")</f>
        <v>Melting_Curves/meltCurve_Q9UQ13_2_SHOC2.pdf</v>
      </c>
    </row>
    <row r="6327" spans="1:28" x14ac:dyDescent="0.25">
      <c r="A6327" t="s">
        <v>6331</v>
      </c>
      <c r="B6327">
        <v>0.99472303558308395</v>
      </c>
      <c r="C6327">
        <v>0.77728152526664296</v>
      </c>
      <c r="D6327">
        <v>0.55708470332288795</v>
      </c>
      <c r="E6327">
        <v>0.37534851672193398</v>
      </c>
      <c r="F6327">
        <v>0.30803737601243297</v>
      </c>
      <c r="G6327">
        <v>0.120251269728259</v>
      </c>
      <c r="H6327">
        <v>5.5839001291854498E-2</v>
      </c>
      <c r="I6327">
        <v>4.68733658542674E-2</v>
      </c>
      <c r="J6327">
        <v>5.63521671659067E-2</v>
      </c>
      <c r="K6327">
        <v>7.1795979506082103E-2</v>
      </c>
      <c r="L6327">
        <v>522.88523658695397</v>
      </c>
      <c r="M6327">
        <v>11.7919683109267</v>
      </c>
      <c r="N6327">
        <v>44.580149620184798</v>
      </c>
      <c r="O6327">
        <v>43.124879096682299</v>
      </c>
      <c r="P6327">
        <v>-6.6294169492795901E-2</v>
      </c>
      <c r="Q6327">
        <v>3.04618979805223E-2</v>
      </c>
      <c r="R6327">
        <v>0.98236651063335001</v>
      </c>
      <c r="S6327" t="s">
        <v>12895</v>
      </c>
      <c r="T6327" t="s">
        <v>13134</v>
      </c>
      <c r="U6327" t="s">
        <v>13134</v>
      </c>
      <c r="V6327" t="s">
        <v>13134</v>
      </c>
      <c r="W6327" t="s">
        <v>19390</v>
      </c>
      <c r="X6327">
        <v>40</v>
      </c>
      <c r="Y6327" t="s">
        <v>25740</v>
      </c>
      <c r="Z6327" t="s">
        <v>32295</v>
      </c>
      <c r="AA6327">
        <v>0.30561208946316137</v>
      </c>
      <c r="AB6327" t="str">
        <f>HYPERLINK("Melting_Curves/meltCurve_Q9UQ35_SRRM2.pdf", "Melting_Curves/meltCurve_Q9UQ35_SRRM2.pdf")</f>
        <v>Melting_Curves/meltCurve_Q9UQ35_SRRM2.pdf</v>
      </c>
    </row>
    <row r="6328" spans="1:28" x14ac:dyDescent="0.25">
      <c r="A6328" t="s">
        <v>6332</v>
      </c>
      <c r="B6328">
        <v>0.99472303558308395</v>
      </c>
      <c r="C6328">
        <v>1.0413175548201701</v>
      </c>
      <c r="D6328">
        <v>0.87937978294068397</v>
      </c>
      <c r="E6328">
        <v>0.75083376415358305</v>
      </c>
      <c r="F6328">
        <v>0.62576813656679298</v>
      </c>
      <c r="G6328">
        <v>0.25281619867600902</v>
      </c>
      <c r="H6328">
        <v>0.16272705099142001</v>
      </c>
      <c r="I6328">
        <v>0.12851974847467801</v>
      </c>
      <c r="J6328">
        <v>0.149209711369795</v>
      </c>
      <c r="K6328">
        <v>0.178671239433253</v>
      </c>
      <c r="L6328">
        <v>849.99467533790698</v>
      </c>
      <c r="M6328">
        <v>17.0590846380416</v>
      </c>
      <c r="N6328">
        <v>50.608267734424601</v>
      </c>
      <c r="O6328">
        <v>49.156926742040703</v>
      </c>
      <c r="P6328">
        <v>-7.6714051517204895E-2</v>
      </c>
      <c r="Q6328">
        <v>0.115826618908267</v>
      </c>
      <c r="R6328">
        <v>0.97965683170675999</v>
      </c>
      <c r="S6328" t="s">
        <v>12896</v>
      </c>
      <c r="T6328" t="s">
        <v>13134</v>
      </c>
      <c r="U6328" t="s">
        <v>13134</v>
      </c>
      <c r="V6328" t="s">
        <v>13134</v>
      </c>
      <c r="W6328" t="s">
        <v>19391</v>
      </c>
      <c r="X6328">
        <v>5</v>
      </c>
      <c r="Y6328" t="s">
        <v>25741</v>
      </c>
      <c r="Z6328" t="s">
        <v>32296</v>
      </c>
      <c r="AA6328">
        <v>0.50909694378557868</v>
      </c>
      <c r="AB6328" t="str">
        <f>HYPERLINK("Melting_Curves/meltCurve_Q9UQ53_2_MGAT4B.pdf", "Melting_Curves/meltCurve_Q9UQ53_2_MGAT4B.pdf")</f>
        <v>Melting_Curves/meltCurve_Q9UQ53_2_MGAT4B.pdf</v>
      </c>
    </row>
    <row r="6329" spans="1:28" x14ac:dyDescent="0.25">
      <c r="A6329" t="s">
        <v>6333</v>
      </c>
      <c r="B6329">
        <v>0.99472303558308395</v>
      </c>
      <c r="C6329">
        <v>1.00044208783394</v>
      </c>
      <c r="D6329">
        <v>1.0071710858088501</v>
      </c>
      <c r="E6329">
        <v>0.86515411619001403</v>
      </c>
      <c r="F6329">
        <v>0.48391557442700101</v>
      </c>
      <c r="G6329">
        <v>0.17635841413918299</v>
      </c>
      <c r="H6329">
        <v>5.84561180459678E-2</v>
      </c>
      <c r="I6329">
        <v>3.62071820593209E-2</v>
      </c>
      <c r="J6329">
        <v>3.9058586084933698E-2</v>
      </c>
      <c r="K6329">
        <v>3.3356042119287402E-2</v>
      </c>
      <c r="L6329">
        <v>1271.8392592402199</v>
      </c>
      <c r="M6329">
        <v>25.4507220840655</v>
      </c>
      <c r="N6329">
        <v>50.098575482999699</v>
      </c>
      <c r="O6329">
        <v>49.667158748896803</v>
      </c>
      <c r="P6329">
        <v>-0.124137731761398</v>
      </c>
      <c r="Q6329">
        <v>3.09914911817156E-2</v>
      </c>
      <c r="R6329">
        <v>0.999596601392166</v>
      </c>
      <c r="S6329" t="s">
        <v>12897</v>
      </c>
      <c r="T6329" t="s">
        <v>13134</v>
      </c>
      <c r="U6329" t="s">
        <v>13134</v>
      </c>
      <c r="V6329" t="s">
        <v>13134</v>
      </c>
      <c r="W6329" t="s">
        <v>19392</v>
      </c>
      <c r="X6329">
        <v>36</v>
      </c>
      <c r="Y6329" t="s">
        <v>25742</v>
      </c>
      <c r="Z6329" t="s">
        <v>32297</v>
      </c>
      <c r="AA6329">
        <v>0.45819823905595469</v>
      </c>
      <c r="AB6329" t="str">
        <f>HYPERLINK("Melting_Curves/meltCurve_Q9UQ80_PA2G4.pdf", "Melting_Curves/meltCurve_Q9UQ80_PA2G4.pdf")</f>
        <v>Melting_Curves/meltCurve_Q9UQ80_PA2G4.pdf</v>
      </c>
    </row>
    <row r="6330" spans="1:28" x14ac:dyDescent="0.25">
      <c r="A6330" t="s">
        <v>6334</v>
      </c>
      <c r="B6330">
        <v>0.99472303558308395</v>
      </c>
      <c r="C6330">
        <v>0.55555897829020795</v>
      </c>
      <c r="D6330">
        <v>0.75585391586863004</v>
      </c>
      <c r="E6330">
        <v>0.33484250026119899</v>
      </c>
      <c r="F6330">
        <v>0.20408759970798099</v>
      </c>
      <c r="G6330">
        <v>0.15135560735640699</v>
      </c>
      <c r="H6330">
        <v>0.104991522385811</v>
      </c>
      <c r="I6330">
        <v>0.105524766464782</v>
      </c>
      <c r="J6330">
        <v>0.14422651496632299</v>
      </c>
      <c r="K6330">
        <v>0.111562101465025</v>
      </c>
      <c r="L6330">
        <v>515.57060598986402</v>
      </c>
      <c r="M6330">
        <v>11.8422391345972</v>
      </c>
      <c r="N6330">
        <v>44.1982138316882</v>
      </c>
      <c r="O6330">
        <v>42.350773282949199</v>
      </c>
      <c r="P6330">
        <v>-6.42438901704451E-2</v>
      </c>
      <c r="Q6330">
        <v>8.1225035515224794E-2</v>
      </c>
      <c r="R6330">
        <v>0.89771147348255298</v>
      </c>
      <c r="S6330" t="s">
        <v>12898</v>
      </c>
      <c r="T6330" t="s">
        <v>13134</v>
      </c>
      <c r="U6330" t="s">
        <v>13134</v>
      </c>
      <c r="V6330" t="s">
        <v>13134</v>
      </c>
      <c r="W6330" t="s">
        <v>19393</v>
      </c>
      <c r="X6330">
        <v>23</v>
      </c>
      <c r="Y6330" t="s">
        <v>25743</v>
      </c>
      <c r="Z6330" t="s">
        <v>32298</v>
      </c>
      <c r="AA6330">
        <v>0.31900549081098672</v>
      </c>
      <c r="AB6330" t="str">
        <f>HYPERLINK("Melting_Curves/meltCurve_Q9UQ88_4_CDK11A.pdf", "Melting_Curves/meltCurve_Q9UQ88_4_CDK11A.pdf")</f>
        <v>Melting_Curves/meltCurve_Q9UQ88_4_CDK11A.pdf</v>
      </c>
    </row>
    <row r="6331" spans="1:28" x14ac:dyDescent="0.25">
      <c r="A6331" t="s">
        <v>6335</v>
      </c>
      <c r="B6331">
        <v>0.99472303558308395</v>
      </c>
      <c r="C6331">
        <v>1.0164725032752699</v>
      </c>
      <c r="D6331">
        <v>0.79748018947735499</v>
      </c>
      <c r="E6331">
        <v>0.72785631108394599</v>
      </c>
      <c r="F6331">
        <v>0.55722489391179897</v>
      </c>
      <c r="G6331">
        <v>0.32665543979386502</v>
      </c>
      <c r="H6331">
        <v>0.158433719463382</v>
      </c>
      <c r="I6331">
        <v>7.7111583613047902E-2</v>
      </c>
      <c r="J6331">
        <v>5.10482224606605E-2</v>
      </c>
      <c r="K6331">
        <v>5.9804456263842398E-2</v>
      </c>
      <c r="L6331">
        <v>612.38230219443096</v>
      </c>
      <c r="M6331">
        <v>12.157462430428501</v>
      </c>
      <c r="N6331">
        <v>50.370902094404897</v>
      </c>
      <c r="O6331">
        <v>49.066175327929798</v>
      </c>
      <c r="P6331">
        <v>-6.1958409992864102E-2</v>
      </c>
      <c r="Q6331">
        <v>0</v>
      </c>
      <c r="R6331">
        <v>0.98832037558433705</v>
      </c>
      <c r="S6331" t="s">
        <v>12899</v>
      </c>
      <c r="T6331" t="s">
        <v>13134</v>
      </c>
      <c r="U6331" t="s">
        <v>13134</v>
      </c>
      <c r="V6331" t="s">
        <v>13134</v>
      </c>
      <c r="W6331" t="s">
        <v>19394</v>
      </c>
      <c r="X6331">
        <v>9</v>
      </c>
      <c r="Y6331" t="s">
        <v>25744</v>
      </c>
      <c r="Z6331" t="s">
        <v>32299</v>
      </c>
      <c r="AA6331">
        <v>0.47259987582883412</v>
      </c>
      <c r="AB6331" t="str">
        <f>HYPERLINK("Melting_Curves/meltCurve_Q9UQ90_SPG7.pdf", "Melting_Curves/meltCurve_Q9UQ90_SPG7.pdf")</f>
        <v>Melting_Curves/meltCurve_Q9UQ90_SPG7.pdf</v>
      </c>
    </row>
    <row r="6332" spans="1:28" x14ac:dyDescent="0.25">
      <c r="A6332" t="s">
        <v>6336</v>
      </c>
      <c r="B6332">
        <v>0.99472303558308395</v>
      </c>
      <c r="C6332">
        <v>0.83484807848676201</v>
      </c>
      <c r="D6332">
        <v>0.84980782440537395</v>
      </c>
      <c r="E6332">
        <v>0.64476400720498395</v>
      </c>
      <c r="F6332">
        <v>0.39300948568697602</v>
      </c>
      <c r="G6332">
        <v>0.18996837574167699</v>
      </c>
      <c r="H6332">
        <v>9.8007728448768705E-2</v>
      </c>
      <c r="I6332">
        <v>6.56810425824043E-2</v>
      </c>
      <c r="J6332">
        <v>7.8783540850569503E-2</v>
      </c>
      <c r="K6332">
        <v>6.4285116770101097E-2</v>
      </c>
      <c r="L6332">
        <v>627.25711248784705</v>
      </c>
      <c r="M6332">
        <v>13.0237803335416</v>
      </c>
      <c r="N6332">
        <v>48.301719470901901</v>
      </c>
      <c r="O6332">
        <v>47.069377611245002</v>
      </c>
      <c r="P6332">
        <v>-6.7910485540451704E-2</v>
      </c>
      <c r="Q6332">
        <v>1.84282625789551E-2</v>
      </c>
      <c r="R6332">
        <v>0.98816602628474903</v>
      </c>
      <c r="S6332" t="s">
        <v>12900</v>
      </c>
      <c r="T6332" t="s">
        <v>13134</v>
      </c>
      <c r="U6332" t="s">
        <v>13134</v>
      </c>
      <c r="V6332" t="s">
        <v>13134</v>
      </c>
      <c r="W6332" t="s">
        <v>19395</v>
      </c>
      <c r="X6332">
        <v>16</v>
      </c>
      <c r="Y6332" t="s">
        <v>25745</v>
      </c>
      <c r="Z6332" t="s">
        <v>32300</v>
      </c>
      <c r="AA6332">
        <v>0.41064665946788093</v>
      </c>
      <c r="AB6332" t="str">
        <f>HYPERLINK("Melting_Curves/meltCurve_Q9UQB8_3_BAIAP2.pdf", "Melting_Curves/meltCurve_Q9UQB8_3_BAIAP2.pdf")</f>
        <v>Melting_Curves/meltCurve_Q9UQB8_3_BAIAP2.pdf</v>
      </c>
    </row>
    <row r="6333" spans="1:28" x14ac:dyDescent="0.25">
      <c r="A6333" t="s">
        <v>6337</v>
      </c>
      <c r="B6333">
        <v>0.99472303558308395</v>
      </c>
      <c r="C6333">
        <v>0.84772825482830205</v>
      </c>
      <c r="D6333">
        <v>0.69173658544660099</v>
      </c>
      <c r="E6333">
        <v>0.39198662577501397</v>
      </c>
      <c r="F6333">
        <v>0.20352949439766299</v>
      </c>
      <c r="G6333">
        <v>0.15097342420516099</v>
      </c>
      <c r="H6333">
        <v>9.8964490501028402E-2</v>
      </c>
      <c r="I6333">
        <v>8.1068180748288601E-2</v>
      </c>
      <c r="J6333">
        <v>7.8643996163897098E-2</v>
      </c>
      <c r="K6333">
        <v>6.2589885632116093E-2</v>
      </c>
      <c r="L6333">
        <v>688.43328052137201</v>
      </c>
      <c r="M6333">
        <v>15.3787104826852</v>
      </c>
      <c r="N6333">
        <v>45.187951279750898</v>
      </c>
      <c r="O6333">
        <v>44.028901668855497</v>
      </c>
      <c r="P6333">
        <v>-8.1480285346726106E-2</v>
      </c>
      <c r="Q6333">
        <v>6.6980601148087904E-2</v>
      </c>
      <c r="R6333">
        <v>0.99772883683522995</v>
      </c>
      <c r="S6333" t="s">
        <v>12901</v>
      </c>
      <c r="T6333" t="s">
        <v>13134</v>
      </c>
      <c r="U6333" t="s">
        <v>13134</v>
      </c>
      <c r="V6333" t="s">
        <v>13134</v>
      </c>
      <c r="W6333" t="s">
        <v>19396</v>
      </c>
      <c r="X6333">
        <v>8</v>
      </c>
      <c r="Y6333" t="s">
        <v>25746</v>
      </c>
      <c r="Z6333" t="s">
        <v>32301</v>
      </c>
      <c r="AA6333">
        <v>0.3297770508771195</v>
      </c>
      <c r="AB6333" t="str">
        <f>HYPERLINK("Melting_Curves/meltCurve_Q9UQC2_2_GAB2.pdf", "Melting_Curves/meltCurve_Q9UQC2_2_GAB2.pdf")</f>
        <v>Melting_Curves/meltCurve_Q9UQC2_2_GAB2.pdf</v>
      </c>
    </row>
    <row r="6334" spans="1:28" x14ac:dyDescent="0.25">
      <c r="A6334" t="s">
        <v>6338</v>
      </c>
      <c r="B6334">
        <v>0.99472303558308395</v>
      </c>
      <c r="C6334">
        <v>0.93890893292307798</v>
      </c>
      <c r="D6334">
        <v>0.80906820983431504</v>
      </c>
      <c r="E6334">
        <v>0.68092949877490405</v>
      </c>
      <c r="F6334">
        <v>0.563870403251295</v>
      </c>
      <c r="G6334">
        <v>0.257668402638908</v>
      </c>
      <c r="H6334">
        <v>9.5232162199267598E-2</v>
      </c>
      <c r="I6334">
        <v>5.6456656969982102E-2</v>
      </c>
      <c r="J6334">
        <v>6.0516111986481401E-2</v>
      </c>
      <c r="K6334">
        <v>5.3255913904806301E-2</v>
      </c>
      <c r="L6334">
        <v>620.41082977986696</v>
      </c>
      <c r="M6334">
        <v>12.493615884702299</v>
      </c>
      <c r="N6334">
        <v>49.658246650692</v>
      </c>
      <c r="O6334">
        <v>48.437488247601301</v>
      </c>
      <c r="P6334">
        <v>-6.4496489168570606E-2</v>
      </c>
      <c r="Q6334">
        <v>0</v>
      </c>
      <c r="R6334">
        <v>0.98554338657089502</v>
      </c>
      <c r="S6334" t="s">
        <v>12902</v>
      </c>
      <c r="T6334" t="s">
        <v>13134</v>
      </c>
      <c r="U6334" t="s">
        <v>13134</v>
      </c>
      <c r="V6334" t="s">
        <v>13134</v>
      </c>
      <c r="W6334" t="s">
        <v>19397</v>
      </c>
      <c r="X6334">
        <v>62</v>
      </c>
      <c r="Y6334" t="s">
        <v>25747</v>
      </c>
      <c r="Z6334" t="s">
        <v>32302</v>
      </c>
      <c r="AA6334">
        <v>0.44914121592903927</v>
      </c>
      <c r="AB6334" t="str">
        <f>HYPERLINK("Melting_Curves/meltCurve_Q9UQE7_SMC3.pdf", "Melting_Curves/meltCurve_Q9UQE7_SMC3.pdf")</f>
        <v>Melting_Curves/meltCurve_Q9UQE7_SMC3.pdf</v>
      </c>
    </row>
    <row r="6335" spans="1:28" x14ac:dyDescent="0.25">
      <c r="A6335" t="s">
        <v>6339</v>
      </c>
      <c r="B6335">
        <v>0.99472303558308395</v>
      </c>
      <c r="C6335">
        <v>0.76188047919317003</v>
      </c>
      <c r="D6335">
        <v>1.11278822111163</v>
      </c>
      <c r="E6335">
        <v>0.74779467630596397</v>
      </c>
      <c r="F6335">
        <v>0.252154099520005</v>
      </c>
      <c r="G6335">
        <v>0.11842445625960001</v>
      </c>
      <c r="H6335">
        <v>6.0238314578630499E-2</v>
      </c>
      <c r="I6335">
        <v>2.3124315540350798E-2</v>
      </c>
      <c r="J6335">
        <v>4.7036940885351E-2</v>
      </c>
      <c r="K6335">
        <v>3.3413298158190698E-2</v>
      </c>
      <c r="L6335">
        <v>1569.9548772973101</v>
      </c>
      <c r="M6335">
        <v>32.570080731423602</v>
      </c>
      <c r="N6335">
        <v>48.352684319471003</v>
      </c>
      <c r="O6335">
        <v>48.021740928455401</v>
      </c>
      <c r="P6335">
        <v>-0.161395738994245</v>
      </c>
      <c r="Q6335">
        <v>4.8148755897532598E-2</v>
      </c>
      <c r="R6335">
        <v>0.95594528549223201</v>
      </c>
      <c r="S6335" t="s">
        <v>12903</v>
      </c>
      <c r="T6335" t="s">
        <v>13134</v>
      </c>
      <c r="U6335" t="s">
        <v>13134</v>
      </c>
      <c r="V6335" t="s">
        <v>13134</v>
      </c>
      <c r="W6335" t="s">
        <v>19398</v>
      </c>
      <c r="X6335">
        <v>3</v>
      </c>
      <c r="Y6335" t="s">
        <v>25748</v>
      </c>
      <c r="Z6335" t="s">
        <v>32303</v>
      </c>
      <c r="AA6335">
        <v>0.40837896089979853</v>
      </c>
      <c r="AB6335" t="str">
        <f>HYPERLINK("Melting_Curves/meltCurve_Q9UQL0_UBE2D4.pdf", "Melting_Curves/meltCurve_Q9UQL0_UBE2D4.pdf")</f>
        <v>Melting_Curves/meltCurve_Q9UQL0_UBE2D4.pdf</v>
      </c>
    </row>
    <row r="6336" spans="1:28" x14ac:dyDescent="0.25">
      <c r="A6336" t="s">
        <v>6340</v>
      </c>
      <c r="B6336">
        <v>0.99472303558308395</v>
      </c>
      <c r="C6336">
        <v>0.73926322242877596</v>
      </c>
      <c r="D6336">
        <v>0.41993361948707397</v>
      </c>
      <c r="E6336">
        <v>0.28588773522511302</v>
      </c>
      <c r="F6336">
        <v>0.16916194826282099</v>
      </c>
      <c r="G6336">
        <v>0.10263457839703501</v>
      </c>
      <c r="H6336">
        <v>7.5318214645512305E-2</v>
      </c>
      <c r="I6336">
        <v>5.46757265344162E-2</v>
      </c>
      <c r="J6336">
        <v>5.5306766812030901E-2</v>
      </c>
      <c r="K6336">
        <v>4.23264791558529E-2</v>
      </c>
      <c r="L6336">
        <v>681.622367198544</v>
      </c>
      <c r="M6336">
        <v>16.085389780402298</v>
      </c>
      <c r="N6336">
        <v>42.734160036154201</v>
      </c>
      <c r="O6336">
        <v>41.736538644250203</v>
      </c>
      <c r="P6336">
        <v>-9.0269757025380606E-2</v>
      </c>
      <c r="Q6336">
        <v>6.3185191361137497E-2</v>
      </c>
      <c r="R6336">
        <v>0.98607174674112397</v>
      </c>
      <c r="S6336" t="s">
        <v>12904</v>
      </c>
      <c r="T6336" t="s">
        <v>13134</v>
      </c>
      <c r="U6336" t="s">
        <v>13134</v>
      </c>
      <c r="V6336" t="s">
        <v>13134</v>
      </c>
      <c r="W6336" t="s">
        <v>19399</v>
      </c>
      <c r="X6336">
        <v>2</v>
      </c>
      <c r="Y6336" t="s">
        <v>25749</v>
      </c>
      <c r="Z6336" t="s">
        <v>32304</v>
      </c>
      <c r="AA6336">
        <v>0.25341458331350231</v>
      </c>
      <c r="AB6336" t="str">
        <f>HYPERLINK("Melting_Curves/meltCurve_Q9UQQ2_SH2B3.pdf", "Melting_Curves/meltCurve_Q9UQQ2_SH2B3.pdf")</f>
        <v>Melting_Curves/meltCurve_Q9UQQ2_SH2B3.pdf</v>
      </c>
    </row>
    <row r="6337" spans="1:28" x14ac:dyDescent="0.25">
      <c r="A6337" t="s">
        <v>6341</v>
      </c>
      <c r="B6337">
        <v>0.99472303558308395</v>
      </c>
      <c r="C6337">
        <v>0.94641425626641296</v>
      </c>
      <c r="D6337">
        <v>0.41675555633046901</v>
      </c>
      <c r="E6337">
        <v>0.25052218329405501</v>
      </c>
      <c r="F6337">
        <v>0.160781733907121</v>
      </c>
      <c r="G6337">
        <v>9.4068854949833206E-2</v>
      </c>
      <c r="H6337">
        <v>7.2397766921481699E-2</v>
      </c>
      <c r="I6337">
        <v>6.1897180037950202E-2</v>
      </c>
      <c r="J6337">
        <v>5.5387569923130001E-2</v>
      </c>
      <c r="K6337">
        <v>4.8901378297764399E-2</v>
      </c>
      <c r="L6337">
        <v>1203.6957040641801</v>
      </c>
      <c r="M6337">
        <v>28.2854830502555</v>
      </c>
      <c r="N6337">
        <v>42.851845456670397</v>
      </c>
      <c r="O6337">
        <v>42.344244727122998</v>
      </c>
      <c r="P6337">
        <v>-0.152152223487098</v>
      </c>
      <c r="Q6337">
        <v>8.8901130202625897E-2</v>
      </c>
      <c r="R6337">
        <v>0.980416128260306</v>
      </c>
      <c r="S6337" t="s">
        <v>12905</v>
      </c>
      <c r="T6337" t="s">
        <v>13134</v>
      </c>
      <c r="U6337" t="s">
        <v>13134</v>
      </c>
      <c r="V6337" t="s">
        <v>13134</v>
      </c>
      <c r="W6337" t="s">
        <v>19400</v>
      </c>
      <c r="X6337">
        <v>6</v>
      </c>
      <c r="Y6337" t="s">
        <v>25750</v>
      </c>
      <c r="Z6337" t="s">
        <v>32305</v>
      </c>
      <c r="AA6337">
        <v>0.26348247384938372</v>
      </c>
      <c r="AB6337" t="str">
        <f>HYPERLINK("Melting_Curves/meltCurve_Q9UQR0_SCML2.pdf", "Melting_Curves/meltCurve_Q9UQR0_SCML2.pdf")</f>
        <v>Melting_Curves/meltCurve_Q9UQR0_SCML2.pdf</v>
      </c>
    </row>
    <row r="6338" spans="1:28" x14ac:dyDescent="0.25">
      <c r="A6338" t="s">
        <v>6342</v>
      </c>
      <c r="B6338">
        <v>0.99472303558308395</v>
      </c>
      <c r="C6338">
        <v>1.02953032014593</v>
      </c>
      <c r="D6338">
        <v>0.82969301464086698</v>
      </c>
      <c r="E6338">
        <v>0.47602187745048502</v>
      </c>
      <c r="F6338">
        <v>0.24395445861229201</v>
      </c>
      <c r="G6338">
        <v>0.13149678583663901</v>
      </c>
      <c r="H6338">
        <v>7.9051163628017895E-2</v>
      </c>
      <c r="I6338">
        <v>3.2198675867778401E-2</v>
      </c>
      <c r="J6338">
        <v>0.11550490252965501</v>
      </c>
      <c r="K6338">
        <v>3.42490195966225E-2</v>
      </c>
      <c r="L6338">
        <v>947.49539492326596</v>
      </c>
      <c r="M6338">
        <v>20.483670187997799</v>
      </c>
      <c r="N6338">
        <v>46.570325140885402</v>
      </c>
      <c r="O6338">
        <v>45.822039955202101</v>
      </c>
      <c r="P6338">
        <v>-0.104547482886133</v>
      </c>
      <c r="Q6338">
        <v>6.453540136798E-2</v>
      </c>
      <c r="R6338">
        <v>0.99312042631617203</v>
      </c>
      <c r="S6338" t="s">
        <v>12906</v>
      </c>
      <c r="T6338" t="s">
        <v>13134</v>
      </c>
      <c r="U6338" t="s">
        <v>13134</v>
      </c>
      <c r="V6338" t="s">
        <v>13134</v>
      </c>
      <c r="W6338" t="s">
        <v>19401</v>
      </c>
      <c r="X6338">
        <v>3</v>
      </c>
      <c r="Y6338" t="s">
        <v>25751</v>
      </c>
      <c r="Z6338" t="s">
        <v>32306</v>
      </c>
      <c r="AA6338">
        <v>0.3648164061301975</v>
      </c>
      <c r="AB6338" t="str">
        <f>HYPERLINK("Melting_Curves/meltCurve_Q9UQR1_ZNF148.pdf", "Melting_Curves/meltCurve_Q9UQR1_ZNF148.pdf")</f>
        <v>Melting_Curves/meltCurve_Q9UQR1_ZNF148.pdf</v>
      </c>
    </row>
    <row r="6339" spans="1:28" x14ac:dyDescent="0.25">
      <c r="A6339" t="s">
        <v>6343</v>
      </c>
      <c r="B6339">
        <v>0.99472303558308395</v>
      </c>
      <c r="C6339">
        <v>1.0046547082134301</v>
      </c>
      <c r="D6339">
        <v>0.93281385964200603</v>
      </c>
      <c r="E6339">
        <v>0.79228351591273005</v>
      </c>
      <c r="F6339">
        <v>0.45186765389210598</v>
      </c>
      <c r="G6339">
        <v>0.152587723536078</v>
      </c>
      <c r="H6339">
        <v>9.4444012662555393E-2</v>
      </c>
      <c r="I6339">
        <v>8.3426204053929406E-2</v>
      </c>
      <c r="J6339">
        <v>0.10642235761456099</v>
      </c>
      <c r="K6339">
        <v>8.6272052152987402E-2</v>
      </c>
      <c r="L6339">
        <v>1145.9871872584999</v>
      </c>
      <c r="M6339">
        <v>23.320940931806099</v>
      </c>
      <c r="N6339">
        <v>49.495264370745197</v>
      </c>
      <c r="O6339">
        <v>48.782792288322298</v>
      </c>
      <c r="P6339">
        <v>-0.110301846440025</v>
      </c>
      <c r="Q6339">
        <v>7.7097833428802706E-2</v>
      </c>
      <c r="R6339">
        <v>0.99745360662395999</v>
      </c>
      <c r="S6339" t="s">
        <v>12907</v>
      </c>
      <c r="T6339" t="s">
        <v>13134</v>
      </c>
      <c r="U6339" t="s">
        <v>13134</v>
      </c>
      <c r="V6339" t="s">
        <v>13134</v>
      </c>
      <c r="W6339" t="s">
        <v>19402</v>
      </c>
      <c r="X6339">
        <v>11</v>
      </c>
      <c r="Y6339" t="s">
        <v>25752</v>
      </c>
      <c r="Z6339" t="s">
        <v>32307</v>
      </c>
      <c r="AA6339">
        <v>0.45969364995261491</v>
      </c>
      <c r="AB6339" t="str">
        <f>HYPERLINK("Melting_Curves/meltCurve_Q9Y217_MTMR6.pdf", "Melting_Curves/meltCurve_Q9Y217_MTMR6.pdf")</f>
        <v>Melting_Curves/meltCurve_Q9Y217_MTMR6.pdf</v>
      </c>
    </row>
    <row r="6340" spans="1:28" x14ac:dyDescent="0.25">
      <c r="A6340" t="s">
        <v>6344</v>
      </c>
      <c r="B6340">
        <v>0.99472303558308395</v>
      </c>
      <c r="C6340">
        <v>0.93051703794150797</v>
      </c>
      <c r="D6340">
        <v>0.80327495430284201</v>
      </c>
      <c r="E6340">
        <v>0.639105283303538</v>
      </c>
      <c r="F6340">
        <v>0.64220955977717198</v>
      </c>
      <c r="G6340">
        <v>0.22600760979540599</v>
      </c>
      <c r="H6340">
        <v>0.12372481980366901</v>
      </c>
      <c r="I6340">
        <v>5.71878689510903E-2</v>
      </c>
      <c r="J6340">
        <v>6.6384464455831696E-2</v>
      </c>
      <c r="K6340">
        <v>0.12139430900426</v>
      </c>
      <c r="L6340">
        <v>573.16138086492401</v>
      </c>
      <c r="M6340">
        <v>11.517596783890999</v>
      </c>
      <c r="N6340">
        <v>49.763986748746802</v>
      </c>
      <c r="O6340">
        <v>48.334720099228903</v>
      </c>
      <c r="P6340">
        <v>-5.9588899186520501E-2</v>
      </c>
      <c r="Q6340">
        <v>0</v>
      </c>
      <c r="R6340">
        <v>0.96176537906836601</v>
      </c>
      <c r="S6340" t="s">
        <v>12908</v>
      </c>
      <c r="T6340" t="s">
        <v>13134</v>
      </c>
      <c r="U6340" t="s">
        <v>13134</v>
      </c>
      <c r="V6340" t="s">
        <v>13134</v>
      </c>
      <c r="W6340" t="s">
        <v>19403</v>
      </c>
      <c r="X6340">
        <v>3</v>
      </c>
      <c r="Y6340" t="s">
        <v>25753</v>
      </c>
      <c r="Z6340" t="s">
        <v>32308</v>
      </c>
      <c r="AA6340">
        <v>0.45529583982841371</v>
      </c>
      <c r="AB6340" t="str">
        <f>HYPERLINK("Melting_Curves/meltCurve_Q9Y219_JAG2.pdf", "Melting_Curves/meltCurve_Q9Y219_JAG2.pdf")</f>
        <v>Melting_Curves/meltCurve_Q9Y219_JAG2.pdf</v>
      </c>
    </row>
    <row r="6341" spans="1:28" x14ac:dyDescent="0.25">
      <c r="A6341" t="s">
        <v>6345</v>
      </c>
      <c r="B6341">
        <v>0.99472303558308395</v>
      </c>
      <c r="C6341">
        <v>0.95305627027473805</v>
      </c>
      <c r="D6341">
        <v>0.78065528896551595</v>
      </c>
      <c r="E6341">
        <v>0.71609637926110503</v>
      </c>
      <c r="F6341">
        <v>0.767211194595673</v>
      </c>
      <c r="G6341">
        <v>0.42432972519012302</v>
      </c>
      <c r="H6341">
        <v>0.17417919546344099</v>
      </c>
      <c r="I6341">
        <v>9.0238074589851405E-2</v>
      </c>
      <c r="J6341">
        <v>0.103153453994297</v>
      </c>
      <c r="K6341">
        <v>7.7754935697528199E-2</v>
      </c>
      <c r="L6341">
        <v>598.01753487313397</v>
      </c>
      <c r="M6341">
        <v>11.508403935063299</v>
      </c>
      <c r="N6341">
        <v>51.9635509911068</v>
      </c>
      <c r="O6341">
        <v>50.4688537679273</v>
      </c>
      <c r="P6341">
        <v>-5.7023615768026503E-2</v>
      </c>
      <c r="Q6341">
        <v>0</v>
      </c>
      <c r="R6341">
        <v>0.95015763943934495</v>
      </c>
      <c r="S6341" t="s">
        <v>12909</v>
      </c>
      <c r="T6341" t="s">
        <v>13134</v>
      </c>
      <c r="U6341" t="s">
        <v>13134</v>
      </c>
      <c r="V6341" t="s">
        <v>13134</v>
      </c>
      <c r="W6341" t="s">
        <v>19404</v>
      </c>
      <c r="X6341">
        <v>13</v>
      </c>
      <c r="Y6341" t="s">
        <v>25754</v>
      </c>
      <c r="Z6341" t="s">
        <v>32309</v>
      </c>
      <c r="AA6341">
        <v>0.52339869611254808</v>
      </c>
      <c r="AB6341" t="str">
        <f>HYPERLINK("Melting_Curves/meltCurve_Q9Y223_GNE.pdf", "Melting_Curves/meltCurve_Q9Y223_GNE.pdf")</f>
        <v>Melting_Curves/meltCurve_Q9Y223_GNE.pdf</v>
      </c>
    </row>
    <row r="6342" spans="1:28" x14ac:dyDescent="0.25">
      <c r="A6342" t="s">
        <v>6346</v>
      </c>
      <c r="B6342">
        <v>0.99472303558308395</v>
      </c>
      <c r="C6342">
        <v>0.89621742488353695</v>
      </c>
      <c r="D6342">
        <v>0.85155189016253696</v>
      </c>
      <c r="E6342">
        <v>0.71954831431493704</v>
      </c>
      <c r="F6342">
        <v>0.50712937317304096</v>
      </c>
      <c r="G6342">
        <v>0.22365532807425201</v>
      </c>
      <c r="H6342">
        <v>0.13372912626804601</v>
      </c>
      <c r="I6342">
        <v>9.4001165622034893E-2</v>
      </c>
      <c r="J6342">
        <v>8.9847503254579894E-2</v>
      </c>
      <c r="K6342">
        <v>5.9234042005382299E-2</v>
      </c>
      <c r="L6342">
        <v>643.20572607935605</v>
      </c>
      <c r="M6342">
        <v>13.004908031604799</v>
      </c>
      <c r="N6342">
        <v>49.600069690084503</v>
      </c>
      <c r="O6342">
        <v>48.333063762857698</v>
      </c>
      <c r="P6342">
        <v>-6.6054854969254895E-2</v>
      </c>
      <c r="Q6342">
        <v>1.81951142652663E-2</v>
      </c>
      <c r="R6342">
        <v>0.99159369587092705</v>
      </c>
      <c r="S6342" t="s">
        <v>12910</v>
      </c>
      <c r="T6342" t="s">
        <v>13134</v>
      </c>
      <c r="U6342" t="s">
        <v>13134</v>
      </c>
      <c r="V6342" t="s">
        <v>13134</v>
      </c>
      <c r="W6342" t="s">
        <v>19405</v>
      </c>
      <c r="X6342">
        <v>11</v>
      </c>
      <c r="Y6342" t="s">
        <v>25755</v>
      </c>
      <c r="Z6342" t="s">
        <v>32310</v>
      </c>
      <c r="AA6342">
        <v>0.45152503414347722</v>
      </c>
      <c r="AB6342" t="str">
        <f>HYPERLINK("Melting_Curves/meltCurve_Q9Y224_C14orf166.pdf", "Melting_Curves/meltCurve_Q9Y224_C14orf166.pdf")</f>
        <v>Melting_Curves/meltCurve_Q9Y224_C14orf166.pdf</v>
      </c>
    </row>
    <row r="6343" spans="1:28" x14ac:dyDescent="0.25">
      <c r="A6343" t="s">
        <v>6347</v>
      </c>
      <c r="B6343">
        <v>0.99472303558308395</v>
      </c>
      <c r="C6343">
        <v>0.87844481405919606</v>
      </c>
      <c r="D6343">
        <v>0.85750175870506595</v>
      </c>
      <c r="E6343">
        <v>0.80838244813377602</v>
      </c>
      <c r="F6343">
        <v>0.60523819130174705</v>
      </c>
      <c r="G6343">
        <v>0.426749767783968</v>
      </c>
      <c r="H6343">
        <v>0.23457979459304301</v>
      </c>
      <c r="I6343">
        <v>0.24933779825709401</v>
      </c>
      <c r="J6343">
        <v>0.26348800553472201</v>
      </c>
      <c r="K6343">
        <v>0.26097317038610701</v>
      </c>
      <c r="L6343">
        <v>624.83443300690305</v>
      </c>
      <c r="M6343">
        <v>12.5394868467459</v>
      </c>
      <c r="N6343">
        <v>51.814805504140303</v>
      </c>
      <c r="O6343">
        <v>48.6129859654908</v>
      </c>
      <c r="P6343">
        <v>-5.2195350783080401E-2</v>
      </c>
      <c r="Q6343">
        <v>0.19076235257438701</v>
      </c>
      <c r="R6343">
        <v>0.97301904329890598</v>
      </c>
      <c r="S6343" t="s">
        <v>12911</v>
      </c>
      <c r="T6343" t="s">
        <v>13134</v>
      </c>
      <c r="U6343" t="s">
        <v>13134</v>
      </c>
      <c r="V6343" t="s">
        <v>13134</v>
      </c>
      <c r="W6343" t="s">
        <v>19406</v>
      </c>
      <c r="X6343">
        <v>1</v>
      </c>
      <c r="Y6343" t="s">
        <v>25756</v>
      </c>
      <c r="Z6343" t="s">
        <v>32311</v>
      </c>
      <c r="AA6343">
        <v>0.55853077959543629</v>
      </c>
      <c r="AB6343" t="str">
        <f>HYPERLINK("Melting_Curves/meltCurve_Q9Y225_RNF24.pdf", "Melting_Curves/meltCurve_Q9Y225_RNF24.pdf")</f>
        <v>Melting_Curves/meltCurve_Q9Y225_RNF24.pdf</v>
      </c>
    </row>
    <row r="6344" spans="1:28" x14ac:dyDescent="0.25">
      <c r="A6344" t="s">
        <v>6348</v>
      </c>
      <c r="B6344">
        <v>0.99472303558308395</v>
      </c>
      <c r="C6344">
        <v>0.93432793907728295</v>
      </c>
      <c r="D6344">
        <v>0.76605665277103197</v>
      </c>
      <c r="E6344">
        <v>0.65400138427751697</v>
      </c>
      <c r="F6344">
        <v>0.75589313758185095</v>
      </c>
      <c r="G6344">
        <v>0.49428714063995199</v>
      </c>
      <c r="H6344">
        <v>0.39237439621905601</v>
      </c>
      <c r="I6344">
        <v>0.300915849056345</v>
      </c>
      <c r="J6344">
        <v>0.45197485456705699</v>
      </c>
      <c r="K6344">
        <v>0.31563894538923798</v>
      </c>
      <c r="L6344">
        <v>390.064385460636</v>
      </c>
      <c r="M6344">
        <v>7.8222213883852501</v>
      </c>
      <c r="N6344">
        <v>54.370776092081798</v>
      </c>
      <c r="O6344">
        <v>46.922133414031897</v>
      </c>
      <c r="P6344">
        <v>-3.1776955110026699E-2</v>
      </c>
      <c r="Q6344">
        <v>0.23847155250805799</v>
      </c>
      <c r="R6344">
        <v>0.90759730232806801</v>
      </c>
      <c r="S6344" t="s">
        <v>12912</v>
      </c>
      <c r="T6344" t="s">
        <v>13134</v>
      </c>
      <c r="U6344" t="s">
        <v>13134</v>
      </c>
      <c r="V6344" t="s">
        <v>13134</v>
      </c>
      <c r="W6344" t="s">
        <v>19407</v>
      </c>
      <c r="X6344">
        <v>38</v>
      </c>
      <c r="Y6344" t="s">
        <v>25757</v>
      </c>
      <c r="Z6344" t="s">
        <v>32312</v>
      </c>
      <c r="AA6344">
        <v>0.59719924084835874</v>
      </c>
      <c r="AB6344" t="str">
        <f>HYPERLINK("Melting_Curves/meltCurve_Q9Y230_RUVBL2.pdf", "Melting_Curves/meltCurve_Q9Y230_RUVBL2.pdf")</f>
        <v>Melting_Curves/meltCurve_Q9Y230_RUVBL2.pdf</v>
      </c>
    </row>
    <row r="6345" spans="1:28" x14ac:dyDescent="0.25">
      <c r="A6345" t="s">
        <v>6349</v>
      </c>
      <c r="B6345">
        <v>0.99472303558308395</v>
      </c>
      <c r="C6345">
        <v>0.82176103251991595</v>
      </c>
      <c r="D6345">
        <v>0.63931245601634401</v>
      </c>
      <c r="E6345">
        <v>0.48285651761546</v>
      </c>
      <c r="F6345">
        <v>0.363035864788401</v>
      </c>
      <c r="G6345">
        <v>0.26505173894481698</v>
      </c>
      <c r="H6345">
        <v>0.152478317898815</v>
      </c>
      <c r="I6345">
        <v>0.188713224228304</v>
      </c>
      <c r="J6345">
        <v>0.23685345880963901</v>
      </c>
      <c r="K6345">
        <v>0.14588518666865299</v>
      </c>
      <c r="L6345">
        <v>539.26123662882503</v>
      </c>
      <c r="M6345">
        <v>12.093810095417</v>
      </c>
      <c r="N6345">
        <v>46.051656821048901</v>
      </c>
      <c r="O6345">
        <v>43.423210533855901</v>
      </c>
      <c r="P6345">
        <v>-5.8542812829776601E-2</v>
      </c>
      <c r="Q6345">
        <v>0.159397307142502</v>
      </c>
      <c r="R6345">
        <v>0.98303268347828798</v>
      </c>
      <c r="S6345" t="s">
        <v>12913</v>
      </c>
      <c r="T6345" t="s">
        <v>13134</v>
      </c>
      <c r="U6345" t="s">
        <v>13134</v>
      </c>
      <c r="V6345" t="s">
        <v>13134</v>
      </c>
      <c r="W6345" t="s">
        <v>19408</v>
      </c>
      <c r="X6345">
        <v>4</v>
      </c>
      <c r="Y6345" t="s">
        <v>25758</v>
      </c>
      <c r="Z6345" t="s">
        <v>32313</v>
      </c>
      <c r="AA6345">
        <v>0.40292664442757181</v>
      </c>
      <c r="AB6345" t="str">
        <f>HYPERLINK("Melting_Curves/meltCurve_Q9Y232_2_CDYL.pdf", "Melting_Curves/meltCurve_Q9Y232_2_CDYL.pdf")</f>
        <v>Melting_Curves/meltCurve_Q9Y232_2_CDYL.pdf</v>
      </c>
    </row>
    <row r="6346" spans="1:28" x14ac:dyDescent="0.25">
      <c r="A6346" t="s">
        <v>6350</v>
      </c>
      <c r="B6346">
        <v>0.99472303558308395</v>
      </c>
      <c r="C6346">
        <v>0.95363334904864705</v>
      </c>
      <c r="D6346">
        <v>1.05004426520387</v>
      </c>
      <c r="E6346">
        <v>0.89855693330878394</v>
      </c>
      <c r="F6346">
        <v>0.540035992541265</v>
      </c>
      <c r="G6346">
        <v>0.46708801987198401</v>
      </c>
      <c r="H6346">
        <v>0.27230276021425398</v>
      </c>
      <c r="I6346">
        <v>0.247651052560489</v>
      </c>
      <c r="J6346">
        <v>0.26952535628809599</v>
      </c>
      <c r="K6346">
        <v>0.184166611923409</v>
      </c>
      <c r="L6346">
        <v>1000.4692829774</v>
      </c>
      <c r="M6346">
        <v>19.917820433961399</v>
      </c>
      <c r="N6346">
        <v>51.806355975236798</v>
      </c>
      <c r="O6346">
        <v>49.731770357142203</v>
      </c>
      <c r="P6346">
        <v>-7.7373524637582194E-2</v>
      </c>
      <c r="Q6346">
        <v>0.22726608356235201</v>
      </c>
      <c r="R6346">
        <v>0.97829131076423903</v>
      </c>
      <c r="S6346" t="s">
        <v>12914</v>
      </c>
      <c r="T6346" t="s">
        <v>13134</v>
      </c>
      <c r="U6346" t="s">
        <v>13134</v>
      </c>
      <c r="V6346" t="s">
        <v>13134</v>
      </c>
      <c r="W6346" t="s">
        <v>19409</v>
      </c>
      <c r="X6346">
        <v>5</v>
      </c>
      <c r="Y6346" t="s">
        <v>25759</v>
      </c>
      <c r="Z6346" t="s">
        <v>32314</v>
      </c>
      <c r="AA6346">
        <v>0.57827901594119124</v>
      </c>
      <c r="AB6346" t="str">
        <f>HYPERLINK("Melting_Curves/meltCurve_Q9Y237_PIN4.pdf", "Melting_Curves/meltCurve_Q9Y237_PIN4.pdf")</f>
        <v>Melting_Curves/meltCurve_Q9Y237_PIN4.pdf</v>
      </c>
    </row>
    <row r="6347" spans="1:28" x14ac:dyDescent="0.25">
      <c r="A6347" t="s">
        <v>6351</v>
      </c>
      <c r="B6347">
        <v>0.99472303558308395</v>
      </c>
      <c r="C6347">
        <v>1.0815522118601</v>
      </c>
      <c r="D6347">
        <v>0.98177800711886798</v>
      </c>
      <c r="E6347">
        <v>0.76458344470397399</v>
      </c>
      <c r="F6347">
        <v>0.53739724491317398</v>
      </c>
      <c r="G6347">
        <v>0.27808715060866401</v>
      </c>
      <c r="H6347">
        <v>0.17619822562936299</v>
      </c>
      <c r="I6347">
        <v>0.212357945479136</v>
      </c>
      <c r="J6347">
        <v>0.21386984404343301</v>
      </c>
      <c r="K6347">
        <v>0.21187406682690099</v>
      </c>
      <c r="L6347">
        <v>1069.7503319979301</v>
      </c>
      <c r="M6347">
        <v>21.809935275889099</v>
      </c>
      <c r="N6347">
        <v>50.162253721164603</v>
      </c>
      <c r="O6347">
        <v>48.641985644972301</v>
      </c>
      <c r="P6347">
        <v>-9.0586971871629299E-2</v>
      </c>
      <c r="Q6347">
        <v>0.19188588948452401</v>
      </c>
      <c r="R6347">
        <v>0.98859291587894904</v>
      </c>
      <c r="S6347" t="s">
        <v>12915</v>
      </c>
      <c r="T6347" t="s">
        <v>13134</v>
      </c>
      <c r="U6347" t="s">
        <v>13134</v>
      </c>
      <c r="V6347" t="s">
        <v>13134</v>
      </c>
      <c r="W6347" t="s">
        <v>19410</v>
      </c>
      <c r="X6347">
        <v>2</v>
      </c>
      <c r="Y6347" t="s">
        <v>25760</v>
      </c>
      <c r="Z6347" t="s">
        <v>32315</v>
      </c>
      <c r="AA6347">
        <v>0.52551622321975111</v>
      </c>
      <c r="AB6347" t="str">
        <f>HYPERLINK("Melting_Curves/meltCurve_Q9Y240_CLEC11A.pdf", "Melting_Curves/meltCurve_Q9Y240_CLEC11A.pdf")</f>
        <v>Melting_Curves/meltCurve_Q9Y240_CLEC11A.pdf</v>
      </c>
    </row>
    <row r="6348" spans="1:28" x14ac:dyDescent="0.25">
      <c r="A6348" t="s">
        <v>6352</v>
      </c>
      <c r="B6348">
        <v>0.99472303558308395</v>
      </c>
      <c r="C6348">
        <v>0.90345260516029402</v>
      </c>
      <c r="D6348">
        <v>0.85154280006754601</v>
      </c>
      <c r="E6348">
        <v>0.73048807492414503</v>
      </c>
      <c r="F6348">
        <v>0.61156488424868405</v>
      </c>
      <c r="G6348">
        <v>0.45718120273746499</v>
      </c>
      <c r="H6348">
        <v>0.34732142502373697</v>
      </c>
      <c r="I6348">
        <v>0.30660460341131002</v>
      </c>
      <c r="J6348">
        <v>0.397467961932716</v>
      </c>
      <c r="K6348">
        <v>0.38691689205072899</v>
      </c>
      <c r="L6348">
        <v>577.67439288171499</v>
      </c>
      <c r="M6348">
        <v>12.051971052594499</v>
      </c>
      <c r="N6348">
        <v>52.396589274459501</v>
      </c>
      <c r="O6348">
        <v>46.669507783854399</v>
      </c>
      <c r="P6348">
        <v>-4.3850079977868502E-2</v>
      </c>
      <c r="Q6348">
        <v>0.32094866727680299</v>
      </c>
      <c r="R6348">
        <v>0.97444642232493495</v>
      </c>
      <c r="S6348" t="s">
        <v>12916</v>
      </c>
      <c r="T6348" t="s">
        <v>13134</v>
      </c>
      <c r="U6348" t="s">
        <v>13134</v>
      </c>
      <c r="V6348" t="s">
        <v>13134</v>
      </c>
      <c r="W6348" t="s">
        <v>19411</v>
      </c>
      <c r="X6348">
        <v>2</v>
      </c>
      <c r="Y6348" t="s">
        <v>25761</v>
      </c>
      <c r="Z6348" t="s">
        <v>32316</v>
      </c>
      <c r="AA6348">
        <v>0.58958916570890429</v>
      </c>
      <c r="AB6348" t="str">
        <f>HYPERLINK("Melting_Curves/meltCurve_Q9Y241_HIGD1A.pdf", "Melting_Curves/meltCurve_Q9Y241_HIGD1A.pdf")</f>
        <v>Melting_Curves/meltCurve_Q9Y241_HIGD1A.pdf</v>
      </c>
    </row>
    <row r="6349" spans="1:28" x14ac:dyDescent="0.25">
      <c r="A6349" t="s">
        <v>6353</v>
      </c>
      <c r="B6349">
        <v>0.99472303558308395</v>
      </c>
      <c r="C6349">
        <v>1.03450650899811</v>
      </c>
      <c r="D6349">
        <v>0.85951335829711095</v>
      </c>
      <c r="E6349">
        <v>0.77292767667192797</v>
      </c>
      <c r="F6349">
        <v>0.77745780386991803</v>
      </c>
      <c r="G6349">
        <v>0.40612069782185101</v>
      </c>
      <c r="H6349">
        <v>0.146451433330266</v>
      </c>
      <c r="I6349">
        <v>0.10700981263204699</v>
      </c>
      <c r="J6349">
        <v>0.12819257326174699</v>
      </c>
      <c r="K6349">
        <v>0.14210992510104301</v>
      </c>
      <c r="L6349">
        <v>840.93570825410404</v>
      </c>
      <c r="M6349">
        <v>16.189630357244098</v>
      </c>
      <c r="N6349">
        <v>52.388208859922102</v>
      </c>
      <c r="O6349">
        <v>51.1697444188082</v>
      </c>
      <c r="P6349">
        <v>-7.4018177944513694E-2</v>
      </c>
      <c r="Q6349">
        <v>6.4288052646847907E-2</v>
      </c>
      <c r="R6349">
        <v>0.96371159956904695</v>
      </c>
      <c r="S6349" t="s">
        <v>12917</v>
      </c>
      <c r="T6349" t="s">
        <v>13134</v>
      </c>
      <c r="U6349" t="s">
        <v>13134</v>
      </c>
      <c r="V6349" t="s">
        <v>13134</v>
      </c>
      <c r="W6349" t="s">
        <v>19412</v>
      </c>
      <c r="X6349">
        <v>6</v>
      </c>
      <c r="Y6349" t="s">
        <v>25762</v>
      </c>
      <c r="Z6349" t="s">
        <v>32317</v>
      </c>
      <c r="AA6349">
        <v>0.54672899159439425</v>
      </c>
      <c r="AB6349" t="str">
        <f>HYPERLINK("Melting_Curves/meltCurve_Q9Y244_POMP.pdf", "Melting_Curves/meltCurve_Q9Y244_POMP.pdf")</f>
        <v>Melting_Curves/meltCurve_Q9Y244_POMP.pdf</v>
      </c>
    </row>
    <row r="6350" spans="1:28" x14ac:dyDescent="0.25">
      <c r="A6350" t="s">
        <v>6354</v>
      </c>
      <c r="B6350">
        <v>0.99472303558308395</v>
      </c>
      <c r="C6350">
        <v>1.05294949550874</v>
      </c>
      <c r="D6350">
        <v>0.95599709746980099</v>
      </c>
      <c r="E6350">
        <v>0.88591844762962102</v>
      </c>
      <c r="F6350">
        <v>0.571133605079027</v>
      </c>
      <c r="G6350">
        <v>0.16612574249565301</v>
      </c>
      <c r="H6350">
        <v>8.2786095294414899E-2</v>
      </c>
      <c r="I6350">
        <v>6.4417023521189498E-2</v>
      </c>
      <c r="J6350">
        <v>6.3313791137954004E-2</v>
      </c>
      <c r="K6350">
        <v>6.2606324187351195E-2</v>
      </c>
      <c r="L6350">
        <v>1406.9642499962799</v>
      </c>
      <c r="M6350">
        <v>27.934492704953101</v>
      </c>
      <c r="N6350">
        <v>50.576927397187397</v>
      </c>
      <c r="O6350">
        <v>50.110547408583997</v>
      </c>
      <c r="P6350">
        <v>-0.131721661341548</v>
      </c>
      <c r="Q6350">
        <v>5.48474058347201E-2</v>
      </c>
      <c r="R6350">
        <v>0.99661033023506396</v>
      </c>
      <c r="S6350" t="s">
        <v>12918</v>
      </c>
      <c r="T6350" t="s">
        <v>13134</v>
      </c>
      <c r="U6350" t="s">
        <v>13134</v>
      </c>
      <c r="V6350" t="s">
        <v>13134</v>
      </c>
      <c r="W6350" t="s">
        <v>19413</v>
      </c>
      <c r="X6350">
        <v>4</v>
      </c>
      <c r="Y6350" t="s">
        <v>25763</v>
      </c>
      <c r="Z6350" t="s">
        <v>32318</v>
      </c>
      <c r="AA6350">
        <v>0.48266792449528562</v>
      </c>
      <c r="AB6350" t="str">
        <f>HYPERLINK("Melting_Curves/meltCurve_Q9Y248_GINS2.pdf", "Melting_Curves/meltCurve_Q9Y248_GINS2.pdf")</f>
        <v>Melting_Curves/meltCurve_Q9Y248_GINS2.pdf</v>
      </c>
    </row>
    <row r="6351" spans="1:28" x14ac:dyDescent="0.25">
      <c r="A6351" t="s">
        <v>6355</v>
      </c>
      <c r="B6351">
        <v>0.99472303558308395</v>
      </c>
      <c r="C6351">
        <v>0.99115554380008097</v>
      </c>
      <c r="D6351">
        <v>0.81627941886806799</v>
      </c>
      <c r="E6351">
        <v>0.74435986811891697</v>
      </c>
      <c r="F6351">
        <v>1.2736051751698201</v>
      </c>
      <c r="G6351">
        <v>0.63228499911033698</v>
      </c>
      <c r="H6351">
        <v>0.81269665574014804</v>
      </c>
      <c r="I6351">
        <v>0.28905425694182102</v>
      </c>
      <c r="J6351">
        <v>0.52315931368903501</v>
      </c>
      <c r="K6351">
        <v>0.53136811867820299</v>
      </c>
      <c r="L6351">
        <v>1490.90166354027</v>
      </c>
      <c r="M6351">
        <v>26.9915770000595</v>
      </c>
      <c r="N6351">
        <v>61.539817695157701</v>
      </c>
      <c r="O6351">
        <v>54.935291476489098</v>
      </c>
      <c r="P6351">
        <v>-6.5285353775324198E-2</v>
      </c>
      <c r="Q6351">
        <v>0.46851058451486</v>
      </c>
      <c r="R6351">
        <v>0.55457354727946995</v>
      </c>
      <c r="S6351" t="s">
        <v>12919</v>
      </c>
      <c r="T6351" t="s">
        <v>13134</v>
      </c>
      <c r="U6351" t="s">
        <v>13134</v>
      </c>
      <c r="V6351" t="s">
        <v>13134</v>
      </c>
      <c r="W6351" t="s">
        <v>19414</v>
      </c>
      <c r="X6351">
        <v>1</v>
      </c>
      <c r="Y6351" t="s">
        <v>25764</v>
      </c>
      <c r="Z6351" t="s">
        <v>32319</v>
      </c>
      <c r="AA6351">
        <v>0.79557536338460566</v>
      </c>
      <c r="AB6351" t="str">
        <f>HYPERLINK("Melting_Curves/meltCurve_Q9Y250_5_LZTS1.pdf", "Melting_Curves/meltCurve_Q9Y250_5_LZTS1.pdf")</f>
        <v>Melting_Curves/meltCurve_Q9Y250_5_LZTS1.pdf</v>
      </c>
    </row>
    <row r="6352" spans="1:28" x14ac:dyDescent="0.25">
      <c r="A6352" t="s">
        <v>6356</v>
      </c>
      <c r="B6352">
        <v>0.99472303558308395</v>
      </c>
      <c r="C6352">
        <v>0.91606339034224804</v>
      </c>
      <c r="D6352">
        <v>0.90096079192765</v>
      </c>
      <c r="E6352">
        <v>0.58334980586478902</v>
      </c>
      <c r="F6352">
        <v>0.177195639188202</v>
      </c>
      <c r="G6352">
        <v>0.101387315771197</v>
      </c>
      <c r="H6352">
        <v>6.4640436776890006E-2</v>
      </c>
      <c r="I6352">
        <v>4.8250024314196602E-2</v>
      </c>
      <c r="J6352">
        <v>4.8648115924426603E-2</v>
      </c>
      <c r="K6352">
        <v>3.8949040670959903E-2</v>
      </c>
      <c r="L6352">
        <v>1142.56361684185</v>
      </c>
      <c r="M6352">
        <v>24.3479858254302</v>
      </c>
      <c r="N6352">
        <v>47.110124190273801</v>
      </c>
      <c r="O6352">
        <v>46.613306740236403</v>
      </c>
      <c r="P6352">
        <v>-0.124672652605592</v>
      </c>
      <c r="Q6352">
        <v>4.5289946949078598E-2</v>
      </c>
      <c r="R6352">
        <v>0.99558891773963398</v>
      </c>
      <c r="S6352" t="s">
        <v>12920</v>
      </c>
      <c r="T6352" t="s">
        <v>13134</v>
      </c>
      <c r="U6352" t="s">
        <v>13134</v>
      </c>
      <c r="V6352" t="s">
        <v>13134</v>
      </c>
      <c r="W6352" t="s">
        <v>19415</v>
      </c>
      <c r="X6352">
        <v>20</v>
      </c>
      <c r="Y6352" t="s">
        <v>25765</v>
      </c>
      <c r="Z6352" t="s">
        <v>32320</v>
      </c>
      <c r="AA6352">
        <v>0.36963172932706412</v>
      </c>
      <c r="AB6352" t="str">
        <f>HYPERLINK("Melting_Curves/meltCurve_Q9Y263_PLAA.pdf", "Melting_Curves/meltCurve_Q9Y263_PLAA.pdf")</f>
        <v>Melting_Curves/meltCurve_Q9Y263_PLAA.pdf</v>
      </c>
    </row>
    <row r="6353" spans="1:28" x14ac:dyDescent="0.25">
      <c r="A6353" t="s">
        <v>6357</v>
      </c>
      <c r="B6353">
        <v>0.99472303558308395</v>
      </c>
      <c r="C6353">
        <v>0.92758375224696998</v>
      </c>
      <c r="D6353">
        <v>0.75006926573983801</v>
      </c>
      <c r="E6353">
        <v>0.68285524122124497</v>
      </c>
      <c r="F6353">
        <v>0.77761640599138404</v>
      </c>
      <c r="G6353">
        <v>0.52018691172228604</v>
      </c>
      <c r="H6353">
        <v>0.391706455156349</v>
      </c>
      <c r="I6353">
        <v>0.32315023512044599</v>
      </c>
      <c r="J6353">
        <v>0.47135881755511599</v>
      </c>
      <c r="K6353">
        <v>0.32772659101482698</v>
      </c>
      <c r="L6353">
        <v>366.93717216657001</v>
      </c>
      <c r="M6353">
        <v>7.2471171726537804</v>
      </c>
      <c r="N6353">
        <v>55.315391251211103</v>
      </c>
      <c r="O6353">
        <v>47.203537191186903</v>
      </c>
      <c r="P6353">
        <v>-2.9629775445511802E-2</v>
      </c>
      <c r="Q6353">
        <v>0.229293034518114</v>
      </c>
      <c r="R6353">
        <v>0.89443430176903105</v>
      </c>
      <c r="S6353" t="s">
        <v>12921</v>
      </c>
      <c r="T6353" t="s">
        <v>13134</v>
      </c>
      <c r="U6353" t="s">
        <v>13134</v>
      </c>
      <c r="V6353" t="s">
        <v>13134</v>
      </c>
      <c r="W6353" t="s">
        <v>19416</v>
      </c>
      <c r="X6353">
        <v>29</v>
      </c>
      <c r="Y6353" t="s">
        <v>25766</v>
      </c>
      <c r="Z6353" t="s">
        <v>32321</v>
      </c>
      <c r="AA6353">
        <v>0.60952654332138512</v>
      </c>
      <c r="AB6353" t="str">
        <f>HYPERLINK("Melting_Curves/meltCurve_Q9Y265_RUVBL1.pdf", "Melting_Curves/meltCurve_Q9Y265_RUVBL1.pdf")</f>
        <v>Melting_Curves/meltCurve_Q9Y265_RUVBL1.pdf</v>
      </c>
    </row>
    <row r="6354" spans="1:28" x14ac:dyDescent="0.25">
      <c r="A6354" t="s">
        <v>6358</v>
      </c>
      <c r="B6354">
        <v>0.99472303558308395</v>
      </c>
      <c r="C6354">
        <v>1.0175096181610901</v>
      </c>
      <c r="D6354">
        <v>0.996454653551616</v>
      </c>
      <c r="E6354">
        <v>0.88698128916693098</v>
      </c>
      <c r="F6354">
        <v>0.52599883411863801</v>
      </c>
      <c r="G6354">
        <v>0.18388287174177401</v>
      </c>
      <c r="H6354">
        <v>6.8399618965845593E-2</v>
      </c>
      <c r="I6354">
        <v>5.2324189260008799E-2</v>
      </c>
      <c r="J6354">
        <v>5.8796683365531399E-2</v>
      </c>
      <c r="K6354">
        <v>4.8913982259184099E-2</v>
      </c>
      <c r="L6354">
        <v>1344.5581439768901</v>
      </c>
      <c r="M6354">
        <v>26.7842154076173</v>
      </c>
      <c r="N6354">
        <v>50.383589159774601</v>
      </c>
      <c r="O6354">
        <v>49.9223201828773</v>
      </c>
      <c r="P6354">
        <v>-0.12788326036549499</v>
      </c>
      <c r="Q6354">
        <v>4.6578191808432597E-2</v>
      </c>
      <c r="R6354">
        <v>0.99962976535584303</v>
      </c>
      <c r="S6354" t="s">
        <v>12922</v>
      </c>
      <c r="T6354" t="s">
        <v>13134</v>
      </c>
      <c r="U6354" t="s">
        <v>13134</v>
      </c>
      <c r="V6354" t="s">
        <v>13134</v>
      </c>
      <c r="W6354" t="s">
        <v>19417</v>
      </c>
      <c r="X6354">
        <v>37</v>
      </c>
      <c r="Y6354" t="s">
        <v>25767</v>
      </c>
      <c r="Z6354" t="s">
        <v>32322</v>
      </c>
      <c r="AA6354">
        <v>0.47339485474012388</v>
      </c>
      <c r="AB6354" t="str">
        <f>HYPERLINK("Melting_Curves/meltCurve_Q9Y266_NUDC.pdf", "Melting_Curves/meltCurve_Q9Y266_NUDC.pdf")</f>
        <v>Melting_Curves/meltCurve_Q9Y266_NUDC.pdf</v>
      </c>
    </row>
    <row r="6355" spans="1:28" x14ac:dyDescent="0.25">
      <c r="A6355" t="s">
        <v>6359</v>
      </c>
      <c r="B6355">
        <v>0.99472303558308395</v>
      </c>
      <c r="C6355">
        <v>0.94570716165261703</v>
      </c>
      <c r="D6355">
        <v>0.83304336323599604</v>
      </c>
      <c r="E6355">
        <v>0.78777094436564499</v>
      </c>
      <c r="F6355">
        <v>0.71344376978337098</v>
      </c>
      <c r="G6355">
        <v>0.42790495452455002</v>
      </c>
      <c r="H6355">
        <v>0.18527509335543199</v>
      </c>
      <c r="I6355">
        <v>8.0483911676926298E-2</v>
      </c>
      <c r="J6355">
        <v>7.9899726505786306E-2</v>
      </c>
      <c r="K6355">
        <v>7.2168663429738197E-2</v>
      </c>
      <c r="L6355">
        <v>678.38959524683605</v>
      </c>
      <c r="M6355">
        <v>12.998944438627699</v>
      </c>
      <c r="N6355">
        <v>52.188040293792596</v>
      </c>
      <c r="O6355">
        <v>50.999261158014299</v>
      </c>
      <c r="P6355">
        <v>-6.3732499828482503E-2</v>
      </c>
      <c r="Q6355">
        <v>0</v>
      </c>
      <c r="R6355">
        <v>0.97855107087844795</v>
      </c>
      <c r="S6355" t="s">
        <v>12923</v>
      </c>
      <c r="T6355" t="s">
        <v>13134</v>
      </c>
      <c r="U6355" t="s">
        <v>13134</v>
      </c>
      <c r="V6355" t="s">
        <v>13134</v>
      </c>
      <c r="W6355" t="s">
        <v>19418</v>
      </c>
      <c r="X6355">
        <v>11</v>
      </c>
      <c r="Y6355" t="s">
        <v>25768</v>
      </c>
      <c r="Z6355" t="s">
        <v>32323</v>
      </c>
      <c r="AA6355">
        <v>0.52809544452923884</v>
      </c>
      <c r="AB6355" t="str">
        <f>HYPERLINK("Melting_Curves/meltCurve_Q9Y276_BCS1L.pdf", "Melting_Curves/meltCurve_Q9Y276_BCS1L.pdf")</f>
        <v>Melting_Curves/meltCurve_Q9Y276_BCS1L.pdf</v>
      </c>
    </row>
    <row r="6356" spans="1:28" x14ac:dyDescent="0.25">
      <c r="A6356" t="s">
        <v>6360</v>
      </c>
      <c r="B6356">
        <v>0.99472303558308395</v>
      </c>
      <c r="C6356">
        <v>0.83424286582395102</v>
      </c>
      <c r="D6356">
        <v>0.86563501600014503</v>
      </c>
      <c r="E6356">
        <v>0.76550837992420595</v>
      </c>
      <c r="F6356">
        <v>0.66877021563082395</v>
      </c>
      <c r="G6356">
        <v>0.39676384058320802</v>
      </c>
      <c r="H6356">
        <v>0.17745130063036599</v>
      </c>
      <c r="I6356">
        <v>0.20540507331528499</v>
      </c>
      <c r="J6356">
        <v>0.14446411872293299</v>
      </c>
      <c r="K6356">
        <v>0.27327305233118698</v>
      </c>
      <c r="L6356">
        <v>599.63987436317802</v>
      </c>
      <c r="M6356">
        <v>11.8966538118272</v>
      </c>
      <c r="N6356">
        <v>51.603659754993103</v>
      </c>
      <c r="O6356">
        <v>49.0431941798061</v>
      </c>
      <c r="P6356">
        <v>-5.3331148954919597E-2</v>
      </c>
      <c r="Q6356">
        <v>0.120802171383726</v>
      </c>
      <c r="R6356">
        <v>0.94435255933675399</v>
      </c>
      <c r="S6356" t="s">
        <v>12924</v>
      </c>
      <c r="T6356" t="s">
        <v>13134</v>
      </c>
      <c r="U6356" t="s">
        <v>13134</v>
      </c>
      <c r="V6356" t="s">
        <v>13134</v>
      </c>
      <c r="W6356" t="s">
        <v>19419</v>
      </c>
      <c r="X6356">
        <v>16</v>
      </c>
      <c r="Y6356" t="s">
        <v>25769</v>
      </c>
      <c r="Z6356" t="s">
        <v>32324</v>
      </c>
      <c r="AA6356">
        <v>0.53780151979930602</v>
      </c>
      <c r="AB6356" t="str">
        <f>HYPERLINK("Melting_Curves/meltCurve_Q9Y277_VDAC3.pdf", "Melting_Curves/meltCurve_Q9Y277_VDAC3.pdf")</f>
        <v>Melting_Curves/meltCurve_Q9Y277_VDAC3.pdf</v>
      </c>
    </row>
    <row r="6357" spans="1:28" x14ac:dyDescent="0.25">
      <c r="A6357" t="s">
        <v>6361</v>
      </c>
      <c r="B6357">
        <v>0.99472303558308395</v>
      </c>
      <c r="C6357">
        <v>1.1407949183195301</v>
      </c>
      <c r="D6357">
        <v>1.0238558866955501</v>
      </c>
      <c r="E6357">
        <v>0.86577651348834495</v>
      </c>
      <c r="F6357">
        <v>0.60382449286232898</v>
      </c>
      <c r="G6357">
        <v>0.42012091493009901</v>
      </c>
      <c r="H6357">
        <v>0.15814122827183699</v>
      </c>
      <c r="I6357">
        <v>0.15830927337068701</v>
      </c>
      <c r="J6357">
        <v>0.17738017385131699</v>
      </c>
      <c r="K6357">
        <v>0.167544144276882</v>
      </c>
      <c r="L6357">
        <v>1031.62692032208</v>
      </c>
      <c r="M6357">
        <v>20.286825980363801</v>
      </c>
      <c r="N6357">
        <v>51.723763744037498</v>
      </c>
      <c r="O6357">
        <v>50.365680486006902</v>
      </c>
      <c r="P6357">
        <v>-8.6120474033767297E-2</v>
      </c>
      <c r="Q6357">
        <v>0.14478832122141599</v>
      </c>
      <c r="R6357">
        <v>0.97791968577326804</v>
      </c>
      <c r="S6357" t="s">
        <v>12925</v>
      </c>
      <c r="T6357" t="s">
        <v>13134</v>
      </c>
      <c r="U6357" t="s">
        <v>13134</v>
      </c>
      <c r="V6357" t="s">
        <v>13134</v>
      </c>
      <c r="W6357" t="s">
        <v>19420</v>
      </c>
      <c r="X6357">
        <v>8</v>
      </c>
      <c r="Y6357" t="s">
        <v>25770</v>
      </c>
      <c r="Z6357" t="s">
        <v>32325</v>
      </c>
      <c r="AA6357">
        <v>0.55061528199528087</v>
      </c>
      <c r="AB6357" t="str">
        <f>HYPERLINK("Melting_Curves/meltCurve_Q9Y281_CFL2.pdf", "Melting_Curves/meltCurve_Q9Y281_CFL2.pdf")</f>
        <v>Melting_Curves/meltCurve_Q9Y281_CFL2.pdf</v>
      </c>
    </row>
    <row r="6358" spans="1:28" x14ac:dyDescent="0.25">
      <c r="A6358" t="s">
        <v>6362</v>
      </c>
      <c r="B6358">
        <v>0.99472303558308395</v>
      </c>
      <c r="C6358">
        <v>0.90138935980354695</v>
      </c>
      <c r="D6358">
        <v>0.80344458096254701</v>
      </c>
      <c r="E6358">
        <v>0.78674789868176698</v>
      </c>
      <c r="F6358">
        <v>0.66895422753003198</v>
      </c>
      <c r="G6358">
        <v>0.42849126688821199</v>
      </c>
      <c r="H6358">
        <v>0.38845226757187801</v>
      </c>
      <c r="I6358">
        <v>0.30341952544885697</v>
      </c>
      <c r="J6358">
        <v>0.43507385954685601</v>
      </c>
      <c r="K6358">
        <v>0.40328718042751099</v>
      </c>
      <c r="L6358">
        <v>537.21764987312997</v>
      </c>
      <c r="M6358">
        <v>11.1087226430135</v>
      </c>
      <c r="N6358">
        <v>53.466613282319898</v>
      </c>
      <c r="O6358">
        <v>46.872189156240097</v>
      </c>
      <c r="P6358">
        <v>-3.9891525076767902E-2</v>
      </c>
      <c r="Q6358">
        <v>0.32694480414395299</v>
      </c>
      <c r="R6358">
        <v>0.93994118692432604</v>
      </c>
      <c r="S6358" t="s">
        <v>12926</v>
      </c>
      <c r="T6358" t="s">
        <v>13134</v>
      </c>
      <c r="U6358" t="s">
        <v>13134</v>
      </c>
      <c r="V6358" t="s">
        <v>13134</v>
      </c>
      <c r="W6358" t="s">
        <v>19421</v>
      </c>
      <c r="X6358">
        <v>3</v>
      </c>
      <c r="Y6358" t="s">
        <v>25771</v>
      </c>
      <c r="Z6358" t="s">
        <v>32326</v>
      </c>
      <c r="AA6358">
        <v>0.60481472896758182</v>
      </c>
      <c r="AB6358" t="str">
        <f>HYPERLINK("Melting_Curves/meltCurve_Q9Y289_SLC5A6.pdf", "Melting_Curves/meltCurve_Q9Y289_SLC5A6.pdf")</f>
        <v>Melting_Curves/meltCurve_Q9Y289_SLC5A6.pdf</v>
      </c>
    </row>
    <row r="6359" spans="1:28" x14ac:dyDescent="0.25">
      <c r="A6359" t="s">
        <v>6363</v>
      </c>
      <c r="B6359">
        <v>0.99472303558308395</v>
      </c>
      <c r="C6359">
        <v>0.96307382940131803</v>
      </c>
      <c r="D6359">
        <v>0.84512788877063605</v>
      </c>
      <c r="E6359">
        <v>0.70989312996114695</v>
      </c>
      <c r="F6359">
        <v>0.38891852781863301</v>
      </c>
      <c r="G6359">
        <v>0.15511873788508901</v>
      </c>
      <c r="H6359">
        <v>4.5056781539879999E-2</v>
      </c>
      <c r="I6359">
        <v>2.8600884489716E-2</v>
      </c>
      <c r="J6359">
        <v>3.4152428019669397E-2</v>
      </c>
      <c r="K6359">
        <v>2.8570995737916199E-2</v>
      </c>
      <c r="L6359">
        <v>805.28843223579304</v>
      </c>
      <c r="M6359">
        <v>16.5374518393198</v>
      </c>
      <c r="N6359">
        <v>48.6948316091922</v>
      </c>
      <c r="O6359">
        <v>47.999513241783298</v>
      </c>
      <c r="P6359">
        <v>-8.6139368182405196E-2</v>
      </c>
      <c r="Q6359">
        <v>0</v>
      </c>
      <c r="R6359">
        <v>0.99613255525932198</v>
      </c>
      <c r="S6359" t="s">
        <v>12927</v>
      </c>
      <c r="T6359" t="s">
        <v>13134</v>
      </c>
      <c r="U6359" t="s">
        <v>13134</v>
      </c>
      <c r="V6359" t="s">
        <v>13134</v>
      </c>
      <c r="W6359" t="s">
        <v>19422</v>
      </c>
      <c r="X6359">
        <v>4</v>
      </c>
      <c r="Y6359" t="s">
        <v>25772</v>
      </c>
      <c r="Z6359" t="s">
        <v>32327</v>
      </c>
      <c r="AA6359">
        <v>0.40827762228577219</v>
      </c>
      <c r="AB6359" t="str">
        <f>HYPERLINK("Melting_Curves/meltCurve_Q9Y294_ASF1A.pdf", "Melting_Curves/meltCurve_Q9Y294_ASF1A.pdf")</f>
        <v>Melting_Curves/meltCurve_Q9Y294_ASF1A.pdf</v>
      </c>
    </row>
    <row r="6360" spans="1:28" x14ac:dyDescent="0.25">
      <c r="A6360" t="s">
        <v>6364</v>
      </c>
      <c r="B6360">
        <v>0.99472303558308395</v>
      </c>
      <c r="C6360">
        <v>0.94608445014575404</v>
      </c>
      <c r="D6360">
        <v>0.98780667048043402</v>
      </c>
      <c r="E6360">
        <v>0.90773647685287295</v>
      </c>
      <c r="F6360">
        <v>0.71050140997393696</v>
      </c>
      <c r="G6360">
        <v>0.520120834780881</v>
      </c>
      <c r="H6360">
        <v>0.21370122178496201</v>
      </c>
      <c r="I6360">
        <v>5.91203503435688E-2</v>
      </c>
      <c r="J6360">
        <v>5.7019124181711199E-2</v>
      </c>
      <c r="K6360">
        <v>5.7261853474153399E-2</v>
      </c>
      <c r="L6360">
        <v>898.37326951463297</v>
      </c>
      <c r="M6360">
        <v>16.843883292383101</v>
      </c>
      <c r="N6360">
        <v>53.335282225047301</v>
      </c>
      <c r="O6360">
        <v>52.600529791615998</v>
      </c>
      <c r="P6360">
        <v>-8.0060796398424602E-2</v>
      </c>
      <c r="Q6360">
        <v>0</v>
      </c>
      <c r="R6360">
        <v>0.99335271663332303</v>
      </c>
      <c r="S6360" t="s">
        <v>12928</v>
      </c>
      <c r="T6360" t="s">
        <v>13134</v>
      </c>
      <c r="U6360" t="s">
        <v>13134</v>
      </c>
      <c r="V6360" t="s">
        <v>13134</v>
      </c>
      <c r="W6360" t="s">
        <v>19423</v>
      </c>
      <c r="X6360">
        <v>21</v>
      </c>
      <c r="Y6360" t="s">
        <v>25773</v>
      </c>
      <c r="Z6360" t="s">
        <v>32328</v>
      </c>
      <c r="AA6360">
        <v>0.55995363390528563</v>
      </c>
      <c r="AB6360" t="str">
        <f>HYPERLINK("Melting_Curves/meltCurve_Q9Y295_DRG1.pdf", "Melting_Curves/meltCurve_Q9Y295_DRG1.pdf")</f>
        <v>Melting_Curves/meltCurve_Q9Y295_DRG1.pdf</v>
      </c>
    </row>
    <row r="6361" spans="1:28" x14ac:dyDescent="0.25">
      <c r="A6361" t="s">
        <v>6365</v>
      </c>
      <c r="B6361">
        <v>0.99472303558308395</v>
      </c>
      <c r="C6361">
        <v>0.82474867898656901</v>
      </c>
      <c r="D6361">
        <v>0.81364088799126599</v>
      </c>
      <c r="E6361">
        <v>0.56213076933300299</v>
      </c>
      <c r="F6361">
        <v>0.34711761440771499</v>
      </c>
      <c r="G6361">
        <v>9.00769190702565E-2</v>
      </c>
      <c r="H6361">
        <v>4.8744108299850798E-2</v>
      </c>
      <c r="I6361">
        <v>3.6394214821980901E-2</v>
      </c>
      <c r="J6361">
        <v>3.5664260549382702E-2</v>
      </c>
      <c r="K6361">
        <v>3.1835099935136203E-2</v>
      </c>
      <c r="L6361">
        <v>652.07431992953695</v>
      </c>
      <c r="M6361">
        <v>13.8177365767114</v>
      </c>
      <c r="N6361">
        <v>47.1911075343764</v>
      </c>
      <c r="O6361">
        <v>46.235640279603302</v>
      </c>
      <c r="P6361">
        <v>-7.4724071129541894E-2</v>
      </c>
      <c r="Q6361">
        <v>0</v>
      </c>
      <c r="R6361">
        <v>0.98624508885835804</v>
      </c>
      <c r="S6361" t="s">
        <v>12929</v>
      </c>
      <c r="T6361" t="s">
        <v>13134</v>
      </c>
      <c r="U6361" t="s">
        <v>13134</v>
      </c>
      <c r="V6361" t="s">
        <v>13134</v>
      </c>
      <c r="W6361" t="s">
        <v>19424</v>
      </c>
      <c r="X6361">
        <v>20</v>
      </c>
      <c r="Y6361" t="s">
        <v>25774</v>
      </c>
      <c r="Z6361" t="s">
        <v>32329</v>
      </c>
      <c r="AA6361">
        <v>0.36555626430732868</v>
      </c>
      <c r="AB6361" t="str">
        <f>HYPERLINK("Melting_Curves/meltCurve_Q9Y2A7_NCKAP1.pdf", "Melting_Curves/meltCurve_Q9Y2A7_NCKAP1.pdf")</f>
        <v>Melting_Curves/meltCurve_Q9Y2A7_NCKAP1.pdf</v>
      </c>
    </row>
    <row r="6362" spans="1:28" x14ac:dyDescent="0.25">
      <c r="A6362" t="s">
        <v>6366</v>
      </c>
      <c r="B6362">
        <v>0.99472303558308395</v>
      </c>
      <c r="C6362">
        <v>0.95545377029643497</v>
      </c>
      <c r="D6362">
        <v>0.97952477822607198</v>
      </c>
      <c r="E6362">
        <v>0.91413050357998404</v>
      </c>
      <c r="F6362">
        <v>0.71013612249181701</v>
      </c>
      <c r="G6362">
        <v>0.49374449102587498</v>
      </c>
      <c r="H6362">
        <v>0.236609880748929</v>
      </c>
      <c r="I6362">
        <v>0.21004931345767699</v>
      </c>
      <c r="J6362">
        <v>0.29322442719543101</v>
      </c>
      <c r="K6362">
        <v>0.24289060592869</v>
      </c>
      <c r="L6362">
        <v>1107.06322193551</v>
      </c>
      <c r="M6362">
        <v>21.489565596021801</v>
      </c>
      <c r="N6362">
        <v>52.986799719786703</v>
      </c>
      <c r="O6362">
        <v>51.076430612830201</v>
      </c>
      <c r="P6362">
        <v>-8.1561388517750397E-2</v>
      </c>
      <c r="Q6362">
        <v>0.22459809144213999</v>
      </c>
      <c r="R6362">
        <v>0.98689524762559999</v>
      </c>
      <c r="S6362" t="s">
        <v>12930</v>
      </c>
      <c r="T6362" t="s">
        <v>13134</v>
      </c>
      <c r="U6362" t="s">
        <v>13134</v>
      </c>
      <c r="V6362" t="s">
        <v>13134</v>
      </c>
      <c r="W6362" t="s">
        <v>19425</v>
      </c>
      <c r="X6362">
        <v>16</v>
      </c>
      <c r="Y6362" t="s">
        <v>25775</v>
      </c>
      <c r="Z6362" t="s">
        <v>32330</v>
      </c>
      <c r="AA6362">
        <v>0.60875767522174162</v>
      </c>
      <c r="AB6362" t="str">
        <f>HYPERLINK("Melting_Curves/meltCurve_Q9Y2B0_CNPY2.pdf", "Melting_Curves/meltCurve_Q9Y2B0_CNPY2.pdf")</f>
        <v>Melting_Curves/meltCurve_Q9Y2B0_CNPY2.pdf</v>
      </c>
    </row>
    <row r="6363" spans="1:28" x14ac:dyDescent="0.25">
      <c r="A6363" t="s">
        <v>6367</v>
      </c>
      <c r="B6363">
        <v>0.99472303558308395</v>
      </c>
      <c r="C6363">
        <v>0.96267942366525405</v>
      </c>
      <c r="D6363">
        <v>0.78358319587669401</v>
      </c>
      <c r="E6363">
        <v>0.44099681246007499</v>
      </c>
      <c r="F6363">
        <v>0.14954898841804701</v>
      </c>
      <c r="G6363">
        <v>0.13862716574662401</v>
      </c>
      <c r="H6363">
        <v>6.6370976568194004E-2</v>
      </c>
      <c r="I6363">
        <v>6.8871282624372102E-2</v>
      </c>
      <c r="J6363">
        <v>9.3921982129400297E-2</v>
      </c>
      <c r="K6363">
        <v>7.6177508412705597E-2</v>
      </c>
      <c r="L6363">
        <v>986.54922216142199</v>
      </c>
      <c r="M6363">
        <v>21.681059075884502</v>
      </c>
      <c r="N6363">
        <v>45.846697853988601</v>
      </c>
      <c r="O6363">
        <v>45.120999181986903</v>
      </c>
      <c r="P6363">
        <v>-0.11111503239893</v>
      </c>
      <c r="Q6363">
        <v>7.5044328402677593E-2</v>
      </c>
      <c r="R6363">
        <v>0.997506517645528</v>
      </c>
      <c r="S6363" t="s">
        <v>12931</v>
      </c>
      <c r="T6363" t="s">
        <v>13134</v>
      </c>
      <c r="U6363" t="s">
        <v>13134</v>
      </c>
      <c r="V6363" t="s">
        <v>13134</v>
      </c>
      <c r="W6363" t="s">
        <v>19426</v>
      </c>
      <c r="X6363">
        <v>2</v>
      </c>
      <c r="Y6363" t="s">
        <v>25776</v>
      </c>
      <c r="Z6363" t="s">
        <v>32331</v>
      </c>
      <c r="AA6363">
        <v>0.34744691070942768</v>
      </c>
      <c r="AB6363" t="str">
        <f>HYPERLINK("Melting_Curves/meltCurve_Q9Y2D8_2_SSX2IP.pdf", "Melting_Curves/meltCurve_Q9Y2D8_2_SSX2IP.pdf")</f>
        <v>Melting_Curves/meltCurve_Q9Y2D8_2_SSX2IP.pdf</v>
      </c>
    </row>
    <row r="6364" spans="1:28" x14ac:dyDescent="0.25">
      <c r="A6364" t="s">
        <v>6368</v>
      </c>
      <c r="B6364">
        <v>0.99472303558308395</v>
      </c>
      <c r="C6364">
        <v>1.05735973549185</v>
      </c>
      <c r="D6364">
        <v>0.85243166104982104</v>
      </c>
      <c r="E6364">
        <v>0.82547322315424998</v>
      </c>
      <c r="F6364">
        <v>0.54359199934765601</v>
      </c>
      <c r="G6364">
        <v>0.55962800474040597</v>
      </c>
      <c r="H6364">
        <v>0.37096933785942499</v>
      </c>
      <c r="I6364">
        <v>0.30934656827295398</v>
      </c>
      <c r="J6364">
        <v>0.33018416255105099</v>
      </c>
      <c r="K6364">
        <v>0.17064126221756901</v>
      </c>
      <c r="L6364">
        <v>520.65217932614701</v>
      </c>
      <c r="M6364">
        <v>10.103977085791101</v>
      </c>
      <c r="N6364">
        <v>53.619784414857897</v>
      </c>
      <c r="O6364">
        <v>49.633116766378599</v>
      </c>
      <c r="P6364">
        <v>-4.2628280675145597E-2</v>
      </c>
      <c r="Q6364">
        <v>0.16279076325085901</v>
      </c>
      <c r="R6364">
        <v>0.95923940161368404</v>
      </c>
      <c r="S6364" t="s">
        <v>12932</v>
      </c>
      <c r="T6364" t="s">
        <v>13134</v>
      </c>
      <c r="U6364" t="s">
        <v>13134</v>
      </c>
      <c r="V6364" t="s">
        <v>13134</v>
      </c>
      <c r="W6364" t="s">
        <v>19427</v>
      </c>
      <c r="X6364">
        <v>3</v>
      </c>
      <c r="Y6364" t="s">
        <v>25777</v>
      </c>
      <c r="Z6364" t="s">
        <v>32332</v>
      </c>
      <c r="AA6364">
        <v>0.59197825831362683</v>
      </c>
      <c r="AB6364" t="str">
        <f>HYPERLINK("Melting_Curves/meltCurve_Q9Y2G2_4_CARD8.pdf", "Melting_Curves/meltCurve_Q9Y2G2_4_CARD8.pdf")</f>
        <v>Melting_Curves/meltCurve_Q9Y2G2_4_CARD8.pdf</v>
      </c>
    </row>
    <row r="6365" spans="1:28" x14ac:dyDescent="0.25">
      <c r="A6365" t="s">
        <v>6369</v>
      </c>
      <c r="B6365">
        <v>0.99472303558308395</v>
      </c>
      <c r="C6365">
        <v>1.0338503949665601</v>
      </c>
      <c r="D6365">
        <v>0.94094847080462096</v>
      </c>
      <c r="E6365">
        <v>0.92313449650567003</v>
      </c>
      <c r="F6365">
        <v>0.77848331063049303</v>
      </c>
      <c r="G6365">
        <v>0.59315877463707101</v>
      </c>
      <c r="H6365">
        <v>0.42484024382559099</v>
      </c>
      <c r="I6365">
        <v>0.24705871499214499</v>
      </c>
      <c r="J6365">
        <v>0.170707204601524</v>
      </c>
      <c r="K6365">
        <v>0.15572586046897</v>
      </c>
      <c r="L6365">
        <v>697.02580405082301</v>
      </c>
      <c r="M6365">
        <v>12.6552543023707</v>
      </c>
      <c r="N6365">
        <v>55.5241684026253</v>
      </c>
      <c r="O6365">
        <v>53.757013386285699</v>
      </c>
      <c r="P6365">
        <v>-5.6019446602092501E-2</v>
      </c>
      <c r="Q6365">
        <v>4.8348600201474398E-2</v>
      </c>
      <c r="R6365">
        <v>0.99635117459478595</v>
      </c>
      <c r="S6365" t="s">
        <v>12933</v>
      </c>
      <c r="T6365" t="s">
        <v>13134</v>
      </c>
      <c r="U6365" t="s">
        <v>13134</v>
      </c>
      <c r="V6365" t="s">
        <v>13134</v>
      </c>
      <c r="W6365" t="s">
        <v>19428</v>
      </c>
      <c r="X6365">
        <v>13</v>
      </c>
      <c r="Y6365" t="s">
        <v>25778</v>
      </c>
      <c r="Z6365" t="s">
        <v>32333</v>
      </c>
      <c r="AA6365">
        <v>0.63524176554586487</v>
      </c>
      <c r="AB6365" t="str">
        <f>HYPERLINK("Melting_Curves/meltCurve_Q9Y2G3_ATP11B.pdf", "Melting_Curves/meltCurve_Q9Y2G3_ATP11B.pdf")</f>
        <v>Melting_Curves/meltCurve_Q9Y2G3_ATP11B.pdf</v>
      </c>
    </row>
    <row r="6366" spans="1:28" x14ac:dyDescent="0.25">
      <c r="A6366" t="s">
        <v>6370</v>
      </c>
      <c r="B6366">
        <v>0.99472303558308395</v>
      </c>
      <c r="C6366">
        <v>1.1301397140695</v>
      </c>
      <c r="D6366">
        <v>1.0789262243220299</v>
      </c>
      <c r="E6366">
        <v>0.776526567727715</v>
      </c>
      <c r="F6366">
        <v>0.43692601399422498</v>
      </c>
      <c r="G6366">
        <v>0.21593974928385401</v>
      </c>
      <c r="H6366">
        <v>0.127457013987537</v>
      </c>
      <c r="I6366">
        <v>0.10755635509676301</v>
      </c>
      <c r="J6366">
        <v>0.12525306516099599</v>
      </c>
      <c r="K6366">
        <v>0.10595311845809099</v>
      </c>
      <c r="L6366">
        <v>1248.11894725312</v>
      </c>
      <c r="M6366">
        <v>25.454514127806501</v>
      </c>
      <c r="N6366">
        <v>49.533235917687698</v>
      </c>
      <c r="O6366">
        <v>48.733676745034103</v>
      </c>
      <c r="P6366">
        <v>-0.115789011421432</v>
      </c>
      <c r="Q6366">
        <v>0.113280488213938</v>
      </c>
      <c r="R6366">
        <v>0.98233756519119797</v>
      </c>
      <c r="S6366" t="s">
        <v>12934</v>
      </c>
      <c r="T6366" t="s">
        <v>13134</v>
      </c>
      <c r="U6366" t="s">
        <v>13134</v>
      </c>
      <c r="V6366" t="s">
        <v>13134</v>
      </c>
      <c r="W6366" t="s">
        <v>19429</v>
      </c>
      <c r="X6366">
        <v>4</v>
      </c>
      <c r="Y6366" t="s">
        <v>25779</v>
      </c>
      <c r="Z6366" t="s">
        <v>32334</v>
      </c>
      <c r="AA6366">
        <v>0.47635421061763539</v>
      </c>
      <c r="AB6366" t="str">
        <f>HYPERLINK("Melting_Curves/meltCurve_Q9Y2G5_POFUT2.pdf", "Melting_Curves/meltCurve_Q9Y2G5_POFUT2.pdf")</f>
        <v>Melting_Curves/meltCurve_Q9Y2G5_POFUT2.pdf</v>
      </c>
    </row>
    <row r="6367" spans="1:28" x14ac:dyDescent="0.25">
      <c r="A6367" t="s">
        <v>6371</v>
      </c>
      <c r="B6367">
        <v>0.99472303558308395</v>
      </c>
      <c r="C6367">
        <v>1.0331055632413</v>
      </c>
      <c r="D6367">
        <v>1.0269937083124201</v>
      </c>
      <c r="E6367">
        <v>0.90996969080333301</v>
      </c>
      <c r="F6367">
        <v>0.78410201384336597</v>
      </c>
      <c r="G6367">
        <v>0.47071912353615197</v>
      </c>
      <c r="H6367">
        <v>0.25373134886432702</v>
      </c>
      <c r="I6367">
        <v>0.13852912372911699</v>
      </c>
      <c r="J6367">
        <v>0.12727573308599099</v>
      </c>
      <c r="K6367">
        <v>0.12146310292937</v>
      </c>
      <c r="L6367">
        <v>1073.92496281072</v>
      </c>
      <c r="M6367">
        <v>20.310006584274699</v>
      </c>
      <c r="N6367">
        <v>53.458830715455299</v>
      </c>
      <c r="O6367">
        <v>52.3720366884424</v>
      </c>
      <c r="P6367">
        <v>-8.7334324552224105E-2</v>
      </c>
      <c r="Q6367">
        <v>9.9215293717528796E-2</v>
      </c>
      <c r="R6367">
        <v>0.99707888289651403</v>
      </c>
      <c r="S6367" t="s">
        <v>12935</v>
      </c>
      <c r="T6367" t="s">
        <v>13134</v>
      </c>
      <c r="U6367" t="s">
        <v>13134</v>
      </c>
      <c r="V6367" t="s">
        <v>13134</v>
      </c>
      <c r="W6367" t="s">
        <v>19430</v>
      </c>
      <c r="X6367">
        <v>6</v>
      </c>
      <c r="Y6367" t="s">
        <v>25780</v>
      </c>
      <c r="Z6367" t="s">
        <v>32335</v>
      </c>
      <c r="AA6367">
        <v>0.58706540788676709</v>
      </c>
      <c r="AB6367" t="str">
        <f>HYPERLINK("Melting_Curves/meltCurve_Q9Y2H0_3_DLGAP4.pdf", "Melting_Curves/meltCurve_Q9Y2H0_3_DLGAP4.pdf")</f>
        <v>Melting_Curves/meltCurve_Q9Y2H0_3_DLGAP4.pdf</v>
      </c>
    </row>
    <row r="6368" spans="1:28" x14ac:dyDescent="0.25">
      <c r="A6368" t="s">
        <v>6372</v>
      </c>
      <c r="B6368">
        <v>0.99472303558308395</v>
      </c>
      <c r="C6368">
        <v>1.11640704136334</v>
      </c>
      <c r="D6368">
        <v>0.74554268975332805</v>
      </c>
      <c r="E6368">
        <v>0.24206229281931499</v>
      </c>
      <c r="F6368">
        <v>4.6756298121161902E-2</v>
      </c>
      <c r="G6368">
        <v>3.6701024264589002E-2</v>
      </c>
      <c r="H6368">
        <v>0</v>
      </c>
      <c r="I6368">
        <v>1.40918871811859E-2</v>
      </c>
      <c r="J6368">
        <v>0</v>
      </c>
      <c r="K6368">
        <v>0</v>
      </c>
      <c r="L6368">
        <v>1402.7697219655099</v>
      </c>
      <c r="M6368">
        <v>31.377756524249701</v>
      </c>
      <c r="N6368">
        <v>44.738333745912698</v>
      </c>
      <c r="O6368">
        <v>44.525457962314903</v>
      </c>
      <c r="P6368">
        <v>-0.174196562868592</v>
      </c>
      <c r="Q6368">
        <v>1.1256350295332699E-2</v>
      </c>
      <c r="R6368">
        <v>0.98832980402746395</v>
      </c>
      <c r="S6368" t="s">
        <v>12936</v>
      </c>
      <c r="T6368" t="s">
        <v>13134</v>
      </c>
      <c r="U6368" t="s">
        <v>13134</v>
      </c>
      <c r="V6368" t="s">
        <v>13134</v>
      </c>
      <c r="W6368" t="s">
        <v>19431</v>
      </c>
      <c r="X6368">
        <v>4</v>
      </c>
      <c r="Y6368" t="s">
        <v>25781</v>
      </c>
      <c r="Z6368" t="s">
        <v>32336</v>
      </c>
      <c r="AA6368">
        <v>0.27026289521218172</v>
      </c>
      <c r="AB6368" t="str">
        <f>HYPERLINK("Melting_Curves/meltCurve_Q9Y2H6_2_FNDC3A.pdf", "Melting_Curves/meltCurve_Q9Y2H6_2_FNDC3A.pdf")</f>
        <v>Melting_Curves/meltCurve_Q9Y2H6_2_FNDC3A.pdf</v>
      </c>
    </row>
    <row r="6369" spans="1:28" x14ac:dyDescent="0.25">
      <c r="A6369" t="s">
        <v>6373</v>
      </c>
      <c r="B6369">
        <v>0.99472303558308395</v>
      </c>
      <c r="C6369">
        <v>0.85321107557980502</v>
      </c>
      <c r="D6369">
        <v>0.87988523876385405</v>
      </c>
      <c r="E6369">
        <v>0.68944895303207798</v>
      </c>
      <c r="F6369">
        <v>0.157069163518922</v>
      </c>
      <c r="G6369">
        <v>8.27744238543522E-2</v>
      </c>
      <c r="H6369">
        <v>4.60462527237014E-2</v>
      </c>
      <c r="I6369">
        <v>3.5260674389629799E-2</v>
      </c>
      <c r="J6369">
        <v>3.9472926099594803E-2</v>
      </c>
      <c r="K6369">
        <v>3.41679947805952E-2</v>
      </c>
      <c r="L6369">
        <v>1378.3644152780601</v>
      </c>
      <c r="M6369">
        <v>29.023401208930601</v>
      </c>
      <c r="N6369">
        <v>47.608360196929702</v>
      </c>
      <c r="O6369">
        <v>47.267740415903397</v>
      </c>
      <c r="P6369">
        <v>-0.148228299706753</v>
      </c>
      <c r="Q6369">
        <v>3.4384137971595001E-2</v>
      </c>
      <c r="R6369">
        <v>0.98052596988239504</v>
      </c>
      <c r="S6369" t="s">
        <v>12937</v>
      </c>
      <c r="T6369" t="s">
        <v>13134</v>
      </c>
      <c r="U6369" t="s">
        <v>13134</v>
      </c>
      <c r="V6369" t="s">
        <v>13134</v>
      </c>
      <c r="W6369" t="s">
        <v>19432</v>
      </c>
      <c r="X6369">
        <v>10</v>
      </c>
      <c r="Y6369" t="s">
        <v>25782</v>
      </c>
      <c r="Z6369" t="s">
        <v>32337</v>
      </c>
      <c r="AA6369">
        <v>0.37813064620097742</v>
      </c>
      <c r="AB6369" t="str">
        <f>HYPERLINK("Melting_Curves/meltCurve_Q9Y2I1_NISCH.pdf", "Melting_Curves/meltCurve_Q9Y2I1_NISCH.pdf")</f>
        <v>Melting_Curves/meltCurve_Q9Y2I1_NISCH.pdf</v>
      </c>
    </row>
    <row r="6370" spans="1:28" x14ac:dyDescent="0.25">
      <c r="A6370" t="s">
        <v>6374</v>
      </c>
      <c r="B6370">
        <v>0.99472303558308395</v>
      </c>
      <c r="C6370">
        <v>0.953478008429684</v>
      </c>
      <c r="D6370">
        <v>0.77477367697744703</v>
      </c>
      <c r="E6370">
        <v>0.656151394524916</v>
      </c>
      <c r="F6370">
        <v>0.37582138993880299</v>
      </c>
      <c r="G6370">
        <v>0.201304084093617</v>
      </c>
      <c r="H6370">
        <v>0.120786099932556</v>
      </c>
      <c r="I6370">
        <v>8.0952151160385497E-2</v>
      </c>
      <c r="J6370">
        <v>8.0121507458866897E-2</v>
      </c>
      <c r="K6370">
        <v>7.6835718036285999E-2</v>
      </c>
      <c r="L6370">
        <v>647.41780663146994</v>
      </c>
      <c r="M6370">
        <v>13.511585984725601</v>
      </c>
      <c r="N6370">
        <v>48.214794225894501</v>
      </c>
      <c r="O6370">
        <v>46.902700034412099</v>
      </c>
      <c r="P6370">
        <v>-6.9135023086616093E-2</v>
      </c>
      <c r="Q6370">
        <v>4.0193670974537202E-2</v>
      </c>
      <c r="R6370">
        <v>0.99494354357979897</v>
      </c>
      <c r="S6370" t="s">
        <v>12938</v>
      </c>
      <c r="T6370" t="s">
        <v>13134</v>
      </c>
      <c r="U6370" t="s">
        <v>13134</v>
      </c>
      <c r="V6370" t="s">
        <v>13134</v>
      </c>
      <c r="W6370" t="s">
        <v>19433</v>
      </c>
      <c r="X6370">
        <v>9</v>
      </c>
      <c r="Y6370" t="s">
        <v>25783</v>
      </c>
      <c r="Z6370" t="s">
        <v>32338</v>
      </c>
      <c r="AA6370">
        <v>0.41457669654381119</v>
      </c>
      <c r="AB6370" t="str">
        <f>HYPERLINK("Melting_Curves/meltCurve_Q9Y2I7_PIKFYVE.pdf", "Melting_Curves/meltCurve_Q9Y2I7_PIKFYVE.pdf")</f>
        <v>Melting_Curves/meltCurve_Q9Y2I7_PIKFYVE.pdf</v>
      </c>
    </row>
    <row r="6371" spans="1:28" x14ac:dyDescent="0.25">
      <c r="A6371" t="s">
        <v>6375</v>
      </c>
      <c r="B6371">
        <v>0.99472303558308395</v>
      </c>
      <c r="C6371">
        <v>1.2369642248188599</v>
      </c>
      <c r="D6371">
        <v>0.83682574153562395</v>
      </c>
      <c r="E6371">
        <v>0.696633137632785</v>
      </c>
      <c r="F6371">
        <v>0.69429615661199795</v>
      </c>
      <c r="G6371">
        <v>0.19345142023613299</v>
      </c>
      <c r="H6371">
        <v>9.7463024945623894E-2</v>
      </c>
      <c r="I6371">
        <v>8.1366708499514703E-2</v>
      </c>
      <c r="J6371">
        <v>8.7939707761549399E-2</v>
      </c>
      <c r="K6371">
        <v>7.4146180514093593E-2</v>
      </c>
      <c r="L6371">
        <v>838.22097963966098</v>
      </c>
      <c r="M6371">
        <v>16.631143784524699</v>
      </c>
      <c r="N6371">
        <v>50.600611797840699</v>
      </c>
      <c r="O6371">
        <v>49.688903377247698</v>
      </c>
      <c r="P6371">
        <v>-8.1021062249150497E-2</v>
      </c>
      <c r="Q6371">
        <v>3.1798060569035599E-2</v>
      </c>
      <c r="R6371">
        <v>0.92989134343252799</v>
      </c>
      <c r="S6371" t="s">
        <v>12939</v>
      </c>
      <c r="T6371" t="s">
        <v>13134</v>
      </c>
      <c r="U6371" t="s">
        <v>13134</v>
      </c>
      <c r="V6371" t="s">
        <v>13134</v>
      </c>
      <c r="W6371" t="s">
        <v>19434</v>
      </c>
      <c r="X6371">
        <v>4</v>
      </c>
      <c r="Y6371" t="s">
        <v>25784</v>
      </c>
      <c r="Z6371" t="s">
        <v>32339</v>
      </c>
      <c r="AA6371">
        <v>0.48145645816157112</v>
      </c>
      <c r="AB6371" t="str">
        <f>HYPERLINK("Melting_Curves/meltCurve_Q9Y2I8_WDR37.pdf", "Melting_Curves/meltCurve_Q9Y2I8_WDR37.pdf")</f>
        <v>Melting_Curves/meltCurve_Q9Y2I8_WDR37.pdf</v>
      </c>
    </row>
    <row r="6372" spans="1:28" x14ac:dyDescent="0.25">
      <c r="A6372" t="s">
        <v>6376</v>
      </c>
      <c r="B6372">
        <v>0.99472303558308395</v>
      </c>
      <c r="C6372">
        <v>1.09447725563948</v>
      </c>
      <c r="D6372">
        <v>0.82528374017964301</v>
      </c>
      <c r="E6372">
        <v>0.65564030169623499</v>
      </c>
      <c r="F6372">
        <v>0.25899299098894901</v>
      </c>
      <c r="G6372">
        <v>0.130225970662636</v>
      </c>
      <c r="H6372">
        <v>7.7210938985583497E-2</v>
      </c>
      <c r="I6372">
        <v>6.4752590335952306E-2</v>
      </c>
      <c r="J6372">
        <v>8.9178609573702494E-2</v>
      </c>
      <c r="K6372">
        <v>7.59525761851602E-2</v>
      </c>
      <c r="L6372">
        <v>1027.3374431618799</v>
      </c>
      <c r="M6372">
        <v>21.684931543580898</v>
      </c>
      <c r="N6372">
        <v>47.690594516832697</v>
      </c>
      <c r="O6372">
        <v>46.978265224474903</v>
      </c>
      <c r="P6372">
        <v>-0.107702522972371</v>
      </c>
      <c r="Q6372">
        <v>6.67145096697907E-2</v>
      </c>
      <c r="R6372">
        <v>0.98645896569450398</v>
      </c>
      <c r="S6372" t="s">
        <v>12940</v>
      </c>
      <c r="T6372" t="s">
        <v>13134</v>
      </c>
      <c r="U6372" t="s">
        <v>13134</v>
      </c>
      <c r="V6372" t="s">
        <v>13134</v>
      </c>
      <c r="W6372" t="s">
        <v>19435</v>
      </c>
      <c r="X6372">
        <v>7</v>
      </c>
      <c r="Y6372" t="s">
        <v>25785</v>
      </c>
      <c r="Z6372" t="s">
        <v>32340</v>
      </c>
      <c r="AA6372">
        <v>0.39994514868590619</v>
      </c>
      <c r="AB6372" t="str">
        <f>HYPERLINK("Melting_Curves/meltCurve_Q9Y2K6_USP20.pdf", "Melting_Curves/meltCurve_Q9Y2K6_USP20.pdf")</f>
        <v>Melting_Curves/meltCurve_Q9Y2K6_USP20.pdf</v>
      </c>
    </row>
    <row r="6373" spans="1:28" x14ac:dyDescent="0.25">
      <c r="A6373" t="s">
        <v>6377</v>
      </c>
      <c r="B6373">
        <v>0.99472303558308395</v>
      </c>
      <c r="C6373">
        <v>1.05629426761644</v>
      </c>
      <c r="D6373">
        <v>0.85734565423741105</v>
      </c>
      <c r="E6373">
        <v>0.66580947181917605</v>
      </c>
      <c r="F6373">
        <v>0.36274663964924198</v>
      </c>
      <c r="G6373">
        <v>0.13007133245476701</v>
      </c>
      <c r="H6373">
        <v>7.1206387522212602E-2</v>
      </c>
      <c r="I6373">
        <v>7.4064828608379096E-2</v>
      </c>
      <c r="J6373">
        <v>7.7473438674049197E-2</v>
      </c>
      <c r="K6373">
        <v>6.30381371110528E-2</v>
      </c>
      <c r="L6373">
        <v>917.48057942661001</v>
      </c>
      <c r="M6373">
        <v>19.109903873814801</v>
      </c>
      <c r="N6373">
        <v>48.288072098245102</v>
      </c>
      <c r="O6373">
        <v>47.494266483571401</v>
      </c>
      <c r="P6373">
        <v>-9.5366307473381498E-2</v>
      </c>
      <c r="Q6373">
        <v>5.1972971755903097E-2</v>
      </c>
      <c r="R6373">
        <v>0.99325300685190698</v>
      </c>
      <c r="S6373" t="s">
        <v>12941</v>
      </c>
      <c r="T6373" t="s">
        <v>13134</v>
      </c>
      <c r="U6373" t="s">
        <v>13134</v>
      </c>
      <c r="V6373" t="s">
        <v>13134</v>
      </c>
      <c r="W6373" t="s">
        <v>19436</v>
      </c>
      <c r="X6373">
        <v>11</v>
      </c>
      <c r="Y6373" t="s">
        <v>25786</v>
      </c>
      <c r="Z6373" t="s">
        <v>32341</v>
      </c>
      <c r="AA6373">
        <v>0.41349013600378409</v>
      </c>
      <c r="AB6373" t="str">
        <f>HYPERLINK("Melting_Curves/meltCurve_Q9Y2K7_KDM2A.pdf", "Melting_Curves/meltCurve_Q9Y2K7_KDM2A.pdf")</f>
        <v>Melting_Curves/meltCurve_Q9Y2K7_KDM2A.pdf</v>
      </c>
    </row>
    <row r="6374" spans="1:28" x14ac:dyDescent="0.25">
      <c r="A6374" t="s">
        <v>6378</v>
      </c>
      <c r="B6374">
        <v>0.99472303558308395</v>
      </c>
      <c r="C6374">
        <v>0.89890450318337001</v>
      </c>
      <c r="D6374">
        <v>0.827269640163381</v>
      </c>
      <c r="E6374">
        <v>0.39993101962601002</v>
      </c>
      <c r="F6374">
        <v>0.15593473252342099</v>
      </c>
      <c r="G6374">
        <v>8.64294115808414E-2</v>
      </c>
      <c r="H6374">
        <v>5.0842686199053903E-2</v>
      </c>
      <c r="I6374">
        <v>3.8461185545079601E-2</v>
      </c>
      <c r="J6374">
        <v>4.9748393045960702E-2</v>
      </c>
      <c r="K6374">
        <v>3.8439228327131002E-2</v>
      </c>
      <c r="L6374">
        <v>984.019807881426</v>
      </c>
      <c r="M6374">
        <v>21.576358902198301</v>
      </c>
      <c r="N6374">
        <v>45.788437350268502</v>
      </c>
      <c r="O6374">
        <v>45.220050659528198</v>
      </c>
      <c r="P6374">
        <v>-0.114384995697439</v>
      </c>
      <c r="Q6374">
        <v>4.11040896570255E-2</v>
      </c>
      <c r="R6374">
        <v>0.99659246079064401</v>
      </c>
      <c r="S6374" t="s">
        <v>12942</v>
      </c>
      <c r="T6374" t="s">
        <v>13134</v>
      </c>
      <c r="U6374" t="s">
        <v>13134</v>
      </c>
      <c r="V6374" t="s">
        <v>13134</v>
      </c>
      <c r="W6374" t="s">
        <v>19437</v>
      </c>
      <c r="X6374">
        <v>33</v>
      </c>
      <c r="Y6374" t="s">
        <v>25787</v>
      </c>
      <c r="Z6374" t="s">
        <v>32342</v>
      </c>
      <c r="AA6374">
        <v>0.32692126391262438</v>
      </c>
      <c r="AB6374" t="str">
        <f>HYPERLINK("Melting_Curves/meltCurve_Q9Y2L1_DIS3.pdf", "Melting_Curves/meltCurve_Q9Y2L1_DIS3.pdf")</f>
        <v>Melting_Curves/meltCurve_Q9Y2L1_DIS3.pdf</v>
      </c>
    </row>
    <row r="6375" spans="1:28" x14ac:dyDescent="0.25">
      <c r="A6375" t="s">
        <v>6379</v>
      </c>
      <c r="B6375">
        <v>0.99472303558308395</v>
      </c>
      <c r="C6375">
        <v>1.04170205655301</v>
      </c>
      <c r="D6375">
        <v>1.01573184079945</v>
      </c>
      <c r="E6375">
        <v>0.95028786651730901</v>
      </c>
      <c r="F6375">
        <v>0.617571269605665</v>
      </c>
      <c r="G6375">
        <v>0.21923635781619899</v>
      </c>
      <c r="H6375">
        <v>7.1751017063389905E-2</v>
      </c>
      <c r="I6375">
        <v>5.5307015880839097E-2</v>
      </c>
      <c r="J6375">
        <v>5.9480598293890401E-2</v>
      </c>
      <c r="K6375">
        <v>5.0700456123149502E-2</v>
      </c>
      <c r="L6375">
        <v>1517.6109038920899</v>
      </c>
      <c r="M6375">
        <v>29.8105609053348</v>
      </c>
      <c r="N6375">
        <v>51.091365126129503</v>
      </c>
      <c r="O6375">
        <v>50.681058322514097</v>
      </c>
      <c r="P6375">
        <v>-0.13960976706001901</v>
      </c>
      <c r="Q6375">
        <v>5.0601765876008599E-2</v>
      </c>
      <c r="R6375">
        <v>0.99866229865095102</v>
      </c>
      <c r="S6375" t="s">
        <v>12943</v>
      </c>
      <c r="T6375" t="s">
        <v>13134</v>
      </c>
      <c r="U6375" t="s">
        <v>13134</v>
      </c>
      <c r="V6375" t="s">
        <v>13134</v>
      </c>
      <c r="W6375" t="s">
        <v>19438</v>
      </c>
      <c r="X6375">
        <v>12</v>
      </c>
      <c r="Y6375" t="s">
        <v>25788</v>
      </c>
      <c r="Z6375" t="s">
        <v>32343</v>
      </c>
      <c r="AA6375">
        <v>0.49673920834718288</v>
      </c>
      <c r="AB6375" t="str">
        <f>HYPERLINK("Melting_Curves/meltCurve_Q9Y2Q3_GSTK1.pdf", "Melting_Curves/meltCurve_Q9Y2Q3_GSTK1.pdf")</f>
        <v>Melting_Curves/meltCurve_Q9Y2Q3_GSTK1.pdf</v>
      </c>
    </row>
    <row r="6376" spans="1:28" x14ac:dyDescent="0.25">
      <c r="A6376" t="s">
        <v>6380</v>
      </c>
      <c r="B6376">
        <v>0.99472303558308395</v>
      </c>
      <c r="C6376">
        <v>0.952502642628417</v>
      </c>
      <c r="D6376">
        <v>1.0318081028217301</v>
      </c>
      <c r="E6376">
        <v>0.95689422966930004</v>
      </c>
      <c r="F6376">
        <v>0.79154914542206201</v>
      </c>
      <c r="G6376">
        <v>0.66679111633973298</v>
      </c>
      <c r="H6376">
        <v>0.44074931914662102</v>
      </c>
      <c r="I6376">
        <v>0.65027010407863794</v>
      </c>
      <c r="J6376">
        <v>0.76384273403682101</v>
      </c>
      <c r="K6376">
        <v>0.44993434655815401</v>
      </c>
      <c r="L6376">
        <v>1576.4308358574699</v>
      </c>
      <c r="M6376">
        <v>31.370888334712799</v>
      </c>
      <c r="O6376">
        <v>50.048499109482101</v>
      </c>
      <c r="P6376">
        <v>-6.5488196210590696E-2</v>
      </c>
      <c r="Q6376">
        <v>0.58208778172620601</v>
      </c>
      <c r="R6376">
        <v>0.80611419218283198</v>
      </c>
      <c r="S6376" t="s">
        <v>12944</v>
      </c>
      <c r="T6376" t="s">
        <v>13134</v>
      </c>
      <c r="U6376" t="s">
        <v>13134</v>
      </c>
      <c r="V6376" t="s">
        <v>13134</v>
      </c>
      <c r="W6376" t="s">
        <v>19439</v>
      </c>
      <c r="X6376">
        <v>5</v>
      </c>
      <c r="Y6376" t="s">
        <v>25789</v>
      </c>
      <c r="Z6376" t="s">
        <v>32344</v>
      </c>
      <c r="AA6376">
        <v>0.76904220063428241</v>
      </c>
      <c r="AB6376" t="str">
        <f>HYPERLINK("Melting_Curves/meltCurve_Q9Y2Q5_LAMTOR2.pdf", "Melting_Curves/meltCurve_Q9Y2Q5_LAMTOR2.pdf")</f>
        <v>Melting_Curves/meltCurve_Q9Y2Q5_LAMTOR2.pdf</v>
      </c>
    </row>
    <row r="6377" spans="1:28" x14ac:dyDescent="0.25">
      <c r="A6377" t="s">
        <v>6381</v>
      </c>
      <c r="B6377">
        <v>0.99472303558308395</v>
      </c>
      <c r="C6377">
        <v>0.88840947571928697</v>
      </c>
      <c r="D6377">
        <v>1.17731031361316</v>
      </c>
      <c r="E6377">
        <v>1.3289652824504501</v>
      </c>
      <c r="F6377">
        <v>0.629377911515971</v>
      </c>
      <c r="G6377">
        <v>0.19419928334828701</v>
      </c>
      <c r="H6377">
        <v>9.4616037965444197E-2</v>
      </c>
      <c r="I6377">
        <v>6.5662021396272904E-2</v>
      </c>
      <c r="J6377">
        <v>7.8950540687215201E-2</v>
      </c>
      <c r="K6377">
        <v>6.9640292958226005E-2</v>
      </c>
      <c r="L6377">
        <v>3542.5785057498902</v>
      </c>
      <c r="M6377">
        <v>70.168939384754395</v>
      </c>
      <c r="N6377">
        <v>50.642966230992002</v>
      </c>
      <c r="O6377">
        <v>50.445465410814201</v>
      </c>
      <c r="P6377">
        <v>-0.31384346739772701</v>
      </c>
      <c r="Q6377">
        <v>9.7493868366674702E-2</v>
      </c>
      <c r="R6377">
        <v>0.93022900401779995</v>
      </c>
      <c r="S6377" t="s">
        <v>12945</v>
      </c>
      <c r="T6377" t="s">
        <v>13134</v>
      </c>
      <c r="U6377" t="s">
        <v>13134</v>
      </c>
      <c r="V6377" t="s">
        <v>13134</v>
      </c>
      <c r="W6377" t="s">
        <v>19440</v>
      </c>
      <c r="X6377">
        <v>6</v>
      </c>
      <c r="Y6377" t="s">
        <v>25790</v>
      </c>
      <c r="Z6377" t="s">
        <v>32345</v>
      </c>
      <c r="AA6377">
        <v>0.5042307687337152</v>
      </c>
      <c r="AB6377" t="str">
        <f>HYPERLINK("Melting_Curves/meltCurve_Q9Y2Q9_MRPS28.pdf", "Melting_Curves/meltCurve_Q9Y2Q9_MRPS28.pdf")</f>
        <v>Melting_Curves/meltCurve_Q9Y2Q9_MRPS28.pdf</v>
      </c>
    </row>
    <row r="6378" spans="1:28" x14ac:dyDescent="0.25">
      <c r="A6378" t="s">
        <v>6382</v>
      </c>
      <c r="B6378">
        <v>0.99472303558308395</v>
      </c>
      <c r="C6378">
        <v>0.92814935676603205</v>
      </c>
      <c r="D6378">
        <v>0.93517591478751505</v>
      </c>
      <c r="E6378">
        <v>0.77242999457484196</v>
      </c>
      <c r="F6378">
        <v>0.58881951062068905</v>
      </c>
      <c r="G6378">
        <v>0.44335383273816598</v>
      </c>
      <c r="H6378">
        <v>0.36269722867227899</v>
      </c>
      <c r="I6378">
        <v>0.34675302447246198</v>
      </c>
      <c r="J6378">
        <v>0.42847796229365598</v>
      </c>
      <c r="K6378">
        <v>0.48933879666262498</v>
      </c>
      <c r="L6378">
        <v>948.57293063430302</v>
      </c>
      <c r="M6378">
        <v>19.868575722596798</v>
      </c>
      <c r="N6378">
        <v>51.943228971087301</v>
      </c>
      <c r="O6378">
        <v>47.266646142965797</v>
      </c>
      <c r="P6378">
        <v>-6.3081981907155901E-2</v>
      </c>
      <c r="Q6378">
        <v>0.39974101331926998</v>
      </c>
      <c r="R6378">
        <v>0.96617808616698697</v>
      </c>
      <c r="S6378" t="s">
        <v>12946</v>
      </c>
      <c r="T6378" t="s">
        <v>13134</v>
      </c>
      <c r="U6378" t="s">
        <v>13134</v>
      </c>
      <c r="V6378" t="s">
        <v>13134</v>
      </c>
      <c r="W6378" t="s">
        <v>19441</v>
      </c>
      <c r="X6378">
        <v>6</v>
      </c>
      <c r="Y6378" t="s">
        <v>25791</v>
      </c>
      <c r="Z6378" t="s">
        <v>32346</v>
      </c>
      <c r="AA6378">
        <v>0.62265993836248401</v>
      </c>
      <c r="AB6378" t="str">
        <f>HYPERLINK("Melting_Curves/meltCurve_Q9Y2R0_COA3.pdf", "Melting_Curves/meltCurve_Q9Y2R0_COA3.pdf")</f>
        <v>Melting_Curves/meltCurve_Q9Y2R0_COA3.pdf</v>
      </c>
    </row>
    <row r="6379" spans="1:28" x14ac:dyDescent="0.25">
      <c r="A6379" t="s">
        <v>6383</v>
      </c>
      <c r="B6379">
        <v>0.99472303558308395</v>
      </c>
      <c r="C6379">
        <v>0.97552172243439395</v>
      </c>
      <c r="D6379">
        <v>0.80457995700004603</v>
      </c>
      <c r="E6379">
        <v>0.53637516052256795</v>
      </c>
      <c r="F6379">
        <v>0.23271278376097901</v>
      </c>
      <c r="G6379">
        <v>0.106170280319209</v>
      </c>
      <c r="H6379">
        <v>7.4167212670413193E-2</v>
      </c>
      <c r="I6379">
        <v>6.9213455781429706E-2</v>
      </c>
      <c r="J6379">
        <v>0.101617857125267</v>
      </c>
      <c r="K6379">
        <v>8.3471236283871902E-2</v>
      </c>
      <c r="L6379">
        <v>907.6506596808</v>
      </c>
      <c r="M6379">
        <v>19.578494337340999</v>
      </c>
      <c r="N6379">
        <v>46.714416633309803</v>
      </c>
      <c r="O6379">
        <v>45.884050614295496</v>
      </c>
      <c r="P6379">
        <v>-9.9306763663835507E-2</v>
      </c>
      <c r="Q6379">
        <v>6.9093841190177099E-2</v>
      </c>
      <c r="R6379">
        <v>0.99750290067465697</v>
      </c>
      <c r="S6379" t="s">
        <v>12947</v>
      </c>
      <c r="T6379" t="s">
        <v>13134</v>
      </c>
      <c r="U6379" t="s">
        <v>13134</v>
      </c>
      <c r="V6379" t="s">
        <v>13134</v>
      </c>
      <c r="W6379" t="s">
        <v>19442</v>
      </c>
      <c r="X6379">
        <v>4</v>
      </c>
      <c r="Y6379" t="s">
        <v>25792</v>
      </c>
      <c r="Z6379" t="s">
        <v>32347</v>
      </c>
      <c r="AA6379">
        <v>0.37222316051799398</v>
      </c>
      <c r="AB6379" t="str">
        <f>HYPERLINK("Melting_Curves/meltCurve_Q9Y2S0_POLR1D.pdf", "Melting_Curves/meltCurve_Q9Y2S0_POLR1D.pdf")</f>
        <v>Melting_Curves/meltCurve_Q9Y2S0_POLR1D.pdf</v>
      </c>
    </row>
    <row r="6380" spans="1:28" x14ac:dyDescent="0.25">
      <c r="A6380" t="s">
        <v>6384</v>
      </c>
      <c r="B6380">
        <v>0.99472303558308395</v>
      </c>
      <c r="C6380">
        <v>1.0476000447779701</v>
      </c>
      <c r="D6380">
        <v>1.0472825869787901</v>
      </c>
      <c r="E6380">
        <v>0.97299568390709901</v>
      </c>
      <c r="F6380">
        <v>0.60251823377870894</v>
      </c>
      <c r="G6380">
        <v>0.64587177805843998</v>
      </c>
      <c r="H6380">
        <v>0.64387118957567302</v>
      </c>
      <c r="I6380">
        <v>0.79404744009997796</v>
      </c>
      <c r="J6380">
        <v>1.2369317579636501</v>
      </c>
      <c r="K6380">
        <v>0.77326960490508101</v>
      </c>
      <c r="L6380">
        <v>11740.9773809987</v>
      </c>
      <c r="M6380">
        <v>250</v>
      </c>
      <c r="O6380">
        <v>46.960904657944099</v>
      </c>
      <c r="P6380">
        <v>-0.28913456590320302</v>
      </c>
      <c r="Q6380">
        <v>0.78275167010272795</v>
      </c>
      <c r="R6380">
        <v>0.31577431161049802</v>
      </c>
      <c r="S6380" t="s">
        <v>12948</v>
      </c>
      <c r="T6380" t="s">
        <v>13134</v>
      </c>
      <c r="U6380" t="s">
        <v>13134</v>
      </c>
      <c r="V6380" t="s">
        <v>13134</v>
      </c>
      <c r="W6380" t="s">
        <v>19443</v>
      </c>
      <c r="X6380">
        <v>6</v>
      </c>
      <c r="Y6380" t="s">
        <v>25793</v>
      </c>
      <c r="Z6380" t="s">
        <v>32348</v>
      </c>
      <c r="AA6380">
        <v>0.85492433269002943</v>
      </c>
      <c r="AB6380" t="str">
        <f>HYPERLINK("Melting_Curves/meltCurve_Q9Y2S6_TMA7.pdf", "Melting_Curves/meltCurve_Q9Y2S6_TMA7.pdf")</f>
        <v>Melting_Curves/meltCurve_Q9Y2S6_TMA7.pdf</v>
      </c>
    </row>
    <row r="6381" spans="1:28" x14ac:dyDescent="0.25">
      <c r="A6381" t="s">
        <v>6385</v>
      </c>
      <c r="B6381">
        <v>0.99472303558308395</v>
      </c>
      <c r="C6381">
        <v>1.0628843031338899</v>
      </c>
      <c r="D6381">
        <v>0.90327945591379799</v>
      </c>
      <c r="E6381">
        <v>0.77937000327130002</v>
      </c>
      <c r="F6381">
        <v>0.498186898636232</v>
      </c>
      <c r="G6381">
        <v>0.26259489645079498</v>
      </c>
      <c r="H6381">
        <v>0.112092225181434</v>
      </c>
      <c r="I6381">
        <v>7.9962679698645206E-2</v>
      </c>
      <c r="J6381">
        <v>8.7798000342077395E-2</v>
      </c>
      <c r="K6381">
        <v>7.5752229481567707E-2</v>
      </c>
      <c r="L6381">
        <v>876.18170378893899</v>
      </c>
      <c r="M6381">
        <v>17.612659467779899</v>
      </c>
      <c r="N6381">
        <v>50.081963226787003</v>
      </c>
      <c r="O6381">
        <v>49.119247827734</v>
      </c>
      <c r="P6381">
        <v>-8.4669642348259203E-2</v>
      </c>
      <c r="Q6381">
        <v>5.5523536595378002E-2</v>
      </c>
      <c r="R6381">
        <v>0.99444371297210199</v>
      </c>
      <c r="S6381" t="s">
        <v>12949</v>
      </c>
      <c r="T6381" t="s">
        <v>13134</v>
      </c>
      <c r="U6381" t="s">
        <v>13134</v>
      </c>
      <c r="V6381" t="s">
        <v>13134</v>
      </c>
      <c r="W6381" t="s">
        <v>19444</v>
      </c>
      <c r="X6381">
        <v>17</v>
      </c>
      <c r="Y6381" t="s">
        <v>25794</v>
      </c>
      <c r="Z6381" t="s">
        <v>32349</v>
      </c>
      <c r="AA6381">
        <v>0.47231173282265582</v>
      </c>
      <c r="AB6381" t="str">
        <f>HYPERLINK("Melting_Curves/meltCurve_Q9Y2S7_POLDIP2.pdf", "Melting_Curves/meltCurve_Q9Y2S7_POLDIP2.pdf")</f>
        <v>Melting_Curves/meltCurve_Q9Y2S7_POLDIP2.pdf</v>
      </c>
    </row>
    <row r="6382" spans="1:28" x14ac:dyDescent="0.25">
      <c r="A6382" t="s">
        <v>6386</v>
      </c>
      <c r="B6382">
        <v>0.99472303558308395</v>
      </c>
      <c r="C6382">
        <v>0.96285274153758205</v>
      </c>
      <c r="D6382">
        <v>0.75660700777010803</v>
      </c>
      <c r="E6382">
        <v>0.65710880880219502</v>
      </c>
      <c r="F6382">
        <v>0.36366054584416002</v>
      </c>
      <c r="G6382">
        <v>9.8826821511453805E-2</v>
      </c>
      <c r="H6382">
        <v>6.7947229260060804E-2</v>
      </c>
      <c r="I6382">
        <v>4.3380675233265997E-2</v>
      </c>
      <c r="J6382">
        <v>5.3939736579759201E-2</v>
      </c>
      <c r="K6382">
        <v>5.0824385231245599E-2</v>
      </c>
      <c r="L6382">
        <v>710.00458660791105</v>
      </c>
      <c r="M6382">
        <v>14.856395825964</v>
      </c>
      <c r="N6382">
        <v>47.854223695461897</v>
      </c>
      <c r="O6382">
        <v>46.950332483017</v>
      </c>
      <c r="P6382">
        <v>-7.8348776914665699E-2</v>
      </c>
      <c r="Q6382">
        <v>9.6884226801716693E-3</v>
      </c>
      <c r="R6382">
        <v>0.987422506375362</v>
      </c>
      <c r="S6382" t="s">
        <v>12950</v>
      </c>
      <c r="T6382" t="s">
        <v>13134</v>
      </c>
      <c r="U6382" t="s">
        <v>13134</v>
      </c>
      <c r="V6382" t="s">
        <v>13134</v>
      </c>
      <c r="W6382" t="s">
        <v>19445</v>
      </c>
      <c r="X6382">
        <v>14</v>
      </c>
      <c r="Y6382" t="s">
        <v>25795</v>
      </c>
      <c r="Z6382" t="s">
        <v>32350</v>
      </c>
      <c r="AA6382">
        <v>0.38818244864389129</v>
      </c>
      <c r="AB6382" t="str">
        <f>HYPERLINK("Melting_Curves/meltCurve_Q9Y2T2_AP3M1.pdf", "Melting_Curves/meltCurve_Q9Y2T2_AP3M1.pdf")</f>
        <v>Melting_Curves/meltCurve_Q9Y2T2_AP3M1.pdf</v>
      </c>
    </row>
    <row r="6383" spans="1:28" x14ac:dyDescent="0.25">
      <c r="A6383" t="s">
        <v>6387</v>
      </c>
      <c r="B6383">
        <v>0.99472303558308395</v>
      </c>
      <c r="C6383">
        <v>0.96951105557811901</v>
      </c>
      <c r="D6383">
        <v>0.943863314217813</v>
      </c>
      <c r="E6383">
        <v>0.77563606400720597</v>
      </c>
      <c r="F6383">
        <v>0.63172854283780899</v>
      </c>
      <c r="G6383">
        <v>0.24984142139200799</v>
      </c>
      <c r="H6383">
        <v>0.104267173120788</v>
      </c>
      <c r="I6383">
        <v>5.8160576017247501E-2</v>
      </c>
      <c r="J6383">
        <v>8.9015681930093099E-2</v>
      </c>
      <c r="K6383">
        <v>8.2536715738427802E-2</v>
      </c>
      <c r="L6383">
        <v>923.11019537243203</v>
      </c>
      <c r="M6383">
        <v>18.2450019578046</v>
      </c>
      <c r="N6383">
        <v>50.837609672939202</v>
      </c>
      <c r="O6383">
        <v>49.999177451235802</v>
      </c>
      <c r="P6383">
        <v>-8.7430710935761893E-2</v>
      </c>
      <c r="Q6383">
        <v>4.1653505283672801E-2</v>
      </c>
      <c r="R6383">
        <v>0.99014930861745598</v>
      </c>
      <c r="S6383" t="s">
        <v>12951</v>
      </c>
      <c r="T6383" t="s">
        <v>13134</v>
      </c>
      <c r="U6383" t="s">
        <v>13134</v>
      </c>
      <c r="V6383" t="s">
        <v>13134</v>
      </c>
      <c r="W6383" t="s">
        <v>19446</v>
      </c>
      <c r="X6383">
        <v>4</v>
      </c>
      <c r="Y6383" t="s">
        <v>25796</v>
      </c>
      <c r="Z6383" t="s">
        <v>32351</v>
      </c>
      <c r="AA6383">
        <v>0.49060425956954101</v>
      </c>
      <c r="AB6383" t="str">
        <f>HYPERLINK("Melting_Curves/meltCurve_Q9Y2U5_MAP3K2.pdf", "Melting_Curves/meltCurve_Q9Y2U5_MAP3K2.pdf")</f>
        <v>Melting_Curves/meltCurve_Q9Y2U5_MAP3K2.pdf</v>
      </c>
    </row>
    <row r="6384" spans="1:28" x14ac:dyDescent="0.25">
      <c r="A6384" t="s">
        <v>6388</v>
      </c>
      <c r="B6384">
        <v>0.99472303558308395</v>
      </c>
      <c r="C6384">
        <v>1.03531846691439</v>
      </c>
      <c r="D6384">
        <v>0.97258077464902903</v>
      </c>
      <c r="E6384">
        <v>0.60348294610826303</v>
      </c>
      <c r="F6384">
        <v>0.166872139102621</v>
      </c>
      <c r="G6384">
        <v>0.102441118425349</v>
      </c>
      <c r="H6384">
        <v>7.9975086748288501E-2</v>
      </c>
      <c r="I6384">
        <v>7.5023336799446103E-2</v>
      </c>
      <c r="J6384">
        <v>9.2441729289991004E-2</v>
      </c>
      <c r="K6384">
        <v>9.3585815112818105E-2</v>
      </c>
      <c r="L6384">
        <v>1719.4181723878401</v>
      </c>
      <c r="M6384">
        <v>36.626121261291601</v>
      </c>
      <c r="N6384">
        <v>47.191415741733202</v>
      </c>
      <c r="O6384">
        <v>46.805846464358801</v>
      </c>
      <c r="P6384">
        <v>-0.17861018558880801</v>
      </c>
      <c r="Q6384">
        <v>8.6993025652375197E-2</v>
      </c>
      <c r="R6384">
        <v>0.99895882431951299</v>
      </c>
      <c r="S6384" t="s">
        <v>12952</v>
      </c>
      <c r="T6384" t="s">
        <v>13134</v>
      </c>
      <c r="U6384" t="s">
        <v>13134</v>
      </c>
      <c r="V6384" t="s">
        <v>13134</v>
      </c>
      <c r="W6384" t="s">
        <v>19447</v>
      </c>
      <c r="X6384">
        <v>14</v>
      </c>
      <c r="Y6384" t="s">
        <v>25797</v>
      </c>
      <c r="Z6384" t="s">
        <v>32352</v>
      </c>
      <c r="AA6384">
        <v>0.39319942512385209</v>
      </c>
      <c r="AB6384" t="str">
        <f>HYPERLINK("Melting_Curves/meltCurve_Q9Y2U8_LEMD3.pdf", "Melting_Curves/meltCurve_Q9Y2U8_LEMD3.pdf")</f>
        <v>Melting_Curves/meltCurve_Q9Y2U8_LEMD3.pdf</v>
      </c>
    </row>
    <row r="6385" spans="1:28" x14ac:dyDescent="0.25">
      <c r="A6385" t="s">
        <v>6389</v>
      </c>
      <c r="B6385">
        <v>0.99472303558308395</v>
      </c>
      <c r="C6385">
        <v>0.79391472061211399</v>
      </c>
      <c r="D6385">
        <v>1.1038482454807499</v>
      </c>
      <c r="E6385">
        <v>0.806681168837317</v>
      </c>
      <c r="F6385">
        <v>0.43358730225806402</v>
      </c>
      <c r="G6385">
        <v>0.30826963939081597</v>
      </c>
      <c r="H6385">
        <v>0.1697017528161</v>
      </c>
      <c r="I6385">
        <v>0.10248958367168599</v>
      </c>
      <c r="J6385">
        <v>0.11841580328845799</v>
      </c>
      <c r="K6385">
        <v>9.7801571931799294E-2</v>
      </c>
      <c r="L6385">
        <v>1059.82717136834</v>
      </c>
      <c r="M6385">
        <v>21.448511507600799</v>
      </c>
      <c r="N6385">
        <v>50.008214082064903</v>
      </c>
      <c r="O6385">
        <v>48.989113816806501</v>
      </c>
      <c r="P6385">
        <v>-9.7120914892133203E-2</v>
      </c>
      <c r="Q6385">
        <v>0.11271243833734</v>
      </c>
      <c r="R6385">
        <v>0.95215840456446399</v>
      </c>
      <c r="S6385" t="s">
        <v>12953</v>
      </c>
      <c r="T6385" t="s">
        <v>13134</v>
      </c>
      <c r="U6385" t="s">
        <v>13134</v>
      </c>
      <c r="V6385" t="s">
        <v>13134</v>
      </c>
      <c r="W6385" t="s">
        <v>19448</v>
      </c>
      <c r="X6385">
        <v>7</v>
      </c>
      <c r="Y6385" t="s">
        <v>25798</v>
      </c>
      <c r="Z6385" t="s">
        <v>32353</v>
      </c>
      <c r="AA6385">
        <v>0.49012739797234062</v>
      </c>
      <c r="AB6385" t="str">
        <f>HYPERLINK("Melting_Curves/meltCurve_Q9Y2V2_CARHSP1.pdf", "Melting_Curves/meltCurve_Q9Y2V2_CARHSP1.pdf")</f>
        <v>Melting_Curves/meltCurve_Q9Y2V2_CARHSP1.pdf</v>
      </c>
    </row>
    <row r="6386" spans="1:28" x14ac:dyDescent="0.25">
      <c r="A6386" t="s">
        <v>6390</v>
      </c>
      <c r="B6386">
        <v>0.99472303558308395</v>
      </c>
      <c r="C6386">
        <v>0.78806281684234802</v>
      </c>
      <c r="D6386">
        <v>0.62317231820959196</v>
      </c>
      <c r="E6386">
        <v>0.345679847834996</v>
      </c>
      <c r="F6386">
        <v>0.25153023728738599</v>
      </c>
      <c r="G6386">
        <v>0.11445036627887201</v>
      </c>
      <c r="H6386">
        <v>9.4799230455681102E-2</v>
      </c>
      <c r="I6386">
        <v>7.5916363226539593E-2</v>
      </c>
      <c r="J6386">
        <v>9.5444434133987996E-2</v>
      </c>
      <c r="K6386">
        <v>8.6128836459676394E-2</v>
      </c>
      <c r="L6386">
        <v>623.51451081925904</v>
      </c>
      <c r="M6386">
        <v>14.167669246817599</v>
      </c>
      <c r="N6386">
        <v>44.4981711878238</v>
      </c>
      <c r="O6386">
        <v>43.1607094087287</v>
      </c>
      <c r="P6386">
        <v>-7.6162900291490698E-2</v>
      </c>
      <c r="Q6386">
        <v>7.2019675142315401E-2</v>
      </c>
      <c r="R6386">
        <v>0.99271469243424504</v>
      </c>
      <c r="S6386" t="s">
        <v>12954</v>
      </c>
      <c r="T6386" t="s">
        <v>13134</v>
      </c>
      <c r="U6386" t="s">
        <v>13134</v>
      </c>
      <c r="V6386" t="s">
        <v>13134</v>
      </c>
      <c r="W6386" t="s">
        <v>19449</v>
      </c>
      <c r="X6386">
        <v>5</v>
      </c>
      <c r="Y6386" t="s">
        <v>25799</v>
      </c>
      <c r="Z6386" t="s">
        <v>32354</v>
      </c>
      <c r="AA6386">
        <v>0.31475255851969869</v>
      </c>
      <c r="AB6386" t="str">
        <f>HYPERLINK("Melting_Curves/meltCurve_Q9Y2V7_2_COG6.pdf", "Melting_Curves/meltCurve_Q9Y2V7_2_COG6.pdf")</f>
        <v>Melting_Curves/meltCurve_Q9Y2V7_2_COG6.pdf</v>
      </c>
    </row>
    <row r="6387" spans="1:28" x14ac:dyDescent="0.25">
      <c r="A6387" t="s">
        <v>6391</v>
      </c>
      <c r="B6387">
        <v>0.99472303558308395</v>
      </c>
      <c r="C6387">
        <v>0.86390887442277897</v>
      </c>
      <c r="D6387">
        <v>0.72827744093534197</v>
      </c>
      <c r="E6387">
        <v>0.55868817021933004</v>
      </c>
      <c r="F6387">
        <v>0.45104617966497701</v>
      </c>
      <c r="G6387">
        <v>0.22044932248882099</v>
      </c>
      <c r="H6387">
        <v>0.15647040114622901</v>
      </c>
      <c r="I6387">
        <v>0.136806174727539</v>
      </c>
      <c r="J6387">
        <v>0.29527734496036201</v>
      </c>
      <c r="K6387">
        <v>0.15118663704740601</v>
      </c>
      <c r="L6387">
        <v>560.22601344750296</v>
      </c>
      <c r="M6387">
        <v>12.139401857906201</v>
      </c>
      <c r="N6387">
        <v>47.504753004094603</v>
      </c>
      <c r="O6387">
        <v>44.950630317137701</v>
      </c>
      <c r="P6387">
        <v>-5.76464775096001E-2</v>
      </c>
      <c r="Q6387">
        <v>0.14636748142578701</v>
      </c>
      <c r="R6387">
        <v>0.96457300454257899</v>
      </c>
      <c r="S6387" t="s">
        <v>12955</v>
      </c>
      <c r="T6387" t="s">
        <v>13134</v>
      </c>
      <c r="U6387" t="s">
        <v>13134</v>
      </c>
      <c r="V6387" t="s">
        <v>13134</v>
      </c>
      <c r="W6387" t="s">
        <v>19450</v>
      </c>
      <c r="X6387">
        <v>18</v>
      </c>
      <c r="Y6387" t="s">
        <v>25800</v>
      </c>
      <c r="Z6387" t="s">
        <v>32355</v>
      </c>
      <c r="AA6387">
        <v>0.43537194457795653</v>
      </c>
      <c r="AB6387" t="str">
        <f>HYPERLINK("Melting_Curves/meltCurve_Q9Y2W1_THRAP3.pdf", "Melting_Curves/meltCurve_Q9Y2W1_THRAP3.pdf")</f>
        <v>Melting_Curves/meltCurve_Q9Y2W1_THRAP3.pdf</v>
      </c>
    </row>
    <row r="6388" spans="1:28" x14ac:dyDescent="0.25">
      <c r="A6388" t="s">
        <v>6392</v>
      </c>
      <c r="B6388">
        <v>0.99472303558308395</v>
      </c>
      <c r="C6388">
        <v>0.90687505707834104</v>
      </c>
      <c r="D6388">
        <v>0.81521005774518496</v>
      </c>
      <c r="E6388">
        <v>0.68207434793349897</v>
      </c>
      <c r="F6388">
        <v>0.66883391088148203</v>
      </c>
      <c r="G6388">
        <v>0.31967955906947698</v>
      </c>
      <c r="H6388">
        <v>0.116346836828671</v>
      </c>
      <c r="I6388">
        <v>6.6365891945063205E-2</v>
      </c>
      <c r="J6388">
        <v>7.4008409943544198E-2</v>
      </c>
      <c r="K6388">
        <v>6.1696215088656602E-2</v>
      </c>
      <c r="L6388">
        <v>598.40305483389602</v>
      </c>
      <c r="M6388">
        <v>11.843685773893601</v>
      </c>
      <c r="N6388">
        <v>50.525072800492502</v>
      </c>
      <c r="O6388">
        <v>49.149237403793499</v>
      </c>
      <c r="P6388">
        <v>-6.0258766265673697E-2</v>
      </c>
      <c r="Q6388">
        <v>0</v>
      </c>
      <c r="R6388">
        <v>0.96807381549709004</v>
      </c>
      <c r="S6388" t="s">
        <v>12956</v>
      </c>
      <c r="T6388" t="s">
        <v>13134</v>
      </c>
      <c r="U6388" t="s">
        <v>13134</v>
      </c>
      <c r="V6388" t="s">
        <v>13134</v>
      </c>
      <c r="W6388" t="s">
        <v>19451</v>
      </c>
      <c r="X6388">
        <v>12</v>
      </c>
      <c r="Y6388" t="s">
        <v>25801</v>
      </c>
      <c r="Z6388" t="s">
        <v>32356</v>
      </c>
      <c r="AA6388">
        <v>0.47821543093655389</v>
      </c>
      <c r="AB6388" t="str">
        <f>HYPERLINK("Melting_Curves/meltCurve_Q9Y2X3_NOP58.pdf", "Melting_Curves/meltCurve_Q9Y2X3_NOP58.pdf")</f>
        <v>Melting_Curves/meltCurve_Q9Y2X3_NOP58.pdf</v>
      </c>
    </row>
    <row r="6389" spans="1:28" x14ac:dyDescent="0.25">
      <c r="A6389" t="s">
        <v>6393</v>
      </c>
      <c r="B6389">
        <v>0.99472303558308395</v>
      </c>
      <c r="C6389">
        <v>0.90980269234340605</v>
      </c>
      <c r="D6389">
        <v>0.77323938946475101</v>
      </c>
      <c r="E6389">
        <v>0.669915848117001</v>
      </c>
      <c r="F6389">
        <v>0.59074892022903402</v>
      </c>
      <c r="G6389">
        <v>0.777702894088804</v>
      </c>
      <c r="H6389">
        <v>0.80749708490893402</v>
      </c>
      <c r="I6389">
        <v>0.54279668610995102</v>
      </c>
      <c r="J6389">
        <v>0.46634496555876997</v>
      </c>
      <c r="K6389">
        <v>0.33152064885492299</v>
      </c>
      <c r="L6389">
        <v>218.90267697667801</v>
      </c>
      <c r="M6389">
        <v>3.4436456799419402</v>
      </c>
      <c r="N6389">
        <v>63.567131343875602</v>
      </c>
      <c r="O6389">
        <v>49.531766488871597</v>
      </c>
      <c r="P6389">
        <v>-1.7737851984275101E-2</v>
      </c>
      <c r="Q6389">
        <v>0</v>
      </c>
      <c r="R6389">
        <v>0.69477107472505595</v>
      </c>
      <c r="S6389" t="s">
        <v>12957</v>
      </c>
      <c r="T6389" t="s">
        <v>13134</v>
      </c>
      <c r="U6389" t="s">
        <v>13134</v>
      </c>
      <c r="V6389" t="s">
        <v>13134</v>
      </c>
      <c r="W6389" t="s">
        <v>19452</v>
      </c>
      <c r="X6389">
        <v>2</v>
      </c>
      <c r="Y6389" t="s">
        <v>25802</v>
      </c>
      <c r="Z6389" t="s">
        <v>32357</v>
      </c>
      <c r="AA6389">
        <v>0.68614985235030601</v>
      </c>
      <c r="AB6389" t="str">
        <f>HYPERLINK("Melting_Curves/meltCurve_Q9Y2Y1_POLR3K.pdf", "Melting_Curves/meltCurve_Q9Y2Y1_POLR3K.pdf")</f>
        <v>Melting_Curves/meltCurve_Q9Y2Y1_POLR3K.pdf</v>
      </c>
    </row>
    <row r="6390" spans="1:28" x14ac:dyDescent="0.25">
      <c r="A6390" t="s">
        <v>6394</v>
      </c>
      <c r="B6390">
        <v>0.99472303558308395</v>
      </c>
      <c r="C6390">
        <v>1.3724409719286399</v>
      </c>
      <c r="D6390">
        <v>0.84585603485500105</v>
      </c>
      <c r="E6390">
        <v>0.77370039908907995</v>
      </c>
      <c r="F6390">
        <v>0.45127402312645598</v>
      </c>
      <c r="G6390">
        <v>0.377257131669259</v>
      </c>
      <c r="H6390">
        <v>0.23572205760838399</v>
      </c>
      <c r="I6390">
        <v>0.24077560362198899</v>
      </c>
      <c r="J6390">
        <v>8.1104821889355194E-2</v>
      </c>
      <c r="K6390">
        <v>8.3114910421122595E-2</v>
      </c>
      <c r="L6390">
        <v>786.22037912679195</v>
      </c>
      <c r="M6390">
        <v>15.8436760648793</v>
      </c>
      <c r="N6390">
        <v>50.486214528934099</v>
      </c>
      <c r="O6390">
        <v>48.853243952999399</v>
      </c>
      <c r="P6390">
        <v>-7.1469639183405306E-2</v>
      </c>
      <c r="Q6390">
        <v>0.118578546801464</v>
      </c>
      <c r="R6390">
        <v>0.89261754988750497</v>
      </c>
      <c r="S6390" t="s">
        <v>12958</v>
      </c>
      <c r="T6390" t="s">
        <v>13134</v>
      </c>
      <c r="U6390" t="s">
        <v>13134</v>
      </c>
      <c r="V6390" t="s">
        <v>13134</v>
      </c>
      <c r="W6390" t="s">
        <v>19453</v>
      </c>
      <c r="X6390">
        <v>17</v>
      </c>
      <c r="Y6390" t="s">
        <v>25803</v>
      </c>
      <c r="Z6390" t="s">
        <v>32358</v>
      </c>
      <c r="AA6390">
        <v>0.50661755785536855</v>
      </c>
      <c r="AB6390" t="str">
        <f>HYPERLINK("Melting_Curves/meltCurve_Q9Y2Z0_SUGT1.pdf", "Melting_Curves/meltCurve_Q9Y2Z0_SUGT1.pdf")</f>
        <v>Melting_Curves/meltCurve_Q9Y2Z0_SUGT1.pdf</v>
      </c>
    </row>
    <row r="6391" spans="1:28" x14ac:dyDescent="0.25">
      <c r="A6391" t="s">
        <v>6395</v>
      </c>
      <c r="B6391">
        <v>0.99472303558308395</v>
      </c>
      <c r="C6391">
        <v>1.0086194570215401</v>
      </c>
      <c r="D6391">
        <v>0.96971935791042596</v>
      </c>
      <c r="E6391">
        <v>0.82570384867815405</v>
      </c>
      <c r="F6391">
        <v>0.49940222574190402</v>
      </c>
      <c r="G6391">
        <v>0.249282571765472</v>
      </c>
      <c r="H6391">
        <v>8.2807703883210598E-2</v>
      </c>
      <c r="I6391">
        <v>6.0564575307295303E-2</v>
      </c>
      <c r="J6391">
        <v>7.3432463850297794E-2</v>
      </c>
      <c r="K6391">
        <v>5.7965395456035303E-2</v>
      </c>
      <c r="L6391">
        <v>1030.2887355574801</v>
      </c>
      <c r="M6391">
        <v>20.6019404760798</v>
      </c>
      <c r="N6391">
        <v>50.252610174826501</v>
      </c>
      <c r="O6391">
        <v>49.545269115135099</v>
      </c>
      <c r="P6391">
        <v>-9.9023559652220094E-2</v>
      </c>
      <c r="Q6391">
        <v>4.7466823274004602E-2</v>
      </c>
      <c r="R6391">
        <v>0.998891638021418</v>
      </c>
      <c r="S6391" t="s">
        <v>12959</v>
      </c>
      <c r="T6391" t="s">
        <v>13134</v>
      </c>
      <c r="U6391" t="s">
        <v>13134</v>
      </c>
      <c r="V6391" t="s">
        <v>13134</v>
      </c>
      <c r="W6391" t="s">
        <v>19454</v>
      </c>
      <c r="X6391">
        <v>19</v>
      </c>
      <c r="Y6391" t="s">
        <v>25803</v>
      </c>
      <c r="Z6391" t="s">
        <v>32359</v>
      </c>
      <c r="AA6391">
        <v>0.47243165912982921</v>
      </c>
      <c r="AB6391" t="str">
        <f>HYPERLINK("Melting_Curves/meltCurve_Q9Y2Z0_2_SUGT1.pdf", "Melting_Curves/meltCurve_Q9Y2Z0_2_SUGT1.pdf")</f>
        <v>Melting_Curves/meltCurve_Q9Y2Z0_2_SUGT1.pdf</v>
      </c>
    </row>
    <row r="6392" spans="1:28" x14ac:dyDescent="0.25">
      <c r="A6392" t="s">
        <v>6396</v>
      </c>
      <c r="B6392">
        <v>0.99472303558308395</v>
      </c>
      <c r="C6392">
        <v>0.87593939382499997</v>
      </c>
      <c r="D6392">
        <v>0.83380570149965605</v>
      </c>
      <c r="E6392">
        <v>0.60572967517513898</v>
      </c>
      <c r="F6392">
        <v>0.264141703210381</v>
      </c>
      <c r="G6392">
        <v>0.115048140690911</v>
      </c>
      <c r="H6392">
        <v>5.3222073139228998E-2</v>
      </c>
      <c r="I6392">
        <v>3.44866795272624E-2</v>
      </c>
      <c r="J6392">
        <v>3.1622223195779099E-2</v>
      </c>
      <c r="K6392">
        <v>2.4374868869266E-2</v>
      </c>
      <c r="L6392">
        <v>759.83559448790902</v>
      </c>
      <c r="M6392">
        <v>16.058354844877801</v>
      </c>
      <c r="N6392">
        <v>47.349045378722103</v>
      </c>
      <c r="O6392">
        <v>46.601612705755898</v>
      </c>
      <c r="P6392">
        <v>-8.5689862244385101E-2</v>
      </c>
      <c r="Q6392">
        <v>5.3833194816906103E-3</v>
      </c>
      <c r="R6392">
        <v>0.99391693787536295</v>
      </c>
      <c r="S6392" t="s">
        <v>12960</v>
      </c>
      <c r="T6392" t="s">
        <v>13134</v>
      </c>
      <c r="U6392" t="s">
        <v>13134</v>
      </c>
      <c r="V6392" t="s">
        <v>13134</v>
      </c>
      <c r="W6392" t="s">
        <v>19455</v>
      </c>
      <c r="X6392">
        <v>10</v>
      </c>
      <c r="Y6392" t="s">
        <v>25804</v>
      </c>
      <c r="Z6392" t="s">
        <v>32360</v>
      </c>
      <c r="AA6392">
        <v>0.36712548468373157</v>
      </c>
      <c r="AB6392" t="str">
        <f>HYPERLINK("Melting_Curves/meltCurve_Q9Y2Z2_5_MTO1.pdf", "Melting_Curves/meltCurve_Q9Y2Z2_5_MTO1.pdf")</f>
        <v>Melting_Curves/meltCurve_Q9Y2Z2_5_MTO1.pdf</v>
      </c>
    </row>
    <row r="6393" spans="1:28" x14ac:dyDescent="0.25">
      <c r="A6393" t="s">
        <v>6397</v>
      </c>
      <c r="B6393">
        <v>0.99472303558308395</v>
      </c>
      <c r="C6393">
        <v>0.82586574482070096</v>
      </c>
      <c r="D6393">
        <v>0.93558508709010502</v>
      </c>
      <c r="E6393">
        <v>0.51797192328582997</v>
      </c>
      <c r="F6393">
        <v>0.29949176020314799</v>
      </c>
      <c r="G6393">
        <v>0.189152901180105</v>
      </c>
      <c r="H6393">
        <v>0.129638985161103</v>
      </c>
      <c r="I6393">
        <v>0.107494566315812</v>
      </c>
      <c r="J6393">
        <v>0.141062052781005</v>
      </c>
      <c r="K6393">
        <v>0.109591569956612</v>
      </c>
      <c r="L6393">
        <v>888.78668619158498</v>
      </c>
      <c r="M6393">
        <v>19.090159715945799</v>
      </c>
      <c r="N6393">
        <v>47.198433047050401</v>
      </c>
      <c r="O6393">
        <v>46.055450022783198</v>
      </c>
      <c r="P6393">
        <v>-9.1794744351604396E-2</v>
      </c>
      <c r="Q6393">
        <v>0.114206597566764</v>
      </c>
      <c r="R6393">
        <v>0.97555691546360002</v>
      </c>
      <c r="S6393" t="s">
        <v>12961</v>
      </c>
      <c r="T6393" t="s">
        <v>13134</v>
      </c>
      <c r="U6393" t="s">
        <v>13134</v>
      </c>
      <c r="V6393" t="s">
        <v>13134</v>
      </c>
      <c r="W6393" t="s">
        <v>19456</v>
      </c>
      <c r="X6393">
        <v>10</v>
      </c>
      <c r="Y6393" t="s">
        <v>25805</v>
      </c>
      <c r="Z6393" t="s">
        <v>32361</v>
      </c>
      <c r="AA6393">
        <v>0.40910310158848268</v>
      </c>
      <c r="AB6393" t="str">
        <f>HYPERLINK("Melting_Curves/meltCurve_Q9Y2Z4_YARS2.pdf", "Melting_Curves/meltCurve_Q9Y2Z4_YARS2.pdf")</f>
        <v>Melting_Curves/meltCurve_Q9Y2Z4_YARS2.pdf</v>
      </c>
    </row>
    <row r="6394" spans="1:28" x14ac:dyDescent="0.25">
      <c r="A6394" t="s">
        <v>6398</v>
      </c>
      <c r="B6394">
        <v>0.99472303558308395</v>
      </c>
      <c r="C6394">
        <v>1.04195649094681</v>
      </c>
      <c r="D6394">
        <v>0.86247474913338895</v>
      </c>
      <c r="E6394">
        <v>0.69105321009748799</v>
      </c>
      <c r="F6394">
        <v>0.95043641281804303</v>
      </c>
      <c r="G6394">
        <v>0.57270982722275399</v>
      </c>
      <c r="H6394">
        <v>0.42764170612743002</v>
      </c>
      <c r="I6394">
        <v>0.149632064711792</v>
      </c>
      <c r="J6394">
        <v>0.22286492380425499</v>
      </c>
      <c r="K6394">
        <v>0.28246098751434301</v>
      </c>
      <c r="L6394">
        <v>629.61482362388301</v>
      </c>
      <c r="M6394">
        <v>11.579119639424601</v>
      </c>
      <c r="N6394">
        <v>55.395697433860299</v>
      </c>
      <c r="O6394">
        <v>52.829109223621302</v>
      </c>
      <c r="P6394">
        <v>-4.9545126231934501E-2</v>
      </c>
      <c r="Q6394">
        <v>9.6062326435771103E-2</v>
      </c>
      <c r="R6394">
        <v>0.88168562248569604</v>
      </c>
      <c r="S6394" t="s">
        <v>12962</v>
      </c>
      <c r="T6394" t="s">
        <v>13134</v>
      </c>
      <c r="U6394" t="s">
        <v>13134</v>
      </c>
      <c r="V6394" t="s">
        <v>13134</v>
      </c>
      <c r="W6394" t="s">
        <v>19457</v>
      </c>
      <c r="X6394">
        <v>3</v>
      </c>
      <c r="Y6394" t="s">
        <v>25806</v>
      </c>
      <c r="Z6394" t="s">
        <v>32362</v>
      </c>
      <c r="AA6394">
        <v>0.634553173641215</v>
      </c>
      <c r="AB6394" t="str">
        <f>HYPERLINK("Melting_Curves/meltCurve_Q9Y2Z9_3_COQ6.pdf", "Melting_Curves/meltCurve_Q9Y2Z9_3_COQ6.pdf")</f>
        <v>Melting_Curves/meltCurve_Q9Y2Z9_3_COQ6.pdf</v>
      </c>
    </row>
    <row r="6395" spans="1:28" x14ac:dyDescent="0.25">
      <c r="A6395" t="s">
        <v>6399</v>
      </c>
      <c r="B6395">
        <v>0.99472303558308395</v>
      </c>
      <c r="C6395">
        <v>0.90283353572875402</v>
      </c>
      <c r="D6395">
        <v>0.92305458209375202</v>
      </c>
      <c r="E6395">
        <v>0.80530078078737199</v>
      </c>
      <c r="F6395">
        <v>0.79369341275341798</v>
      </c>
      <c r="G6395">
        <v>0.41863743076475302</v>
      </c>
      <c r="H6395">
        <v>0.14430469917288899</v>
      </c>
      <c r="I6395">
        <v>7.8914118550314494E-2</v>
      </c>
      <c r="J6395">
        <v>5.39402713031404E-2</v>
      </c>
      <c r="K6395">
        <v>6.1417092664858702E-2</v>
      </c>
      <c r="L6395">
        <v>919.66538375059304</v>
      </c>
      <c r="M6395">
        <v>17.4426636678892</v>
      </c>
      <c r="N6395">
        <v>52.753674190628203</v>
      </c>
      <c r="O6395">
        <v>52.046681257998998</v>
      </c>
      <c r="P6395">
        <v>-8.3394081281101096E-2</v>
      </c>
      <c r="Q6395">
        <v>4.7064264408455802E-3</v>
      </c>
      <c r="R6395">
        <v>0.97649507425899096</v>
      </c>
      <c r="S6395" t="s">
        <v>12963</v>
      </c>
      <c r="T6395" t="s">
        <v>13134</v>
      </c>
      <c r="U6395" t="s">
        <v>13134</v>
      </c>
      <c r="V6395" t="s">
        <v>13134</v>
      </c>
      <c r="W6395" t="s">
        <v>19458</v>
      </c>
      <c r="X6395">
        <v>7</v>
      </c>
      <c r="Y6395" t="s">
        <v>25807</v>
      </c>
      <c r="Z6395" t="s">
        <v>32363</v>
      </c>
      <c r="AA6395">
        <v>0.54167188858239024</v>
      </c>
      <c r="AB6395" t="str">
        <f>HYPERLINK("Melting_Curves/meltCurve_Q9Y303_AMDHD2.pdf", "Melting_Curves/meltCurve_Q9Y303_AMDHD2.pdf")</f>
        <v>Melting_Curves/meltCurve_Q9Y303_AMDHD2.pdf</v>
      </c>
    </row>
    <row r="6396" spans="1:28" x14ac:dyDescent="0.25">
      <c r="A6396" t="s">
        <v>6400</v>
      </c>
      <c r="B6396">
        <v>0.99472303558308395</v>
      </c>
      <c r="C6396">
        <v>0.90719600899074104</v>
      </c>
      <c r="D6396">
        <v>0.79207169422629398</v>
      </c>
      <c r="E6396">
        <v>0.60526424064590101</v>
      </c>
      <c r="F6396">
        <v>0.15762592734904199</v>
      </c>
      <c r="G6396">
        <v>0.340316332141408</v>
      </c>
      <c r="H6396">
        <v>0</v>
      </c>
      <c r="I6396">
        <v>0</v>
      </c>
      <c r="J6396">
        <v>0</v>
      </c>
      <c r="K6396">
        <v>0</v>
      </c>
      <c r="L6396">
        <v>674.49717382523102</v>
      </c>
      <c r="M6396">
        <v>14.2927812552766</v>
      </c>
      <c r="N6396">
        <v>47.191454116139198</v>
      </c>
      <c r="O6396">
        <v>46.296477307322299</v>
      </c>
      <c r="P6396">
        <v>-7.7190124920020503E-2</v>
      </c>
      <c r="Q6396">
        <v>0</v>
      </c>
      <c r="R6396">
        <v>0.95421310288855099</v>
      </c>
      <c r="S6396" t="s">
        <v>12964</v>
      </c>
      <c r="T6396" t="s">
        <v>13134</v>
      </c>
      <c r="U6396" t="s">
        <v>13134</v>
      </c>
      <c r="V6396" t="s">
        <v>13134</v>
      </c>
      <c r="W6396" t="s">
        <v>19459</v>
      </c>
      <c r="X6396">
        <v>8</v>
      </c>
      <c r="Y6396" t="s">
        <v>25807</v>
      </c>
      <c r="Z6396" t="s">
        <v>32364</v>
      </c>
      <c r="AA6396">
        <v>0.36411049679619878</v>
      </c>
      <c r="AB6396" t="str">
        <f>HYPERLINK("Melting_Curves/meltCurve_Q9Y303_2_AMDHD2.pdf", "Melting_Curves/meltCurve_Q9Y303_2_AMDHD2.pdf")</f>
        <v>Melting_Curves/meltCurve_Q9Y303_2_AMDHD2.pdf</v>
      </c>
    </row>
    <row r="6397" spans="1:28" x14ac:dyDescent="0.25">
      <c r="A6397" t="s">
        <v>6401</v>
      </c>
      <c r="B6397">
        <v>0.99472303558308395</v>
      </c>
      <c r="C6397">
        <v>0.96540207161561598</v>
      </c>
      <c r="D6397">
        <v>0.84601230356863899</v>
      </c>
      <c r="E6397">
        <v>0.74518406332313303</v>
      </c>
      <c r="F6397">
        <v>0.69071517878216704</v>
      </c>
      <c r="G6397">
        <v>0.18910705367182201</v>
      </c>
      <c r="H6397">
        <v>0.16132757439842099</v>
      </c>
      <c r="I6397">
        <v>8.1204725709469905E-2</v>
      </c>
      <c r="J6397">
        <v>8.5621884986833804E-2</v>
      </c>
      <c r="K6397">
        <v>7.7388879859897494E-2</v>
      </c>
      <c r="L6397">
        <v>753.56431182412496</v>
      </c>
      <c r="M6397">
        <v>14.8993415836885</v>
      </c>
      <c r="N6397">
        <v>50.751089674568597</v>
      </c>
      <c r="O6397">
        <v>49.692138472660403</v>
      </c>
      <c r="P6397">
        <v>-7.3098739651859701E-2</v>
      </c>
      <c r="Q6397">
        <v>2.4908318748609701E-2</v>
      </c>
      <c r="R6397">
        <v>0.96586931446171698</v>
      </c>
      <c r="S6397" t="s">
        <v>12965</v>
      </c>
      <c r="T6397" t="s">
        <v>13134</v>
      </c>
      <c r="U6397" t="s">
        <v>13134</v>
      </c>
      <c r="V6397" t="s">
        <v>13134</v>
      </c>
      <c r="W6397" t="s">
        <v>19460</v>
      </c>
      <c r="X6397">
        <v>13</v>
      </c>
      <c r="Y6397" t="s">
        <v>25808</v>
      </c>
      <c r="Z6397" t="s">
        <v>32365</v>
      </c>
      <c r="AA6397">
        <v>0.48635893401481117</v>
      </c>
      <c r="AB6397" t="str">
        <f>HYPERLINK("Melting_Curves/meltCurve_Q9Y305_ACOT9.pdf", "Melting_Curves/meltCurve_Q9Y305_ACOT9.pdf")</f>
        <v>Melting_Curves/meltCurve_Q9Y305_ACOT9.pdf</v>
      </c>
    </row>
    <row r="6398" spans="1:28" x14ac:dyDescent="0.25">
      <c r="A6398" t="s">
        <v>6402</v>
      </c>
      <c r="B6398">
        <v>0.99472303558308395</v>
      </c>
      <c r="C6398">
        <v>1.0335374808840401</v>
      </c>
      <c r="D6398">
        <v>0.96566683018644806</v>
      </c>
      <c r="E6398">
        <v>0.59716797315497805</v>
      </c>
      <c r="F6398">
        <v>0.12241982904522</v>
      </c>
      <c r="G6398">
        <v>8.1128268304341403E-2</v>
      </c>
      <c r="H6398">
        <v>4.8349551450708801E-2</v>
      </c>
      <c r="I6398">
        <v>3.6987918779050603E-2</v>
      </c>
      <c r="J6398">
        <v>4.3322206202739098E-2</v>
      </c>
      <c r="K6398">
        <v>3.7684767564037103E-2</v>
      </c>
      <c r="L6398">
        <v>1734.9629241975899</v>
      </c>
      <c r="M6398">
        <v>36.923768852680404</v>
      </c>
      <c r="N6398">
        <v>47.111934949371097</v>
      </c>
      <c r="O6398">
        <v>46.8505109581345</v>
      </c>
      <c r="P6398">
        <v>-0.187890269956419</v>
      </c>
      <c r="Q6398">
        <v>4.63887797311128E-2</v>
      </c>
      <c r="R6398">
        <v>0.99880890251932197</v>
      </c>
      <c r="S6398" t="s">
        <v>12966</v>
      </c>
      <c r="T6398" t="s">
        <v>13134</v>
      </c>
      <c r="U6398" t="s">
        <v>13134</v>
      </c>
      <c r="V6398" t="s">
        <v>13134</v>
      </c>
      <c r="W6398" t="s">
        <v>19461</v>
      </c>
      <c r="X6398">
        <v>15</v>
      </c>
      <c r="Y6398" t="s">
        <v>25809</v>
      </c>
      <c r="Z6398" t="s">
        <v>32366</v>
      </c>
      <c r="AA6398">
        <v>0.36750937399366967</v>
      </c>
      <c r="AB6398" t="str">
        <f>HYPERLINK("Melting_Curves/meltCurve_Q9Y314_NOSIP.pdf", "Melting_Curves/meltCurve_Q9Y314_NOSIP.pdf")</f>
        <v>Melting_Curves/meltCurve_Q9Y314_NOSIP.pdf</v>
      </c>
    </row>
    <row r="6399" spans="1:28" x14ac:dyDescent="0.25">
      <c r="A6399" t="s">
        <v>6403</v>
      </c>
      <c r="B6399">
        <v>0.99472303558308395</v>
      </c>
      <c r="C6399">
        <v>0.98294991573507795</v>
      </c>
      <c r="D6399">
        <v>0.98191039103811995</v>
      </c>
      <c r="E6399">
        <v>0.85638397472730099</v>
      </c>
      <c r="F6399">
        <v>0.55607378360944004</v>
      </c>
      <c r="G6399">
        <v>0.26739494352639798</v>
      </c>
      <c r="H6399">
        <v>8.4280850420344403E-2</v>
      </c>
      <c r="I6399">
        <v>6.2558961111638806E-2</v>
      </c>
      <c r="J6399">
        <v>5.8202583468938897E-2</v>
      </c>
      <c r="K6399">
        <v>5.1797138200680097E-2</v>
      </c>
      <c r="L6399">
        <v>1057.5950864466299</v>
      </c>
      <c r="M6399">
        <v>20.9098494331854</v>
      </c>
      <c r="N6399">
        <v>50.771103463682302</v>
      </c>
      <c r="O6399">
        <v>50.123004776157003</v>
      </c>
      <c r="P6399">
        <v>-0.100325058970822</v>
      </c>
      <c r="Q6399">
        <v>3.8069376326050099E-2</v>
      </c>
      <c r="R6399">
        <v>0.99914301308782805</v>
      </c>
      <c r="S6399" t="s">
        <v>12967</v>
      </c>
      <c r="T6399" t="s">
        <v>13134</v>
      </c>
      <c r="U6399" t="s">
        <v>13134</v>
      </c>
      <c r="V6399" t="s">
        <v>13134</v>
      </c>
      <c r="W6399" t="s">
        <v>19462</v>
      </c>
      <c r="X6399">
        <v>11</v>
      </c>
      <c r="Y6399" t="s">
        <v>25810</v>
      </c>
      <c r="Z6399" t="s">
        <v>32367</v>
      </c>
      <c r="AA6399">
        <v>0.48516722425080883</v>
      </c>
      <c r="AB6399" t="str">
        <f>HYPERLINK("Melting_Curves/meltCurve_Q9Y316_MEMO1.pdf", "Melting_Curves/meltCurve_Q9Y316_MEMO1.pdf")</f>
        <v>Melting_Curves/meltCurve_Q9Y316_MEMO1.pdf</v>
      </c>
    </row>
    <row r="6400" spans="1:28" x14ac:dyDescent="0.25">
      <c r="A6400" t="s">
        <v>6404</v>
      </c>
      <c r="B6400">
        <v>0.99472303558308395</v>
      </c>
      <c r="C6400">
        <v>0.86031764457584003</v>
      </c>
      <c r="D6400">
        <v>0.84607175101897003</v>
      </c>
      <c r="E6400">
        <v>0.706422892347914</v>
      </c>
      <c r="F6400">
        <v>0.53376635425596997</v>
      </c>
      <c r="G6400">
        <v>0.30609318192990898</v>
      </c>
      <c r="H6400">
        <v>9.9628022298238597E-2</v>
      </c>
      <c r="I6400">
        <v>4.6573782799554202E-2</v>
      </c>
      <c r="J6400">
        <v>5.2761068961083103E-2</v>
      </c>
      <c r="K6400">
        <v>4.11944931315502E-2</v>
      </c>
      <c r="L6400">
        <v>619.971656893523</v>
      </c>
      <c r="M6400">
        <v>12.446965710979599</v>
      </c>
      <c r="N6400">
        <v>49.809073303821897</v>
      </c>
      <c r="O6400">
        <v>48.5757910619539</v>
      </c>
      <c r="P6400">
        <v>-6.4072911878915603E-2</v>
      </c>
      <c r="Q6400">
        <v>0</v>
      </c>
      <c r="R6400">
        <v>0.984786267638882</v>
      </c>
      <c r="S6400" t="s">
        <v>12968</v>
      </c>
      <c r="T6400" t="s">
        <v>13134</v>
      </c>
      <c r="U6400" t="s">
        <v>13134</v>
      </c>
      <c r="V6400" t="s">
        <v>13134</v>
      </c>
      <c r="W6400" t="s">
        <v>19463</v>
      </c>
      <c r="X6400">
        <v>11</v>
      </c>
      <c r="Y6400" t="s">
        <v>25811</v>
      </c>
      <c r="Z6400" t="s">
        <v>32368</v>
      </c>
      <c r="AA6400">
        <v>0.45406682840220991</v>
      </c>
      <c r="AB6400" t="str">
        <f>HYPERLINK("Melting_Curves/meltCurve_Q9Y320_2_TMX2.pdf", "Melting_Curves/meltCurve_Q9Y320_2_TMX2.pdf")</f>
        <v>Melting_Curves/meltCurve_Q9Y320_2_TMX2.pdf</v>
      </c>
    </row>
    <row r="6401" spans="1:28" x14ac:dyDescent="0.25">
      <c r="A6401" t="s">
        <v>6405</v>
      </c>
      <c r="B6401">
        <v>0.99472303558308395</v>
      </c>
      <c r="C6401">
        <v>0.97147543038193096</v>
      </c>
      <c r="D6401">
        <v>1.00858838363119</v>
      </c>
      <c r="E6401">
        <v>1.04468199279656</v>
      </c>
      <c r="F6401">
        <v>1.0192662026693999</v>
      </c>
      <c r="G6401">
        <v>0.86544041636656999</v>
      </c>
      <c r="H6401">
        <v>0.86061911489208098</v>
      </c>
      <c r="I6401">
        <v>0.92021757197250498</v>
      </c>
      <c r="J6401">
        <v>1.2010235022235201</v>
      </c>
      <c r="K6401">
        <v>1.00384673578834</v>
      </c>
      <c r="L6401">
        <v>1504.7636138033699</v>
      </c>
      <c r="M6401">
        <v>23.354578374922799</v>
      </c>
      <c r="O6401">
        <v>63.964377083435203</v>
      </c>
      <c r="P6401">
        <v>8.2789410697848408E-3</v>
      </c>
      <c r="Q6401">
        <v>1.0906970897974999</v>
      </c>
      <c r="R6401">
        <v>6.2400429157434802E-2</v>
      </c>
      <c r="S6401" t="s">
        <v>12969</v>
      </c>
      <c r="T6401" t="s">
        <v>13134</v>
      </c>
      <c r="U6401" t="s">
        <v>13134</v>
      </c>
      <c r="V6401" t="s">
        <v>13134</v>
      </c>
      <c r="W6401" t="s">
        <v>19464</v>
      </c>
      <c r="X6401">
        <v>6</v>
      </c>
      <c r="Y6401" t="s">
        <v>25812</v>
      </c>
      <c r="Z6401" t="s">
        <v>32369</v>
      </c>
      <c r="AA6401">
        <v>1.0099996258396711</v>
      </c>
      <c r="AB6401" t="str">
        <f>HYPERLINK("Melting_Curves/meltCurve_Q9Y333_LSM2.pdf", "Melting_Curves/meltCurve_Q9Y333_LSM2.pdf")</f>
        <v>Melting_Curves/meltCurve_Q9Y333_LSM2.pdf</v>
      </c>
    </row>
    <row r="6402" spans="1:28" x14ac:dyDescent="0.25">
      <c r="A6402" t="s">
        <v>6406</v>
      </c>
      <c r="B6402">
        <v>0.99472303558308395</v>
      </c>
      <c r="C6402">
        <v>0.92287153915115805</v>
      </c>
      <c r="D6402">
        <v>0.97409597499030798</v>
      </c>
      <c r="E6402">
        <v>0.43639230086354203</v>
      </c>
      <c r="F6402">
        <v>8.0688858894298499E-2</v>
      </c>
      <c r="G6402">
        <v>5.1149782786137903E-2</v>
      </c>
      <c r="H6402">
        <v>3.1448203564324699E-2</v>
      </c>
      <c r="I6402">
        <v>3.1108090951173398E-2</v>
      </c>
      <c r="J6402">
        <v>4.5235443461945503E-2</v>
      </c>
      <c r="K6402">
        <v>3.1808454432188597E-2</v>
      </c>
      <c r="L6402">
        <v>1959.5285683499501</v>
      </c>
      <c r="M6402">
        <v>42.387299178344499</v>
      </c>
      <c r="N6402">
        <v>46.318119652465001</v>
      </c>
      <c r="O6402">
        <v>46.126600419087197</v>
      </c>
      <c r="P6402">
        <v>-0.22075153146047299</v>
      </c>
      <c r="Q6402">
        <v>3.9098804227800897E-2</v>
      </c>
      <c r="R6402">
        <v>0.99626063948784105</v>
      </c>
      <c r="S6402" t="s">
        <v>12970</v>
      </c>
      <c r="T6402" t="s">
        <v>13134</v>
      </c>
      <c r="U6402" t="s">
        <v>13134</v>
      </c>
      <c r="V6402" t="s">
        <v>13134</v>
      </c>
      <c r="W6402" t="s">
        <v>19465</v>
      </c>
      <c r="X6402">
        <v>10</v>
      </c>
      <c r="Y6402" t="s">
        <v>25813</v>
      </c>
      <c r="Z6402" t="s">
        <v>32370</v>
      </c>
      <c r="AA6402">
        <v>0.3374416029008101</v>
      </c>
      <c r="AB6402" t="str">
        <f>HYPERLINK("Melting_Curves/meltCurve_Q9Y371_SH3GLB1.pdf", "Melting_Curves/meltCurve_Q9Y371_SH3GLB1.pdf")</f>
        <v>Melting_Curves/meltCurve_Q9Y371_SH3GLB1.pdf</v>
      </c>
    </row>
    <row r="6403" spans="1:28" x14ac:dyDescent="0.25">
      <c r="A6403" t="s">
        <v>6407</v>
      </c>
      <c r="B6403">
        <v>0.99472303558308395</v>
      </c>
      <c r="C6403">
        <v>0.954803350421639</v>
      </c>
      <c r="D6403">
        <v>0.87218512584556496</v>
      </c>
      <c r="E6403">
        <v>0.60019449440762895</v>
      </c>
      <c r="F6403">
        <v>0.46141611288460199</v>
      </c>
      <c r="G6403">
        <v>0.27689684562295802</v>
      </c>
      <c r="H6403">
        <v>0.17434441339482801</v>
      </c>
      <c r="I6403">
        <v>0.113958962150565</v>
      </c>
      <c r="J6403">
        <v>9.7895806308425898E-2</v>
      </c>
      <c r="K6403">
        <v>6.8981630427469007E-2</v>
      </c>
      <c r="L6403">
        <v>601.57590864685096</v>
      </c>
      <c r="M6403">
        <v>12.355621254988799</v>
      </c>
      <c r="N6403">
        <v>49.072345445825498</v>
      </c>
      <c r="O6403">
        <v>47.465765237507902</v>
      </c>
      <c r="P6403">
        <v>-6.2091885828854901E-2</v>
      </c>
      <c r="Q6403">
        <v>4.6068329856938497E-2</v>
      </c>
      <c r="R6403">
        <v>0.99624442038709005</v>
      </c>
      <c r="S6403" t="s">
        <v>12971</v>
      </c>
      <c r="T6403" t="s">
        <v>13134</v>
      </c>
      <c r="U6403" t="s">
        <v>13134</v>
      </c>
      <c r="V6403" t="s">
        <v>13134</v>
      </c>
      <c r="W6403" t="s">
        <v>19466</v>
      </c>
      <c r="X6403">
        <v>3</v>
      </c>
      <c r="Y6403" t="s">
        <v>25814</v>
      </c>
      <c r="Z6403" t="s">
        <v>32371</v>
      </c>
      <c r="AA6403">
        <v>0.44542341007534569</v>
      </c>
      <c r="AB6403" t="str">
        <f>HYPERLINK("Melting_Curves/meltCurve_Q9Y375_NDUFAF1.pdf", "Melting_Curves/meltCurve_Q9Y375_NDUFAF1.pdf")</f>
        <v>Melting_Curves/meltCurve_Q9Y375_NDUFAF1.pdf</v>
      </c>
    </row>
    <row r="6404" spans="1:28" x14ac:dyDescent="0.25">
      <c r="A6404" t="s">
        <v>6408</v>
      </c>
      <c r="B6404">
        <v>0.99472303558308395</v>
      </c>
      <c r="C6404">
        <v>0.99865427894363101</v>
      </c>
      <c r="D6404">
        <v>1.01437295644185</v>
      </c>
      <c r="E6404">
        <v>0.96841099393327501</v>
      </c>
      <c r="F6404">
        <v>0.75777802666982297</v>
      </c>
      <c r="G6404">
        <v>0.655097305914491</v>
      </c>
      <c r="H6404">
        <v>0.36953460681263001</v>
      </c>
      <c r="I6404">
        <v>8.9482467381145098E-2</v>
      </c>
      <c r="J6404">
        <v>7.1169364453352396E-2</v>
      </c>
      <c r="K6404">
        <v>7.2125670450771798E-2</v>
      </c>
      <c r="L6404">
        <v>933.76122663092201</v>
      </c>
      <c r="M6404">
        <v>16.945645317526701</v>
      </c>
      <c r="N6404">
        <v>55.103316138582201</v>
      </c>
      <c r="O6404">
        <v>54.353095411797497</v>
      </c>
      <c r="P6404">
        <v>-7.7947289412788501E-2</v>
      </c>
      <c r="Q6404">
        <v>0</v>
      </c>
      <c r="R6404">
        <v>0.988476092727262</v>
      </c>
      <c r="S6404" t="s">
        <v>12972</v>
      </c>
      <c r="T6404" t="s">
        <v>13134</v>
      </c>
      <c r="U6404" t="s">
        <v>13134</v>
      </c>
      <c r="V6404" t="s">
        <v>13134</v>
      </c>
      <c r="W6404" t="s">
        <v>19467</v>
      </c>
      <c r="X6404">
        <v>19</v>
      </c>
      <c r="Y6404" t="s">
        <v>25815</v>
      </c>
      <c r="Z6404" t="s">
        <v>32372</v>
      </c>
      <c r="AA6404">
        <v>0.6164530207379928</v>
      </c>
      <c r="AB6404" t="str">
        <f>HYPERLINK("Melting_Curves/meltCurve_Q9Y376_CAB39.pdf", "Melting_Curves/meltCurve_Q9Y376_CAB39.pdf")</f>
        <v>Melting_Curves/meltCurve_Q9Y376_CAB39.pdf</v>
      </c>
    </row>
    <row r="6405" spans="1:28" x14ac:dyDescent="0.25">
      <c r="A6405" t="s">
        <v>6409</v>
      </c>
      <c r="B6405">
        <v>0.99472303558308395</v>
      </c>
      <c r="C6405">
        <v>0.95790599712254898</v>
      </c>
      <c r="D6405">
        <v>1.01017690877707</v>
      </c>
      <c r="E6405">
        <v>0.86354897911932105</v>
      </c>
      <c r="F6405">
        <v>0.43731254684842802</v>
      </c>
      <c r="G6405">
        <v>0.132660319515544</v>
      </c>
      <c r="H6405">
        <v>6.5348461808504898E-2</v>
      </c>
      <c r="I6405">
        <v>4.4925146223092398E-2</v>
      </c>
      <c r="J6405">
        <v>5.4752705638051999E-2</v>
      </c>
      <c r="K6405">
        <v>4.6879763495775197E-2</v>
      </c>
      <c r="L6405">
        <v>1434.374918922</v>
      </c>
      <c r="M6405">
        <v>28.948171773088202</v>
      </c>
      <c r="N6405">
        <v>49.718467014907397</v>
      </c>
      <c r="O6405">
        <v>49.315110039312202</v>
      </c>
      <c r="P6405">
        <v>-0.139887149049646</v>
      </c>
      <c r="Q6405">
        <v>4.6779455219898097E-2</v>
      </c>
      <c r="R6405">
        <v>0.99869532702631103</v>
      </c>
      <c r="S6405" t="s">
        <v>12973</v>
      </c>
      <c r="T6405" t="s">
        <v>13134</v>
      </c>
      <c r="U6405" t="s">
        <v>13134</v>
      </c>
      <c r="V6405" t="s">
        <v>13134</v>
      </c>
      <c r="W6405" t="s">
        <v>19468</v>
      </c>
      <c r="X6405">
        <v>36</v>
      </c>
      <c r="Y6405" t="s">
        <v>25816</v>
      </c>
      <c r="Z6405" t="s">
        <v>32373</v>
      </c>
      <c r="AA6405">
        <v>0.45176550239356039</v>
      </c>
      <c r="AB6405" t="str">
        <f>HYPERLINK("Melting_Curves/meltCurve_Q9Y383_LUC7L2.pdf", "Melting_Curves/meltCurve_Q9Y383_LUC7L2.pdf")</f>
        <v>Melting_Curves/meltCurve_Q9Y383_LUC7L2.pdf</v>
      </c>
    </row>
    <row r="6406" spans="1:28" x14ac:dyDescent="0.25">
      <c r="A6406" t="s">
        <v>6410</v>
      </c>
      <c r="B6406">
        <v>0.99472303558308395</v>
      </c>
      <c r="C6406">
        <v>1.0170229620004101</v>
      </c>
      <c r="D6406">
        <v>0.87376082152484902</v>
      </c>
      <c r="E6406">
        <v>0.75575765545698403</v>
      </c>
      <c r="F6406">
        <v>0.411970789505609</v>
      </c>
      <c r="G6406">
        <v>0.164625649579176</v>
      </c>
      <c r="H6406">
        <v>0.105459467758866</v>
      </c>
      <c r="I6406">
        <v>8.3223524332218898E-2</v>
      </c>
      <c r="J6406">
        <v>7.1922130316799199E-2</v>
      </c>
      <c r="K6406">
        <v>6.8561892090742801E-2</v>
      </c>
      <c r="L6406">
        <v>948.98528168095697</v>
      </c>
      <c r="M6406">
        <v>19.445430560848799</v>
      </c>
      <c r="N6406">
        <v>49.1150573615326</v>
      </c>
      <c r="O6406">
        <v>48.295136072058803</v>
      </c>
      <c r="P6406">
        <v>-9.4804337398900401E-2</v>
      </c>
      <c r="Q6406">
        <v>5.82008033297726E-2</v>
      </c>
      <c r="R6406">
        <v>0.99590101093224503</v>
      </c>
      <c r="S6406" t="s">
        <v>12974</v>
      </c>
      <c r="T6406" t="s">
        <v>13134</v>
      </c>
      <c r="U6406" t="s">
        <v>13134</v>
      </c>
      <c r="V6406" t="s">
        <v>13134</v>
      </c>
      <c r="W6406" t="s">
        <v>19469</v>
      </c>
      <c r="X6406">
        <v>3</v>
      </c>
      <c r="Y6406" t="s">
        <v>25817</v>
      </c>
      <c r="Z6406" t="s">
        <v>32374</v>
      </c>
      <c r="AA6406">
        <v>0.44177732032632427</v>
      </c>
      <c r="AB6406" t="str">
        <f>HYPERLINK("Melting_Curves/meltCurve_Q9Y385_UBE2J1.pdf", "Melting_Curves/meltCurve_Q9Y385_UBE2J1.pdf")</f>
        <v>Melting_Curves/meltCurve_Q9Y385_UBE2J1.pdf</v>
      </c>
    </row>
    <row r="6407" spans="1:28" x14ac:dyDescent="0.25">
      <c r="A6407" t="s">
        <v>6411</v>
      </c>
      <c r="B6407">
        <v>0.99472303558308395</v>
      </c>
      <c r="C6407">
        <v>0.90017828025623303</v>
      </c>
      <c r="D6407">
        <v>0.80364349921948497</v>
      </c>
      <c r="E6407">
        <v>0.52503679998500397</v>
      </c>
      <c r="F6407">
        <v>0.251323040686874</v>
      </c>
      <c r="G6407">
        <v>0.12170834269995399</v>
      </c>
      <c r="H6407">
        <v>9.6900648722677701E-2</v>
      </c>
      <c r="I6407">
        <v>5.9452742023026299E-2</v>
      </c>
      <c r="J6407">
        <v>8.1165403994351099E-2</v>
      </c>
      <c r="K6407">
        <v>6.6866781001063996E-2</v>
      </c>
      <c r="L6407">
        <v>772.10315125898296</v>
      </c>
      <c r="M6407">
        <v>16.652856241213399</v>
      </c>
      <c r="N6407">
        <v>46.6884017699007</v>
      </c>
      <c r="O6407">
        <v>45.711494200499402</v>
      </c>
      <c r="P6407">
        <v>-8.6114756090884106E-2</v>
      </c>
      <c r="Q6407">
        <v>5.45356801733285E-2</v>
      </c>
      <c r="R6407">
        <v>0.99768749461259099</v>
      </c>
      <c r="S6407" t="s">
        <v>12975</v>
      </c>
      <c r="T6407" t="s">
        <v>13134</v>
      </c>
      <c r="U6407" t="s">
        <v>13134</v>
      </c>
      <c r="V6407" t="s">
        <v>13134</v>
      </c>
      <c r="W6407" t="s">
        <v>19470</v>
      </c>
      <c r="X6407">
        <v>3</v>
      </c>
      <c r="Y6407" t="s">
        <v>25818</v>
      </c>
      <c r="Z6407" t="s">
        <v>32375</v>
      </c>
      <c r="AA6407">
        <v>0.36738979067221911</v>
      </c>
      <c r="AB6407" t="str">
        <f>HYPERLINK("Melting_Curves/meltCurve_Q9Y388_RBMX2.pdf", "Melting_Curves/meltCurve_Q9Y388_RBMX2.pdf")</f>
        <v>Melting_Curves/meltCurve_Q9Y388_RBMX2.pdf</v>
      </c>
    </row>
    <row r="6408" spans="1:28" x14ac:dyDescent="0.25">
      <c r="A6408" t="s">
        <v>6412</v>
      </c>
      <c r="B6408">
        <v>0.99472303558308395</v>
      </c>
      <c r="C6408">
        <v>0.931025689013951</v>
      </c>
      <c r="D6408">
        <v>0.96281100090545502</v>
      </c>
      <c r="E6408">
        <v>0.92593312262795102</v>
      </c>
      <c r="F6408">
        <v>0.80165800338572502</v>
      </c>
      <c r="G6408">
        <v>0.69467188040570504</v>
      </c>
      <c r="H6408">
        <v>0.59817731577516797</v>
      </c>
      <c r="I6408">
        <v>0.53785280995817097</v>
      </c>
      <c r="J6408">
        <v>0.40089544738208699</v>
      </c>
      <c r="K6408">
        <v>0.15068929030940201</v>
      </c>
      <c r="L6408">
        <v>517.93964287844199</v>
      </c>
      <c r="M6408">
        <v>8.6847482954337707</v>
      </c>
      <c r="N6408">
        <v>59.637829113931502</v>
      </c>
      <c r="O6408">
        <v>56.728942242589397</v>
      </c>
      <c r="P6408">
        <v>-3.8304806900182599E-2</v>
      </c>
      <c r="Q6408">
        <v>0</v>
      </c>
      <c r="R6408">
        <v>0.95548931386886304</v>
      </c>
      <c r="S6408" t="s">
        <v>12976</v>
      </c>
      <c r="T6408" t="s">
        <v>13134</v>
      </c>
      <c r="U6408" t="s">
        <v>13134</v>
      </c>
      <c r="V6408" t="s">
        <v>13134</v>
      </c>
      <c r="W6408" t="s">
        <v>19471</v>
      </c>
      <c r="X6408">
        <v>8</v>
      </c>
      <c r="Y6408" t="s">
        <v>25819</v>
      </c>
      <c r="Z6408" t="s">
        <v>32376</v>
      </c>
      <c r="AA6408">
        <v>0.72178037205853984</v>
      </c>
      <c r="AB6408" t="str">
        <f>HYPERLINK("Melting_Curves/meltCurve_Q9Y394_2_DHRS7.pdf", "Melting_Curves/meltCurve_Q9Y394_2_DHRS7.pdf")</f>
        <v>Melting_Curves/meltCurve_Q9Y394_2_DHRS7.pdf</v>
      </c>
    </row>
    <row r="6409" spans="1:28" x14ac:dyDescent="0.25">
      <c r="A6409" t="s">
        <v>6413</v>
      </c>
      <c r="B6409">
        <v>0.99472303558308395</v>
      </c>
      <c r="C6409">
        <v>1.0997454623698599</v>
      </c>
      <c r="D6409">
        <v>0.93224504079609005</v>
      </c>
      <c r="E6409">
        <v>0.88393972010291899</v>
      </c>
      <c r="F6409">
        <v>0.31853815722848899</v>
      </c>
      <c r="G6409">
        <v>0.13115501067559199</v>
      </c>
      <c r="H6409">
        <v>7.8261493852504402E-2</v>
      </c>
      <c r="I6409">
        <v>1.8480661926914201E-2</v>
      </c>
      <c r="J6409">
        <v>3.6122929679450903E-2</v>
      </c>
      <c r="K6409">
        <v>4.6952422398724901E-2</v>
      </c>
      <c r="L6409">
        <v>1710.42011962727</v>
      </c>
      <c r="M6409">
        <v>34.914318285952398</v>
      </c>
      <c r="N6409">
        <v>49.138669734761301</v>
      </c>
      <c r="O6409">
        <v>48.829202067477802</v>
      </c>
      <c r="P6409">
        <v>-0.16974527461494901</v>
      </c>
      <c r="Q6409">
        <v>5.0418696934323902E-2</v>
      </c>
      <c r="R6409">
        <v>0.99068101134583597</v>
      </c>
      <c r="S6409" t="s">
        <v>12977</v>
      </c>
      <c r="T6409" t="s">
        <v>13134</v>
      </c>
      <c r="U6409" t="s">
        <v>13134</v>
      </c>
      <c r="V6409" t="s">
        <v>13134</v>
      </c>
      <c r="W6409" t="s">
        <v>19472</v>
      </c>
      <c r="X6409">
        <v>4</v>
      </c>
      <c r="Y6409" t="s">
        <v>25820</v>
      </c>
      <c r="Z6409" t="s">
        <v>32377</v>
      </c>
      <c r="AA6409">
        <v>0.43413165770721901</v>
      </c>
      <c r="AB6409" t="str">
        <f>HYPERLINK("Melting_Curves/meltCurve_Q9Y399_MRPS2.pdf", "Melting_Curves/meltCurve_Q9Y399_MRPS2.pdf")</f>
        <v>Melting_Curves/meltCurve_Q9Y399_MRPS2.pdf</v>
      </c>
    </row>
    <row r="6410" spans="1:28" x14ac:dyDescent="0.25">
      <c r="A6410" t="s">
        <v>6414</v>
      </c>
      <c r="B6410">
        <v>0.99472303558308395</v>
      </c>
      <c r="C6410">
        <v>0.98201275942972199</v>
      </c>
      <c r="D6410">
        <v>0.76636178834903002</v>
      </c>
      <c r="E6410">
        <v>0.68851955029126699</v>
      </c>
      <c r="F6410">
        <v>0.57583373446972597</v>
      </c>
      <c r="G6410">
        <v>0.25406667199270999</v>
      </c>
      <c r="H6410">
        <v>0.12725484027883799</v>
      </c>
      <c r="I6410">
        <v>8.8621771181600903E-2</v>
      </c>
      <c r="J6410">
        <v>0.110921016405365</v>
      </c>
      <c r="K6410">
        <v>7.7431468266298598E-2</v>
      </c>
      <c r="L6410">
        <v>570.62682388143003</v>
      </c>
      <c r="M6410">
        <v>11.4705439872992</v>
      </c>
      <c r="N6410">
        <v>49.787098487395497</v>
      </c>
      <c r="O6410">
        <v>48.307188060720698</v>
      </c>
      <c r="P6410">
        <v>-5.9107624610933801E-2</v>
      </c>
      <c r="Q6410">
        <v>4.5794637148125102E-3</v>
      </c>
      <c r="R6410">
        <v>0.97854614170865095</v>
      </c>
      <c r="S6410" t="s">
        <v>12978</v>
      </c>
      <c r="T6410" t="s">
        <v>13134</v>
      </c>
      <c r="U6410" t="s">
        <v>13134</v>
      </c>
      <c r="V6410" t="s">
        <v>13134</v>
      </c>
      <c r="W6410" t="s">
        <v>19473</v>
      </c>
      <c r="X6410">
        <v>9</v>
      </c>
      <c r="Y6410" t="s">
        <v>25821</v>
      </c>
      <c r="Z6410" t="s">
        <v>32378</v>
      </c>
      <c r="AA6410">
        <v>0.45740766537308369</v>
      </c>
      <c r="AB6410" t="str">
        <f>HYPERLINK("Melting_Curves/meltCurve_Q9Y3A3_MOB4.pdf", "Melting_Curves/meltCurve_Q9Y3A3_MOB4.pdf")</f>
        <v>Melting_Curves/meltCurve_Q9Y3A3_MOB4.pdf</v>
      </c>
    </row>
    <row r="6411" spans="1:28" x14ac:dyDescent="0.25">
      <c r="A6411" t="s">
        <v>6415</v>
      </c>
      <c r="B6411">
        <v>0.99472303558308395</v>
      </c>
      <c r="C6411">
        <v>0.94398694172680797</v>
      </c>
      <c r="D6411">
        <v>1.0481364913784399</v>
      </c>
      <c r="E6411">
        <v>0.85628246692847398</v>
      </c>
      <c r="F6411">
        <v>0.343123550719242</v>
      </c>
      <c r="G6411">
        <v>0.116731620577813</v>
      </c>
      <c r="H6411">
        <v>6.8169408130306502E-2</v>
      </c>
      <c r="I6411">
        <v>5.9833863054837802E-2</v>
      </c>
      <c r="J6411">
        <v>6.2375121379808697E-2</v>
      </c>
      <c r="K6411">
        <v>4.6870244401858302E-2</v>
      </c>
      <c r="L6411">
        <v>1668.0789411424</v>
      </c>
      <c r="M6411">
        <v>34.0555083794806</v>
      </c>
      <c r="N6411">
        <v>49.166275921352998</v>
      </c>
      <c r="O6411">
        <v>48.8132118213843</v>
      </c>
      <c r="P6411">
        <v>-0.16392450215099399</v>
      </c>
      <c r="Q6411">
        <v>6.0163818152414499E-2</v>
      </c>
      <c r="R6411">
        <v>0.996272486532357</v>
      </c>
      <c r="S6411" t="s">
        <v>12979</v>
      </c>
      <c r="T6411" t="s">
        <v>13134</v>
      </c>
      <c r="U6411" t="s">
        <v>13134</v>
      </c>
      <c r="V6411" t="s">
        <v>13134</v>
      </c>
      <c r="W6411" t="s">
        <v>19474</v>
      </c>
      <c r="X6411">
        <v>23</v>
      </c>
      <c r="Y6411" t="s">
        <v>25822</v>
      </c>
      <c r="Z6411" t="s">
        <v>32379</v>
      </c>
      <c r="AA6411">
        <v>0.43990544679056781</v>
      </c>
      <c r="AB6411" t="str">
        <f>HYPERLINK("Melting_Curves/meltCurve_Q9Y3A5_SBDS.pdf", "Melting_Curves/meltCurve_Q9Y3A5_SBDS.pdf")</f>
        <v>Melting_Curves/meltCurve_Q9Y3A5_SBDS.pdf</v>
      </c>
    </row>
    <row r="6412" spans="1:28" x14ac:dyDescent="0.25">
      <c r="A6412" t="s">
        <v>6416</v>
      </c>
      <c r="B6412">
        <v>0.99472303558308395</v>
      </c>
      <c r="C6412">
        <v>0.97891557569508303</v>
      </c>
      <c r="D6412">
        <v>0.92467869211251696</v>
      </c>
      <c r="E6412">
        <v>0.80094564991103301</v>
      </c>
      <c r="F6412">
        <v>0.62574678930944405</v>
      </c>
      <c r="G6412">
        <v>0.21065106052998001</v>
      </c>
      <c r="H6412">
        <v>8.9615819506476596E-2</v>
      </c>
      <c r="I6412">
        <v>6.0351389165038703E-2</v>
      </c>
      <c r="J6412">
        <v>4.8122739786751897E-2</v>
      </c>
      <c r="K6412">
        <v>4.3510040928455798E-2</v>
      </c>
      <c r="L6412">
        <v>981.47049710107001</v>
      </c>
      <c r="M6412">
        <v>19.370637940757799</v>
      </c>
      <c r="N6412">
        <v>50.772019132792401</v>
      </c>
      <c r="O6412">
        <v>50.137198112473598</v>
      </c>
      <c r="P6412">
        <v>-9.4711677596869701E-2</v>
      </c>
      <c r="Q6412">
        <v>1.94635091610601E-2</v>
      </c>
      <c r="R6412">
        <v>0.99201809979223998</v>
      </c>
      <c r="S6412" t="s">
        <v>12980</v>
      </c>
      <c r="T6412" t="s">
        <v>13134</v>
      </c>
      <c r="U6412" t="s">
        <v>13134</v>
      </c>
      <c r="V6412" t="s">
        <v>13134</v>
      </c>
      <c r="W6412" t="s">
        <v>19475</v>
      </c>
      <c r="X6412">
        <v>3</v>
      </c>
      <c r="Y6412" t="s">
        <v>25823</v>
      </c>
      <c r="Z6412" t="s">
        <v>32380</v>
      </c>
      <c r="AA6412">
        <v>0.47977646347415248</v>
      </c>
      <c r="AB6412" t="str">
        <f>HYPERLINK("Melting_Curves/meltCurve_Q9Y3A6_TMED5.pdf", "Melting_Curves/meltCurve_Q9Y3A6_TMED5.pdf")</f>
        <v>Melting_Curves/meltCurve_Q9Y3A6_TMED5.pdf</v>
      </c>
    </row>
    <row r="6413" spans="1:28" x14ac:dyDescent="0.25">
      <c r="A6413" t="s">
        <v>6417</v>
      </c>
      <c r="B6413">
        <v>0.99472303558308395</v>
      </c>
      <c r="C6413">
        <v>0.99799102963067599</v>
      </c>
      <c r="D6413">
        <v>0.84798092693143501</v>
      </c>
      <c r="E6413">
        <v>0.76065011036784502</v>
      </c>
      <c r="F6413">
        <v>0.63561408538033404</v>
      </c>
      <c r="G6413">
        <v>0.400479709501256</v>
      </c>
      <c r="H6413">
        <v>0.26899330242109698</v>
      </c>
      <c r="I6413">
        <v>0.114364569572347</v>
      </c>
      <c r="J6413">
        <v>0.118818896364668</v>
      </c>
      <c r="K6413">
        <v>0.107843050884477</v>
      </c>
      <c r="L6413">
        <v>560.17809121208802</v>
      </c>
      <c r="M6413">
        <v>10.7910257616783</v>
      </c>
      <c r="N6413">
        <v>51.911477491911803</v>
      </c>
      <c r="O6413">
        <v>50.224085346398603</v>
      </c>
      <c r="P6413">
        <v>-5.37339078260596E-2</v>
      </c>
      <c r="Q6413">
        <v>0</v>
      </c>
      <c r="R6413">
        <v>0.99158710075848999</v>
      </c>
      <c r="S6413" t="s">
        <v>12981</v>
      </c>
      <c r="T6413" t="s">
        <v>13134</v>
      </c>
      <c r="U6413" t="s">
        <v>13134</v>
      </c>
      <c r="V6413" t="s">
        <v>13134</v>
      </c>
      <c r="W6413" t="s">
        <v>19476</v>
      </c>
      <c r="X6413">
        <v>7</v>
      </c>
      <c r="Y6413" t="s">
        <v>25824</v>
      </c>
      <c r="Z6413" t="s">
        <v>32381</v>
      </c>
      <c r="AA6413">
        <v>0.52291930299490375</v>
      </c>
      <c r="AB6413" t="str">
        <f>HYPERLINK("Melting_Curves/meltCurve_Q9Y3B3_TMED7.pdf", "Melting_Curves/meltCurve_Q9Y3B3_TMED7.pdf")</f>
        <v>Melting_Curves/meltCurve_Q9Y3B3_TMED7.pdf</v>
      </c>
    </row>
    <row r="6414" spans="1:28" x14ac:dyDescent="0.25">
      <c r="A6414" t="s">
        <v>6418</v>
      </c>
      <c r="B6414">
        <v>0.99472303558308395</v>
      </c>
      <c r="C6414">
        <v>0.74532027116906097</v>
      </c>
      <c r="D6414">
        <v>0.63559223984558599</v>
      </c>
      <c r="E6414">
        <v>0.40428562538148</v>
      </c>
      <c r="F6414">
        <v>0.20216760696229499</v>
      </c>
      <c r="G6414">
        <v>0.104105842793607</v>
      </c>
      <c r="H6414">
        <v>5.92967298553876E-2</v>
      </c>
      <c r="I6414">
        <v>4.4840976673701502E-2</v>
      </c>
      <c r="J6414">
        <v>4.0388898011990297E-2</v>
      </c>
      <c r="K6414">
        <v>4.07815374848619E-2</v>
      </c>
      <c r="L6414">
        <v>552.60794003779699</v>
      </c>
      <c r="M6414">
        <v>12.380849831169</v>
      </c>
      <c r="N6414">
        <v>44.719545982455699</v>
      </c>
      <c r="O6414">
        <v>43.517606807566096</v>
      </c>
      <c r="P6414">
        <v>-7.0309059367829704E-2</v>
      </c>
      <c r="Q6414">
        <v>1.1690301007472099E-2</v>
      </c>
      <c r="R6414">
        <v>0.99027027423566505</v>
      </c>
      <c r="S6414" t="s">
        <v>12982</v>
      </c>
      <c r="T6414" t="s">
        <v>13134</v>
      </c>
      <c r="U6414" t="s">
        <v>13134</v>
      </c>
      <c r="V6414" t="s">
        <v>13134</v>
      </c>
      <c r="W6414" t="s">
        <v>19477</v>
      </c>
      <c r="X6414">
        <v>4</v>
      </c>
      <c r="Y6414" t="s">
        <v>25825</v>
      </c>
      <c r="Z6414" t="s">
        <v>32382</v>
      </c>
      <c r="AA6414">
        <v>0.29783782883179027</v>
      </c>
      <c r="AB6414" t="str">
        <f>HYPERLINK("Melting_Curves/meltCurve_Q9Y3B4_SF3B14.pdf", "Melting_Curves/meltCurve_Q9Y3B4_SF3B14.pdf")</f>
        <v>Melting_Curves/meltCurve_Q9Y3B4_SF3B14.pdf</v>
      </c>
    </row>
    <row r="6415" spans="1:28" x14ac:dyDescent="0.25">
      <c r="A6415" t="s">
        <v>6419</v>
      </c>
      <c r="B6415">
        <v>0.99472303558308395</v>
      </c>
      <c r="C6415">
        <v>0.83814122921937695</v>
      </c>
      <c r="D6415">
        <v>0.77674633569362095</v>
      </c>
      <c r="E6415">
        <v>0.39095785062039801</v>
      </c>
      <c r="F6415">
        <v>0.231288611700914</v>
      </c>
      <c r="G6415">
        <v>0.106520129712615</v>
      </c>
      <c r="H6415">
        <v>6.7049902150219401E-2</v>
      </c>
      <c r="I6415">
        <v>4.3133220111226001E-2</v>
      </c>
      <c r="J6415">
        <v>6.18584912425965E-2</v>
      </c>
      <c r="K6415">
        <v>5.0293886206081703E-2</v>
      </c>
      <c r="L6415">
        <v>722.034047066006</v>
      </c>
      <c r="M6415">
        <v>15.896133649650899</v>
      </c>
      <c r="N6415">
        <v>45.6559541992779</v>
      </c>
      <c r="O6415">
        <v>44.721379499974397</v>
      </c>
      <c r="P6415">
        <v>-8.5393090056336302E-2</v>
      </c>
      <c r="Q6415">
        <v>3.9114891847198401E-2</v>
      </c>
      <c r="R6415">
        <v>0.99226502577701903</v>
      </c>
      <c r="S6415" t="s">
        <v>12983</v>
      </c>
      <c r="T6415" t="s">
        <v>13134</v>
      </c>
      <c r="U6415" t="s">
        <v>13134</v>
      </c>
      <c r="V6415" t="s">
        <v>13134</v>
      </c>
      <c r="W6415" t="s">
        <v>19478</v>
      </c>
      <c r="X6415">
        <v>6</v>
      </c>
      <c r="Y6415" t="s">
        <v>25826</v>
      </c>
      <c r="Z6415" t="s">
        <v>32383</v>
      </c>
      <c r="AA6415">
        <v>0.3289652127580156</v>
      </c>
      <c r="AB6415" t="str">
        <f>HYPERLINK("Melting_Curves/meltCurve_Q9Y3B7_MRPL11.pdf", "Melting_Curves/meltCurve_Q9Y3B7_MRPL11.pdf")</f>
        <v>Melting_Curves/meltCurve_Q9Y3B7_MRPL11.pdf</v>
      </c>
    </row>
    <row r="6416" spans="1:28" x14ac:dyDescent="0.25">
      <c r="A6416" t="s">
        <v>6420</v>
      </c>
      <c r="B6416">
        <v>0.99472303558308395</v>
      </c>
      <c r="C6416">
        <v>0.90912580034505097</v>
      </c>
      <c r="D6416">
        <v>0.93797553437196501</v>
      </c>
      <c r="E6416">
        <v>0.88787293378144605</v>
      </c>
      <c r="F6416">
        <v>1.02603181494392</v>
      </c>
      <c r="G6416">
        <v>1.3237521143976101</v>
      </c>
      <c r="H6416">
        <v>1.15672752525975</v>
      </c>
      <c r="I6416">
        <v>1.38764889488732</v>
      </c>
      <c r="J6416">
        <v>1.9628519886512299</v>
      </c>
      <c r="K6416">
        <v>1.51422940339066</v>
      </c>
      <c r="L6416">
        <v>1278.93751752311</v>
      </c>
      <c r="M6416">
        <v>23.217431679260098</v>
      </c>
      <c r="O6416">
        <v>54.681455398873297</v>
      </c>
      <c r="P6416">
        <v>5.30752401410816E-2</v>
      </c>
      <c r="Q6416">
        <v>1.5</v>
      </c>
      <c r="R6416">
        <v>0.69277636491263705</v>
      </c>
      <c r="S6416" t="s">
        <v>12984</v>
      </c>
      <c r="T6416" t="s">
        <v>13134</v>
      </c>
      <c r="U6416" t="s">
        <v>13134</v>
      </c>
      <c r="V6416" t="s">
        <v>13134</v>
      </c>
      <c r="W6416" t="s">
        <v>19479</v>
      </c>
      <c r="X6416">
        <v>11</v>
      </c>
      <c r="Y6416" t="s">
        <v>25827</v>
      </c>
      <c r="Z6416" t="s">
        <v>32384</v>
      </c>
      <c r="AA6416">
        <v>1.1938759160832131</v>
      </c>
      <c r="AB6416" t="str">
        <f>HYPERLINK("Melting_Curves/meltCurve_Q9Y3B9_RRP15.pdf", "Melting_Curves/meltCurve_Q9Y3B9_RRP15.pdf")</f>
        <v>Melting_Curves/meltCurve_Q9Y3B9_RRP15.pdf</v>
      </c>
    </row>
    <row r="6417" spans="1:28" x14ac:dyDescent="0.25">
      <c r="A6417" t="s">
        <v>6421</v>
      </c>
      <c r="B6417">
        <v>0.99472303558308395</v>
      </c>
      <c r="C6417">
        <v>0.78351696738974896</v>
      </c>
      <c r="D6417">
        <v>0.942812938815347</v>
      </c>
      <c r="E6417">
        <v>0.81544270758624804</v>
      </c>
      <c r="F6417">
        <v>0.77552725415547397</v>
      </c>
      <c r="G6417">
        <v>0.40429849270559498</v>
      </c>
      <c r="H6417">
        <v>0.41165904822479898</v>
      </c>
      <c r="I6417">
        <v>0.46113690263510898</v>
      </c>
      <c r="J6417">
        <v>0.54715085646069195</v>
      </c>
      <c r="K6417">
        <v>0.50933902429333699</v>
      </c>
      <c r="L6417">
        <v>909.89346790629895</v>
      </c>
      <c r="M6417">
        <v>18.695785074211202</v>
      </c>
      <c r="N6417">
        <v>56.164538396354402</v>
      </c>
      <c r="O6417">
        <v>48.121814904476601</v>
      </c>
      <c r="P6417">
        <v>-5.2571088321334503E-2</v>
      </c>
      <c r="Q6417">
        <v>0.45876384319533098</v>
      </c>
      <c r="R6417">
        <v>0.79609899243406801</v>
      </c>
      <c r="S6417" t="s">
        <v>12985</v>
      </c>
      <c r="T6417" t="s">
        <v>13134</v>
      </c>
      <c r="U6417" t="s">
        <v>13134</v>
      </c>
      <c r="V6417" t="s">
        <v>13134</v>
      </c>
      <c r="W6417" t="s">
        <v>19480</v>
      </c>
      <c r="X6417">
        <v>4</v>
      </c>
      <c r="Y6417" t="s">
        <v>25828</v>
      </c>
      <c r="Z6417" t="s">
        <v>32385</v>
      </c>
      <c r="AA6417">
        <v>0.67733371189877323</v>
      </c>
      <c r="AB6417" t="str">
        <f>HYPERLINK("Melting_Curves/meltCurve_Q9Y3C1_NOP16.pdf", "Melting_Curves/meltCurve_Q9Y3C1_NOP16.pdf")</f>
        <v>Melting_Curves/meltCurve_Q9Y3C1_NOP16.pdf</v>
      </c>
    </row>
    <row r="6418" spans="1:28" x14ac:dyDescent="0.25">
      <c r="A6418" t="s">
        <v>6422</v>
      </c>
      <c r="B6418">
        <v>0.99472303558308395</v>
      </c>
      <c r="C6418">
        <v>1.01861729991084</v>
      </c>
      <c r="D6418">
        <v>0.96532784263435101</v>
      </c>
      <c r="E6418">
        <v>0.87120844297238598</v>
      </c>
      <c r="F6418">
        <v>0.81116159698926504</v>
      </c>
      <c r="G6418">
        <v>0.56890848192727494</v>
      </c>
      <c r="H6418">
        <v>0.27455430603576397</v>
      </c>
      <c r="I6418">
        <v>0.111415434821867</v>
      </c>
      <c r="J6418">
        <v>6.9129702326390402E-2</v>
      </c>
      <c r="K6418">
        <v>8.0589200454322801E-2</v>
      </c>
      <c r="L6418">
        <v>905.37084640934199</v>
      </c>
      <c r="M6418">
        <v>16.688088518586301</v>
      </c>
      <c r="N6418">
        <v>54.296092692283501</v>
      </c>
      <c r="O6418">
        <v>53.491449357844701</v>
      </c>
      <c r="P6418">
        <v>-7.7480572880846296E-2</v>
      </c>
      <c r="Q6418">
        <v>6.65146839564177E-3</v>
      </c>
      <c r="R6418">
        <v>0.99368683704680405</v>
      </c>
      <c r="S6418" t="s">
        <v>12986</v>
      </c>
      <c r="T6418" t="s">
        <v>13134</v>
      </c>
      <c r="U6418" t="s">
        <v>13134</v>
      </c>
      <c r="V6418" t="s">
        <v>13134</v>
      </c>
      <c r="W6418" t="s">
        <v>19481</v>
      </c>
      <c r="X6418">
        <v>3</v>
      </c>
      <c r="Y6418" t="s">
        <v>25829</v>
      </c>
      <c r="Z6418" t="s">
        <v>32386</v>
      </c>
      <c r="AA6418">
        <v>0.59229177326360838</v>
      </c>
      <c r="AB6418" t="str">
        <f>HYPERLINK("Melting_Curves/meltCurve_Q9Y3C4_2_TPRKB.pdf", "Melting_Curves/meltCurve_Q9Y3C4_2_TPRKB.pdf")</f>
        <v>Melting_Curves/meltCurve_Q9Y3C4_2_TPRKB.pdf</v>
      </c>
    </row>
    <row r="6419" spans="1:28" x14ac:dyDescent="0.25">
      <c r="A6419" t="s">
        <v>6423</v>
      </c>
      <c r="B6419">
        <v>0.99472303558308395</v>
      </c>
      <c r="C6419">
        <v>1.06056430456548</v>
      </c>
      <c r="D6419">
        <v>1.0079428403348001</v>
      </c>
      <c r="E6419">
        <v>0.84906632239287705</v>
      </c>
      <c r="F6419">
        <v>0.68921730396371905</v>
      </c>
      <c r="G6419">
        <v>0.55045758628754005</v>
      </c>
      <c r="H6419">
        <v>0.496104478885806</v>
      </c>
      <c r="I6419">
        <v>0.39530561531750502</v>
      </c>
      <c r="J6419">
        <v>0.53871125299293399</v>
      </c>
      <c r="K6419">
        <v>0.37837022135779502</v>
      </c>
      <c r="L6419">
        <v>936.77021546381195</v>
      </c>
      <c r="M6419">
        <v>18.8627859553085</v>
      </c>
      <c r="N6419">
        <v>55.703800996358503</v>
      </c>
      <c r="O6419">
        <v>49.1142805573906</v>
      </c>
      <c r="P6419">
        <v>-5.4215861903809198E-2</v>
      </c>
      <c r="Q6419">
        <v>0.43536153556138302</v>
      </c>
      <c r="R6419">
        <v>0.96320897926415405</v>
      </c>
      <c r="S6419" t="s">
        <v>12987</v>
      </c>
      <c r="T6419" t="s">
        <v>13134</v>
      </c>
      <c r="U6419" t="s">
        <v>13134</v>
      </c>
      <c r="V6419" t="s">
        <v>13134</v>
      </c>
      <c r="W6419" t="s">
        <v>19482</v>
      </c>
      <c r="X6419">
        <v>3</v>
      </c>
      <c r="Y6419" t="s">
        <v>25830</v>
      </c>
      <c r="Z6419" t="s">
        <v>32387</v>
      </c>
      <c r="AA6419">
        <v>0.68192685063107394</v>
      </c>
      <c r="AB6419" t="str">
        <f>HYPERLINK("Melting_Curves/meltCurve_Q9Y3C5_RNF11.pdf", "Melting_Curves/meltCurve_Q9Y3C5_RNF11.pdf")</f>
        <v>Melting_Curves/meltCurve_Q9Y3C5_RNF11.pdf</v>
      </c>
    </row>
    <row r="6420" spans="1:28" x14ac:dyDescent="0.25">
      <c r="A6420" t="s">
        <v>6424</v>
      </c>
      <c r="B6420">
        <v>0.99472303558308395</v>
      </c>
      <c r="C6420">
        <v>1.0687559080099001</v>
      </c>
      <c r="D6420">
        <v>0.96911174483371099</v>
      </c>
      <c r="E6420">
        <v>0.65501323721849802</v>
      </c>
      <c r="F6420">
        <v>0.29929914067976998</v>
      </c>
      <c r="G6420">
        <v>0.16741439441964701</v>
      </c>
      <c r="H6420">
        <v>7.7182466047213905E-2</v>
      </c>
      <c r="I6420">
        <v>3.9730084959093699E-2</v>
      </c>
      <c r="J6420">
        <v>5.06112221307113E-2</v>
      </c>
      <c r="K6420">
        <v>3.80058328667029E-2</v>
      </c>
      <c r="L6420">
        <v>1085.2575753521101</v>
      </c>
      <c r="M6420">
        <v>22.6260030323926</v>
      </c>
      <c r="N6420">
        <v>48.191130204644402</v>
      </c>
      <c r="O6420">
        <v>47.595102147164901</v>
      </c>
      <c r="P6420">
        <v>-0.112864505603433</v>
      </c>
      <c r="Q6420">
        <v>5.0351152173684098E-2</v>
      </c>
      <c r="R6420">
        <v>0.99413158549857505</v>
      </c>
      <c r="S6420" t="s">
        <v>12988</v>
      </c>
      <c r="T6420" t="s">
        <v>13134</v>
      </c>
      <c r="U6420" t="s">
        <v>13134</v>
      </c>
      <c r="V6420" t="s">
        <v>13134</v>
      </c>
      <c r="W6420" t="s">
        <v>19483</v>
      </c>
      <c r="X6420">
        <v>7</v>
      </c>
      <c r="Y6420" t="s">
        <v>25831</v>
      </c>
      <c r="Z6420" t="s">
        <v>32388</v>
      </c>
      <c r="AA6420">
        <v>0.40729032225907658</v>
      </c>
      <c r="AB6420" t="str">
        <f>HYPERLINK("Melting_Curves/meltCurve_Q9Y3C6_PPIL1.pdf", "Melting_Curves/meltCurve_Q9Y3C6_PPIL1.pdf")</f>
        <v>Melting_Curves/meltCurve_Q9Y3C6_PPIL1.pdf</v>
      </c>
    </row>
    <row r="6421" spans="1:28" x14ac:dyDescent="0.25">
      <c r="A6421" t="s">
        <v>6425</v>
      </c>
      <c r="B6421">
        <v>0.99472303558308395</v>
      </c>
      <c r="C6421">
        <v>0.98221903116805298</v>
      </c>
      <c r="D6421">
        <v>0.99946235429732899</v>
      </c>
      <c r="E6421">
        <v>0.93718475622472297</v>
      </c>
      <c r="F6421">
        <v>0.73160219485244404</v>
      </c>
      <c r="G6421">
        <v>0.62490433643403498</v>
      </c>
      <c r="H6421">
        <v>0.44552061599866799</v>
      </c>
      <c r="I6421">
        <v>0.25855396763651101</v>
      </c>
      <c r="J6421">
        <v>0.14343460967041999</v>
      </c>
      <c r="K6421">
        <v>0.108639610759347</v>
      </c>
      <c r="L6421">
        <v>674.50491058479599</v>
      </c>
      <c r="M6421">
        <v>12.1036982319853</v>
      </c>
      <c r="N6421">
        <v>55.727175150194803</v>
      </c>
      <c r="O6421">
        <v>54.2714115706451</v>
      </c>
      <c r="P6421">
        <v>-5.5768404817043399E-2</v>
      </c>
      <c r="Q6421">
        <v>0</v>
      </c>
      <c r="R6421">
        <v>0.99399652122707105</v>
      </c>
      <c r="S6421" t="s">
        <v>12989</v>
      </c>
      <c r="T6421" t="s">
        <v>13134</v>
      </c>
      <c r="U6421" t="s">
        <v>13134</v>
      </c>
      <c r="V6421" t="s">
        <v>13134</v>
      </c>
      <c r="W6421" t="s">
        <v>19484</v>
      </c>
      <c r="X6421">
        <v>8</v>
      </c>
      <c r="Y6421" t="s">
        <v>25832</v>
      </c>
      <c r="Z6421" t="s">
        <v>32389</v>
      </c>
      <c r="AA6421">
        <v>0.6353998985985736</v>
      </c>
      <c r="AB6421" t="str">
        <f>HYPERLINK("Melting_Curves/meltCurve_Q9Y3C8_UFC1.pdf", "Melting_Curves/meltCurve_Q9Y3C8_UFC1.pdf")</f>
        <v>Melting_Curves/meltCurve_Q9Y3C8_UFC1.pdf</v>
      </c>
    </row>
    <row r="6422" spans="1:28" x14ac:dyDescent="0.25">
      <c r="A6422" t="s">
        <v>6426</v>
      </c>
      <c r="B6422">
        <v>0.99472303558308395</v>
      </c>
      <c r="C6422">
        <v>0.85788961545017595</v>
      </c>
      <c r="D6422">
        <v>0.76394722882465005</v>
      </c>
      <c r="E6422">
        <v>0.53759594489445395</v>
      </c>
      <c r="F6422">
        <v>0.30447382867582601</v>
      </c>
      <c r="G6422">
        <v>0.18102342298143201</v>
      </c>
      <c r="H6422">
        <v>0.122052358020525</v>
      </c>
      <c r="I6422">
        <v>6.0957790546903402E-2</v>
      </c>
      <c r="J6422">
        <v>6.9542860317396496E-2</v>
      </c>
      <c r="K6422">
        <v>6.2242196122624098E-2</v>
      </c>
      <c r="L6422">
        <v>588.201729072842</v>
      </c>
      <c r="M6422">
        <v>12.597214787424299</v>
      </c>
      <c r="N6422">
        <v>46.935676030506698</v>
      </c>
      <c r="O6422">
        <v>45.563204558252998</v>
      </c>
      <c r="P6422">
        <v>-6.6953577130268005E-2</v>
      </c>
      <c r="Q6422">
        <v>3.1528590851787601E-2</v>
      </c>
      <c r="R6422">
        <v>0.99704708663029495</v>
      </c>
      <c r="S6422" t="s">
        <v>12990</v>
      </c>
      <c r="T6422" t="s">
        <v>13134</v>
      </c>
      <c r="U6422" t="s">
        <v>13134</v>
      </c>
      <c r="V6422" t="s">
        <v>13134</v>
      </c>
      <c r="W6422" t="s">
        <v>19485</v>
      </c>
      <c r="X6422">
        <v>6</v>
      </c>
      <c r="Y6422" t="s">
        <v>25833</v>
      </c>
      <c r="Z6422" t="s">
        <v>32390</v>
      </c>
      <c r="AA6422">
        <v>0.37424989740741038</v>
      </c>
      <c r="AB6422" t="str">
        <f>HYPERLINK("Melting_Curves/meltCurve_Q9Y3D0_FAM96B.pdf", "Melting_Curves/meltCurve_Q9Y3D0_FAM96B.pdf")</f>
        <v>Melting_Curves/meltCurve_Q9Y3D0_FAM96B.pdf</v>
      </c>
    </row>
    <row r="6423" spans="1:28" x14ac:dyDescent="0.25">
      <c r="A6423" t="s">
        <v>6427</v>
      </c>
      <c r="B6423">
        <v>0.99472303558308395</v>
      </c>
      <c r="C6423">
        <v>0.89225594784072104</v>
      </c>
      <c r="D6423">
        <v>0.95276027105185401</v>
      </c>
      <c r="E6423">
        <v>0.828834030670769</v>
      </c>
      <c r="F6423">
        <v>0.55302282022753702</v>
      </c>
      <c r="G6423">
        <v>0.32074568089813799</v>
      </c>
      <c r="H6423">
        <v>0.24927943897912</v>
      </c>
      <c r="I6423">
        <v>0.29063603246390002</v>
      </c>
      <c r="J6423">
        <v>0.37418592821058599</v>
      </c>
      <c r="K6423">
        <v>0.235133816793484</v>
      </c>
      <c r="L6423">
        <v>1175.0132312298799</v>
      </c>
      <c r="M6423">
        <v>24.025743922887301</v>
      </c>
      <c r="N6423">
        <v>50.605874227811597</v>
      </c>
      <c r="O6423">
        <v>48.571376390136599</v>
      </c>
      <c r="P6423">
        <v>-8.9425635342701398E-2</v>
      </c>
      <c r="Q6423">
        <v>0.27686589096255598</v>
      </c>
      <c r="R6423">
        <v>0.97085412476340305</v>
      </c>
      <c r="S6423" t="s">
        <v>12991</v>
      </c>
      <c r="T6423" t="s">
        <v>13134</v>
      </c>
      <c r="U6423" t="s">
        <v>13134</v>
      </c>
      <c r="V6423" t="s">
        <v>13134</v>
      </c>
      <c r="W6423" t="s">
        <v>19486</v>
      </c>
      <c r="X6423">
        <v>4</v>
      </c>
      <c r="Y6423" t="s">
        <v>25834</v>
      </c>
      <c r="Z6423" t="s">
        <v>32391</v>
      </c>
      <c r="AA6423">
        <v>0.57060527076335743</v>
      </c>
      <c r="AB6423" t="str">
        <f>HYPERLINK("Melting_Curves/meltCurve_Q9Y3D2_MSRB2.pdf", "Melting_Curves/meltCurve_Q9Y3D2_MSRB2.pdf")</f>
        <v>Melting_Curves/meltCurve_Q9Y3D2_MSRB2.pdf</v>
      </c>
    </row>
    <row r="6424" spans="1:28" x14ac:dyDescent="0.25">
      <c r="A6424" t="s">
        <v>6428</v>
      </c>
      <c r="B6424">
        <v>0.99472303558308395</v>
      </c>
      <c r="C6424">
        <v>1.08151649818058</v>
      </c>
      <c r="D6424">
        <v>0.92984805999341102</v>
      </c>
      <c r="E6424">
        <v>0.82161658233824397</v>
      </c>
      <c r="F6424">
        <v>0.72780241267914503</v>
      </c>
      <c r="G6424">
        <v>0.47578167823133</v>
      </c>
      <c r="H6424">
        <v>0.300832834318006</v>
      </c>
      <c r="I6424">
        <v>0.32053750172873002</v>
      </c>
      <c r="J6424">
        <v>0.30084300155761501</v>
      </c>
      <c r="K6424">
        <v>0.41575054929940097</v>
      </c>
      <c r="L6424">
        <v>949.68645548750806</v>
      </c>
      <c r="M6424">
        <v>18.861967061901499</v>
      </c>
      <c r="N6424">
        <v>53.158471260546797</v>
      </c>
      <c r="O6424">
        <v>49.793587111484698</v>
      </c>
      <c r="P6424">
        <v>-6.4828620873176701E-2</v>
      </c>
      <c r="Q6424">
        <v>0.315465502851418</v>
      </c>
      <c r="R6424">
        <v>0.962750711794776</v>
      </c>
      <c r="S6424" t="s">
        <v>12992</v>
      </c>
      <c r="T6424" t="s">
        <v>13134</v>
      </c>
      <c r="U6424" t="s">
        <v>13134</v>
      </c>
      <c r="V6424" t="s">
        <v>13134</v>
      </c>
      <c r="W6424" t="s">
        <v>19487</v>
      </c>
      <c r="X6424">
        <v>6</v>
      </c>
      <c r="Y6424" t="s">
        <v>25835</v>
      </c>
      <c r="Z6424" t="s">
        <v>32392</v>
      </c>
      <c r="AA6424">
        <v>0.6300091113186792</v>
      </c>
      <c r="AB6424" t="str">
        <f>HYPERLINK("Melting_Curves/meltCurve_Q9Y3D6_FIS1.pdf", "Melting_Curves/meltCurve_Q9Y3D6_FIS1.pdf")</f>
        <v>Melting_Curves/meltCurve_Q9Y3D6_FIS1.pdf</v>
      </c>
    </row>
    <row r="6425" spans="1:28" x14ac:dyDescent="0.25">
      <c r="A6425" t="s">
        <v>6429</v>
      </c>
      <c r="B6425">
        <v>0.99472303558308395</v>
      </c>
      <c r="C6425">
        <v>0.89654604176758301</v>
      </c>
      <c r="D6425">
        <v>1.01379101150744</v>
      </c>
      <c r="E6425">
        <v>0.67884575659704005</v>
      </c>
      <c r="F6425">
        <v>0.19774989338109</v>
      </c>
      <c r="G6425">
        <v>0.113101197185623</v>
      </c>
      <c r="H6425">
        <v>8.7914966465381203E-2</v>
      </c>
      <c r="I6425">
        <v>6.2533947055041006E-2</v>
      </c>
      <c r="J6425">
        <v>6.9598462054709098E-2</v>
      </c>
      <c r="K6425">
        <v>5.5047412541339803E-2</v>
      </c>
      <c r="L6425">
        <v>1642.50075874609</v>
      </c>
      <c r="M6425">
        <v>34.586109264199898</v>
      </c>
      <c r="N6425">
        <v>47.709890622375397</v>
      </c>
      <c r="O6425">
        <v>47.332266520782099</v>
      </c>
      <c r="P6425">
        <v>-0.16923000481389</v>
      </c>
      <c r="Q6425">
        <v>7.3615457370671905E-2</v>
      </c>
      <c r="R6425">
        <v>0.99185223897513397</v>
      </c>
      <c r="S6425" t="s">
        <v>12993</v>
      </c>
      <c r="T6425" t="s">
        <v>13134</v>
      </c>
      <c r="U6425" t="s">
        <v>13134</v>
      </c>
      <c r="V6425" t="s">
        <v>13134</v>
      </c>
      <c r="W6425" t="s">
        <v>19488</v>
      </c>
      <c r="X6425">
        <v>4</v>
      </c>
      <c r="Y6425" t="s">
        <v>23150</v>
      </c>
      <c r="Z6425" t="s">
        <v>32393</v>
      </c>
      <c r="AA6425">
        <v>0.40162550886158388</v>
      </c>
      <c r="AB6425" t="str">
        <f>HYPERLINK("Melting_Curves/meltCurve_Q9Y3D8_2_TAF9.pdf", "Melting_Curves/meltCurve_Q9Y3D8_2_TAF9.pdf")</f>
        <v>Melting_Curves/meltCurve_Q9Y3D8_2_TAF9.pdf</v>
      </c>
    </row>
    <row r="6426" spans="1:28" x14ac:dyDescent="0.25">
      <c r="A6426" t="s">
        <v>6430</v>
      </c>
      <c r="B6426">
        <v>0.99472303558308395</v>
      </c>
      <c r="C6426">
        <v>0.97254808671775606</v>
      </c>
      <c r="D6426">
        <v>1.02462803585354</v>
      </c>
      <c r="E6426">
        <v>1.04155293436892</v>
      </c>
      <c r="F6426">
        <v>0.37739393211115102</v>
      </c>
      <c r="G6426">
        <v>0.16405152699811301</v>
      </c>
      <c r="H6426">
        <v>7.2889190853205096E-2</v>
      </c>
      <c r="I6426">
        <v>7.38261278652486E-2</v>
      </c>
      <c r="J6426">
        <v>8.0655849851084496E-2</v>
      </c>
      <c r="K6426">
        <v>7.0355548541771007E-2</v>
      </c>
      <c r="L6426">
        <v>5676.1406947052901</v>
      </c>
      <c r="M6426">
        <v>113.850848393607</v>
      </c>
      <c r="N6426">
        <v>49.945454693409303</v>
      </c>
      <c r="O6426">
        <v>49.8405736307731</v>
      </c>
      <c r="P6426">
        <v>-0.51836965943072599</v>
      </c>
      <c r="Q6426">
        <v>9.2291946720165594E-2</v>
      </c>
      <c r="R6426">
        <v>0.99491668858808102</v>
      </c>
      <c r="S6426" t="s">
        <v>12994</v>
      </c>
      <c r="T6426" t="s">
        <v>13134</v>
      </c>
      <c r="U6426" t="s">
        <v>13134</v>
      </c>
      <c r="V6426" t="s">
        <v>13134</v>
      </c>
      <c r="W6426" t="s">
        <v>19489</v>
      </c>
      <c r="X6426">
        <v>4</v>
      </c>
      <c r="Y6426" t="s">
        <v>25836</v>
      </c>
      <c r="Z6426" t="s">
        <v>32394</v>
      </c>
      <c r="AA6426">
        <v>0.4816564662413324</v>
      </c>
      <c r="AB6426" t="str">
        <f>HYPERLINK("Melting_Curves/meltCurve_Q9Y3D9_MRPS23.pdf", "Melting_Curves/meltCurve_Q9Y3D9_MRPS23.pdf")</f>
        <v>Melting_Curves/meltCurve_Q9Y3D9_MRPS23.pdf</v>
      </c>
    </row>
    <row r="6427" spans="1:28" x14ac:dyDescent="0.25">
      <c r="A6427" t="s">
        <v>6431</v>
      </c>
      <c r="B6427">
        <v>0.99472303558308395</v>
      </c>
      <c r="C6427">
        <v>1.2344782736731299</v>
      </c>
      <c r="D6427">
        <v>0.85927079994159306</v>
      </c>
      <c r="E6427">
        <v>0.84196055309677598</v>
      </c>
      <c r="F6427">
        <v>0.90919591218786</v>
      </c>
      <c r="G6427">
        <v>0.58164295882496997</v>
      </c>
      <c r="H6427">
        <v>0.32238160225010798</v>
      </c>
      <c r="I6427">
        <v>0.275128713054197</v>
      </c>
      <c r="J6427">
        <v>0.38938179291002101</v>
      </c>
      <c r="K6427">
        <v>0.37473796791869002</v>
      </c>
      <c r="L6427">
        <v>1845.85957476515</v>
      </c>
      <c r="M6427">
        <v>34.950010250968802</v>
      </c>
      <c r="N6427">
        <v>54.519256161058898</v>
      </c>
      <c r="O6427">
        <v>52.642269563248</v>
      </c>
      <c r="P6427">
        <v>-0.110808619845551</v>
      </c>
      <c r="Q6427">
        <v>0.33239546001188702</v>
      </c>
      <c r="R6427">
        <v>0.89024857981904204</v>
      </c>
      <c r="S6427" t="s">
        <v>12995</v>
      </c>
      <c r="T6427" t="s">
        <v>13134</v>
      </c>
      <c r="U6427" t="s">
        <v>13134</v>
      </c>
      <c r="V6427" t="s">
        <v>13134</v>
      </c>
      <c r="W6427" t="s">
        <v>19490</v>
      </c>
      <c r="X6427">
        <v>5</v>
      </c>
      <c r="Y6427" t="s">
        <v>25837</v>
      </c>
      <c r="Z6427" t="s">
        <v>32395</v>
      </c>
      <c r="AA6427">
        <v>0.68748468664022822</v>
      </c>
      <c r="AB6427" t="str">
        <f>HYPERLINK("Melting_Curves/meltCurve_Q9Y3E1_HDGFRP3.pdf", "Melting_Curves/meltCurve_Q9Y3E1_HDGFRP3.pdf")</f>
        <v>Melting_Curves/meltCurve_Q9Y3E1_HDGFRP3.pdf</v>
      </c>
    </row>
    <row r="6428" spans="1:28" x14ac:dyDescent="0.25">
      <c r="A6428" t="s">
        <v>6432</v>
      </c>
      <c r="B6428">
        <v>0.99472303558308395</v>
      </c>
      <c r="C6428">
        <v>1.0244619529671799</v>
      </c>
      <c r="D6428">
        <v>1.1959820940106101</v>
      </c>
      <c r="E6428">
        <v>0.84972635530032503</v>
      </c>
      <c r="F6428">
        <v>0.47005128743069602</v>
      </c>
      <c r="G6428">
        <v>0.16238595383069299</v>
      </c>
      <c r="H6428">
        <v>7.3469878723005297E-2</v>
      </c>
      <c r="I6428">
        <v>7.68097985973068E-2</v>
      </c>
      <c r="J6428">
        <v>4.2150996187223899E-2</v>
      </c>
      <c r="K6428">
        <v>1.8860612266073599E-2</v>
      </c>
      <c r="L6428">
        <v>1419.41463158243</v>
      </c>
      <c r="M6428">
        <v>28.501060158466402</v>
      </c>
      <c r="N6428">
        <v>49.978567706073399</v>
      </c>
      <c r="O6428">
        <v>49.558926429641701</v>
      </c>
      <c r="P6428">
        <v>-0.13689513242752199</v>
      </c>
      <c r="Q6428">
        <v>4.7849933153433097E-2</v>
      </c>
      <c r="R6428">
        <v>0.97749047347877605</v>
      </c>
      <c r="S6428" t="s">
        <v>12996</v>
      </c>
      <c r="T6428" t="s">
        <v>13134</v>
      </c>
      <c r="U6428" t="s">
        <v>13134</v>
      </c>
      <c r="V6428" t="s">
        <v>13134</v>
      </c>
      <c r="W6428" t="s">
        <v>19491</v>
      </c>
      <c r="X6428">
        <v>3</v>
      </c>
      <c r="Y6428" t="s">
        <v>25838</v>
      </c>
      <c r="Z6428" t="s">
        <v>32396</v>
      </c>
      <c r="AA6428">
        <v>0.46061187694115291</v>
      </c>
      <c r="AB6428" t="str">
        <f>HYPERLINK("Melting_Curves/meltCurve_Q9Y3E7_4_CHMP3.pdf", "Melting_Curves/meltCurve_Q9Y3E7_4_CHMP3.pdf")</f>
        <v>Melting_Curves/meltCurve_Q9Y3E7_4_CHMP3.pdf</v>
      </c>
    </row>
    <row r="6429" spans="1:28" x14ac:dyDescent="0.25">
      <c r="A6429" t="s">
        <v>6433</v>
      </c>
      <c r="B6429">
        <v>0.99472303558308395</v>
      </c>
      <c r="C6429">
        <v>1.00591492420761</v>
      </c>
      <c r="D6429">
        <v>0.91657650476645702</v>
      </c>
      <c r="E6429">
        <v>0.66223648986471495</v>
      </c>
      <c r="F6429">
        <v>0.48800896555532303</v>
      </c>
      <c r="G6429">
        <v>0.46253710613693999</v>
      </c>
      <c r="H6429">
        <v>0.36869028844214602</v>
      </c>
      <c r="I6429">
        <v>0.31308200697118699</v>
      </c>
      <c r="J6429">
        <v>0.21343825085225199</v>
      </c>
      <c r="K6429">
        <v>0.12159620300747399</v>
      </c>
      <c r="L6429">
        <v>505.80443140919101</v>
      </c>
      <c r="M6429">
        <v>10.101744515142901</v>
      </c>
      <c r="N6429">
        <v>51.654078882243297</v>
      </c>
      <c r="O6429">
        <v>48.227590362327497</v>
      </c>
      <c r="P6429">
        <v>-4.5414955933581101E-2</v>
      </c>
      <c r="Q6429">
        <v>0.13312813031371901</v>
      </c>
      <c r="R6429">
        <v>0.968616727045014</v>
      </c>
      <c r="S6429" t="s">
        <v>12997</v>
      </c>
      <c r="T6429" t="s">
        <v>13134</v>
      </c>
      <c r="U6429" t="s">
        <v>13134</v>
      </c>
      <c r="V6429" t="s">
        <v>13134</v>
      </c>
      <c r="W6429" t="s">
        <v>19492</v>
      </c>
      <c r="X6429">
        <v>20</v>
      </c>
      <c r="Y6429" t="s">
        <v>25839</v>
      </c>
      <c r="Z6429" t="s">
        <v>32397</v>
      </c>
      <c r="AA6429">
        <v>0.53976223862448613</v>
      </c>
      <c r="AB6429" t="str">
        <f>HYPERLINK("Melting_Curves/meltCurve_Q9Y3F4_STRAP.pdf", "Melting_Curves/meltCurve_Q9Y3F4_STRAP.pdf")</f>
        <v>Melting_Curves/meltCurve_Q9Y3F4_STRAP.pdf</v>
      </c>
    </row>
    <row r="6430" spans="1:28" x14ac:dyDescent="0.25">
      <c r="A6430" t="s">
        <v>6434</v>
      </c>
      <c r="B6430">
        <v>0.99472303558308395</v>
      </c>
      <c r="C6430">
        <v>0.95206434925660099</v>
      </c>
      <c r="D6430">
        <v>0.87221520094861704</v>
      </c>
      <c r="E6430">
        <v>0.77665507851193305</v>
      </c>
      <c r="F6430">
        <v>0.68356440654722095</v>
      </c>
      <c r="G6430">
        <v>0.45548195258185198</v>
      </c>
      <c r="H6430">
        <v>0.27604665059915001</v>
      </c>
      <c r="I6430">
        <v>0.13198579583738601</v>
      </c>
      <c r="J6430">
        <v>0.107954388837789</v>
      </c>
      <c r="K6430">
        <v>0.12593473062918301</v>
      </c>
      <c r="L6430">
        <v>572.42312396206705</v>
      </c>
      <c r="M6430">
        <v>10.880315502166299</v>
      </c>
      <c r="N6430">
        <v>52.610893851349402</v>
      </c>
      <c r="O6430">
        <v>50.927252460162698</v>
      </c>
      <c r="P6430">
        <v>-5.3429861062109597E-2</v>
      </c>
      <c r="Q6430">
        <v>0</v>
      </c>
      <c r="R6430">
        <v>0.99054975767563103</v>
      </c>
      <c r="S6430" t="s">
        <v>12998</v>
      </c>
      <c r="T6430" t="s">
        <v>13134</v>
      </c>
      <c r="U6430" t="s">
        <v>13134</v>
      </c>
      <c r="V6430" t="s">
        <v>13134</v>
      </c>
      <c r="W6430" t="s">
        <v>19493</v>
      </c>
      <c r="X6430">
        <v>23</v>
      </c>
      <c r="Y6430" t="s">
        <v>25840</v>
      </c>
      <c r="Z6430" t="s">
        <v>32398</v>
      </c>
      <c r="AA6430">
        <v>0.54374106230788233</v>
      </c>
      <c r="AB6430" t="str">
        <f>HYPERLINK("Melting_Curves/meltCurve_Q9Y3I0_C22orf28.pdf", "Melting_Curves/meltCurve_Q9Y3I0_C22orf28.pdf")</f>
        <v>Melting_Curves/meltCurve_Q9Y3I0_C22orf28.pdf</v>
      </c>
    </row>
    <row r="6431" spans="1:28" x14ac:dyDescent="0.25">
      <c r="A6431" t="s">
        <v>6435</v>
      </c>
      <c r="B6431">
        <v>0.99472303558308395</v>
      </c>
      <c r="C6431">
        <v>0.77261036859234999</v>
      </c>
      <c r="D6431">
        <v>0.66963248244027596</v>
      </c>
      <c r="E6431">
        <v>0.55227935548295204</v>
      </c>
      <c r="F6431">
        <v>0.441608587065215</v>
      </c>
      <c r="G6431">
        <v>0.21210631553443501</v>
      </c>
      <c r="H6431">
        <v>0.100380316531582</v>
      </c>
      <c r="I6431">
        <v>4.2552178891014099E-2</v>
      </c>
      <c r="J6431">
        <v>2.89526302574621E-2</v>
      </c>
      <c r="K6431">
        <v>3.7260832713861103E-2</v>
      </c>
      <c r="L6431">
        <v>464.21137674230101</v>
      </c>
      <c r="M6431">
        <v>9.8814371912108694</v>
      </c>
      <c r="N6431">
        <v>46.978148417578801</v>
      </c>
      <c r="O6431">
        <v>45.175497268428302</v>
      </c>
      <c r="P6431">
        <v>-5.4711449968314702E-2</v>
      </c>
      <c r="Q6431">
        <v>0</v>
      </c>
      <c r="R6431">
        <v>0.97476564858590897</v>
      </c>
      <c r="S6431" t="s">
        <v>12999</v>
      </c>
      <c r="T6431" t="s">
        <v>13134</v>
      </c>
      <c r="U6431" t="s">
        <v>13134</v>
      </c>
      <c r="V6431" t="s">
        <v>13134</v>
      </c>
      <c r="W6431" t="s">
        <v>19494</v>
      </c>
      <c r="X6431">
        <v>5</v>
      </c>
      <c r="Y6431" t="s">
        <v>25841</v>
      </c>
      <c r="Z6431" t="s">
        <v>32399</v>
      </c>
      <c r="AA6431">
        <v>0.3765496156888597</v>
      </c>
      <c r="AB6431" t="str">
        <f>HYPERLINK("Melting_Curves/meltCurve_Q9Y3I1_FBXO7.pdf", "Melting_Curves/meltCurve_Q9Y3I1_FBXO7.pdf")</f>
        <v>Melting_Curves/meltCurve_Q9Y3I1_FBXO7.pdf</v>
      </c>
    </row>
    <row r="6432" spans="1:28" x14ac:dyDescent="0.25">
      <c r="A6432" t="s">
        <v>6436</v>
      </c>
      <c r="B6432">
        <v>0.99472303558308395</v>
      </c>
      <c r="C6432">
        <v>0.96200198782963997</v>
      </c>
      <c r="D6432">
        <v>0.91816653057397102</v>
      </c>
      <c r="E6432">
        <v>0.77925945826445797</v>
      </c>
      <c r="F6432">
        <v>0.64865916738136797</v>
      </c>
      <c r="G6432">
        <v>0.296422080653928</v>
      </c>
      <c r="H6432">
        <v>0.12223524585692699</v>
      </c>
      <c r="I6432">
        <v>5.8505461124762903E-2</v>
      </c>
      <c r="J6432">
        <v>7.6764063148671E-2</v>
      </c>
      <c r="K6432">
        <v>5.5452033466391298E-2</v>
      </c>
      <c r="L6432">
        <v>808.98272975215195</v>
      </c>
      <c r="M6432">
        <v>15.831968486446399</v>
      </c>
      <c r="N6432">
        <v>51.172879607635899</v>
      </c>
      <c r="O6432">
        <v>50.303650895472799</v>
      </c>
      <c r="P6432">
        <v>-7.7788061948497203E-2</v>
      </c>
      <c r="Q6432">
        <v>1.1442278702346801E-2</v>
      </c>
      <c r="R6432">
        <v>0.99136157606173603</v>
      </c>
      <c r="S6432" t="s">
        <v>13000</v>
      </c>
      <c r="T6432" t="s">
        <v>13134</v>
      </c>
      <c r="U6432" t="s">
        <v>13134</v>
      </c>
      <c r="V6432" t="s">
        <v>13134</v>
      </c>
      <c r="W6432" t="s">
        <v>17266</v>
      </c>
      <c r="X6432">
        <v>18</v>
      </c>
      <c r="Y6432" t="s">
        <v>23649</v>
      </c>
      <c r="Z6432" t="s">
        <v>32400</v>
      </c>
      <c r="AA6432">
        <v>0.49444057158388699</v>
      </c>
      <c r="AB6432" t="str">
        <f>HYPERLINK("Melting_Curves/meltCurve_Q9Y3L3_SH3BP1.pdf", "Melting_Curves/meltCurve_Q9Y3L3_SH3BP1.pdf")</f>
        <v>Melting_Curves/meltCurve_Q9Y3L3_SH3BP1.pdf</v>
      </c>
    </row>
    <row r="6433" spans="1:28" x14ac:dyDescent="0.25">
      <c r="A6433" t="s">
        <v>6437</v>
      </c>
      <c r="B6433">
        <v>0.99472303558308395</v>
      </c>
      <c r="C6433">
        <v>0.98669272495486504</v>
      </c>
      <c r="D6433">
        <v>0.96669475060657195</v>
      </c>
      <c r="E6433">
        <v>0.91322861916408504</v>
      </c>
      <c r="F6433">
        <v>0.81252006365712603</v>
      </c>
      <c r="G6433">
        <v>0.58875803201614096</v>
      </c>
      <c r="H6433">
        <v>0.51696008416830497</v>
      </c>
      <c r="I6433">
        <v>0.47829573310791401</v>
      </c>
      <c r="J6433">
        <v>0.55481535789723302</v>
      </c>
      <c r="K6433">
        <v>0.48769760489278102</v>
      </c>
      <c r="L6433">
        <v>1169.4013039777101</v>
      </c>
      <c r="M6433">
        <v>23.016483143476702</v>
      </c>
      <c r="N6433">
        <v>64.369767765211293</v>
      </c>
      <c r="O6433">
        <v>50.428258989433303</v>
      </c>
      <c r="P6433">
        <v>-5.7500448773025098E-2</v>
      </c>
      <c r="Q6433">
        <v>0.49608403673234602</v>
      </c>
      <c r="R6433">
        <v>0.98449123818508399</v>
      </c>
      <c r="S6433" t="s">
        <v>13001</v>
      </c>
      <c r="T6433" t="s">
        <v>13134</v>
      </c>
      <c r="U6433" t="s">
        <v>13134</v>
      </c>
      <c r="V6433" t="s">
        <v>13134</v>
      </c>
      <c r="W6433" t="s">
        <v>19495</v>
      </c>
      <c r="X6433">
        <v>8</v>
      </c>
      <c r="Y6433" t="s">
        <v>25842</v>
      </c>
      <c r="Z6433" t="s">
        <v>32401</v>
      </c>
      <c r="AA6433">
        <v>0.73317391459063308</v>
      </c>
      <c r="AB6433" t="str">
        <f>HYPERLINK("Melting_Curves/meltCurve_Q9Y3L5_RAP2C.pdf", "Melting_Curves/meltCurve_Q9Y3L5_RAP2C.pdf")</f>
        <v>Melting_Curves/meltCurve_Q9Y3L5_RAP2C.pdf</v>
      </c>
    </row>
    <row r="6434" spans="1:28" x14ac:dyDescent="0.25">
      <c r="A6434" t="s">
        <v>6438</v>
      </c>
      <c r="B6434">
        <v>0.99472303558308395</v>
      </c>
      <c r="C6434">
        <v>1.0125029508254</v>
      </c>
      <c r="D6434">
        <v>0.93866324707066995</v>
      </c>
      <c r="E6434">
        <v>0.72320174486269995</v>
      </c>
      <c r="F6434">
        <v>0.38816795055384301</v>
      </c>
      <c r="G6434">
        <v>0.16186461724876999</v>
      </c>
      <c r="H6434">
        <v>8.9963918111102201E-2</v>
      </c>
      <c r="I6434">
        <v>5.7414246628990702E-2</v>
      </c>
      <c r="J6434">
        <v>5.49957603988133E-2</v>
      </c>
      <c r="K6434">
        <v>4.6260369312249E-2</v>
      </c>
      <c r="L6434">
        <v>989.17947008976603</v>
      </c>
      <c r="M6434">
        <v>20.3054413681817</v>
      </c>
      <c r="N6434">
        <v>48.939067484731702</v>
      </c>
      <c r="O6434">
        <v>48.249892443257401</v>
      </c>
      <c r="P6434">
        <v>-0.10054263198138801</v>
      </c>
      <c r="Q6434">
        <v>4.43896570485246E-2</v>
      </c>
      <c r="R6434">
        <v>0.99959280737052902</v>
      </c>
      <c r="S6434" t="s">
        <v>13002</v>
      </c>
      <c r="T6434" t="s">
        <v>13134</v>
      </c>
      <c r="U6434" t="s">
        <v>13134</v>
      </c>
      <c r="V6434" t="s">
        <v>13134</v>
      </c>
      <c r="W6434" t="s">
        <v>19496</v>
      </c>
      <c r="X6434">
        <v>11</v>
      </c>
      <c r="Y6434" t="s">
        <v>25843</v>
      </c>
      <c r="Z6434" t="s">
        <v>32402</v>
      </c>
      <c r="AA6434">
        <v>0.42979055226414092</v>
      </c>
      <c r="AB6434" t="str">
        <f>HYPERLINK("Melting_Curves/meltCurve_Q9Y3P9_RABGAP1.pdf", "Melting_Curves/meltCurve_Q9Y3P9_RABGAP1.pdf")</f>
        <v>Melting_Curves/meltCurve_Q9Y3P9_RABGAP1.pdf</v>
      </c>
    </row>
    <row r="6435" spans="1:28" x14ac:dyDescent="0.25">
      <c r="A6435" t="s">
        <v>6439</v>
      </c>
      <c r="B6435">
        <v>0.99472303558308395</v>
      </c>
      <c r="C6435">
        <v>0.80624299631176399</v>
      </c>
      <c r="D6435">
        <v>1.1355944801576201</v>
      </c>
      <c r="E6435">
        <v>0.59241061563197395</v>
      </c>
      <c r="F6435">
        <v>0.33951937016220901</v>
      </c>
      <c r="G6435">
        <v>0.140619820253191</v>
      </c>
      <c r="H6435">
        <v>7.5835334306365895E-2</v>
      </c>
      <c r="I6435">
        <v>6.0350691656833197E-2</v>
      </c>
      <c r="J6435">
        <v>8.4762713970553502E-2</v>
      </c>
      <c r="K6435">
        <v>6.0580055814907698E-2</v>
      </c>
      <c r="L6435">
        <v>1174.65501653919</v>
      </c>
      <c r="M6435">
        <v>24.585989984149901</v>
      </c>
      <c r="N6435">
        <v>48.084802084898101</v>
      </c>
      <c r="O6435">
        <v>47.464701561532301</v>
      </c>
      <c r="P6435">
        <v>-0.120080937373581</v>
      </c>
      <c r="Q6435">
        <v>7.2720131961545795E-2</v>
      </c>
      <c r="R6435">
        <v>0.94849634950449602</v>
      </c>
      <c r="S6435" t="s">
        <v>13003</v>
      </c>
      <c r="T6435" t="s">
        <v>13134</v>
      </c>
      <c r="U6435" t="s">
        <v>13134</v>
      </c>
      <c r="V6435" t="s">
        <v>13134</v>
      </c>
      <c r="W6435" t="s">
        <v>19497</v>
      </c>
      <c r="X6435">
        <v>1</v>
      </c>
      <c r="Y6435" t="s">
        <v>25844</v>
      </c>
      <c r="Z6435" t="s">
        <v>32403</v>
      </c>
      <c r="AA6435">
        <v>0.41398443981201588</v>
      </c>
      <c r="AB6435" t="str">
        <f>HYPERLINK("Melting_Curves/meltCurve_Q9Y3Q3_TMED3.pdf", "Melting_Curves/meltCurve_Q9Y3Q3_TMED3.pdf")</f>
        <v>Melting_Curves/meltCurve_Q9Y3Q3_TMED3.pdf</v>
      </c>
    </row>
    <row r="6436" spans="1:28" x14ac:dyDescent="0.25">
      <c r="A6436" t="s">
        <v>6440</v>
      </c>
      <c r="B6436">
        <v>0.99472303558308395</v>
      </c>
      <c r="C6436">
        <v>0.95027113042454603</v>
      </c>
      <c r="D6436">
        <v>0.91097098198840398</v>
      </c>
      <c r="E6436">
        <v>0.76928680523995996</v>
      </c>
      <c r="F6436">
        <v>0.42291807377674401</v>
      </c>
      <c r="G6436">
        <v>0.17716186297209999</v>
      </c>
      <c r="H6436">
        <v>9.2246882169905203E-2</v>
      </c>
      <c r="I6436">
        <v>7.8002185913657304E-2</v>
      </c>
      <c r="J6436">
        <v>7.2887512542255395E-2</v>
      </c>
      <c r="K6436">
        <v>7.2792533563013101E-2</v>
      </c>
      <c r="L6436">
        <v>983.39580286402702</v>
      </c>
      <c r="M6436">
        <v>20.072294254326799</v>
      </c>
      <c r="N6436">
        <v>49.294669323284197</v>
      </c>
      <c r="O6436">
        <v>48.514189272619198</v>
      </c>
      <c r="P6436">
        <v>-9.7454514863058006E-2</v>
      </c>
      <c r="Q6436">
        <v>5.7850581378259901E-2</v>
      </c>
      <c r="R6436">
        <v>0.99749759144276995</v>
      </c>
      <c r="S6436" t="s">
        <v>13004</v>
      </c>
      <c r="T6436" t="s">
        <v>13134</v>
      </c>
      <c r="U6436" t="s">
        <v>13134</v>
      </c>
      <c r="V6436" t="s">
        <v>13134</v>
      </c>
      <c r="W6436" t="s">
        <v>19498</v>
      </c>
      <c r="X6436">
        <v>12</v>
      </c>
      <c r="Y6436" t="s">
        <v>25845</v>
      </c>
      <c r="Z6436" t="s">
        <v>32404</v>
      </c>
      <c r="AA6436">
        <v>0.44681180291613459</v>
      </c>
      <c r="AB6436" t="str">
        <f>HYPERLINK("Melting_Curves/meltCurve_Q9Y3Q8_TSC22D4.pdf", "Melting_Curves/meltCurve_Q9Y3Q8_TSC22D4.pdf")</f>
        <v>Melting_Curves/meltCurve_Q9Y3Q8_TSC22D4.pdf</v>
      </c>
    </row>
    <row r="6437" spans="1:28" x14ac:dyDescent="0.25">
      <c r="A6437" t="s">
        <v>6441</v>
      </c>
      <c r="B6437">
        <v>0.99472303558308395</v>
      </c>
      <c r="C6437">
        <v>0.86204477655660705</v>
      </c>
      <c r="D6437">
        <v>0.98719525707128297</v>
      </c>
      <c r="E6437">
        <v>0.54582493431513102</v>
      </c>
      <c r="F6437">
        <v>0.27882800507522498</v>
      </c>
      <c r="G6437">
        <v>0.208379714147402</v>
      </c>
      <c r="H6437">
        <v>0.16560242812619999</v>
      </c>
      <c r="I6437">
        <v>0.136963634841481</v>
      </c>
      <c r="J6437">
        <v>0.19619542319834399</v>
      </c>
      <c r="K6437">
        <v>0.12615252815765199</v>
      </c>
      <c r="L6437">
        <v>1324.08069038029</v>
      </c>
      <c r="M6437">
        <v>28.4625738783113</v>
      </c>
      <c r="N6437">
        <v>47.179905903339801</v>
      </c>
      <c r="O6437">
        <v>46.2922331200947</v>
      </c>
      <c r="P6437">
        <v>-0.12847419229538601</v>
      </c>
      <c r="Q6437">
        <v>0.16419221096181</v>
      </c>
      <c r="R6437">
        <v>0.97834219380062304</v>
      </c>
      <c r="S6437" t="s">
        <v>13005</v>
      </c>
      <c r="T6437" t="s">
        <v>13134</v>
      </c>
      <c r="U6437" t="s">
        <v>13134</v>
      </c>
      <c r="V6437" t="s">
        <v>13134</v>
      </c>
      <c r="W6437" t="s">
        <v>19499</v>
      </c>
      <c r="X6437">
        <v>10</v>
      </c>
      <c r="Y6437" t="s">
        <v>25846</v>
      </c>
      <c r="Z6437" t="s">
        <v>32405</v>
      </c>
      <c r="AA6437">
        <v>0.43478076259570492</v>
      </c>
      <c r="AB6437" t="str">
        <f>HYPERLINK("Melting_Curves/meltCurve_Q9Y3S2_ZNF330.pdf", "Melting_Curves/meltCurve_Q9Y3S2_ZNF330.pdf")</f>
        <v>Melting_Curves/meltCurve_Q9Y3S2_ZNF330.pdf</v>
      </c>
    </row>
    <row r="6438" spans="1:28" x14ac:dyDescent="0.25">
      <c r="A6438" t="s">
        <v>6442</v>
      </c>
      <c r="B6438">
        <v>0.99472303558308395</v>
      </c>
      <c r="C6438">
        <v>1.0008644962575699</v>
      </c>
      <c r="D6438">
        <v>0.90518933955570902</v>
      </c>
      <c r="E6438">
        <v>0.710219613662044</v>
      </c>
      <c r="F6438">
        <v>0.28806998897349101</v>
      </c>
      <c r="G6438">
        <v>0.128763332451894</v>
      </c>
      <c r="H6438">
        <v>6.9181306354505201E-2</v>
      </c>
      <c r="I6438">
        <v>4.2608854201954101E-2</v>
      </c>
      <c r="J6438">
        <v>2.8347040326825002E-2</v>
      </c>
      <c r="K6438">
        <v>3.3948066995212599E-2</v>
      </c>
      <c r="L6438">
        <v>1077.1175504985299</v>
      </c>
      <c r="M6438">
        <v>22.377046190367398</v>
      </c>
      <c r="N6438">
        <v>48.286028713038903</v>
      </c>
      <c r="O6438">
        <v>47.755449029834701</v>
      </c>
      <c r="P6438">
        <v>-0.113185325218201</v>
      </c>
      <c r="Q6438">
        <v>3.3812786020545701E-2</v>
      </c>
      <c r="R6438">
        <v>0.99852267534619599</v>
      </c>
      <c r="S6438" t="s">
        <v>13006</v>
      </c>
      <c r="T6438" t="s">
        <v>13134</v>
      </c>
      <c r="U6438" t="s">
        <v>13134</v>
      </c>
      <c r="V6438" t="s">
        <v>13134</v>
      </c>
      <c r="W6438" t="s">
        <v>19500</v>
      </c>
      <c r="X6438">
        <v>6</v>
      </c>
      <c r="Y6438" t="s">
        <v>25847</v>
      </c>
      <c r="Z6438" t="s">
        <v>32406</v>
      </c>
      <c r="AA6438">
        <v>0.40267438273310002</v>
      </c>
      <c r="AB6438" t="str">
        <f>HYPERLINK("Melting_Curves/meltCurve_Q9Y3T6_R3HCC1.pdf", "Melting_Curves/meltCurve_Q9Y3T6_R3HCC1.pdf")</f>
        <v>Melting_Curves/meltCurve_Q9Y3T6_R3HCC1.pdf</v>
      </c>
    </row>
    <row r="6439" spans="1:28" x14ac:dyDescent="0.25">
      <c r="A6439" t="s">
        <v>6443</v>
      </c>
      <c r="B6439">
        <v>0.99472303558308395</v>
      </c>
      <c r="C6439">
        <v>0.93811300060301706</v>
      </c>
      <c r="D6439">
        <v>0.87742719291284899</v>
      </c>
      <c r="E6439">
        <v>0.75443407731952905</v>
      </c>
      <c r="F6439">
        <v>0.31834410265838298</v>
      </c>
      <c r="G6439">
        <v>8.4681023795341606E-2</v>
      </c>
      <c r="H6439">
        <v>5.23664339769985E-2</v>
      </c>
      <c r="I6439">
        <v>3.89975474420209E-2</v>
      </c>
      <c r="J6439">
        <v>3.7959036155466398E-2</v>
      </c>
      <c r="K6439">
        <v>2.99171140109682E-2</v>
      </c>
      <c r="L6439">
        <v>1115.61879338363</v>
      </c>
      <c r="M6439">
        <v>23.0360179433962</v>
      </c>
      <c r="N6439">
        <v>48.533081993294502</v>
      </c>
      <c r="O6439">
        <v>48.068795049549401</v>
      </c>
      <c r="P6439">
        <v>-0.11693107799022</v>
      </c>
      <c r="Q6439">
        <v>2.4027258537284199E-2</v>
      </c>
      <c r="R6439">
        <v>0.99351625178502101</v>
      </c>
      <c r="S6439" t="s">
        <v>13007</v>
      </c>
      <c r="T6439" t="s">
        <v>13134</v>
      </c>
      <c r="U6439" t="s">
        <v>13134</v>
      </c>
      <c r="V6439" t="s">
        <v>13134</v>
      </c>
      <c r="W6439" t="s">
        <v>19501</v>
      </c>
      <c r="X6439">
        <v>11</v>
      </c>
      <c r="Y6439" t="s">
        <v>25848</v>
      </c>
      <c r="Z6439" t="s">
        <v>32407</v>
      </c>
      <c r="AA6439">
        <v>0.40566661873564669</v>
      </c>
      <c r="AB6439" t="str">
        <f>HYPERLINK("Melting_Curves/meltCurve_Q9Y3T9_NOC2L.pdf", "Melting_Curves/meltCurve_Q9Y3T9_NOC2L.pdf")</f>
        <v>Melting_Curves/meltCurve_Q9Y3T9_NOC2L.pdf</v>
      </c>
    </row>
    <row r="6440" spans="1:28" x14ac:dyDescent="0.25">
      <c r="A6440" t="s">
        <v>6444</v>
      </c>
      <c r="B6440">
        <v>0.99472303558308395</v>
      </c>
      <c r="C6440">
        <v>0.771247399934754</v>
      </c>
      <c r="D6440">
        <v>0.86729432740443302</v>
      </c>
      <c r="E6440">
        <v>0.71752209458232696</v>
      </c>
      <c r="F6440">
        <v>0.78094315826900396</v>
      </c>
      <c r="G6440">
        <v>0.39848849401943498</v>
      </c>
      <c r="H6440">
        <v>0.216817512457774</v>
      </c>
      <c r="I6440">
        <v>0.19159600357457399</v>
      </c>
      <c r="J6440">
        <v>0.14997849302317301</v>
      </c>
      <c r="K6440">
        <v>0.21766705462244601</v>
      </c>
      <c r="L6440">
        <v>452.087448123152</v>
      </c>
      <c r="M6440">
        <v>8.6379189946680004</v>
      </c>
      <c r="N6440">
        <v>52.337541978080701</v>
      </c>
      <c r="O6440">
        <v>49.759192188803098</v>
      </c>
      <c r="P6440">
        <v>-4.3435414415811897E-2</v>
      </c>
      <c r="Q6440">
        <v>0</v>
      </c>
      <c r="R6440">
        <v>0.91038202491169595</v>
      </c>
      <c r="S6440" t="s">
        <v>13008</v>
      </c>
      <c r="T6440" t="s">
        <v>13134</v>
      </c>
      <c r="U6440" t="s">
        <v>13134</v>
      </c>
      <c r="V6440" t="s">
        <v>13134</v>
      </c>
      <c r="W6440" t="s">
        <v>19502</v>
      </c>
      <c r="X6440">
        <v>3</v>
      </c>
      <c r="Y6440" t="s">
        <v>25849</v>
      </c>
      <c r="Z6440" t="s">
        <v>32408</v>
      </c>
      <c r="AA6440">
        <v>0.53747226769967782</v>
      </c>
      <c r="AB6440" t="str">
        <f>HYPERLINK("Melting_Curves/meltCurve_Q9Y3U8_RPL36.pdf", "Melting_Curves/meltCurve_Q9Y3U8_RPL36.pdf")</f>
        <v>Melting_Curves/meltCurve_Q9Y3U8_RPL36.pdf</v>
      </c>
    </row>
    <row r="6441" spans="1:28" x14ac:dyDescent="0.25">
      <c r="A6441" t="s">
        <v>6445</v>
      </c>
      <c r="B6441">
        <v>0.99472303558308395</v>
      </c>
      <c r="C6441">
        <v>0.95118765494120705</v>
      </c>
      <c r="D6441">
        <v>0.95294121951464905</v>
      </c>
      <c r="E6441">
        <v>0.82910922703065804</v>
      </c>
      <c r="F6441">
        <v>0.67293826958953096</v>
      </c>
      <c r="G6441">
        <v>0.49339200171286401</v>
      </c>
      <c r="H6441">
        <v>0.81317090138218895</v>
      </c>
      <c r="I6441">
        <v>1.4216037678376801</v>
      </c>
      <c r="J6441">
        <v>2.3355926537240501</v>
      </c>
      <c r="K6441">
        <v>1.56580243949794</v>
      </c>
      <c r="L6441">
        <v>15000</v>
      </c>
      <c r="M6441">
        <v>247.58402801655299</v>
      </c>
      <c r="O6441">
        <v>60.581536738269797</v>
      </c>
      <c r="P6441">
        <v>0.510848757010543</v>
      </c>
      <c r="Q6441">
        <v>1.5</v>
      </c>
      <c r="R6441">
        <v>0.56481510663540002</v>
      </c>
      <c r="S6441" t="s">
        <v>13009</v>
      </c>
      <c r="T6441" t="s">
        <v>13134</v>
      </c>
      <c r="U6441" t="s">
        <v>13134</v>
      </c>
      <c r="V6441" t="s">
        <v>13134</v>
      </c>
      <c r="W6441" t="s">
        <v>19503</v>
      </c>
      <c r="X6441">
        <v>15</v>
      </c>
      <c r="Y6441" t="s">
        <v>25850</v>
      </c>
      <c r="Z6441" t="s">
        <v>32409</v>
      </c>
      <c r="AA6441">
        <v>1.106854270528763</v>
      </c>
      <c r="AB6441" t="str">
        <f>HYPERLINK("Melting_Curves/meltCurve_Q9Y3X0_CCDC9.pdf", "Melting_Curves/meltCurve_Q9Y3X0_CCDC9.pdf")</f>
        <v>Melting_Curves/meltCurve_Q9Y3X0_CCDC9.pdf</v>
      </c>
    </row>
    <row r="6442" spans="1:28" x14ac:dyDescent="0.25">
      <c r="A6442" t="s">
        <v>6446</v>
      </c>
      <c r="B6442">
        <v>0.99472303558308395</v>
      </c>
      <c r="C6442">
        <v>0.89376299489069999</v>
      </c>
      <c r="D6442">
        <v>0.81446870751620504</v>
      </c>
      <c r="E6442">
        <v>0.70253736231423503</v>
      </c>
      <c r="F6442">
        <v>0.47336896315531202</v>
      </c>
      <c r="G6442">
        <v>0.169159591359203</v>
      </c>
      <c r="H6442">
        <v>9.2383948415936501E-2</v>
      </c>
      <c r="I6442">
        <v>6.12108334768309E-2</v>
      </c>
      <c r="J6442">
        <v>6.4443947648940403E-2</v>
      </c>
      <c r="K6442">
        <v>7.3866793692988195E-2</v>
      </c>
      <c r="L6442">
        <v>658.82776269997396</v>
      </c>
      <c r="M6442">
        <v>13.4771165285621</v>
      </c>
      <c r="N6442">
        <v>48.951434503804897</v>
      </c>
      <c r="O6442">
        <v>47.846268393661703</v>
      </c>
      <c r="P6442">
        <v>-6.9790655261254705E-2</v>
      </c>
      <c r="Q6442">
        <v>9.0729305017140296E-3</v>
      </c>
      <c r="R6442">
        <v>0.98637383401647505</v>
      </c>
      <c r="S6442" t="s">
        <v>13010</v>
      </c>
      <c r="T6442" t="s">
        <v>13134</v>
      </c>
      <c r="U6442" t="s">
        <v>13134</v>
      </c>
      <c r="V6442" t="s">
        <v>13134</v>
      </c>
      <c r="W6442" t="s">
        <v>19504</v>
      </c>
      <c r="X6442">
        <v>4</v>
      </c>
      <c r="Y6442" t="s">
        <v>25851</v>
      </c>
      <c r="Z6442" t="s">
        <v>32410</v>
      </c>
      <c r="AA6442">
        <v>0.42681748649753343</v>
      </c>
      <c r="AB6442" t="str">
        <f>HYPERLINK("Melting_Curves/meltCurve_Q9Y3Y2_4_CHTOP.pdf", "Melting_Curves/meltCurve_Q9Y3Y2_4_CHTOP.pdf")</f>
        <v>Melting_Curves/meltCurve_Q9Y3Y2_4_CHTOP.pdf</v>
      </c>
    </row>
    <row r="6443" spans="1:28" x14ac:dyDescent="0.25">
      <c r="A6443" t="s">
        <v>6447</v>
      </c>
      <c r="B6443">
        <v>0.99472303558308395</v>
      </c>
      <c r="C6443">
        <v>0.97619427668507497</v>
      </c>
      <c r="D6443">
        <v>0.89110886129071998</v>
      </c>
      <c r="E6443">
        <v>0.80368738460163802</v>
      </c>
      <c r="F6443">
        <v>0.62670977579151099</v>
      </c>
      <c r="G6443">
        <v>0.29793160438010502</v>
      </c>
      <c r="H6443">
        <v>0.114554925423793</v>
      </c>
      <c r="I6443">
        <v>6.8290476248276499E-2</v>
      </c>
      <c r="J6443">
        <v>6.3055085804623906E-2</v>
      </c>
      <c r="K6443">
        <v>4.8396562361880502E-2</v>
      </c>
      <c r="L6443">
        <v>809.48623405110402</v>
      </c>
      <c r="M6443">
        <v>15.8505883158301</v>
      </c>
      <c r="N6443">
        <v>51.116133528977002</v>
      </c>
      <c r="O6443">
        <v>50.277646686109598</v>
      </c>
      <c r="P6443">
        <v>-7.8259408871525799E-2</v>
      </c>
      <c r="Q6443">
        <v>7.1336852891086501E-3</v>
      </c>
      <c r="R6443">
        <v>0.99345495532189598</v>
      </c>
      <c r="S6443" t="s">
        <v>13011</v>
      </c>
      <c r="T6443" t="s">
        <v>13134</v>
      </c>
      <c r="U6443" t="s">
        <v>13134</v>
      </c>
      <c r="V6443" t="s">
        <v>13134</v>
      </c>
      <c r="W6443" t="s">
        <v>19505</v>
      </c>
      <c r="X6443">
        <v>22</v>
      </c>
      <c r="Y6443" t="s">
        <v>25852</v>
      </c>
      <c r="Z6443" t="s">
        <v>32411</v>
      </c>
      <c r="AA6443">
        <v>0.49129118263011518</v>
      </c>
      <c r="AB6443" t="str">
        <f>HYPERLINK("Melting_Curves/meltCurve_Q9Y3Z3_SAMHD1.pdf", "Melting_Curves/meltCurve_Q9Y3Z3_SAMHD1.pdf")</f>
        <v>Melting_Curves/meltCurve_Q9Y3Z3_SAMHD1.pdf</v>
      </c>
    </row>
    <row r="6444" spans="1:28" x14ac:dyDescent="0.25">
      <c r="A6444" t="s">
        <v>6448</v>
      </c>
      <c r="B6444">
        <v>0.99472303558308395</v>
      </c>
      <c r="C6444">
        <v>1.04922992208822</v>
      </c>
      <c r="D6444">
        <v>0.82395521038617103</v>
      </c>
      <c r="E6444">
        <v>0.66469074140944595</v>
      </c>
      <c r="F6444">
        <v>0.58232740693983198</v>
      </c>
      <c r="G6444">
        <v>0.281194595246892</v>
      </c>
      <c r="H6444">
        <v>0.103330751712448</v>
      </c>
      <c r="I6444">
        <v>0.105498291420701</v>
      </c>
      <c r="J6444">
        <v>7.5586928545335302E-2</v>
      </c>
      <c r="K6444">
        <v>5.57065089458499E-2</v>
      </c>
      <c r="L6444">
        <v>622.59897412334305</v>
      </c>
      <c r="M6444">
        <v>12.440361827624301</v>
      </c>
      <c r="N6444">
        <v>50.046701787318902</v>
      </c>
      <c r="O6444">
        <v>48.806278929513503</v>
      </c>
      <c r="P6444">
        <v>-6.3736520830671106E-2</v>
      </c>
      <c r="Q6444">
        <v>0</v>
      </c>
      <c r="R6444">
        <v>0.98039261161189595</v>
      </c>
      <c r="S6444" t="s">
        <v>13012</v>
      </c>
      <c r="T6444" t="s">
        <v>13134</v>
      </c>
      <c r="U6444" t="s">
        <v>13134</v>
      </c>
      <c r="V6444" t="s">
        <v>13134</v>
      </c>
      <c r="W6444" t="s">
        <v>19506</v>
      </c>
      <c r="X6444">
        <v>1</v>
      </c>
      <c r="Y6444" t="s">
        <v>25853</v>
      </c>
      <c r="Z6444" t="s">
        <v>32412</v>
      </c>
      <c r="AA6444">
        <v>0.46163041908793612</v>
      </c>
      <c r="AB6444" t="str">
        <f>HYPERLINK("Melting_Curves/meltCurve_Q9Y426_2_C2CD2.pdf", "Melting_Curves/meltCurve_Q9Y426_2_C2CD2.pdf")</f>
        <v>Melting_Curves/meltCurve_Q9Y426_2_C2CD2.pdf</v>
      </c>
    </row>
    <row r="6445" spans="1:28" x14ac:dyDescent="0.25">
      <c r="A6445" t="s">
        <v>6449</v>
      </c>
      <c r="B6445">
        <v>0.99472303558308395</v>
      </c>
      <c r="C6445">
        <v>0.88035167149022298</v>
      </c>
      <c r="D6445">
        <v>0.79866686828440003</v>
      </c>
      <c r="E6445">
        <v>0.460389170544589</v>
      </c>
      <c r="F6445">
        <v>0.147941215402981</v>
      </c>
      <c r="G6445">
        <v>8.3608830695749897E-2</v>
      </c>
      <c r="H6445">
        <v>4.8778807612381903E-2</v>
      </c>
      <c r="I6445">
        <v>4.2277386218966401E-2</v>
      </c>
      <c r="J6445">
        <v>4.60786403552053E-2</v>
      </c>
      <c r="K6445">
        <v>4.3677177233831702E-2</v>
      </c>
      <c r="L6445">
        <v>875.62571613178602</v>
      </c>
      <c r="M6445">
        <v>19.118932728007302</v>
      </c>
      <c r="N6445">
        <v>45.957175782310898</v>
      </c>
      <c r="O6445">
        <v>45.306667139647097</v>
      </c>
      <c r="P6445">
        <v>-0.102139564140282</v>
      </c>
      <c r="Q6445">
        <v>3.1865924829438501E-2</v>
      </c>
      <c r="R6445">
        <v>0.99524051850159401</v>
      </c>
      <c r="S6445" t="s">
        <v>13013</v>
      </c>
      <c r="T6445" t="s">
        <v>13134</v>
      </c>
      <c r="U6445" t="s">
        <v>13134</v>
      </c>
      <c r="V6445" t="s">
        <v>13134</v>
      </c>
      <c r="W6445" t="s">
        <v>19507</v>
      </c>
      <c r="X6445">
        <v>16</v>
      </c>
      <c r="Y6445" t="s">
        <v>25854</v>
      </c>
      <c r="Z6445" t="s">
        <v>32413</v>
      </c>
      <c r="AA6445">
        <v>0.32969444512583118</v>
      </c>
      <c r="AB6445" t="str">
        <f>HYPERLINK("Melting_Curves/meltCurve_Q9Y446_PKP3.pdf", "Melting_Curves/meltCurve_Q9Y446_PKP3.pdf")</f>
        <v>Melting_Curves/meltCurve_Q9Y446_PKP3.pdf</v>
      </c>
    </row>
    <row r="6446" spans="1:28" x14ac:dyDescent="0.25">
      <c r="A6446" t="s">
        <v>6450</v>
      </c>
      <c r="B6446">
        <v>0.99472303558308395</v>
      </c>
      <c r="C6446">
        <v>0.90821483091661304</v>
      </c>
      <c r="D6446">
        <v>0.74520403255225798</v>
      </c>
      <c r="E6446">
        <v>0.49848443326593</v>
      </c>
      <c r="F6446">
        <v>0.38093771557498102</v>
      </c>
      <c r="G6446">
        <v>0.26931981302230001</v>
      </c>
      <c r="H6446">
        <v>0.23556053769568799</v>
      </c>
      <c r="I6446">
        <v>0.14552445929382801</v>
      </c>
      <c r="J6446">
        <v>0.12523085029423101</v>
      </c>
      <c r="K6446">
        <v>0.10806155774776501</v>
      </c>
      <c r="L6446">
        <v>548.87664829379901</v>
      </c>
      <c r="M6446">
        <v>11.829628966980399</v>
      </c>
      <c r="N6446">
        <v>47.362146155950299</v>
      </c>
      <c r="O6446">
        <v>45.1321593554974</v>
      </c>
      <c r="P6446">
        <v>-5.8533784711300503E-2</v>
      </c>
      <c r="Q6446">
        <v>0.10696041785721799</v>
      </c>
      <c r="R6446">
        <v>0.99292621611203802</v>
      </c>
      <c r="S6446" t="s">
        <v>13014</v>
      </c>
      <c r="T6446" t="s">
        <v>13134</v>
      </c>
      <c r="U6446" t="s">
        <v>13134</v>
      </c>
      <c r="V6446" t="s">
        <v>13134</v>
      </c>
      <c r="W6446" t="s">
        <v>19508</v>
      </c>
      <c r="X6446">
        <v>8</v>
      </c>
      <c r="Y6446" t="s">
        <v>25855</v>
      </c>
      <c r="Z6446" t="s">
        <v>32414</v>
      </c>
      <c r="AA6446">
        <v>0.41766375922101839</v>
      </c>
      <c r="AB6446" t="str">
        <f>HYPERLINK("Melting_Curves/meltCurve_Q9Y448_KNSTRN.pdf", "Melting_Curves/meltCurve_Q9Y448_KNSTRN.pdf")</f>
        <v>Melting_Curves/meltCurve_Q9Y448_KNSTRN.pdf</v>
      </c>
    </row>
    <row r="6447" spans="1:28" x14ac:dyDescent="0.25">
      <c r="A6447" t="s">
        <v>6451</v>
      </c>
      <c r="B6447">
        <v>0.99472303558308395</v>
      </c>
      <c r="C6447">
        <v>0.98088971998992103</v>
      </c>
      <c r="D6447">
        <v>0.96555358263740798</v>
      </c>
      <c r="E6447">
        <v>0.85972591377927499</v>
      </c>
      <c r="F6447">
        <v>0.579617996199846</v>
      </c>
      <c r="G6447">
        <v>0.19378984284262199</v>
      </c>
      <c r="H6447">
        <v>6.2164304350942702E-2</v>
      </c>
      <c r="I6447">
        <v>3.9722339840234697E-2</v>
      </c>
      <c r="J6447">
        <v>4.0059160629874802E-2</v>
      </c>
      <c r="K6447">
        <v>3.68586033192356E-2</v>
      </c>
      <c r="L6447">
        <v>1203.31588425164</v>
      </c>
      <c r="M6447">
        <v>23.7995918426064</v>
      </c>
      <c r="N6447">
        <v>50.662996528479802</v>
      </c>
      <c r="O6447">
        <v>50.207448222566299</v>
      </c>
      <c r="P6447">
        <v>-0.11571900802379401</v>
      </c>
      <c r="Q6447">
        <v>2.35359198598654E-2</v>
      </c>
      <c r="R6447">
        <v>0.99835800612804504</v>
      </c>
      <c r="S6447" t="s">
        <v>13015</v>
      </c>
      <c r="T6447" t="s">
        <v>13134</v>
      </c>
      <c r="U6447" t="s">
        <v>13134</v>
      </c>
      <c r="V6447" t="s">
        <v>13134</v>
      </c>
      <c r="W6447" t="s">
        <v>19509</v>
      </c>
      <c r="X6447">
        <v>26</v>
      </c>
      <c r="Y6447" t="s">
        <v>25856</v>
      </c>
      <c r="Z6447" t="s">
        <v>32415</v>
      </c>
      <c r="AA6447">
        <v>0.47432018825052241</v>
      </c>
      <c r="AB6447" t="str">
        <f>HYPERLINK("Melting_Curves/meltCurve_Q9Y450_4_HBS1L.pdf", "Melting_Curves/meltCurve_Q9Y450_4_HBS1L.pdf")</f>
        <v>Melting_Curves/meltCurve_Q9Y450_4_HBS1L.pdf</v>
      </c>
    </row>
    <row r="6448" spans="1:28" x14ac:dyDescent="0.25">
      <c r="A6448" t="s">
        <v>6452</v>
      </c>
      <c r="B6448">
        <v>0.99472303558308395</v>
      </c>
      <c r="C6448">
        <v>0.96340807206745505</v>
      </c>
      <c r="D6448">
        <v>0.75670805362466698</v>
      </c>
      <c r="E6448">
        <v>0.59363329596913506</v>
      </c>
      <c r="F6448">
        <v>0.36935397956641502</v>
      </c>
      <c r="G6448">
        <v>0.28275384868157999</v>
      </c>
      <c r="H6448">
        <v>0.18451121948666199</v>
      </c>
      <c r="I6448">
        <v>3.2079095964273899E-2</v>
      </c>
      <c r="J6448">
        <v>0.11336889255134</v>
      </c>
      <c r="K6448">
        <v>0.13433610419002601</v>
      </c>
      <c r="L6448">
        <v>593.19952505577101</v>
      </c>
      <c r="M6448">
        <v>12.5078231708651</v>
      </c>
      <c r="N6448">
        <v>48.011095486023002</v>
      </c>
      <c r="O6448">
        <v>46.262950306137597</v>
      </c>
      <c r="P6448">
        <v>-6.2827945204171398E-2</v>
      </c>
      <c r="Q6448">
        <v>7.0658608685416097E-2</v>
      </c>
      <c r="R6448">
        <v>0.98580463985518396</v>
      </c>
      <c r="S6448" t="s">
        <v>13016</v>
      </c>
      <c r="T6448" t="s">
        <v>13134</v>
      </c>
      <c r="U6448" t="s">
        <v>13134</v>
      </c>
      <c r="V6448" t="s">
        <v>13134</v>
      </c>
      <c r="W6448" t="s">
        <v>19510</v>
      </c>
      <c r="X6448">
        <v>1</v>
      </c>
      <c r="Y6448" t="s">
        <v>20334</v>
      </c>
      <c r="Z6448" t="s">
        <v>32416</v>
      </c>
      <c r="AA6448">
        <v>0.42169286562045522</v>
      </c>
      <c r="AB6448" t="str">
        <f>HYPERLINK("Melting_Curves/meltCurve_Q9Y467_SALL2.pdf", "Melting_Curves/meltCurve_Q9Y467_SALL2.pdf")</f>
        <v>Melting_Curves/meltCurve_Q9Y467_SALL2.pdf</v>
      </c>
    </row>
    <row r="6449" spans="1:28" x14ac:dyDescent="0.25">
      <c r="A6449" t="s">
        <v>6453</v>
      </c>
      <c r="B6449">
        <v>0.99472303558308395</v>
      </c>
      <c r="C6449">
        <v>1.0190637258742501</v>
      </c>
      <c r="D6449">
        <v>0.76638355272049496</v>
      </c>
      <c r="E6449">
        <v>0.68975698198673496</v>
      </c>
      <c r="F6449">
        <v>0.55721991929130099</v>
      </c>
      <c r="G6449">
        <v>0.265121974331126</v>
      </c>
      <c r="H6449">
        <v>0.12415033271622</v>
      </c>
      <c r="I6449">
        <v>6.7783528559864095E-2</v>
      </c>
      <c r="J6449">
        <v>5.6210464119771798E-2</v>
      </c>
      <c r="K6449">
        <v>5.7093889547277898E-2</v>
      </c>
      <c r="L6449">
        <v>608.00537558835003</v>
      </c>
      <c r="M6449">
        <v>12.223056430227</v>
      </c>
      <c r="N6449">
        <v>49.742514550972899</v>
      </c>
      <c r="O6449">
        <v>48.467262919177998</v>
      </c>
      <c r="P6449">
        <v>-6.3062153574754198E-2</v>
      </c>
      <c r="Q6449">
        <v>0</v>
      </c>
      <c r="R6449">
        <v>0.98141140463977605</v>
      </c>
      <c r="S6449" t="s">
        <v>13017</v>
      </c>
      <c r="T6449" t="s">
        <v>13134</v>
      </c>
      <c r="U6449" t="s">
        <v>13134</v>
      </c>
      <c r="V6449" t="s">
        <v>13134</v>
      </c>
      <c r="W6449" t="s">
        <v>19511</v>
      </c>
      <c r="X6449">
        <v>4</v>
      </c>
      <c r="Y6449" t="s">
        <v>25857</v>
      </c>
      <c r="Z6449" t="s">
        <v>32417</v>
      </c>
      <c r="AA6449">
        <v>0.45257236329737421</v>
      </c>
      <c r="AB6449" t="str">
        <f>HYPERLINK("Melting_Curves/meltCurve_Q9Y478_PRKAB1.pdf", "Melting_Curves/meltCurve_Q9Y478_PRKAB1.pdf")</f>
        <v>Melting_Curves/meltCurve_Q9Y478_PRKAB1.pdf</v>
      </c>
    </row>
    <row r="6450" spans="1:28" x14ac:dyDescent="0.25">
      <c r="A6450" t="s">
        <v>6454</v>
      </c>
      <c r="B6450">
        <v>0.99472303558308395</v>
      </c>
      <c r="C6450">
        <v>1.02706628002204</v>
      </c>
      <c r="D6450">
        <v>0.45823628337114197</v>
      </c>
      <c r="E6450">
        <v>0.23565842279161101</v>
      </c>
      <c r="F6450">
        <v>0.19430812603791101</v>
      </c>
      <c r="G6450">
        <v>8.2487623559532999E-2</v>
      </c>
      <c r="H6450">
        <v>7.8280147920074705E-2</v>
      </c>
      <c r="I6450">
        <v>5.5944029523952402E-2</v>
      </c>
      <c r="J6450">
        <v>6.3646230442182802E-2</v>
      </c>
      <c r="K6450">
        <v>4.3413583416363498E-2</v>
      </c>
      <c r="L6450">
        <v>1836.1704982277299</v>
      </c>
      <c r="M6450">
        <v>43.006796759860102</v>
      </c>
      <c r="N6450">
        <v>42.922694504343703</v>
      </c>
      <c r="O6450">
        <v>42.602871976587302</v>
      </c>
      <c r="P6450">
        <v>-0.22661936304540001</v>
      </c>
      <c r="Q6450">
        <v>0.10203733518920401</v>
      </c>
      <c r="R6450">
        <v>0.974534810738097</v>
      </c>
      <c r="S6450" t="s">
        <v>13018</v>
      </c>
      <c r="T6450" t="s">
        <v>13134</v>
      </c>
      <c r="U6450" t="s">
        <v>13134</v>
      </c>
      <c r="V6450" t="s">
        <v>13134</v>
      </c>
      <c r="W6450" t="s">
        <v>19512</v>
      </c>
      <c r="X6450">
        <v>1</v>
      </c>
      <c r="Y6450" t="s">
        <v>25858</v>
      </c>
      <c r="Z6450" t="s">
        <v>32418</v>
      </c>
      <c r="AA6450">
        <v>0.27481629661020152</v>
      </c>
      <c r="AB6450" t="str">
        <f>HYPERLINK("Melting_Curves/meltCurve_Q9Y483_2_MTF2.pdf", "Melting_Curves/meltCurve_Q9Y483_2_MTF2.pdf")</f>
        <v>Melting_Curves/meltCurve_Q9Y483_2_MTF2.pdf</v>
      </c>
    </row>
    <row r="6451" spans="1:28" x14ac:dyDescent="0.25">
      <c r="A6451" t="s">
        <v>6455</v>
      </c>
      <c r="B6451">
        <v>0.99472303558308395</v>
      </c>
      <c r="C6451">
        <v>0.98315157527060104</v>
      </c>
      <c r="D6451">
        <v>0.86011062629055302</v>
      </c>
      <c r="E6451">
        <v>0.68982960421488604</v>
      </c>
      <c r="F6451">
        <v>0.54285130543453597</v>
      </c>
      <c r="G6451">
        <v>0.25928246652596598</v>
      </c>
      <c r="H6451">
        <v>0.18960337706324101</v>
      </c>
      <c r="I6451">
        <v>8.6821011562415201E-2</v>
      </c>
      <c r="J6451">
        <v>0.10737833704541599</v>
      </c>
      <c r="K6451">
        <v>0.100118228957968</v>
      </c>
      <c r="L6451">
        <v>649.08963594083696</v>
      </c>
      <c r="M6451">
        <v>13.096290249852</v>
      </c>
      <c r="N6451">
        <v>49.944363134448899</v>
      </c>
      <c r="O6451">
        <v>48.449973302038501</v>
      </c>
      <c r="P6451">
        <v>-6.4370928631716798E-2</v>
      </c>
      <c r="Q6451">
        <v>4.7597622296077099E-2</v>
      </c>
      <c r="R6451">
        <v>0.99332269978774002</v>
      </c>
      <c r="S6451" t="s">
        <v>13019</v>
      </c>
      <c r="T6451" t="s">
        <v>13134</v>
      </c>
      <c r="U6451" t="s">
        <v>13134</v>
      </c>
      <c r="V6451" t="s">
        <v>13134</v>
      </c>
      <c r="W6451" t="s">
        <v>19513</v>
      </c>
      <c r="X6451">
        <v>11</v>
      </c>
      <c r="Y6451" t="s">
        <v>25859</v>
      </c>
      <c r="Z6451" t="s">
        <v>32419</v>
      </c>
      <c r="AA6451">
        <v>0.47090371017020199</v>
      </c>
      <c r="AB6451" t="str">
        <f>HYPERLINK("Melting_Curves/meltCurve_Q9Y487_ATP6V0A2.pdf", "Melting_Curves/meltCurve_Q9Y487_ATP6V0A2.pdf")</f>
        <v>Melting_Curves/meltCurve_Q9Y487_ATP6V0A2.pdf</v>
      </c>
    </row>
    <row r="6452" spans="1:28" x14ac:dyDescent="0.25">
      <c r="A6452" t="s">
        <v>6456</v>
      </c>
      <c r="B6452">
        <v>0.99472303558308395</v>
      </c>
      <c r="C6452">
        <v>0.93823009113631906</v>
      </c>
      <c r="D6452">
        <v>0.90590722434233495</v>
      </c>
      <c r="E6452">
        <v>0.76641024741312003</v>
      </c>
      <c r="F6452">
        <v>0.244433333122694</v>
      </c>
      <c r="G6452">
        <v>8.4620014535786506E-2</v>
      </c>
      <c r="H6452">
        <v>5.5745351764713701E-2</v>
      </c>
      <c r="I6452">
        <v>3.5783785701321798E-2</v>
      </c>
      <c r="J6452">
        <v>4.1333209630880302E-2</v>
      </c>
      <c r="K6452">
        <v>3.5832578181757897E-2</v>
      </c>
      <c r="L6452">
        <v>1436.08681105665</v>
      </c>
      <c r="M6452">
        <v>29.808666636109599</v>
      </c>
      <c r="N6452">
        <v>48.307161378062602</v>
      </c>
      <c r="O6452">
        <v>47.961558024396602</v>
      </c>
      <c r="P6452">
        <v>-0.149374201989143</v>
      </c>
      <c r="Q6452">
        <v>3.8645819761976001E-2</v>
      </c>
      <c r="R6452">
        <v>0.99447370052657802</v>
      </c>
      <c r="S6452" t="s">
        <v>13020</v>
      </c>
      <c r="T6452" t="s">
        <v>13134</v>
      </c>
      <c r="U6452" t="s">
        <v>13134</v>
      </c>
      <c r="V6452" t="s">
        <v>13134</v>
      </c>
      <c r="W6452" t="s">
        <v>19514</v>
      </c>
      <c r="X6452">
        <v>141</v>
      </c>
      <c r="Y6452" t="s">
        <v>25860</v>
      </c>
      <c r="Z6452" t="s">
        <v>32420</v>
      </c>
      <c r="AA6452">
        <v>0.40259481105256162</v>
      </c>
      <c r="AB6452" t="str">
        <f>HYPERLINK("Melting_Curves/meltCurve_Q9Y490_TLN1.pdf", "Melting_Curves/meltCurve_Q9Y490_TLN1.pdf")</f>
        <v>Melting_Curves/meltCurve_Q9Y490_TLN1.pdf</v>
      </c>
    </row>
    <row r="6453" spans="1:28" x14ac:dyDescent="0.25">
      <c r="A6453" t="s">
        <v>6457</v>
      </c>
      <c r="B6453">
        <v>0.99472303558308395</v>
      </c>
      <c r="C6453">
        <v>0.99449686818220795</v>
      </c>
      <c r="D6453">
        <v>0.77581696724467597</v>
      </c>
      <c r="E6453">
        <v>0.70351574621864199</v>
      </c>
      <c r="F6453">
        <v>0.74007552981032998</v>
      </c>
      <c r="G6453">
        <v>0.250785669602344</v>
      </c>
      <c r="H6453">
        <v>0.18063634215174301</v>
      </c>
      <c r="I6453">
        <v>0.14561859450713799</v>
      </c>
      <c r="J6453">
        <v>0.158934152015338</v>
      </c>
      <c r="K6453">
        <v>0.13108965028031899</v>
      </c>
      <c r="L6453">
        <v>590.528607105064</v>
      </c>
      <c r="M6453">
        <v>11.684611855991699</v>
      </c>
      <c r="N6453">
        <v>50.988771571289497</v>
      </c>
      <c r="O6453">
        <v>49.126794725875399</v>
      </c>
      <c r="P6453">
        <v>-5.65649985458292E-2</v>
      </c>
      <c r="Q6453">
        <v>4.8966398450822998E-2</v>
      </c>
      <c r="R6453">
        <v>0.93932055415226501</v>
      </c>
      <c r="S6453" t="s">
        <v>13021</v>
      </c>
      <c r="T6453" t="s">
        <v>13134</v>
      </c>
      <c r="U6453" t="s">
        <v>13134</v>
      </c>
      <c r="V6453" t="s">
        <v>13134</v>
      </c>
      <c r="W6453" t="s">
        <v>19515</v>
      </c>
      <c r="X6453">
        <v>10</v>
      </c>
      <c r="Y6453" t="s">
        <v>25861</v>
      </c>
      <c r="Z6453" t="s">
        <v>32421</v>
      </c>
      <c r="AA6453">
        <v>0.50455193790149822</v>
      </c>
      <c r="AB6453" t="str">
        <f>HYPERLINK("Melting_Curves/meltCurve_Q9Y4B6_3_VPRBP.pdf", "Melting_Curves/meltCurve_Q9Y4B6_3_VPRBP.pdf")</f>
        <v>Melting_Curves/meltCurve_Q9Y4B6_3_VPRBP.pdf</v>
      </c>
    </row>
    <row r="6454" spans="1:28" x14ac:dyDescent="0.25">
      <c r="A6454" t="s">
        <v>6458</v>
      </c>
      <c r="B6454">
        <v>0.99472303558308395</v>
      </c>
      <c r="C6454">
        <v>0.88755272564031895</v>
      </c>
      <c r="D6454">
        <v>0.81284994279706702</v>
      </c>
      <c r="E6454">
        <v>0.461792812457055</v>
      </c>
      <c r="F6454">
        <v>0.19283064943714001</v>
      </c>
      <c r="G6454">
        <v>9.8000010734859297E-2</v>
      </c>
      <c r="H6454">
        <v>6.6350835451050499E-2</v>
      </c>
      <c r="I6454">
        <v>4.6030697205442603E-2</v>
      </c>
      <c r="J6454">
        <v>5.7218734125313003E-2</v>
      </c>
      <c r="K6454">
        <v>4.8643741174451499E-2</v>
      </c>
      <c r="L6454">
        <v>849.870197063516</v>
      </c>
      <c r="M6454">
        <v>18.502338003546999</v>
      </c>
      <c r="N6454">
        <v>46.150490663295102</v>
      </c>
      <c r="O6454">
        <v>45.406646292936998</v>
      </c>
      <c r="P6454">
        <v>-9.7623706355288595E-2</v>
      </c>
      <c r="Q6454">
        <v>4.1727838283616397E-2</v>
      </c>
      <c r="R6454">
        <v>0.99686243518246198</v>
      </c>
      <c r="S6454" t="s">
        <v>13022</v>
      </c>
      <c r="T6454" t="s">
        <v>13134</v>
      </c>
      <c r="U6454" t="s">
        <v>13134</v>
      </c>
      <c r="V6454" t="s">
        <v>13134</v>
      </c>
      <c r="W6454" t="s">
        <v>19516</v>
      </c>
      <c r="X6454">
        <v>13</v>
      </c>
      <c r="Y6454" t="s">
        <v>25862</v>
      </c>
      <c r="Z6454" t="s">
        <v>32422</v>
      </c>
      <c r="AA6454">
        <v>0.34173880467442658</v>
      </c>
      <c r="AB6454" t="str">
        <f>HYPERLINK("Melting_Curves/meltCurve_Q9Y4C2_2_FAM115A.pdf", "Melting_Curves/meltCurve_Q9Y4C2_2_FAM115A.pdf")</f>
        <v>Melting_Curves/meltCurve_Q9Y4C2_2_FAM115A.pdf</v>
      </c>
    </row>
    <row r="6455" spans="1:28" x14ac:dyDescent="0.25">
      <c r="A6455" t="s">
        <v>6459</v>
      </c>
      <c r="B6455">
        <v>0.99472303558308395</v>
      </c>
      <c r="C6455">
        <v>0.87899659508878103</v>
      </c>
      <c r="D6455">
        <v>0.76188068220358596</v>
      </c>
      <c r="E6455">
        <v>0.60541992410110901</v>
      </c>
      <c r="F6455">
        <v>0.139601098424707</v>
      </c>
      <c r="G6455">
        <v>0.103664346522374</v>
      </c>
      <c r="H6455">
        <v>0</v>
      </c>
      <c r="I6455">
        <v>0</v>
      </c>
      <c r="J6455">
        <v>0</v>
      </c>
      <c r="K6455">
        <v>0</v>
      </c>
      <c r="L6455">
        <v>814.04047275048902</v>
      </c>
      <c r="M6455">
        <v>17.4626230261029</v>
      </c>
      <c r="N6455">
        <v>46.616146809602498</v>
      </c>
      <c r="O6455">
        <v>46.017729293780199</v>
      </c>
      <c r="P6455">
        <v>-9.4874270281214701E-2</v>
      </c>
      <c r="Q6455">
        <v>0</v>
      </c>
      <c r="R6455">
        <v>0.98208585623410904</v>
      </c>
      <c r="S6455" t="s">
        <v>13023</v>
      </c>
      <c r="T6455" t="s">
        <v>13134</v>
      </c>
      <c r="U6455" t="s">
        <v>13134</v>
      </c>
      <c r="V6455" t="s">
        <v>13134</v>
      </c>
      <c r="W6455" t="s">
        <v>19517</v>
      </c>
      <c r="X6455">
        <v>1</v>
      </c>
      <c r="Y6455" t="s">
        <v>25863</v>
      </c>
      <c r="Z6455" t="s">
        <v>32423</v>
      </c>
      <c r="AA6455">
        <v>0.33759741632425522</v>
      </c>
      <c r="AB6455" t="str">
        <f>HYPERLINK("Melting_Curves/meltCurve_Q9Y4D7_2_PLXND1.pdf", "Melting_Curves/meltCurve_Q9Y4D7_2_PLXND1.pdf")</f>
        <v>Melting_Curves/meltCurve_Q9Y4D7_2_PLXND1.pdf</v>
      </c>
    </row>
    <row r="6456" spans="1:28" x14ac:dyDescent="0.25">
      <c r="A6456" t="s">
        <v>6460</v>
      </c>
      <c r="B6456">
        <v>0.99472303558308395</v>
      </c>
      <c r="C6456">
        <v>0.95731163027174104</v>
      </c>
      <c r="D6456">
        <v>0.835620034887395</v>
      </c>
      <c r="E6456">
        <v>0.72159433078367496</v>
      </c>
      <c r="F6456">
        <v>0.18453481903541</v>
      </c>
      <c r="G6456">
        <v>8.8920490690151899E-2</v>
      </c>
      <c r="H6456">
        <v>5.75475930512514E-2</v>
      </c>
      <c r="I6456">
        <v>4.0039845755984502E-2</v>
      </c>
      <c r="J6456">
        <v>4.4838482029847797E-2</v>
      </c>
      <c r="K6456">
        <v>3.9809506936373397E-2</v>
      </c>
      <c r="L6456">
        <v>1293.77468471008</v>
      </c>
      <c r="M6456">
        <v>27.141615168511098</v>
      </c>
      <c r="N6456">
        <v>47.807485052611099</v>
      </c>
      <c r="O6456">
        <v>47.4110690633931</v>
      </c>
      <c r="P6456">
        <v>-0.137655552152956</v>
      </c>
      <c r="Q6456">
        <v>3.8180816419130098E-2</v>
      </c>
      <c r="R6456">
        <v>0.98696549924351296</v>
      </c>
      <c r="S6456" t="s">
        <v>13024</v>
      </c>
      <c r="T6456" t="s">
        <v>13134</v>
      </c>
      <c r="U6456" t="s">
        <v>13134</v>
      </c>
      <c r="V6456" t="s">
        <v>13134</v>
      </c>
      <c r="W6456" t="s">
        <v>19518</v>
      </c>
      <c r="X6456">
        <v>34</v>
      </c>
      <c r="Y6456" t="s">
        <v>25864</v>
      </c>
      <c r="Z6456" t="s">
        <v>32424</v>
      </c>
      <c r="AA6456">
        <v>0.38711185233117401</v>
      </c>
      <c r="AB6456" t="str">
        <f>HYPERLINK("Melting_Curves/meltCurve_Q9Y4E8_USP15.pdf", "Melting_Curves/meltCurve_Q9Y4E8_USP15.pdf")</f>
        <v>Melting_Curves/meltCurve_Q9Y4E8_USP15.pdf</v>
      </c>
    </row>
    <row r="6457" spans="1:28" x14ac:dyDescent="0.25">
      <c r="A6457" t="s">
        <v>6461</v>
      </c>
      <c r="B6457">
        <v>0.99472303558308395</v>
      </c>
      <c r="C6457">
        <v>1.0919792520484</v>
      </c>
      <c r="D6457">
        <v>0.99096735926948598</v>
      </c>
      <c r="E6457">
        <v>0.84195198286810902</v>
      </c>
      <c r="F6457">
        <v>0.34436853915098598</v>
      </c>
      <c r="G6457">
        <v>0.104171501106238</v>
      </c>
      <c r="H6457">
        <v>3.9496207767429202E-2</v>
      </c>
      <c r="I6457">
        <v>2.68688097527379E-2</v>
      </c>
      <c r="J6457">
        <v>2.7078066629439301E-2</v>
      </c>
      <c r="K6457">
        <v>1.4544855856641999E-2</v>
      </c>
      <c r="L6457">
        <v>1498.49088223027</v>
      </c>
      <c r="M6457">
        <v>30.5400776555386</v>
      </c>
      <c r="N6457">
        <v>49.152387026219202</v>
      </c>
      <c r="O6457">
        <v>48.857449909389899</v>
      </c>
      <c r="P6457">
        <v>-0.152206146946537</v>
      </c>
      <c r="Q6457">
        <v>2.6019860941759999E-2</v>
      </c>
      <c r="R6457">
        <v>0.99544001574587204</v>
      </c>
      <c r="S6457" t="s">
        <v>13025</v>
      </c>
      <c r="T6457" t="s">
        <v>13134</v>
      </c>
      <c r="U6457" t="s">
        <v>13134</v>
      </c>
      <c r="V6457" t="s">
        <v>13134</v>
      </c>
      <c r="W6457" t="s">
        <v>19519</v>
      </c>
      <c r="X6457">
        <v>16</v>
      </c>
      <c r="Y6457" t="s">
        <v>25865</v>
      </c>
      <c r="Z6457" t="s">
        <v>32425</v>
      </c>
      <c r="AA6457">
        <v>0.42344302253266558</v>
      </c>
      <c r="AB6457" t="str">
        <f>HYPERLINK("Melting_Curves/meltCurve_Q9Y4G6_TLN2.pdf", "Melting_Curves/meltCurve_Q9Y4G6_TLN2.pdf")</f>
        <v>Melting_Curves/meltCurve_Q9Y4G6_TLN2.pdf</v>
      </c>
    </row>
    <row r="6458" spans="1:28" x14ac:dyDescent="0.25">
      <c r="A6458" t="s">
        <v>6462</v>
      </c>
      <c r="B6458">
        <v>0.99472303558308395</v>
      </c>
      <c r="C6458">
        <v>0.95968850044535003</v>
      </c>
      <c r="D6458">
        <v>0.886289640630334</v>
      </c>
      <c r="E6458">
        <v>0.72919817639030404</v>
      </c>
      <c r="F6458">
        <v>0.42541148267126799</v>
      </c>
      <c r="G6458">
        <v>0.15806454496234101</v>
      </c>
      <c r="H6458">
        <v>8.5632800697539202E-2</v>
      </c>
      <c r="I6458">
        <v>6.6342360061965394E-2</v>
      </c>
      <c r="J6458">
        <v>7.6340526819712998E-2</v>
      </c>
      <c r="K6458">
        <v>7.1247081453382002E-2</v>
      </c>
      <c r="L6458">
        <v>897.07407460306501</v>
      </c>
      <c r="M6458">
        <v>18.395138991848999</v>
      </c>
      <c r="N6458">
        <v>49.032584542142096</v>
      </c>
      <c r="O6458">
        <v>48.201541919192103</v>
      </c>
      <c r="P6458">
        <v>-9.0886139235268407E-2</v>
      </c>
      <c r="Q6458">
        <v>4.7432335587665402E-2</v>
      </c>
      <c r="R6458">
        <v>0.99660158513616803</v>
      </c>
      <c r="S6458" t="s">
        <v>13026</v>
      </c>
      <c r="T6458" t="s">
        <v>13134</v>
      </c>
      <c r="U6458" t="s">
        <v>13134</v>
      </c>
      <c r="V6458" t="s">
        <v>13134</v>
      </c>
      <c r="W6458" t="s">
        <v>19520</v>
      </c>
      <c r="X6458">
        <v>5</v>
      </c>
      <c r="Y6458" t="s">
        <v>25866</v>
      </c>
      <c r="Z6458" t="s">
        <v>32426</v>
      </c>
      <c r="AA6458">
        <v>0.4356535471209616</v>
      </c>
      <c r="AB6458" t="str">
        <f>HYPERLINK("Melting_Curves/meltCurve_Q9Y4G8_RAPGEF2.pdf", "Melting_Curves/meltCurve_Q9Y4G8_RAPGEF2.pdf")</f>
        <v>Melting_Curves/meltCurve_Q9Y4G8_RAPGEF2.pdf</v>
      </c>
    </row>
    <row r="6459" spans="1:28" x14ac:dyDescent="0.25">
      <c r="A6459" t="s">
        <v>6463</v>
      </c>
      <c r="B6459">
        <v>0.99472303558308395</v>
      </c>
      <c r="C6459">
        <v>0.94440613597209999</v>
      </c>
      <c r="D6459">
        <v>0.86445124314220401</v>
      </c>
      <c r="E6459">
        <v>0.76692956580084504</v>
      </c>
      <c r="F6459">
        <v>0.476873450198672</v>
      </c>
      <c r="G6459">
        <v>0.107404018038458</v>
      </c>
      <c r="H6459">
        <v>5.2829980810790003E-2</v>
      </c>
      <c r="I6459">
        <v>3.96713002443446E-2</v>
      </c>
      <c r="J6459">
        <v>4.5796061710636701E-2</v>
      </c>
      <c r="K6459">
        <v>4.2698784765364699E-2</v>
      </c>
      <c r="L6459">
        <v>951.85855385377499</v>
      </c>
      <c r="M6459">
        <v>19.30596073081</v>
      </c>
      <c r="N6459">
        <v>49.3704843699728</v>
      </c>
      <c r="O6459">
        <v>48.784036825058699</v>
      </c>
      <c r="P6459">
        <v>-9.7667652202101607E-2</v>
      </c>
      <c r="Q6459">
        <v>1.2855731622332099E-2</v>
      </c>
      <c r="R6459">
        <v>0.988677418622527</v>
      </c>
      <c r="S6459" t="s">
        <v>13027</v>
      </c>
      <c r="T6459" t="s">
        <v>13134</v>
      </c>
      <c r="U6459" t="s">
        <v>13134</v>
      </c>
      <c r="V6459" t="s">
        <v>13134</v>
      </c>
      <c r="W6459" t="s">
        <v>19521</v>
      </c>
      <c r="X6459">
        <v>8</v>
      </c>
      <c r="Y6459" t="s">
        <v>25867</v>
      </c>
      <c r="Z6459" t="s">
        <v>32427</v>
      </c>
      <c r="AA6459">
        <v>0.43156973911927782</v>
      </c>
      <c r="AB6459" t="str">
        <f>HYPERLINK("Melting_Curves/meltCurve_Q9Y4K3_TRAF6.pdf", "Melting_Curves/meltCurve_Q9Y4K3_TRAF6.pdf")</f>
        <v>Melting_Curves/meltCurve_Q9Y4K3_TRAF6.pdf</v>
      </c>
    </row>
    <row r="6460" spans="1:28" x14ac:dyDescent="0.25">
      <c r="A6460" t="s">
        <v>6464</v>
      </c>
      <c r="B6460">
        <v>0.99472303558308395</v>
      </c>
      <c r="C6460">
        <v>0.98097589393198603</v>
      </c>
      <c r="D6460">
        <v>0.94206231667181595</v>
      </c>
      <c r="E6460">
        <v>0.80167584031529704</v>
      </c>
      <c r="F6460">
        <v>0.53974714362250098</v>
      </c>
      <c r="G6460">
        <v>0.25008176289668099</v>
      </c>
      <c r="H6460">
        <v>0.121773071547724</v>
      </c>
      <c r="I6460">
        <v>9.0244909971425494E-2</v>
      </c>
      <c r="J6460">
        <v>9.9200613482038694E-2</v>
      </c>
      <c r="K6460">
        <v>7.8581326442613605E-2</v>
      </c>
      <c r="L6460">
        <v>941.67388342784704</v>
      </c>
      <c r="M6460">
        <v>18.8272502305689</v>
      </c>
      <c r="N6460">
        <v>50.392000204848898</v>
      </c>
      <c r="O6460">
        <v>49.462511439432603</v>
      </c>
      <c r="P6460">
        <v>-8.8935499054142803E-2</v>
      </c>
      <c r="Q6460">
        <v>6.5441554755270206E-2</v>
      </c>
      <c r="R6460">
        <v>0.99863273677685505</v>
      </c>
      <c r="S6460" t="s">
        <v>13028</v>
      </c>
      <c r="T6460" t="s">
        <v>13134</v>
      </c>
      <c r="U6460" t="s">
        <v>13134</v>
      </c>
      <c r="V6460" t="s">
        <v>13134</v>
      </c>
      <c r="W6460" t="s">
        <v>19522</v>
      </c>
      <c r="X6460">
        <v>7</v>
      </c>
      <c r="Y6460" t="s">
        <v>25868</v>
      </c>
      <c r="Z6460" t="s">
        <v>32428</v>
      </c>
      <c r="AA6460">
        <v>0.48458785688506301</v>
      </c>
      <c r="AB6460" t="str">
        <f>HYPERLINK("Melting_Curves/meltCurve_Q9Y4K4_MAP4K5.pdf", "Melting_Curves/meltCurve_Q9Y4K4_MAP4K5.pdf")</f>
        <v>Melting_Curves/meltCurve_Q9Y4K4_MAP4K5.pdf</v>
      </c>
    </row>
    <row r="6461" spans="1:28" x14ac:dyDescent="0.25">
      <c r="A6461" t="s">
        <v>6465</v>
      </c>
      <c r="B6461">
        <v>0.99472303558308395</v>
      </c>
      <c r="C6461">
        <v>0.89855006564869899</v>
      </c>
      <c r="D6461">
        <v>1.0188263684513601</v>
      </c>
      <c r="E6461">
        <v>0.62129511340639498</v>
      </c>
      <c r="F6461">
        <v>0.23888510634603799</v>
      </c>
      <c r="G6461">
        <v>0.145043341163618</v>
      </c>
      <c r="H6461">
        <v>9.62118641482793E-2</v>
      </c>
      <c r="I6461">
        <v>6.30517033298406E-2</v>
      </c>
      <c r="J6461">
        <v>5.7193976834834501E-2</v>
      </c>
      <c r="K6461">
        <v>5.2200879577471403E-2</v>
      </c>
      <c r="L6461">
        <v>1311.26086544593</v>
      </c>
      <c r="M6461">
        <v>27.6718813984061</v>
      </c>
      <c r="N6461">
        <v>47.659427185321597</v>
      </c>
      <c r="O6461">
        <v>47.140641128504498</v>
      </c>
      <c r="P6461">
        <v>-0.13598311060666499</v>
      </c>
      <c r="Q6461">
        <v>7.3388148533232195E-2</v>
      </c>
      <c r="R6461">
        <v>0.98887152538742695</v>
      </c>
      <c r="S6461" t="s">
        <v>13029</v>
      </c>
      <c r="T6461" t="s">
        <v>13134</v>
      </c>
      <c r="U6461" t="s">
        <v>13134</v>
      </c>
      <c r="V6461" t="s">
        <v>13134</v>
      </c>
      <c r="W6461" t="s">
        <v>19523</v>
      </c>
      <c r="X6461">
        <v>6</v>
      </c>
      <c r="Y6461" t="s">
        <v>25869</v>
      </c>
      <c r="Z6461" t="s">
        <v>32429</v>
      </c>
      <c r="AA6461">
        <v>0.40056605251967992</v>
      </c>
      <c r="AB6461" t="str">
        <f>HYPERLINK("Melting_Curves/meltCurve_Q9Y4P1_6_ATG4B.pdf", "Melting_Curves/meltCurve_Q9Y4P1_6_ATG4B.pdf")</f>
        <v>Melting_Curves/meltCurve_Q9Y4P1_6_ATG4B.pdf</v>
      </c>
    </row>
    <row r="6462" spans="1:28" x14ac:dyDescent="0.25">
      <c r="A6462" t="s">
        <v>6466</v>
      </c>
      <c r="B6462">
        <v>0.99472303558308395</v>
      </c>
      <c r="C6462">
        <v>1.2823115640564999</v>
      </c>
      <c r="D6462">
        <v>1.00749704585869</v>
      </c>
      <c r="E6462">
        <v>0.88309534437002002</v>
      </c>
      <c r="F6462">
        <v>0.69045189641509497</v>
      </c>
      <c r="G6462">
        <v>0.33255872921687901</v>
      </c>
      <c r="H6462">
        <v>0.25749370407200201</v>
      </c>
      <c r="I6462">
        <v>0.17640431795755099</v>
      </c>
      <c r="J6462">
        <v>0.266310196399273</v>
      </c>
      <c r="K6462">
        <v>0.26601174861065502</v>
      </c>
      <c r="L6462">
        <v>1415.9670185821101</v>
      </c>
      <c r="M6462">
        <v>27.964238826460399</v>
      </c>
      <c r="N6462">
        <v>51.775316401674303</v>
      </c>
      <c r="O6462">
        <v>50.378109777073597</v>
      </c>
      <c r="P6462">
        <v>-0.106864570682089</v>
      </c>
      <c r="Q6462">
        <v>0.22993245889844599</v>
      </c>
      <c r="R6462">
        <v>0.938264292192722</v>
      </c>
      <c r="S6462" t="s">
        <v>13030</v>
      </c>
      <c r="T6462" t="s">
        <v>13134</v>
      </c>
      <c r="U6462" t="s">
        <v>13134</v>
      </c>
      <c r="V6462" t="s">
        <v>13134</v>
      </c>
      <c r="W6462" t="s">
        <v>19524</v>
      </c>
      <c r="X6462">
        <v>6</v>
      </c>
      <c r="Y6462" t="s">
        <v>25870</v>
      </c>
      <c r="Z6462" t="s">
        <v>32430</v>
      </c>
      <c r="AA6462">
        <v>0.58539805388599431</v>
      </c>
      <c r="AB6462" t="str">
        <f>HYPERLINK("Melting_Curves/meltCurve_Q9Y4P8_3_WIPI2.pdf", "Melting_Curves/meltCurve_Q9Y4P8_3_WIPI2.pdf")</f>
        <v>Melting_Curves/meltCurve_Q9Y4P8_3_WIPI2.pdf</v>
      </c>
    </row>
    <row r="6463" spans="1:28" x14ac:dyDescent="0.25">
      <c r="A6463" t="s">
        <v>6467</v>
      </c>
      <c r="B6463">
        <v>0.99472303558308395</v>
      </c>
      <c r="C6463">
        <v>1.02543907700207</v>
      </c>
      <c r="D6463">
        <v>0.92523252732602901</v>
      </c>
      <c r="E6463">
        <v>0.80727769695153895</v>
      </c>
      <c r="F6463">
        <v>0.53765166614264004</v>
      </c>
      <c r="G6463">
        <v>0.22323543985085101</v>
      </c>
      <c r="H6463">
        <v>0.105507662111214</v>
      </c>
      <c r="I6463">
        <v>6.6510317214770104E-2</v>
      </c>
      <c r="J6463">
        <v>7.4436675233690103E-2</v>
      </c>
      <c r="K6463">
        <v>6.1830607707282298E-2</v>
      </c>
      <c r="L6463">
        <v>972.95983783558495</v>
      </c>
      <c r="M6463">
        <v>19.434403091017298</v>
      </c>
      <c r="N6463">
        <v>50.311914737051403</v>
      </c>
      <c r="O6463">
        <v>49.542758751433396</v>
      </c>
      <c r="P6463">
        <v>-9.3590516601411294E-2</v>
      </c>
      <c r="Q6463">
        <v>4.5699876830477999E-2</v>
      </c>
      <c r="R6463">
        <v>0.997343278617559</v>
      </c>
      <c r="S6463" t="s">
        <v>13031</v>
      </c>
      <c r="T6463" t="s">
        <v>13134</v>
      </c>
      <c r="U6463" t="s">
        <v>13134</v>
      </c>
      <c r="V6463" t="s">
        <v>13134</v>
      </c>
      <c r="W6463" t="s">
        <v>19525</v>
      </c>
      <c r="X6463">
        <v>6</v>
      </c>
      <c r="Y6463" t="s">
        <v>25870</v>
      </c>
      <c r="Z6463" t="s">
        <v>32431</v>
      </c>
      <c r="AA6463">
        <v>0.47446405523607021</v>
      </c>
      <c r="AB6463" t="str">
        <f>HYPERLINK("Melting_Curves/meltCurve_Q9Y4P8_4_WIPI2.pdf", "Melting_Curves/meltCurve_Q9Y4P8_4_WIPI2.pdf")</f>
        <v>Melting_Curves/meltCurve_Q9Y4P8_4_WIPI2.pdf</v>
      </c>
    </row>
    <row r="6464" spans="1:28" x14ac:dyDescent="0.25">
      <c r="A6464" t="s">
        <v>6468</v>
      </c>
      <c r="B6464">
        <v>0.99472303558308395</v>
      </c>
      <c r="C6464">
        <v>0.875386328100074</v>
      </c>
      <c r="D6464">
        <v>0.64955340071598</v>
      </c>
      <c r="E6464">
        <v>0.41626896272657898</v>
      </c>
      <c r="F6464">
        <v>0.294807505358189</v>
      </c>
      <c r="G6464">
        <v>0.15599885742017799</v>
      </c>
      <c r="H6464">
        <v>0.108556808957011</v>
      </c>
      <c r="I6464">
        <v>5.9856771589644302E-2</v>
      </c>
      <c r="J6464">
        <v>6.9297527378248194E-2</v>
      </c>
      <c r="K6464">
        <v>6.6212166198659897E-2</v>
      </c>
      <c r="L6464">
        <v>591.74345525438503</v>
      </c>
      <c r="M6464">
        <v>13.089661195074401</v>
      </c>
      <c r="N6464">
        <v>45.5792264091086</v>
      </c>
      <c r="O6464">
        <v>44.1908542555827</v>
      </c>
      <c r="P6464">
        <v>-7.0309774510767406E-2</v>
      </c>
      <c r="Q6464">
        <v>5.0696498734301702E-2</v>
      </c>
      <c r="R6464">
        <v>0.99503550362253401</v>
      </c>
      <c r="S6464" t="s">
        <v>13032</v>
      </c>
      <c r="T6464" t="s">
        <v>13134</v>
      </c>
      <c r="U6464" t="s">
        <v>13134</v>
      </c>
      <c r="V6464" t="s">
        <v>13134</v>
      </c>
      <c r="W6464" t="s">
        <v>19526</v>
      </c>
      <c r="X6464">
        <v>9</v>
      </c>
      <c r="Y6464" t="s">
        <v>25871</v>
      </c>
      <c r="Z6464" t="s">
        <v>32432</v>
      </c>
      <c r="AA6464">
        <v>0.3395191234933389</v>
      </c>
      <c r="AB6464" t="str">
        <f>HYPERLINK("Melting_Curves/meltCurve_Q9Y4R8_TELO2.pdf", "Melting_Curves/meltCurve_Q9Y4R8_TELO2.pdf")</f>
        <v>Melting_Curves/meltCurve_Q9Y4R8_TELO2.pdf</v>
      </c>
    </row>
    <row r="6465" spans="1:28" x14ac:dyDescent="0.25">
      <c r="A6465" t="s">
        <v>6469</v>
      </c>
      <c r="B6465">
        <v>0.99472303558308395</v>
      </c>
      <c r="C6465">
        <v>0.96407540224300603</v>
      </c>
      <c r="D6465">
        <v>0.88675771118380597</v>
      </c>
      <c r="E6465">
        <v>0.43327659619207998</v>
      </c>
      <c r="F6465">
        <v>0.25238893688192499</v>
      </c>
      <c r="G6465">
        <v>0.104206131496707</v>
      </c>
      <c r="H6465">
        <v>7.8983683461098395E-2</v>
      </c>
      <c r="I6465">
        <v>4.0713609539825397E-2</v>
      </c>
      <c r="J6465">
        <v>5.28382273589314E-2</v>
      </c>
      <c r="K6465">
        <v>6.8246518298514594E-2</v>
      </c>
      <c r="L6465">
        <v>1010.04685814309</v>
      </c>
      <c r="M6465">
        <v>21.8784231194164</v>
      </c>
      <c r="N6465">
        <v>46.446037607427499</v>
      </c>
      <c r="O6465">
        <v>45.785831662583199</v>
      </c>
      <c r="P6465">
        <v>-0.112090182999077</v>
      </c>
      <c r="Q6465">
        <v>6.1719151104777603E-2</v>
      </c>
      <c r="R6465">
        <v>0.99460043832918699</v>
      </c>
      <c r="S6465" t="s">
        <v>13033</v>
      </c>
      <c r="T6465" t="s">
        <v>13134</v>
      </c>
      <c r="U6465" t="s">
        <v>13134</v>
      </c>
      <c r="V6465" t="s">
        <v>13134</v>
      </c>
      <c r="W6465" t="s">
        <v>19527</v>
      </c>
      <c r="X6465">
        <v>2</v>
      </c>
      <c r="Y6465" t="s">
        <v>25872</v>
      </c>
      <c r="Z6465" t="s">
        <v>32433</v>
      </c>
      <c r="AA6465">
        <v>0.35863224653831549</v>
      </c>
      <c r="AB6465" t="str">
        <f>HYPERLINK("Melting_Curves/meltCurve_Q9Y4U1_MMACHC.pdf", "Melting_Curves/meltCurve_Q9Y4U1_MMACHC.pdf")</f>
        <v>Melting_Curves/meltCurve_Q9Y4U1_MMACHC.pdf</v>
      </c>
    </row>
    <row r="6466" spans="1:28" x14ac:dyDescent="0.25">
      <c r="A6466" t="s">
        <v>6470</v>
      </c>
      <c r="B6466">
        <v>0.99472303558308395</v>
      </c>
      <c r="C6466">
        <v>0.62260867335731296</v>
      </c>
      <c r="D6466">
        <v>0.330708952186265</v>
      </c>
      <c r="E6466">
        <v>0.24159282969703899</v>
      </c>
      <c r="F6466">
        <v>0.146076504448648</v>
      </c>
      <c r="G6466">
        <v>5.7852564577173998E-2</v>
      </c>
      <c r="H6466">
        <v>7.2114597372964995E-2</v>
      </c>
      <c r="I6466">
        <v>1.9402778642499001E-2</v>
      </c>
      <c r="J6466">
        <v>3.9961745800167599E-2</v>
      </c>
      <c r="K6466">
        <v>5.2139620449572301E-2</v>
      </c>
      <c r="L6466">
        <v>741.55938578453402</v>
      </c>
      <c r="M6466">
        <v>17.9686284509276</v>
      </c>
      <c r="N6466">
        <v>41.565293684757897</v>
      </c>
      <c r="O6466">
        <v>40.768695766173202</v>
      </c>
      <c r="P6466">
        <v>-0.103582154857224</v>
      </c>
      <c r="Q6466">
        <v>5.9983890893645399E-2</v>
      </c>
      <c r="R6466">
        <v>0.97343083182135604</v>
      </c>
      <c r="S6466" t="s">
        <v>13034</v>
      </c>
      <c r="T6466" t="s">
        <v>13134</v>
      </c>
      <c r="U6466" t="s">
        <v>13134</v>
      </c>
      <c r="V6466" t="s">
        <v>13134</v>
      </c>
      <c r="W6466" t="s">
        <v>19528</v>
      </c>
      <c r="X6466">
        <v>5</v>
      </c>
      <c r="Y6466" t="s">
        <v>25873</v>
      </c>
      <c r="Z6466" t="s">
        <v>32434</v>
      </c>
      <c r="AA6466">
        <v>0.21357326328726081</v>
      </c>
      <c r="AB6466" t="str">
        <f>HYPERLINK("Melting_Curves/meltCurve_Q9Y4W2_2_LAS1L.pdf", "Melting_Curves/meltCurve_Q9Y4W2_2_LAS1L.pdf")</f>
        <v>Melting_Curves/meltCurve_Q9Y4W2_2_LAS1L.pdf</v>
      </c>
    </row>
    <row r="6467" spans="1:28" x14ac:dyDescent="0.25">
      <c r="A6467" t="s">
        <v>6471</v>
      </c>
      <c r="B6467">
        <v>0.99472303558308395</v>
      </c>
      <c r="C6467">
        <v>0.92232570742509301</v>
      </c>
      <c r="D6467">
        <v>0.87550769867019296</v>
      </c>
      <c r="E6467">
        <v>0.74919333824210799</v>
      </c>
      <c r="F6467">
        <v>0.48794981887743299</v>
      </c>
      <c r="G6467">
        <v>0.26624129677261799</v>
      </c>
      <c r="H6467">
        <v>0.128974201315604</v>
      </c>
      <c r="I6467">
        <v>6.0975836915794702E-2</v>
      </c>
      <c r="J6467">
        <v>6.0667666682630503E-2</v>
      </c>
      <c r="K6467">
        <v>5.7418462411475697E-2</v>
      </c>
      <c r="L6467">
        <v>685.79774492710101</v>
      </c>
      <c r="M6467">
        <v>13.7597524168915</v>
      </c>
      <c r="N6467">
        <v>49.892336869485</v>
      </c>
      <c r="O6467">
        <v>48.823495602664103</v>
      </c>
      <c r="P6467">
        <v>-6.9969985991812603E-2</v>
      </c>
      <c r="Q6467">
        <v>7.0473441879640702E-3</v>
      </c>
      <c r="R6467">
        <v>0.99655850182967298</v>
      </c>
      <c r="S6467" t="s">
        <v>13035</v>
      </c>
      <c r="T6467" t="s">
        <v>13134</v>
      </c>
      <c r="U6467" t="s">
        <v>13134</v>
      </c>
      <c r="V6467" t="s">
        <v>13134</v>
      </c>
      <c r="W6467" t="s">
        <v>19529</v>
      </c>
      <c r="X6467">
        <v>28</v>
      </c>
      <c r="Y6467" t="s">
        <v>25874</v>
      </c>
      <c r="Z6467" t="s">
        <v>32435</v>
      </c>
      <c r="AA6467">
        <v>0.45563035923670681</v>
      </c>
      <c r="AB6467" t="str">
        <f>HYPERLINK("Melting_Curves/meltCurve_Q9Y4W6_AFG3L2.pdf", "Melting_Curves/meltCurve_Q9Y4W6_AFG3L2.pdf")</f>
        <v>Melting_Curves/meltCurve_Q9Y4W6_AFG3L2.pdf</v>
      </c>
    </row>
    <row r="6468" spans="1:28" x14ac:dyDescent="0.25">
      <c r="A6468" t="s">
        <v>6472</v>
      </c>
      <c r="B6468">
        <v>0.99472303558308395</v>
      </c>
      <c r="C6468">
        <v>0.93799910805943898</v>
      </c>
      <c r="D6468">
        <v>0.92127558683609101</v>
      </c>
      <c r="E6468">
        <v>0.59641264873198196</v>
      </c>
      <c r="F6468">
        <v>0.28786040444432698</v>
      </c>
      <c r="G6468">
        <v>0.198361088327832</v>
      </c>
      <c r="H6468">
        <v>0.13463776670432601</v>
      </c>
      <c r="I6468">
        <v>0.11299384034045699</v>
      </c>
      <c r="J6468">
        <v>0.13527776486412399</v>
      </c>
      <c r="K6468">
        <v>0.112165437847298</v>
      </c>
      <c r="L6468">
        <v>1022.82657011847</v>
      </c>
      <c r="M6468">
        <v>21.760118935927299</v>
      </c>
      <c r="N6468">
        <v>47.6105071451288</v>
      </c>
      <c r="O6468">
        <v>46.613061945367498</v>
      </c>
      <c r="P6468">
        <v>-0.102594729172744</v>
      </c>
      <c r="Q6468">
        <v>0.12093440473997399</v>
      </c>
      <c r="R6468">
        <v>0.997165284766663</v>
      </c>
      <c r="S6468" t="s">
        <v>13036</v>
      </c>
      <c r="T6468" t="s">
        <v>13134</v>
      </c>
      <c r="U6468" t="s">
        <v>13134</v>
      </c>
      <c r="V6468" t="s">
        <v>13134</v>
      </c>
      <c r="W6468" t="s">
        <v>19530</v>
      </c>
      <c r="X6468">
        <v>6</v>
      </c>
      <c r="Y6468" t="s">
        <v>25875</v>
      </c>
      <c r="Z6468" t="s">
        <v>32436</v>
      </c>
      <c r="AA6468">
        <v>0.42383737729705218</v>
      </c>
      <c r="AB6468" t="str">
        <f>HYPERLINK("Melting_Curves/meltCurve_Q9Y4X0_AMMECR1.pdf", "Melting_Curves/meltCurve_Q9Y4X0_AMMECR1.pdf")</f>
        <v>Melting_Curves/meltCurve_Q9Y4X0_AMMECR1.pdf</v>
      </c>
    </row>
    <row r="6469" spans="1:28" x14ac:dyDescent="0.25">
      <c r="A6469" t="s">
        <v>6473</v>
      </c>
      <c r="B6469">
        <v>0.99472303558308395</v>
      </c>
      <c r="C6469">
        <v>1.03094597406382</v>
      </c>
      <c r="D6469">
        <v>1.01133135471392</v>
      </c>
      <c r="E6469">
        <v>0.95409919618292305</v>
      </c>
      <c r="F6469">
        <v>0.76778838567591201</v>
      </c>
      <c r="G6469">
        <v>0.650721549733834</v>
      </c>
      <c r="H6469">
        <v>0.36702033706076798</v>
      </c>
      <c r="I6469">
        <v>0.14692298703374901</v>
      </c>
      <c r="J6469">
        <v>0.110812783975722</v>
      </c>
      <c r="K6469">
        <v>9.4461030084554407E-2</v>
      </c>
      <c r="L6469">
        <v>858.74955359667194</v>
      </c>
      <c r="M6469">
        <v>15.562801078510899</v>
      </c>
      <c r="N6469">
        <v>55.249221010258204</v>
      </c>
      <c r="O6469">
        <v>54.2926374484692</v>
      </c>
      <c r="P6469">
        <v>-7.0972296660383294E-2</v>
      </c>
      <c r="Q6469">
        <v>9.7062254191067499E-3</v>
      </c>
      <c r="R6469">
        <v>0.992818669515109</v>
      </c>
      <c r="S6469" t="s">
        <v>13037</v>
      </c>
      <c r="T6469" t="s">
        <v>13134</v>
      </c>
      <c r="U6469" t="s">
        <v>13134</v>
      </c>
      <c r="V6469" t="s">
        <v>13134</v>
      </c>
      <c r="W6469" t="s">
        <v>19531</v>
      </c>
      <c r="X6469">
        <v>18</v>
      </c>
      <c r="Y6469" t="s">
        <v>25876</v>
      </c>
      <c r="Z6469" t="s">
        <v>32437</v>
      </c>
      <c r="AA6469">
        <v>0.62316768208936779</v>
      </c>
      <c r="AB6469" t="str">
        <f>HYPERLINK("Melting_Curves/meltCurve_Q9Y4X5_ARIH1.pdf", "Melting_Curves/meltCurve_Q9Y4X5_ARIH1.pdf")</f>
        <v>Melting_Curves/meltCurve_Q9Y4X5_ARIH1.pdf</v>
      </c>
    </row>
    <row r="6470" spans="1:28" x14ac:dyDescent="0.25">
      <c r="A6470" t="s">
        <v>6474</v>
      </c>
      <c r="B6470">
        <v>0.99472303558308395</v>
      </c>
      <c r="C6470">
        <v>0.89279134423857598</v>
      </c>
      <c r="D6470">
        <v>1.1368653893584999</v>
      </c>
      <c r="E6470">
        <v>1.0337881775144599</v>
      </c>
      <c r="F6470">
        <v>0.67894381106958501</v>
      </c>
      <c r="G6470">
        <v>0.76243959233126302</v>
      </c>
      <c r="H6470">
        <v>0.57265796670601998</v>
      </c>
      <c r="I6470">
        <v>0.77213518743814702</v>
      </c>
      <c r="J6470">
        <v>0.999456049320809</v>
      </c>
      <c r="K6470">
        <v>0.69258231653380398</v>
      </c>
      <c r="L6470">
        <v>4511.3312750143596</v>
      </c>
      <c r="M6470">
        <v>93.610338443480302</v>
      </c>
      <c r="O6470">
        <v>48.170680567705503</v>
      </c>
      <c r="P6470">
        <v>-0.12341484224730501</v>
      </c>
      <c r="Q6470">
        <v>0.74596924141189302</v>
      </c>
      <c r="R6470">
        <v>0.55654822128860504</v>
      </c>
      <c r="S6470" t="s">
        <v>13038</v>
      </c>
      <c r="T6470" t="s">
        <v>13134</v>
      </c>
      <c r="U6470" t="s">
        <v>13134</v>
      </c>
      <c r="V6470" t="s">
        <v>13134</v>
      </c>
      <c r="W6470" t="s">
        <v>19532</v>
      </c>
      <c r="X6470">
        <v>8</v>
      </c>
      <c r="Y6470" t="s">
        <v>25877</v>
      </c>
      <c r="Z6470" t="s">
        <v>32438</v>
      </c>
      <c r="AA6470">
        <v>0.84089869283818175</v>
      </c>
      <c r="AB6470" t="str">
        <f>HYPERLINK("Melting_Curves/meltCurve_Q9Y4Z0_LSM4.pdf", "Melting_Curves/meltCurve_Q9Y4Z0_LSM4.pdf")</f>
        <v>Melting_Curves/meltCurve_Q9Y4Z0_LSM4.pdf</v>
      </c>
    </row>
    <row r="6471" spans="1:28" x14ac:dyDescent="0.25">
      <c r="A6471" t="s">
        <v>6475</v>
      </c>
      <c r="B6471">
        <v>0.99472303558308395</v>
      </c>
      <c r="C6471">
        <v>0.93848763452312101</v>
      </c>
      <c r="D6471">
        <v>0.94993653369977504</v>
      </c>
      <c r="E6471">
        <v>0.86799552650010103</v>
      </c>
      <c r="F6471">
        <v>0.54907361314075498</v>
      </c>
      <c r="G6471">
        <v>0.38029158917580003</v>
      </c>
      <c r="H6471">
        <v>0.23034766070127699</v>
      </c>
      <c r="I6471">
        <v>0.17993682428332999</v>
      </c>
      <c r="J6471">
        <v>0.157668492703049</v>
      </c>
      <c r="K6471">
        <v>0.10570546166682999</v>
      </c>
      <c r="L6471">
        <v>818.64653911216703</v>
      </c>
      <c r="M6471">
        <v>16.162167023602201</v>
      </c>
      <c r="N6471">
        <v>51.484753793877204</v>
      </c>
      <c r="O6471">
        <v>49.895624333635901</v>
      </c>
      <c r="P6471">
        <v>-7.1671176852516297E-2</v>
      </c>
      <c r="Q6471">
        <v>0.115017555450736</v>
      </c>
      <c r="R6471">
        <v>0.99405105945039895</v>
      </c>
      <c r="S6471" t="s">
        <v>13039</v>
      </c>
      <c r="T6471" t="s">
        <v>13134</v>
      </c>
      <c r="U6471" t="s">
        <v>13134</v>
      </c>
      <c r="V6471" t="s">
        <v>13134</v>
      </c>
      <c r="W6471" t="s">
        <v>19533</v>
      </c>
      <c r="X6471">
        <v>12</v>
      </c>
      <c r="Y6471" t="s">
        <v>25878</v>
      </c>
      <c r="Z6471" t="s">
        <v>32439</v>
      </c>
      <c r="AA6471">
        <v>0.53401593890988042</v>
      </c>
      <c r="AB6471" t="str">
        <f>HYPERLINK("Melting_Curves/meltCurve_Q9Y508_RNF114.pdf", "Melting_Curves/meltCurve_Q9Y508_RNF114.pdf")</f>
        <v>Melting_Curves/meltCurve_Q9Y508_RNF114.pdf</v>
      </c>
    </row>
    <row r="6472" spans="1:28" x14ac:dyDescent="0.25">
      <c r="A6472" t="s">
        <v>6476</v>
      </c>
      <c r="B6472">
        <v>0.99472303558308395</v>
      </c>
      <c r="C6472">
        <v>0.94562535652466495</v>
      </c>
      <c r="D6472">
        <v>0.67300063747463101</v>
      </c>
      <c r="E6472">
        <v>0.64396902073286399</v>
      </c>
      <c r="F6472">
        <v>0.49743526585917103</v>
      </c>
      <c r="G6472">
        <v>0.29694483716733</v>
      </c>
      <c r="H6472">
        <v>0.17521027044673701</v>
      </c>
      <c r="I6472">
        <v>0.133601825380812</v>
      </c>
      <c r="J6472">
        <v>0.105579146939806</v>
      </c>
      <c r="K6472">
        <v>0.13952810420742001</v>
      </c>
      <c r="L6472">
        <v>468.323691194807</v>
      </c>
      <c r="M6472">
        <v>9.6402442226029503</v>
      </c>
      <c r="N6472">
        <v>48.9325517855291</v>
      </c>
      <c r="O6472">
        <v>46.627726750442299</v>
      </c>
      <c r="P6472">
        <v>-4.9981458135914703E-2</v>
      </c>
      <c r="Q6472">
        <v>3.3543674615407401E-2</v>
      </c>
      <c r="R6472">
        <v>0.976579769893686</v>
      </c>
      <c r="S6472" t="s">
        <v>13040</v>
      </c>
      <c r="T6472" t="s">
        <v>13134</v>
      </c>
      <c r="U6472" t="s">
        <v>13134</v>
      </c>
      <c r="V6472" t="s">
        <v>13134</v>
      </c>
      <c r="W6472" t="s">
        <v>19534</v>
      </c>
      <c r="X6472">
        <v>15</v>
      </c>
      <c r="Y6472" t="s">
        <v>25879</v>
      </c>
      <c r="Z6472" t="s">
        <v>32440</v>
      </c>
      <c r="AA6472">
        <v>0.44534249026809819</v>
      </c>
      <c r="AB6472" t="str">
        <f>HYPERLINK("Melting_Curves/meltCurve_Q9Y512_SAMM50.pdf", "Melting_Curves/meltCurve_Q9Y512_SAMM50.pdf")</f>
        <v>Melting_Curves/meltCurve_Q9Y512_SAMM50.pdf</v>
      </c>
    </row>
    <row r="6473" spans="1:28" x14ac:dyDescent="0.25">
      <c r="A6473" t="s">
        <v>6477</v>
      </c>
      <c r="B6473">
        <v>0.99472303558308395</v>
      </c>
      <c r="C6473">
        <v>0.944725946601497</v>
      </c>
      <c r="D6473">
        <v>0.88412830859737201</v>
      </c>
      <c r="E6473">
        <v>0.55560928631010398</v>
      </c>
      <c r="F6473">
        <v>0.22875782673731501</v>
      </c>
      <c r="G6473">
        <v>8.5517283454566703E-2</v>
      </c>
      <c r="H6473">
        <v>5.3438459660653297E-2</v>
      </c>
      <c r="I6473">
        <v>3.6887409260083499E-2</v>
      </c>
      <c r="J6473">
        <v>4.4571131275452001E-2</v>
      </c>
      <c r="K6473">
        <v>2.7069233976581699E-2</v>
      </c>
      <c r="L6473">
        <v>982.82013693716897</v>
      </c>
      <c r="M6473">
        <v>20.930546855213802</v>
      </c>
      <c r="N6473">
        <v>47.096342224389701</v>
      </c>
      <c r="O6473">
        <v>46.533931628344398</v>
      </c>
      <c r="P6473">
        <v>-0.109057239762209</v>
      </c>
      <c r="Q6473">
        <v>3.0178411451639801E-2</v>
      </c>
      <c r="R6473">
        <v>0.99916789333714295</v>
      </c>
      <c r="S6473" t="s">
        <v>13041</v>
      </c>
      <c r="T6473" t="s">
        <v>13134</v>
      </c>
      <c r="U6473" t="s">
        <v>13134</v>
      </c>
      <c r="V6473" t="s">
        <v>13134</v>
      </c>
      <c r="W6473" t="s">
        <v>19535</v>
      </c>
      <c r="X6473">
        <v>7</v>
      </c>
      <c r="Y6473" t="s">
        <v>25880</v>
      </c>
      <c r="Z6473" t="s">
        <v>32441</v>
      </c>
      <c r="AA6473">
        <v>0.36364584874921041</v>
      </c>
      <c r="AB6473" t="str">
        <f>HYPERLINK("Melting_Curves/meltCurve_Q9Y546_LRRC42.pdf", "Melting_Curves/meltCurve_Q9Y546_LRRC42.pdf")</f>
        <v>Melting_Curves/meltCurve_Q9Y546_LRRC42.pdf</v>
      </c>
    </row>
    <row r="6474" spans="1:28" x14ac:dyDescent="0.25">
      <c r="A6474" t="s">
        <v>6478</v>
      </c>
      <c r="B6474">
        <v>0.99472303558308395</v>
      </c>
      <c r="C6474">
        <v>1.04797284405196</v>
      </c>
      <c r="D6474">
        <v>1.01111406605752</v>
      </c>
      <c r="E6474">
        <v>0.97584662411272205</v>
      </c>
      <c r="F6474">
        <v>0.71285778000023703</v>
      </c>
      <c r="G6474">
        <v>0.34763353381866602</v>
      </c>
      <c r="H6474">
        <v>6.7776209697933298E-2</v>
      </c>
      <c r="I6474">
        <v>4.8062448397357502E-2</v>
      </c>
      <c r="J6474">
        <v>4.4243112686287299E-2</v>
      </c>
      <c r="K6474">
        <v>4.1445186124781701E-2</v>
      </c>
      <c r="L6474">
        <v>1368.91040363559</v>
      </c>
      <c r="M6474">
        <v>26.294405229625699</v>
      </c>
      <c r="N6474">
        <v>52.175482586133</v>
      </c>
      <c r="O6474">
        <v>51.762579334308803</v>
      </c>
      <c r="P6474">
        <v>-0.123433170313684</v>
      </c>
      <c r="Q6474">
        <v>2.80595569941532E-2</v>
      </c>
      <c r="R6474">
        <v>0.99694886988981701</v>
      </c>
      <c r="S6474" t="s">
        <v>13042</v>
      </c>
      <c r="T6474" t="s">
        <v>13134</v>
      </c>
      <c r="U6474" t="s">
        <v>13134</v>
      </c>
      <c r="V6474" t="s">
        <v>13134</v>
      </c>
      <c r="W6474" t="s">
        <v>19536</v>
      </c>
      <c r="X6474">
        <v>15</v>
      </c>
      <c r="Y6474" t="s">
        <v>25881</v>
      </c>
      <c r="Z6474" t="s">
        <v>32442</v>
      </c>
      <c r="AA6474">
        <v>0.52386086624504746</v>
      </c>
      <c r="AB6474" t="str">
        <f>HYPERLINK("Melting_Curves/meltCurve_Q9Y570_PPME1.pdf", "Melting_Curves/meltCurve_Q9Y570_PPME1.pdf")</f>
        <v>Melting_Curves/meltCurve_Q9Y570_PPME1.pdf</v>
      </c>
    </row>
    <row r="6475" spans="1:28" x14ac:dyDescent="0.25">
      <c r="A6475" t="s">
        <v>6479</v>
      </c>
      <c r="B6475">
        <v>0.99472303558308395</v>
      </c>
      <c r="C6475">
        <v>0.98635120810355803</v>
      </c>
      <c r="D6475">
        <v>1.05520817825806</v>
      </c>
      <c r="E6475">
        <v>0.84030701084776804</v>
      </c>
      <c r="F6475">
        <v>0.45723266586447298</v>
      </c>
      <c r="G6475">
        <v>0.449403317455568</v>
      </c>
      <c r="H6475">
        <v>0.36814849811116301</v>
      </c>
      <c r="I6475">
        <v>0.42565381724246298</v>
      </c>
      <c r="J6475">
        <v>0.56982927843366005</v>
      </c>
      <c r="K6475">
        <v>0.39940091492656099</v>
      </c>
      <c r="L6475">
        <v>3241.64291960233</v>
      </c>
      <c r="M6475">
        <v>68.646413734579198</v>
      </c>
      <c r="N6475">
        <v>48.7692577846028</v>
      </c>
      <c r="O6475">
        <v>47.182270798325597</v>
      </c>
      <c r="P6475">
        <v>-0.202476325669837</v>
      </c>
      <c r="Q6475">
        <v>0.44333319466728</v>
      </c>
      <c r="R6475">
        <v>0.96148699671017301</v>
      </c>
      <c r="S6475" t="s">
        <v>13043</v>
      </c>
      <c r="T6475" t="s">
        <v>13134</v>
      </c>
      <c r="U6475" t="s">
        <v>13134</v>
      </c>
      <c r="V6475" t="s">
        <v>13134</v>
      </c>
      <c r="W6475" t="s">
        <v>19537</v>
      </c>
      <c r="X6475">
        <v>5</v>
      </c>
      <c r="Y6475" t="s">
        <v>25882</v>
      </c>
      <c r="Z6475" t="s">
        <v>32443</v>
      </c>
      <c r="AA6475">
        <v>0.63362761144391611</v>
      </c>
      <c r="AB6475" t="str">
        <f>HYPERLINK("Melting_Curves/meltCurve_Q9Y584_TIMM22.pdf", "Melting_Curves/meltCurve_Q9Y584_TIMM22.pdf")</f>
        <v>Melting_Curves/meltCurve_Q9Y584_TIMM22.pdf</v>
      </c>
    </row>
    <row r="6476" spans="1:28" x14ac:dyDescent="0.25">
      <c r="A6476" t="s">
        <v>6480</v>
      </c>
      <c r="B6476">
        <v>0.99472303558308395</v>
      </c>
      <c r="C6476">
        <v>0.96827913274330601</v>
      </c>
      <c r="D6476">
        <v>0.72607071749866703</v>
      </c>
      <c r="E6476">
        <v>0.65161597959897499</v>
      </c>
      <c r="F6476">
        <v>0.67424522497017603</v>
      </c>
      <c r="G6476">
        <v>0.29561559177880797</v>
      </c>
      <c r="H6476">
        <v>0.19785957059467599</v>
      </c>
      <c r="I6476">
        <v>0.129951299798472</v>
      </c>
      <c r="J6476">
        <v>0.14388478624516299</v>
      </c>
      <c r="K6476">
        <v>0.22027010664888</v>
      </c>
      <c r="L6476">
        <v>499.79858615331398</v>
      </c>
      <c r="M6476">
        <v>10.08711311715</v>
      </c>
      <c r="N6476">
        <v>50.278550379501901</v>
      </c>
      <c r="O6476">
        <v>47.719073575803897</v>
      </c>
      <c r="P6476">
        <v>-4.9268252844512299E-2</v>
      </c>
      <c r="Q6476">
        <v>6.8145443284931495E-2</v>
      </c>
      <c r="R6476">
        <v>0.93966815847014795</v>
      </c>
      <c r="S6476" t="s">
        <v>13044</v>
      </c>
      <c r="T6476" t="s">
        <v>13134</v>
      </c>
      <c r="U6476" t="s">
        <v>13134</v>
      </c>
      <c r="V6476" t="s">
        <v>13134</v>
      </c>
      <c r="W6476" t="s">
        <v>19538</v>
      </c>
      <c r="X6476">
        <v>5</v>
      </c>
      <c r="Y6476" t="s">
        <v>25883</v>
      </c>
      <c r="Z6476" t="s">
        <v>32444</v>
      </c>
      <c r="AA6476">
        <v>0.49061481112633742</v>
      </c>
      <c r="AB6476" t="str">
        <f>HYPERLINK("Melting_Curves/meltCurve_Q9Y597_2_KCTD3.pdf", "Melting_Curves/meltCurve_Q9Y597_2_KCTD3.pdf")</f>
        <v>Melting_Curves/meltCurve_Q9Y597_2_KCTD3.pdf</v>
      </c>
    </row>
    <row r="6477" spans="1:28" x14ac:dyDescent="0.25">
      <c r="A6477" t="s">
        <v>6481</v>
      </c>
      <c r="B6477">
        <v>0.99472303558308395</v>
      </c>
      <c r="C6477">
        <v>0.85186070825723803</v>
      </c>
      <c r="D6477">
        <v>0.88549118213337197</v>
      </c>
      <c r="E6477">
        <v>0.74311084474193501</v>
      </c>
      <c r="F6477">
        <v>0.44899068030800399</v>
      </c>
      <c r="G6477">
        <v>0.13554847974502299</v>
      </c>
      <c r="H6477">
        <v>7.1326373110939506E-2</v>
      </c>
      <c r="I6477">
        <v>4.90969691872555E-2</v>
      </c>
      <c r="J6477">
        <v>5.54480532003691E-2</v>
      </c>
      <c r="K6477">
        <v>4.7024485021525501E-2</v>
      </c>
      <c r="L6477">
        <v>840.73076609535599</v>
      </c>
      <c r="M6477">
        <v>17.141555167719599</v>
      </c>
      <c r="N6477">
        <v>49.141793374065301</v>
      </c>
      <c r="O6477">
        <v>48.393451992596503</v>
      </c>
      <c r="P6477">
        <v>-8.7108341256512706E-2</v>
      </c>
      <c r="Q6477">
        <v>1.6373931597113402E-2</v>
      </c>
      <c r="R6477">
        <v>0.98304903162382196</v>
      </c>
      <c r="S6477" t="s">
        <v>13045</v>
      </c>
      <c r="T6477" t="s">
        <v>13134</v>
      </c>
      <c r="U6477" t="s">
        <v>13134</v>
      </c>
      <c r="V6477" t="s">
        <v>13134</v>
      </c>
      <c r="W6477" t="s">
        <v>19539</v>
      </c>
      <c r="X6477">
        <v>16</v>
      </c>
      <c r="Y6477" t="s">
        <v>25884</v>
      </c>
      <c r="Z6477" t="s">
        <v>32445</v>
      </c>
      <c r="AA6477">
        <v>0.42834597243576811</v>
      </c>
      <c r="AB6477" t="str">
        <f>HYPERLINK("Melting_Curves/meltCurve_Q9Y5A9_YTHDF2.pdf", "Melting_Curves/meltCurve_Q9Y5A9_YTHDF2.pdf")</f>
        <v>Melting_Curves/meltCurve_Q9Y5A9_YTHDF2.pdf</v>
      </c>
    </row>
    <row r="6478" spans="1:28" x14ac:dyDescent="0.25">
      <c r="A6478" t="s">
        <v>6482</v>
      </c>
      <c r="B6478">
        <v>0.99472303558308395</v>
      </c>
      <c r="C6478">
        <v>0.97593855730074197</v>
      </c>
      <c r="D6478">
        <v>0.87288014736501696</v>
      </c>
      <c r="E6478">
        <v>0.49499855666125903</v>
      </c>
      <c r="F6478">
        <v>0.180078844600638</v>
      </c>
      <c r="G6478">
        <v>0.107035430412126</v>
      </c>
      <c r="H6478">
        <v>6.9075673890773306E-2</v>
      </c>
      <c r="I6478">
        <v>7.3204733049849993E-2</v>
      </c>
      <c r="J6478">
        <v>6.6693779091802005E-2</v>
      </c>
      <c r="K6478">
        <v>5.3950383940027401E-2</v>
      </c>
      <c r="L6478">
        <v>1118.43148236002</v>
      </c>
      <c r="M6478">
        <v>24.167221041705201</v>
      </c>
      <c r="N6478">
        <v>46.543140493382801</v>
      </c>
      <c r="O6478">
        <v>45.965486556389699</v>
      </c>
      <c r="P6478">
        <v>-0.123017036326316</v>
      </c>
      <c r="Q6478">
        <v>6.4112401874990801E-2</v>
      </c>
      <c r="R6478">
        <v>0.99973108700390101</v>
      </c>
      <c r="S6478" t="s">
        <v>13046</v>
      </c>
      <c r="T6478" t="s">
        <v>13134</v>
      </c>
      <c r="U6478" t="s">
        <v>13134</v>
      </c>
      <c r="V6478" t="s">
        <v>13134</v>
      </c>
      <c r="W6478" t="s">
        <v>19540</v>
      </c>
      <c r="X6478">
        <v>12</v>
      </c>
      <c r="Y6478" t="s">
        <v>25885</v>
      </c>
      <c r="Z6478" t="s">
        <v>32446</v>
      </c>
      <c r="AA6478">
        <v>0.36191621362873472</v>
      </c>
      <c r="AB6478" t="str">
        <f>HYPERLINK("Melting_Curves/meltCurve_Q9Y5B0_CTDP1.pdf", "Melting_Curves/meltCurve_Q9Y5B0_CTDP1.pdf")</f>
        <v>Melting_Curves/meltCurve_Q9Y5B0_CTDP1.pdf</v>
      </c>
    </row>
    <row r="6479" spans="1:28" x14ac:dyDescent="0.25">
      <c r="A6479" t="s">
        <v>6483</v>
      </c>
      <c r="B6479">
        <v>0.99472303558308395</v>
      </c>
      <c r="C6479">
        <v>0.86232939171623602</v>
      </c>
      <c r="D6479">
        <v>0.874519037733129</v>
      </c>
      <c r="E6479">
        <v>0.46552889208717002</v>
      </c>
      <c r="F6479">
        <v>0.22018788720260199</v>
      </c>
      <c r="G6479">
        <v>0.12773809836753999</v>
      </c>
      <c r="H6479">
        <v>0.103302021178895</v>
      </c>
      <c r="I6479">
        <v>7.3154602665198604E-2</v>
      </c>
      <c r="J6479">
        <v>0.15728330908895399</v>
      </c>
      <c r="K6479">
        <v>9.24852602205814E-2</v>
      </c>
      <c r="L6479">
        <v>997.92328160287502</v>
      </c>
      <c r="M6479">
        <v>21.745515775537601</v>
      </c>
      <c r="N6479">
        <v>46.365566047302998</v>
      </c>
      <c r="O6479">
        <v>45.508196410761798</v>
      </c>
      <c r="P6479">
        <v>-0.10754310574718</v>
      </c>
      <c r="Q6479">
        <v>9.9772647666417094E-2</v>
      </c>
      <c r="R6479">
        <v>0.986261556982309</v>
      </c>
      <c r="S6479" t="s">
        <v>13047</v>
      </c>
      <c r="T6479" t="s">
        <v>13134</v>
      </c>
      <c r="U6479" t="s">
        <v>13134</v>
      </c>
      <c r="V6479" t="s">
        <v>13134</v>
      </c>
      <c r="W6479" t="s">
        <v>19541</v>
      </c>
      <c r="X6479">
        <v>11</v>
      </c>
      <c r="Y6479" t="s">
        <v>25886</v>
      </c>
      <c r="Z6479" t="s">
        <v>32447</v>
      </c>
      <c r="AA6479">
        <v>0.3764902681915418</v>
      </c>
      <c r="AB6479" t="str">
        <f>HYPERLINK("Melting_Curves/meltCurve_Q9Y5B6_PAXBP1.pdf", "Melting_Curves/meltCurve_Q9Y5B6_PAXBP1.pdf")</f>
        <v>Melting_Curves/meltCurve_Q9Y5B6_PAXBP1.pdf</v>
      </c>
    </row>
    <row r="6480" spans="1:28" x14ac:dyDescent="0.25">
      <c r="A6480" t="s">
        <v>6484</v>
      </c>
      <c r="B6480">
        <v>0.99472303558308395</v>
      </c>
      <c r="C6480">
        <v>0.91090140222359195</v>
      </c>
      <c r="D6480">
        <v>0.84893198940890302</v>
      </c>
      <c r="E6480">
        <v>0.35419605433541601</v>
      </c>
      <c r="F6480">
        <v>0.155780406685781</v>
      </c>
      <c r="G6480">
        <v>6.8360929308709503E-2</v>
      </c>
      <c r="H6480">
        <v>4.9203012480678501E-2</v>
      </c>
      <c r="I6480">
        <v>2.70115566110035E-2</v>
      </c>
      <c r="J6480">
        <v>2.3288022791737702E-2</v>
      </c>
      <c r="K6480">
        <v>3.3563865534730397E-2</v>
      </c>
      <c r="L6480">
        <v>1100.5574330888601</v>
      </c>
      <c r="M6480">
        <v>24.187651279058802</v>
      </c>
      <c r="N6480">
        <v>45.643009455639799</v>
      </c>
      <c r="O6480">
        <v>45.193202225234799</v>
      </c>
      <c r="P6480">
        <v>-0.128946865665266</v>
      </c>
      <c r="Q6480">
        <v>3.62962527832053E-2</v>
      </c>
      <c r="R6480">
        <v>0.99530590971025601</v>
      </c>
      <c r="S6480" t="s">
        <v>13048</v>
      </c>
      <c r="T6480" t="s">
        <v>13134</v>
      </c>
      <c r="U6480" t="s">
        <v>13134</v>
      </c>
      <c r="V6480" t="s">
        <v>13134</v>
      </c>
      <c r="W6480" t="s">
        <v>19542</v>
      </c>
      <c r="X6480">
        <v>5</v>
      </c>
      <c r="Y6480" t="s">
        <v>25887</v>
      </c>
      <c r="Z6480" t="s">
        <v>32448</v>
      </c>
      <c r="AA6480">
        <v>0.31787644635674639</v>
      </c>
      <c r="AB6480" t="str">
        <f>HYPERLINK("Melting_Curves/meltCurve_Q9Y5B8_2_NME7.pdf", "Melting_Curves/meltCurve_Q9Y5B8_2_NME7.pdf")</f>
        <v>Melting_Curves/meltCurve_Q9Y5B8_2_NME7.pdf</v>
      </c>
    </row>
    <row r="6481" spans="1:28" x14ac:dyDescent="0.25">
      <c r="A6481" t="s">
        <v>6485</v>
      </c>
      <c r="B6481">
        <v>0.99472303558308395</v>
      </c>
      <c r="C6481">
        <v>0.96122523286102202</v>
      </c>
      <c r="D6481">
        <v>0.76768965971261305</v>
      </c>
      <c r="E6481">
        <v>0.58874466619096399</v>
      </c>
      <c r="F6481">
        <v>0.16471131496682601</v>
      </c>
      <c r="G6481">
        <v>8.3780002380960103E-2</v>
      </c>
      <c r="H6481">
        <v>5.1413607097926299E-2</v>
      </c>
      <c r="I6481">
        <v>3.5153891359490597E-2</v>
      </c>
      <c r="J6481">
        <v>3.7069187523185401E-2</v>
      </c>
      <c r="K6481">
        <v>3.4649695192951399E-2</v>
      </c>
      <c r="L6481">
        <v>871.56357764916697</v>
      </c>
      <c r="M6481">
        <v>18.6966204916842</v>
      </c>
      <c r="N6481">
        <v>46.717311533891497</v>
      </c>
      <c r="O6481">
        <v>46.092621602477301</v>
      </c>
      <c r="P6481">
        <v>-9.9399365520233596E-2</v>
      </c>
      <c r="Q6481">
        <v>1.9847627145768501E-2</v>
      </c>
      <c r="R6481">
        <v>0.99072984210406201</v>
      </c>
      <c r="S6481" t="s">
        <v>13049</v>
      </c>
      <c r="T6481" t="s">
        <v>13134</v>
      </c>
      <c r="U6481" t="s">
        <v>13134</v>
      </c>
      <c r="V6481" t="s">
        <v>13134</v>
      </c>
      <c r="W6481" t="s">
        <v>19543</v>
      </c>
      <c r="X6481">
        <v>27</v>
      </c>
      <c r="Y6481" t="s">
        <v>25888</v>
      </c>
      <c r="Z6481" t="s">
        <v>32449</v>
      </c>
      <c r="AA6481">
        <v>0.3486640275605698</v>
      </c>
      <c r="AB6481" t="str">
        <f>HYPERLINK("Melting_Curves/meltCurve_Q9Y5B9_SUPT16H.pdf", "Melting_Curves/meltCurve_Q9Y5B9_SUPT16H.pdf")</f>
        <v>Melting_Curves/meltCurve_Q9Y5B9_SUPT16H.pdf</v>
      </c>
    </row>
    <row r="6482" spans="1:28" x14ac:dyDescent="0.25">
      <c r="A6482" t="s">
        <v>6486</v>
      </c>
      <c r="B6482">
        <v>0.99472303558308395</v>
      </c>
      <c r="C6482">
        <v>0.93547843021176103</v>
      </c>
      <c r="D6482">
        <v>1.0599659759041</v>
      </c>
      <c r="E6482">
        <v>0.95324882389575005</v>
      </c>
      <c r="F6482">
        <v>0.670306518349436</v>
      </c>
      <c r="G6482">
        <v>0.58847164782380501</v>
      </c>
      <c r="H6482">
        <v>0.21068013643984199</v>
      </c>
      <c r="I6482">
        <v>0.22503973788523901</v>
      </c>
      <c r="J6482">
        <v>0.19364777950166401</v>
      </c>
      <c r="K6482">
        <v>0.106012905381282</v>
      </c>
      <c r="L6482">
        <v>908.87686052057597</v>
      </c>
      <c r="M6482">
        <v>17.174918736720599</v>
      </c>
      <c r="N6482">
        <v>53.7214358942418</v>
      </c>
      <c r="O6482">
        <v>52.217055765790199</v>
      </c>
      <c r="P6482">
        <v>-7.2928035481440695E-2</v>
      </c>
      <c r="Q6482">
        <v>0.11315768352160201</v>
      </c>
      <c r="R6482">
        <v>0.97223830827120605</v>
      </c>
      <c r="S6482" t="s">
        <v>13050</v>
      </c>
      <c r="T6482" t="s">
        <v>13134</v>
      </c>
      <c r="U6482" t="s">
        <v>13134</v>
      </c>
      <c r="V6482" t="s">
        <v>13134</v>
      </c>
      <c r="W6482" t="s">
        <v>19544</v>
      </c>
      <c r="X6482">
        <v>3</v>
      </c>
      <c r="Y6482" t="s">
        <v>25889</v>
      </c>
      <c r="Z6482" t="s">
        <v>32450</v>
      </c>
      <c r="AA6482">
        <v>0.59747094023150449</v>
      </c>
      <c r="AB6482" t="str">
        <f>HYPERLINK("Melting_Curves/meltCurve_Q9Y5J6_TIMM10B.pdf", "Melting_Curves/meltCurve_Q9Y5J6_TIMM10B.pdf")</f>
        <v>Melting_Curves/meltCurve_Q9Y5J6_TIMM10B.pdf</v>
      </c>
    </row>
    <row r="6483" spans="1:28" x14ac:dyDescent="0.25">
      <c r="A6483" t="s">
        <v>6487</v>
      </c>
      <c r="B6483">
        <v>0.99472303558308395</v>
      </c>
      <c r="C6483">
        <v>1.03468626295888</v>
      </c>
      <c r="D6483">
        <v>0.92920830491712902</v>
      </c>
      <c r="E6483">
        <v>0.91405981895065003</v>
      </c>
      <c r="F6483">
        <v>0.74266878322380403</v>
      </c>
      <c r="G6483">
        <v>0.56946888371273097</v>
      </c>
      <c r="H6483">
        <v>0.46140462859155401</v>
      </c>
      <c r="I6483">
        <v>0.52911788613844302</v>
      </c>
      <c r="J6483">
        <v>0.72203190124824301</v>
      </c>
      <c r="K6483">
        <v>0.46690440778222397</v>
      </c>
      <c r="L6483">
        <v>1353.5917456115501</v>
      </c>
      <c r="M6483">
        <v>27.415778651342301</v>
      </c>
      <c r="O6483">
        <v>49.112296199176299</v>
      </c>
      <c r="P6483">
        <v>-6.4015650849374398E-2</v>
      </c>
      <c r="Q6483">
        <v>0.54129694270555695</v>
      </c>
      <c r="R6483">
        <v>0.88209910161400995</v>
      </c>
      <c r="S6483" t="s">
        <v>13051</v>
      </c>
      <c r="T6483" t="s">
        <v>13134</v>
      </c>
      <c r="U6483" t="s">
        <v>13134</v>
      </c>
      <c r="V6483" t="s">
        <v>13134</v>
      </c>
      <c r="W6483" t="s">
        <v>19545</v>
      </c>
      <c r="X6483">
        <v>7</v>
      </c>
      <c r="Y6483" t="s">
        <v>25890</v>
      </c>
      <c r="Z6483" t="s">
        <v>32451</v>
      </c>
      <c r="AA6483">
        <v>0.73380472114272943</v>
      </c>
      <c r="AB6483" t="str">
        <f>HYPERLINK("Melting_Curves/meltCurve_Q9Y5J7_TIMM9.pdf", "Melting_Curves/meltCurve_Q9Y5J7_TIMM9.pdf")</f>
        <v>Melting_Curves/meltCurve_Q9Y5J7_TIMM9.pdf</v>
      </c>
    </row>
    <row r="6484" spans="1:28" x14ac:dyDescent="0.25">
      <c r="A6484" t="s">
        <v>6488</v>
      </c>
      <c r="B6484">
        <v>0.99472303558308395</v>
      </c>
      <c r="C6484">
        <v>0.92537607358223795</v>
      </c>
      <c r="D6484">
        <v>0.78493329845883397</v>
      </c>
      <c r="E6484">
        <v>0.74832798025585001</v>
      </c>
      <c r="F6484">
        <v>0.57628377791048302</v>
      </c>
      <c r="G6484">
        <v>0.186216402838215</v>
      </c>
      <c r="H6484">
        <v>7.3402133281894502E-2</v>
      </c>
      <c r="I6484">
        <v>4.67197752882378E-2</v>
      </c>
      <c r="J6484">
        <v>4.8934497235402601E-2</v>
      </c>
      <c r="K6484">
        <v>4.8218870900536101E-2</v>
      </c>
      <c r="L6484">
        <v>710.13468814732005</v>
      </c>
      <c r="M6484">
        <v>14.2710610263328</v>
      </c>
      <c r="N6484">
        <v>49.760482554388503</v>
      </c>
      <c r="O6484">
        <v>48.813991490371997</v>
      </c>
      <c r="P6484">
        <v>-7.3097962523418103E-2</v>
      </c>
      <c r="Q6484">
        <v>0</v>
      </c>
      <c r="R6484">
        <v>0.97390183481662596</v>
      </c>
      <c r="S6484" t="s">
        <v>13052</v>
      </c>
      <c r="T6484" t="s">
        <v>13134</v>
      </c>
      <c r="U6484" t="s">
        <v>13134</v>
      </c>
      <c r="V6484" t="s">
        <v>13134</v>
      </c>
      <c r="W6484" t="s">
        <v>19546</v>
      </c>
      <c r="X6484">
        <v>27</v>
      </c>
      <c r="Y6484" t="s">
        <v>25891</v>
      </c>
      <c r="Z6484" t="s">
        <v>32452</v>
      </c>
      <c r="AA6484">
        <v>0.44798511961510201</v>
      </c>
      <c r="AB6484" t="str">
        <f>HYPERLINK("Melting_Curves/meltCurve_Q9Y5K6_CD2AP.pdf", "Melting_Curves/meltCurve_Q9Y5K6_CD2AP.pdf")</f>
        <v>Melting_Curves/meltCurve_Q9Y5K6_CD2AP.pdf</v>
      </c>
    </row>
    <row r="6485" spans="1:28" x14ac:dyDescent="0.25">
      <c r="A6485" t="s">
        <v>6489</v>
      </c>
      <c r="B6485">
        <v>0.99472303558308395</v>
      </c>
      <c r="C6485">
        <v>0.97856515871330796</v>
      </c>
      <c r="D6485">
        <v>0.84912187710624598</v>
      </c>
      <c r="E6485">
        <v>0.76875823722430303</v>
      </c>
      <c r="F6485">
        <v>0.73516895033266405</v>
      </c>
      <c r="G6485">
        <v>0.475642474674147</v>
      </c>
      <c r="H6485">
        <v>0.36872552098090799</v>
      </c>
      <c r="I6485">
        <v>0.33404940590705401</v>
      </c>
      <c r="J6485">
        <v>0.33301472716612601</v>
      </c>
      <c r="K6485">
        <v>0.25802410768902101</v>
      </c>
      <c r="L6485">
        <v>510.88055045060503</v>
      </c>
      <c r="M6485">
        <v>9.9246785541735303</v>
      </c>
      <c r="N6485">
        <v>54.169183461470297</v>
      </c>
      <c r="O6485">
        <v>49.516673604467599</v>
      </c>
      <c r="P6485">
        <v>-4.0369497521079697E-2</v>
      </c>
      <c r="Q6485">
        <v>0.19474955147154599</v>
      </c>
      <c r="R6485">
        <v>0.97868026683854403</v>
      </c>
      <c r="S6485" t="s">
        <v>13053</v>
      </c>
      <c r="T6485" t="s">
        <v>13134</v>
      </c>
      <c r="U6485" t="s">
        <v>13134</v>
      </c>
      <c r="V6485" t="s">
        <v>13134</v>
      </c>
      <c r="W6485" t="s">
        <v>19547</v>
      </c>
      <c r="X6485">
        <v>13</v>
      </c>
      <c r="Y6485" t="s">
        <v>25892</v>
      </c>
      <c r="Z6485" t="s">
        <v>32453</v>
      </c>
      <c r="AA6485">
        <v>0.60653359761878012</v>
      </c>
      <c r="AB6485" t="str">
        <f>HYPERLINK("Melting_Curves/meltCurve_Q9Y5K8_ATP6V1D.pdf", "Melting_Curves/meltCurve_Q9Y5K8_ATP6V1D.pdf")</f>
        <v>Melting_Curves/meltCurve_Q9Y5K8_ATP6V1D.pdf</v>
      </c>
    </row>
    <row r="6486" spans="1:28" x14ac:dyDescent="0.25">
      <c r="A6486" t="s">
        <v>6490</v>
      </c>
      <c r="B6486">
        <v>0.99472303558308395</v>
      </c>
      <c r="C6486">
        <v>0.90529318590585695</v>
      </c>
      <c r="D6486">
        <v>0.945096897425456</v>
      </c>
      <c r="E6486">
        <v>0.74342229114969505</v>
      </c>
      <c r="F6486">
        <v>0.31589437397834302</v>
      </c>
      <c r="G6486">
        <v>7.77738781287894E-2</v>
      </c>
      <c r="H6486">
        <v>4.4443415152476899E-2</v>
      </c>
      <c r="I6486">
        <v>3.1442159304647298E-2</v>
      </c>
      <c r="J6486">
        <v>3.4590555563814997E-2</v>
      </c>
      <c r="K6486">
        <v>2.9466845797314602E-2</v>
      </c>
      <c r="L6486">
        <v>1211.31404141796</v>
      </c>
      <c r="M6486">
        <v>25.003823391955201</v>
      </c>
      <c r="N6486">
        <v>48.541115332184397</v>
      </c>
      <c r="O6486">
        <v>48.138449335422798</v>
      </c>
      <c r="P6486">
        <v>-0.12672403482137601</v>
      </c>
      <c r="Q6486">
        <v>2.4114310286394301E-2</v>
      </c>
      <c r="R6486">
        <v>0.99459813785066398</v>
      </c>
      <c r="S6486" t="s">
        <v>13054</v>
      </c>
      <c r="T6486" t="s">
        <v>13134</v>
      </c>
      <c r="U6486" t="s">
        <v>13134</v>
      </c>
      <c r="V6486" t="s">
        <v>13134</v>
      </c>
      <c r="W6486" t="s">
        <v>19548</v>
      </c>
      <c r="X6486">
        <v>20</v>
      </c>
      <c r="Y6486" t="s">
        <v>25893</v>
      </c>
      <c r="Z6486" t="s">
        <v>32454</v>
      </c>
      <c r="AA6486">
        <v>0.40478644918306822</v>
      </c>
      <c r="AB6486" t="str">
        <f>HYPERLINK("Melting_Curves/meltCurve_Q9Y5L0_TNPO3.pdf", "Melting_Curves/meltCurve_Q9Y5L0_TNPO3.pdf")</f>
        <v>Melting_Curves/meltCurve_Q9Y5L0_TNPO3.pdf</v>
      </c>
    </row>
    <row r="6487" spans="1:28" x14ac:dyDescent="0.25">
      <c r="A6487" t="s">
        <v>6491</v>
      </c>
      <c r="B6487">
        <v>0.99472303558308395</v>
      </c>
      <c r="C6487">
        <v>0.99496541761572699</v>
      </c>
      <c r="D6487">
        <v>0.96878717275138204</v>
      </c>
      <c r="E6487">
        <v>0.90162881047472798</v>
      </c>
      <c r="F6487">
        <v>0.74531632733332698</v>
      </c>
      <c r="G6487">
        <v>0.58861171958429903</v>
      </c>
      <c r="H6487">
        <v>0.38932645998266102</v>
      </c>
      <c r="I6487">
        <v>0.39927691555205402</v>
      </c>
      <c r="J6487">
        <v>0.440271309187313</v>
      </c>
      <c r="K6487">
        <v>0.30882450827701202</v>
      </c>
      <c r="L6487">
        <v>868.98153213711896</v>
      </c>
      <c r="M6487">
        <v>16.856742367366699</v>
      </c>
      <c r="N6487">
        <v>55.3996361434926</v>
      </c>
      <c r="O6487">
        <v>50.841866662165501</v>
      </c>
      <c r="P6487">
        <v>-5.4296866577635002E-2</v>
      </c>
      <c r="Q6487">
        <v>0.34497954776344802</v>
      </c>
      <c r="R6487">
        <v>0.98343807386037196</v>
      </c>
      <c r="S6487" t="s">
        <v>13055</v>
      </c>
      <c r="T6487" t="s">
        <v>13134</v>
      </c>
      <c r="U6487" t="s">
        <v>13134</v>
      </c>
      <c r="V6487" t="s">
        <v>13134</v>
      </c>
      <c r="W6487" t="s">
        <v>19549</v>
      </c>
      <c r="X6487">
        <v>6</v>
      </c>
      <c r="Y6487" t="s">
        <v>25894</v>
      </c>
      <c r="Z6487" t="s">
        <v>32455</v>
      </c>
      <c r="AA6487">
        <v>0.67371127620859861</v>
      </c>
      <c r="AB6487" t="str">
        <f>HYPERLINK("Melting_Curves/meltCurve_Q9Y5L4_TIMM13.pdf", "Melting_Curves/meltCurve_Q9Y5L4_TIMM13.pdf")</f>
        <v>Melting_Curves/meltCurve_Q9Y5L4_TIMM13.pdf</v>
      </c>
    </row>
    <row r="6488" spans="1:28" x14ac:dyDescent="0.25">
      <c r="A6488" t="s">
        <v>6492</v>
      </c>
      <c r="B6488">
        <v>0.99472303558308395</v>
      </c>
      <c r="C6488">
        <v>1.05138739883327</v>
      </c>
      <c r="D6488">
        <v>0.96593155865421498</v>
      </c>
      <c r="E6488">
        <v>0.88872604126135502</v>
      </c>
      <c r="F6488">
        <v>0.445776054463629</v>
      </c>
      <c r="G6488">
        <v>0.10028924918995299</v>
      </c>
      <c r="H6488">
        <v>6.6439417277834395E-2</v>
      </c>
      <c r="I6488">
        <v>5.0629655422899697E-2</v>
      </c>
      <c r="J6488">
        <v>6.0061790348258599E-2</v>
      </c>
      <c r="K6488">
        <v>4.89561460984244E-2</v>
      </c>
      <c r="L6488">
        <v>1607.98037391922</v>
      </c>
      <c r="M6488">
        <v>32.406161622932203</v>
      </c>
      <c r="N6488">
        <v>49.779107082097802</v>
      </c>
      <c r="O6488">
        <v>49.4317878062663</v>
      </c>
      <c r="P6488">
        <v>-0.15581110531381201</v>
      </c>
      <c r="Q6488">
        <v>4.93186436437692E-2</v>
      </c>
      <c r="R6488">
        <v>0.99776876541947801</v>
      </c>
      <c r="S6488" t="s">
        <v>13056</v>
      </c>
      <c r="T6488" t="s">
        <v>13134</v>
      </c>
      <c r="U6488" t="s">
        <v>13134</v>
      </c>
      <c r="V6488" t="s">
        <v>13134</v>
      </c>
      <c r="W6488" t="s">
        <v>19550</v>
      </c>
      <c r="X6488">
        <v>18</v>
      </c>
      <c r="Y6488" t="s">
        <v>25895</v>
      </c>
      <c r="Z6488" t="s">
        <v>32456</v>
      </c>
      <c r="AA6488">
        <v>0.45419708562141242</v>
      </c>
      <c r="AB6488" t="str">
        <f>HYPERLINK("Melting_Curves/meltCurve_Q9Y5M8_SRPRB.pdf", "Melting_Curves/meltCurve_Q9Y5M8_SRPRB.pdf")</f>
        <v>Melting_Curves/meltCurve_Q9Y5M8_SRPRB.pdf</v>
      </c>
    </row>
    <row r="6489" spans="1:28" x14ac:dyDescent="0.25">
      <c r="A6489" t="s">
        <v>6493</v>
      </c>
      <c r="B6489">
        <v>0.99472303558308395</v>
      </c>
      <c r="C6489">
        <v>1.01808219123053</v>
      </c>
      <c r="D6489">
        <v>1.12375711187975</v>
      </c>
      <c r="E6489">
        <v>1.04526037374849</v>
      </c>
      <c r="F6489">
        <v>0.828195331908951</v>
      </c>
      <c r="G6489">
        <v>0.66396358940782596</v>
      </c>
      <c r="H6489">
        <v>0.36266254425914202</v>
      </c>
      <c r="I6489">
        <v>0.23441342296439699</v>
      </c>
      <c r="J6489">
        <v>0.23121350566485199</v>
      </c>
      <c r="K6489">
        <v>0.16502875248488799</v>
      </c>
      <c r="L6489">
        <v>1173.4290835541999</v>
      </c>
      <c r="M6489">
        <v>21.560102134382699</v>
      </c>
      <c r="N6489">
        <v>55.492783588112999</v>
      </c>
      <c r="O6489">
        <v>53.9642183452561</v>
      </c>
      <c r="P6489">
        <v>-8.2937668459106995E-2</v>
      </c>
      <c r="Q6489">
        <v>0.16965920929626499</v>
      </c>
      <c r="R6489">
        <v>0.98031306971559196</v>
      </c>
      <c r="S6489" t="s">
        <v>13057</v>
      </c>
      <c r="T6489" t="s">
        <v>13134</v>
      </c>
      <c r="U6489" t="s">
        <v>13134</v>
      </c>
      <c r="V6489" t="s">
        <v>13134</v>
      </c>
      <c r="W6489" t="s">
        <v>19551</v>
      </c>
      <c r="X6489">
        <v>4</v>
      </c>
      <c r="Y6489" t="s">
        <v>25896</v>
      </c>
      <c r="Z6489" t="s">
        <v>32457</v>
      </c>
      <c r="AA6489">
        <v>0.66088491477847811</v>
      </c>
      <c r="AB6489" t="str">
        <f>HYPERLINK("Melting_Curves/meltCurve_Q9Y5N5_N6AMT1.pdf", "Melting_Curves/meltCurve_Q9Y5N5_N6AMT1.pdf")</f>
        <v>Melting_Curves/meltCurve_Q9Y5N5_N6AMT1.pdf</v>
      </c>
    </row>
    <row r="6490" spans="1:28" x14ac:dyDescent="0.25">
      <c r="A6490" t="s">
        <v>6494</v>
      </c>
      <c r="B6490">
        <v>0.99472303558308395</v>
      </c>
      <c r="C6490">
        <v>0.87859181432365796</v>
      </c>
      <c r="D6490">
        <v>0.80499093435222602</v>
      </c>
      <c r="E6490">
        <v>0.37431682893990498</v>
      </c>
      <c r="F6490">
        <v>0.25190903372805601</v>
      </c>
      <c r="G6490">
        <v>0.148253191203571</v>
      </c>
      <c r="H6490">
        <v>0.122911704670121</v>
      </c>
      <c r="I6490">
        <v>6.7466836631266305E-2</v>
      </c>
      <c r="J6490">
        <v>0.120646831412308</v>
      </c>
      <c r="K6490">
        <v>0.101470047984988</v>
      </c>
      <c r="L6490">
        <v>860.34676069801003</v>
      </c>
      <c r="M6490">
        <v>19.044911970196502</v>
      </c>
      <c r="N6490">
        <v>45.714201032117401</v>
      </c>
      <c r="O6490">
        <v>44.685400553571903</v>
      </c>
      <c r="P6490">
        <v>-9.5828972277562902E-2</v>
      </c>
      <c r="Q6490">
        <v>0.100654932027787</v>
      </c>
      <c r="R6490">
        <v>0.990389210779132</v>
      </c>
      <c r="S6490" t="s">
        <v>13058</v>
      </c>
      <c r="T6490" t="s">
        <v>13134</v>
      </c>
      <c r="U6490" t="s">
        <v>13134</v>
      </c>
      <c r="V6490" t="s">
        <v>13134</v>
      </c>
      <c r="W6490" t="s">
        <v>19552</v>
      </c>
      <c r="X6490">
        <v>2</v>
      </c>
      <c r="Y6490" t="s">
        <v>25897</v>
      </c>
      <c r="Z6490" t="s">
        <v>32458</v>
      </c>
      <c r="AA6490">
        <v>0.35878315740213762</v>
      </c>
      <c r="AB6490" t="str">
        <f>HYPERLINK("Melting_Curves/meltCurve_Q9Y5N6_ORC6.pdf", "Melting_Curves/meltCurve_Q9Y5N6_ORC6.pdf")</f>
        <v>Melting_Curves/meltCurve_Q9Y5N6_ORC6.pdf</v>
      </c>
    </row>
    <row r="6491" spans="1:28" x14ac:dyDescent="0.25">
      <c r="A6491" t="s">
        <v>6495</v>
      </c>
      <c r="B6491">
        <v>0.99472303558308395</v>
      </c>
      <c r="C6491">
        <v>0.96265266937100702</v>
      </c>
      <c r="D6491">
        <v>0.988055573205328</v>
      </c>
      <c r="E6491">
        <v>0.78932275891021797</v>
      </c>
      <c r="F6491">
        <v>0.191603163206853</v>
      </c>
      <c r="G6491">
        <v>8.57637813920471E-2</v>
      </c>
      <c r="H6491">
        <v>5.3700175036822999E-2</v>
      </c>
      <c r="I6491">
        <v>4.15098949083441E-2</v>
      </c>
      <c r="J6491">
        <v>5.9605548208492301E-2</v>
      </c>
      <c r="K6491">
        <v>4.1911149025683797E-2</v>
      </c>
      <c r="L6491">
        <v>1928.20997846102</v>
      </c>
      <c r="M6491">
        <v>40.1378428395887</v>
      </c>
      <c r="N6491">
        <v>48.174000884186803</v>
      </c>
      <c r="O6491">
        <v>47.920918296097497</v>
      </c>
      <c r="P6491">
        <v>-0.19831271578720799</v>
      </c>
      <c r="Q6491">
        <v>5.2932888279814697E-2</v>
      </c>
      <c r="R6491">
        <v>0.99880846279037705</v>
      </c>
      <c r="S6491" t="s">
        <v>13059</v>
      </c>
      <c r="T6491" t="s">
        <v>13134</v>
      </c>
      <c r="U6491" t="s">
        <v>13134</v>
      </c>
      <c r="V6491" t="s">
        <v>13134</v>
      </c>
      <c r="W6491" t="s">
        <v>19553</v>
      </c>
      <c r="X6491">
        <v>16</v>
      </c>
      <c r="Y6491" t="s">
        <v>25898</v>
      </c>
      <c r="Z6491" t="s">
        <v>32459</v>
      </c>
      <c r="AA6491">
        <v>0.40456738239075102</v>
      </c>
      <c r="AB6491" t="str">
        <f>HYPERLINK("Melting_Curves/meltCurve_Q9Y5P4_2_COL4A3BP.pdf", "Melting_Curves/meltCurve_Q9Y5P4_2_COL4A3BP.pdf")</f>
        <v>Melting_Curves/meltCurve_Q9Y5P4_2_COL4A3BP.pdf</v>
      </c>
    </row>
    <row r="6492" spans="1:28" x14ac:dyDescent="0.25">
      <c r="A6492" t="s">
        <v>6496</v>
      </c>
      <c r="B6492">
        <v>0.99472303558308395</v>
      </c>
      <c r="C6492">
        <v>1.0105266813817699</v>
      </c>
      <c r="D6492">
        <v>0.813640819649605</v>
      </c>
      <c r="E6492">
        <v>0.73328425196876801</v>
      </c>
      <c r="F6492">
        <v>0.79084778680266998</v>
      </c>
      <c r="G6492">
        <v>0.41515464529880802</v>
      </c>
      <c r="H6492">
        <v>0.19759861145464899</v>
      </c>
      <c r="I6492">
        <v>0.11610103728292601</v>
      </c>
      <c r="J6492">
        <v>0.118362562898378</v>
      </c>
      <c r="K6492">
        <v>0.110496605472427</v>
      </c>
      <c r="L6492">
        <v>619.476675413522</v>
      </c>
      <c r="M6492">
        <v>11.8081676175804</v>
      </c>
      <c r="N6492">
        <v>52.4617078455978</v>
      </c>
      <c r="O6492">
        <v>51.024926580310598</v>
      </c>
      <c r="P6492">
        <v>-5.7869747327109103E-2</v>
      </c>
      <c r="Q6492">
        <v>0</v>
      </c>
      <c r="R6492">
        <v>0.95615065416303002</v>
      </c>
      <c r="S6492" t="s">
        <v>13060</v>
      </c>
      <c r="T6492" t="s">
        <v>13134</v>
      </c>
      <c r="U6492" t="s">
        <v>13134</v>
      </c>
      <c r="V6492" t="s">
        <v>13134</v>
      </c>
      <c r="W6492" t="s">
        <v>19554</v>
      </c>
      <c r="X6492">
        <v>8</v>
      </c>
      <c r="Y6492" t="s">
        <v>25899</v>
      </c>
      <c r="Z6492" t="s">
        <v>32460</v>
      </c>
      <c r="AA6492">
        <v>0.53820524525567204</v>
      </c>
      <c r="AB6492" t="str">
        <f>HYPERLINK("Melting_Curves/meltCurve_Q9Y5P6_GMPPB.pdf", "Melting_Curves/meltCurve_Q9Y5P6_GMPPB.pdf")</f>
        <v>Melting_Curves/meltCurve_Q9Y5P6_GMPPB.pdf</v>
      </c>
    </row>
    <row r="6493" spans="1:28" x14ac:dyDescent="0.25">
      <c r="A6493" t="s">
        <v>6497</v>
      </c>
      <c r="B6493">
        <v>0.99472303558308395</v>
      </c>
      <c r="C6493">
        <v>0.84428357345007499</v>
      </c>
      <c r="D6493">
        <v>0.70821026883176097</v>
      </c>
      <c r="E6493">
        <v>0.29338273678683202</v>
      </c>
      <c r="F6493">
        <v>0.14356068750984299</v>
      </c>
      <c r="G6493">
        <v>9.5173050481130103E-2</v>
      </c>
      <c r="H6493">
        <v>6.0484741257845101E-2</v>
      </c>
      <c r="I6493">
        <v>4.3784720288547602E-2</v>
      </c>
      <c r="J6493">
        <v>5.5423341157674201E-2</v>
      </c>
      <c r="K6493">
        <v>3.8647823540511599E-2</v>
      </c>
      <c r="L6493">
        <v>836.91585157348902</v>
      </c>
      <c r="M6493">
        <v>18.852965324849901</v>
      </c>
      <c r="N6493">
        <v>44.616423879656701</v>
      </c>
      <c r="O6493">
        <v>43.901330548879798</v>
      </c>
      <c r="P6493">
        <v>-0.102501997506895</v>
      </c>
      <c r="Q6493">
        <v>4.5287775860794403E-2</v>
      </c>
      <c r="R6493">
        <v>0.99491751819991603</v>
      </c>
      <c r="S6493" t="s">
        <v>13061</v>
      </c>
      <c r="T6493" t="s">
        <v>13134</v>
      </c>
      <c r="U6493" t="s">
        <v>13134</v>
      </c>
      <c r="V6493" t="s">
        <v>13134</v>
      </c>
      <c r="W6493" t="s">
        <v>19555</v>
      </c>
      <c r="X6493">
        <v>15</v>
      </c>
      <c r="Y6493" t="s">
        <v>25900</v>
      </c>
      <c r="Z6493" t="s">
        <v>32461</v>
      </c>
      <c r="AA6493">
        <v>0.29489657508108719</v>
      </c>
      <c r="AB6493" t="str">
        <f>HYPERLINK("Melting_Curves/meltCurve_Q9Y5Q8_GTF3C5.pdf", "Melting_Curves/meltCurve_Q9Y5Q8_GTF3C5.pdf")</f>
        <v>Melting_Curves/meltCurve_Q9Y5Q8_GTF3C5.pdf</v>
      </c>
    </row>
    <row r="6494" spans="1:28" x14ac:dyDescent="0.25">
      <c r="A6494" t="s">
        <v>6498</v>
      </c>
      <c r="B6494">
        <v>0.99472303558308395</v>
      </c>
      <c r="C6494">
        <v>0.77646279834915</v>
      </c>
      <c r="D6494">
        <v>0.45365390231113001</v>
      </c>
      <c r="E6494">
        <v>0.31179912494380002</v>
      </c>
      <c r="F6494">
        <v>0.23142948409888101</v>
      </c>
      <c r="G6494">
        <v>0.16742593677360901</v>
      </c>
      <c r="H6494">
        <v>0.14000046174776501</v>
      </c>
      <c r="I6494">
        <v>0.12750191053542001</v>
      </c>
      <c r="J6494">
        <v>0.164299493940639</v>
      </c>
      <c r="K6494">
        <v>0.14212514054654801</v>
      </c>
      <c r="L6494">
        <v>790.63076239558097</v>
      </c>
      <c r="M6494">
        <v>18.784758049023999</v>
      </c>
      <c r="N6494">
        <v>42.928297684315403</v>
      </c>
      <c r="O6494">
        <v>41.620669669957003</v>
      </c>
      <c r="P6494">
        <v>-9.5495341478768703E-2</v>
      </c>
      <c r="Q6494">
        <v>0.15369388437148401</v>
      </c>
      <c r="R6494">
        <v>0.98903716482063897</v>
      </c>
      <c r="S6494" t="s">
        <v>13062</v>
      </c>
      <c r="T6494" t="s">
        <v>13134</v>
      </c>
      <c r="U6494" t="s">
        <v>13134</v>
      </c>
      <c r="V6494" t="s">
        <v>13134</v>
      </c>
      <c r="W6494" t="s">
        <v>19556</v>
      </c>
      <c r="X6494">
        <v>6</v>
      </c>
      <c r="Y6494" t="s">
        <v>25901</v>
      </c>
      <c r="Z6494" t="s">
        <v>32462</v>
      </c>
      <c r="AA6494">
        <v>0.31187771166892231</v>
      </c>
      <c r="AB6494" t="str">
        <f>HYPERLINK("Melting_Curves/meltCurve_Q9Y5Q9_GTF3C3.pdf", "Melting_Curves/meltCurve_Q9Y5Q9_GTF3C3.pdf")</f>
        <v>Melting_Curves/meltCurve_Q9Y5Q9_GTF3C3.pdf</v>
      </c>
    </row>
    <row r="6495" spans="1:28" x14ac:dyDescent="0.25">
      <c r="A6495" t="s">
        <v>6499</v>
      </c>
      <c r="B6495">
        <v>0.99472303558308395</v>
      </c>
      <c r="C6495">
        <v>0.783700001135752</v>
      </c>
      <c r="D6495">
        <v>0.90357045429392702</v>
      </c>
      <c r="E6495">
        <v>0.70693937350463898</v>
      </c>
      <c r="F6495">
        <v>0.59721852483777504</v>
      </c>
      <c r="G6495">
        <v>0.47735826893977701</v>
      </c>
      <c r="H6495">
        <v>0.12441919225128199</v>
      </c>
      <c r="I6495">
        <v>7.2847952675830399E-2</v>
      </c>
      <c r="J6495">
        <v>8.5921238844417103E-2</v>
      </c>
      <c r="K6495">
        <v>7.0638919141071094E-2</v>
      </c>
      <c r="L6495">
        <v>564.87344703334304</v>
      </c>
      <c r="M6495">
        <v>11.065224407241899</v>
      </c>
      <c r="N6495">
        <v>51.049433997049903</v>
      </c>
      <c r="O6495">
        <v>49.467154469553599</v>
      </c>
      <c r="P6495">
        <v>-5.5940521161050298E-2</v>
      </c>
      <c r="Q6495">
        <v>0</v>
      </c>
      <c r="R6495">
        <v>0.94856515403224995</v>
      </c>
      <c r="S6495" t="s">
        <v>13063</v>
      </c>
      <c r="T6495" t="s">
        <v>13134</v>
      </c>
      <c r="U6495" t="s">
        <v>13134</v>
      </c>
      <c r="V6495" t="s">
        <v>13134</v>
      </c>
      <c r="W6495" t="s">
        <v>19557</v>
      </c>
      <c r="X6495">
        <v>3</v>
      </c>
      <c r="Y6495" t="s">
        <v>25902</v>
      </c>
      <c r="Z6495" t="s">
        <v>32463</v>
      </c>
      <c r="AA6495">
        <v>0.49626408566078439</v>
      </c>
      <c r="AB6495" t="str">
        <f>HYPERLINK("Melting_Curves/meltCurve_Q9Y5R8_TRAPPC1.pdf", "Melting_Curves/meltCurve_Q9Y5R8_TRAPPC1.pdf")</f>
        <v>Melting_Curves/meltCurve_Q9Y5R8_TRAPPC1.pdf</v>
      </c>
    </row>
    <row r="6496" spans="1:28" x14ac:dyDescent="0.25">
      <c r="A6496" t="s">
        <v>6500</v>
      </c>
      <c r="B6496">
        <v>0.99472303558308395</v>
      </c>
      <c r="C6496">
        <v>0.89350901789244497</v>
      </c>
      <c r="D6496">
        <v>0.73365051734683895</v>
      </c>
      <c r="E6496">
        <v>0.65150020475195702</v>
      </c>
      <c r="F6496">
        <v>0.61798534465476096</v>
      </c>
      <c r="G6496">
        <v>0.25487841527946897</v>
      </c>
      <c r="H6496">
        <v>6.9385800723732405E-2</v>
      </c>
      <c r="I6496">
        <v>3.95261259926055E-2</v>
      </c>
      <c r="J6496">
        <v>4.4194797968978503E-2</v>
      </c>
      <c r="K6496">
        <v>3.51153903360895E-2</v>
      </c>
      <c r="L6496">
        <v>570.02627173758503</v>
      </c>
      <c r="M6496">
        <v>11.5672858461266</v>
      </c>
      <c r="N6496">
        <v>49.279153984054098</v>
      </c>
      <c r="O6496">
        <v>47.875408131417998</v>
      </c>
      <c r="P6496">
        <v>-6.0419851408248397E-2</v>
      </c>
      <c r="Q6496">
        <v>0</v>
      </c>
      <c r="R6496">
        <v>0.95728245448649896</v>
      </c>
      <c r="S6496" t="s">
        <v>13064</v>
      </c>
      <c r="T6496" t="s">
        <v>13134</v>
      </c>
      <c r="U6496" t="s">
        <v>13134</v>
      </c>
      <c r="V6496" t="s">
        <v>13134</v>
      </c>
      <c r="W6496" t="s">
        <v>19558</v>
      </c>
      <c r="X6496">
        <v>9</v>
      </c>
      <c r="Y6496" t="s">
        <v>25903</v>
      </c>
      <c r="Z6496" t="s">
        <v>32464</v>
      </c>
      <c r="AA6496">
        <v>0.43994816256867242</v>
      </c>
      <c r="AB6496" t="str">
        <f>HYPERLINK("Melting_Curves/meltCurve_Q9Y5S1_TRPV2.pdf", "Melting_Curves/meltCurve_Q9Y5S1_TRPV2.pdf")</f>
        <v>Melting_Curves/meltCurve_Q9Y5S1_TRPV2.pdf</v>
      </c>
    </row>
    <row r="6497" spans="1:28" x14ac:dyDescent="0.25">
      <c r="A6497" t="s">
        <v>6501</v>
      </c>
      <c r="B6497">
        <v>0.99472303558308395</v>
      </c>
      <c r="C6497">
        <v>0.924537838836897</v>
      </c>
      <c r="D6497">
        <v>0.99509853486321098</v>
      </c>
      <c r="E6497">
        <v>0.70293482703840604</v>
      </c>
      <c r="F6497">
        <v>0.38092694704286401</v>
      </c>
      <c r="G6497">
        <v>0.29451617156870302</v>
      </c>
      <c r="H6497">
        <v>6.7032110122984795E-2</v>
      </c>
      <c r="I6497">
        <v>5.6075589175092803E-2</v>
      </c>
      <c r="J6497">
        <v>4.7483780656438802E-2</v>
      </c>
      <c r="K6497">
        <v>3.2872159276325003E-2</v>
      </c>
      <c r="L6497">
        <v>818.29553306701303</v>
      </c>
      <c r="M6497">
        <v>16.652518894055099</v>
      </c>
      <c r="N6497">
        <v>49.289034122513698</v>
      </c>
      <c r="O6497">
        <v>48.447220598062103</v>
      </c>
      <c r="P6497">
        <v>-8.3819368041366998E-2</v>
      </c>
      <c r="Q6497">
        <v>2.4641768398854399E-2</v>
      </c>
      <c r="R6497">
        <v>0.98703533632282703</v>
      </c>
      <c r="S6497" t="s">
        <v>13065</v>
      </c>
      <c r="T6497" t="s">
        <v>13134</v>
      </c>
      <c r="U6497" t="s">
        <v>13134</v>
      </c>
      <c r="V6497" t="s">
        <v>13134</v>
      </c>
      <c r="W6497" t="s">
        <v>19559</v>
      </c>
      <c r="X6497">
        <v>14</v>
      </c>
      <c r="Y6497" t="s">
        <v>25904</v>
      </c>
      <c r="Z6497" t="s">
        <v>32465</v>
      </c>
      <c r="AA6497">
        <v>0.4369943558040324</v>
      </c>
      <c r="AB6497" t="str">
        <f>HYPERLINK("Melting_Curves/meltCurve_Q9Y5S2_CDC42BPB.pdf", "Melting_Curves/meltCurve_Q9Y5S2_CDC42BPB.pdf")</f>
        <v>Melting_Curves/meltCurve_Q9Y5S2_CDC42BPB.pdf</v>
      </c>
    </row>
    <row r="6498" spans="1:28" x14ac:dyDescent="0.25">
      <c r="A6498" t="s">
        <v>6502</v>
      </c>
      <c r="B6498">
        <v>0.99472303558308395</v>
      </c>
      <c r="C6498">
        <v>0.88739241978951899</v>
      </c>
      <c r="D6498">
        <v>0.98177429702402996</v>
      </c>
      <c r="E6498">
        <v>0.88142660462474698</v>
      </c>
      <c r="F6498">
        <v>0.586962520895005</v>
      </c>
      <c r="G6498">
        <v>0.29361574632135201</v>
      </c>
      <c r="H6498">
        <v>0.182409025532733</v>
      </c>
      <c r="I6498">
        <v>0.137775881619698</v>
      </c>
      <c r="J6498">
        <v>0.120983554119414</v>
      </c>
      <c r="K6498">
        <v>9.4221218727031902E-2</v>
      </c>
      <c r="L6498">
        <v>1060.3957861667</v>
      </c>
      <c r="M6498">
        <v>20.9673902482083</v>
      </c>
      <c r="N6498">
        <v>51.148157942570499</v>
      </c>
      <c r="O6498">
        <v>50.120283409447701</v>
      </c>
      <c r="P6498">
        <v>-9.3613822166203398E-2</v>
      </c>
      <c r="Q6498">
        <v>0.104929219348552</v>
      </c>
      <c r="R6498">
        <v>0.99072418905651205</v>
      </c>
      <c r="S6498" t="s">
        <v>13066</v>
      </c>
      <c r="T6498" t="s">
        <v>13134</v>
      </c>
      <c r="U6498" t="s">
        <v>13134</v>
      </c>
      <c r="V6498" t="s">
        <v>13134</v>
      </c>
      <c r="W6498" t="s">
        <v>19560</v>
      </c>
      <c r="X6498">
        <v>4</v>
      </c>
      <c r="Y6498" t="s">
        <v>25905</v>
      </c>
      <c r="Z6498" t="s">
        <v>32466</v>
      </c>
      <c r="AA6498">
        <v>0.52074312772464038</v>
      </c>
      <c r="AB6498" t="str">
        <f>HYPERLINK("Melting_Curves/meltCurve_Q9Y5S9_RBM8A.pdf", "Melting_Curves/meltCurve_Q9Y5S9_RBM8A.pdf")</f>
        <v>Melting_Curves/meltCurve_Q9Y5S9_RBM8A.pdf</v>
      </c>
    </row>
    <row r="6499" spans="1:28" x14ac:dyDescent="0.25">
      <c r="A6499" t="s">
        <v>6503</v>
      </c>
      <c r="B6499">
        <v>0.99472303558308395</v>
      </c>
      <c r="C6499">
        <v>0.95851557801442799</v>
      </c>
      <c r="D6499">
        <v>0.89981626662880898</v>
      </c>
      <c r="E6499">
        <v>0.34674433814102401</v>
      </c>
      <c r="F6499">
        <v>0.117907424777853</v>
      </c>
      <c r="G6499">
        <v>5.3274662300708903E-2</v>
      </c>
      <c r="H6499">
        <v>3.0721336427819799E-2</v>
      </c>
      <c r="I6499">
        <v>2.72346158979518E-2</v>
      </c>
      <c r="J6499">
        <v>3.20394457163704E-2</v>
      </c>
      <c r="K6499">
        <v>2.4809987605392401E-2</v>
      </c>
      <c r="L6499">
        <v>1464.42478851751</v>
      </c>
      <c r="M6499">
        <v>32.098779609057999</v>
      </c>
      <c r="N6499">
        <v>45.730080456639399</v>
      </c>
      <c r="O6499">
        <v>45.446485333507901</v>
      </c>
      <c r="P6499">
        <v>-0.17015102275069899</v>
      </c>
      <c r="Q6499">
        <v>3.6384060499087399E-2</v>
      </c>
      <c r="R6499">
        <v>0.99812798209249598</v>
      </c>
      <c r="S6499" t="s">
        <v>13067</v>
      </c>
      <c r="T6499" t="s">
        <v>13134</v>
      </c>
      <c r="U6499" t="s">
        <v>13134</v>
      </c>
      <c r="V6499" t="s">
        <v>13134</v>
      </c>
      <c r="W6499" t="s">
        <v>19561</v>
      </c>
      <c r="X6499">
        <v>11</v>
      </c>
      <c r="Y6499" t="s">
        <v>25906</v>
      </c>
      <c r="Z6499" t="s">
        <v>32467</v>
      </c>
      <c r="AA6499">
        <v>0.31809767784480952</v>
      </c>
      <c r="AB6499" t="str">
        <f>HYPERLINK("Melting_Curves/meltCurve_Q9Y5T5_2_USP16.pdf", "Melting_Curves/meltCurve_Q9Y5T5_2_USP16.pdf")</f>
        <v>Melting_Curves/meltCurve_Q9Y5T5_2_USP16.pdf</v>
      </c>
    </row>
    <row r="6500" spans="1:28" x14ac:dyDescent="0.25">
      <c r="A6500" t="s">
        <v>6504</v>
      </c>
      <c r="B6500">
        <v>0.99472303558308395</v>
      </c>
      <c r="C6500">
        <v>0.93133548291414903</v>
      </c>
      <c r="D6500">
        <v>0.82691321823236896</v>
      </c>
      <c r="E6500">
        <v>0.67179424771662499</v>
      </c>
      <c r="F6500">
        <v>0.47662304958775098</v>
      </c>
      <c r="G6500">
        <v>0.37430066120125799</v>
      </c>
      <c r="H6500">
        <v>0.733683018686898</v>
      </c>
      <c r="I6500">
        <v>0.691488500594168</v>
      </c>
      <c r="J6500">
        <v>1.0144582113274601</v>
      </c>
      <c r="K6500">
        <v>0.77814300968686501</v>
      </c>
      <c r="L6500">
        <v>1449.71236299118</v>
      </c>
      <c r="M6500">
        <v>34.140575468046698</v>
      </c>
      <c r="O6500">
        <v>42.318137099199198</v>
      </c>
      <c r="P6500">
        <v>-6.52381597222184E-2</v>
      </c>
      <c r="Q6500">
        <v>0.67654363215942404</v>
      </c>
      <c r="R6500">
        <v>0.33601777849685099</v>
      </c>
      <c r="S6500" t="s">
        <v>13068</v>
      </c>
      <c r="T6500" t="s">
        <v>13134</v>
      </c>
      <c r="U6500" t="s">
        <v>13134</v>
      </c>
      <c r="V6500" t="s">
        <v>13134</v>
      </c>
      <c r="W6500" t="s">
        <v>19562</v>
      </c>
      <c r="X6500">
        <v>7</v>
      </c>
      <c r="Y6500" t="s">
        <v>25907</v>
      </c>
      <c r="Z6500" t="s">
        <v>32468</v>
      </c>
      <c r="AA6500">
        <v>0.73681576033812468</v>
      </c>
      <c r="AB6500" t="str">
        <f>HYPERLINK("Melting_Curves/meltCurve_Q9Y5U2_2_TSSC4.pdf", "Melting_Curves/meltCurve_Q9Y5U2_2_TSSC4.pdf")</f>
        <v>Melting_Curves/meltCurve_Q9Y5U2_2_TSSC4.pdf</v>
      </c>
    </row>
    <row r="6501" spans="1:28" x14ac:dyDescent="0.25">
      <c r="A6501" t="s">
        <v>6505</v>
      </c>
      <c r="B6501">
        <v>0.99472303558308395</v>
      </c>
      <c r="C6501">
        <v>0.99058787503391998</v>
      </c>
      <c r="D6501">
        <v>1.01197581285677</v>
      </c>
      <c r="E6501">
        <v>0.80506223583466896</v>
      </c>
      <c r="F6501">
        <v>1.01854684103949</v>
      </c>
      <c r="G6501">
        <v>0.57212306727630002</v>
      </c>
      <c r="H6501">
        <v>0.26277591549878099</v>
      </c>
      <c r="I6501">
        <v>0.372787161176732</v>
      </c>
      <c r="J6501">
        <v>0.24431424944923499</v>
      </c>
      <c r="K6501">
        <v>0.52324838861069001</v>
      </c>
      <c r="L6501">
        <v>13414.538892753701</v>
      </c>
      <c r="M6501">
        <v>250</v>
      </c>
      <c r="N6501">
        <v>53.918947315616499</v>
      </c>
      <c r="O6501">
        <v>53.6547218858517</v>
      </c>
      <c r="P6501">
        <v>-0.75624585951865897</v>
      </c>
      <c r="Q6501">
        <v>0.350781421422872</v>
      </c>
      <c r="R6501">
        <v>0.90551590807775095</v>
      </c>
      <c r="S6501" t="s">
        <v>13069</v>
      </c>
      <c r="T6501" t="s">
        <v>13134</v>
      </c>
      <c r="U6501" t="s">
        <v>13134</v>
      </c>
      <c r="V6501" t="s">
        <v>13134</v>
      </c>
      <c r="W6501" t="s">
        <v>19563</v>
      </c>
      <c r="X6501">
        <v>2</v>
      </c>
      <c r="Y6501" t="s">
        <v>25908</v>
      </c>
      <c r="Z6501" t="s">
        <v>32469</v>
      </c>
      <c r="AA6501">
        <v>0.71133536055286639</v>
      </c>
      <c r="AB6501" t="str">
        <f>HYPERLINK("Melting_Curves/meltCurve_Q9Y5U9_IER3IP1.pdf", "Melting_Curves/meltCurve_Q9Y5U9_IER3IP1.pdf")</f>
        <v>Melting_Curves/meltCurve_Q9Y5U9_IER3IP1.pdf</v>
      </c>
    </row>
    <row r="6502" spans="1:28" x14ac:dyDescent="0.25">
      <c r="A6502" t="s">
        <v>6506</v>
      </c>
      <c r="B6502">
        <v>0.99472303558308395</v>
      </c>
      <c r="C6502">
        <v>0.62753782273236103</v>
      </c>
      <c r="D6502">
        <v>1.1607817952466599</v>
      </c>
      <c r="E6502">
        <v>0.93146219406532804</v>
      </c>
      <c r="F6502">
        <v>0.67683217285207897</v>
      </c>
      <c r="G6502">
        <v>0.76697329899619304</v>
      </c>
      <c r="H6502">
        <v>0.269333461167792</v>
      </c>
      <c r="I6502">
        <v>0.72129385445324901</v>
      </c>
      <c r="J6502">
        <v>0.50252040322754499</v>
      </c>
      <c r="K6502">
        <v>0.58203017501018095</v>
      </c>
      <c r="L6502">
        <v>1310.9126250470899</v>
      </c>
      <c r="M6502">
        <v>26.487001070953401</v>
      </c>
      <c r="O6502">
        <v>49.213153150296499</v>
      </c>
      <c r="P6502">
        <v>-6.0922856223979097E-2</v>
      </c>
      <c r="Q6502">
        <v>0.54722344062864603</v>
      </c>
      <c r="R6502">
        <v>0.47124826284452398</v>
      </c>
      <c r="S6502" t="s">
        <v>13070</v>
      </c>
      <c r="T6502" t="s">
        <v>13134</v>
      </c>
      <c r="U6502" t="s">
        <v>13134</v>
      </c>
      <c r="V6502" t="s">
        <v>13134</v>
      </c>
      <c r="W6502" t="s">
        <v>19564</v>
      </c>
      <c r="X6502">
        <v>4</v>
      </c>
      <c r="Y6502" t="s">
        <v>25909</v>
      </c>
      <c r="Z6502" t="s">
        <v>32470</v>
      </c>
      <c r="AA6502">
        <v>0.73928974019943894</v>
      </c>
      <c r="AB6502" t="str">
        <f>HYPERLINK("Melting_Curves/meltCurve_Q9Y5V0_ZNF706.pdf", "Melting_Curves/meltCurve_Q9Y5V0_ZNF706.pdf")</f>
        <v>Melting_Curves/meltCurve_Q9Y5V0_ZNF706.pdf</v>
      </c>
    </row>
    <row r="6503" spans="1:28" x14ac:dyDescent="0.25">
      <c r="A6503" t="s">
        <v>6507</v>
      </c>
      <c r="B6503">
        <v>0.99472303558308395</v>
      </c>
      <c r="C6503">
        <v>0.91043629965784301</v>
      </c>
      <c r="D6503">
        <v>0.77945604969604798</v>
      </c>
      <c r="E6503">
        <v>0.64501796695767299</v>
      </c>
      <c r="F6503">
        <v>0.21323908993936899</v>
      </c>
      <c r="G6503">
        <v>6.5283616124466495E-2</v>
      </c>
      <c r="H6503">
        <v>3.5957565428875397E-2</v>
      </c>
      <c r="I6503">
        <v>2.4108095542485702E-2</v>
      </c>
      <c r="J6503">
        <v>2.6496047103397799E-2</v>
      </c>
      <c r="K6503">
        <v>2.5207154054292798E-2</v>
      </c>
      <c r="L6503">
        <v>826.76933012732798</v>
      </c>
      <c r="M6503">
        <v>17.525702019415899</v>
      </c>
      <c r="N6503">
        <v>47.174657720196997</v>
      </c>
      <c r="O6503">
        <v>46.573317184757201</v>
      </c>
      <c r="P6503">
        <v>-9.4080997610177103E-2</v>
      </c>
      <c r="Q6503">
        <v>0</v>
      </c>
      <c r="R6503">
        <v>0.98712893584199402</v>
      </c>
      <c r="S6503" t="s">
        <v>13071</v>
      </c>
      <c r="T6503" t="s">
        <v>13134</v>
      </c>
      <c r="U6503" t="s">
        <v>13134</v>
      </c>
      <c r="V6503" t="s">
        <v>13134</v>
      </c>
      <c r="W6503" t="s">
        <v>19565</v>
      </c>
      <c r="X6503">
        <v>13</v>
      </c>
      <c r="Y6503" t="s">
        <v>25910</v>
      </c>
      <c r="Z6503" t="s">
        <v>32471</v>
      </c>
      <c r="AA6503">
        <v>0.35602543757352939</v>
      </c>
      <c r="AB6503" t="str">
        <f>HYPERLINK("Melting_Curves/meltCurve_Q9Y5X1_SNX9.pdf", "Melting_Curves/meltCurve_Q9Y5X1_SNX9.pdf")</f>
        <v>Melting_Curves/meltCurve_Q9Y5X1_SNX9.pdf</v>
      </c>
    </row>
    <row r="6504" spans="1:28" x14ac:dyDescent="0.25">
      <c r="A6504" t="s">
        <v>6508</v>
      </c>
      <c r="B6504">
        <v>0.99472303558308395</v>
      </c>
      <c r="C6504">
        <v>1.0148134627871199</v>
      </c>
      <c r="D6504">
        <v>0.94286688832033305</v>
      </c>
      <c r="E6504">
        <v>0.84561078201857498</v>
      </c>
      <c r="F6504">
        <v>0.64933120856478299</v>
      </c>
      <c r="G6504">
        <v>0.52783621393806801</v>
      </c>
      <c r="H6504">
        <v>0.38249361967520001</v>
      </c>
      <c r="I6504">
        <v>0.23788024768541999</v>
      </c>
      <c r="J6504">
        <v>0.21726766910412701</v>
      </c>
      <c r="K6504">
        <v>0.108440183912726</v>
      </c>
      <c r="L6504">
        <v>547.730732575361</v>
      </c>
      <c r="M6504">
        <v>10.138047006990099</v>
      </c>
      <c r="N6504">
        <v>54.201300543289797</v>
      </c>
      <c r="O6504">
        <v>52.051558701529601</v>
      </c>
      <c r="P6504">
        <v>-4.7934495770916997E-2</v>
      </c>
      <c r="Q6504">
        <v>1.6018026699708199E-2</v>
      </c>
      <c r="R6504">
        <v>0.99434945372524197</v>
      </c>
      <c r="S6504" t="s">
        <v>13072</v>
      </c>
      <c r="T6504" t="s">
        <v>13134</v>
      </c>
      <c r="U6504" t="s">
        <v>13134</v>
      </c>
      <c r="V6504" t="s">
        <v>13134</v>
      </c>
      <c r="W6504" t="s">
        <v>19566</v>
      </c>
      <c r="X6504">
        <v>12</v>
      </c>
      <c r="Y6504" t="s">
        <v>25911</v>
      </c>
      <c r="Z6504" t="s">
        <v>32472</v>
      </c>
      <c r="AA6504">
        <v>0.59176332816269828</v>
      </c>
      <c r="AB6504" t="str">
        <f>HYPERLINK("Melting_Curves/meltCurve_Q9Y5X2_SNX8.pdf", "Melting_Curves/meltCurve_Q9Y5X2_SNX8.pdf")</f>
        <v>Melting_Curves/meltCurve_Q9Y5X2_SNX8.pdf</v>
      </c>
    </row>
    <row r="6505" spans="1:28" x14ac:dyDescent="0.25">
      <c r="A6505" t="s">
        <v>6509</v>
      </c>
      <c r="B6505">
        <v>0.99472303558308395</v>
      </c>
      <c r="C6505">
        <v>0.99601482281965503</v>
      </c>
      <c r="D6505">
        <v>1.0024659190249501</v>
      </c>
      <c r="E6505">
        <v>0.83016572261138499</v>
      </c>
      <c r="F6505">
        <v>0.36541804300313302</v>
      </c>
      <c r="G6505">
        <v>0.14150429715795601</v>
      </c>
      <c r="H6505">
        <v>0.106164024760201</v>
      </c>
      <c r="I6505">
        <v>7.8396348985245806E-2</v>
      </c>
      <c r="J6505">
        <v>9.1836265223748895E-2</v>
      </c>
      <c r="K6505">
        <v>7.2516257092582304E-2</v>
      </c>
      <c r="L6505">
        <v>1490.46953348338</v>
      </c>
      <c r="M6505">
        <v>30.4965900406972</v>
      </c>
      <c r="N6505">
        <v>49.1723724079025</v>
      </c>
      <c r="O6505">
        <v>48.6646136870079</v>
      </c>
      <c r="P6505">
        <v>-0.14340705265006901</v>
      </c>
      <c r="Q6505">
        <v>8.4644384426571101E-2</v>
      </c>
      <c r="R6505">
        <v>0.99956167579978406</v>
      </c>
      <c r="S6505" t="s">
        <v>13073</v>
      </c>
      <c r="T6505" t="s">
        <v>13134</v>
      </c>
      <c r="U6505" t="s">
        <v>13134</v>
      </c>
      <c r="V6505" t="s">
        <v>13134</v>
      </c>
      <c r="W6505" t="s">
        <v>19567</v>
      </c>
      <c r="X6505">
        <v>21</v>
      </c>
      <c r="Y6505" t="s">
        <v>25912</v>
      </c>
      <c r="Z6505" t="s">
        <v>32473</v>
      </c>
      <c r="AA6505">
        <v>0.45225242112046898</v>
      </c>
      <c r="AB6505" t="str">
        <f>HYPERLINK("Melting_Curves/meltCurve_Q9Y5X3_SNX5.pdf", "Melting_Curves/meltCurve_Q9Y5X3_SNX5.pdf")</f>
        <v>Melting_Curves/meltCurve_Q9Y5X3_SNX5.pdf</v>
      </c>
    </row>
    <row r="6506" spans="1:28" x14ac:dyDescent="0.25">
      <c r="A6506" t="s">
        <v>6510</v>
      </c>
      <c r="B6506">
        <v>0.99472303558308395</v>
      </c>
      <c r="C6506">
        <v>0.93428136723015998</v>
      </c>
      <c r="D6506">
        <v>0.79064340405992595</v>
      </c>
      <c r="E6506">
        <v>0.69622217392242403</v>
      </c>
      <c r="F6506">
        <v>0.705554948327341</v>
      </c>
      <c r="G6506">
        <v>0.42833970909951802</v>
      </c>
      <c r="H6506">
        <v>0.29463348588215199</v>
      </c>
      <c r="I6506">
        <v>0.26467534604779902</v>
      </c>
      <c r="J6506">
        <v>0.28926957011083099</v>
      </c>
      <c r="K6506">
        <v>0.238149134791935</v>
      </c>
      <c r="L6506">
        <v>446.37667286494502</v>
      </c>
      <c r="M6506">
        <v>8.8124152295794804</v>
      </c>
      <c r="N6506">
        <v>52.4879301532822</v>
      </c>
      <c r="O6506">
        <v>48.248086931729297</v>
      </c>
      <c r="P6506">
        <v>-3.9640165756697598E-2</v>
      </c>
      <c r="Q6506">
        <v>0.13256067225439899</v>
      </c>
      <c r="R6506">
        <v>0.96434590513686602</v>
      </c>
      <c r="S6506" t="s">
        <v>13074</v>
      </c>
      <c r="T6506" t="s">
        <v>13134</v>
      </c>
      <c r="U6506" t="s">
        <v>13134</v>
      </c>
      <c r="V6506" t="s">
        <v>13134</v>
      </c>
      <c r="W6506" t="s">
        <v>19568</v>
      </c>
      <c r="X6506">
        <v>4</v>
      </c>
      <c r="Y6506" t="s">
        <v>25913</v>
      </c>
      <c r="Z6506" t="s">
        <v>32474</v>
      </c>
      <c r="AA6506">
        <v>0.55753426347984203</v>
      </c>
      <c r="AB6506" t="str">
        <f>HYPERLINK("Melting_Curves/meltCurve_Q9Y5Y0_FLVCR1.pdf", "Melting_Curves/meltCurve_Q9Y5Y0_FLVCR1.pdf")</f>
        <v>Melting_Curves/meltCurve_Q9Y5Y0_FLVCR1.pdf</v>
      </c>
    </row>
    <row r="6507" spans="1:28" x14ac:dyDescent="0.25">
      <c r="A6507" t="s">
        <v>6511</v>
      </c>
      <c r="B6507">
        <v>0.99472303558308395</v>
      </c>
      <c r="C6507">
        <v>0.97382850247167096</v>
      </c>
      <c r="D6507">
        <v>0.95544486186670796</v>
      </c>
      <c r="E6507">
        <v>0.81978921207394195</v>
      </c>
      <c r="F6507">
        <v>0.56340727432445703</v>
      </c>
      <c r="G6507">
        <v>0.294409979630884</v>
      </c>
      <c r="H6507">
        <v>0.14533752083416299</v>
      </c>
      <c r="I6507">
        <v>7.7933420736266495E-2</v>
      </c>
      <c r="J6507">
        <v>9.0665024656075399E-2</v>
      </c>
      <c r="K6507">
        <v>7.9667434491019096E-2</v>
      </c>
      <c r="L6507">
        <v>901.69462279426102</v>
      </c>
      <c r="M6507">
        <v>17.8561260716627</v>
      </c>
      <c r="N6507">
        <v>50.840248826836401</v>
      </c>
      <c r="O6507">
        <v>49.877170654189101</v>
      </c>
      <c r="P6507">
        <v>-8.4433371198969404E-2</v>
      </c>
      <c r="Q6507">
        <v>5.6663222248524998E-2</v>
      </c>
      <c r="R6507">
        <v>0.99909183818834202</v>
      </c>
      <c r="S6507" t="s">
        <v>13075</v>
      </c>
      <c r="T6507" t="s">
        <v>13134</v>
      </c>
      <c r="U6507" t="s">
        <v>13134</v>
      </c>
      <c r="V6507" t="s">
        <v>13134</v>
      </c>
      <c r="W6507" t="s">
        <v>19569</v>
      </c>
      <c r="X6507">
        <v>5</v>
      </c>
      <c r="Y6507" t="s">
        <v>25914</v>
      </c>
      <c r="Z6507" t="s">
        <v>32475</v>
      </c>
      <c r="AA6507">
        <v>0.49604596850311278</v>
      </c>
      <c r="AB6507" t="str">
        <f>HYPERLINK("Melting_Curves/meltCurve_Q9Y5Y2_NUBP2.pdf", "Melting_Curves/meltCurve_Q9Y5Y2_NUBP2.pdf")</f>
        <v>Melting_Curves/meltCurve_Q9Y5Y2_NUBP2.pdf</v>
      </c>
    </row>
    <row r="6508" spans="1:28" x14ac:dyDescent="0.25">
      <c r="A6508" t="s">
        <v>6512</v>
      </c>
      <c r="B6508">
        <v>0.99472303558308395</v>
      </c>
      <c r="C6508">
        <v>0.94729780368484595</v>
      </c>
      <c r="D6508">
        <v>0.98309284554649101</v>
      </c>
      <c r="E6508">
        <v>0.87393971464159603</v>
      </c>
      <c r="F6508">
        <v>0.58807943502136295</v>
      </c>
      <c r="G6508">
        <v>0.38158861575512198</v>
      </c>
      <c r="H6508">
        <v>0.14208902401783399</v>
      </c>
      <c r="I6508">
        <v>9.1582474346525305E-2</v>
      </c>
      <c r="J6508">
        <v>0.116333237478459</v>
      </c>
      <c r="K6508">
        <v>9.5718634281819204E-2</v>
      </c>
      <c r="L6508">
        <v>939.44713816462001</v>
      </c>
      <c r="M6508">
        <v>18.3827504029951</v>
      </c>
      <c r="N6508">
        <v>51.539388487383299</v>
      </c>
      <c r="O6508">
        <v>50.511564681918301</v>
      </c>
      <c r="P6508">
        <v>-8.4455107608672697E-2</v>
      </c>
      <c r="Q6508">
        <v>7.1789409683914104E-2</v>
      </c>
      <c r="R6508">
        <v>0.99451615301220297</v>
      </c>
      <c r="S6508" t="s">
        <v>13076</v>
      </c>
      <c r="T6508" t="s">
        <v>13134</v>
      </c>
      <c r="U6508" t="s">
        <v>13134</v>
      </c>
      <c r="V6508" t="s">
        <v>13134</v>
      </c>
      <c r="W6508" t="s">
        <v>19570</v>
      </c>
      <c r="X6508">
        <v>14</v>
      </c>
      <c r="Y6508" t="s">
        <v>25915</v>
      </c>
      <c r="Z6508" t="s">
        <v>32476</v>
      </c>
      <c r="AA6508">
        <v>0.52210209854781653</v>
      </c>
      <c r="AB6508" t="str">
        <f>HYPERLINK("Melting_Curves/meltCurve_Q9Y5Z4_HEBP2.pdf", "Melting_Curves/meltCurve_Q9Y5Z4_HEBP2.pdf")</f>
        <v>Melting_Curves/meltCurve_Q9Y5Z4_HEBP2.pdf</v>
      </c>
    </row>
    <row r="6509" spans="1:28" x14ac:dyDescent="0.25">
      <c r="A6509" t="s">
        <v>6513</v>
      </c>
      <c r="B6509">
        <v>0.99472303558308395</v>
      </c>
      <c r="C6509">
        <v>0.98919506408149105</v>
      </c>
      <c r="D6509">
        <v>0.78420174322819003</v>
      </c>
      <c r="E6509">
        <v>0.65957639193474904</v>
      </c>
      <c r="F6509">
        <v>0.47762319863588998</v>
      </c>
      <c r="G6509">
        <v>0.28425511721338498</v>
      </c>
      <c r="H6509">
        <v>0.228007847676377</v>
      </c>
      <c r="I6509">
        <v>0.14326614527762899</v>
      </c>
      <c r="J6509">
        <v>0.194039875837</v>
      </c>
      <c r="K6509">
        <v>7.0288357706088295E-2</v>
      </c>
      <c r="L6509">
        <v>565.113763137977</v>
      </c>
      <c r="M6509">
        <v>11.617449730372799</v>
      </c>
      <c r="N6509">
        <v>49.388710037816303</v>
      </c>
      <c r="O6509">
        <v>47.269268205457301</v>
      </c>
      <c r="P6509">
        <v>-5.6518928164789699E-2</v>
      </c>
      <c r="Q6509">
        <v>8.0390948613506694E-2</v>
      </c>
      <c r="R6509">
        <v>0.98793239642887298</v>
      </c>
      <c r="S6509" t="s">
        <v>13077</v>
      </c>
      <c r="T6509" t="s">
        <v>13134</v>
      </c>
      <c r="U6509" t="s">
        <v>13134</v>
      </c>
      <c r="V6509" t="s">
        <v>13134</v>
      </c>
      <c r="W6509" t="s">
        <v>19571</v>
      </c>
      <c r="X6509">
        <v>1</v>
      </c>
      <c r="Y6509" t="s">
        <v>25916</v>
      </c>
      <c r="Z6509" t="s">
        <v>32477</v>
      </c>
      <c r="AA6509">
        <v>0.46642106395815391</v>
      </c>
      <c r="AB6509" t="str">
        <f>HYPERLINK("Melting_Curves/meltCurve_Q9Y5Z9_2_UBIAD1.pdf", "Melting_Curves/meltCurve_Q9Y5Z9_2_UBIAD1.pdf")</f>
        <v>Melting_Curves/meltCurve_Q9Y5Z9_2_UBIAD1.pdf</v>
      </c>
    </row>
    <row r="6510" spans="1:28" x14ac:dyDescent="0.25">
      <c r="A6510" t="s">
        <v>6514</v>
      </c>
      <c r="B6510">
        <v>0.99472303558308395</v>
      </c>
      <c r="C6510">
        <v>1.02984810394639</v>
      </c>
      <c r="D6510">
        <v>1.0280241244219499</v>
      </c>
      <c r="E6510">
        <v>0.77427455160582404</v>
      </c>
      <c r="F6510">
        <v>0.54491827331509601</v>
      </c>
      <c r="G6510">
        <v>0.27607794054206702</v>
      </c>
      <c r="H6510">
        <v>0.17563581655202401</v>
      </c>
      <c r="I6510">
        <v>0.13418646975509499</v>
      </c>
      <c r="J6510">
        <v>0.13577978925751</v>
      </c>
      <c r="K6510">
        <v>0.113452881975947</v>
      </c>
      <c r="L6510">
        <v>982.80104796396995</v>
      </c>
      <c r="M6510">
        <v>19.730242661279</v>
      </c>
      <c r="N6510">
        <v>50.480270635116803</v>
      </c>
      <c r="O6510">
        <v>49.308671565004801</v>
      </c>
      <c r="P6510">
        <v>-8.8538715529441495E-2</v>
      </c>
      <c r="Q6510">
        <v>0.114947220643944</v>
      </c>
      <c r="R6510">
        <v>0.99429628475355603</v>
      </c>
      <c r="S6510" t="s">
        <v>13078</v>
      </c>
      <c r="T6510" t="s">
        <v>13134</v>
      </c>
      <c r="U6510" t="s">
        <v>13134</v>
      </c>
      <c r="V6510" t="s">
        <v>13134</v>
      </c>
      <c r="W6510" t="s">
        <v>19572</v>
      </c>
      <c r="X6510">
        <v>2</v>
      </c>
      <c r="Y6510" t="s">
        <v>25917</v>
      </c>
      <c r="Z6510" t="s">
        <v>32478</v>
      </c>
      <c r="AA6510">
        <v>0.50486313790226334</v>
      </c>
      <c r="AB6510" t="str">
        <f>HYPERLINK("Melting_Curves/meltCurve_Q9Y605_MRFAP1.pdf", "Melting_Curves/meltCurve_Q9Y605_MRFAP1.pdf")</f>
        <v>Melting_Curves/meltCurve_Q9Y605_MRFAP1.pdf</v>
      </c>
    </row>
    <row r="6511" spans="1:28" x14ac:dyDescent="0.25">
      <c r="A6511" t="s">
        <v>6515</v>
      </c>
      <c r="B6511">
        <v>0.99472303558308395</v>
      </c>
      <c r="C6511">
        <v>0.98493404829011499</v>
      </c>
      <c r="D6511">
        <v>0.82879666399779905</v>
      </c>
      <c r="E6511">
        <v>0.65583593354150305</v>
      </c>
      <c r="F6511">
        <v>0.57422237662234199</v>
      </c>
      <c r="G6511">
        <v>0.66212065586429902</v>
      </c>
      <c r="H6511">
        <v>0.61003107847555804</v>
      </c>
      <c r="I6511">
        <v>0.68317164306648703</v>
      </c>
      <c r="J6511">
        <v>1.0179945603398499</v>
      </c>
      <c r="K6511">
        <v>0.82391618342624595</v>
      </c>
      <c r="L6511">
        <v>10731.2166065745</v>
      </c>
      <c r="M6511">
        <v>250</v>
      </c>
      <c r="O6511">
        <v>42.922126763526698</v>
      </c>
      <c r="P6511">
        <v>-0.41035859009226699</v>
      </c>
      <c r="Q6511">
        <v>0.71818463300807101</v>
      </c>
      <c r="R6511">
        <v>0.45142284084931</v>
      </c>
      <c r="S6511" t="s">
        <v>13079</v>
      </c>
      <c r="T6511" t="s">
        <v>13134</v>
      </c>
      <c r="U6511" t="s">
        <v>13134</v>
      </c>
      <c r="V6511" t="s">
        <v>13134</v>
      </c>
      <c r="W6511" t="s">
        <v>19573</v>
      </c>
      <c r="X6511">
        <v>17</v>
      </c>
      <c r="Y6511" t="s">
        <v>25918</v>
      </c>
      <c r="Z6511" t="s">
        <v>32479</v>
      </c>
      <c r="AA6511">
        <v>0.77386314306663617</v>
      </c>
      <c r="AB6511" t="str">
        <f>HYPERLINK("Melting_Curves/meltCurve_Q9Y608_4_LRRFIP2.pdf", "Melting_Curves/meltCurve_Q9Y608_4_LRRFIP2.pdf")</f>
        <v>Melting_Curves/meltCurve_Q9Y608_4_LRRFIP2.pdf</v>
      </c>
    </row>
    <row r="6512" spans="1:28" x14ac:dyDescent="0.25">
      <c r="A6512" t="s">
        <v>6516</v>
      </c>
      <c r="B6512">
        <v>0.99472303558308395</v>
      </c>
      <c r="C6512">
        <v>0.85577468114652</v>
      </c>
      <c r="D6512">
        <v>0.57313179688854798</v>
      </c>
      <c r="E6512">
        <v>0.22169658596254199</v>
      </c>
      <c r="F6512">
        <v>0.13136188911591501</v>
      </c>
      <c r="G6512">
        <v>7.6684045454400995E-2</v>
      </c>
      <c r="H6512">
        <v>4.84888411886331E-2</v>
      </c>
      <c r="I6512">
        <v>3.6683378803234003E-2</v>
      </c>
      <c r="J6512">
        <v>6.6859148131923493E-2</v>
      </c>
      <c r="K6512">
        <v>3.5298805832149303E-2</v>
      </c>
      <c r="L6512">
        <v>884.62408122724105</v>
      </c>
      <c r="M6512">
        <v>20.3888873382706</v>
      </c>
      <c r="N6512">
        <v>43.611332792772302</v>
      </c>
      <c r="O6512">
        <v>42.976656211520698</v>
      </c>
      <c r="P6512">
        <v>-0.112717369767651</v>
      </c>
      <c r="Q6512">
        <v>4.9664857081629897E-2</v>
      </c>
      <c r="R6512">
        <v>0.99809089592002798</v>
      </c>
      <c r="S6512" t="s">
        <v>13080</v>
      </c>
      <c r="T6512" t="s">
        <v>13134</v>
      </c>
      <c r="U6512" t="s">
        <v>13134</v>
      </c>
      <c r="V6512" t="s">
        <v>13134</v>
      </c>
      <c r="W6512" t="s">
        <v>19574</v>
      </c>
      <c r="X6512">
        <v>30</v>
      </c>
      <c r="Y6512" t="s">
        <v>25919</v>
      </c>
      <c r="Z6512" t="s">
        <v>32480</v>
      </c>
      <c r="AA6512">
        <v>0.26445580568182953</v>
      </c>
      <c r="AB6512" t="str">
        <f>HYPERLINK("Melting_Curves/meltCurve_Q9Y613_FHOD1.pdf", "Melting_Curves/meltCurve_Q9Y613_FHOD1.pdf")</f>
        <v>Melting_Curves/meltCurve_Q9Y613_FHOD1.pdf</v>
      </c>
    </row>
    <row r="6513" spans="1:28" x14ac:dyDescent="0.25">
      <c r="A6513" t="s">
        <v>6517</v>
      </c>
      <c r="B6513">
        <v>0.99472303558308395</v>
      </c>
      <c r="C6513">
        <v>0.96578774786174004</v>
      </c>
      <c r="D6513">
        <v>0.99920346204618005</v>
      </c>
      <c r="E6513">
        <v>0.93308075607184005</v>
      </c>
      <c r="F6513">
        <v>0.73622787767329001</v>
      </c>
      <c r="G6513">
        <v>0.64460951834005698</v>
      </c>
      <c r="H6513">
        <v>0.41041940982958502</v>
      </c>
      <c r="I6513">
        <v>0.27756081337696098</v>
      </c>
      <c r="J6513">
        <v>0.161921040202402</v>
      </c>
      <c r="K6513">
        <v>0.11600773020526001</v>
      </c>
      <c r="L6513">
        <v>662.94268853435506</v>
      </c>
      <c r="M6513">
        <v>11.883036955255699</v>
      </c>
      <c r="N6513">
        <v>55.788994987905198</v>
      </c>
      <c r="O6513">
        <v>54.279420093165498</v>
      </c>
      <c r="P6513">
        <v>-5.4744562246193097E-2</v>
      </c>
      <c r="Q6513">
        <v>0</v>
      </c>
      <c r="R6513">
        <v>0.994347745397268</v>
      </c>
      <c r="S6513" t="s">
        <v>13081</v>
      </c>
      <c r="T6513" t="s">
        <v>13134</v>
      </c>
      <c r="U6513" t="s">
        <v>13134</v>
      </c>
      <c r="V6513" t="s">
        <v>13134</v>
      </c>
      <c r="W6513" t="s">
        <v>19575</v>
      </c>
      <c r="X6513">
        <v>23</v>
      </c>
      <c r="Y6513" t="s">
        <v>25920</v>
      </c>
      <c r="Z6513" t="s">
        <v>32481</v>
      </c>
      <c r="AA6513">
        <v>0.63695410078856451</v>
      </c>
      <c r="AB6513" t="str">
        <f>HYPERLINK("Melting_Curves/meltCurve_Q9Y617_PSAT1.pdf", "Melting_Curves/meltCurve_Q9Y617_PSAT1.pdf")</f>
        <v>Melting_Curves/meltCurve_Q9Y617_PSAT1.pdf</v>
      </c>
    </row>
    <row r="6514" spans="1:28" x14ac:dyDescent="0.25">
      <c r="A6514" t="s">
        <v>6518</v>
      </c>
      <c r="B6514">
        <v>0.99472303558308395</v>
      </c>
      <c r="C6514">
        <v>0.99948060487150503</v>
      </c>
      <c r="D6514">
        <v>0.871929622238651</v>
      </c>
      <c r="E6514">
        <v>0.84197283669507605</v>
      </c>
      <c r="F6514">
        <v>0.70512783801496803</v>
      </c>
      <c r="G6514">
        <v>0.47854579600896202</v>
      </c>
      <c r="H6514">
        <v>0.29327566417544099</v>
      </c>
      <c r="I6514">
        <v>0.33171060402284602</v>
      </c>
      <c r="J6514">
        <v>0.32406447123082799</v>
      </c>
      <c r="K6514">
        <v>0.35356195749210001</v>
      </c>
      <c r="L6514">
        <v>814.49606087850304</v>
      </c>
      <c r="M6514">
        <v>16.193238863225101</v>
      </c>
      <c r="N6514">
        <v>53.215622858919801</v>
      </c>
      <c r="O6514">
        <v>49.550209400772097</v>
      </c>
      <c r="P6514">
        <v>-5.7669769192145302E-2</v>
      </c>
      <c r="Q6514">
        <v>0.294190508437214</v>
      </c>
      <c r="R6514">
        <v>0.97450602486749505</v>
      </c>
      <c r="S6514" t="s">
        <v>13082</v>
      </c>
      <c r="T6514" t="s">
        <v>13134</v>
      </c>
      <c r="U6514" t="s">
        <v>13134</v>
      </c>
      <c r="V6514" t="s">
        <v>13134</v>
      </c>
      <c r="W6514" t="s">
        <v>19576</v>
      </c>
      <c r="X6514">
        <v>4</v>
      </c>
      <c r="Y6514" t="s">
        <v>25921</v>
      </c>
      <c r="Z6514" t="s">
        <v>32482</v>
      </c>
      <c r="AA6514">
        <v>0.62013113962052335</v>
      </c>
      <c r="AB6514" t="str">
        <f>HYPERLINK("Melting_Curves/meltCurve_Q9Y619_SLC25A15.pdf", "Melting_Curves/meltCurve_Q9Y619_SLC25A15.pdf")</f>
        <v>Melting_Curves/meltCurve_Q9Y619_SLC25A15.pdf</v>
      </c>
    </row>
    <row r="6515" spans="1:28" x14ac:dyDescent="0.25">
      <c r="A6515" t="s">
        <v>6519</v>
      </c>
      <c r="B6515">
        <v>0.99472303558308395</v>
      </c>
      <c r="C6515">
        <v>1.01614460963491</v>
      </c>
      <c r="D6515">
        <v>0.776201377535648</v>
      </c>
      <c r="E6515">
        <v>0.26299539380610099</v>
      </c>
      <c r="F6515">
        <v>0.17748215976279</v>
      </c>
      <c r="G6515">
        <v>0.100979075807533</v>
      </c>
      <c r="H6515">
        <v>7.6167794408405098E-2</v>
      </c>
      <c r="I6515">
        <v>6.0483566334805103E-2</v>
      </c>
      <c r="J6515">
        <v>7.2039304091280204E-2</v>
      </c>
      <c r="K6515">
        <v>5.6306650823957097E-2</v>
      </c>
      <c r="L6515">
        <v>1351.28240141681</v>
      </c>
      <c r="M6515">
        <v>30.2843844087934</v>
      </c>
      <c r="N6515">
        <v>44.884657964122503</v>
      </c>
      <c r="O6515">
        <v>44.426575336006003</v>
      </c>
      <c r="P6515">
        <v>-0.156474680182253</v>
      </c>
      <c r="Q6515">
        <v>8.1825106662951105E-2</v>
      </c>
      <c r="R6515">
        <v>0.99474189100700705</v>
      </c>
      <c r="S6515" t="s">
        <v>13083</v>
      </c>
      <c r="T6515" t="s">
        <v>13134</v>
      </c>
      <c r="U6515" t="s">
        <v>13134</v>
      </c>
      <c r="V6515" t="s">
        <v>13134</v>
      </c>
      <c r="W6515" t="s">
        <v>19577</v>
      </c>
      <c r="X6515">
        <v>4</v>
      </c>
      <c r="Y6515" t="s">
        <v>25922</v>
      </c>
      <c r="Z6515" t="s">
        <v>32483</v>
      </c>
      <c r="AA6515">
        <v>0.32006264634960702</v>
      </c>
      <c r="AB6515" t="str">
        <f>HYPERLINK("Melting_Curves/meltCurve_Q9Y620_RAD54B.pdf", "Melting_Curves/meltCurve_Q9Y620_RAD54B.pdf")</f>
        <v>Melting_Curves/meltCurve_Q9Y620_RAD54B.pdf</v>
      </c>
    </row>
    <row r="6516" spans="1:28" x14ac:dyDescent="0.25">
      <c r="A6516" t="s">
        <v>6520</v>
      </c>
      <c r="B6516">
        <v>0.99472303558308395</v>
      </c>
      <c r="C6516">
        <v>1.01503358603325</v>
      </c>
      <c r="D6516">
        <v>0.95410793167264896</v>
      </c>
      <c r="E6516">
        <v>0.860719942567023</v>
      </c>
      <c r="F6516">
        <v>0.71590645171811396</v>
      </c>
      <c r="G6516">
        <v>0.50517673037356503</v>
      </c>
      <c r="H6516">
        <v>0.42099914025094198</v>
      </c>
      <c r="I6516">
        <v>0.42248476255651102</v>
      </c>
      <c r="J6516">
        <v>0.56460292953833802</v>
      </c>
      <c r="K6516">
        <v>0.53217745526714</v>
      </c>
      <c r="L6516">
        <v>1177.3481148429901</v>
      </c>
      <c r="M6516">
        <v>23.9880114111252</v>
      </c>
      <c r="N6516">
        <v>56.503817304823997</v>
      </c>
      <c r="O6516">
        <v>48.743410389017697</v>
      </c>
      <c r="P6516">
        <v>-6.4149462984114697E-2</v>
      </c>
      <c r="Q6516">
        <v>0.47860387315661901</v>
      </c>
      <c r="R6516">
        <v>0.95419172933403096</v>
      </c>
      <c r="S6516" t="s">
        <v>13084</v>
      </c>
      <c r="T6516" t="s">
        <v>13134</v>
      </c>
      <c r="U6516" t="s">
        <v>13134</v>
      </c>
      <c r="V6516" t="s">
        <v>13134</v>
      </c>
      <c r="W6516" t="s">
        <v>19578</v>
      </c>
      <c r="X6516">
        <v>7</v>
      </c>
      <c r="Y6516" t="s">
        <v>25923</v>
      </c>
      <c r="Z6516" t="s">
        <v>32484</v>
      </c>
      <c r="AA6516">
        <v>0.69344994667727444</v>
      </c>
      <c r="AB6516" t="str">
        <f>HYPERLINK("Melting_Curves/meltCurve_Q9Y639_1_NPTN.pdf", "Melting_Curves/meltCurve_Q9Y639_1_NPTN.pdf")</f>
        <v>Melting_Curves/meltCurve_Q9Y639_1_NPTN.pdf</v>
      </c>
    </row>
    <row r="6517" spans="1:28" x14ac:dyDescent="0.25">
      <c r="A6517" t="s">
        <v>6521</v>
      </c>
      <c r="B6517">
        <v>0.99472303558308395</v>
      </c>
      <c r="C6517">
        <v>0.89284293628865297</v>
      </c>
      <c r="D6517">
        <v>1.08521811037614</v>
      </c>
      <c r="E6517">
        <v>0.80783746491049102</v>
      </c>
      <c r="F6517">
        <v>0.83744580134882496</v>
      </c>
      <c r="G6517">
        <v>0.57109369824582901</v>
      </c>
      <c r="H6517">
        <v>0.35829069417701398</v>
      </c>
      <c r="I6517">
        <v>0.31961641032124499</v>
      </c>
      <c r="J6517">
        <v>0.24160510841520799</v>
      </c>
      <c r="K6517">
        <v>0.31016710601477099</v>
      </c>
      <c r="L6517">
        <v>898.48304482337903</v>
      </c>
      <c r="M6517">
        <v>17.021237386969101</v>
      </c>
      <c r="N6517">
        <v>54.934076559849103</v>
      </c>
      <c r="O6517">
        <v>52.073578181785798</v>
      </c>
      <c r="P6517">
        <v>-6.1862858600331902E-2</v>
      </c>
      <c r="Q6517">
        <v>0.24301131091707201</v>
      </c>
      <c r="R6517">
        <v>0.95124493478496397</v>
      </c>
      <c r="S6517" t="s">
        <v>13085</v>
      </c>
      <c r="T6517" t="s">
        <v>13134</v>
      </c>
      <c r="U6517" t="s">
        <v>13134</v>
      </c>
      <c r="V6517" t="s">
        <v>13134</v>
      </c>
      <c r="W6517" t="s">
        <v>19579</v>
      </c>
      <c r="X6517">
        <v>4</v>
      </c>
      <c r="Y6517" t="s">
        <v>25924</v>
      </c>
      <c r="Z6517" t="s">
        <v>32485</v>
      </c>
      <c r="AA6517">
        <v>0.65327154000205601</v>
      </c>
      <c r="AB6517" t="str">
        <f>HYPERLINK("Melting_Curves/meltCurve_Q9Y646_CPQ.pdf", "Melting_Curves/meltCurve_Q9Y646_CPQ.pdf")</f>
        <v>Melting_Curves/meltCurve_Q9Y646_CPQ.pdf</v>
      </c>
    </row>
    <row r="6518" spans="1:28" x14ac:dyDescent="0.25">
      <c r="A6518" t="s">
        <v>6522</v>
      </c>
      <c r="B6518">
        <v>0.99472303558308395</v>
      </c>
      <c r="C6518">
        <v>0.944007055910976</v>
      </c>
      <c r="D6518">
        <v>0.95011525768669403</v>
      </c>
      <c r="E6518">
        <v>0.78344702476341499</v>
      </c>
      <c r="F6518">
        <v>0.58755479441687097</v>
      </c>
      <c r="G6518">
        <v>0.35476882297215301</v>
      </c>
      <c r="H6518">
        <v>0.20246595701695</v>
      </c>
      <c r="I6518">
        <v>0.122129919378208</v>
      </c>
      <c r="J6518">
        <v>0.117309331389772</v>
      </c>
      <c r="K6518">
        <v>0.10295779892978101</v>
      </c>
      <c r="L6518">
        <v>730.33693537546503</v>
      </c>
      <c r="M6518">
        <v>14.3780583525279</v>
      </c>
      <c r="N6518">
        <v>51.275475304298801</v>
      </c>
      <c r="O6518">
        <v>49.842963594539398</v>
      </c>
      <c r="P6518">
        <v>-6.7582121346787399E-2</v>
      </c>
      <c r="Q6518">
        <v>6.2991253279295806E-2</v>
      </c>
      <c r="R6518">
        <v>0.99780645124116196</v>
      </c>
      <c r="S6518" t="s">
        <v>13086</v>
      </c>
      <c r="T6518" t="s">
        <v>13134</v>
      </c>
      <c r="U6518" t="s">
        <v>13134</v>
      </c>
      <c r="V6518" t="s">
        <v>13134</v>
      </c>
      <c r="W6518" t="s">
        <v>19580</v>
      </c>
      <c r="X6518">
        <v>2</v>
      </c>
      <c r="Y6518" t="s">
        <v>25925</v>
      </c>
      <c r="Z6518" t="s">
        <v>32486</v>
      </c>
      <c r="AA6518">
        <v>0.5139790294956994</v>
      </c>
      <c r="AB6518" t="str">
        <f>HYPERLINK("Melting_Curves/meltCurve_Q9Y657_SPIN1.pdf", "Melting_Curves/meltCurve_Q9Y657_SPIN1.pdf")</f>
        <v>Melting_Curves/meltCurve_Q9Y657_SPIN1.pdf</v>
      </c>
    </row>
    <row r="6519" spans="1:28" x14ac:dyDescent="0.25">
      <c r="A6519" t="s">
        <v>6523</v>
      </c>
      <c r="B6519">
        <v>0.99472303558308395</v>
      </c>
      <c r="C6519">
        <v>0.97242630898640503</v>
      </c>
      <c r="D6519">
        <v>0.82001694173914597</v>
      </c>
      <c r="E6519">
        <v>0.78291217544240099</v>
      </c>
      <c r="F6519">
        <v>0.62403614493292603</v>
      </c>
      <c r="G6519">
        <v>0.36546875030350801</v>
      </c>
      <c r="H6519">
        <v>0.14116010927058001</v>
      </c>
      <c r="I6519">
        <v>0.107634190290315</v>
      </c>
      <c r="J6519">
        <v>9.9563636950752404E-2</v>
      </c>
      <c r="K6519">
        <v>7.5055239483361194E-2</v>
      </c>
      <c r="L6519">
        <v>628.548197154739</v>
      </c>
      <c r="M6519">
        <v>12.2643988415403</v>
      </c>
      <c r="N6519">
        <v>51.2498168880309</v>
      </c>
      <c r="O6519">
        <v>49.9444280907856</v>
      </c>
      <c r="P6519">
        <v>-6.1403847141942101E-2</v>
      </c>
      <c r="Q6519">
        <v>0</v>
      </c>
      <c r="R6519">
        <v>0.98574763319445002</v>
      </c>
      <c r="S6519" t="s">
        <v>13087</v>
      </c>
      <c r="T6519" t="s">
        <v>13134</v>
      </c>
      <c r="U6519" t="s">
        <v>13134</v>
      </c>
      <c r="V6519" t="s">
        <v>13134</v>
      </c>
      <c r="W6519" t="s">
        <v>19581</v>
      </c>
      <c r="X6519">
        <v>9</v>
      </c>
      <c r="Y6519" t="s">
        <v>25926</v>
      </c>
      <c r="Z6519" t="s">
        <v>32487</v>
      </c>
      <c r="AA6519">
        <v>0.49996292146993448</v>
      </c>
      <c r="AB6519" t="str">
        <f>HYPERLINK("Melting_Curves/meltCurve_Q9Y673_ALG5.pdf", "Melting_Curves/meltCurve_Q9Y673_ALG5.pdf")</f>
        <v>Melting_Curves/meltCurve_Q9Y673_ALG5.pdf</v>
      </c>
    </row>
    <row r="6520" spans="1:28" x14ac:dyDescent="0.25">
      <c r="A6520" t="s">
        <v>6524</v>
      </c>
      <c r="B6520">
        <v>0.99472303558308395</v>
      </c>
      <c r="C6520">
        <v>0.98641891867324105</v>
      </c>
      <c r="D6520">
        <v>0.80478034631065898</v>
      </c>
      <c r="E6520">
        <v>1.0084285928672301</v>
      </c>
      <c r="F6520">
        <v>0.60763670581377505</v>
      </c>
      <c r="G6520">
        <v>0.340116262807169</v>
      </c>
      <c r="H6520">
        <v>0.20270745021265599</v>
      </c>
      <c r="I6520">
        <v>0.14542274458086299</v>
      </c>
      <c r="J6520">
        <v>0.184172692183797</v>
      </c>
      <c r="K6520">
        <v>0.14793685638329299</v>
      </c>
      <c r="L6520">
        <v>1327.39142223061</v>
      </c>
      <c r="M6520">
        <v>26.1402000323551</v>
      </c>
      <c r="N6520">
        <v>51.533283912149699</v>
      </c>
      <c r="O6520">
        <v>50.485309882548002</v>
      </c>
      <c r="P6520">
        <v>-0.108885083399772</v>
      </c>
      <c r="Q6520">
        <v>0.15883811676416901</v>
      </c>
      <c r="R6520">
        <v>0.96496080330346001</v>
      </c>
      <c r="S6520" t="s">
        <v>13088</v>
      </c>
      <c r="T6520" t="s">
        <v>13134</v>
      </c>
      <c r="U6520" t="s">
        <v>13134</v>
      </c>
      <c r="V6520" t="s">
        <v>13134</v>
      </c>
      <c r="W6520" t="s">
        <v>19582</v>
      </c>
      <c r="X6520">
        <v>3</v>
      </c>
      <c r="Y6520" t="s">
        <v>25927</v>
      </c>
      <c r="Z6520" t="s">
        <v>32488</v>
      </c>
      <c r="AA6520">
        <v>0.55201602774583414</v>
      </c>
      <c r="AB6520" t="str">
        <f>HYPERLINK("Melting_Curves/meltCurve_Q9Y676_MRPS18B.pdf", "Melting_Curves/meltCurve_Q9Y676_MRPS18B.pdf")</f>
        <v>Melting_Curves/meltCurve_Q9Y676_MRPS18B.pdf</v>
      </c>
    </row>
    <row r="6521" spans="1:28" x14ac:dyDescent="0.25">
      <c r="A6521" t="s">
        <v>6525</v>
      </c>
      <c r="B6521">
        <v>0.99472303558308395</v>
      </c>
      <c r="C6521">
        <v>0.90967692793478805</v>
      </c>
      <c r="D6521">
        <v>0.76951195343594003</v>
      </c>
      <c r="E6521">
        <v>0.65269995715501905</v>
      </c>
      <c r="F6521">
        <v>0.65604479456681997</v>
      </c>
      <c r="G6521">
        <v>0.21847440622890499</v>
      </c>
      <c r="H6521">
        <v>0.101004201430898</v>
      </c>
      <c r="I6521">
        <v>6.3559778003064393E-2</v>
      </c>
      <c r="J6521">
        <v>7.0818281365869595E-2</v>
      </c>
      <c r="K6521">
        <v>6.4579533401962194E-2</v>
      </c>
      <c r="L6521">
        <v>577.29304240584702</v>
      </c>
      <c r="M6521">
        <v>11.6240699379343</v>
      </c>
      <c r="N6521">
        <v>49.663606239633197</v>
      </c>
      <c r="O6521">
        <v>48.262015461990103</v>
      </c>
      <c r="P6521">
        <v>-6.0229754606100999E-2</v>
      </c>
      <c r="Q6521">
        <v>0</v>
      </c>
      <c r="R6521">
        <v>0.95622662897764898</v>
      </c>
      <c r="S6521" t="s">
        <v>13089</v>
      </c>
      <c r="T6521" t="s">
        <v>13134</v>
      </c>
      <c r="U6521" t="s">
        <v>13134</v>
      </c>
      <c r="V6521" t="s">
        <v>13134</v>
      </c>
      <c r="W6521" t="s">
        <v>19583</v>
      </c>
      <c r="X6521">
        <v>30</v>
      </c>
      <c r="Y6521" t="s">
        <v>25928</v>
      </c>
      <c r="Z6521" t="s">
        <v>32489</v>
      </c>
      <c r="AA6521">
        <v>0.4518315504584382</v>
      </c>
      <c r="AB6521" t="str">
        <f>HYPERLINK("Melting_Curves/meltCurve_Q9Y678_COPG1.pdf", "Melting_Curves/meltCurve_Q9Y678_COPG1.pdf")</f>
        <v>Melting_Curves/meltCurve_Q9Y678_COPG1.pdf</v>
      </c>
    </row>
    <row r="6522" spans="1:28" x14ac:dyDescent="0.25">
      <c r="A6522" t="s">
        <v>6526</v>
      </c>
      <c r="B6522">
        <v>0.99472303558308395</v>
      </c>
      <c r="C6522">
        <v>0.87368860240831203</v>
      </c>
      <c r="D6522">
        <v>0.78476073603910601</v>
      </c>
      <c r="E6522">
        <v>0.58931680885868698</v>
      </c>
      <c r="F6522">
        <v>0.29407373122028402</v>
      </c>
      <c r="G6522">
        <v>0.117729230379367</v>
      </c>
      <c r="H6522">
        <v>6.8556324116057901E-2</v>
      </c>
      <c r="I6522">
        <v>5.0086219674088502E-2</v>
      </c>
      <c r="J6522">
        <v>6.6419152435345102E-2</v>
      </c>
      <c r="K6522">
        <v>5.5906690303697701E-2</v>
      </c>
      <c r="L6522">
        <v>682.17494415266594</v>
      </c>
      <c r="M6522">
        <v>14.516547820606499</v>
      </c>
      <c r="N6522">
        <v>47.140201184519498</v>
      </c>
      <c r="O6522">
        <v>46.128148748336798</v>
      </c>
      <c r="P6522">
        <v>-7.6939649284181594E-2</v>
      </c>
      <c r="Q6522">
        <v>2.21708825618647E-2</v>
      </c>
      <c r="R6522">
        <v>0.993155925565121</v>
      </c>
      <c r="S6522" t="s">
        <v>13090</v>
      </c>
      <c r="T6522" t="s">
        <v>13134</v>
      </c>
      <c r="U6522" t="s">
        <v>13134</v>
      </c>
      <c r="V6522" t="s">
        <v>13134</v>
      </c>
      <c r="W6522" t="s">
        <v>19584</v>
      </c>
      <c r="X6522">
        <v>9</v>
      </c>
      <c r="Y6522" t="s">
        <v>25929</v>
      </c>
      <c r="Z6522" t="s">
        <v>32490</v>
      </c>
      <c r="AA6522">
        <v>0.37122092936502171</v>
      </c>
      <c r="AB6522" t="str">
        <f>HYPERLINK("Melting_Curves/meltCurve_Q9Y679_2_AUP1.pdf", "Melting_Curves/meltCurve_Q9Y679_2_AUP1.pdf")</f>
        <v>Melting_Curves/meltCurve_Q9Y679_2_AUP1.pdf</v>
      </c>
    </row>
    <row r="6523" spans="1:28" x14ac:dyDescent="0.25">
      <c r="A6523" t="s">
        <v>6527</v>
      </c>
      <c r="B6523">
        <v>0.99472303558308395</v>
      </c>
      <c r="C6523">
        <v>0.96582371302427805</v>
      </c>
      <c r="D6523">
        <v>0.95433799785772999</v>
      </c>
      <c r="E6523">
        <v>0.83294977141066295</v>
      </c>
      <c r="F6523">
        <v>0.64953544466622104</v>
      </c>
      <c r="G6523">
        <v>0.38263285861062502</v>
      </c>
      <c r="H6523">
        <v>0.217217697701207</v>
      </c>
      <c r="I6523">
        <v>0.157536373977049</v>
      </c>
      <c r="J6523">
        <v>0.15719635084764899</v>
      </c>
      <c r="K6523">
        <v>0.12911877402806901</v>
      </c>
      <c r="L6523">
        <v>834.59360711248303</v>
      </c>
      <c r="M6523">
        <v>16.303238361037401</v>
      </c>
      <c r="N6523">
        <v>51.956478697178099</v>
      </c>
      <c r="O6523">
        <v>50.440300357905201</v>
      </c>
      <c r="P6523">
        <v>-7.2191823313652898E-2</v>
      </c>
      <c r="Q6523">
        <v>0.10665347117353501</v>
      </c>
      <c r="R6523">
        <v>0.99799288641241002</v>
      </c>
      <c r="S6523" t="s">
        <v>13091</v>
      </c>
      <c r="T6523" t="s">
        <v>13134</v>
      </c>
      <c r="U6523" t="s">
        <v>13134</v>
      </c>
      <c r="V6523" t="s">
        <v>13134</v>
      </c>
      <c r="W6523" t="s">
        <v>19585</v>
      </c>
      <c r="X6523">
        <v>8</v>
      </c>
      <c r="Y6523" t="s">
        <v>25930</v>
      </c>
      <c r="Z6523" t="s">
        <v>32491</v>
      </c>
      <c r="AA6523">
        <v>0.545211225259851</v>
      </c>
      <c r="AB6523" t="str">
        <f>HYPERLINK("Melting_Curves/meltCurve_Q9Y680_3_FKBP7.pdf", "Melting_Curves/meltCurve_Q9Y680_3_FKBP7.pdf")</f>
        <v>Melting_Curves/meltCurve_Q9Y680_3_FKBP7.pdf</v>
      </c>
    </row>
    <row r="6524" spans="1:28" x14ac:dyDescent="0.25">
      <c r="A6524" t="s">
        <v>6528</v>
      </c>
      <c r="B6524">
        <v>0.99472303558308395</v>
      </c>
      <c r="C6524">
        <v>0.90104010054372097</v>
      </c>
      <c r="D6524">
        <v>0.86016792877061499</v>
      </c>
      <c r="E6524">
        <v>0.66460197668545296</v>
      </c>
      <c r="F6524">
        <v>0.44303853910837698</v>
      </c>
      <c r="G6524">
        <v>0.28225995901331102</v>
      </c>
      <c r="H6524">
        <v>0.15469365328972301</v>
      </c>
      <c r="I6524">
        <v>7.5484599988446005E-2</v>
      </c>
      <c r="J6524">
        <v>6.9195226287189798E-2</v>
      </c>
      <c r="K6524">
        <v>5.8442471485825299E-2</v>
      </c>
      <c r="L6524">
        <v>576.18174346343301</v>
      </c>
      <c r="M6524">
        <v>11.6974726973964</v>
      </c>
      <c r="N6524">
        <v>49.270520403180903</v>
      </c>
      <c r="O6524">
        <v>47.883447423163901</v>
      </c>
      <c r="P6524">
        <v>-6.0990477945145803E-2</v>
      </c>
      <c r="Q6524">
        <v>1.6108744241776301E-3</v>
      </c>
      <c r="R6524">
        <v>0.99784495759579706</v>
      </c>
      <c r="S6524" t="s">
        <v>13092</v>
      </c>
      <c r="T6524" t="s">
        <v>13134</v>
      </c>
      <c r="U6524" t="s">
        <v>13134</v>
      </c>
      <c r="V6524" t="s">
        <v>13134</v>
      </c>
      <c r="W6524" t="s">
        <v>19586</v>
      </c>
      <c r="X6524">
        <v>3</v>
      </c>
      <c r="Y6524" t="s">
        <v>25931</v>
      </c>
      <c r="Z6524" t="s">
        <v>32492</v>
      </c>
      <c r="AA6524">
        <v>0.43972796769532818</v>
      </c>
      <c r="AB6524" t="str">
        <f>HYPERLINK("Melting_Curves/meltCurve_Q9Y689_2_ARL5A.pdf", "Melting_Curves/meltCurve_Q9Y689_2_ARL5A.pdf")</f>
        <v>Melting_Curves/meltCurve_Q9Y689_2_ARL5A.pdf</v>
      </c>
    </row>
    <row r="6525" spans="1:28" x14ac:dyDescent="0.25">
      <c r="A6525" t="s">
        <v>6529</v>
      </c>
      <c r="B6525">
        <v>0.99472303558308395</v>
      </c>
      <c r="C6525">
        <v>0.74642707845082001</v>
      </c>
      <c r="D6525">
        <v>0.77468857679361203</v>
      </c>
      <c r="E6525">
        <v>0.39420273206163697</v>
      </c>
      <c r="F6525">
        <v>0.20110770672285799</v>
      </c>
      <c r="G6525">
        <v>9.4012940243143203E-2</v>
      </c>
      <c r="H6525">
        <v>5.4930389258871101E-2</v>
      </c>
      <c r="I6525">
        <v>3.9777428671725797E-2</v>
      </c>
      <c r="J6525">
        <v>5.5184232830934203E-2</v>
      </c>
      <c r="K6525">
        <v>4.5066694750740599E-2</v>
      </c>
      <c r="L6525">
        <v>640.53367230094796</v>
      </c>
      <c r="M6525">
        <v>14.1606276329757</v>
      </c>
      <c r="N6525">
        <v>45.361551530476603</v>
      </c>
      <c r="O6525">
        <v>44.360021671978501</v>
      </c>
      <c r="P6525">
        <v>-7.8250523968621602E-2</v>
      </c>
      <c r="Q6525">
        <v>1.96042306678995E-2</v>
      </c>
      <c r="R6525">
        <v>0.97761598962887897</v>
      </c>
      <c r="S6525" t="s">
        <v>13093</v>
      </c>
      <c r="T6525" t="s">
        <v>13134</v>
      </c>
      <c r="U6525" t="s">
        <v>13134</v>
      </c>
      <c r="V6525" t="s">
        <v>13134</v>
      </c>
      <c r="W6525" t="s">
        <v>19587</v>
      </c>
      <c r="X6525">
        <v>4</v>
      </c>
      <c r="Y6525" t="s">
        <v>25932</v>
      </c>
      <c r="Z6525" t="s">
        <v>32493</v>
      </c>
      <c r="AA6525">
        <v>0.31455265903028778</v>
      </c>
      <c r="AB6525" t="str">
        <f>HYPERLINK("Melting_Curves/meltCurve_Q9Y692_2_GMEB1.pdf", "Melting_Curves/meltCurve_Q9Y692_2_GMEB1.pdf")</f>
        <v>Melting_Curves/meltCurve_Q9Y692_2_GMEB1.pdf</v>
      </c>
    </row>
    <row r="6526" spans="1:28" x14ac:dyDescent="0.25">
      <c r="A6526" t="s">
        <v>6530</v>
      </c>
      <c r="B6526">
        <v>0.99472303558308395</v>
      </c>
      <c r="C6526">
        <v>0.99484486179274401</v>
      </c>
      <c r="D6526">
        <v>0.97628624612650705</v>
      </c>
      <c r="E6526">
        <v>0.92494017042722299</v>
      </c>
      <c r="F6526">
        <v>0.65410813396874301</v>
      </c>
      <c r="G6526">
        <v>0.38610913960284099</v>
      </c>
      <c r="H6526">
        <v>0.13780412254296101</v>
      </c>
      <c r="I6526">
        <v>7.1514703923793693E-2</v>
      </c>
      <c r="J6526">
        <v>8.9496829769045397E-2</v>
      </c>
      <c r="K6526">
        <v>7.0715206124532096E-2</v>
      </c>
      <c r="L6526">
        <v>1060.3280968660799</v>
      </c>
      <c r="M6526">
        <v>20.471514893686301</v>
      </c>
      <c r="N6526">
        <v>52.074227678247503</v>
      </c>
      <c r="O6526">
        <v>51.308647246613702</v>
      </c>
      <c r="P6526">
        <v>-9.4569999217318707E-2</v>
      </c>
      <c r="Q6526">
        <v>5.1928552587603601E-2</v>
      </c>
      <c r="R6526">
        <v>0.99782103047505899</v>
      </c>
      <c r="S6526" t="s">
        <v>13094</v>
      </c>
      <c r="T6526" t="s">
        <v>13134</v>
      </c>
      <c r="U6526" t="s">
        <v>13134</v>
      </c>
      <c r="V6526" t="s">
        <v>13134</v>
      </c>
      <c r="W6526" t="s">
        <v>19588</v>
      </c>
      <c r="X6526">
        <v>14</v>
      </c>
      <c r="Y6526" t="s">
        <v>25933</v>
      </c>
      <c r="Z6526" t="s">
        <v>32494</v>
      </c>
      <c r="AA6526">
        <v>0.53133271951093053</v>
      </c>
      <c r="AB6526" t="str">
        <f>HYPERLINK("Melting_Curves/meltCurve_Q9Y696_CLIC4.pdf", "Melting_Curves/meltCurve_Q9Y696_CLIC4.pdf")</f>
        <v>Melting_Curves/meltCurve_Q9Y696_CLIC4.pdf</v>
      </c>
    </row>
    <row r="6527" spans="1:28" x14ac:dyDescent="0.25">
      <c r="A6527" t="s">
        <v>6531</v>
      </c>
      <c r="B6527">
        <v>0.99472303558308395</v>
      </c>
      <c r="C6527">
        <v>0.96698732137707799</v>
      </c>
      <c r="D6527">
        <v>0.85690223401099497</v>
      </c>
      <c r="E6527">
        <v>0.81717231181986205</v>
      </c>
      <c r="F6527">
        <v>0.69218626910648495</v>
      </c>
      <c r="G6527">
        <v>0.45980808361591602</v>
      </c>
      <c r="H6527">
        <v>0.14272201920158401</v>
      </c>
      <c r="I6527">
        <v>8.5154869516352302E-2</v>
      </c>
      <c r="J6527">
        <v>7.3253826874793607E-2</v>
      </c>
      <c r="K6527">
        <v>6.91448731764506E-2</v>
      </c>
      <c r="L6527">
        <v>739.66076596702703</v>
      </c>
      <c r="M6527">
        <v>14.1388476487268</v>
      </c>
      <c r="N6527">
        <v>52.314075506478098</v>
      </c>
      <c r="O6527">
        <v>51.300928631561703</v>
      </c>
      <c r="P6527">
        <v>-6.8910291394216505E-2</v>
      </c>
      <c r="Q6527">
        <v>0</v>
      </c>
      <c r="R6527">
        <v>0.98228483796801302</v>
      </c>
      <c r="S6527" t="s">
        <v>13095</v>
      </c>
      <c r="T6527" t="s">
        <v>13134</v>
      </c>
      <c r="U6527" t="s">
        <v>13134</v>
      </c>
      <c r="V6527" t="s">
        <v>13134</v>
      </c>
      <c r="W6527" t="s">
        <v>19589</v>
      </c>
      <c r="X6527">
        <v>16</v>
      </c>
      <c r="Y6527" t="s">
        <v>25934</v>
      </c>
      <c r="Z6527" t="s">
        <v>32495</v>
      </c>
      <c r="AA6527">
        <v>0.53043224302616976</v>
      </c>
      <c r="AB6527" t="str">
        <f>HYPERLINK("Melting_Curves/meltCurve_Q9Y697_2_NFS1.pdf", "Melting_Curves/meltCurve_Q9Y697_2_NFS1.pdf")</f>
        <v>Melting_Curves/meltCurve_Q9Y697_2_NFS1.pdf</v>
      </c>
    </row>
    <row r="6528" spans="1:28" x14ac:dyDescent="0.25">
      <c r="A6528" t="s">
        <v>6532</v>
      </c>
      <c r="B6528">
        <v>0.99472303558308395</v>
      </c>
      <c r="C6528">
        <v>0.83876605149309402</v>
      </c>
      <c r="D6528">
        <v>0.896543702820911</v>
      </c>
      <c r="E6528">
        <v>0.67989623987428405</v>
      </c>
      <c r="F6528">
        <v>0.40844104191681901</v>
      </c>
      <c r="G6528">
        <v>0.24963552233247799</v>
      </c>
      <c r="H6528">
        <v>0.14585153210500301</v>
      </c>
      <c r="I6528">
        <v>0.10301962072323299</v>
      </c>
      <c r="J6528">
        <v>0.11637329690835101</v>
      </c>
      <c r="K6528">
        <v>9.3012037384684998E-2</v>
      </c>
      <c r="L6528">
        <v>666.21382772848995</v>
      </c>
      <c r="M6528">
        <v>13.754648501657099</v>
      </c>
      <c r="N6528">
        <v>48.923031941725696</v>
      </c>
      <c r="O6528">
        <v>47.446162514685803</v>
      </c>
      <c r="P6528">
        <v>-6.78433556720269E-2</v>
      </c>
      <c r="Q6528">
        <v>6.4039907801711496E-2</v>
      </c>
      <c r="R6528">
        <v>0.98645944690417298</v>
      </c>
      <c r="S6528" t="s">
        <v>13096</v>
      </c>
      <c r="T6528" t="s">
        <v>13134</v>
      </c>
      <c r="U6528" t="s">
        <v>13134</v>
      </c>
      <c r="V6528" t="s">
        <v>13134</v>
      </c>
      <c r="W6528" t="s">
        <v>19590</v>
      </c>
      <c r="X6528">
        <v>5</v>
      </c>
      <c r="Y6528" t="s">
        <v>25935</v>
      </c>
      <c r="Z6528" t="s">
        <v>32496</v>
      </c>
      <c r="AA6528">
        <v>0.44424570387413193</v>
      </c>
      <c r="AB6528" t="str">
        <f>HYPERLINK("Melting_Curves/meltCurve_Q9Y6A4_C16orf80.pdf", "Melting_Curves/meltCurve_Q9Y6A4_C16orf80.pdf")</f>
        <v>Melting_Curves/meltCurve_Q9Y6A4_C16orf80.pdf</v>
      </c>
    </row>
    <row r="6529" spans="1:28" x14ac:dyDescent="0.25">
      <c r="A6529" t="s">
        <v>6533</v>
      </c>
      <c r="B6529">
        <v>0.99472303558308395</v>
      </c>
      <c r="C6529">
        <v>1.00788717319933</v>
      </c>
      <c r="D6529">
        <v>0.93316395689047305</v>
      </c>
      <c r="E6529">
        <v>0.788601671987604</v>
      </c>
      <c r="F6529">
        <v>0.49938211611215</v>
      </c>
      <c r="G6529">
        <v>0.32087006412858798</v>
      </c>
      <c r="H6529">
        <v>0.25662699476494399</v>
      </c>
      <c r="I6529">
        <v>0.25888464036339698</v>
      </c>
      <c r="J6529">
        <v>0.44258121318900001</v>
      </c>
      <c r="K6529">
        <v>0.42987097100551402</v>
      </c>
      <c r="L6529">
        <v>1353.0348754878901</v>
      </c>
      <c r="M6529">
        <v>28.2904517306761</v>
      </c>
      <c r="N6529">
        <v>49.818651256512098</v>
      </c>
      <c r="O6529">
        <v>47.589502208088199</v>
      </c>
      <c r="P6529">
        <v>-9.8283542791887502E-2</v>
      </c>
      <c r="Q6529">
        <v>0.33868483822843998</v>
      </c>
      <c r="R6529">
        <v>0.95541498839612105</v>
      </c>
      <c r="S6529" t="s">
        <v>13097</v>
      </c>
      <c r="T6529" t="s">
        <v>13134</v>
      </c>
      <c r="U6529" t="s">
        <v>13134</v>
      </c>
      <c r="V6529" t="s">
        <v>13134</v>
      </c>
      <c r="W6529" t="s">
        <v>19591</v>
      </c>
      <c r="X6529">
        <v>38</v>
      </c>
      <c r="Y6529" t="s">
        <v>20569</v>
      </c>
      <c r="Z6529" t="s">
        <v>32497</v>
      </c>
      <c r="AA6529">
        <v>0.58173579379800178</v>
      </c>
      <c r="AB6529" t="str">
        <f>HYPERLINK("Melting_Curves/meltCurve_Q9Y6A5_TACC3.pdf", "Melting_Curves/meltCurve_Q9Y6A5_TACC3.pdf")</f>
        <v>Melting_Curves/meltCurve_Q9Y6A5_TACC3.pdf</v>
      </c>
    </row>
    <row r="6530" spans="1:28" x14ac:dyDescent="0.25">
      <c r="A6530" t="s">
        <v>6534</v>
      </c>
      <c r="B6530">
        <v>0.99472303558308395</v>
      </c>
      <c r="C6530">
        <v>0.93200524454403</v>
      </c>
      <c r="D6530">
        <v>1.0286262140136799</v>
      </c>
      <c r="E6530">
        <v>0.97906866022202699</v>
      </c>
      <c r="F6530">
        <v>0.63223903590389297</v>
      </c>
      <c r="G6530">
        <v>0.57370721770353605</v>
      </c>
      <c r="H6530">
        <v>0.22689068423370901</v>
      </c>
      <c r="I6530">
        <v>6.2742927289269806E-2</v>
      </c>
      <c r="J6530">
        <v>4.01481422061837E-2</v>
      </c>
      <c r="K6530">
        <v>5.0244320933952299E-2</v>
      </c>
      <c r="L6530">
        <v>893.61789545693</v>
      </c>
      <c r="M6530">
        <v>16.7163030098354</v>
      </c>
      <c r="N6530">
        <v>53.457866514876798</v>
      </c>
      <c r="O6530">
        <v>52.710407145528499</v>
      </c>
      <c r="P6530">
        <v>-7.9288928342334197E-2</v>
      </c>
      <c r="Q6530">
        <v>0</v>
      </c>
      <c r="R6530">
        <v>0.97758454257571503</v>
      </c>
      <c r="S6530" t="s">
        <v>13098</v>
      </c>
      <c r="T6530" t="s">
        <v>13134</v>
      </c>
      <c r="U6530" t="s">
        <v>13134</v>
      </c>
      <c r="V6530" t="s">
        <v>13134</v>
      </c>
      <c r="W6530" t="s">
        <v>19592</v>
      </c>
      <c r="X6530">
        <v>9</v>
      </c>
      <c r="Y6530" t="s">
        <v>25936</v>
      </c>
      <c r="Z6530" t="s">
        <v>32498</v>
      </c>
      <c r="AA6530">
        <v>0.56403675752228033</v>
      </c>
      <c r="AB6530" t="str">
        <f>HYPERLINK("Melting_Curves/meltCurve_Q9Y6B6_SAR1B.pdf", "Melting_Curves/meltCurve_Q9Y6B6_SAR1B.pdf")</f>
        <v>Melting_Curves/meltCurve_Q9Y6B6_SAR1B.pdf</v>
      </c>
    </row>
    <row r="6531" spans="1:28" x14ac:dyDescent="0.25">
      <c r="A6531" t="s">
        <v>6535</v>
      </c>
      <c r="B6531">
        <v>0.99472303558308395</v>
      </c>
      <c r="C6531">
        <v>0.83345113711771401</v>
      </c>
      <c r="D6531">
        <v>0.72296605095151301</v>
      </c>
      <c r="E6531">
        <v>0.48797891071527899</v>
      </c>
      <c r="F6531">
        <v>0.26040976676057298</v>
      </c>
      <c r="G6531">
        <v>0.12772704948302099</v>
      </c>
      <c r="H6531">
        <v>3.9666927553549801E-2</v>
      </c>
      <c r="I6531">
        <v>3.1078728713541001E-2</v>
      </c>
      <c r="J6531">
        <v>0</v>
      </c>
      <c r="K6531">
        <v>5.6158133058759101E-2</v>
      </c>
      <c r="L6531">
        <v>601.44398123708697</v>
      </c>
      <c r="M6531">
        <v>13.0449687026698</v>
      </c>
      <c r="N6531">
        <v>46.105436838088202</v>
      </c>
      <c r="O6531">
        <v>45.062301442344697</v>
      </c>
      <c r="P6531">
        <v>-7.2384430966652702E-2</v>
      </c>
      <c r="Q6531">
        <v>0</v>
      </c>
      <c r="R6531">
        <v>0.99411672846849097</v>
      </c>
      <c r="S6531" t="s">
        <v>13099</v>
      </c>
      <c r="T6531" t="s">
        <v>13134</v>
      </c>
      <c r="U6531" t="s">
        <v>13134</v>
      </c>
      <c r="V6531" t="s">
        <v>13134</v>
      </c>
      <c r="W6531" t="s">
        <v>19593</v>
      </c>
      <c r="X6531">
        <v>2</v>
      </c>
      <c r="Y6531" t="s">
        <v>25937</v>
      </c>
      <c r="Z6531" t="s">
        <v>32499</v>
      </c>
      <c r="AA6531">
        <v>0.33320979301307568</v>
      </c>
      <c r="AB6531" t="str">
        <f>HYPERLINK("Melting_Curves/meltCurve_Q9Y6B7_AP4B1.pdf", "Melting_Curves/meltCurve_Q9Y6B7_AP4B1.pdf")</f>
        <v>Melting_Curves/meltCurve_Q9Y6B7_AP4B1.pdf</v>
      </c>
    </row>
    <row r="6532" spans="1:28" x14ac:dyDescent="0.25">
      <c r="A6532" t="s">
        <v>6536</v>
      </c>
      <c r="B6532">
        <v>0.99472303558308395</v>
      </c>
      <c r="C6532">
        <v>0.94118419016100396</v>
      </c>
      <c r="D6532">
        <v>0.86959404260501305</v>
      </c>
      <c r="E6532">
        <v>0.79998573907366</v>
      </c>
      <c r="F6532">
        <v>0.66504533318269898</v>
      </c>
      <c r="G6532">
        <v>0.358902187178195</v>
      </c>
      <c r="H6532">
        <v>0.14600858092678501</v>
      </c>
      <c r="I6532">
        <v>9.8400206822876896E-2</v>
      </c>
      <c r="J6532">
        <v>9.0115880904007906E-2</v>
      </c>
      <c r="K6532">
        <v>7.9771850333175895E-2</v>
      </c>
      <c r="L6532">
        <v>712.31149551983196</v>
      </c>
      <c r="M6532">
        <v>13.8235287564706</v>
      </c>
      <c r="N6532">
        <v>51.6130261472059</v>
      </c>
      <c r="O6532">
        <v>50.486468056301298</v>
      </c>
      <c r="P6532">
        <v>-6.7698700700345907E-2</v>
      </c>
      <c r="Q6532">
        <v>1.11372690123181E-2</v>
      </c>
      <c r="R6532">
        <v>0.98756952268669396</v>
      </c>
      <c r="S6532" t="s">
        <v>13100</v>
      </c>
      <c r="T6532" t="s">
        <v>13134</v>
      </c>
      <c r="U6532" t="s">
        <v>13134</v>
      </c>
      <c r="V6532" t="s">
        <v>13134</v>
      </c>
      <c r="W6532" t="s">
        <v>19594</v>
      </c>
      <c r="X6532">
        <v>12</v>
      </c>
      <c r="Y6532" t="s">
        <v>20207</v>
      </c>
      <c r="Z6532" t="s">
        <v>32500</v>
      </c>
      <c r="AA6532">
        <v>0.51140230261492514</v>
      </c>
      <c r="AB6532" t="str">
        <f>HYPERLINK("Melting_Curves/meltCurve_Q9Y6C9_MTCH2.pdf", "Melting_Curves/meltCurve_Q9Y6C9_MTCH2.pdf")</f>
        <v>Melting_Curves/meltCurve_Q9Y6C9_MTCH2.pdf</v>
      </c>
    </row>
    <row r="6533" spans="1:28" x14ac:dyDescent="0.25">
      <c r="A6533" t="s">
        <v>6537</v>
      </c>
      <c r="B6533">
        <v>0.99472303558308395</v>
      </c>
      <c r="C6533">
        <v>0.85968605248859897</v>
      </c>
      <c r="D6533">
        <v>0.767179024387734</v>
      </c>
      <c r="E6533">
        <v>0.56277941192526804</v>
      </c>
      <c r="F6533">
        <v>0.31634966151223298</v>
      </c>
      <c r="G6533">
        <v>0.16841781043437701</v>
      </c>
      <c r="H6533">
        <v>0.11147460529775</v>
      </c>
      <c r="I6533">
        <v>6.6251796477374003E-2</v>
      </c>
      <c r="J6533">
        <v>7.3198709397536102E-2</v>
      </c>
      <c r="K6533">
        <v>6.4255658138296395E-2</v>
      </c>
      <c r="L6533">
        <v>596.61605316592602</v>
      </c>
      <c r="M6533">
        <v>12.725626008066101</v>
      </c>
      <c r="N6533">
        <v>47.111185043836898</v>
      </c>
      <c r="O6533">
        <v>45.770537662383397</v>
      </c>
      <c r="P6533">
        <v>-6.7443600085736605E-2</v>
      </c>
      <c r="Q6533">
        <v>2.98827068512749E-2</v>
      </c>
      <c r="R6533">
        <v>0.99620544717258097</v>
      </c>
      <c r="S6533" t="s">
        <v>13101</v>
      </c>
      <c r="T6533" t="s">
        <v>13134</v>
      </c>
      <c r="U6533" t="s">
        <v>13134</v>
      </c>
      <c r="V6533" t="s">
        <v>13134</v>
      </c>
      <c r="W6533" t="s">
        <v>19595</v>
      </c>
      <c r="X6533">
        <v>9</v>
      </c>
      <c r="Y6533" t="s">
        <v>25938</v>
      </c>
      <c r="Z6533" t="s">
        <v>32501</v>
      </c>
      <c r="AA6533">
        <v>0.37859917999242848</v>
      </c>
      <c r="AB6533" t="str">
        <f>HYPERLINK("Melting_Curves/meltCurve_Q9Y6D5_ARFGEF2.pdf", "Melting_Curves/meltCurve_Q9Y6D5_ARFGEF2.pdf")</f>
        <v>Melting_Curves/meltCurve_Q9Y6D5_ARFGEF2.pdf</v>
      </c>
    </row>
    <row r="6534" spans="1:28" x14ac:dyDescent="0.25">
      <c r="A6534" t="s">
        <v>6538</v>
      </c>
      <c r="B6534">
        <v>0.99472303558308395</v>
      </c>
      <c r="C6534">
        <v>0.83908307094519097</v>
      </c>
      <c r="D6534">
        <v>0.70980226171176497</v>
      </c>
      <c r="E6534">
        <v>0.55722936281820101</v>
      </c>
      <c r="F6534">
        <v>0.26450717980650701</v>
      </c>
      <c r="G6534">
        <v>6.8054406175888996E-2</v>
      </c>
      <c r="H6534">
        <v>3.1256951933006899E-2</v>
      </c>
      <c r="I6534">
        <v>6.9481062781611303E-3</v>
      </c>
      <c r="J6534">
        <v>1.49582270108643E-2</v>
      </c>
      <c r="K6534">
        <v>1.7719610299889301E-2</v>
      </c>
      <c r="L6534">
        <v>643.844043975982</v>
      </c>
      <c r="M6534">
        <v>13.8976911422717</v>
      </c>
      <c r="N6534">
        <v>46.327410114579202</v>
      </c>
      <c r="O6534">
        <v>45.399833496220602</v>
      </c>
      <c r="P6534">
        <v>-7.6539836574390605E-2</v>
      </c>
      <c r="Q6534">
        <v>0</v>
      </c>
      <c r="R6534">
        <v>0.98713732553575695</v>
      </c>
      <c r="S6534" t="s">
        <v>13102</v>
      </c>
      <c r="T6534" t="s">
        <v>13134</v>
      </c>
      <c r="U6534" t="s">
        <v>13134</v>
      </c>
      <c r="V6534" t="s">
        <v>13134</v>
      </c>
      <c r="W6534" t="s">
        <v>19596</v>
      </c>
      <c r="X6534">
        <v>11</v>
      </c>
      <c r="Y6534" t="s">
        <v>25939</v>
      </c>
      <c r="Z6534" t="s">
        <v>32502</v>
      </c>
      <c r="AA6534">
        <v>0.33721604367316949</v>
      </c>
      <c r="AB6534" t="str">
        <f>HYPERLINK("Melting_Curves/meltCurve_Q9Y6D6_ARFGEF1.pdf", "Melting_Curves/meltCurve_Q9Y6D6_ARFGEF1.pdf")</f>
        <v>Melting_Curves/meltCurve_Q9Y6D6_ARFGEF1.pdf</v>
      </c>
    </row>
    <row r="6535" spans="1:28" x14ac:dyDescent="0.25">
      <c r="A6535" t="s">
        <v>6539</v>
      </c>
      <c r="B6535">
        <v>0.99472303558308395</v>
      </c>
      <c r="C6535">
        <v>0.94416496309140596</v>
      </c>
      <c r="D6535">
        <v>0.85786558969318005</v>
      </c>
      <c r="E6535">
        <v>0.34525211015157198</v>
      </c>
      <c r="F6535">
        <v>0.19896210382472501</v>
      </c>
      <c r="G6535">
        <v>0.12314283525535299</v>
      </c>
      <c r="H6535">
        <v>7.74116371508594E-2</v>
      </c>
      <c r="I6535">
        <v>5.8910126415951197E-2</v>
      </c>
      <c r="J6535">
        <v>6.5196452653916007E-2</v>
      </c>
      <c r="K6535">
        <v>6.1213159758298198E-2</v>
      </c>
      <c r="L6535">
        <v>1194.4540536766399</v>
      </c>
      <c r="M6535">
        <v>26.337522424866702</v>
      </c>
      <c r="N6535">
        <v>45.649732457147998</v>
      </c>
      <c r="O6535">
        <v>45.092768969372699</v>
      </c>
      <c r="P6535">
        <v>-0.13448971034351501</v>
      </c>
      <c r="Q6535">
        <v>7.8964730728523794E-2</v>
      </c>
      <c r="R6535">
        <v>0.99415630556816903</v>
      </c>
      <c r="S6535" t="s">
        <v>13103</v>
      </c>
      <c r="T6535" t="s">
        <v>13134</v>
      </c>
      <c r="U6535" t="s">
        <v>13134</v>
      </c>
      <c r="V6535" t="s">
        <v>13134</v>
      </c>
      <c r="W6535" t="s">
        <v>19597</v>
      </c>
      <c r="X6535">
        <v>18</v>
      </c>
      <c r="Y6535" t="s">
        <v>25940</v>
      </c>
      <c r="Z6535" t="s">
        <v>32503</v>
      </c>
      <c r="AA6535">
        <v>0.34217676327562851</v>
      </c>
      <c r="AB6535" t="str">
        <f>HYPERLINK("Melting_Curves/meltCurve_Q9Y6D9_MAD1L1.pdf", "Melting_Curves/meltCurve_Q9Y6D9_MAD1L1.pdf")</f>
        <v>Melting_Curves/meltCurve_Q9Y6D9_MAD1L1.pdf</v>
      </c>
    </row>
    <row r="6536" spans="1:28" x14ac:dyDescent="0.25">
      <c r="A6536" t="s">
        <v>6540</v>
      </c>
      <c r="B6536">
        <v>0.99472303558308395</v>
      </c>
      <c r="C6536">
        <v>0.98879466931290205</v>
      </c>
      <c r="D6536">
        <v>0.77434060300835605</v>
      </c>
      <c r="E6536">
        <v>0.68346747135379704</v>
      </c>
      <c r="F6536">
        <v>0.39755861007075899</v>
      </c>
      <c r="G6536">
        <v>0.16563929724871701</v>
      </c>
      <c r="H6536">
        <v>9.6246093033376806E-2</v>
      </c>
      <c r="I6536">
        <v>5.8348709038896503E-2</v>
      </c>
      <c r="J6536">
        <v>6.8076567475462896E-2</v>
      </c>
      <c r="K6536">
        <v>6.0152703646201802E-2</v>
      </c>
      <c r="L6536">
        <v>697.03630559376404</v>
      </c>
      <c r="M6536">
        <v>14.441296543752999</v>
      </c>
      <c r="N6536">
        <v>48.4274721383116</v>
      </c>
      <c r="O6536">
        <v>47.369667537781098</v>
      </c>
      <c r="P6536">
        <v>-7.4442705417765404E-2</v>
      </c>
      <c r="Q6536">
        <v>2.33805284883471E-2</v>
      </c>
      <c r="R6536">
        <v>0.99047145569815698</v>
      </c>
      <c r="S6536" t="s">
        <v>13104</v>
      </c>
      <c r="T6536" t="s">
        <v>13134</v>
      </c>
      <c r="U6536" t="s">
        <v>13134</v>
      </c>
      <c r="V6536" t="s">
        <v>13134</v>
      </c>
      <c r="W6536" t="s">
        <v>19598</v>
      </c>
      <c r="X6536">
        <v>21</v>
      </c>
      <c r="Y6536" t="s">
        <v>25941</v>
      </c>
      <c r="Z6536" t="s">
        <v>32504</v>
      </c>
      <c r="AA6536">
        <v>0.4129132743279858</v>
      </c>
      <c r="AB6536" t="str">
        <f>HYPERLINK("Melting_Curves/meltCurve_Q9Y6G9_DYNC1LI1.pdf", "Melting_Curves/meltCurve_Q9Y6G9_DYNC1LI1.pdf")</f>
        <v>Melting_Curves/meltCurve_Q9Y6G9_DYNC1LI1.pdf</v>
      </c>
    </row>
    <row r="6537" spans="1:28" x14ac:dyDescent="0.25">
      <c r="A6537" t="s">
        <v>6541</v>
      </c>
      <c r="B6537">
        <v>0.99472303558308395</v>
      </c>
      <c r="C6537">
        <v>0.916623410542311</v>
      </c>
      <c r="D6537">
        <v>0.80259980349025395</v>
      </c>
      <c r="E6537">
        <v>0.73309928807174796</v>
      </c>
      <c r="F6537">
        <v>0.67027625042900196</v>
      </c>
      <c r="G6537">
        <v>0.53401457366155003</v>
      </c>
      <c r="H6537">
        <v>0.59530693817791902</v>
      </c>
      <c r="I6537">
        <v>0.57701849911632896</v>
      </c>
      <c r="J6537">
        <v>0.764340811857391</v>
      </c>
      <c r="K6537">
        <v>0.73645324939040702</v>
      </c>
      <c r="L6537">
        <v>845.60893285325994</v>
      </c>
      <c r="M6537">
        <v>19.8409873881577</v>
      </c>
      <c r="O6537">
        <v>42.193439551276597</v>
      </c>
      <c r="P6537">
        <v>-4.1620040328831799E-2</v>
      </c>
      <c r="Q6537">
        <v>0.64597858022658705</v>
      </c>
      <c r="R6537">
        <v>0.76961695217758397</v>
      </c>
      <c r="S6537" t="s">
        <v>13105</v>
      </c>
      <c r="T6537" t="s">
        <v>13134</v>
      </c>
      <c r="U6537" t="s">
        <v>13134</v>
      </c>
      <c r="V6537" t="s">
        <v>13134</v>
      </c>
      <c r="W6537" t="s">
        <v>19599</v>
      </c>
      <c r="X6537">
        <v>7</v>
      </c>
      <c r="Y6537" t="s">
        <v>25942</v>
      </c>
      <c r="Z6537" t="s">
        <v>32505</v>
      </c>
      <c r="AA6537">
        <v>0.71744334651899289</v>
      </c>
      <c r="AB6537" t="str">
        <f>HYPERLINK("Melting_Curves/meltCurve_Q9Y6H1_CHCHD2.pdf", "Melting_Curves/meltCurve_Q9Y6H1_CHCHD2.pdf")</f>
        <v>Melting_Curves/meltCurve_Q9Y6H1_CHCHD2.pdf</v>
      </c>
    </row>
    <row r="6538" spans="1:28" x14ac:dyDescent="0.25">
      <c r="A6538" t="s">
        <v>6542</v>
      </c>
      <c r="B6538">
        <v>0.99472303558308395</v>
      </c>
      <c r="C6538">
        <v>0.87782219779854698</v>
      </c>
      <c r="D6538">
        <v>0.76317661029328399</v>
      </c>
      <c r="E6538">
        <v>0.578146245222943</v>
      </c>
      <c r="F6538">
        <v>0.37209562321869399</v>
      </c>
      <c r="G6538">
        <v>0.23152292467785601</v>
      </c>
      <c r="H6538">
        <v>0.13595829319789199</v>
      </c>
      <c r="I6538">
        <v>0.108908371652827</v>
      </c>
      <c r="J6538">
        <v>0.12650501812943901</v>
      </c>
      <c r="K6538">
        <v>9.6877274147790807E-2</v>
      </c>
      <c r="L6538">
        <v>565.66222448734504</v>
      </c>
      <c r="M6538">
        <v>12.017066682266</v>
      </c>
      <c r="N6538">
        <v>47.625253180837603</v>
      </c>
      <c r="O6538">
        <v>45.824901734084897</v>
      </c>
      <c r="P6538">
        <v>-6.1300301847325503E-2</v>
      </c>
      <c r="Q6538">
        <v>6.51938269891401E-2</v>
      </c>
      <c r="R6538">
        <v>0.99687517527040104</v>
      </c>
      <c r="S6538" t="s">
        <v>13106</v>
      </c>
      <c r="T6538" t="s">
        <v>13134</v>
      </c>
      <c r="U6538" t="s">
        <v>13134</v>
      </c>
      <c r="V6538" t="s">
        <v>13134</v>
      </c>
      <c r="W6538" t="s">
        <v>19600</v>
      </c>
      <c r="X6538">
        <v>3</v>
      </c>
      <c r="Y6538" t="s">
        <v>25943</v>
      </c>
      <c r="Z6538" t="s">
        <v>32506</v>
      </c>
      <c r="AA6538">
        <v>0.40956951832349131</v>
      </c>
      <c r="AB6538" t="str">
        <f>HYPERLINK("Melting_Curves/meltCurve_Q9Y6H3_XRCC6BP1.pdf", "Melting_Curves/meltCurve_Q9Y6H3_XRCC6BP1.pdf")</f>
        <v>Melting_Curves/meltCurve_Q9Y6H3_XRCC6BP1.pdf</v>
      </c>
    </row>
    <row r="6539" spans="1:28" x14ac:dyDescent="0.25">
      <c r="A6539" t="s">
        <v>6543</v>
      </c>
      <c r="B6539">
        <v>0.99472303558308395</v>
      </c>
      <c r="C6539">
        <v>1.0104426127353801</v>
      </c>
      <c r="D6539">
        <v>0.95528336371698797</v>
      </c>
      <c r="E6539">
        <v>0.81945276154079705</v>
      </c>
      <c r="F6539">
        <v>0.38919278585482597</v>
      </c>
      <c r="G6539">
        <v>0.194548301838501</v>
      </c>
      <c r="H6539">
        <v>0.12227394373214601</v>
      </c>
      <c r="I6539">
        <v>9.88261552277514E-2</v>
      </c>
      <c r="J6539">
        <v>0.12178672028305</v>
      </c>
      <c r="K6539">
        <v>9.7054693491145899E-2</v>
      </c>
      <c r="L6539">
        <v>1300.40929312089</v>
      </c>
      <c r="M6539">
        <v>26.613111151604102</v>
      </c>
      <c r="N6539">
        <v>49.306984694925397</v>
      </c>
      <c r="O6539">
        <v>48.590087833082897</v>
      </c>
      <c r="P6539">
        <v>-0.12235331139747101</v>
      </c>
      <c r="Q6539">
        <v>0.106441068352223</v>
      </c>
      <c r="R6539">
        <v>0.99891568880997395</v>
      </c>
      <c r="S6539" t="s">
        <v>13107</v>
      </c>
      <c r="T6539" t="s">
        <v>13134</v>
      </c>
      <c r="U6539" t="s">
        <v>13134</v>
      </c>
      <c r="V6539" t="s">
        <v>13134</v>
      </c>
      <c r="W6539" t="s">
        <v>19601</v>
      </c>
      <c r="X6539">
        <v>12</v>
      </c>
      <c r="Y6539" t="s">
        <v>25944</v>
      </c>
      <c r="Z6539" t="s">
        <v>32507</v>
      </c>
      <c r="AA6539">
        <v>0.46661706723614021</v>
      </c>
      <c r="AB6539" t="str">
        <f>HYPERLINK("Melting_Curves/meltCurve_Q9Y6I3_3_EPN1.pdf", "Melting_Curves/meltCurve_Q9Y6I3_3_EPN1.pdf")</f>
        <v>Melting_Curves/meltCurve_Q9Y6I3_3_EPN1.pdf</v>
      </c>
    </row>
    <row r="6540" spans="1:28" x14ac:dyDescent="0.25">
      <c r="A6540" t="s">
        <v>6544</v>
      </c>
      <c r="B6540">
        <v>0.99472303558308395</v>
      </c>
      <c r="C6540">
        <v>0.95087646316004004</v>
      </c>
      <c r="D6540">
        <v>0.90658395999351105</v>
      </c>
      <c r="E6540">
        <v>0.75445287542467998</v>
      </c>
      <c r="F6540">
        <v>0.38568036236914399</v>
      </c>
      <c r="G6540">
        <v>0.13218029322299199</v>
      </c>
      <c r="H6540">
        <v>6.2010548119474901E-2</v>
      </c>
      <c r="I6540">
        <v>4.5769300091067902E-2</v>
      </c>
      <c r="J6540">
        <v>4.93712382091391E-2</v>
      </c>
      <c r="K6540">
        <v>3.8555757515776397E-2</v>
      </c>
      <c r="L6540">
        <v>1014.2200506947599</v>
      </c>
      <c r="M6540">
        <v>20.7762296906673</v>
      </c>
      <c r="N6540">
        <v>48.9587382643859</v>
      </c>
      <c r="O6540">
        <v>48.370881312895001</v>
      </c>
      <c r="P6540">
        <v>-0.104235060155055</v>
      </c>
      <c r="Q6540">
        <v>2.9314026939629201E-2</v>
      </c>
      <c r="R6540">
        <v>0.99739749187069104</v>
      </c>
      <c r="S6540" t="s">
        <v>13108</v>
      </c>
      <c r="T6540" t="s">
        <v>13134</v>
      </c>
      <c r="U6540" t="s">
        <v>13134</v>
      </c>
      <c r="V6540" t="s">
        <v>13134</v>
      </c>
      <c r="W6540" t="s">
        <v>19602</v>
      </c>
      <c r="X6540">
        <v>9</v>
      </c>
      <c r="Y6540" t="s">
        <v>25945</v>
      </c>
      <c r="Z6540" t="s">
        <v>32508</v>
      </c>
      <c r="AA6540">
        <v>0.42356187128726541</v>
      </c>
      <c r="AB6540" t="str">
        <f>HYPERLINK("Melting_Curves/meltCurve_Q9Y6I9_TEX264.pdf", "Melting_Curves/meltCurve_Q9Y6I9_TEX264.pdf")</f>
        <v>Melting_Curves/meltCurve_Q9Y6I9_TEX264.pdf</v>
      </c>
    </row>
    <row r="6541" spans="1:28" x14ac:dyDescent="0.25">
      <c r="A6541" t="s">
        <v>6545</v>
      </c>
      <c r="B6541">
        <v>0.99472303558308395</v>
      </c>
      <c r="C6541">
        <v>0.84859888566336095</v>
      </c>
      <c r="D6541">
        <v>0.60206942486932102</v>
      </c>
      <c r="E6541">
        <v>0.37437333819962798</v>
      </c>
      <c r="F6541">
        <v>0.19535170367316301</v>
      </c>
      <c r="G6541">
        <v>8.9810585834119605E-2</v>
      </c>
      <c r="H6541">
        <v>4.47546696081524E-2</v>
      </c>
      <c r="I6541">
        <v>3.00789659698226E-2</v>
      </c>
      <c r="J6541">
        <v>4.3054382763536E-2</v>
      </c>
      <c r="K6541">
        <v>1.8762274638373301E-2</v>
      </c>
      <c r="L6541">
        <v>638.22156123997104</v>
      </c>
      <c r="M6541">
        <v>14.3215021891693</v>
      </c>
      <c r="N6541">
        <v>44.670008049156102</v>
      </c>
      <c r="O6541">
        <v>43.722024038979498</v>
      </c>
      <c r="P6541">
        <v>-8.0529563147583499E-2</v>
      </c>
      <c r="Q6541">
        <v>1.6726606953573399E-2</v>
      </c>
      <c r="R6541">
        <v>0.99682764190397</v>
      </c>
      <c r="S6541" t="s">
        <v>13109</v>
      </c>
      <c r="T6541" t="s">
        <v>13134</v>
      </c>
      <c r="U6541" t="s">
        <v>13134</v>
      </c>
      <c r="V6541" t="s">
        <v>13134</v>
      </c>
      <c r="W6541" t="s">
        <v>19603</v>
      </c>
      <c r="X6541">
        <v>3</v>
      </c>
      <c r="Y6541" t="s">
        <v>25946</v>
      </c>
      <c r="Z6541" t="s">
        <v>32509</v>
      </c>
      <c r="AA6541">
        <v>0.29075364237993762</v>
      </c>
      <c r="AB6541" t="str">
        <f>HYPERLINK("Melting_Curves/meltCurve_Q9Y6J9_TAF6L.pdf", "Melting_Curves/meltCurve_Q9Y6J9_TAF6L.pdf")</f>
        <v>Melting_Curves/meltCurve_Q9Y6J9_TAF6L.pdf</v>
      </c>
    </row>
    <row r="6542" spans="1:28" x14ac:dyDescent="0.25">
      <c r="A6542" t="s">
        <v>6546</v>
      </c>
      <c r="B6542">
        <v>0.99472303558308395</v>
      </c>
      <c r="C6542">
        <v>0.89850829826613798</v>
      </c>
      <c r="D6542">
        <v>0.72337991043229199</v>
      </c>
      <c r="E6542">
        <v>0.61770975887632296</v>
      </c>
      <c r="F6542">
        <v>0.62287457748133401</v>
      </c>
      <c r="G6542">
        <v>0.23920014928015701</v>
      </c>
      <c r="H6542">
        <v>0.103280489299062</v>
      </c>
      <c r="I6542">
        <v>7.5928529608742398E-2</v>
      </c>
      <c r="J6542">
        <v>6.0097825084282998E-2</v>
      </c>
      <c r="K6542">
        <v>4.1817493090784197E-2</v>
      </c>
      <c r="L6542">
        <v>523.65635189548095</v>
      </c>
      <c r="M6542">
        <v>10.665684374421399</v>
      </c>
      <c r="N6542">
        <v>49.097291781278599</v>
      </c>
      <c r="O6542">
        <v>47.465692062854103</v>
      </c>
      <c r="P6542">
        <v>-5.6197073883932899E-2</v>
      </c>
      <c r="Q6542">
        <v>0</v>
      </c>
      <c r="R6542">
        <v>0.95812374750501295</v>
      </c>
      <c r="S6542" t="s">
        <v>13110</v>
      </c>
      <c r="T6542" t="s">
        <v>13134</v>
      </c>
      <c r="U6542" t="s">
        <v>13134</v>
      </c>
      <c r="V6542" t="s">
        <v>13134</v>
      </c>
      <c r="W6542" t="s">
        <v>19604</v>
      </c>
      <c r="X6542">
        <v>1</v>
      </c>
      <c r="Y6542" t="s">
        <v>25947</v>
      </c>
      <c r="Z6542" t="s">
        <v>32510</v>
      </c>
      <c r="AA6542">
        <v>0.43746422547135788</v>
      </c>
      <c r="AB6542" t="str">
        <f>HYPERLINK("Melting_Curves/meltCurve_Q9Y6K0_CEPT1.pdf", "Melting_Curves/meltCurve_Q9Y6K0_CEPT1.pdf")</f>
        <v>Melting_Curves/meltCurve_Q9Y6K0_CEPT1.pdf</v>
      </c>
    </row>
    <row r="6543" spans="1:28" x14ac:dyDescent="0.25">
      <c r="A6543" t="s">
        <v>6547</v>
      </c>
      <c r="B6543">
        <v>0.99472303558308395</v>
      </c>
      <c r="C6543">
        <v>0.95888332440149604</v>
      </c>
      <c r="D6543">
        <v>0.88057812632534105</v>
      </c>
      <c r="E6543">
        <v>0.60491420771480198</v>
      </c>
      <c r="F6543">
        <v>0.35369789040158001</v>
      </c>
      <c r="G6543">
        <v>0.30489676620181499</v>
      </c>
      <c r="H6543">
        <v>0.265106025212691</v>
      </c>
      <c r="I6543">
        <v>0.27811166533312198</v>
      </c>
      <c r="J6543">
        <v>0.43654390358859801</v>
      </c>
      <c r="K6543">
        <v>0.40634058277363599</v>
      </c>
      <c r="L6543">
        <v>1256.01951333798</v>
      </c>
      <c r="M6543">
        <v>27.486103126461298</v>
      </c>
      <c r="N6543">
        <v>47.589313141320197</v>
      </c>
      <c r="O6543">
        <v>45.456712484770598</v>
      </c>
      <c r="P6543">
        <v>-0.100914942869816</v>
      </c>
      <c r="Q6543">
        <v>0.33243098254786102</v>
      </c>
      <c r="R6543">
        <v>0.96286978975439597</v>
      </c>
      <c r="S6543" t="s">
        <v>13111</v>
      </c>
      <c r="T6543" t="s">
        <v>13134</v>
      </c>
      <c r="U6543" t="s">
        <v>13134</v>
      </c>
      <c r="V6543" t="s">
        <v>13134</v>
      </c>
      <c r="W6543" t="s">
        <v>19605</v>
      </c>
      <c r="X6543">
        <v>23</v>
      </c>
      <c r="Y6543" t="s">
        <v>19922</v>
      </c>
      <c r="Z6543" t="s">
        <v>32511</v>
      </c>
      <c r="AA6543">
        <v>0.53048288811998356</v>
      </c>
      <c r="AB6543" t="str">
        <f>HYPERLINK("Melting_Curves/meltCurve_Q9Y6K9_IKBKG.pdf", "Melting_Curves/meltCurve_Q9Y6K9_IKBKG.pdf")</f>
        <v>Melting_Curves/meltCurve_Q9Y6K9_IKBKG.pdf</v>
      </c>
    </row>
    <row r="6544" spans="1:28" x14ac:dyDescent="0.25">
      <c r="A6544" t="s">
        <v>6548</v>
      </c>
      <c r="B6544">
        <v>0.99472303558308395</v>
      </c>
      <c r="C6544">
        <v>0.97595632704383695</v>
      </c>
      <c r="D6544">
        <v>0.87418275099665799</v>
      </c>
      <c r="E6544">
        <v>0.81339443560430003</v>
      </c>
      <c r="F6544">
        <v>0.66833551825992799</v>
      </c>
      <c r="G6544">
        <v>0.30130865868458201</v>
      </c>
      <c r="H6544">
        <v>0.14981022370699201</v>
      </c>
      <c r="I6544">
        <v>0.101285123245103</v>
      </c>
      <c r="J6544">
        <v>0.119294053146384</v>
      </c>
      <c r="K6544">
        <v>0.11691697877875799</v>
      </c>
      <c r="L6544">
        <v>872.76465814526398</v>
      </c>
      <c r="M6544">
        <v>17.1408329517132</v>
      </c>
      <c r="N6544">
        <v>51.372951176276601</v>
      </c>
      <c r="O6544">
        <v>50.239409060558799</v>
      </c>
      <c r="P6544">
        <v>-7.9285091141924599E-2</v>
      </c>
      <c r="Q6544">
        <v>7.0524094031176404E-2</v>
      </c>
      <c r="R6544">
        <v>0.98576937649084595</v>
      </c>
      <c r="S6544" t="s">
        <v>13112</v>
      </c>
      <c r="T6544" t="s">
        <v>13134</v>
      </c>
      <c r="U6544" t="s">
        <v>13134</v>
      </c>
      <c r="V6544" t="s">
        <v>13134</v>
      </c>
      <c r="W6544" t="s">
        <v>19606</v>
      </c>
      <c r="X6544">
        <v>2</v>
      </c>
      <c r="Y6544" t="s">
        <v>25948</v>
      </c>
      <c r="Z6544" t="s">
        <v>32512</v>
      </c>
      <c r="AA6544">
        <v>0.51727460263005431</v>
      </c>
      <c r="AB6544" t="str">
        <f>HYPERLINK("Melting_Curves/meltCurve_Q9Y6M0_2_PRSS21.pdf", "Melting_Curves/meltCurve_Q9Y6M0_2_PRSS21.pdf")</f>
        <v>Melting_Curves/meltCurve_Q9Y6M0_2_PRSS21.pdf</v>
      </c>
    </row>
    <row r="6545" spans="1:28" x14ac:dyDescent="0.25">
      <c r="A6545" t="s">
        <v>6549</v>
      </c>
      <c r="B6545">
        <v>0.99472303558308395</v>
      </c>
      <c r="C6545">
        <v>0.94985276375403704</v>
      </c>
      <c r="D6545">
        <v>0.99709610588512598</v>
      </c>
      <c r="E6545">
        <v>0.85629835624546802</v>
      </c>
      <c r="F6545">
        <v>0.69254093267614403</v>
      </c>
      <c r="G6545">
        <v>0.49895640954721898</v>
      </c>
      <c r="H6545">
        <v>0.276238160469859</v>
      </c>
      <c r="I6545">
        <v>0.117731350010401</v>
      </c>
      <c r="J6545">
        <v>6.9293305713575504E-2</v>
      </c>
      <c r="K6545">
        <v>7.3250990501976199E-2</v>
      </c>
      <c r="L6545">
        <v>741.47540813544504</v>
      </c>
      <c r="M6545">
        <v>13.9071199178203</v>
      </c>
      <c r="N6545">
        <v>53.316239579381801</v>
      </c>
      <c r="O6545">
        <v>52.250111526587602</v>
      </c>
      <c r="P6545">
        <v>-6.6550107538834405E-2</v>
      </c>
      <c r="Q6545">
        <v>0</v>
      </c>
      <c r="R6545">
        <v>0.99574892462671705</v>
      </c>
      <c r="S6545" t="s">
        <v>13113</v>
      </c>
      <c r="T6545" t="s">
        <v>13134</v>
      </c>
      <c r="U6545" t="s">
        <v>13134</v>
      </c>
      <c r="V6545" t="s">
        <v>13134</v>
      </c>
      <c r="W6545" t="s">
        <v>19607</v>
      </c>
      <c r="X6545">
        <v>10</v>
      </c>
      <c r="Y6545" t="s">
        <v>25949</v>
      </c>
      <c r="Z6545" t="s">
        <v>32513</v>
      </c>
      <c r="AA6545">
        <v>0.56234946820787568</v>
      </c>
      <c r="AB6545" t="str">
        <f>HYPERLINK("Melting_Curves/meltCurve_Q9Y6M4_3_CSNK1G3.pdf", "Melting_Curves/meltCurve_Q9Y6M4_3_CSNK1G3.pdf")</f>
        <v>Melting_Curves/meltCurve_Q9Y6M4_3_CSNK1G3.pdf</v>
      </c>
    </row>
    <row r="6546" spans="1:28" x14ac:dyDescent="0.25">
      <c r="A6546" t="s">
        <v>6550</v>
      </c>
      <c r="B6546">
        <v>0.99472303558308395</v>
      </c>
      <c r="C6546">
        <v>1.0543946095982499</v>
      </c>
      <c r="D6546">
        <v>0.93445896327621703</v>
      </c>
      <c r="E6546">
        <v>0.87967638978853602</v>
      </c>
      <c r="F6546">
        <v>0.73638924297109798</v>
      </c>
      <c r="G6546">
        <v>0.51633570764673298</v>
      </c>
      <c r="H6546">
        <v>0.377825801065028</v>
      </c>
      <c r="I6546">
        <v>0.31092539962958798</v>
      </c>
      <c r="J6546">
        <v>0.348575925259696</v>
      </c>
      <c r="K6546">
        <v>0.42777798085306101</v>
      </c>
      <c r="L6546">
        <v>1010.77554264066</v>
      </c>
      <c r="M6546">
        <v>19.904502434412901</v>
      </c>
      <c r="N6546">
        <v>53.977674760228297</v>
      </c>
      <c r="O6546">
        <v>50.277017771419999</v>
      </c>
      <c r="P6546">
        <v>-6.4715433919980594E-2</v>
      </c>
      <c r="Q6546">
        <v>0.34615977439475698</v>
      </c>
      <c r="R6546">
        <v>0.97780352501636203</v>
      </c>
      <c r="S6546" t="s">
        <v>13114</v>
      </c>
      <c r="T6546" t="s">
        <v>13134</v>
      </c>
      <c r="U6546" t="s">
        <v>13134</v>
      </c>
      <c r="V6546" t="s">
        <v>13134</v>
      </c>
      <c r="W6546" t="s">
        <v>19608</v>
      </c>
      <c r="X6546">
        <v>11</v>
      </c>
      <c r="Y6546" t="s">
        <v>25950</v>
      </c>
      <c r="Z6546" t="s">
        <v>32514</v>
      </c>
      <c r="AA6546">
        <v>0.65516340627349356</v>
      </c>
      <c r="AB6546" t="str">
        <f>HYPERLINK("Melting_Curves/meltCurve_Q9Y6M5_SLC30A1.pdf", "Melting_Curves/meltCurve_Q9Y6M5_SLC30A1.pdf")</f>
        <v>Melting_Curves/meltCurve_Q9Y6M5_SLC30A1.pdf</v>
      </c>
    </row>
    <row r="6547" spans="1:28" x14ac:dyDescent="0.25">
      <c r="A6547" t="s">
        <v>6551</v>
      </c>
      <c r="B6547">
        <v>0.99472303558308395</v>
      </c>
      <c r="C6547">
        <v>0.88164679765118703</v>
      </c>
      <c r="D6547">
        <v>0.85339461757856405</v>
      </c>
      <c r="E6547">
        <v>0.707840957572625</v>
      </c>
      <c r="F6547">
        <v>0.27141706049245901</v>
      </c>
      <c r="G6547">
        <v>0.147179909230605</v>
      </c>
      <c r="H6547">
        <v>0.113342174015201</v>
      </c>
      <c r="I6547">
        <v>0.11024805688687001</v>
      </c>
      <c r="J6547">
        <v>0.13124139232447099</v>
      </c>
      <c r="K6547">
        <v>7.6999308440883499E-2</v>
      </c>
      <c r="L6547">
        <v>991.03293820420504</v>
      </c>
      <c r="M6547">
        <v>20.846772379083401</v>
      </c>
      <c r="N6547">
        <v>47.998184446336801</v>
      </c>
      <c r="O6547">
        <v>47.107956868546097</v>
      </c>
      <c r="P6547">
        <v>-0.100632531694648</v>
      </c>
      <c r="Q6547">
        <v>9.0418047902831297E-2</v>
      </c>
      <c r="R6547">
        <v>0.982895420721836</v>
      </c>
      <c r="S6547" t="s">
        <v>13115</v>
      </c>
      <c r="T6547" t="s">
        <v>13134</v>
      </c>
      <c r="U6547" t="s">
        <v>13134</v>
      </c>
      <c r="V6547" t="s">
        <v>13134</v>
      </c>
      <c r="W6547" t="s">
        <v>19609</v>
      </c>
      <c r="X6547">
        <v>2</v>
      </c>
      <c r="Y6547" t="s">
        <v>25951</v>
      </c>
      <c r="Z6547" t="s">
        <v>32515</v>
      </c>
      <c r="AA6547">
        <v>0.42096375863889418</v>
      </c>
      <c r="AB6547" t="str">
        <f>HYPERLINK("Melting_Curves/meltCurve_Q9Y6P5_3_SESN1.pdf", "Melting_Curves/meltCurve_Q9Y6P5_3_SESN1.pdf")</f>
        <v>Melting_Curves/meltCurve_Q9Y6P5_3_SESN1.pdf</v>
      </c>
    </row>
    <row r="6548" spans="1:28" x14ac:dyDescent="0.25">
      <c r="A6548" t="s">
        <v>6552</v>
      </c>
      <c r="B6548">
        <v>0.99472303558308395</v>
      </c>
      <c r="C6548">
        <v>0.98125653713974104</v>
      </c>
      <c r="D6548">
        <v>0.85664706672883695</v>
      </c>
      <c r="E6548">
        <v>0.64525429790812106</v>
      </c>
      <c r="F6548">
        <v>0.27982508129012301</v>
      </c>
      <c r="G6548">
        <v>0.124705532954826</v>
      </c>
      <c r="H6548">
        <v>8.1976288678207401E-2</v>
      </c>
      <c r="I6548">
        <v>5.7837097390011603E-2</v>
      </c>
      <c r="J6548">
        <v>5.8749021619232102E-2</v>
      </c>
      <c r="K6548">
        <v>7.4483128972608906E-2</v>
      </c>
      <c r="L6548">
        <v>946.66285939026704</v>
      </c>
      <c r="M6548">
        <v>19.9353810945742</v>
      </c>
      <c r="N6548">
        <v>47.754494898641298</v>
      </c>
      <c r="O6548">
        <v>47.016487357361498</v>
      </c>
      <c r="P6548">
        <v>-0.100397249632715</v>
      </c>
      <c r="Q6548">
        <v>5.2905938307047498E-2</v>
      </c>
      <c r="R6548">
        <v>0.99793226621788</v>
      </c>
      <c r="S6548" t="s">
        <v>13116</v>
      </c>
      <c r="T6548" t="s">
        <v>13134</v>
      </c>
      <c r="U6548" t="s">
        <v>13134</v>
      </c>
      <c r="V6548" t="s">
        <v>13134</v>
      </c>
      <c r="W6548" t="s">
        <v>19610</v>
      </c>
      <c r="X6548">
        <v>13</v>
      </c>
      <c r="Y6548" t="s">
        <v>25952</v>
      </c>
      <c r="Z6548" t="s">
        <v>32516</v>
      </c>
      <c r="AA6548">
        <v>0.39646231761992462</v>
      </c>
      <c r="AB6548" t="str">
        <f>HYPERLINK("Melting_Curves/meltCurve_Q9Y6Q9_2_NCOA3.pdf", "Melting_Curves/meltCurve_Q9Y6Q9_2_NCOA3.pdf")</f>
        <v>Melting_Curves/meltCurve_Q9Y6Q9_2_NCOA3.pdf</v>
      </c>
    </row>
    <row r="6549" spans="1:28" x14ac:dyDescent="0.25">
      <c r="A6549" t="s">
        <v>6553</v>
      </c>
      <c r="B6549">
        <v>0.99472303558308395</v>
      </c>
      <c r="C6549">
        <v>0.92007843781713206</v>
      </c>
      <c r="D6549">
        <v>0.864347024504872</v>
      </c>
      <c r="E6549">
        <v>0.72621150604933604</v>
      </c>
      <c r="F6549">
        <v>0.521524781893969</v>
      </c>
      <c r="G6549">
        <v>0.21828202291373</v>
      </c>
      <c r="H6549">
        <v>9.1343345312975097E-2</v>
      </c>
      <c r="I6549">
        <v>7.0523562956426797E-2</v>
      </c>
      <c r="J6549">
        <v>7.1090236391019093E-2</v>
      </c>
      <c r="K6549">
        <v>5.7765816747740797E-2</v>
      </c>
      <c r="L6549">
        <v>709.57243084136201</v>
      </c>
      <c r="M6549">
        <v>14.301734656091799</v>
      </c>
      <c r="N6549">
        <v>49.693679005575603</v>
      </c>
      <c r="O6549">
        <v>48.674648666090299</v>
      </c>
      <c r="P6549">
        <v>-7.2636188837244597E-2</v>
      </c>
      <c r="Q6549">
        <v>1.12778228987572E-2</v>
      </c>
      <c r="R6549">
        <v>0.99166246099088495</v>
      </c>
      <c r="S6549" t="s">
        <v>13117</v>
      </c>
      <c r="T6549" t="s">
        <v>13134</v>
      </c>
      <c r="U6549" t="s">
        <v>13134</v>
      </c>
      <c r="V6549" t="s">
        <v>13134</v>
      </c>
      <c r="W6549" t="s">
        <v>19611</v>
      </c>
      <c r="X6549">
        <v>5</v>
      </c>
      <c r="Y6549" t="s">
        <v>25953</v>
      </c>
      <c r="Z6549" t="s">
        <v>32517</v>
      </c>
      <c r="AA6549">
        <v>0.44944742578857583</v>
      </c>
      <c r="AB6549" t="str">
        <f>HYPERLINK("Melting_Curves/meltCurve_Q9Y6R0_NUMBL.pdf", "Melting_Curves/meltCurve_Q9Y6R0_NUMBL.pdf")</f>
        <v>Melting_Curves/meltCurve_Q9Y6R0_NUMBL.pdf</v>
      </c>
    </row>
    <row r="6550" spans="1:28" x14ac:dyDescent="0.25">
      <c r="A6550" t="s">
        <v>6554</v>
      </c>
      <c r="B6550">
        <v>0.99472303558308395</v>
      </c>
      <c r="C6550">
        <v>0.95737173973691503</v>
      </c>
      <c r="D6550">
        <v>1.04510898417848</v>
      </c>
      <c r="E6550">
        <v>0.931386772850058</v>
      </c>
      <c r="F6550">
        <v>0.61912081391817897</v>
      </c>
      <c r="G6550">
        <v>0.37064460946051803</v>
      </c>
      <c r="H6550">
        <v>0.150631377172007</v>
      </c>
      <c r="I6550">
        <v>7.2663905254451794E-2</v>
      </c>
      <c r="J6550">
        <v>8.59821053225098E-2</v>
      </c>
      <c r="K6550">
        <v>8.0285424622250995E-2</v>
      </c>
      <c r="L6550">
        <v>1086.2939040814199</v>
      </c>
      <c r="M6550">
        <v>21.091285720368202</v>
      </c>
      <c r="N6550">
        <v>51.838867985644598</v>
      </c>
      <c r="O6550">
        <v>51.048089800416903</v>
      </c>
      <c r="P6550">
        <v>-9.67229166595477E-2</v>
      </c>
      <c r="Q6550">
        <v>6.3615138682499794E-2</v>
      </c>
      <c r="R6550">
        <v>0.99420227949433604</v>
      </c>
      <c r="S6550" t="s">
        <v>13118</v>
      </c>
      <c r="T6550" t="s">
        <v>13134</v>
      </c>
      <c r="U6550" t="s">
        <v>13134</v>
      </c>
      <c r="V6550" t="s">
        <v>13134</v>
      </c>
      <c r="W6550" t="s">
        <v>19612</v>
      </c>
      <c r="X6550">
        <v>13</v>
      </c>
      <c r="Y6550" t="s">
        <v>25954</v>
      </c>
      <c r="Z6550" t="s">
        <v>32518</v>
      </c>
      <c r="AA6550">
        <v>0.52750649676442074</v>
      </c>
      <c r="AB6550" t="str">
        <f>HYPERLINK("Melting_Curves/meltCurve_Q9Y6V7_DDX49.pdf", "Melting_Curves/meltCurve_Q9Y6V7_DDX49.pdf")</f>
        <v>Melting_Curves/meltCurve_Q9Y6V7_DDX49.pdf</v>
      </c>
    </row>
    <row r="6551" spans="1:28" x14ac:dyDescent="0.25">
      <c r="A6551" t="s">
        <v>6555</v>
      </c>
      <c r="B6551">
        <v>0.99472303558308395</v>
      </c>
      <c r="C6551">
        <v>0.96327691996268905</v>
      </c>
      <c r="D6551">
        <v>0.91660812958635995</v>
      </c>
      <c r="E6551">
        <v>0.66567185898345005</v>
      </c>
      <c r="F6551">
        <v>0.224638929404505</v>
      </c>
      <c r="G6551">
        <v>0.111082169454081</v>
      </c>
      <c r="H6551">
        <v>7.1988932188999599E-2</v>
      </c>
      <c r="I6551">
        <v>5.2455210246027603E-2</v>
      </c>
      <c r="J6551">
        <v>7.6808280316850802E-2</v>
      </c>
      <c r="K6551">
        <v>4.9639608695646598E-2</v>
      </c>
      <c r="L6551">
        <v>1244.91040728454</v>
      </c>
      <c r="M6551">
        <v>26.204200798886099</v>
      </c>
      <c r="N6551">
        <v>47.7362804255432</v>
      </c>
      <c r="O6551">
        <v>47.2339559862125</v>
      </c>
      <c r="P6551">
        <v>-0.130529203443707</v>
      </c>
      <c r="Q6551">
        <v>5.8877330236560103E-2</v>
      </c>
      <c r="R6551">
        <v>0.99811617854588996</v>
      </c>
      <c r="S6551" t="s">
        <v>13119</v>
      </c>
      <c r="T6551" t="s">
        <v>13134</v>
      </c>
      <c r="U6551" t="s">
        <v>13134</v>
      </c>
      <c r="V6551" t="s">
        <v>13134</v>
      </c>
      <c r="W6551" t="s">
        <v>19613</v>
      </c>
      <c r="X6551">
        <v>17</v>
      </c>
      <c r="Y6551" t="s">
        <v>25955</v>
      </c>
      <c r="Z6551" t="s">
        <v>32519</v>
      </c>
      <c r="AA6551">
        <v>0.39577067720630682</v>
      </c>
      <c r="AB6551" t="str">
        <f>HYPERLINK("Melting_Curves/meltCurve_Q9Y6W3_CAPN7.pdf", "Melting_Curves/meltCurve_Q9Y6W3_CAPN7.pdf")</f>
        <v>Melting_Curves/meltCurve_Q9Y6W3_CAPN7.pdf</v>
      </c>
    </row>
    <row r="6552" spans="1:28" x14ac:dyDescent="0.25">
      <c r="A6552" t="s">
        <v>6556</v>
      </c>
      <c r="B6552">
        <v>0.99472303558308395</v>
      </c>
      <c r="C6552">
        <v>0.98252525888712805</v>
      </c>
      <c r="D6552">
        <v>0.84336961729514504</v>
      </c>
      <c r="E6552">
        <v>0.69384821868754398</v>
      </c>
      <c r="F6552">
        <v>0.520271085399865</v>
      </c>
      <c r="G6552">
        <v>0.35810231981422902</v>
      </c>
      <c r="H6552">
        <v>0.29481820095918598</v>
      </c>
      <c r="I6552">
        <v>0.31401897711776</v>
      </c>
      <c r="J6552">
        <v>0.36215675150996002</v>
      </c>
      <c r="K6552">
        <v>0.24625617587714599</v>
      </c>
      <c r="L6552">
        <v>715.475483351359</v>
      </c>
      <c r="M6552">
        <v>15.096422097181</v>
      </c>
      <c r="N6552">
        <v>50.116056684243702</v>
      </c>
      <c r="O6552">
        <v>46.585427514173603</v>
      </c>
      <c r="P6552">
        <v>-5.8352950538361197E-2</v>
      </c>
      <c r="Q6552">
        <v>0.27979509030175298</v>
      </c>
      <c r="R6552">
        <v>0.98671527219144095</v>
      </c>
      <c r="S6552" t="s">
        <v>13120</v>
      </c>
      <c r="T6552" t="s">
        <v>13134</v>
      </c>
      <c r="U6552" t="s">
        <v>13134</v>
      </c>
      <c r="V6552" t="s">
        <v>13134</v>
      </c>
      <c r="W6552" t="s">
        <v>19614</v>
      </c>
      <c r="X6552">
        <v>9</v>
      </c>
      <c r="Y6552" t="s">
        <v>25956</v>
      </c>
      <c r="Z6552" t="s">
        <v>32520</v>
      </c>
      <c r="AA6552">
        <v>0.54520937948767312</v>
      </c>
      <c r="AB6552" t="str">
        <f>HYPERLINK("Melting_Curves/meltCurve_Q9Y6W5_WASF2.pdf", "Melting_Curves/meltCurve_Q9Y6W5_WASF2.pdf")</f>
        <v>Melting_Curves/meltCurve_Q9Y6W5_WASF2.pdf</v>
      </c>
    </row>
    <row r="6553" spans="1:28" x14ac:dyDescent="0.25">
      <c r="A6553" t="s">
        <v>6557</v>
      </c>
      <c r="B6553">
        <v>0.99472303558308395</v>
      </c>
      <c r="C6553">
        <v>0.95899767382610102</v>
      </c>
      <c r="D6553">
        <v>0.97213066556677896</v>
      </c>
      <c r="E6553">
        <v>0.57000676963934704</v>
      </c>
      <c r="F6553">
        <v>0.17851341610642599</v>
      </c>
      <c r="G6553">
        <v>0.12825896817819701</v>
      </c>
      <c r="H6553">
        <v>8.6168834252205201E-2</v>
      </c>
      <c r="I6553">
        <v>6.2392558990893798E-2</v>
      </c>
      <c r="J6553">
        <v>7.0447526276605804E-2</v>
      </c>
      <c r="K6553">
        <v>6.1402705757815597E-2</v>
      </c>
      <c r="L6553">
        <v>1474.08418526472</v>
      </c>
      <c r="M6553">
        <v>31.465599051625599</v>
      </c>
      <c r="N6553">
        <v>47.099411503613503</v>
      </c>
      <c r="O6553">
        <v>46.659483169670303</v>
      </c>
      <c r="P6553">
        <v>-0.15553598792804399</v>
      </c>
      <c r="Q6553">
        <v>7.7444585954767303E-2</v>
      </c>
      <c r="R6553">
        <v>0.99754327649563002</v>
      </c>
      <c r="S6553" t="s">
        <v>13121</v>
      </c>
      <c r="T6553" t="s">
        <v>13134</v>
      </c>
      <c r="U6553" t="s">
        <v>13134</v>
      </c>
      <c r="V6553" t="s">
        <v>13134</v>
      </c>
      <c r="W6553" t="s">
        <v>19615</v>
      </c>
      <c r="X6553">
        <v>19</v>
      </c>
      <c r="Y6553" t="s">
        <v>25957</v>
      </c>
      <c r="Z6553" t="s">
        <v>32521</v>
      </c>
      <c r="AA6553">
        <v>0.38512724060843029</v>
      </c>
      <c r="AB6553" t="str">
        <f>HYPERLINK("Melting_Curves/meltCurve_Q9Y6X9_MORC2.pdf", "Melting_Curves/meltCurve_Q9Y6X9_MORC2.pdf")</f>
        <v>Melting_Curves/meltCurve_Q9Y6X9_MORC2.pdf</v>
      </c>
    </row>
    <row r="6554" spans="1:28" x14ac:dyDescent="0.25">
      <c r="A6554" t="s">
        <v>6558</v>
      </c>
      <c r="B6554">
        <v>0.99472303558308395</v>
      </c>
      <c r="C6554">
        <v>0.93072485856143405</v>
      </c>
      <c r="D6554">
        <v>0.92550632783549303</v>
      </c>
      <c r="E6554">
        <v>0.51461727268216195</v>
      </c>
      <c r="F6554">
        <v>0.15151678128667101</v>
      </c>
      <c r="G6554">
        <v>3.6964648215648599E-2</v>
      </c>
      <c r="H6554">
        <v>1.82310563279195E-2</v>
      </c>
      <c r="I6554">
        <v>8.6698668791752292E-3</v>
      </c>
      <c r="J6554">
        <v>8.1817355926261208E-3</v>
      </c>
      <c r="K6554">
        <v>1.20497911870343E-2</v>
      </c>
      <c r="L6554">
        <v>1222.6827642568601</v>
      </c>
      <c r="M6554">
        <v>26.174085191461501</v>
      </c>
      <c r="N6554">
        <v>46.745721784111502</v>
      </c>
      <c r="O6554">
        <v>46.443364385139098</v>
      </c>
      <c r="P6554">
        <v>-0.13963395364225301</v>
      </c>
      <c r="Q6554">
        <v>8.9437158443019908E-3</v>
      </c>
      <c r="R6554">
        <v>0.997754968254005</v>
      </c>
      <c r="S6554" t="s">
        <v>13122</v>
      </c>
      <c r="T6554" t="s">
        <v>13134</v>
      </c>
      <c r="U6554" t="s">
        <v>13134</v>
      </c>
      <c r="V6554" t="s">
        <v>13134</v>
      </c>
      <c r="W6554" t="s">
        <v>19616</v>
      </c>
      <c r="X6554">
        <v>6</v>
      </c>
      <c r="Y6554" t="s">
        <v>25958</v>
      </c>
      <c r="Z6554" t="s">
        <v>32522</v>
      </c>
      <c r="AA6554">
        <v>0.33738483970963801</v>
      </c>
      <c r="AB6554" t="str">
        <f>HYPERLINK("Melting_Curves/meltCurve_Q9Y6Y0_IVNS1ABP.pdf", "Melting_Curves/meltCurve_Q9Y6Y0_IVNS1ABP.pdf")</f>
        <v>Melting_Curves/meltCurve_Q9Y6Y0_IVNS1ABP.pdf</v>
      </c>
    </row>
    <row r="6555" spans="1:28" x14ac:dyDescent="0.25">
      <c r="A6555" t="s">
        <v>6559</v>
      </c>
      <c r="B6555">
        <v>0.99472303558308395</v>
      </c>
      <c r="C6555">
        <v>1.1478010280434801</v>
      </c>
      <c r="D6555">
        <v>0.74827142532187796</v>
      </c>
      <c r="E6555">
        <v>0.72737402212475499</v>
      </c>
      <c r="F6555">
        <v>0.201258185597431</v>
      </c>
      <c r="G6555">
        <v>4.9609500395841999E-2</v>
      </c>
      <c r="H6555">
        <v>2.6597069483882699E-2</v>
      </c>
      <c r="I6555">
        <v>1.9140523317154601E-2</v>
      </c>
      <c r="J6555">
        <v>1.9812832937920799E-2</v>
      </c>
      <c r="K6555">
        <v>9.9953185168540695E-3</v>
      </c>
      <c r="L6555">
        <v>1110.09808157459</v>
      </c>
      <c r="M6555">
        <v>23.244623502733099</v>
      </c>
      <c r="N6555">
        <v>47.768727801554697</v>
      </c>
      <c r="O6555">
        <v>47.407945740602003</v>
      </c>
      <c r="P6555">
        <v>-0.122236977719336</v>
      </c>
      <c r="Q6555">
        <v>2.7973400025243299E-3</v>
      </c>
      <c r="R6555">
        <v>0.96396034366620598</v>
      </c>
      <c r="S6555" t="s">
        <v>13123</v>
      </c>
      <c r="T6555" t="s">
        <v>13134</v>
      </c>
      <c r="U6555" t="s">
        <v>13134</v>
      </c>
      <c r="V6555" t="s">
        <v>13134</v>
      </c>
      <c r="W6555" t="s">
        <v>19617</v>
      </c>
      <c r="X6555">
        <v>1</v>
      </c>
      <c r="Y6555" t="s">
        <v>25959</v>
      </c>
      <c r="Z6555" t="s">
        <v>32523</v>
      </c>
      <c r="AA6555">
        <v>0.37014640406001742</v>
      </c>
      <c r="AB6555" t="str">
        <f>HYPERLINK("Melting_Curves/meltCurve_R4GMN1_MOSPD2.pdf", "Melting_Curves/meltCurve_R4GMN1_MOSPD2.pdf")</f>
        <v>Melting_Curves/meltCurve_R4GMN1_MOSPD2.pdf</v>
      </c>
    </row>
    <row r="6556" spans="1:28" x14ac:dyDescent="0.25">
      <c r="A6556" t="s">
        <v>6560</v>
      </c>
      <c r="B6556">
        <v>0.99472303558308395</v>
      </c>
      <c r="C6556">
        <v>0.88394712413660603</v>
      </c>
      <c r="D6556">
        <v>0.80989575836782701</v>
      </c>
      <c r="E6556">
        <v>0.62588258458431001</v>
      </c>
      <c r="F6556">
        <v>0.59195547923053105</v>
      </c>
      <c r="G6556">
        <v>0.27706408038178798</v>
      </c>
      <c r="H6556">
        <v>0.169067407974519</v>
      </c>
      <c r="I6556">
        <v>4.7990718230889198E-2</v>
      </c>
      <c r="J6556">
        <v>5.0387785251963801E-2</v>
      </c>
      <c r="K6556">
        <v>3.7861309415300602E-2</v>
      </c>
      <c r="L6556">
        <v>548.57918909944499</v>
      </c>
      <c r="M6556">
        <v>11.065573473409399</v>
      </c>
      <c r="N6556">
        <v>49.575323002522197</v>
      </c>
      <c r="O6556">
        <v>48.0388165647338</v>
      </c>
      <c r="P6556">
        <v>-5.7605624785006498E-2</v>
      </c>
      <c r="Q6556">
        <v>0</v>
      </c>
      <c r="R6556">
        <v>0.97826818136921301</v>
      </c>
      <c r="S6556" t="s">
        <v>13124</v>
      </c>
      <c r="T6556" t="s">
        <v>13134</v>
      </c>
      <c r="U6556" t="s">
        <v>13134</v>
      </c>
      <c r="V6556" t="s">
        <v>13134</v>
      </c>
      <c r="W6556" t="s">
        <v>19618</v>
      </c>
      <c r="X6556">
        <v>11</v>
      </c>
      <c r="Y6556" t="s">
        <v>25960</v>
      </c>
      <c r="Z6556" t="s">
        <v>32524</v>
      </c>
      <c r="AA6556">
        <v>0.45083392873319927</v>
      </c>
      <c r="AB6556" t="str">
        <f>HYPERLINK("Melting_Curves/meltCurve_R4GMR5_PSMD8.pdf", "Melting_Curves/meltCurve_R4GMR5_PSMD8.pdf")</f>
        <v>Melting_Curves/meltCurve_R4GMR5_PSMD8.pdf</v>
      </c>
    </row>
    <row r="6557" spans="1:28" x14ac:dyDescent="0.25">
      <c r="A6557" t="s">
        <v>6561</v>
      </c>
      <c r="B6557">
        <v>0.99472303558308395</v>
      </c>
      <c r="C6557">
        <v>0.95191977235287895</v>
      </c>
      <c r="D6557">
        <v>0.85058772536397098</v>
      </c>
      <c r="E6557">
        <v>0.563492276088291</v>
      </c>
      <c r="F6557">
        <v>0.22861106233720599</v>
      </c>
      <c r="G6557">
        <v>0.112081610207207</v>
      </c>
      <c r="H6557">
        <v>5.3025332898743602E-2</v>
      </c>
      <c r="I6557">
        <v>3.8486428332141602E-2</v>
      </c>
      <c r="J6557">
        <v>4.0540676125218E-2</v>
      </c>
      <c r="K6557">
        <v>3.7671871662398798E-2</v>
      </c>
      <c r="L6557">
        <v>905.81768162832304</v>
      </c>
      <c r="M6557">
        <v>19.303386242599402</v>
      </c>
      <c r="N6557">
        <v>47.077690947355798</v>
      </c>
      <c r="O6557">
        <v>46.4304072866368</v>
      </c>
      <c r="P6557">
        <v>-0.1007935515416</v>
      </c>
      <c r="Q6557">
        <v>3.0281637266407601E-2</v>
      </c>
      <c r="R6557">
        <v>0.99936985254274102</v>
      </c>
      <c r="S6557" t="s">
        <v>13125</v>
      </c>
      <c r="T6557" t="s">
        <v>13134</v>
      </c>
      <c r="U6557" t="s">
        <v>13134</v>
      </c>
      <c r="V6557" t="s">
        <v>13134</v>
      </c>
      <c r="W6557" t="s">
        <v>19619</v>
      </c>
      <c r="X6557">
        <v>8</v>
      </c>
      <c r="Y6557" t="s">
        <v>25961</v>
      </c>
      <c r="Z6557" t="s">
        <v>32525</v>
      </c>
      <c r="AA6557">
        <v>0.36471127085422422</v>
      </c>
      <c r="AB6557" t="str">
        <f>HYPERLINK("Melting_Curves/meltCurve_R4GMX3_BMI1.pdf", "Melting_Curves/meltCurve_R4GMX3_BMI1.pdf")</f>
        <v>Melting_Curves/meltCurve_R4GMX3_BMI1.pdf</v>
      </c>
    </row>
    <row r="6558" spans="1:28" x14ac:dyDescent="0.25">
      <c r="A6558" t="s">
        <v>6562</v>
      </c>
      <c r="B6558">
        <v>0.99472303558308395</v>
      </c>
      <c r="C6558">
        <v>0.925445885705098</v>
      </c>
      <c r="D6558">
        <v>0.80186976767565199</v>
      </c>
      <c r="E6558">
        <v>0.79059575107423896</v>
      </c>
      <c r="F6558">
        <v>0.549303484150655</v>
      </c>
      <c r="G6558">
        <v>0.36464719585190603</v>
      </c>
      <c r="H6558">
        <v>0.16313725349702399</v>
      </c>
      <c r="I6558">
        <v>7.6450559041586694E-2</v>
      </c>
      <c r="J6558">
        <v>0.118243797080784</v>
      </c>
      <c r="K6558">
        <v>2.9678500960450299E-2</v>
      </c>
      <c r="L6558">
        <v>596.304339997733</v>
      </c>
      <c r="M6558">
        <v>11.751069399432099</v>
      </c>
      <c r="N6558">
        <v>50.744686335591602</v>
      </c>
      <c r="O6558">
        <v>49.342000707485703</v>
      </c>
      <c r="P6558">
        <v>-5.9554444906173301E-2</v>
      </c>
      <c r="Q6558">
        <v>0</v>
      </c>
      <c r="R6558">
        <v>0.98524221318425398</v>
      </c>
      <c r="S6558" t="s">
        <v>13126</v>
      </c>
      <c r="T6558" t="s">
        <v>13134</v>
      </c>
      <c r="U6558" t="s">
        <v>13134</v>
      </c>
      <c r="V6558" t="s">
        <v>13134</v>
      </c>
      <c r="W6558" t="s">
        <v>19620</v>
      </c>
      <c r="X6558">
        <v>3</v>
      </c>
      <c r="Y6558" t="s">
        <v>25962</v>
      </c>
      <c r="Z6558" t="s">
        <v>32526</v>
      </c>
      <c r="AA6558">
        <v>0.48529372742586779</v>
      </c>
      <c r="AB6558" t="str">
        <f>HYPERLINK("Melting_Curves/meltCurve_R4GN33_MAPKAPK5.pdf", "Melting_Curves/meltCurve_R4GN33_MAPKAPK5.pdf")</f>
        <v>Melting_Curves/meltCurve_R4GN33_MAPKAPK5.pdf</v>
      </c>
    </row>
    <row r="6559" spans="1:28" x14ac:dyDescent="0.25">
      <c r="A6559" t="s">
        <v>6563</v>
      </c>
      <c r="B6559">
        <v>0.99472303558308395</v>
      </c>
      <c r="C6559">
        <v>0.82851124230062301</v>
      </c>
      <c r="D6559">
        <v>0.90238100925698905</v>
      </c>
      <c r="E6559">
        <v>0.76019328283006804</v>
      </c>
      <c r="F6559">
        <v>0.50787783685115495</v>
      </c>
      <c r="G6559">
        <v>0.17521637554467701</v>
      </c>
      <c r="H6559">
        <v>5.4820614161229297E-2</v>
      </c>
      <c r="I6559">
        <v>4.2429188430695798E-2</v>
      </c>
      <c r="J6559">
        <v>5.4127602493382797E-2</v>
      </c>
      <c r="K6559">
        <v>4.1193318527109002E-2</v>
      </c>
      <c r="L6559">
        <v>824.65752262768603</v>
      </c>
      <c r="M6559">
        <v>16.6090589948572</v>
      </c>
      <c r="N6559">
        <v>49.669184836823597</v>
      </c>
      <c r="O6559">
        <v>48.9480532112186</v>
      </c>
      <c r="P6559">
        <v>-8.4579586244504804E-2</v>
      </c>
      <c r="Q6559">
        <v>3.01980676058682E-3</v>
      </c>
      <c r="R6559">
        <v>0.97764367176095901</v>
      </c>
      <c r="S6559" t="s">
        <v>13127</v>
      </c>
      <c r="T6559" t="s">
        <v>13134</v>
      </c>
      <c r="U6559" t="s">
        <v>13134</v>
      </c>
      <c r="V6559" t="s">
        <v>13134</v>
      </c>
      <c r="W6559" t="s">
        <v>19621</v>
      </c>
      <c r="X6559">
        <v>13</v>
      </c>
      <c r="Y6559" t="s">
        <v>25963</v>
      </c>
      <c r="Z6559" t="s">
        <v>32527</v>
      </c>
      <c r="AA6559">
        <v>0.44144303876654728</v>
      </c>
      <c r="AB6559" t="str">
        <f>HYPERLINK("Melting_Curves/meltCurve_R4GN55_YTHDF3.pdf", "Melting_Curves/meltCurve_R4GN55_YTHDF3.pdf")</f>
        <v>Melting_Curves/meltCurve_R4GN55_YTHDF3.pdf</v>
      </c>
    </row>
    <row r="6560" spans="1:28" x14ac:dyDescent="0.25">
      <c r="A6560" t="s">
        <v>6564</v>
      </c>
      <c r="B6560">
        <v>0.99472303558308395</v>
      </c>
      <c r="C6560">
        <v>1.0393308430613399</v>
      </c>
      <c r="D6560">
        <v>0.88909805203637804</v>
      </c>
      <c r="E6560">
        <v>0.707167041481926</v>
      </c>
      <c r="F6560">
        <v>0.49582952527450203</v>
      </c>
      <c r="G6560">
        <v>0.21816985691712501</v>
      </c>
      <c r="H6560">
        <v>0.10346158060847201</v>
      </c>
      <c r="I6560">
        <v>8.2875172866509306E-2</v>
      </c>
      <c r="J6560">
        <v>9.7973649242157096E-2</v>
      </c>
      <c r="K6560">
        <v>3.4921371247031797E-2</v>
      </c>
      <c r="L6560">
        <v>786.451842237596</v>
      </c>
      <c r="M6560">
        <v>15.936261336528499</v>
      </c>
      <c r="N6560">
        <v>49.584606260616297</v>
      </c>
      <c r="O6560">
        <v>48.592367734201297</v>
      </c>
      <c r="P6560">
        <v>-7.9016388196915796E-2</v>
      </c>
      <c r="Q6560">
        <v>3.6339218374393599E-2</v>
      </c>
      <c r="R6560">
        <v>0.99366171535914605</v>
      </c>
      <c r="S6560" t="s">
        <v>13128</v>
      </c>
      <c r="T6560" t="s">
        <v>13134</v>
      </c>
      <c r="U6560" t="s">
        <v>13134</v>
      </c>
      <c r="V6560" t="s">
        <v>13134</v>
      </c>
      <c r="W6560" t="s">
        <v>19622</v>
      </c>
      <c r="X6560">
        <v>2</v>
      </c>
      <c r="Y6560" t="s">
        <v>25964</v>
      </c>
      <c r="Z6560" t="s">
        <v>32528</v>
      </c>
      <c r="AA6560">
        <v>0.45172896713195299</v>
      </c>
      <c r="AB6560" t="str">
        <f>HYPERLINK("Melting_Curves/meltCurve_R4GNB1_AASDH.pdf", "Melting_Curves/meltCurve_R4GNB1_AASDH.pdf")</f>
        <v>Melting_Curves/meltCurve_R4GNB1_AASDH.pdf</v>
      </c>
    </row>
    <row r="6561" spans="1:28" x14ac:dyDescent="0.25">
      <c r="A6561" t="s">
        <v>6565</v>
      </c>
      <c r="B6561">
        <v>0.99472303558308395</v>
      </c>
      <c r="C6561">
        <v>0.97790612317700698</v>
      </c>
      <c r="D6561">
        <v>0.79303930075480999</v>
      </c>
      <c r="E6561">
        <v>0.60447235338402105</v>
      </c>
      <c r="F6561">
        <v>0.31613680991487603</v>
      </c>
      <c r="G6561">
        <v>0.168808191459661</v>
      </c>
      <c r="H6561">
        <v>8.7089350051405306E-2</v>
      </c>
      <c r="I6561">
        <v>6.5259129415170605E-2</v>
      </c>
      <c r="J6561">
        <v>6.5028842127094394E-2</v>
      </c>
      <c r="K6561">
        <v>5.9846502867265401E-2</v>
      </c>
      <c r="L6561">
        <v>732.27957297005696</v>
      </c>
      <c r="M6561">
        <v>15.4688175518838</v>
      </c>
      <c r="N6561">
        <v>47.600824572104997</v>
      </c>
      <c r="O6561">
        <v>46.569095316407299</v>
      </c>
      <c r="P6561">
        <v>-7.9663692268053907E-2</v>
      </c>
      <c r="Q6561">
        <v>4.0771130621223797E-2</v>
      </c>
      <c r="R6561">
        <v>0.99743137610356503</v>
      </c>
      <c r="S6561" t="s">
        <v>13129</v>
      </c>
      <c r="T6561" t="s">
        <v>13134</v>
      </c>
      <c r="U6561" t="s">
        <v>13134</v>
      </c>
      <c r="V6561" t="s">
        <v>13134</v>
      </c>
      <c r="W6561" t="s">
        <v>19623</v>
      </c>
      <c r="X6561">
        <v>9</v>
      </c>
      <c r="Y6561" t="s">
        <v>25965</v>
      </c>
      <c r="Z6561" t="s">
        <v>32529</v>
      </c>
      <c r="AA6561">
        <v>0.39165491014188902</v>
      </c>
      <c r="AB6561" t="str">
        <f>HYPERLINK("Melting_Curves/meltCurve_R4GNB2_DENND4C.pdf", "Melting_Curves/meltCurve_R4GNB2_DENND4C.pdf")</f>
        <v>Melting_Curves/meltCurve_R4GNB2_DENND4C.pdf</v>
      </c>
    </row>
    <row r="6562" spans="1:28" x14ac:dyDescent="0.25">
      <c r="A6562" t="s">
        <v>6566</v>
      </c>
      <c r="B6562">
        <v>0.99472303558308395</v>
      </c>
      <c r="C6562">
        <v>1.02369840581722</v>
      </c>
      <c r="D6562">
        <v>0.87462963871828903</v>
      </c>
      <c r="E6562">
        <v>0.845293709210863</v>
      </c>
      <c r="F6562">
        <v>0.42504772261539597</v>
      </c>
      <c r="G6562">
        <v>9.90728883604403E-2</v>
      </c>
      <c r="H6562">
        <v>6.3116174183034099E-2</v>
      </c>
      <c r="I6562">
        <v>1.81165035482946E-2</v>
      </c>
      <c r="J6562">
        <v>1.8420073455577099E-2</v>
      </c>
      <c r="K6562">
        <v>1.6289134121806399E-2</v>
      </c>
      <c r="L6562">
        <v>1233.6347895226299</v>
      </c>
      <c r="M6562">
        <v>24.938433105168201</v>
      </c>
      <c r="N6562">
        <v>49.517883654712499</v>
      </c>
      <c r="O6562">
        <v>49.152404539929798</v>
      </c>
      <c r="P6562">
        <v>-0.12524606773500299</v>
      </c>
      <c r="Q6562">
        <v>1.2598013676790899E-2</v>
      </c>
      <c r="R6562">
        <v>0.99271531385109901</v>
      </c>
      <c r="S6562" t="s">
        <v>13130</v>
      </c>
      <c r="T6562" t="s">
        <v>13134</v>
      </c>
      <c r="U6562" t="s">
        <v>13134</v>
      </c>
      <c r="V6562" t="s">
        <v>13134</v>
      </c>
      <c r="W6562" t="s">
        <v>19624</v>
      </c>
      <c r="X6562">
        <v>5</v>
      </c>
      <c r="Y6562" t="s">
        <v>25966</v>
      </c>
      <c r="Z6562" t="s">
        <v>32530</v>
      </c>
      <c r="AA6562">
        <v>0.43156020393008382</v>
      </c>
      <c r="AB6562" t="str">
        <f>HYPERLINK("Melting_Curves/meltCurve_R4GND1_UBE2E3.pdf", "Melting_Curves/meltCurve_R4GND1_UBE2E3.pdf")</f>
        <v>Melting_Curves/meltCurve_R4GND1_UBE2E3.pdf</v>
      </c>
    </row>
    <row r="6563" spans="1:28" x14ac:dyDescent="0.25">
      <c r="A6563" t="s">
        <v>6567</v>
      </c>
      <c r="B6563">
        <v>0.99472303558308395</v>
      </c>
      <c r="C6563">
        <v>0.95726499633574902</v>
      </c>
      <c r="D6563">
        <v>0.76030791818051402</v>
      </c>
      <c r="E6563">
        <v>0.62217488599114901</v>
      </c>
      <c r="F6563">
        <v>0.32889182524882898</v>
      </c>
      <c r="G6563">
        <v>0.15437871332257699</v>
      </c>
      <c r="H6563">
        <v>7.8589392014419293E-2</v>
      </c>
      <c r="I6563">
        <v>7.2209113645903905E-2</v>
      </c>
      <c r="J6563">
        <v>4.3532718161593702E-2</v>
      </c>
      <c r="K6563">
        <v>8.43683716367645E-2</v>
      </c>
      <c r="L6563">
        <v>690.60783539283898</v>
      </c>
      <c r="M6563">
        <v>14.581407941875201</v>
      </c>
      <c r="N6563">
        <v>47.586322545568599</v>
      </c>
      <c r="O6563">
        <v>46.498154200544199</v>
      </c>
      <c r="P6563">
        <v>-7.5804894024901204E-2</v>
      </c>
      <c r="Q6563">
        <v>3.3182566087594102E-2</v>
      </c>
      <c r="R6563">
        <v>0.99328775825266702</v>
      </c>
      <c r="S6563" t="s">
        <v>13131</v>
      </c>
      <c r="T6563" t="s">
        <v>13134</v>
      </c>
      <c r="U6563" t="s">
        <v>13134</v>
      </c>
      <c r="V6563" t="s">
        <v>13134</v>
      </c>
      <c r="W6563" t="s">
        <v>19625</v>
      </c>
      <c r="X6563">
        <v>2</v>
      </c>
      <c r="Y6563" t="s">
        <v>25967</v>
      </c>
      <c r="Z6563" t="s">
        <v>32531</v>
      </c>
      <c r="AA6563">
        <v>0.38981118404428949</v>
      </c>
      <c r="AB6563" t="str">
        <f>HYPERLINK("Melting_Curves/meltCurve_R4GNF5_TCP11L1.pdf", "Melting_Curves/meltCurve_R4GNF5_TCP11L1.pdf")</f>
        <v>Melting_Curves/meltCurve_R4GNF5_TCP11L1.pdf</v>
      </c>
    </row>
    <row r="6564" spans="1:28" x14ac:dyDescent="0.25">
      <c r="A6564" t="s">
        <v>6568</v>
      </c>
      <c r="B6564">
        <v>0.99472303558308395</v>
      </c>
      <c r="C6564">
        <v>0.95339932099312097</v>
      </c>
      <c r="D6564">
        <v>0.85135443199319805</v>
      </c>
      <c r="E6564">
        <v>0.75303306177847495</v>
      </c>
      <c r="F6564">
        <v>0.66005732095826897</v>
      </c>
      <c r="G6564">
        <v>0.31035339937599099</v>
      </c>
      <c r="H6564">
        <v>0.129233903905528</v>
      </c>
      <c r="I6564">
        <v>6.3704110162094499E-2</v>
      </c>
      <c r="J6564">
        <v>6.2548459965554498E-2</v>
      </c>
      <c r="K6564">
        <v>4.9592960784072999E-2</v>
      </c>
      <c r="L6564">
        <v>706.86126824487303</v>
      </c>
      <c r="M6564">
        <v>13.8459996756145</v>
      </c>
      <c r="N6564">
        <v>51.051660545648197</v>
      </c>
      <c r="O6564">
        <v>50.022102252573802</v>
      </c>
      <c r="P6564">
        <v>-6.9208970566415007E-2</v>
      </c>
      <c r="Q6564">
        <v>0</v>
      </c>
      <c r="R6564">
        <v>0.98411419836819403</v>
      </c>
      <c r="S6564" t="s">
        <v>13132</v>
      </c>
      <c r="T6564" t="s">
        <v>13134</v>
      </c>
      <c r="U6564" t="s">
        <v>13134</v>
      </c>
      <c r="V6564" t="s">
        <v>13134</v>
      </c>
      <c r="W6564" t="s">
        <v>19626</v>
      </c>
      <c r="X6564">
        <v>28</v>
      </c>
      <c r="Y6564" t="s">
        <v>25968</v>
      </c>
      <c r="Z6564" t="s">
        <v>32532</v>
      </c>
      <c r="AA6564">
        <v>0.49058127092790782</v>
      </c>
      <c r="AB6564" t="str">
        <f>HYPERLINK("Melting_Curves/meltCurve_R4GNH3_PSMC3.pdf", "Melting_Curves/meltCurve_R4GNH3_PSMC3.pdf")</f>
        <v>Melting_Curves/meltCurve_R4GNH3_PSMC3.pdf</v>
      </c>
    </row>
    <row r="6565" spans="1:28" x14ac:dyDescent="0.25">
      <c r="A6565" t="s">
        <v>6569</v>
      </c>
      <c r="B6565">
        <v>0.99472303558308395</v>
      </c>
      <c r="C6565">
        <v>0.98497737960598697</v>
      </c>
      <c r="D6565">
        <v>0.83563334893918995</v>
      </c>
      <c r="E6565">
        <v>0.54759052719096202</v>
      </c>
      <c r="F6565">
        <v>0.30296528972383202</v>
      </c>
      <c r="G6565">
        <v>0.15497202674541299</v>
      </c>
      <c r="H6565">
        <v>7.7651796332279394E-2</v>
      </c>
      <c r="I6565">
        <v>6.1737991016943002E-2</v>
      </c>
      <c r="J6565">
        <v>7.8384480582211105E-2</v>
      </c>
      <c r="K6565">
        <v>6.1407830784799701E-2</v>
      </c>
      <c r="L6565">
        <v>813.69382426198297</v>
      </c>
      <c r="M6565">
        <v>17.325303498493199</v>
      </c>
      <c r="N6565">
        <v>47.284279417847003</v>
      </c>
      <c r="O6565">
        <v>46.353319667544199</v>
      </c>
      <c r="P6565">
        <v>-8.8298132421023398E-2</v>
      </c>
      <c r="Q6565">
        <v>5.50982936717202E-2</v>
      </c>
      <c r="R6565">
        <v>0.99876603008534903</v>
      </c>
      <c r="S6565" t="s">
        <v>13133</v>
      </c>
      <c r="T6565" t="s">
        <v>13134</v>
      </c>
      <c r="U6565" t="s">
        <v>13134</v>
      </c>
      <c r="V6565" t="s">
        <v>13134</v>
      </c>
      <c r="W6565" t="s">
        <v>19627</v>
      </c>
      <c r="X6565">
        <v>1</v>
      </c>
      <c r="Y6565" t="s">
        <v>25969</v>
      </c>
      <c r="Z6565" t="s">
        <v>32533</v>
      </c>
      <c r="AA6565">
        <v>0.38529839774253111</v>
      </c>
      <c r="AB6565" t="str">
        <f>HYPERLINK("Melting_Curves/meltCurve_R4GNJ5_ACD.pdf", "Melting_Curves/meltCurve_R4GNJ5_ACD.pdf")</f>
        <v>Melting_Curves/meltCurve_R4GNJ5_ACD.pdf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2017-09-14T13:07:46Z</dcterms:created>
  <dcterms:modified xsi:type="dcterms:W3CDTF">2018-08-20T14:34:21Z</dcterms:modified>
</cp:coreProperties>
</file>